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26.xml"/>
  <Override ContentType="application/vnd.openxmlformats-officedocument.spreadsheetml.comments+xml" PartName="/xl/comments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22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18" sheetId="1" r:id="rId3"/>
    <sheet state="visible" name="DASHBOARD" sheetId="2" r:id="rId4"/>
    <sheet state="visible" name="BUDGET" sheetId="3" r:id="rId5"/>
    <sheet state="hidden" name="PRO FORMA" sheetId="4" r:id="rId6"/>
    <sheet state="visible" name="LIABILITIES" sheetId="5" r:id="rId7"/>
    <sheet state="visible" name="PAYMENT SCHEDULE" sheetId="6" r:id="rId8"/>
    <sheet state="visible" name="HOLDINGS" sheetId="7" r:id="rId9"/>
    <sheet state="hidden" name="Copy of HOLDINGS" sheetId="8" r:id="rId10"/>
    <sheet state="hidden" name="Uniquity BUDGET-2023" sheetId="9" r:id="rId11"/>
    <sheet state="hidden" name="GOAL" sheetId="10" r:id="rId12"/>
    <sheet state="hidden" name="MILESTONES" sheetId="11" r:id="rId13"/>
    <sheet state="hidden" name="TIMELINE" sheetId="12" r:id="rId14"/>
    <sheet state="hidden" name="Net Worth" sheetId="13" r:id="rId15"/>
    <sheet state="hidden" name=" BUDGET 2019-Archive" sheetId="14" r:id="rId16"/>
    <sheet state="hidden" name="Debt - v2" sheetId="15" r:id="rId17"/>
    <sheet state="hidden" name="DEBT(Archive)" sheetId="16" r:id="rId18"/>
    <sheet state="hidden" name="Portfolio_MoM" sheetId="17" r:id="rId19"/>
    <sheet state="hidden" name="Copy of ASSETS" sheetId="18" r:id="rId20"/>
    <sheet state="hidden" name="WORKSHEET" sheetId="19" r:id="rId21"/>
    <sheet state="visible" name="SUBSCRIPTIONS" sheetId="20" r:id="rId22"/>
    <sheet state="visible" name="TRACKING" sheetId="21" r:id="rId23"/>
    <sheet state="visible" name="FUTURE_HOLDINGS" sheetId="22" r:id="rId24"/>
    <sheet state="hidden" name="MOONSHOT BUDGET" sheetId="23" r:id="rId25"/>
    <sheet state="hidden" name="BUDGET-BONUS" sheetId="24" r:id="rId26"/>
    <sheet state="hidden" name="Worksheet - Bach Trip" sheetId="25" r:id="rId27"/>
    <sheet state="hidden" name="NET-WORTH" sheetId="26" r:id="rId28"/>
    <sheet state="hidden" name="PLANNER" sheetId="27" r:id="rId29"/>
    <sheet state="hidden" name="Portfolio" sheetId="28" r:id="rId30"/>
    <sheet state="hidden" name="Pro-Forma (2022)" sheetId="29" r:id="rId31"/>
    <sheet state="hidden" name="Balances" sheetId="30" r:id="rId32"/>
    <sheet state="hidden" name="FOCUSED TMI" sheetId="31" r:id="rId33"/>
    <sheet state="hidden" name="TMI" sheetId="32" r:id="rId34"/>
    <sheet state="hidden" name="MOONSHOT TMI (ARCHIVE)" sheetId="33" r:id="rId35"/>
    <sheet state="hidden" name="1 YR TMI" sheetId="34" r:id="rId36"/>
    <sheet state="hidden" name="2 YR TMI" sheetId="35" r:id="rId37"/>
    <sheet state="hidden" name="5 YR Moonshot" sheetId="36" r:id="rId38"/>
    <sheet state="hidden" name="DEBT Scenario (Prosper)" sheetId="37" r:id="rId39"/>
    <sheet state="hidden" name="WISHLIST" sheetId="38" r:id="rId40"/>
    <sheet state="hidden" name="GOALS" sheetId="39" r:id="rId41"/>
    <sheet state="hidden" name="LLC" sheetId="40" r:id="rId42"/>
    <sheet state="hidden" name="Moving to SF" sheetId="41" r:id="rId43"/>
    <sheet state="hidden" name="FREELANCE" sheetId="42" r:id="rId44"/>
    <sheet state="hidden" name="BUDGET 2018 (Archive)" sheetId="43" r:id="rId45"/>
    <sheet state="hidden" name="STRATEGY (Archive)" sheetId="44" r:id="rId46"/>
    <sheet state="hidden" name="Copy of By Asset Class" sheetId="45" r:id="rId47"/>
    <sheet state="hidden" name="Copy of Holdings" sheetId="46" r:id="rId48"/>
    <sheet state="hidden" name="Copy of Stocks" sheetId="47" r:id="rId49"/>
    <sheet state="hidden" name="Travel Expenses - Tulum" sheetId="48" r:id="rId50"/>
    <sheet state="hidden" name="Copy of Balances" sheetId="49" r:id="rId51"/>
    <sheet state="hidden" name="Copy of Savings" sheetId="50" r:id="rId52"/>
    <sheet state="hidden" name="Copy of By Asset Class 1" sheetId="51" r:id="rId53"/>
    <sheet state="hidden" name="Copy of Holdings 1" sheetId="52" r:id="rId54"/>
    <sheet state="hidden" name="Copy of Net Worth Snapshot" sheetId="53" r:id="rId55"/>
  </sheets>
  <definedNames>
    <definedName localSheetId="45" name="NewHoldingValue">#REF!</definedName>
    <definedName localSheetId="45" name="NewPortfolioPercent">#REF!</definedName>
    <definedName localSheetId="45" name="PortfolioPercent">'Copy of Holdings'!$I$3:$I$20</definedName>
    <definedName localSheetId="51" name="HoldingValue">'Copy of Holdings 1'!$H$3:$H$20</definedName>
    <definedName localSheetId="51" name="TotalValue">'Copy of Holdings 1'!$H$21</definedName>
    <definedName localSheetId="46" name="StocksValue">'Copy of Stocks'!$H$5:$H$12</definedName>
    <definedName localSheetId="51" name="NewHoldingValue">#REF!</definedName>
    <definedName localSheetId="45" name="TotalValue">'Copy of Holdings'!$H$21</definedName>
    <definedName localSheetId="46" name="TotalStockValue">'Copy of Stocks'!$H$13</definedName>
    <definedName localSheetId="51" name="NewPortfolioPercent">#REF!</definedName>
    <definedName localSheetId="45" name="NewTotalValue">#REF!</definedName>
    <definedName localSheetId="51" name="NewTotalValue">#REF!</definedName>
    <definedName localSheetId="51" name="PortfolioPercent">'Copy of Holdings 1'!$I$3:$I$20</definedName>
    <definedName localSheetId="45" name="HoldingValue">'Copy of Holdings'!$H$3:$H$20</definedName>
    <definedName hidden="1" localSheetId="6" name="_xlnm._FilterDatabase">HOLDINGS!$A$2:$L$34</definedName>
    <definedName hidden="1" localSheetId="7" name="_xlnm._FilterDatabase">'Copy of HOLDINGS'!$A$2:$Z$107</definedName>
    <definedName hidden="1" localSheetId="17" name="_xlnm._FilterDatabase">'Copy of ASSETS'!$A$1:$AD$108</definedName>
    <definedName hidden="1" localSheetId="21" name="_xlnm._FilterDatabase">FUTURE_HOLDINGS!$A$2:$AA$38</definedName>
    <definedName hidden="1" localSheetId="28" name="_xlnm._FilterDatabase">'Pro-Forma (2022)'!$A$2:$Z$109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**Need to get Wgmi DAO on a payment plan for $50k loan from 1kx
	-Matt Wright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A4">
      <text>
        <t xml:space="preserve">- Renegotiate Salary to $250k annual 
- Carry on accelerator for Matt, Yalor 
- MD, DAO Lab 
- Support on getting ConsenSys to anchor LP into fund</t>
      </text>
    </comment>
    <comment authorId="0" ref="BF4">
      <text>
        <t xml:space="preserve">$280k salary all-in [done]
$250k ConsenSys
$50k EVM Fund
$20k Wgmi DAO, Consult</t>
      </text>
    </comment>
    <comment authorId="0" ref="CC4">
      <text>
        <t xml:space="preserve">Increase salary</t>
      </text>
    </comment>
    <comment authorId="0" ref="CO4">
      <text>
        <t xml:space="preserve">Increase salary</t>
      </text>
    </comment>
    <comment authorId="0" ref="CY4">
      <text>
        <t xml:space="preserve">Increase EVM salary based on closing accelerator proposal </t>
      </text>
    </comment>
    <comment authorId="0" ref="CZ4">
      <text>
        <t xml:space="preserve">Increase EVM salary based on closing accelerator proposal </t>
      </text>
    </comment>
    <comment authorId="0" ref="D5">
      <text>
        <t xml:space="preserve">Tax Return
</t>
      </text>
    </comment>
    <comment authorId="0" ref="F5">
      <text>
        <t xml:space="preserve">Jean - $3,000</t>
      </text>
    </comment>
    <comment authorId="0" ref="J5">
      <text>
        <t xml:space="preserve">Loan</t>
      </text>
    </comment>
    <comment authorId="0" ref="N5">
      <text>
        <t xml:space="preserve">Jean Repayment 1/4
$500 (Dec 19)</t>
      </text>
    </comment>
    <comment authorId="0" ref="P5">
      <text>
        <t xml:space="preserve">EOY Bonus</t>
      </text>
    </comment>
    <comment authorId="0" ref="X5">
      <text>
        <t xml:space="preserve">Need to hustle to pay credit cards
$3,500 gap</t>
      </text>
    </comment>
    <comment authorId="0" ref="BE5">
      <text>
        <t xml:space="preserve">ConsenSys Bonus - $50k?</t>
      </text>
    </comment>
    <comment authorId="0" ref="Q7">
      <text>
        <t xml:space="preserve">DoceLabs Profit</t>
      </text>
    </comment>
    <comment authorId="0" ref="R7">
      <text>
        <t xml:space="preserve">DoceLabs Profit</t>
      </text>
    </comment>
    <comment authorId="0" ref="S7">
      <text>
        <t xml:space="preserve">DoceLabs Profit</t>
      </text>
    </comment>
    <comment authorId="0" ref="T7">
      <text>
        <t xml:space="preserve">Side Hustle Profit</t>
      </text>
    </comment>
    <comment authorId="0" ref="U7">
      <text>
        <t xml:space="preserve">Side Hustle Profit</t>
      </text>
    </comment>
    <comment authorId="0" ref="V7">
      <text>
        <t xml:space="preserve">Side Hustle Profit</t>
      </text>
    </comment>
    <comment authorId="0" ref="W7">
      <text>
        <t xml:space="preserve">Side Hustle Profit</t>
      </text>
    </comment>
    <comment authorId="0" ref="Y7">
      <text>
        <t xml:space="preserve">Side Hustle Profit</t>
      </text>
    </comment>
    <comment authorId="0" ref="BF7">
      <text>
        <t xml:space="preserve">Bonus $50k @ 40% tax? ConsenSys </t>
      </text>
    </comment>
    <comment authorId="0" ref="O8">
      <text>
        <t xml:space="preserve">Jean repayment 2/4</t>
      </text>
    </comment>
    <comment authorId="0" ref="P8">
      <text>
        <t xml:space="preserve">Tax Return</t>
      </text>
    </comment>
    <comment authorId="0" ref="Q8">
      <text>
        <t xml:space="preserve">Withdraw Wealthfront</t>
      </text>
    </comment>
    <comment authorId="0" ref="R8">
      <text>
        <t xml:space="preserve">Flight refund
Jean Repayment - 3/5</t>
      </text>
    </comment>
    <comment authorId="0" ref="S8">
      <text>
        <t xml:space="preserve">Refund from flights
Pops to fico</t>
      </text>
    </comment>
    <comment authorId="0" ref="T8">
      <text>
        <t xml:space="preserve">$1,500 to be paid
Jean Repayment 5/5
Jean Repayment 4/5</t>
      </text>
    </comment>
    <comment authorId="0" ref="Y8">
      <text>
        <t xml:space="preserve">Potentially:
$13,464 post-tax
(or)
$7,000 post-tax</t>
      </text>
    </comment>
    <comment authorId="0" ref="AA8">
      <text>
        <t xml:space="preserve">Mario to pay: 
$10,000 
+
$10K to Will</t>
      </text>
    </comment>
    <comment authorId="0" ref="AC8">
      <text>
        <t xml:space="preserve">Tax Return</t>
      </text>
    </comment>
    <comment authorId="0" ref="AE8">
      <text>
        <t xml:space="preserve">$245 Mantis</t>
      </text>
    </comment>
    <comment authorId="0" ref="AG8">
      <text>
        <t xml:space="preserve">Furniture ($1200), Airdrop, Sec Deposit
=sum(1500,4000,1200)</t>
      </text>
    </comment>
    <comment authorId="0" ref="AK8">
      <text>
        <t xml:space="preserve">Reimbursement from DoceFund
+ ConsenSys referral %
+ ConsenSys reimbursement</t>
      </text>
    </comment>
    <comment authorId="0" ref="AP8">
      <text>
        <t xml:space="preserve">Tax Return</t>
      </text>
    </comment>
    <comment authorId="0" ref="AT8">
      <text>
        <t xml:space="preserve">Reimbursement Permissionless, DAO Palace</t>
      </text>
    </comment>
    <comment authorId="0" ref="AY8">
      <text>
        <t xml:space="preserve">Consulting on Community
Reimbursement from ConsenSys</t>
      </text>
    </comment>
    <comment authorId="0" ref="AZ8">
      <text>
        <t xml:space="preserve">Tax Return</t>
      </text>
    </comment>
    <comment authorId="0" ref="BA8">
      <text>
        <t xml:space="preserve">Personal Loan</t>
      </text>
    </comment>
    <comment authorId="0" ref="BC8">
      <text>
        <t xml:space="preserve">Reimbursement CSI from Tokyo</t>
      </text>
    </comment>
    <comment authorId="0" ref="BD8">
      <text>
        <t xml:space="preserve">Reimbursement Bachelor - $3500</t>
      </text>
    </comment>
    <comment authorId="0" ref="BF8">
      <text>
        <t xml:space="preserve">Consensys reimbursement</t>
      </text>
    </comment>
    <comment authorId="0" ref="BG8">
      <text>
        <t xml:space="preserve">$2k reimbursements from CSI
$5000 tax readjustment
----
EVM Fund Payout [TBD]
$100-300k founder EVM [TBD]</t>
      </text>
    </comment>
    <comment authorId="0" ref="BH8">
      <text>
        <t xml:space="preserve">$30k - Tax Return post-dated
$1,000 - Singapore refund
$10k - EVM Fund</t>
      </text>
    </comment>
    <comment authorId="0" ref="BJ8">
      <text>
        <t xml:space="preserve">Tax return</t>
      </text>
    </comment>
    <comment authorId="0" ref="BL8">
      <text>
        <t xml:space="preserve">EVM founder reimbursement 
(~Dec 15th - Dec 20th)</t>
      </text>
    </comment>
    <comment authorId="0" ref="BN8">
      <text>
        <t xml:space="preserve">$25k from EVM
</t>
      </text>
    </comment>
    <comment authorId="0" ref="BO8">
      <text>
        <t xml:space="preserve">Tax return $25k</t>
      </text>
    </comment>
    <comment authorId="0" ref="BP8">
      <text>
        <t xml:space="preserve">- $11k tax 
- $150k from EVM</t>
      </text>
    </comment>
    <comment authorId="0" ref="BR8">
      <text>
        <t xml:space="preserve">From EVM $50k</t>
      </text>
    </comment>
    <comment authorId="0" ref="BS8">
      <text>
        <t xml:space="preserve">Ludlow deposit 
EVM - $6k </t>
      </text>
    </comment>
    <comment authorId="0" ref="BW8">
      <text>
        <t xml:space="preserve">EVM Reimbursement</t>
      </text>
    </comment>
    <comment authorId="0" ref="BY8">
      <text>
        <t xml:space="preserve">EVM Refund</t>
      </text>
    </comment>
    <comment authorId="0" ref="BZ8">
      <text>
        <t xml:space="preserve">EVM refund</t>
      </text>
    </comment>
    <comment authorId="0" ref="CA8">
      <text>
        <t xml:space="preserve">EVM Refund</t>
      </text>
    </comment>
    <comment authorId="0" ref="CB8">
      <text>
        <t xml:space="preserve">EVM full payout
IRS Refund past and current
</t>
      </text>
    </comment>
    <comment authorId="0" ref="CD8">
      <text>
        <t xml:space="preserve">Liquidity event - Gaia</t>
      </text>
    </comment>
    <comment authorId="0" ref="CL8">
      <text>
        <t xml:space="preserve">EVM Refund</t>
      </text>
    </comment>
    <comment authorId="0" ref="CM8">
      <text>
        <t xml:space="preserve">EVM refund</t>
      </text>
    </comment>
    <comment authorId="0" ref="CN8">
      <text>
        <t xml:space="preserve">IRS Refund past and current
EVM Refund</t>
      </text>
    </comment>
    <comment authorId="0" ref="CO8">
      <text>
        <t xml:space="preserve">EVM full payout</t>
      </text>
    </comment>
    <comment authorId="0" ref="T17">
      <text>
        <t xml:space="preserve">Last Rent for Oakland</t>
      </text>
    </comment>
    <comment authorId="0" ref="U17">
      <text>
        <t xml:space="preserve">Makespace
</t>
      </text>
    </comment>
    <comment authorId="0" ref="V17">
      <text>
        <t xml:space="preserve">Makespace
Rent at Joey's
</t>
      </text>
    </comment>
    <comment authorId="0" ref="W17">
      <text>
        <t xml:space="preserve">Makespace
Rent at Joey's
</t>
      </text>
    </comment>
    <comment authorId="0" ref="X17">
      <text>
        <t xml:space="preserve">Joey 2 week rent 
Rent for Oct - Corinth</t>
      </text>
    </comment>
    <comment authorId="0" ref="Z17">
      <text>
        <t xml:space="preserve">$400 off rent</t>
      </text>
    </comment>
    <comment authorId="0" ref="Z18">
      <text>
        <t xml:space="preserve">Gas
Water &amp; Electric</t>
      </text>
    </comment>
    <comment authorId="0" ref="R20">
      <text>
        <t xml:space="preserve">April 06 - $195</t>
      </text>
    </comment>
    <comment authorId="0" ref="Z21">
      <text>
        <t xml:space="preserve">Nancy Pays: 
$130.09</t>
      </text>
    </comment>
    <comment authorId="0" ref="AA21">
      <text>
        <t xml:space="preserve">Nancy Pays: 
$130.09</t>
      </text>
    </comment>
    <comment authorId="0" ref="AB21">
      <text>
        <t xml:space="preserve">Nancy Pays: 
$130.09</t>
      </text>
    </comment>
    <comment authorId="0" ref="AC21">
      <text>
        <t xml:space="preserve">Nancy Pays: 
$130.09</t>
      </text>
    </comment>
    <comment authorId="0" ref="AD21">
      <text>
        <t xml:space="preserve">Nancy Pays: 
$130.09</t>
      </text>
    </comment>
    <comment authorId="0" ref="AE21">
      <text>
        <t xml:space="preserve">Nancy Pays: 
$130.09</t>
      </text>
    </comment>
    <comment authorId="0" ref="AF21">
      <text>
        <t xml:space="preserve">Nancy Pays: 
$130.09</t>
      </text>
    </comment>
    <comment authorId="0" ref="AG21">
      <text>
        <t xml:space="preserve">Nancy Pays: 
$130.09</t>
      </text>
    </comment>
    <comment authorId="0" ref="AH21">
      <text>
        <t xml:space="preserve">Nancy Pays: 
$130.09</t>
      </text>
    </comment>
    <comment authorId="0" ref="AI21">
      <text>
        <t xml:space="preserve">Nancy Pays: 
$130.09</t>
      </text>
    </comment>
    <comment authorId="0" ref="AJ21">
      <text>
        <t xml:space="preserve">Nancy Pays: 
$130.09</t>
      </text>
    </comment>
    <comment authorId="0" ref="AK21">
      <text>
        <t xml:space="preserve">$300 - bill to EVM Fund</t>
      </text>
    </comment>
    <comment authorId="0" ref="AL21">
      <text>
        <t xml:space="preserve">$300 - bill to EVM Fund</t>
      </text>
    </comment>
    <comment authorId="0" ref="AM21">
      <text>
        <t xml:space="preserve">$300 - bill to EVM Fund</t>
      </text>
    </comment>
    <comment authorId="0" ref="AN21">
      <text>
        <t xml:space="preserve">$300 - bill to EVM Fund</t>
      </text>
    </comment>
    <comment authorId="0" ref="AO21">
      <text>
        <t xml:space="preserve">$300 - bill to EVM Fund</t>
      </text>
    </comment>
    <comment authorId="0" ref="AP21">
      <text>
        <t xml:space="preserve">$300 - bill to EVM Fund</t>
      </text>
    </comment>
    <comment authorId="0" ref="AQ21">
      <text>
        <t xml:space="preserve">$300 - bill to EVM Fund</t>
      </text>
    </comment>
    <comment authorId="0" ref="AR21">
      <text>
        <t xml:space="preserve">$300 - bill to EVM Fund</t>
      </text>
    </comment>
    <comment authorId="0" ref="AS21">
      <text>
        <t xml:space="preserve">$300 - bill to EVM Fund</t>
      </text>
    </comment>
    <comment authorId="0" ref="AT21">
      <text>
        <t xml:space="preserve">$300 - bill to EVM Fund</t>
      </text>
    </comment>
    <comment authorId="0" ref="AU21">
      <text>
        <t xml:space="preserve">$300 - bill to EVM Fund</t>
      </text>
    </comment>
    <comment authorId="0" ref="AV21">
      <text>
        <t xml:space="preserve">$300 - bill to EVM Fund</t>
      </text>
    </comment>
    <comment authorId="0" ref="S22">
      <text>
        <t xml:space="preserve">$350 - Car
$100 - Insurance
$100 - Parking 
$50 - Gas
-&gt; Down Payment: $5,000</t>
      </text>
    </comment>
    <comment authorId="0" ref="T22">
      <text>
        <t xml:space="preserve">Speeding ticket lawyer</t>
      </text>
    </comment>
    <comment authorId="0" ref="U22">
      <text>
        <t xml:space="preserve">$350 - Car
$100 - Insurance
$100 - Parking 
$50 - Gas
-&gt; Down Payment: $5,000</t>
      </text>
    </comment>
    <comment authorId="0" ref="V22">
      <text>
        <t xml:space="preserve">$400 - Car
$100 - Insurance
$50 - Gas</t>
      </text>
    </comment>
    <comment authorId="0" ref="W22">
      <text>
        <t xml:space="preserve">$300 - Car
$30 - Insurance
$75 - Gas</t>
      </text>
    </comment>
    <comment authorId="0" ref="X22">
      <text>
        <t xml:space="preserve">$300 - Car
$180 - Insurance
$150 - Gas</t>
      </text>
    </comment>
    <comment authorId="0" ref="Y22">
      <text>
        <t xml:space="preserve">$300 - Car
$180 - Insurance
$100 - Gas</t>
      </text>
    </comment>
    <comment authorId="0" ref="AI22">
      <text>
        <t xml:space="preserve">Registration</t>
      </text>
    </comment>
    <comment authorId="0" ref="I23">
      <text>
        <t xml:space="preserve">Bart = $8 daily x 4 days 
Lyft = $20 on weekends </t>
      </text>
    </comment>
    <comment authorId="0" ref="J23">
      <text>
        <t xml:space="preserve">M- $0
T- $0
W- $0
Th- $20
Fr- $35
Sat- $45
Sun- $50</t>
      </text>
    </comment>
    <comment authorId="0" ref="I24">
      <text>
        <t xml:space="preserve">Bart = $8 daily x 4 days 
Lyft = $20 on weekends </t>
      </text>
    </comment>
    <comment authorId="0" ref="J27">
      <text>
        <t xml:space="preserve">M- $15
T- $15
W- $15
Th- $40
Fr- $40</t>
      </text>
    </comment>
    <comment authorId="0" ref="J28">
      <text>
        <t xml:space="preserve">Sat- $100
Sun- $100</t>
      </text>
    </comment>
    <comment authorId="0" ref="N29">
      <text>
        <t xml:space="preserve">Ballet for 2 year anniversary</t>
      </text>
    </comment>
    <comment authorId="0" ref="O29">
      <text>
        <t xml:space="preserve">Coachella Tickets</t>
      </text>
    </comment>
    <comment authorId="0" ref="BQ29">
      <text>
        <t xml:space="preserve">Paid back to Niraj bottle service</t>
      </text>
    </comment>
    <comment authorId="0" ref="C30">
      <text>
        <t xml:space="preserve">• Spotify - $10</t>
      </text>
    </comment>
    <comment authorId="0" ref="D30">
      <text>
        <t xml:space="preserve">• Spotify - $10</t>
      </text>
    </comment>
    <comment authorId="0" ref="E30">
      <text>
        <t xml:space="preserve">• Spotify - $10</t>
      </text>
    </comment>
    <comment authorId="0" ref="F30">
      <text>
        <t xml:space="preserve">• Spotify - $10</t>
      </text>
    </comment>
    <comment authorId="0" ref="G30">
      <text>
        <t xml:space="preserve">• Spotify - $10
• Dollar Shave Club
• Adobe Cloud</t>
      </text>
    </comment>
    <comment authorId="0" ref="J30">
      <text>
        <t xml:space="preserve">Spotify 
Linkedin 
Dollar Shave</t>
      </text>
    </comment>
    <comment authorId="0" ref="Q30">
      <text>
        <t xml:space="preserve">1Password - $36.98 annual
--&gt; Move to DoceLabs</t>
      </text>
    </comment>
    <comment authorId="0" ref="S30">
      <text>
        <t xml:space="preserve">Linkedin - $60
Experian - $20
Prime - $13
Spotify - $10</t>
      </text>
    </comment>
    <comment authorId="0" ref="T30">
      <text>
        <t xml:space="preserve">Linkedin - $60
Experian - $20
Prime - $13
Spotify - $10</t>
      </text>
    </comment>
    <comment authorId="0" ref="U30">
      <text>
        <t xml:space="preserve">Linkedin - $60
Experian - $20
Prime - $13
Spotify - $10</t>
      </text>
    </comment>
    <comment authorId="0" ref="V30">
      <text>
        <t xml:space="preserve">Linkedin - $60
Experian - $20
Prime - $13
Spotify - $10
Ny Times - $4
Zoom - $14.99
Microsoft - $19.99</t>
      </text>
    </comment>
    <comment authorId="0" ref="W30">
      <text>
        <t xml:space="preserve">Linkedin - $60
Experian - $20
Prime - $13
Spotify - $10
Ny Times - $4
Zoom - $14.99
Microsoft - $69.99</t>
      </text>
    </comment>
    <comment authorId="0" ref="X30">
      <text>
        <t xml:space="preserve">Linkedin - $60
Experian - $20
Prime - $13
Spotify - $10
Ny Times - $4
Zoom - $14.99
Microsoft - $0</t>
      </text>
    </comment>
    <comment authorId="0" ref="Y30">
      <text>
        <t xml:space="preserve">Linkedin - $60
Experian - $20
Prime - $13
Spotify - $10
Ny Times - $4
Zoom - $14.99
Microsoft - $0</t>
      </text>
    </comment>
    <comment authorId="0" ref="Z30">
      <text>
        <t xml:space="preserve">Linkedin - $60
Prime - $13
Spotify - $10
Ny Times - $4
Zoom - $14.99</t>
      </text>
    </comment>
    <comment authorId="0" ref="C31">
      <text>
        <t xml:space="preserve">Coachella Tickets + Airbnb
$500 - Nancy</t>
      </text>
    </comment>
    <comment authorId="0" ref="D31">
      <text>
        <t xml:space="preserve">• Coachella Tickets + Airbnb
• New York Airbnb
$1,000 - Nancy</t>
      </text>
    </comment>
    <comment authorId="0" ref="J31">
      <text>
        <t xml:space="preserve">Nancy's Bday Expenses</t>
      </text>
    </comment>
    <comment authorId="0" ref="K31">
      <text>
        <t xml:space="preserve">Japan Trip in October</t>
      </text>
    </comment>
    <comment authorId="0" ref="M31">
      <text>
        <t xml:space="preserve">Travel home for holidays</t>
      </text>
    </comment>
    <comment authorId="0" ref="N31">
      <text>
        <t xml:space="preserve">Travel home for holidays</t>
      </text>
    </comment>
    <comment authorId="0" ref="P31">
      <text>
        <t xml:space="preserve">Tickets to Colorado
Vegas for Nolan</t>
      </text>
    </comment>
    <comment authorId="0" ref="Q31">
      <text>
        <t xml:space="preserve">Las Vegas</t>
      </text>
    </comment>
    <comment authorId="0" ref="T31">
      <text>
        <t xml:space="preserve">Rental Car - Back home
J Tree
J Tree Rental Car
Justin's BDay</t>
      </text>
    </comment>
    <comment authorId="0" ref="U31">
      <text>
        <t xml:space="preserve">Jenny's Wedding 
- Car Insurance)
Car Rental</t>
      </text>
    </comment>
    <comment authorId="0" ref="V31">
      <text>
        <t xml:space="preserve">Nancy Bday ($300)
Bday food ($600)
Present ($240)</t>
      </text>
    </comment>
    <comment authorId="0" ref="X31">
      <text>
        <t xml:space="preserve">Mateo's Bday</t>
      </text>
    </comment>
    <comment authorId="0" ref="AB31">
      <text>
        <t xml:space="preserve">Vegas Todd</t>
      </text>
    </comment>
    <comment authorId="0" ref="AC31">
      <text>
        <t xml:space="preserve">Todd &amp; Julie's Wedding
- $700 hotel
- $500 flight
Car rental</t>
      </text>
    </comment>
    <comment authorId="0" ref="AZ31">
      <text>
        <t xml:space="preserve">Vermont: 
- $650 - snowgear 
- $375 - travel 
- $300 - f&amp;b</t>
      </text>
    </comment>
    <comment authorId="0" ref="BC31">
      <text>
        <t xml:space="preserve">Mo and Mason come to NY</t>
      </text>
    </comment>
    <comment authorId="0" ref="BD31">
      <text>
        <t xml:space="preserve">Harrison bachelor party
Europe Vacation</t>
      </text>
    </comment>
    <comment authorId="0" ref="BF31">
      <text>
        <t xml:space="preserve">Rental car - $300-400 total
Request 50% from Nancy</t>
      </text>
    </comment>
    <comment authorId="0" ref="BL31">
      <text>
        <t xml:space="preserve">Proposal trip - St. Mortiz</t>
      </text>
    </comment>
    <comment authorId="0" ref="BQ31">
      <text>
        <t xml:space="preserve">Europe travel
Todd trip - September</t>
      </text>
    </comment>
    <comment authorId="0" ref="BS31">
      <text>
        <t xml:space="preserve">Engagement party
Nancy bday
Book Brazil travel
Sao Paulo wedding gift, boat</t>
      </text>
    </comment>
    <comment authorId="0" ref="BT31">
      <text>
        <t xml:space="preserve">Brazil per diem</t>
      </text>
    </comment>
    <comment authorId="0" ref="BW31">
      <text>
        <t xml:space="preserve">Travel to OC</t>
      </text>
    </comment>
    <comment authorId="0" ref="BY31">
      <text>
        <t xml:space="preserve">Nancy - Korea business class</t>
      </text>
    </comment>
    <comment authorId="0" ref="CD31">
      <text>
        <t xml:space="preserve">Europe travel</t>
      </text>
    </comment>
    <comment authorId="0" ref="CL31">
      <text>
        <t xml:space="preserve">Nancy - Korea business class</t>
      </text>
    </comment>
    <comment authorId="0" ref="CQ31">
      <text>
        <t xml:space="preserve">Europe travel</t>
      </text>
    </comment>
    <comment authorId="0" ref="J32">
      <text>
        <t xml:space="preserve">Task Rabbit - TV
(or) White Board</t>
      </text>
    </comment>
    <comment authorId="0" ref="M32">
      <text>
        <t xml:space="preserve">Task Rabbit</t>
      </text>
    </comment>
    <comment authorId="0" ref="P32">
      <text>
        <t xml:space="preserve">Patio Set</t>
      </text>
    </comment>
    <comment authorId="0" ref="Q32">
      <text>
        <t xml:space="preserve">Plants
Ikea Home Office
Standing Desk</t>
      </text>
    </comment>
    <comment authorId="0" ref="Z32">
      <text>
        <t xml:space="preserve">Office chairs, curtains, bedding, xmas tree</t>
      </text>
    </comment>
    <comment authorId="0" ref="BG32">
      <text>
        <t xml:space="preserve">Nancy - $500 bday ring</t>
      </text>
    </comment>
    <comment authorId="0" ref="BS32">
      <text>
        <t xml:space="preserve">Moving company
Furniture 
Taskrabbit 
Misc</t>
      </text>
    </comment>
    <comment authorId="0" ref="BT32">
      <text>
        <t xml:space="preserve">Couch</t>
      </text>
    </comment>
    <comment authorId="0" ref="BO34">
      <text>
        <t xml:space="preserve">Shopping in Sg</t>
      </text>
    </comment>
    <comment authorId="0" ref="BP34">
      <text>
        <t xml:space="preserve">Suit for Luis' wedding
Europe outfits</t>
      </text>
    </comment>
    <comment authorId="0" ref="BS34">
      <text>
        <t xml:space="preserve">Marcos Suit
Launch party suit</t>
      </text>
    </comment>
    <comment authorId="0" ref="BD35">
      <text>
        <t xml:space="preserve">Dentist if you recoup EVM investment
$2k budget</t>
      </text>
    </comment>
    <comment authorId="0" ref="AK36">
      <text>
        <t xml:space="preserve">Paid to SF doctor (need to reimburse)</t>
      </text>
    </comment>
    <comment authorId="0" ref="J37">
      <text>
        <t xml:space="preserve">Haricut - $40
Products - $20
Drycleaning -$20
Headshot - $350</t>
      </text>
    </comment>
    <comment authorId="0" ref="K37">
      <text>
        <t xml:space="preserve">Haricut - $25
Drycleaning - $25
</t>
      </text>
    </comment>
    <comment authorId="0" ref="L37">
      <text>
        <t xml:space="preserve">Haricut - $40
Products - $25
Drycleaning -$20
</t>
      </text>
    </comment>
    <comment authorId="0" ref="M37">
      <text>
        <t xml:space="preserve">Haricut - $40
Products - $25
Drycleaning -$20
</t>
      </text>
    </comment>
    <comment authorId="0" ref="N37">
      <text>
        <t xml:space="preserve">Haricuts - $50
Products - $25
Drycleaning -$20
</t>
      </text>
    </comment>
    <comment authorId="0" ref="BU37">
      <text>
        <t xml:space="preserve">Therapist - $300 per session 
Chiro - $300</t>
      </text>
    </comment>
    <comment authorId="0" ref="BV37">
      <text>
        <t xml:space="preserve">Therapist - $300 per session 
Chiro - $300</t>
      </text>
    </comment>
    <comment authorId="0" ref="BW37">
      <text>
        <t xml:space="preserve">Therapist - $400 per session 
Chiro - $300</t>
      </text>
    </comment>
    <comment authorId="0" ref="BY37">
      <text>
        <t xml:space="preserve">Therapist - $400 per session 2x /mo
Chiro - $300
Psychiatrist - $1000, $1700</t>
      </text>
    </comment>
    <comment authorId="0" ref="BZ37">
      <text>
        <t xml:space="preserve">Therapist - $400 per session 2x /mo
Chiro - $300</t>
      </text>
    </comment>
    <comment authorId="0" ref="CA37">
      <text>
        <t xml:space="preserve">Therapist - $400 per session 2x /mo
Chiro - $300</t>
      </text>
    </comment>
    <comment authorId="0" ref="CB37">
      <text>
        <t xml:space="preserve">Therapist - $400 per session 2x /mo
Chiro - $300</t>
      </text>
    </comment>
    <comment authorId="0" ref="CC37">
      <text>
        <t xml:space="preserve">Therapist - $400 per session 2x /mo
Chiro - $300</t>
      </text>
    </comment>
    <comment authorId="0" ref="CD37">
      <text>
        <t xml:space="preserve">Therapist - $400 per session 2x /mo
Chiro - $300</t>
      </text>
    </comment>
    <comment authorId="0" ref="CE37">
      <text>
        <t xml:space="preserve">Therapist - $400 per session 2x /mo
Chiro - $300</t>
      </text>
    </comment>
    <comment authorId="0" ref="CF37">
      <text>
        <t xml:space="preserve">Therapist - $400 per session 2x /mo
Chiro - $300</t>
      </text>
    </comment>
    <comment authorId="0" ref="CG37">
      <text>
        <t xml:space="preserve">Therapist - $400 per session 2x /mo
Chiro - $300</t>
      </text>
    </comment>
    <comment authorId="0" ref="CH37">
      <text>
        <t xml:space="preserve">Therapist - $400 per session 2x /mo
Chiro - $300</t>
      </text>
    </comment>
    <comment authorId="0" ref="CI37">
      <text>
        <t xml:space="preserve">Therapist - $400 per session 2x /mo
Chiro - $300</t>
      </text>
    </comment>
    <comment authorId="0" ref="CJ37">
      <text>
        <t xml:space="preserve">Therapist - $400 per session 2x /mo
Chiro - $300</t>
      </text>
    </comment>
    <comment authorId="0" ref="CL37">
      <text>
        <t xml:space="preserve">Therapist - $400 per session 2x /mo
Chiro - $300</t>
      </text>
    </comment>
    <comment authorId="0" ref="CM37">
      <text>
        <t xml:space="preserve">Therapist - $400 per session 2x /mo
Chiro - $300</t>
      </text>
    </comment>
    <comment authorId="0" ref="CN37">
      <text>
        <t xml:space="preserve">Therapist - $400 per session 2x /mo
Chiro - $300</t>
      </text>
    </comment>
    <comment authorId="0" ref="CO37">
      <text>
        <t xml:space="preserve">Therapist - $400 per session 2x /mo
Chiro - $300</t>
      </text>
    </comment>
    <comment authorId="0" ref="CP37">
      <text>
        <t xml:space="preserve">Therapist - $400 per session 2x /mo
Chiro - $300</t>
      </text>
    </comment>
    <comment authorId="0" ref="CQ37">
      <text>
        <t xml:space="preserve">Therapist - $400 per session 2x /mo
Chiro - $300</t>
      </text>
    </comment>
    <comment authorId="0" ref="CR37">
      <text>
        <t xml:space="preserve">Therapist - $400 per session 2x /mo
Chiro - $300</t>
      </text>
    </comment>
    <comment authorId="0" ref="CS37">
      <text>
        <t xml:space="preserve">Therapist - $400 per session 2x /mo
Chiro - $300</t>
      </text>
    </comment>
    <comment authorId="0" ref="CT37">
      <text>
        <t xml:space="preserve">Therapist - $400 per session 2x /mo
Chiro - $300</t>
      </text>
    </comment>
    <comment authorId="0" ref="CU37">
      <text>
        <t xml:space="preserve">Therapist - $400 per session 2x /mo
Chiro - $300</t>
      </text>
    </comment>
    <comment authorId="0" ref="CV37">
      <text>
        <t xml:space="preserve">Therapist - $400 per session 2x /mo
Chiro - $300</t>
      </text>
    </comment>
    <comment authorId="0" ref="CW37">
      <text>
        <t xml:space="preserve">Therapist - $400 per session 2x /mo
Chiro - $300</t>
      </text>
    </comment>
    <comment authorId="0" ref="S38">
      <text>
        <t xml:space="preserve">$175 - Equinox</t>
      </text>
    </comment>
    <comment authorId="0" ref="T38">
      <text>
        <t xml:space="preserve">$175 - Equinox</t>
      </text>
    </comment>
    <comment authorId="0" ref="U38">
      <text>
        <t xml:space="preserve">$175 - Equinox</t>
      </text>
    </comment>
    <comment authorId="0" ref="V38">
      <text>
        <t xml:space="preserve">$175 - Equinox</t>
      </text>
    </comment>
    <comment authorId="0" ref="W38">
      <text>
        <t xml:space="preserve">$175 - Equinox</t>
      </text>
    </comment>
    <comment authorId="0" ref="X38">
      <text>
        <t xml:space="preserve">$175 - Equinox</t>
      </text>
    </comment>
    <comment authorId="0" ref="Y38">
      <text>
        <t xml:space="preserve">$175 - Equinox</t>
      </text>
    </comment>
    <comment authorId="0" ref="Z38">
      <text>
        <t xml:space="preserve">$175 - Equinox</t>
      </text>
    </comment>
    <comment authorId="0" ref="AA38">
      <text>
        <t xml:space="preserve">$175 - Equinox/boxing</t>
      </text>
    </comment>
    <comment authorId="0" ref="AB38">
      <text>
        <t xml:space="preserve">$175 - Equinox</t>
      </text>
    </comment>
    <comment authorId="0" ref="AC38">
      <text>
        <t xml:space="preserve">$175 - Equinox</t>
      </text>
    </comment>
    <comment authorId="0" ref="AD38">
      <text>
        <t xml:space="preserve">$175 - Equinox</t>
      </text>
    </comment>
    <comment authorId="0" ref="AE38">
      <text>
        <t xml:space="preserve">$175 - Equinox</t>
      </text>
    </comment>
    <comment authorId="0" ref="AF38">
      <text>
        <t xml:space="preserve">$175 - Equinox</t>
      </text>
    </comment>
    <comment authorId="0" ref="AG38">
      <text>
        <t xml:space="preserve">$175 - Equinox</t>
      </text>
    </comment>
    <comment authorId="0" ref="AH38">
      <text>
        <t xml:space="preserve">$175 - Equinox</t>
      </text>
    </comment>
    <comment authorId="0" ref="AI38">
      <text>
        <t xml:space="preserve">$300 - Equinox</t>
      </text>
    </comment>
    <comment authorId="0" ref="AJ38">
      <text>
        <t xml:space="preserve">$175 - Equinox</t>
      </text>
    </comment>
    <comment authorId="0" ref="BG38">
      <text>
        <t xml:space="preserve">$175 membership 
$100 per trainer session *8 per month =$800 /mo</t>
      </text>
    </comment>
    <comment authorId="0" ref="BI38">
      <text>
        <t xml:space="preserve">$175 membership </t>
      </text>
    </comment>
    <comment authorId="0" ref="BJ38">
      <text>
        <t xml:space="preserve">Trainer Dec 1 - Dec 20</t>
      </text>
    </comment>
    <comment authorId="0" ref="R39">
      <text>
        <t xml:space="preserve">treats - $15 </t>
      </text>
    </comment>
    <comment authorId="0" ref="V39">
      <text>
        <t xml:space="preserve">Flea Meds
Shots
Haircut</t>
      </text>
    </comment>
    <comment authorId="0" ref="N40">
      <text>
        <t xml:space="preserve">Gifts</t>
      </text>
    </comment>
    <comment authorId="0" ref="P40">
      <text>
        <t xml:space="preserve">Pay UpWork Tax Filing</t>
      </text>
    </comment>
    <comment authorId="0" ref="Q40">
      <text>
        <t xml:space="preserve">HTL Dissolution -- $450 
(move to Apr)
</t>
      </text>
    </comment>
    <comment authorId="0" ref="R40">
      <text>
        <t xml:space="preserve">HTL Dissolution -- $450 
(move to May)
</t>
      </text>
    </comment>
    <comment authorId="0" ref="S40">
      <text>
        <t xml:space="preserve">Taxes for HTL</t>
      </text>
    </comment>
    <comment authorId="0" ref="T40">
      <text>
        <t xml:space="preserve">HTL 2019 Tax Filing
Dissolution of HTL
</t>
      </text>
    </comment>
    <comment authorId="0" ref="X41">
      <text>
        <t xml:space="preserve">Airpods
iPad</t>
      </text>
    </comment>
    <comment authorId="0" ref="T42">
      <text>
        <t xml:space="preserve">iPad</t>
      </text>
    </comment>
    <comment authorId="0" ref="U42">
      <text>
        <t xml:space="preserve">iPad</t>
      </text>
    </comment>
    <comment authorId="0" ref="X42">
      <text>
        <t xml:space="preserve">Moving OAK to LA</t>
      </text>
    </comment>
    <comment authorId="0" ref="BJ42">
      <text>
        <t xml:space="preserve">Wedding ring</t>
      </text>
    </comment>
    <comment authorId="0" ref="BM42">
      <text>
        <t xml:space="preserve">Fanduel</t>
      </text>
    </comment>
    <comment authorId="0" ref="BN42">
      <text>
        <t xml:space="preserve">Solana</t>
      </text>
    </comment>
    <comment authorId="0" ref="BO42">
      <text>
        <t xml:space="preserve">Marina Bay Sands</t>
      </text>
    </comment>
    <comment authorId="0" ref="BP42">
      <text>
        <t xml:space="preserve">$29000 / 12 moths </t>
      </text>
    </comment>
    <comment authorId="0" ref="BS42">
      <text>
        <t xml:space="preserve">Engagement party</t>
      </text>
    </comment>
    <comment authorId="0" ref="BU42">
      <text>
        <t xml:space="preserve">Bday</t>
      </text>
    </comment>
    <comment authorId="0" ref="BW42">
      <text>
        <t xml:space="preserve">Xmas gifts</t>
      </text>
    </comment>
    <comment authorId="0" ref="CA42">
      <text>
        <t xml:space="preserve">Prenup legal</t>
      </text>
    </comment>
    <comment authorId="0" ref="CB42">
      <text>
        <t xml:space="preserve">Summer vacation</t>
      </text>
    </comment>
    <comment authorId="0" ref="CD42">
      <text>
        <t xml:space="preserve">JLC Watch
Summer vacation</t>
      </text>
    </comment>
    <comment authorId="0" ref="CO42">
      <text>
        <t xml:space="preserve">JLC Watch</t>
      </text>
    </comment>
    <comment authorId="0" ref="J48">
      <text>
        <t xml:space="preserve">Amazon
JCrew
Capital One</t>
      </text>
    </comment>
    <comment authorId="0" ref="AA48">
      <text>
        <t xml:space="preserve">When Mario sends $20k -&gt; 
$5k to credit card debt</t>
      </text>
    </comment>
    <comment authorId="0" ref="AB48">
      <text>
        <t xml:space="preserve">Increase to 30% if budgeted</t>
      </text>
    </comment>
    <comment authorId="0" ref="BC48">
      <text>
        <t xml:space="preserve">$132k - if Uniquity</t>
      </text>
    </comment>
    <comment authorId="0" ref="BD48">
      <text>
        <t xml:space="preserve">$132k - if Uniquity</t>
      </text>
    </comment>
    <comment authorId="0" ref="BE48">
      <text>
        <t xml:space="preserve">$132k - if Uniquity</t>
      </text>
    </comment>
    <comment authorId="0" ref="BF48">
      <text>
        <t xml:space="preserve">$132k - if Uniquity</t>
      </text>
    </comment>
    <comment authorId="0" ref="BG48">
      <text>
        <t xml:space="preserve">$150k - if Uniquity</t>
      </text>
    </comment>
    <comment authorId="0" ref="BH48">
      <text>
        <t xml:space="preserve">Priority:
- Chase Sapphire, Wells, Cap One</t>
      </text>
    </comment>
    <comment authorId="0" ref="P54">
      <text>
        <t xml:space="preserve">Domains</t>
      </text>
    </comment>
    <comment authorId="0" ref="AB54">
      <text>
        <t xml:space="preserve">Start DoceFund/DoceLabs</t>
      </text>
    </comment>
    <comment authorId="0" ref="AG54">
      <text>
        <t xml:space="preserve">DoceFund Admin
DoceFund Costs</t>
      </text>
    </comment>
    <comment authorId="0" ref="AH54">
      <text>
        <t xml:space="preserve">DoceFund Admin
EVM Fund Startup Costs</t>
      </text>
    </comment>
    <comment authorId="0" ref="AY54">
      <text>
        <t xml:space="preserve">Noime
How can we use her to make 10x more personal income?</t>
      </text>
    </comment>
    <comment authorId="0" ref="AZ54">
      <text>
        <t xml:space="preserve">Noime
How can we use her to make 10x more personal income?</t>
      </text>
    </comment>
    <comment authorId="0" ref="BA54">
      <text>
        <t xml:space="preserve">Payment for EVM thru June 15
Send $500 more for writing support</t>
      </text>
    </comment>
    <comment authorId="0" ref="BD54">
      <text>
        <t xml:space="preserve">Montenegro</t>
      </text>
    </comment>
    <comment authorId="0" ref="BE54">
      <text>
        <t xml:space="preserve">Loan from Upstart to pay Amex</t>
      </text>
    </comment>
    <comment authorId="0" ref="BP54">
      <text>
        <t xml:space="preserve">Wgmi - $5k</t>
      </text>
    </comment>
    <comment authorId="0" ref="BQ54">
      <text>
        <t xml:space="preserve">Mason investment</t>
      </text>
    </comment>
    <comment authorId="0" ref="CD54">
      <text>
        <t xml:space="preserve">Pay angel investments: 
- PADO 
- Noves 
- Relayer
- Epoch 
Greg - $15k </t>
      </text>
    </comment>
    <comment authorId="0" ref="Q55">
      <text>
        <t xml:space="preserve">3MM, Twitter, Work, Pfizer</t>
      </text>
    </comment>
    <comment authorId="0" ref="R55">
      <text>
        <t xml:space="preserve">Zoom</t>
      </text>
    </comment>
    <comment authorId="0" ref="CB55">
      <text>
        <t xml:space="preserve">Vest consensys shares</t>
      </text>
    </comment>
    <comment authorId="0" ref="CL55">
      <text>
        <t xml:space="preserve">Vest CSI shares</t>
      </text>
    </comment>
    <comment authorId="0" ref="J60">
      <text>
        <t xml:space="preserve">#YangGang</t>
      </text>
    </comment>
    <comment authorId="0" ref="Q60">
      <text>
        <t xml:space="preserve">Adopted Koala
Homeless Man</t>
      </text>
    </comment>
    <comment authorId="0" ref="T60">
      <text>
        <t xml:space="preserve">Black Girls Code
Homeless Austinites Post-Riots</t>
      </text>
    </comment>
    <comment authorId="0" ref="AS60">
      <text>
        <t xml:space="preserve">Ken Luster</t>
      </text>
    </comment>
    <comment authorId="0" ref="H61">
      <text>
        <t xml:space="preserve">Pulled ETH from wallet to cover difference</t>
      </text>
    </comment>
    <comment authorId="0" ref="BN31">
      <text>
        <t xml:space="preserve">Book travel to: Porto, Barcelona, Marbella, Sao Paulo, Ubatuba
	-Matt Wright</t>
      </text>
    </comment>
    <comment authorId="0" ref="AX8">
      <text>
        <t xml:space="preserve">- devcon reimbursement wgmi
- art basel reimbursement consensys
	-Matt Wright</t>
      </text>
    </comment>
    <comment authorId="0" ref="AT48">
      <text>
        <t xml:space="preserve">- Freedom CC 
$500 
- Saphire CC
$26,000
- Platinum CC
$4,000 (furniture) 
$3500 (Opal)
**Need to request from Nancy in payments
	-Matt Wright
- Take EVM Fund business expenses and add to capital account and/or reimbursement
	-Matt Wright</t>
      </text>
    </comment>
    <comment authorId="0" ref="AE57">
      <text>
        <t xml:space="preserve">Call Vanguard to switch to Traditional IRA
	-Matt Wright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">
      <text>
        <t xml:space="preserve">Accounting for 1 $10m investment DAO. Can increase in H22024 to 3 investment DAOs under management.</t>
      </text>
    </comment>
    <comment authorId="0" ref="E8">
      <text>
        <t xml:space="preserve">Jpegfund DAO, Maison DAO, Wgmi DAO</t>
      </text>
    </comment>
    <comment authorId="0" ref="A11">
      <text>
        <t xml:space="preserve">Flat assumption/projection. of how much we are spending on interest based on debt we have been carrying with creditors (Union Finance + Credit Cards)</t>
      </text>
    </comment>
    <comment authorId="0" ref="A26">
      <text>
        <t xml:space="preserve">Flat assumption/projection. of how much we are spending on interest based on debt we have been carrying with creditors (Union Finance + Credit Cards)</t>
      </text>
    </comment>
    <comment authorId="0" ref="A28">
      <text>
        <t xml:space="preserve">Flat assumption/projection. of how much we are spending on interest based on debt we have been carrying with creditors (Union Finance + Credit Cards)</t>
      </text>
    </comment>
    <comment authorId="0" ref="A36">
      <text>
        <t xml:space="preserve">Flat assumption/projection. of how much we are spending on interest based on debt we have been carrying with creditors (Union Finance + Credit Cards)</t>
      </text>
    </comment>
    <comment authorId="0" ref="A45">
      <text>
        <t xml:space="preserve">Flat assumption/projection. of how much we are spending on interest based on debt we have been carrying with creditors (Union Finance + Credit Cards)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Subtract: $1500, $1500 (mom) 
NY Trip engagement $1200</t>
      </text>
    </comment>
    <comment authorId="0" ref="D13">
      <text>
        <t xml:space="preserve">23%</t>
      </text>
    </comment>
    <comment authorId="0" ref="D16">
      <text>
        <t xml:space="preserve">26.94%</t>
      </text>
    </comment>
    <comment authorId="0" ref="D17">
      <text>
        <t xml:space="preserve">24.99%</t>
      </text>
    </comment>
    <comment authorId="0" ref="D18">
      <text>
        <t xml:space="preserve">27.74%</t>
      </text>
    </comment>
    <comment authorId="0" ref="D19">
      <text>
        <t xml:space="preserve">27.99</t>
      </text>
    </comment>
    <comment authorId="0" ref="D20">
      <text>
        <t xml:space="preserve">22%</t>
      </text>
    </comment>
    <comment authorId="0" ref="D21">
      <text>
        <t xml:space="preserve">22.65</t>
      </text>
    </comment>
    <comment authorId="0" ref="C23">
      <text>
        <t xml:space="preserve">Paid: 
10/15/2019
4/15/2020 ($300)
5/15/2020 ($300)
6/1/2020 ($300)
11/15/2022 ($1500)</t>
      </text>
    </comment>
    <comment authorId="0" ref="D23">
      <text>
        <t xml:space="preserve">22.65</t>
      </text>
    </comment>
    <comment authorId="0" ref="C24">
      <text>
        <t xml:space="preserve">Paid: 
10/15/2019
11/15/2019
12/15/2019
2/1/2020
2/15/2020
3/15/2020
4/1/2020
5/1/2020
5/15/2020</t>
      </text>
    </comment>
    <comment authorId="0" ref="D24">
      <text>
        <t xml:space="preserve">20.15%</t>
      </text>
    </comment>
    <comment authorId="0" ref="D25">
      <text>
        <t xml:space="preserve">27.2%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6">
      <text>
        <t xml:space="preserve">Vegas, Mexico for Todd
	-Matt Wright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">
      <text>
        <t xml:space="preserve">Jokerace
Venture Club
EVM Systems 
https://docs.google.com/spreadsheets/d/1i2yoWrCpAUC2Fp_Gb2KhMF6xE4uPCpiAOkHb5owgy28/edit#gid=1607319145</t>
      </text>
    </comment>
    <comment authorId="0" ref="F9">
      <text>
        <t xml:space="preserve">All expenses for EVM Fund
All personal AUM going into the fund
**See below
- Invested $6,000 to EVM Fund/ Jpegfund (April 12 for Jpegfund website)</t>
      </text>
    </comment>
    <comment authorId="0" ref="F13">
      <text>
        <t xml:space="preserve">Website - $5000
Initial LP investment - $20000
Incorporation - $500</t>
      </text>
    </comment>
    <comment authorId="0" ref="G36">
      <text>
        <t xml:space="preserve">Goal: 
$1.2M</t>
      </text>
    </comment>
    <comment authorId="0" ref="F39">
      <text>
        <t xml:space="preserve">Initial $3,000</t>
      </text>
    </comment>
    <comment authorId="0" ref="F40">
      <text>
        <t xml:space="preserve">@ 20% APY until 100k</t>
      </text>
    </comment>
    <comment authorId="0" ref="A54">
      <text>
        <t xml:space="preserve">David Wright - $5,000
Mike - $5,000
Mario - $10,000
Shah - $10,000
John - $10,000
Matt - $10,000
	-Matt Wright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7">
      <text>
        <t xml:space="preserve">Invest in: 
- UpWork
- Zoom
- Strinkingly</t>
      </text>
    </comment>
    <comment authorId="0" ref="E76">
      <text>
        <t xml:space="preserve">$30*2</t>
      </text>
    </comment>
    <comment authorId="0" ref="E93">
      <text>
        <t xml:space="preserve">All expenses for EVM Fund
All personal AUM going into the fund
**See below
- Invested $6,000 to EVM Fund/ Jpegfund (April 12 for Jpegfund website)</t>
      </text>
    </comment>
    <comment authorId="0" ref="E99">
      <text>
        <t xml:space="preserve">Website - $5000
Initial LP investment - $20000
Incorporation - $500</t>
      </text>
    </comment>
    <comment authorId="0" ref="F110">
      <text>
        <t xml:space="preserve">Goal: 
$1.2M</t>
      </text>
    </comment>
    <comment authorId="0" ref="E113">
      <text>
        <t xml:space="preserve">Initial $3,000</t>
      </text>
    </comment>
    <comment authorId="0" ref="E114">
      <text>
        <t xml:space="preserve">@ 20% APY until 100k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A4">
      <text>
        <t xml:space="preserve">- Renegotiate Salary to $250k annual 
- Carry on accelerator for Matt, Yalor 
- MD, DAO Lab 
- Support on getting ConsenSys to anchor LP into fund</t>
      </text>
    </comment>
    <comment authorId="0" ref="BF4">
      <text>
        <t xml:space="preserve">$280k salary all-in [done]
$250k ConsenSys
$50k EVM Fund
$20k Wgmi DAO, Consult</t>
      </text>
    </comment>
    <comment authorId="0" ref="D5">
      <text>
        <t xml:space="preserve">Tax Return
</t>
      </text>
    </comment>
    <comment authorId="0" ref="F5">
      <text>
        <t xml:space="preserve">Jean - $3,000</t>
      </text>
    </comment>
    <comment authorId="0" ref="J5">
      <text>
        <t xml:space="preserve">Loan</t>
      </text>
    </comment>
    <comment authorId="0" ref="N5">
      <text>
        <t xml:space="preserve">Jean Repayment 1/4
$500 (Dec 19)</t>
      </text>
    </comment>
    <comment authorId="0" ref="P5">
      <text>
        <t xml:space="preserve">EOY Bonus</t>
      </text>
    </comment>
    <comment authorId="0" ref="X5">
      <text>
        <t xml:space="preserve">Need to hustle to pay credit cards
$3,500 gap</t>
      </text>
    </comment>
    <comment authorId="0" ref="BE5">
      <text>
        <t xml:space="preserve">ConsenSys Bonus - $50k?</t>
      </text>
    </comment>
    <comment authorId="0" ref="Q7">
      <text>
        <t xml:space="preserve">DoceLabs Profit</t>
      </text>
    </comment>
    <comment authorId="0" ref="R7">
      <text>
        <t xml:space="preserve">DoceLabs Profit</t>
      </text>
    </comment>
    <comment authorId="0" ref="S7">
      <text>
        <t xml:space="preserve">DoceLabs Profit</t>
      </text>
    </comment>
    <comment authorId="0" ref="T7">
      <text>
        <t xml:space="preserve">Side Hustle Profit</t>
      </text>
    </comment>
    <comment authorId="0" ref="U7">
      <text>
        <t xml:space="preserve">Side Hustle Profit</t>
      </text>
    </comment>
    <comment authorId="0" ref="V7">
      <text>
        <t xml:space="preserve">Side Hustle Profit</t>
      </text>
    </comment>
    <comment authorId="0" ref="W7">
      <text>
        <t xml:space="preserve">Side Hustle Profit</t>
      </text>
    </comment>
    <comment authorId="0" ref="Y7">
      <text>
        <t xml:space="preserve">Side Hustle Profit</t>
      </text>
    </comment>
    <comment authorId="0" ref="BF7">
      <text>
        <t xml:space="preserve">Bonus $50k @ 40% tax? ConsenSys </t>
      </text>
    </comment>
    <comment authorId="0" ref="O8">
      <text>
        <t xml:space="preserve">Jean repayment 2/4</t>
      </text>
    </comment>
    <comment authorId="0" ref="P8">
      <text>
        <t xml:space="preserve">Tax Return</t>
      </text>
    </comment>
    <comment authorId="0" ref="Q8">
      <text>
        <t xml:space="preserve">Withdraw Wealthfront</t>
      </text>
    </comment>
    <comment authorId="0" ref="R8">
      <text>
        <t xml:space="preserve">Flight refund
Jean Repayment - 3/5</t>
      </text>
    </comment>
    <comment authorId="0" ref="S8">
      <text>
        <t xml:space="preserve">Refund from flights
Pops to fico</t>
      </text>
    </comment>
    <comment authorId="0" ref="T8">
      <text>
        <t xml:space="preserve">$1,500 to be paid
Jean Repayment 5/5
Jean Repayment 4/5</t>
      </text>
    </comment>
    <comment authorId="0" ref="Y8">
      <text>
        <t xml:space="preserve">Potentially:
$13,464 post-tax
(or)
$7,000 post-tax</t>
      </text>
    </comment>
    <comment authorId="0" ref="AA8">
      <text>
        <t xml:space="preserve">Mario to pay: 
$10,000 
+
$10K to Will</t>
      </text>
    </comment>
    <comment authorId="0" ref="AC8">
      <text>
        <t xml:space="preserve">Tax Return</t>
      </text>
    </comment>
    <comment authorId="0" ref="AE8">
      <text>
        <t xml:space="preserve">$245 Mantis</t>
      </text>
    </comment>
    <comment authorId="0" ref="AG8">
      <text>
        <t xml:space="preserve">Furniture ($1200), Airdrop, Sec Deposit
=sum(1500,4000,1200)</t>
      </text>
    </comment>
    <comment authorId="0" ref="AK8">
      <text>
        <t xml:space="preserve">Reimbursement from DoceFund
+ ConsenSys referral %
+ ConsenSys reimbursement</t>
      </text>
    </comment>
    <comment authorId="0" ref="AP8">
      <text>
        <t xml:space="preserve">Tax Return</t>
      </text>
    </comment>
    <comment authorId="0" ref="AT8">
      <text>
        <t xml:space="preserve">Reimbursement Permissionless, DAO Palace</t>
      </text>
    </comment>
    <comment authorId="0" ref="AY8">
      <text>
        <t xml:space="preserve">Consulting on Community
Reimbursement from ConsenSys</t>
      </text>
    </comment>
    <comment authorId="0" ref="AZ8">
      <text>
        <t xml:space="preserve">Tax Return</t>
      </text>
    </comment>
    <comment authorId="0" ref="BA8">
      <text>
        <t xml:space="preserve">Personal Loan</t>
      </text>
    </comment>
    <comment authorId="0" ref="BC8">
      <text>
        <t xml:space="preserve">Reimbursement CSI from Tokyo</t>
      </text>
    </comment>
    <comment authorId="0" ref="BD8">
      <text>
        <t xml:space="preserve">Reimbursement Bachelor - $3500</t>
      </text>
    </comment>
    <comment authorId="0" ref="BF8">
      <text>
        <t xml:space="preserve">Consensys reimbursement</t>
      </text>
    </comment>
    <comment authorId="0" ref="BG8">
      <text>
        <t xml:space="preserve">$2k reimbursements from CSI
$5000 tax readjustment
----
EVM Fund Payout [TBD]
$100-300k founder EVM [TBD]</t>
      </text>
    </comment>
    <comment authorId="0" ref="BH8">
      <text>
        <t xml:space="preserve">$12k - Tax Return post-dated
$1,000 - Singapore refund
$10k - EVM Fund</t>
      </text>
    </comment>
    <comment authorId="0" ref="BI8">
      <text>
        <t xml:space="preserve">EVM founder reimbursement</t>
      </text>
    </comment>
    <comment authorId="0" ref="T17">
      <text>
        <t xml:space="preserve">Last Rent for Oakland</t>
      </text>
    </comment>
    <comment authorId="0" ref="U17">
      <text>
        <t xml:space="preserve">Makespace
</t>
      </text>
    </comment>
    <comment authorId="0" ref="V17">
      <text>
        <t xml:space="preserve">Makespace
Rent at Joey's
</t>
      </text>
    </comment>
    <comment authorId="0" ref="W17">
      <text>
        <t xml:space="preserve">Makespace
Rent at Joey's
</t>
      </text>
    </comment>
    <comment authorId="0" ref="X17">
      <text>
        <t xml:space="preserve">Joey 2 week rent 
Rent for Oct - Corinth</t>
      </text>
    </comment>
    <comment authorId="0" ref="Z17">
      <text>
        <t xml:space="preserve">$400 off rent</t>
      </text>
    </comment>
    <comment authorId="0" ref="Z19">
      <text>
        <t xml:space="preserve">Gas
Water &amp; Electric</t>
      </text>
    </comment>
    <comment authorId="0" ref="R21">
      <text>
        <t xml:space="preserve">April 06 - $195</t>
      </text>
    </comment>
    <comment authorId="0" ref="Z22">
      <text>
        <t xml:space="preserve">Nancy Pays: 
$130.09</t>
      </text>
    </comment>
    <comment authorId="0" ref="AA22">
      <text>
        <t xml:space="preserve">Nancy Pays: 
$130.09</t>
      </text>
    </comment>
    <comment authorId="0" ref="AB22">
      <text>
        <t xml:space="preserve">Nancy Pays: 
$130.09</t>
      </text>
    </comment>
    <comment authorId="0" ref="AC22">
      <text>
        <t xml:space="preserve">Nancy Pays: 
$130.09</t>
      </text>
    </comment>
    <comment authorId="0" ref="AD22">
      <text>
        <t xml:space="preserve">Nancy Pays: 
$130.09</t>
      </text>
    </comment>
    <comment authorId="0" ref="AE22">
      <text>
        <t xml:space="preserve">Nancy Pays: 
$130.09</t>
      </text>
    </comment>
    <comment authorId="0" ref="AF22">
      <text>
        <t xml:space="preserve">Nancy Pays: 
$130.09</t>
      </text>
    </comment>
    <comment authorId="0" ref="AG22">
      <text>
        <t xml:space="preserve">Nancy Pays: 
$130.09</t>
      </text>
    </comment>
    <comment authorId="0" ref="AH22">
      <text>
        <t xml:space="preserve">Nancy Pays: 
$130.09</t>
      </text>
    </comment>
    <comment authorId="0" ref="AI22">
      <text>
        <t xml:space="preserve">Nancy Pays: 
$130.09</t>
      </text>
    </comment>
    <comment authorId="0" ref="AJ22">
      <text>
        <t xml:space="preserve">Nancy Pays: 
$130.09</t>
      </text>
    </comment>
    <comment authorId="0" ref="AK22">
      <text>
        <t xml:space="preserve">$300 - bill to EVM Fund</t>
      </text>
    </comment>
    <comment authorId="0" ref="AL22">
      <text>
        <t xml:space="preserve">$300 - bill to EVM Fund</t>
      </text>
    </comment>
    <comment authorId="0" ref="AM22">
      <text>
        <t xml:space="preserve">$300 - bill to EVM Fund</t>
      </text>
    </comment>
    <comment authorId="0" ref="AN22">
      <text>
        <t xml:space="preserve">$300 - bill to EVM Fund</t>
      </text>
    </comment>
    <comment authorId="0" ref="AO22">
      <text>
        <t xml:space="preserve">$300 - bill to EVM Fund</t>
      </text>
    </comment>
    <comment authorId="0" ref="AP22">
      <text>
        <t xml:space="preserve">$300 - bill to EVM Fund</t>
      </text>
    </comment>
    <comment authorId="0" ref="AQ22">
      <text>
        <t xml:space="preserve">$300 - bill to EVM Fund</t>
      </text>
    </comment>
    <comment authorId="0" ref="AR22">
      <text>
        <t xml:space="preserve">$300 - bill to EVM Fund</t>
      </text>
    </comment>
    <comment authorId="0" ref="AS22">
      <text>
        <t xml:space="preserve">$300 - bill to EVM Fund</t>
      </text>
    </comment>
    <comment authorId="0" ref="AT22">
      <text>
        <t xml:space="preserve">$300 - bill to EVM Fund</t>
      </text>
    </comment>
    <comment authorId="0" ref="AU22">
      <text>
        <t xml:space="preserve">$300 - bill to EVM Fund</t>
      </text>
    </comment>
    <comment authorId="0" ref="AV22">
      <text>
        <t xml:space="preserve">$300 - bill to EVM Fund</t>
      </text>
    </comment>
    <comment authorId="0" ref="S23">
      <text>
        <t xml:space="preserve">$350 - Car
$100 - Insurance
$100 - Parking 
$50 - Gas
-&gt; Down Payment: $5,000</t>
      </text>
    </comment>
    <comment authorId="0" ref="T23">
      <text>
        <t xml:space="preserve">Speeding ticket lawyer</t>
      </text>
    </comment>
    <comment authorId="0" ref="U23">
      <text>
        <t xml:space="preserve">$350 - Car
$100 - Insurance
$100 - Parking 
$50 - Gas
-&gt; Down Payment: $5,000</t>
      </text>
    </comment>
    <comment authorId="0" ref="V23">
      <text>
        <t xml:space="preserve">$400 - Car
$100 - Insurance
$50 - Gas</t>
      </text>
    </comment>
    <comment authorId="0" ref="W23">
      <text>
        <t xml:space="preserve">$300 - Car
$30 - Insurance
$75 - Gas</t>
      </text>
    </comment>
    <comment authorId="0" ref="X23">
      <text>
        <t xml:space="preserve">$300 - Car
$180 - Insurance
$150 - Gas</t>
      </text>
    </comment>
    <comment authorId="0" ref="Y23">
      <text>
        <t xml:space="preserve">$300 - Car
$180 - Insurance
$100 - Gas</t>
      </text>
    </comment>
    <comment authorId="0" ref="AI23">
      <text>
        <t xml:space="preserve">Registration</t>
      </text>
    </comment>
    <comment authorId="0" ref="I24">
      <text>
        <t xml:space="preserve">Bart = $8 daily x 4 days 
Lyft = $20 on weekends </t>
      </text>
    </comment>
    <comment authorId="0" ref="J24">
      <text>
        <t xml:space="preserve">M- $0
T- $0
W- $0
Th- $20
Fr- $35
Sat- $45
Sun- $50</t>
      </text>
    </comment>
    <comment authorId="0" ref="I25">
      <text>
        <t xml:space="preserve">Bart = $8 daily x 4 days 
Lyft = $20 on weekends </t>
      </text>
    </comment>
    <comment authorId="0" ref="J28">
      <text>
        <t xml:space="preserve">M- $15
T- $15
W- $15
Th- $40
Fr- $40</t>
      </text>
    </comment>
    <comment authorId="0" ref="J29">
      <text>
        <t xml:space="preserve">Sat- $100
Sun- $100</t>
      </text>
    </comment>
    <comment authorId="0" ref="N30">
      <text>
        <t xml:space="preserve">Ballet for 2 year anniversary</t>
      </text>
    </comment>
    <comment authorId="0" ref="O30">
      <text>
        <t xml:space="preserve">Coachella Tickets</t>
      </text>
    </comment>
    <comment authorId="0" ref="B31">
      <text>
        <t xml:space="preserve">Notion
GoDaddy
Prime
Soho House
</t>
      </text>
    </comment>
    <comment authorId="0" ref="C31">
      <text>
        <t xml:space="preserve">• Spotify - $10</t>
      </text>
    </comment>
    <comment authorId="0" ref="D31">
      <text>
        <t xml:space="preserve">• Spotify - $10</t>
      </text>
    </comment>
    <comment authorId="0" ref="E31">
      <text>
        <t xml:space="preserve">• Spotify - $10</t>
      </text>
    </comment>
    <comment authorId="0" ref="F31">
      <text>
        <t xml:space="preserve">• Spotify - $10</t>
      </text>
    </comment>
    <comment authorId="0" ref="G31">
      <text>
        <t xml:space="preserve">• Spotify - $10
• Dollar Shave Club
• Adobe Cloud</t>
      </text>
    </comment>
    <comment authorId="0" ref="J31">
      <text>
        <t xml:space="preserve">Spotify 
Linkedin 
Dollar Shave</t>
      </text>
    </comment>
    <comment authorId="0" ref="Q31">
      <text>
        <t xml:space="preserve">1Password - $36.98 annual
--&gt; Move to DoceLabs</t>
      </text>
    </comment>
    <comment authorId="0" ref="S31">
      <text>
        <t xml:space="preserve">Linkedin - $60
Experian - $20
Prime - $13
Spotify - $10</t>
      </text>
    </comment>
    <comment authorId="0" ref="T31">
      <text>
        <t xml:space="preserve">Linkedin - $60
Experian - $20
Prime - $13
Spotify - $10</t>
      </text>
    </comment>
    <comment authorId="0" ref="U31">
      <text>
        <t xml:space="preserve">Linkedin - $60
Experian - $20
Prime - $13
Spotify - $10</t>
      </text>
    </comment>
    <comment authorId="0" ref="V31">
      <text>
        <t xml:space="preserve">Linkedin - $60
Experian - $20
Prime - $13
Spotify - $10
Ny Times - $4
Zoom - $14.99
Microsoft - $19.99</t>
      </text>
    </comment>
    <comment authorId="0" ref="W31">
      <text>
        <t xml:space="preserve">Linkedin - $60
Experian - $20
Prime - $13
Spotify - $10
Ny Times - $4
Zoom - $14.99
Microsoft - $69.99</t>
      </text>
    </comment>
    <comment authorId="0" ref="X31">
      <text>
        <t xml:space="preserve">Linkedin - $60
Experian - $20
Prime - $13
Spotify - $10
Ny Times - $4
Zoom - $14.99
Microsoft - $0</t>
      </text>
    </comment>
    <comment authorId="0" ref="Y31">
      <text>
        <t xml:space="preserve">Linkedin - $60
Experian - $20
Prime - $13
Spotify - $10
Ny Times - $4
Zoom - $14.99
Microsoft - $0</t>
      </text>
    </comment>
    <comment authorId="0" ref="Z31">
      <text>
        <t xml:space="preserve">Linkedin - $60
Prime - $13
Spotify - $10
Ny Times - $4
Zoom - $14.99</t>
      </text>
    </comment>
    <comment authorId="0" ref="C32">
      <text>
        <t xml:space="preserve">Coachella Tickets + Airbnb
$500 - Nancy</t>
      </text>
    </comment>
    <comment authorId="0" ref="D32">
      <text>
        <t xml:space="preserve">• Coachella Tickets + Airbnb
• New York Airbnb
$1,000 - Nancy</t>
      </text>
    </comment>
    <comment authorId="0" ref="J32">
      <text>
        <t xml:space="preserve">Nancy's Bday Expenses</t>
      </text>
    </comment>
    <comment authorId="0" ref="K32">
      <text>
        <t xml:space="preserve">Japan Trip in October</t>
      </text>
    </comment>
    <comment authorId="0" ref="M32">
      <text>
        <t xml:space="preserve">Travel home for holidays</t>
      </text>
    </comment>
    <comment authorId="0" ref="N32">
      <text>
        <t xml:space="preserve">Travel home for holidays</t>
      </text>
    </comment>
    <comment authorId="0" ref="P32">
      <text>
        <t xml:space="preserve">Tickets to Colorado
Vegas for Nolan</t>
      </text>
    </comment>
    <comment authorId="0" ref="Q32">
      <text>
        <t xml:space="preserve">Las Vegas</t>
      </text>
    </comment>
    <comment authorId="0" ref="T32">
      <text>
        <t xml:space="preserve">Rental Car - Back home
J Tree
J Tree Rental Car
Justin's BDay</t>
      </text>
    </comment>
    <comment authorId="0" ref="U32">
      <text>
        <t xml:space="preserve">Jenny's Wedding 
- Car Insurance)
Car Rental</t>
      </text>
    </comment>
    <comment authorId="0" ref="V32">
      <text>
        <t xml:space="preserve">Nancy Bday ($300)
Bday food ($600)
Present ($240)</t>
      </text>
    </comment>
    <comment authorId="0" ref="X32">
      <text>
        <t xml:space="preserve">Mateo's Bday</t>
      </text>
    </comment>
    <comment authorId="0" ref="AB32">
      <text>
        <t xml:space="preserve">Vegas Todd</t>
      </text>
    </comment>
    <comment authorId="0" ref="AC32">
      <text>
        <t xml:space="preserve">Todd &amp; Julie's Wedding
- $700 hotel
- $500 flight
Car rental</t>
      </text>
    </comment>
    <comment authorId="0" ref="AZ32">
      <text>
        <t xml:space="preserve">Vermont: 
- $650 - snowgear 
- $375 - travel 
- $300 - f&amp;b</t>
      </text>
    </comment>
    <comment authorId="0" ref="BC32">
      <text>
        <t xml:space="preserve">Mo and Mason come to NY</t>
      </text>
    </comment>
    <comment authorId="0" ref="BD32">
      <text>
        <t xml:space="preserve">Harrison bachelor party
Europe Vacation</t>
      </text>
    </comment>
    <comment authorId="0" ref="BF32">
      <text>
        <t xml:space="preserve">Rental car - $300-400 total
Request 50% from Nancy</t>
      </text>
    </comment>
    <comment authorId="0" ref="J33">
      <text>
        <t xml:space="preserve">Task Rabbit - TV
(or) White Board</t>
      </text>
    </comment>
    <comment authorId="0" ref="M33">
      <text>
        <t xml:space="preserve">Task Rabbit</t>
      </text>
    </comment>
    <comment authorId="0" ref="P33">
      <text>
        <t xml:space="preserve">Patio Set</t>
      </text>
    </comment>
    <comment authorId="0" ref="Q33">
      <text>
        <t xml:space="preserve">Plants
Ikea Home Office
Standing Desk</t>
      </text>
    </comment>
    <comment authorId="0" ref="Z33">
      <text>
        <t xml:space="preserve">Office chairs, curtains, bedding, xmas tree</t>
      </text>
    </comment>
    <comment authorId="0" ref="BG33">
      <text>
        <t xml:space="preserve">Nancy - $500 bday ring</t>
      </text>
    </comment>
    <comment authorId="0" ref="BI35">
      <text>
        <t xml:space="preserve">JLC Watch - $35k 
Nancy ring - $8k</t>
      </text>
    </comment>
    <comment authorId="0" ref="B36">
      <text>
        <t xml:space="preserve">$2k annual budget + calculate company reimbursement dental care</t>
      </text>
    </comment>
    <comment authorId="0" ref="BD36">
      <text>
        <t xml:space="preserve">Dentist if you recoup EVM investment
$2k budget</t>
      </text>
    </comment>
    <comment authorId="0" ref="AK37">
      <text>
        <t xml:space="preserve">Paid to SF doctor (need to reimburse)</t>
      </text>
    </comment>
    <comment authorId="0" ref="J38">
      <text>
        <t xml:space="preserve">Haricut - $40
Products - $20
Drycleaning -$20
Headshot - $350</t>
      </text>
    </comment>
    <comment authorId="0" ref="K38">
      <text>
        <t xml:space="preserve">Haricut - $25
Drycleaning - $25
</t>
      </text>
    </comment>
    <comment authorId="0" ref="L38">
      <text>
        <t xml:space="preserve">Haricut - $40
Products - $25
Drycleaning -$20
</t>
      </text>
    </comment>
    <comment authorId="0" ref="M38">
      <text>
        <t xml:space="preserve">Haricut - $40
Products - $25
Drycleaning -$20
</t>
      </text>
    </comment>
    <comment authorId="0" ref="N38">
      <text>
        <t xml:space="preserve">Haricuts - $50
Products - $25
Drycleaning -$20
</t>
      </text>
    </comment>
    <comment authorId="0" ref="S39">
      <text>
        <t xml:space="preserve">$175 - Equinox</t>
      </text>
    </comment>
    <comment authorId="0" ref="T39">
      <text>
        <t xml:space="preserve">$175 - Equinox</t>
      </text>
    </comment>
    <comment authorId="0" ref="U39">
      <text>
        <t xml:space="preserve">$175 - Equinox</t>
      </text>
    </comment>
    <comment authorId="0" ref="V39">
      <text>
        <t xml:space="preserve">$175 - Equinox</t>
      </text>
    </comment>
    <comment authorId="0" ref="W39">
      <text>
        <t xml:space="preserve">$175 - Equinox</t>
      </text>
    </comment>
    <comment authorId="0" ref="X39">
      <text>
        <t xml:space="preserve">$175 - Equinox</t>
      </text>
    </comment>
    <comment authorId="0" ref="Y39">
      <text>
        <t xml:space="preserve">$175 - Equinox</t>
      </text>
    </comment>
    <comment authorId="0" ref="Z39">
      <text>
        <t xml:space="preserve">$175 - Equinox</t>
      </text>
    </comment>
    <comment authorId="0" ref="AA39">
      <text>
        <t xml:space="preserve">$175 - Equinox/boxing</t>
      </text>
    </comment>
    <comment authorId="0" ref="AB39">
      <text>
        <t xml:space="preserve">$175 - Equinox</t>
      </text>
    </comment>
    <comment authorId="0" ref="AC39">
      <text>
        <t xml:space="preserve">$175 - Equinox</t>
      </text>
    </comment>
    <comment authorId="0" ref="AD39">
      <text>
        <t xml:space="preserve">$175 - Equinox</t>
      </text>
    </comment>
    <comment authorId="0" ref="AE39">
      <text>
        <t xml:space="preserve">$175 - Equinox</t>
      </text>
    </comment>
    <comment authorId="0" ref="AF39">
      <text>
        <t xml:space="preserve">$175 - Equinox</t>
      </text>
    </comment>
    <comment authorId="0" ref="AG39">
      <text>
        <t xml:space="preserve">$175 - Equinox</t>
      </text>
    </comment>
    <comment authorId="0" ref="AH39">
      <text>
        <t xml:space="preserve">$175 - Equinox</t>
      </text>
    </comment>
    <comment authorId="0" ref="AI39">
      <text>
        <t xml:space="preserve">$300 - Equinox</t>
      </text>
    </comment>
    <comment authorId="0" ref="AJ39">
      <text>
        <t xml:space="preserve">$175 - Equinox</t>
      </text>
    </comment>
    <comment authorId="0" ref="BG39">
      <text>
        <t xml:space="preserve">$175 membership 
$100 per trainer session *8 per month =$800 /mo</t>
      </text>
    </comment>
    <comment authorId="0" ref="BI39">
      <text>
        <t xml:space="preserve">$175 membership 
$100 per trainer session *8 per month =$800 /mo</t>
      </text>
    </comment>
    <comment authorId="0" ref="R40">
      <text>
        <t xml:space="preserve">treats - $15 </t>
      </text>
    </comment>
    <comment authorId="0" ref="V40">
      <text>
        <t xml:space="preserve">Flea Meds
Shots
Haircut</t>
      </text>
    </comment>
    <comment authorId="0" ref="N41">
      <text>
        <t xml:space="preserve">Gifts</t>
      </text>
    </comment>
    <comment authorId="0" ref="P41">
      <text>
        <t xml:space="preserve">Pay UpWork Tax Filing</t>
      </text>
    </comment>
    <comment authorId="0" ref="Q41">
      <text>
        <t xml:space="preserve">HTL Dissolution -- $450 
(move to Apr)
</t>
      </text>
    </comment>
    <comment authorId="0" ref="R41">
      <text>
        <t xml:space="preserve">HTL Dissolution -- $450 
(move to May)
</t>
      </text>
    </comment>
    <comment authorId="0" ref="S41">
      <text>
        <t xml:space="preserve">Taxes for HTL</t>
      </text>
    </comment>
    <comment authorId="0" ref="T41">
      <text>
        <t xml:space="preserve">HTL 2019 Tax Filing
Dissolution of HTL
</t>
      </text>
    </comment>
    <comment authorId="0" ref="X42">
      <text>
        <t xml:space="preserve">Airpods
iPad</t>
      </text>
    </comment>
    <comment authorId="0" ref="T43">
      <text>
        <t xml:space="preserve">iPad</t>
      </text>
    </comment>
    <comment authorId="0" ref="U43">
      <text>
        <t xml:space="preserve">iPad</t>
      </text>
    </comment>
    <comment authorId="0" ref="X43">
      <text>
        <t xml:space="preserve">Moving OAK to LA</t>
      </text>
    </comment>
    <comment authorId="0" ref="J49">
      <text>
        <t xml:space="preserve">Amazon
JCrew
Capital One</t>
      </text>
    </comment>
    <comment authorId="0" ref="AA49">
      <text>
        <t xml:space="preserve">When Mario sends $20k -&gt; 
$5k to credit card debt</t>
      </text>
    </comment>
    <comment authorId="0" ref="AB49">
      <text>
        <t xml:space="preserve">Increase to 30% if budgeted</t>
      </text>
    </comment>
    <comment authorId="0" ref="BC49">
      <text>
        <t xml:space="preserve">$132k - if Uniquity</t>
      </text>
    </comment>
    <comment authorId="0" ref="BD49">
      <text>
        <t xml:space="preserve">$132k - if Uniquity</t>
      </text>
    </comment>
    <comment authorId="0" ref="BE49">
      <text>
        <t xml:space="preserve">$132k - if Uniquity</t>
      </text>
    </comment>
    <comment authorId="0" ref="BF49">
      <text>
        <t xml:space="preserve">$132k - if Uniquity</t>
      </text>
    </comment>
    <comment authorId="0" ref="BG49">
      <text>
        <t xml:space="preserve">$150k - if Uniquity</t>
      </text>
    </comment>
    <comment authorId="0" ref="BH49">
      <text>
        <t xml:space="preserve">Priority:
- Chase Sapphire, Wells, Cap One</t>
      </text>
    </comment>
    <comment authorId="0" ref="BI49">
      <text>
        <t xml:space="preserve">$95k - Pay off credit cards, personal loans 
$95k - Migrate to Fund 0 (ask prior if they want to exit or double down, fees 1/10)</t>
      </text>
    </comment>
    <comment authorId="0" ref="P54">
      <text>
        <t xml:space="preserve">Domains</t>
      </text>
    </comment>
    <comment authorId="0" ref="AB54">
      <text>
        <t xml:space="preserve">Start DoceFund/DoceLabs</t>
      </text>
    </comment>
    <comment authorId="0" ref="AG54">
      <text>
        <t xml:space="preserve">DoceFund Admin
DoceFund Costs</t>
      </text>
    </comment>
    <comment authorId="0" ref="AH54">
      <text>
        <t xml:space="preserve">DoceFund Admin
EVM Fund Startup Costs</t>
      </text>
    </comment>
    <comment authorId="0" ref="AY54">
      <text>
        <t xml:space="preserve">Noime
How can we use her to make 10x more personal income?</t>
      </text>
    </comment>
    <comment authorId="0" ref="AZ54">
      <text>
        <t xml:space="preserve">Noime
How can we use her to make 10x more personal income?</t>
      </text>
    </comment>
    <comment authorId="0" ref="BA54">
      <text>
        <t xml:space="preserve">Payment for EVM thru June 15
Send $500 more for writing support</t>
      </text>
    </comment>
    <comment authorId="0" ref="BD54">
      <text>
        <t xml:space="preserve">Montenegro</t>
      </text>
    </comment>
    <comment authorId="0" ref="BE54">
      <text>
        <t xml:space="preserve">Loan from Upstart to pay Amex</t>
      </text>
    </comment>
    <comment authorId="0" ref="Q55">
      <text>
        <t xml:space="preserve">3MM, Twitter, Work, Pfizer</t>
      </text>
    </comment>
    <comment authorId="0" ref="R55">
      <text>
        <t xml:space="preserve">Zoom</t>
      </text>
    </comment>
    <comment authorId="0" ref="J59">
      <text>
        <t xml:space="preserve">#YangGang</t>
      </text>
    </comment>
    <comment authorId="0" ref="Q59">
      <text>
        <t xml:space="preserve">Adopted Koala
Homeless Man</t>
      </text>
    </comment>
    <comment authorId="0" ref="T59">
      <text>
        <t xml:space="preserve">Black Girls Code
Homeless Austinites Post-Riots</t>
      </text>
    </comment>
    <comment authorId="0" ref="AS59">
      <text>
        <t xml:space="preserve">Ken Luster</t>
      </text>
    </comment>
    <comment authorId="0" ref="H60">
      <text>
        <t xml:space="preserve">Pulled ETH from wallet to cover difference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A4">
      <text>
        <t xml:space="preserve">- Renegotiate Salary to $250k annual 
- Carry on accelerator for Matt, Yalor 
- MD, DAO Lab 
- Support on getting ConsenSys to anchor LP into fund</t>
      </text>
    </comment>
    <comment authorId="0" ref="D5">
      <text>
        <t xml:space="preserve">Tax Return
</t>
      </text>
    </comment>
    <comment authorId="0" ref="F5">
      <text>
        <t xml:space="preserve">Jean - $3,000</t>
      </text>
    </comment>
    <comment authorId="0" ref="J5">
      <text>
        <t xml:space="preserve">Loan</t>
      </text>
    </comment>
    <comment authorId="0" ref="N5">
      <text>
        <t xml:space="preserve">Jean Repayment 1/4
$500 (Dec 19)</t>
      </text>
    </comment>
    <comment authorId="0" ref="P5">
      <text>
        <t xml:space="preserve">EOY Bonus</t>
      </text>
    </comment>
    <comment authorId="0" ref="X5">
      <text>
        <t xml:space="preserve">Need to hustle to pay credit cards
$3,500 gap</t>
      </text>
    </comment>
    <comment authorId="0" ref="BE5">
      <text>
        <t xml:space="preserve">ConsenSys Bonus - $50k?</t>
      </text>
    </comment>
    <comment authorId="0" ref="Q7">
      <text>
        <t xml:space="preserve">DoceLabs Profit</t>
      </text>
    </comment>
    <comment authorId="0" ref="R7">
      <text>
        <t xml:space="preserve">DoceLabs Profit</t>
      </text>
    </comment>
    <comment authorId="0" ref="S7">
      <text>
        <t xml:space="preserve">DoceLabs Profit</t>
      </text>
    </comment>
    <comment authorId="0" ref="T7">
      <text>
        <t xml:space="preserve">Side Hustle Profit</t>
      </text>
    </comment>
    <comment authorId="0" ref="U7">
      <text>
        <t xml:space="preserve">Side Hustle Profit</t>
      </text>
    </comment>
    <comment authorId="0" ref="V7">
      <text>
        <t xml:space="preserve">Side Hustle Profit</t>
      </text>
    </comment>
    <comment authorId="0" ref="W7">
      <text>
        <t xml:space="preserve">Side Hustle Profit</t>
      </text>
    </comment>
    <comment authorId="0" ref="Y7">
      <text>
        <t xml:space="preserve">Side Hustle Profit</t>
      </text>
    </comment>
    <comment authorId="0" ref="O8">
      <text>
        <t xml:space="preserve">Jean repayment 2/4</t>
      </text>
    </comment>
    <comment authorId="0" ref="P8">
      <text>
        <t xml:space="preserve">Tax Return</t>
      </text>
    </comment>
    <comment authorId="0" ref="Q8">
      <text>
        <t xml:space="preserve">Withdraw Wealthfront</t>
      </text>
    </comment>
    <comment authorId="0" ref="R8">
      <text>
        <t xml:space="preserve">Flight refund
Jean Repayment - 3/5</t>
      </text>
    </comment>
    <comment authorId="0" ref="S8">
      <text>
        <t xml:space="preserve">Refund from flights
Pops to fico</t>
      </text>
    </comment>
    <comment authorId="0" ref="T8">
      <text>
        <t xml:space="preserve">$1,500 to be paid
Jean Repayment 5/5
Jean Repayment 4/5</t>
      </text>
    </comment>
    <comment authorId="0" ref="Y8">
      <text>
        <t xml:space="preserve">Potentially:
$13,464 post-tax
(or)
$7,000 post-tax</t>
      </text>
    </comment>
    <comment authorId="0" ref="AA8">
      <text>
        <t xml:space="preserve">Mario to pay: 
$10,000 
+
$10K to Will</t>
      </text>
    </comment>
    <comment authorId="0" ref="AC8">
      <text>
        <t xml:space="preserve">Tax Return</t>
      </text>
    </comment>
    <comment authorId="0" ref="AE8">
      <text>
        <t xml:space="preserve">$245 Mantis</t>
      </text>
    </comment>
    <comment authorId="0" ref="AG8">
      <text>
        <t xml:space="preserve">Furniture ($1200), Airdrop, Sec Deposit
=sum(1500,4000,1200)</t>
      </text>
    </comment>
    <comment authorId="0" ref="AK8">
      <text>
        <t xml:space="preserve">Reimbursement from DoceFund
+ ConsenSys referral %
+ ConsenSys reimbursement</t>
      </text>
    </comment>
    <comment authorId="0" ref="AP8">
      <text>
        <t xml:space="preserve">Tax Return</t>
      </text>
    </comment>
    <comment authorId="0" ref="AT8">
      <text>
        <t xml:space="preserve">Reimbursement Permissionless, DAO Palace</t>
      </text>
    </comment>
    <comment authorId="0" ref="AY8">
      <text>
        <t xml:space="preserve">Consulting on Community
Reimbursement from ConsenSys</t>
      </text>
    </comment>
    <comment authorId="0" ref="AZ8">
      <text>
        <t xml:space="preserve">Tax Return</t>
      </text>
    </comment>
    <comment authorId="0" ref="BA8">
      <text>
        <t xml:space="preserve">Personal Loan</t>
      </text>
    </comment>
    <comment authorId="0" ref="BD8">
      <text>
        <t xml:space="preserve">EVM Fund Payout [TBD]
$100-300k founder EVM</t>
      </text>
    </comment>
    <comment authorId="0" ref="BG8">
      <text>
        <t xml:space="preserve">Sell 1/2 ConsenSys shares once valuation goes past $200 pp</t>
      </text>
    </comment>
    <comment authorId="0" ref="T17">
      <text>
        <t xml:space="preserve">Last Rent for Oakland</t>
      </text>
    </comment>
    <comment authorId="0" ref="U17">
      <text>
        <t xml:space="preserve">Makespace
</t>
      </text>
    </comment>
    <comment authorId="0" ref="V17">
      <text>
        <t xml:space="preserve">Makespace
Rent at Joey's
</t>
      </text>
    </comment>
    <comment authorId="0" ref="W17">
      <text>
        <t xml:space="preserve">Makespace
Rent at Joey's
</t>
      </text>
    </comment>
    <comment authorId="0" ref="X17">
      <text>
        <t xml:space="preserve">Joey 2 week rent 
Rent for Oct - Corinth</t>
      </text>
    </comment>
    <comment authorId="0" ref="Z17">
      <text>
        <t xml:space="preserve">$400 off rent</t>
      </text>
    </comment>
    <comment authorId="0" ref="Z19">
      <text>
        <t xml:space="preserve">Gas
Water &amp; Electric</t>
      </text>
    </comment>
    <comment authorId="0" ref="R21">
      <text>
        <t xml:space="preserve">April 06 - $195</t>
      </text>
    </comment>
    <comment authorId="0" ref="Z22">
      <text>
        <t xml:space="preserve">Nancy Pays: 
$130.09</t>
      </text>
    </comment>
    <comment authorId="0" ref="AA22">
      <text>
        <t xml:space="preserve">Nancy Pays: 
$130.09</t>
      </text>
    </comment>
    <comment authorId="0" ref="AB22">
      <text>
        <t xml:space="preserve">Nancy Pays: 
$130.09</t>
      </text>
    </comment>
    <comment authorId="0" ref="AC22">
      <text>
        <t xml:space="preserve">Nancy Pays: 
$130.09</t>
      </text>
    </comment>
    <comment authorId="0" ref="AD22">
      <text>
        <t xml:space="preserve">Nancy Pays: 
$130.09</t>
      </text>
    </comment>
    <comment authorId="0" ref="AE22">
      <text>
        <t xml:space="preserve">Nancy Pays: 
$130.09</t>
      </text>
    </comment>
    <comment authorId="0" ref="AF22">
      <text>
        <t xml:space="preserve">Nancy Pays: 
$130.09</t>
      </text>
    </comment>
    <comment authorId="0" ref="AG22">
      <text>
        <t xml:space="preserve">Nancy Pays: 
$130.09</t>
      </text>
    </comment>
    <comment authorId="0" ref="AH22">
      <text>
        <t xml:space="preserve">Nancy Pays: 
$130.09</t>
      </text>
    </comment>
    <comment authorId="0" ref="AI22">
      <text>
        <t xml:space="preserve">Nancy Pays: 
$130.09</t>
      </text>
    </comment>
    <comment authorId="0" ref="AJ22">
      <text>
        <t xml:space="preserve">Nancy Pays: 
$130.09</t>
      </text>
    </comment>
    <comment authorId="0" ref="AK22">
      <text>
        <t xml:space="preserve">$300 - bill to EVM Fund</t>
      </text>
    </comment>
    <comment authorId="0" ref="AL22">
      <text>
        <t xml:space="preserve">$300 - bill to EVM Fund</t>
      </text>
    </comment>
    <comment authorId="0" ref="AM22">
      <text>
        <t xml:space="preserve">$300 - bill to EVM Fund</t>
      </text>
    </comment>
    <comment authorId="0" ref="AN22">
      <text>
        <t xml:space="preserve">$300 - bill to EVM Fund</t>
      </text>
    </comment>
    <comment authorId="0" ref="AO22">
      <text>
        <t xml:space="preserve">$300 - bill to EVM Fund</t>
      </text>
    </comment>
    <comment authorId="0" ref="AP22">
      <text>
        <t xml:space="preserve">$300 - bill to EVM Fund</t>
      </text>
    </comment>
    <comment authorId="0" ref="AQ22">
      <text>
        <t xml:space="preserve">$300 - bill to EVM Fund</t>
      </text>
    </comment>
    <comment authorId="0" ref="AR22">
      <text>
        <t xml:space="preserve">$300 - bill to EVM Fund</t>
      </text>
    </comment>
    <comment authorId="0" ref="AS22">
      <text>
        <t xml:space="preserve">$300 - bill to EVM Fund</t>
      </text>
    </comment>
    <comment authorId="0" ref="AT22">
      <text>
        <t xml:space="preserve">$300 - bill to EVM Fund</t>
      </text>
    </comment>
    <comment authorId="0" ref="AU22">
      <text>
        <t xml:space="preserve">$300 - bill to EVM Fund</t>
      </text>
    </comment>
    <comment authorId="0" ref="AV22">
      <text>
        <t xml:space="preserve">$300 - bill to EVM Fund</t>
      </text>
    </comment>
    <comment authorId="0" ref="S23">
      <text>
        <t xml:space="preserve">$350 - Car
$100 - Insurance
$100 - Parking 
$50 - Gas
-&gt; Down Payment: $5,000</t>
      </text>
    </comment>
    <comment authorId="0" ref="T23">
      <text>
        <t xml:space="preserve">Speeding ticket lawyer</t>
      </text>
    </comment>
    <comment authorId="0" ref="U23">
      <text>
        <t xml:space="preserve">$350 - Car
$100 - Insurance
$100 - Parking 
$50 - Gas
-&gt; Down Payment: $5,000</t>
      </text>
    </comment>
    <comment authorId="0" ref="V23">
      <text>
        <t xml:space="preserve">$400 - Car
$100 - Insurance
$50 - Gas</t>
      </text>
    </comment>
    <comment authorId="0" ref="W23">
      <text>
        <t xml:space="preserve">$300 - Car
$30 - Insurance
$75 - Gas</t>
      </text>
    </comment>
    <comment authorId="0" ref="X23">
      <text>
        <t xml:space="preserve">$300 - Car
$180 - Insurance
$150 - Gas</t>
      </text>
    </comment>
    <comment authorId="0" ref="Y23">
      <text>
        <t xml:space="preserve">$300 - Car
$180 - Insurance
$100 - Gas</t>
      </text>
    </comment>
    <comment authorId="0" ref="AI23">
      <text>
        <t xml:space="preserve">Registration</t>
      </text>
    </comment>
    <comment authorId="0" ref="I24">
      <text>
        <t xml:space="preserve">Bart = $8 daily x 4 days 
Lyft = $20 on weekends </t>
      </text>
    </comment>
    <comment authorId="0" ref="J24">
      <text>
        <t xml:space="preserve">M- $0
T- $0
W- $0
Th- $20
Fr- $35
Sat- $45
Sun- $50</t>
      </text>
    </comment>
    <comment authorId="0" ref="I25">
      <text>
        <t xml:space="preserve">Bart = $8 daily x 4 days 
Lyft = $20 on weekends </t>
      </text>
    </comment>
    <comment authorId="0" ref="J28">
      <text>
        <t xml:space="preserve">M- $15
T- $15
W- $15
Th- $40
Fr- $40</t>
      </text>
    </comment>
    <comment authorId="0" ref="J29">
      <text>
        <t xml:space="preserve">Sat- $100
Sun- $100</t>
      </text>
    </comment>
    <comment authorId="0" ref="N30">
      <text>
        <t xml:space="preserve">Ballet for 2 year anniversary</t>
      </text>
    </comment>
    <comment authorId="0" ref="O30">
      <text>
        <t xml:space="preserve">Coachella Tickets</t>
      </text>
    </comment>
    <comment authorId="0" ref="B31">
      <text>
        <t xml:space="preserve">Notion
GoDaddy
Prime
Soho House
</t>
      </text>
    </comment>
    <comment authorId="0" ref="C31">
      <text>
        <t xml:space="preserve">• Spotify - $10</t>
      </text>
    </comment>
    <comment authorId="0" ref="D31">
      <text>
        <t xml:space="preserve">• Spotify - $10</t>
      </text>
    </comment>
    <comment authorId="0" ref="E31">
      <text>
        <t xml:space="preserve">• Spotify - $10</t>
      </text>
    </comment>
    <comment authorId="0" ref="F31">
      <text>
        <t xml:space="preserve">• Spotify - $10</t>
      </text>
    </comment>
    <comment authorId="0" ref="G31">
      <text>
        <t xml:space="preserve">• Spotify - $10
• Dollar Shave Club
• Adobe Cloud</t>
      </text>
    </comment>
    <comment authorId="0" ref="J31">
      <text>
        <t xml:space="preserve">Spotify 
Linkedin 
Dollar Shave</t>
      </text>
    </comment>
    <comment authorId="0" ref="Q31">
      <text>
        <t xml:space="preserve">1Password - $36.98 annual
--&gt; Move to DoceLabs</t>
      </text>
    </comment>
    <comment authorId="0" ref="S31">
      <text>
        <t xml:space="preserve">Linkedin - $60
Experian - $20
Prime - $13
Spotify - $10</t>
      </text>
    </comment>
    <comment authorId="0" ref="T31">
      <text>
        <t xml:space="preserve">Linkedin - $60
Experian - $20
Prime - $13
Spotify - $10</t>
      </text>
    </comment>
    <comment authorId="0" ref="U31">
      <text>
        <t xml:space="preserve">Linkedin - $60
Experian - $20
Prime - $13
Spotify - $10</t>
      </text>
    </comment>
    <comment authorId="0" ref="V31">
      <text>
        <t xml:space="preserve">Linkedin - $60
Experian - $20
Prime - $13
Spotify - $10
Ny Times - $4
Zoom - $14.99
Microsoft - $19.99</t>
      </text>
    </comment>
    <comment authorId="0" ref="W31">
      <text>
        <t xml:space="preserve">Linkedin - $60
Experian - $20
Prime - $13
Spotify - $10
Ny Times - $4
Zoom - $14.99
Microsoft - $69.99</t>
      </text>
    </comment>
    <comment authorId="0" ref="X31">
      <text>
        <t xml:space="preserve">Linkedin - $60
Experian - $20
Prime - $13
Spotify - $10
Ny Times - $4
Zoom - $14.99
Microsoft - $0</t>
      </text>
    </comment>
    <comment authorId="0" ref="Y31">
      <text>
        <t xml:space="preserve">Linkedin - $60
Experian - $20
Prime - $13
Spotify - $10
Ny Times - $4
Zoom - $14.99
Microsoft - $0</t>
      </text>
    </comment>
    <comment authorId="0" ref="Z31">
      <text>
        <t xml:space="preserve">Linkedin - $60
Prime - $13
Spotify - $10
Ny Times - $4
Zoom - $14.99</t>
      </text>
    </comment>
    <comment authorId="0" ref="C32">
      <text>
        <t xml:space="preserve">Coachella Tickets + Airbnb
$500 - Nancy</t>
      </text>
    </comment>
    <comment authorId="0" ref="D32">
      <text>
        <t xml:space="preserve">• Coachella Tickets + Airbnb
• New York Airbnb
$1,000 - Nancy</t>
      </text>
    </comment>
    <comment authorId="0" ref="J32">
      <text>
        <t xml:space="preserve">Nancy's Bday Expenses</t>
      </text>
    </comment>
    <comment authorId="0" ref="K32">
      <text>
        <t xml:space="preserve">Japan Trip in October</t>
      </text>
    </comment>
    <comment authorId="0" ref="M32">
      <text>
        <t xml:space="preserve">Travel home for holidays</t>
      </text>
    </comment>
    <comment authorId="0" ref="N32">
      <text>
        <t xml:space="preserve">Travel home for holidays</t>
      </text>
    </comment>
    <comment authorId="0" ref="P32">
      <text>
        <t xml:space="preserve">Tickets to Colorado
Vegas for Nolan</t>
      </text>
    </comment>
    <comment authorId="0" ref="Q32">
      <text>
        <t xml:space="preserve">Las Vegas</t>
      </text>
    </comment>
    <comment authorId="0" ref="T32">
      <text>
        <t xml:space="preserve">Rental Car - Back home
J Tree
J Tree Rental Car
Justin's BDay</t>
      </text>
    </comment>
    <comment authorId="0" ref="U32">
      <text>
        <t xml:space="preserve">Jenny's Wedding 
- Car Insurance)
Car Rental</t>
      </text>
    </comment>
    <comment authorId="0" ref="V32">
      <text>
        <t xml:space="preserve">Nancy Bday ($300)
Bday food ($600)
Present ($240)</t>
      </text>
    </comment>
    <comment authorId="0" ref="X32">
      <text>
        <t xml:space="preserve">Mateo's Bday</t>
      </text>
    </comment>
    <comment authorId="0" ref="AB32">
      <text>
        <t xml:space="preserve">Vegas Todd</t>
      </text>
    </comment>
    <comment authorId="0" ref="AC32">
      <text>
        <t xml:space="preserve">Todd &amp; Julie's Wedding
- $700 hotel
- $500 flight
Car rental</t>
      </text>
    </comment>
    <comment authorId="0" ref="AZ32">
      <text>
        <t xml:space="preserve">Vermont: 
- $650 - snowgear 
- $375 - travel 
- $300 - f&amp;b</t>
      </text>
    </comment>
    <comment authorId="0" ref="BC32">
      <text>
        <t xml:space="preserve">Mo and Mason come to NY</t>
      </text>
    </comment>
    <comment authorId="0" ref="BD32">
      <text>
        <t xml:space="preserve">Harrison bachelor party</t>
      </text>
    </comment>
    <comment authorId="0" ref="J33">
      <text>
        <t xml:space="preserve">Task Rabbit - TV
(or) White Board</t>
      </text>
    </comment>
    <comment authorId="0" ref="M33">
      <text>
        <t xml:space="preserve">Task Rabbit</t>
      </text>
    </comment>
    <comment authorId="0" ref="P33">
      <text>
        <t xml:space="preserve">Patio Set</t>
      </text>
    </comment>
    <comment authorId="0" ref="Q33">
      <text>
        <t xml:space="preserve">Plants
Ikea Home Office
Standing Desk</t>
      </text>
    </comment>
    <comment authorId="0" ref="Z33">
      <text>
        <t xml:space="preserve">Office chairs, curtains, bedding, xmas tree</t>
      </text>
    </comment>
    <comment authorId="0" ref="BC35">
      <text>
        <t xml:space="preserve">$2000 watch</t>
      </text>
    </comment>
    <comment authorId="0" ref="B36">
      <text>
        <t xml:space="preserve">$2k annual budget + calculate company reimbursement dental care</t>
      </text>
    </comment>
    <comment authorId="0" ref="BC36">
      <text>
        <t xml:space="preserve">Dentist if you recoup EVM investment
$2k budget</t>
      </text>
    </comment>
    <comment authorId="0" ref="AK37">
      <text>
        <t xml:space="preserve">Paid to SF doctor (need to reimburse)</t>
      </text>
    </comment>
    <comment authorId="0" ref="J38">
      <text>
        <t xml:space="preserve">Haricut - $40
Products - $20
Drycleaning -$20
Headshot - $350</t>
      </text>
    </comment>
    <comment authorId="0" ref="K38">
      <text>
        <t xml:space="preserve">Haricut - $25
Drycleaning - $25
</t>
      </text>
    </comment>
    <comment authorId="0" ref="L38">
      <text>
        <t xml:space="preserve">Haricut - $40
Products - $25
Drycleaning -$20
</t>
      </text>
    </comment>
    <comment authorId="0" ref="M38">
      <text>
        <t xml:space="preserve">Haricut - $40
Products - $25
Drycleaning -$20
</t>
      </text>
    </comment>
    <comment authorId="0" ref="N38">
      <text>
        <t xml:space="preserve">Haricuts - $50
Products - $25
Drycleaning -$20
</t>
      </text>
    </comment>
    <comment authorId="0" ref="S39">
      <text>
        <t xml:space="preserve">$175 - Equinox</t>
      </text>
    </comment>
    <comment authorId="0" ref="T39">
      <text>
        <t xml:space="preserve">$175 - Equinox</t>
      </text>
    </comment>
    <comment authorId="0" ref="U39">
      <text>
        <t xml:space="preserve">$175 - Equinox</t>
      </text>
    </comment>
    <comment authorId="0" ref="V39">
      <text>
        <t xml:space="preserve">$175 - Equinox</t>
      </text>
    </comment>
    <comment authorId="0" ref="W39">
      <text>
        <t xml:space="preserve">$175 - Equinox</t>
      </text>
    </comment>
    <comment authorId="0" ref="X39">
      <text>
        <t xml:space="preserve">$175 - Equinox</t>
      </text>
    </comment>
    <comment authorId="0" ref="Y39">
      <text>
        <t xml:space="preserve">$175 - Equinox</t>
      </text>
    </comment>
    <comment authorId="0" ref="Z39">
      <text>
        <t xml:space="preserve">$175 - Equinox</t>
      </text>
    </comment>
    <comment authorId="0" ref="AA39">
      <text>
        <t xml:space="preserve">$175 - Equinox/boxing</t>
      </text>
    </comment>
    <comment authorId="0" ref="AB39">
      <text>
        <t xml:space="preserve">$175 - Equinox</t>
      </text>
    </comment>
    <comment authorId="0" ref="AC39">
      <text>
        <t xml:space="preserve">$175 - Equinox</t>
      </text>
    </comment>
    <comment authorId="0" ref="AD39">
      <text>
        <t xml:space="preserve">$175 - Equinox</t>
      </text>
    </comment>
    <comment authorId="0" ref="AE39">
      <text>
        <t xml:space="preserve">$175 - Equinox</t>
      </text>
    </comment>
    <comment authorId="0" ref="AF39">
      <text>
        <t xml:space="preserve">$175 - Equinox</t>
      </text>
    </comment>
    <comment authorId="0" ref="AG39">
      <text>
        <t xml:space="preserve">$175 - Equinox</t>
      </text>
    </comment>
    <comment authorId="0" ref="AH39">
      <text>
        <t xml:space="preserve">$175 - Equinox</t>
      </text>
    </comment>
    <comment authorId="0" ref="AI39">
      <text>
        <t xml:space="preserve">$300 - Equinox</t>
      </text>
    </comment>
    <comment authorId="0" ref="AJ39">
      <text>
        <t xml:space="preserve">$175 - Equinox</t>
      </text>
    </comment>
    <comment authorId="0" ref="R40">
      <text>
        <t xml:space="preserve">treats - $15 </t>
      </text>
    </comment>
    <comment authorId="0" ref="V40">
      <text>
        <t xml:space="preserve">Flea Meds
Shots
Haircut</t>
      </text>
    </comment>
    <comment authorId="0" ref="N41">
      <text>
        <t xml:space="preserve">Gifts</t>
      </text>
    </comment>
    <comment authorId="0" ref="P41">
      <text>
        <t xml:space="preserve">Pay UpWork Tax Filing</t>
      </text>
    </comment>
    <comment authorId="0" ref="Q41">
      <text>
        <t xml:space="preserve">HTL Dissolution -- $450 
(move to Apr)
</t>
      </text>
    </comment>
    <comment authorId="0" ref="R41">
      <text>
        <t xml:space="preserve">HTL Dissolution -- $450 
(move to May)
</t>
      </text>
    </comment>
    <comment authorId="0" ref="S41">
      <text>
        <t xml:space="preserve">Taxes for HTL</t>
      </text>
    </comment>
    <comment authorId="0" ref="T41">
      <text>
        <t xml:space="preserve">HTL 2019 Tax Filing
Dissolution of HTL
</t>
      </text>
    </comment>
    <comment authorId="0" ref="X42">
      <text>
        <t xml:space="preserve">Airpods
iPad</t>
      </text>
    </comment>
    <comment authorId="0" ref="T43">
      <text>
        <t xml:space="preserve">iPad</t>
      </text>
    </comment>
    <comment authorId="0" ref="U43">
      <text>
        <t xml:space="preserve">iPad</t>
      </text>
    </comment>
    <comment authorId="0" ref="X43">
      <text>
        <t xml:space="preserve">Moving OAK to LA</t>
      </text>
    </comment>
    <comment authorId="0" ref="J50">
      <text>
        <t xml:space="preserve">Amazon
JCrew
Capital One</t>
      </text>
    </comment>
    <comment authorId="0" ref="AA50">
      <text>
        <t xml:space="preserve">When Mario sends $20k -&gt; 
$5k to credit card debt</t>
      </text>
    </comment>
    <comment authorId="0" ref="AB50">
      <text>
        <t xml:space="preserve">Increase to 30% if budgeted</t>
      </text>
    </comment>
    <comment authorId="0" ref="BC50">
      <text>
        <t xml:space="preserve">$132k - if Uniquity</t>
      </text>
    </comment>
    <comment authorId="0" ref="BC53">
      <text>
        <t xml:space="preserve">$30000</t>
      </text>
    </comment>
    <comment authorId="0" ref="P55">
      <text>
        <t xml:space="preserve">Domains</t>
      </text>
    </comment>
    <comment authorId="0" ref="AB55">
      <text>
        <t xml:space="preserve">Start DoceFund/DoceLabs</t>
      </text>
    </comment>
    <comment authorId="0" ref="AG55">
      <text>
        <t xml:space="preserve">DoceFund Admin
DoceFund Costs</t>
      </text>
    </comment>
    <comment authorId="0" ref="AH55">
      <text>
        <t xml:space="preserve">DoceFund Admin
EVM Fund Startup Costs</t>
      </text>
    </comment>
    <comment authorId="0" ref="AY55">
      <text>
        <t xml:space="preserve">Noime
How can we use her to make 10x more personal income?</t>
      </text>
    </comment>
    <comment authorId="0" ref="AZ55">
      <text>
        <t xml:space="preserve">Noime
How can we use her to make 10x more personal income?</t>
      </text>
    </comment>
    <comment authorId="0" ref="BA55">
      <text>
        <t xml:space="preserve">Payment for EVM thru June 15
Send $500 more for writing support</t>
      </text>
    </comment>
    <comment authorId="0" ref="BD55">
      <text>
        <t xml:space="preserve">Noime
- $400 ConsenSys 
- $600 EVM Fund</t>
      </text>
    </comment>
    <comment authorId="0" ref="Q56">
      <text>
        <t xml:space="preserve">3MM, Twitter, Work, Pfizer</t>
      </text>
    </comment>
    <comment authorId="0" ref="R56">
      <text>
        <t xml:space="preserve">Zoom</t>
      </text>
    </comment>
    <comment authorId="0" ref="BC56">
      <text>
        <t xml:space="preserve">$5000</t>
      </text>
    </comment>
    <comment authorId="0" ref="BC57">
      <text>
        <t xml:space="preserve">$25,000</t>
      </text>
    </comment>
    <comment authorId="0" ref="J60">
      <text>
        <t xml:space="preserve">#YangGang</t>
      </text>
    </comment>
    <comment authorId="0" ref="Q60">
      <text>
        <t xml:space="preserve">Adopted Koala
Homeless Man</t>
      </text>
    </comment>
    <comment authorId="0" ref="T60">
      <text>
        <t xml:space="preserve">Black Girls Code
Homeless Austinites Post-Riots</t>
      </text>
    </comment>
    <comment authorId="0" ref="AS60">
      <text>
        <t xml:space="preserve">Ken Luster</t>
      </text>
    </comment>
    <comment authorId="0" ref="H62">
      <text>
        <t xml:space="preserve">Pulled ETH from wallet to cover difference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Cap One- $3,000
Amazon - $1,200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The End Date defaults to a formula using for the end of the current month ("=EOMONTH(TODAY(),0)"). Feel free to overwrite this formula with a manually-entered date to suit your reporting needs.</t>
      </text>
    </comment>
    <comment authorId="0" ref="AW11">
      <text>
        <t xml:space="preserve">Balance History core sheet lookups</t>
      </text>
    </comment>
    <comment authorId="0" ref="E17">
      <text>
        <t xml:space="preserve">=if(isdate(E$18),AK5,iferror(1/0))</t>
      </text>
    </comment>
    <comment authorId="0" ref="D19">
      <text>
        <t xml:space="preserve">=if(isdate(D$18),AJ5,iferror(1/0))</t>
      </text>
    </comment>
    <comment authorId="0" ref="B23">
      <text>
        <t xml:space="preserve">=ARRAYFORMULA( IFERROR(VLOOKUP(row(B23:B)-Row(B$23), {AB7:AB,AI7:AI},2, FALSE), IFERROR(upper(VLOOKUP(row(B23:B)-Row(B$23), {AA7:AA,AD7:AD},2, FALSE)), IFERROR(upper(VLOOKUP(row(B23:B)-Row(B$23), {Z7:Z,AC7:AC},2, FALSE)),iferror(1/0)))))</t>
      </text>
    </comment>
    <comment authorId="0" ref="D23">
      <text>
        <t xml:space="preserve">=IF($Q23=$V$4,if(isblank( AJ$2),iferror(1/0),SUMIF($AD$7:$AD,$B23,AJ$7:AJ)),IF(ISBLANK($Q23),IFERROR(1/0),OFFSET(AJ$1,$R23-1,0)))</t>
      </text>
    </comment>
    <comment authorId="0" ref="E23">
      <text>
        <t xml:space="preserve">=IF($Q23=$V$4,if(isblank( AK$2),iferror(1/0),SUMIF($AD$7:$AD,$B23,AK$7:AK)),IF(ISBLANK($Q23),IFERROR(1/0),OFFSET(AK$1,$R23-1,0)))</t>
      </text>
    </comment>
    <comment authorId="0" ref="K27">
      <text>
        <t xml:space="preserve">Goal: 
3 months salary 
@ $30,000</t>
      </text>
    </comment>
    <comment authorId="0" ref="K29">
      <text>
        <t xml:space="preserve">Engagement Ring - $10k
Proposal - $10k
Engagement photos - $15k 
</t>
      </text>
    </comment>
    <comment authorId="0" ref="K34">
      <text>
        <t xml:space="preserve">Need to contribute to Trad IRA
Figure out tax benefits from EVM Fund</t>
      </text>
    </comment>
    <comment authorId="0" ref="B41">
      <text>
        <t xml:space="preserve">Move into "mattwright.eth" when ready</t>
      </text>
    </comment>
    <comment authorId="0" ref="B42">
      <text>
        <t xml:space="preserve">Move into "mattwright.eth" when ready</t>
      </text>
    </comment>
    <comment authorId="0" ref="B49">
      <text>
        <t xml:space="preserve">Pull from "Portfolio MoM" tab, Startup Advisory shares</t>
      </text>
    </comment>
    <comment authorId="0" ref="B46">
      <text>
        <t xml:space="preserve">Calculate value based on equity and FMV in different sheet
	-Matt Wright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Tax Return
</t>
      </text>
    </comment>
    <comment authorId="0" ref="E5">
      <text>
        <t xml:space="preserve">Jean - $3,000</t>
      </text>
    </comment>
    <comment authorId="0" ref="I18">
      <text>
        <t xml:space="preserve">Task Rabbit - TV
(or) White Board</t>
      </text>
    </comment>
    <comment authorId="0" ref="J18">
      <text>
        <t xml:space="preserve">Outdoor Table</t>
      </text>
    </comment>
    <comment authorId="0" ref="H24">
      <text>
        <t xml:space="preserve">Bart = $8 daily x 4 days 
Lyft = $20 on weekends </t>
      </text>
    </comment>
    <comment authorId="0" ref="B25">
      <text>
        <t xml:space="preserve">• Spotify - $10</t>
      </text>
    </comment>
    <comment authorId="0" ref="C25">
      <text>
        <t xml:space="preserve">• Spotify - $10</t>
      </text>
    </comment>
    <comment authorId="0" ref="D25">
      <text>
        <t xml:space="preserve">• Spotify - $10</t>
      </text>
    </comment>
    <comment authorId="0" ref="E25">
      <text>
        <t xml:space="preserve">• Spotify - $10</t>
      </text>
    </comment>
    <comment authorId="0" ref="F25">
      <text>
        <t xml:space="preserve">• Spotify - $10
• Dollar Shave Club
• Adobe Cloud</t>
      </text>
    </comment>
    <comment authorId="0" ref="B26">
      <text>
        <t xml:space="preserve">Coachella Tickets + Airbnb
$500 - Nancy</t>
      </text>
    </comment>
    <comment authorId="0" ref="C26">
      <text>
        <t xml:space="preserve">• Coachella Tickets + Airbnb
• New York Airbnb
$1,000 - Nancy</t>
      </text>
    </comment>
    <comment authorId="0" ref="I26">
      <text>
        <t xml:space="preserve">Nancy's Bday Expenses</t>
      </text>
    </comment>
    <comment authorId="0" ref="J26">
      <text>
        <t xml:space="preserve">Japan Trip in October</t>
      </text>
    </comment>
    <comment authorId="0" ref="M26">
      <text>
        <t xml:space="preserve">Flight home for Christmas</t>
      </text>
    </comment>
    <comment authorId="0" ref="B29">
      <text>
        <t xml:space="preserve">Overdraft Fees</t>
      </text>
    </comment>
    <comment authorId="0" ref="C29">
      <text>
        <t xml:space="preserve">Parking Ticket</t>
      </text>
    </comment>
    <comment authorId="0" ref="H29">
      <text>
        <t xml:space="preserve">Moving Costs:
- Moving Company - $2100 
- Install/ Boxing - $200
- Couch - $1000
- Flights - $600</t>
      </text>
    </comment>
    <comment authorId="0" ref="I29">
      <text>
        <t xml:space="preserve">Hashtag Dissolution</t>
      </text>
    </comment>
    <comment authorId="0" ref="M29">
      <text>
        <t xml:space="preserve">Christmas Presents</t>
      </text>
    </comment>
    <comment authorId="0" ref="P29">
      <text>
        <t xml:space="preserve">C-Corp Annual Fee</t>
      </text>
    </comment>
    <comment authorId="0" ref="I39">
      <text>
        <t xml:space="preserve">Capital One (1)
Slate
JCrew
Wells Fargo</t>
      </text>
    </comment>
    <comment authorId="0" ref="J39">
      <text>
        <t xml:space="preserve">Amazon
Wells Fargo</t>
      </text>
    </comment>
    <comment authorId="0" ref="K39">
      <text>
        <t xml:space="preserve">Capital One (2)
Amazon
Nordstrom</t>
      </text>
    </comment>
    <comment authorId="0" ref="L39">
      <text>
        <t xml:space="preserve">Capital One (2)
Wells Fargo
Nordstrom
</t>
      </text>
    </comment>
    <comment authorId="0" ref="M39">
      <text>
        <t xml:space="preserve">---Add debt + pay off with bonus
Capital One (2)
Wells Fargo
Nordstrom</t>
      </text>
    </comment>
    <comment authorId="0" ref="G41">
      <text>
        <t xml:space="preserve">Pulled ETH from wallet to cover difference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4">
      <text>
        <t xml:space="preserve">Invest in: 
- UpWork
- Zoom
- Strinkingly</t>
      </text>
    </comment>
    <comment authorId="0" ref="I82">
      <text>
        <t xml:space="preserve">$30*2</t>
      </text>
    </comment>
    <comment authorId="0" ref="I99">
      <text>
        <t xml:space="preserve">All expenses for EVM Fund
All personal AUM going into the fund
**See below</t>
      </text>
    </comment>
    <comment authorId="0" ref="J111">
      <text>
        <t xml:space="preserve">Goal: 
$1.2M</t>
      </text>
    </comment>
    <comment authorId="0" ref="I114">
      <text>
        <t xml:space="preserve">Initial $3,000</t>
      </text>
    </comment>
    <comment authorId="0" ref="I115">
      <text>
        <t xml:space="preserve">@ 20% APY until 100k</t>
      </text>
    </comment>
    <comment authorId="0" ref="J131">
      <text>
        <t xml:space="preserve">Exited to stabletokens</t>
      </text>
    </comment>
    <comment authorId="0" ref="J132">
      <text>
        <t xml:space="preserve">Exited to stabletoken</t>
      </text>
    </comment>
    <comment authorId="0" ref="K132">
      <text>
        <t xml:space="preserve">$37 Coinbase fees
+2%</t>
      </text>
    </comment>
    <comment authorId="0" ref="J133">
      <text>
        <t xml:space="preserve">Exited to stabletoken</t>
      </text>
    </comment>
    <comment authorId="0" ref="J134">
      <text>
        <t xml:space="preserve">Exited to stabletokens @  $2,714.99</t>
      </text>
    </comment>
    <comment authorId="0" ref="J136">
      <text>
        <t xml:space="preserve">Exited to stabletokens at $2,610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Paid:
10/9/2020
11/3/2020
12/3/2020
1/9/2021
2/2021
3/2021
4/2021
5/2021
6/2021
7/2021
8/2021
9/2021
10/2021
11/2021</t>
      </text>
    </comment>
    <comment authorId="0" ref="C5">
      <text>
        <t xml:space="preserve">Paid: 
3/15/2020
4/1/2020
Forebearance</t>
      </text>
    </comment>
    <comment authorId="0" ref="C10">
      <text>
        <t xml:space="preserve">Paid: 
9/5/2019
10/5/2019
11/1/2019
12/5/2019
1/5/2020
2/5/2020
3/5/2020
4/1/2020
5/1/2020
6/1/2020
7/1/2020
8/1/2020
9/1/2020
10/1/2020
11/1/2020
12/1/2020
1/1/2020</t>
      </text>
    </comment>
    <comment authorId="0" ref="C12">
      <text>
        <t xml:space="preserve">Paid: 
10/15/2019
4/15/2020 ($300)
5/15/2020 ($300)
6/1/2020 ($300)
11/15/2022 ($1500)</t>
      </text>
    </comment>
    <comment authorId="0" ref="B17">
      <text>
        <t xml:space="preserve">Entered 2.1 ETH
@ $6,5k USD 
Migrated to stables 
Made tanner ~$500 USD and hedged from 50% downside 
Sending back to this address:
0x6BB16df60868427447E7C5274344766Ada0A99Bd</t>
      </text>
    </comment>
    <comment authorId="0" ref="C17">
      <text>
        <t xml:space="preserve">$6,930</t>
      </text>
    </comment>
    <comment authorId="0" ref="C18">
      <text>
        <t xml:space="preserve">$10,476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1">
      <text>
        <t xml:space="preserve">Goal: 
$1.2M</t>
      </text>
    </comment>
    <comment authorId="0" ref="F44">
      <text>
        <t xml:space="preserve">Initial $3,000</t>
      </text>
    </comment>
    <comment authorId="0" ref="F45">
      <text>
        <t xml:space="preserve">@ 20% APY until 100k</t>
      </text>
    </comment>
    <comment authorId="0" ref="C120">
      <text>
        <t xml:space="preserve">12 months of rent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A4">
      <text>
        <t xml:space="preserve">- Renegotiate Salary to $250k annual 
- Carry on accelerator for Matt, Yalor 
- MD, DAO Lab 
- Support on getting ConsenSys to anchor LP into fund</t>
      </text>
    </comment>
    <comment authorId="0" ref="BF4">
      <text>
        <t xml:space="preserve">$280k salary all-in [done]
$250k ConsenSys
$50k EVM Fund
$20k Wgmi DAO, Consult</t>
      </text>
    </comment>
    <comment authorId="0" ref="D5">
      <text>
        <t xml:space="preserve">Tax Return
</t>
      </text>
    </comment>
    <comment authorId="0" ref="F5">
      <text>
        <t xml:space="preserve">Jean - $3,000</t>
      </text>
    </comment>
    <comment authorId="0" ref="J5">
      <text>
        <t xml:space="preserve">Loan</t>
      </text>
    </comment>
    <comment authorId="0" ref="N5">
      <text>
        <t xml:space="preserve">Jean Repayment 1/4
$500 (Dec 19)</t>
      </text>
    </comment>
    <comment authorId="0" ref="P5">
      <text>
        <t xml:space="preserve">EOY Bonus</t>
      </text>
    </comment>
    <comment authorId="0" ref="X5">
      <text>
        <t xml:space="preserve">Need to hustle to pay credit cards
$3,500 gap</t>
      </text>
    </comment>
    <comment authorId="0" ref="BE5">
      <text>
        <t xml:space="preserve">ConsenSys Bonus - $50k?</t>
      </text>
    </comment>
    <comment authorId="0" ref="Q7">
      <text>
        <t xml:space="preserve">DoceLabs Profit</t>
      </text>
    </comment>
    <comment authorId="0" ref="R7">
      <text>
        <t xml:space="preserve">DoceLabs Profit</t>
      </text>
    </comment>
    <comment authorId="0" ref="S7">
      <text>
        <t xml:space="preserve">DoceLabs Profit</t>
      </text>
    </comment>
    <comment authorId="0" ref="T7">
      <text>
        <t xml:space="preserve">Side Hustle Profit</t>
      </text>
    </comment>
    <comment authorId="0" ref="U7">
      <text>
        <t xml:space="preserve">Side Hustle Profit</t>
      </text>
    </comment>
    <comment authorId="0" ref="V7">
      <text>
        <t xml:space="preserve">Side Hustle Profit</t>
      </text>
    </comment>
    <comment authorId="0" ref="W7">
      <text>
        <t xml:space="preserve">Side Hustle Profit</t>
      </text>
    </comment>
    <comment authorId="0" ref="Y7">
      <text>
        <t xml:space="preserve">Side Hustle Profit</t>
      </text>
    </comment>
    <comment authorId="0" ref="BF7">
      <text>
        <t xml:space="preserve">Bonus $50k @ 40% tax? ConsenSys </t>
      </text>
    </comment>
    <comment authorId="0" ref="O8">
      <text>
        <t xml:space="preserve">Jean repayment 2/4</t>
      </text>
    </comment>
    <comment authorId="0" ref="P8">
      <text>
        <t xml:space="preserve">Tax Return</t>
      </text>
    </comment>
    <comment authorId="0" ref="Q8">
      <text>
        <t xml:space="preserve">Withdraw Wealthfront</t>
      </text>
    </comment>
    <comment authorId="0" ref="R8">
      <text>
        <t xml:space="preserve">Flight refund
Jean Repayment - 3/5</t>
      </text>
    </comment>
    <comment authorId="0" ref="S8">
      <text>
        <t xml:space="preserve">Refund from flights
Pops to fico</t>
      </text>
    </comment>
    <comment authorId="0" ref="T8">
      <text>
        <t xml:space="preserve">$1,500 to be paid
Jean Repayment 5/5
Jean Repayment 4/5</t>
      </text>
    </comment>
    <comment authorId="0" ref="Y8">
      <text>
        <t xml:space="preserve">Potentially:
$13,464 post-tax
(or)
$7,000 post-tax</t>
      </text>
    </comment>
    <comment authorId="0" ref="AA8">
      <text>
        <t xml:space="preserve">Mario to pay: 
$10,000 
+
$10K to Will</t>
      </text>
    </comment>
    <comment authorId="0" ref="AC8">
      <text>
        <t xml:space="preserve">Tax Return</t>
      </text>
    </comment>
    <comment authorId="0" ref="AE8">
      <text>
        <t xml:space="preserve">$245 Mantis</t>
      </text>
    </comment>
    <comment authorId="0" ref="AG8">
      <text>
        <t xml:space="preserve">Furniture ($1200), Airdrop, Sec Deposit
=sum(1500,4000,1200)</t>
      </text>
    </comment>
    <comment authorId="0" ref="AK8">
      <text>
        <t xml:space="preserve">Reimbursement from DoceFund
+ ConsenSys referral %
+ ConsenSys reimbursement</t>
      </text>
    </comment>
    <comment authorId="0" ref="AP8">
      <text>
        <t xml:space="preserve">Tax Return</t>
      </text>
    </comment>
    <comment authorId="0" ref="AT8">
      <text>
        <t xml:space="preserve">Reimbursement Permissionless, DAO Palace</t>
      </text>
    </comment>
    <comment authorId="0" ref="AY8">
      <text>
        <t xml:space="preserve">Consulting on Community
Reimbursement from ConsenSys</t>
      </text>
    </comment>
    <comment authorId="0" ref="AZ8">
      <text>
        <t xml:space="preserve">Tax Return</t>
      </text>
    </comment>
    <comment authorId="0" ref="BA8">
      <text>
        <t xml:space="preserve">Personal Loan</t>
      </text>
    </comment>
    <comment authorId="0" ref="BC8">
      <text>
        <t xml:space="preserve">Reimbursement CSI from Tokyo</t>
      </text>
    </comment>
    <comment authorId="0" ref="BD8">
      <text>
        <t xml:space="preserve">Reimbursement Bachelor - $3500</t>
      </text>
    </comment>
    <comment authorId="0" ref="BF8">
      <text>
        <t xml:space="preserve">Consensys reimbursement</t>
      </text>
    </comment>
    <comment authorId="0" ref="BG8">
      <text>
        <t xml:space="preserve">$2k reimbursements from CSI
$5000 tax readjustment
----
EVM Fund Payout [TBD]
$100-300k founder EVM [TBD]</t>
      </text>
    </comment>
    <comment authorId="0" ref="BH8">
      <text>
        <t xml:space="preserve">$30k - Tax Return post-dated
$1,000 - Singapore refund
$10k - EVM Fund</t>
      </text>
    </comment>
    <comment authorId="0" ref="BJ8">
      <text>
        <t xml:space="preserve">Tax return</t>
      </text>
    </comment>
    <comment authorId="0" ref="BL8">
      <text>
        <t xml:space="preserve">EVM founder reimbursement 
(~Dec 15th - Dec 20th)</t>
      </text>
    </comment>
    <comment authorId="0" ref="T17">
      <text>
        <t xml:space="preserve">Last Rent for Oakland</t>
      </text>
    </comment>
    <comment authorId="0" ref="U17">
      <text>
        <t xml:space="preserve">Makespace
</t>
      </text>
    </comment>
    <comment authorId="0" ref="V17">
      <text>
        <t xml:space="preserve">Makespace
Rent at Joey's
</t>
      </text>
    </comment>
    <comment authorId="0" ref="W17">
      <text>
        <t xml:space="preserve">Makespace
Rent at Joey's
</t>
      </text>
    </comment>
    <comment authorId="0" ref="X17">
      <text>
        <t xml:space="preserve">Joey 2 week rent 
Rent for Oct - Corinth</t>
      </text>
    </comment>
    <comment authorId="0" ref="Z17">
      <text>
        <t xml:space="preserve">$400 off rent</t>
      </text>
    </comment>
    <comment authorId="0" ref="Z19">
      <text>
        <t xml:space="preserve">Gas
Water &amp; Electric</t>
      </text>
    </comment>
    <comment authorId="0" ref="R21">
      <text>
        <t xml:space="preserve">April 06 - $195</t>
      </text>
    </comment>
    <comment authorId="0" ref="Z22">
      <text>
        <t xml:space="preserve">Nancy Pays: 
$130.09</t>
      </text>
    </comment>
    <comment authorId="0" ref="AA22">
      <text>
        <t xml:space="preserve">Nancy Pays: 
$130.09</t>
      </text>
    </comment>
    <comment authorId="0" ref="AB22">
      <text>
        <t xml:space="preserve">Nancy Pays: 
$130.09</t>
      </text>
    </comment>
    <comment authorId="0" ref="AC22">
      <text>
        <t xml:space="preserve">Nancy Pays: 
$130.09</t>
      </text>
    </comment>
    <comment authorId="0" ref="AD22">
      <text>
        <t xml:space="preserve">Nancy Pays: 
$130.09</t>
      </text>
    </comment>
    <comment authorId="0" ref="AE22">
      <text>
        <t xml:space="preserve">Nancy Pays: 
$130.09</t>
      </text>
    </comment>
    <comment authorId="0" ref="AF22">
      <text>
        <t xml:space="preserve">Nancy Pays: 
$130.09</t>
      </text>
    </comment>
    <comment authorId="0" ref="AG22">
      <text>
        <t xml:space="preserve">Nancy Pays: 
$130.09</t>
      </text>
    </comment>
    <comment authorId="0" ref="AH22">
      <text>
        <t xml:space="preserve">Nancy Pays: 
$130.09</t>
      </text>
    </comment>
    <comment authorId="0" ref="AI22">
      <text>
        <t xml:space="preserve">Nancy Pays: 
$130.09</t>
      </text>
    </comment>
    <comment authorId="0" ref="AJ22">
      <text>
        <t xml:space="preserve">Nancy Pays: 
$130.09</t>
      </text>
    </comment>
    <comment authorId="0" ref="AK22">
      <text>
        <t xml:space="preserve">$300 - bill to EVM Fund</t>
      </text>
    </comment>
    <comment authorId="0" ref="AL22">
      <text>
        <t xml:space="preserve">$300 - bill to EVM Fund</t>
      </text>
    </comment>
    <comment authorId="0" ref="AM22">
      <text>
        <t xml:space="preserve">$300 - bill to EVM Fund</t>
      </text>
    </comment>
    <comment authorId="0" ref="AN22">
      <text>
        <t xml:space="preserve">$300 - bill to EVM Fund</t>
      </text>
    </comment>
    <comment authorId="0" ref="AO22">
      <text>
        <t xml:space="preserve">$300 - bill to EVM Fund</t>
      </text>
    </comment>
    <comment authorId="0" ref="AP22">
      <text>
        <t xml:space="preserve">$300 - bill to EVM Fund</t>
      </text>
    </comment>
    <comment authorId="0" ref="AQ22">
      <text>
        <t xml:space="preserve">$300 - bill to EVM Fund</t>
      </text>
    </comment>
    <comment authorId="0" ref="AR22">
      <text>
        <t xml:space="preserve">$300 - bill to EVM Fund</t>
      </text>
    </comment>
    <comment authorId="0" ref="AS22">
      <text>
        <t xml:space="preserve">$300 - bill to EVM Fund</t>
      </text>
    </comment>
    <comment authorId="0" ref="AT22">
      <text>
        <t xml:space="preserve">$300 - bill to EVM Fund</t>
      </text>
    </comment>
    <comment authorId="0" ref="AU22">
      <text>
        <t xml:space="preserve">$300 - bill to EVM Fund</t>
      </text>
    </comment>
    <comment authorId="0" ref="AV22">
      <text>
        <t xml:space="preserve">$300 - bill to EVM Fund</t>
      </text>
    </comment>
    <comment authorId="0" ref="S23">
      <text>
        <t xml:space="preserve">$350 - Car
$100 - Insurance
$100 - Parking 
$50 - Gas
-&gt; Down Payment: $5,000</t>
      </text>
    </comment>
    <comment authorId="0" ref="T23">
      <text>
        <t xml:space="preserve">Speeding ticket lawyer</t>
      </text>
    </comment>
    <comment authorId="0" ref="U23">
      <text>
        <t xml:space="preserve">$350 - Car
$100 - Insurance
$100 - Parking 
$50 - Gas
-&gt; Down Payment: $5,000</t>
      </text>
    </comment>
    <comment authorId="0" ref="V23">
      <text>
        <t xml:space="preserve">$400 - Car
$100 - Insurance
$50 - Gas</t>
      </text>
    </comment>
    <comment authorId="0" ref="W23">
      <text>
        <t xml:space="preserve">$300 - Car
$30 - Insurance
$75 - Gas</t>
      </text>
    </comment>
    <comment authorId="0" ref="X23">
      <text>
        <t xml:space="preserve">$300 - Car
$180 - Insurance
$150 - Gas</t>
      </text>
    </comment>
    <comment authorId="0" ref="Y23">
      <text>
        <t xml:space="preserve">$300 - Car
$180 - Insurance
$100 - Gas</t>
      </text>
    </comment>
    <comment authorId="0" ref="AI23">
      <text>
        <t xml:space="preserve">Registration</t>
      </text>
    </comment>
    <comment authorId="0" ref="I24">
      <text>
        <t xml:space="preserve">Bart = $8 daily x 4 days 
Lyft = $20 on weekends </t>
      </text>
    </comment>
    <comment authorId="0" ref="J24">
      <text>
        <t xml:space="preserve">M- $0
T- $0
W- $0
Th- $20
Fr- $35
Sat- $45
Sun- $50</t>
      </text>
    </comment>
    <comment authorId="0" ref="I25">
      <text>
        <t xml:space="preserve">Bart = $8 daily x 4 days 
Lyft = $20 on weekends </t>
      </text>
    </comment>
    <comment authorId="0" ref="J28">
      <text>
        <t xml:space="preserve">M- $15
T- $15
W- $15
Th- $40
Fr- $40</t>
      </text>
    </comment>
    <comment authorId="0" ref="J29">
      <text>
        <t xml:space="preserve">Sat- $100
Sun- $100</t>
      </text>
    </comment>
    <comment authorId="0" ref="N30">
      <text>
        <t xml:space="preserve">Ballet for 2 year anniversary</t>
      </text>
    </comment>
    <comment authorId="0" ref="O30">
      <text>
        <t xml:space="preserve">Coachella Tickets</t>
      </text>
    </comment>
    <comment authorId="0" ref="B31">
      <text>
        <t xml:space="preserve">Notion
GoDaddy
Prime
Soho House
</t>
      </text>
    </comment>
    <comment authorId="0" ref="C31">
      <text>
        <t xml:space="preserve">• Spotify - $10</t>
      </text>
    </comment>
    <comment authorId="0" ref="D31">
      <text>
        <t xml:space="preserve">• Spotify - $10</t>
      </text>
    </comment>
    <comment authorId="0" ref="E31">
      <text>
        <t xml:space="preserve">• Spotify - $10</t>
      </text>
    </comment>
    <comment authorId="0" ref="F31">
      <text>
        <t xml:space="preserve">• Spotify - $10</t>
      </text>
    </comment>
    <comment authorId="0" ref="G31">
      <text>
        <t xml:space="preserve">• Spotify - $10
• Dollar Shave Club
• Adobe Cloud</t>
      </text>
    </comment>
    <comment authorId="0" ref="J31">
      <text>
        <t xml:space="preserve">Spotify 
Linkedin 
Dollar Shave</t>
      </text>
    </comment>
    <comment authorId="0" ref="Q31">
      <text>
        <t xml:space="preserve">1Password - $36.98 annual
--&gt; Move to DoceLabs</t>
      </text>
    </comment>
    <comment authorId="0" ref="S31">
      <text>
        <t xml:space="preserve">Linkedin - $60
Experian - $20
Prime - $13
Spotify - $10</t>
      </text>
    </comment>
    <comment authorId="0" ref="T31">
      <text>
        <t xml:space="preserve">Linkedin - $60
Experian - $20
Prime - $13
Spotify - $10</t>
      </text>
    </comment>
    <comment authorId="0" ref="U31">
      <text>
        <t xml:space="preserve">Linkedin - $60
Experian - $20
Prime - $13
Spotify - $10</t>
      </text>
    </comment>
    <comment authorId="0" ref="V31">
      <text>
        <t xml:space="preserve">Linkedin - $60
Experian - $20
Prime - $13
Spotify - $10
Ny Times - $4
Zoom - $14.99
Microsoft - $19.99</t>
      </text>
    </comment>
    <comment authorId="0" ref="W31">
      <text>
        <t xml:space="preserve">Linkedin - $60
Experian - $20
Prime - $13
Spotify - $10
Ny Times - $4
Zoom - $14.99
Microsoft - $69.99</t>
      </text>
    </comment>
    <comment authorId="0" ref="X31">
      <text>
        <t xml:space="preserve">Linkedin - $60
Experian - $20
Prime - $13
Spotify - $10
Ny Times - $4
Zoom - $14.99
Microsoft - $0</t>
      </text>
    </comment>
    <comment authorId="0" ref="Y31">
      <text>
        <t xml:space="preserve">Linkedin - $60
Experian - $20
Prime - $13
Spotify - $10
Ny Times - $4
Zoom - $14.99
Microsoft - $0</t>
      </text>
    </comment>
    <comment authorId="0" ref="Z31">
      <text>
        <t xml:space="preserve">Linkedin - $60
Prime - $13
Spotify - $10
Ny Times - $4
Zoom - $14.99</t>
      </text>
    </comment>
    <comment authorId="0" ref="C32">
      <text>
        <t xml:space="preserve">Coachella Tickets + Airbnb
$500 - Nancy</t>
      </text>
    </comment>
    <comment authorId="0" ref="D32">
      <text>
        <t xml:space="preserve">• Coachella Tickets + Airbnb
• New York Airbnb
$1,000 - Nancy</t>
      </text>
    </comment>
    <comment authorId="0" ref="J32">
      <text>
        <t xml:space="preserve">Nancy's Bday Expenses</t>
      </text>
    </comment>
    <comment authorId="0" ref="K32">
      <text>
        <t xml:space="preserve">Japan Trip in October</t>
      </text>
    </comment>
    <comment authorId="0" ref="M32">
      <text>
        <t xml:space="preserve">Travel home for holidays</t>
      </text>
    </comment>
    <comment authorId="0" ref="N32">
      <text>
        <t xml:space="preserve">Travel home for holidays</t>
      </text>
    </comment>
    <comment authorId="0" ref="P32">
      <text>
        <t xml:space="preserve">Tickets to Colorado
Vegas for Nolan</t>
      </text>
    </comment>
    <comment authorId="0" ref="Q32">
      <text>
        <t xml:space="preserve">Las Vegas</t>
      </text>
    </comment>
    <comment authorId="0" ref="T32">
      <text>
        <t xml:space="preserve">Rental Car - Back home
J Tree
J Tree Rental Car
Justin's BDay</t>
      </text>
    </comment>
    <comment authorId="0" ref="U32">
      <text>
        <t xml:space="preserve">Jenny's Wedding 
- Car Insurance)
Car Rental</t>
      </text>
    </comment>
    <comment authorId="0" ref="V32">
      <text>
        <t xml:space="preserve">Nancy Bday ($300)
Bday food ($600)
Present ($240)</t>
      </text>
    </comment>
    <comment authorId="0" ref="X32">
      <text>
        <t xml:space="preserve">Mateo's Bday</t>
      </text>
    </comment>
    <comment authorId="0" ref="AB32">
      <text>
        <t xml:space="preserve">Vegas Todd</t>
      </text>
    </comment>
    <comment authorId="0" ref="AC32">
      <text>
        <t xml:space="preserve">Todd &amp; Julie's Wedding
- $700 hotel
- $500 flight
Car rental</t>
      </text>
    </comment>
    <comment authorId="0" ref="AZ32">
      <text>
        <t xml:space="preserve">Vermont: 
- $650 - snowgear 
- $375 - travel 
- $300 - f&amp;b</t>
      </text>
    </comment>
    <comment authorId="0" ref="BC32">
      <text>
        <t xml:space="preserve">Mo and Mason come to NY</t>
      </text>
    </comment>
    <comment authorId="0" ref="BD32">
      <text>
        <t xml:space="preserve">Harrison bachelor party
Europe Vacation</t>
      </text>
    </comment>
    <comment authorId="0" ref="BF32">
      <text>
        <t xml:space="preserve">Rental car - $300-400 total
Request 50% from Nancy</t>
      </text>
    </comment>
    <comment authorId="0" ref="BL32">
      <text>
        <t xml:space="preserve">Proposal trip</t>
      </text>
    </comment>
    <comment authorId="0" ref="J33">
      <text>
        <t xml:space="preserve">Task Rabbit - TV
(or) White Board</t>
      </text>
    </comment>
    <comment authorId="0" ref="M33">
      <text>
        <t xml:space="preserve">Task Rabbit</t>
      </text>
    </comment>
    <comment authorId="0" ref="P33">
      <text>
        <t xml:space="preserve">Patio Set</t>
      </text>
    </comment>
    <comment authorId="0" ref="Q33">
      <text>
        <t xml:space="preserve">Plants
Ikea Home Office
Standing Desk</t>
      </text>
    </comment>
    <comment authorId="0" ref="Z33">
      <text>
        <t xml:space="preserve">Office chairs, curtains, bedding, xmas tree</t>
      </text>
    </comment>
    <comment authorId="0" ref="BG33">
      <text>
        <t xml:space="preserve">Nancy - $500 bday ring</t>
      </text>
    </comment>
    <comment authorId="0" ref="B36">
      <text>
        <t xml:space="preserve">$2k annual budget + calculate company reimbursement dental care</t>
      </text>
    </comment>
    <comment authorId="0" ref="BD36">
      <text>
        <t xml:space="preserve">Dentist if you recoup EVM investment
$2k budget</t>
      </text>
    </comment>
    <comment authorId="0" ref="AK37">
      <text>
        <t xml:space="preserve">Paid to SF doctor (need to reimburse)</t>
      </text>
    </comment>
    <comment authorId="0" ref="J38">
      <text>
        <t xml:space="preserve">Haricut - $40
Products - $20
Drycleaning -$20
Headshot - $350</t>
      </text>
    </comment>
    <comment authorId="0" ref="K38">
      <text>
        <t xml:space="preserve">Haricut - $25
Drycleaning - $25
</t>
      </text>
    </comment>
    <comment authorId="0" ref="L38">
      <text>
        <t xml:space="preserve">Haricut - $40
Products - $25
Drycleaning -$20
</t>
      </text>
    </comment>
    <comment authorId="0" ref="M38">
      <text>
        <t xml:space="preserve">Haricut - $40
Products - $25
Drycleaning -$20
</t>
      </text>
    </comment>
    <comment authorId="0" ref="N38">
      <text>
        <t xml:space="preserve">Haricuts - $50
Products - $25
Drycleaning -$20
</t>
      </text>
    </comment>
    <comment authorId="0" ref="S39">
      <text>
        <t xml:space="preserve">$175 - Equinox</t>
      </text>
    </comment>
    <comment authorId="0" ref="T39">
      <text>
        <t xml:space="preserve">$175 - Equinox</t>
      </text>
    </comment>
    <comment authorId="0" ref="U39">
      <text>
        <t xml:space="preserve">$175 - Equinox</t>
      </text>
    </comment>
    <comment authorId="0" ref="V39">
      <text>
        <t xml:space="preserve">$175 - Equinox</t>
      </text>
    </comment>
    <comment authorId="0" ref="W39">
      <text>
        <t xml:space="preserve">$175 - Equinox</t>
      </text>
    </comment>
    <comment authorId="0" ref="X39">
      <text>
        <t xml:space="preserve">$175 - Equinox</t>
      </text>
    </comment>
    <comment authorId="0" ref="Y39">
      <text>
        <t xml:space="preserve">$175 - Equinox</t>
      </text>
    </comment>
    <comment authorId="0" ref="Z39">
      <text>
        <t xml:space="preserve">$175 - Equinox</t>
      </text>
    </comment>
    <comment authorId="0" ref="AA39">
      <text>
        <t xml:space="preserve">$175 - Equinox/boxing</t>
      </text>
    </comment>
    <comment authorId="0" ref="AB39">
      <text>
        <t xml:space="preserve">$175 - Equinox</t>
      </text>
    </comment>
    <comment authorId="0" ref="AC39">
      <text>
        <t xml:space="preserve">$175 - Equinox</t>
      </text>
    </comment>
    <comment authorId="0" ref="AD39">
      <text>
        <t xml:space="preserve">$175 - Equinox</t>
      </text>
    </comment>
    <comment authorId="0" ref="AE39">
      <text>
        <t xml:space="preserve">$175 - Equinox</t>
      </text>
    </comment>
    <comment authorId="0" ref="AF39">
      <text>
        <t xml:space="preserve">$175 - Equinox</t>
      </text>
    </comment>
    <comment authorId="0" ref="AG39">
      <text>
        <t xml:space="preserve">$175 - Equinox</t>
      </text>
    </comment>
    <comment authorId="0" ref="AH39">
      <text>
        <t xml:space="preserve">$175 - Equinox</t>
      </text>
    </comment>
    <comment authorId="0" ref="AI39">
      <text>
        <t xml:space="preserve">$300 - Equinox</t>
      </text>
    </comment>
    <comment authorId="0" ref="AJ39">
      <text>
        <t xml:space="preserve">$175 - Equinox</t>
      </text>
    </comment>
    <comment authorId="0" ref="BG39">
      <text>
        <t xml:space="preserve">$175 membership 
$100 per trainer session *8 per month =$800 /mo</t>
      </text>
    </comment>
    <comment authorId="0" ref="BI39">
      <text>
        <t xml:space="preserve">$175 membership </t>
      </text>
    </comment>
    <comment authorId="0" ref="BJ39">
      <text>
        <t xml:space="preserve">Trainer Dec 1 - Dec 20</t>
      </text>
    </comment>
    <comment authorId="0" ref="R40">
      <text>
        <t xml:space="preserve">treats - $15 </t>
      </text>
    </comment>
    <comment authorId="0" ref="V40">
      <text>
        <t xml:space="preserve">Flea Meds
Shots
Haircut</t>
      </text>
    </comment>
    <comment authorId="0" ref="N41">
      <text>
        <t xml:space="preserve">Gifts</t>
      </text>
    </comment>
    <comment authorId="0" ref="P41">
      <text>
        <t xml:space="preserve">Pay UpWork Tax Filing</t>
      </text>
    </comment>
    <comment authorId="0" ref="Q41">
      <text>
        <t xml:space="preserve">HTL Dissolution -- $450 
(move to Apr)
</t>
      </text>
    </comment>
    <comment authorId="0" ref="R41">
      <text>
        <t xml:space="preserve">HTL Dissolution -- $450 
(move to May)
</t>
      </text>
    </comment>
    <comment authorId="0" ref="S41">
      <text>
        <t xml:space="preserve">Taxes for HTL</t>
      </text>
    </comment>
    <comment authorId="0" ref="T41">
      <text>
        <t xml:space="preserve">HTL 2019 Tax Filing
Dissolution of HTL
</t>
      </text>
    </comment>
    <comment authorId="0" ref="X42">
      <text>
        <t xml:space="preserve">Airpods
iPad</t>
      </text>
    </comment>
    <comment authorId="0" ref="T43">
      <text>
        <t xml:space="preserve">iPad</t>
      </text>
    </comment>
    <comment authorId="0" ref="U43">
      <text>
        <t xml:space="preserve">iPad</t>
      </text>
    </comment>
    <comment authorId="0" ref="X43">
      <text>
        <t xml:space="preserve">Moving OAK to LA</t>
      </text>
    </comment>
    <comment authorId="0" ref="BJ43">
      <text>
        <t xml:space="preserve">Wedding ring</t>
      </text>
    </comment>
    <comment authorId="0" ref="J49">
      <text>
        <t xml:space="preserve">Amazon
JCrew
Capital One</t>
      </text>
    </comment>
    <comment authorId="0" ref="AA49">
      <text>
        <t xml:space="preserve">When Mario sends $20k -&gt; 
$5k to credit card debt</t>
      </text>
    </comment>
    <comment authorId="0" ref="AB49">
      <text>
        <t xml:space="preserve">Increase to 30% if budgeted</t>
      </text>
    </comment>
    <comment authorId="0" ref="BC49">
      <text>
        <t xml:space="preserve">$132k - if Uniquity</t>
      </text>
    </comment>
    <comment authorId="0" ref="BD49">
      <text>
        <t xml:space="preserve">$132k - if Uniquity</t>
      </text>
    </comment>
    <comment authorId="0" ref="BE49">
      <text>
        <t xml:space="preserve">$132k - if Uniquity</t>
      </text>
    </comment>
    <comment authorId="0" ref="BF49">
      <text>
        <t xml:space="preserve">$132k - if Uniquity</t>
      </text>
    </comment>
    <comment authorId="0" ref="BG49">
      <text>
        <t xml:space="preserve">$150k - if Uniquity</t>
      </text>
    </comment>
    <comment authorId="0" ref="BH49">
      <text>
        <t xml:space="preserve">Priority:
- Chase Sapphire, Wells, Cap One</t>
      </text>
    </comment>
    <comment authorId="0" ref="BL49">
      <text>
        <t xml:space="preserve">$91k debt 
$90k fund 0</t>
      </text>
    </comment>
    <comment authorId="0" ref="P54">
      <text>
        <t xml:space="preserve">Domains</t>
      </text>
    </comment>
    <comment authorId="0" ref="AB54">
      <text>
        <t xml:space="preserve">Start DoceFund/DoceLabs</t>
      </text>
    </comment>
    <comment authorId="0" ref="AG54">
      <text>
        <t xml:space="preserve">DoceFund Admin
DoceFund Costs</t>
      </text>
    </comment>
    <comment authorId="0" ref="AH54">
      <text>
        <t xml:space="preserve">DoceFund Admin
EVM Fund Startup Costs</t>
      </text>
    </comment>
    <comment authorId="0" ref="AY54">
      <text>
        <t xml:space="preserve">Noime
How can we use her to make 10x more personal income?</t>
      </text>
    </comment>
    <comment authorId="0" ref="AZ54">
      <text>
        <t xml:space="preserve">Noime
How can we use her to make 10x more personal income?</t>
      </text>
    </comment>
    <comment authorId="0" ref="BA54">
      <text>
        <t xml:space="preserve">Payment for EVM thru June 15
Send $500 more for writing support</t>
      </text>
    </comment>
    <comment authorId="0" ref="BD54">
      <text>
        <t xml:space="preserve">Montenegro</t>
      </text>
    </comment>
    <comment authorId="0" ref="BE54">
      <text>
        <t xml:space="preserve">Loan from Upstart to pay Amex</t>
      </text>
    </comment>
    <comment authorId="0" ref="Q55">
      <text>
        <t xml:space="preserve">3MM, Twitter, Work, Pfizer</t>
      </text>
    </comment>
    <comment authorId="0" ref="R55">
      <text>
        <t xml:space="preserve">Zoom</t>
      </text>
    </comment>
    <comment authorId="0" ref="J60">
      <text>
        <t xml:space="preserve">#YangGang</t>
      </text>
    </comment>
    <comment authorId="0" ref="Q60">
      <text>
        <t xml:space="preserve">Adopted Koala
Homeless Man</t>
      </text>
    </comment>
    <comment authorId="0" ref="T60">
      <text>
        <t xml:space="preserve">Black Girls Code
Homeless Austinites Post-Riots</t>
      </text>
    </comment>
    <comment authorId="0" ref="AS60">
      <text>
        <t xml:space="preserve">Ken Luster</t>
      </text>
    </comment>
    <comment authorId="0" ref="H61">
      <text>
        <t xml:space="preserve">Pulled ETH from wallet to cover difference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A4">
      <text>
        <t xml:space="preserve">- Renegotiate Salary to $250k annual 
- Carry on accelerator for Matt, Yalor 
- MD, DAO Lab 
- Support on getting ConsenSys to anchor LP into fund</t>
      </text>
    </comment>
    <comment authorId="0" ref="BE4">
      <text>
        <t xml:space="preserve">$250k salary negotiation 
$250k ConsenSys
$50k EVM Fund
$20k Wgmi DAO, Consult</t>
      </text>
    </comment>
    <comment authorId="0" ref="D5">
      <text>
        <t xml:space="preserve">Tax Return
</t>
      </text>
    </comment>
    <comment authorId="0" ref="F5">
      <text>
        <t xml:space="preserve">Jean - $3,000</t>
      </text>
    </comment>
    <comment authorId="0" ref="J5">
      <text>
        <t xml:space="preserve">Loan</t>
      </text>
    </comment>
    <comment authorId="0" ref="N5">
      <text>
        <t xml:space="preserve">Jean Repayment 1/4
$500 (Dec 19)</t>
      </text>
    </comment>
    <comment authorId="0" ref="P5">
      <text>
        <t xml:space="preserve">EOY Bonus</t>
      </text>
    </comment>
    <comment authorId="0" ref="X5">
      <text>
        <t xml:space="preserve">Need to hustle to pay credit cards
$3,500 gap</t>
      </text>
    </comment>
    <comment authorId="0" ref="BE5">
      <text>
        <t xml:space="preserve">ConsenSys Bonus - $50k?</t>
      </text>
    </comment>
    <comment authorId="0" ref="Q7">
      <text>
        <t xml:space="preserve">DoceLabs Profit</t>
      </text>
    </comment>
    <comment authorId="0" ref="R7">
      <text>
        <t xml:space="preserve">DoceLabs Profit</t>
      </text>
    </comment>
    <comment authorId="0" ref="S7">
      <text>
        <t xml:space="preserve">DoceLabs Profit</t>
      </text>
    </comment>
    <comment authorId="0" ref="T7">
      <text>
        <t xml:space="preserve">Side Hustle Profit</t>
      </text>
    </comment>
    <comment authorId="0" ref="U7">
      <text>
        <t xml:space="preserve">Side Hustle Profit</t>
      </text>
    </comment>
    <comment authorId="0" ref="V7">
      <text>
        <t xml:space="preserve">Side Hustle Profit</t>
      </text>
    </comment>
    <comment authorId="0" ref="W7">
      <text>
        <t xml:space="preserve">Side Hustle Profit</t>
      </text>
    </comment>
    <comment authorId="0" ref="Y7">
      <text>
        <t xml:space="preserve">Side Hustle Profit</t>
      </text>
    </comment>
    <comment authorId="0" ref="O8">
      <text>
        <t xml:space="preserve">Jean repayment 2/4</t>
      </text>
    </comment>
    <comment authorId="0" ref="P8">
      <text>
        <t xml:space="preserve">Tax Return</t>
      </text>
    </comment>
    <comment authorId="0" ref="Q8">
      <text>
        <t xml:space="preserve">Withdraw Wealthfront</t>
      </text>
    </comment>
    <comment authorId="0" ref="R8">
      <text>
        <t xml:space="preserve">Flight refund
Jean Repayment - 3/5</t>
      </text>
    </comment>
    <comment authorId="0" ref="S8">
      <text>
        <t xml:space="preserve">Refund from flights
Pops to fico</t>
      </text>
    </comment>
    <comment authorId="0" ref="T8">
      <text>
        <t xml:space="preserve">$1,500 to be paid
Jean Repayment 5/5
Jean Repayment 4/5</t>
      </text>
    </comment>
    <comment authorId="0" ref="Y8">
      <text>
        <t xml:space="preserve">Potentially:
$13,464 post-tax
(or)
$7,000 post-tax</t>
      </text>
    </comment>
    <comment authorId="0" ref="AA8">
      <text>
        <t xml:space="preserve">Mario to pay: 
$10,000 
+
$10K to Will</t>
      </text>
    </comment>
    <comment authorId="0" ref="AC8">
      <text>
        <t xml:space="preserve">Tax Return</t>
      </text>
    </comment>
    <comment authorId="0" ref="AE8">
      <text>
        <t xml:space="preserve">$245 Mantis</t>
      </text>
    </comment>
    <comment authorId="0" ref="AG8">
      <text>
        <t xml:space="preserve">Furniture ($1200), Airdrop, Sec Deposit
=sum(1500,4000,1200)</t>
      </text>
    </comment>
    <comment authorId="0" ref="AK8">
      <text>
        <t xml:space="preserve">Reimbursement from DoceFund
+ ConsenSys referral %
+ ConsenSys reimbursement</t>
      </text>
    </comment>
    <comment authorId="0" ref="AP8">
      <text>
        <t xml:space="preserve">Tax Return</t>
      </text>
    </comment>
    <comment authorId="0" ref="AT8">
      <text>
        <t xml:space="preserve">Reimbursement Permissionless, DAO Palace</t>
      </text>
    </comment>
    <comment authorId="0" ref="AY8">
      <text>
        <t xml:space="preserve">Consulting on Community
Reimbursement from ConsenSys</t>
      </text>
    </comment>
    <comment authorId="0" ref="AZ8">
      <text>
        <t xml:space="preserve">Tax Return</t>
      </text>
    </comment>
    <comment authorId="0" ref="BA8">
      <text>
        <t xml:space="preserve">Personal Loan</t>
      </text>
    </comment>
    <comment authorId="0" ref="BD8">
      <text>
        <t xml:space="preserve">EVM Fund Payout [TBD]
$100-300k founder EVM</t>
      </text>
    </comment>
    <comment authorId="0" ref="T17">
      <text>
        <t xml:space="preserve">Last Rent for Oakland</t>
      </text>
    </comment>
    <comment authorId="0" ref="U17">
      <text>
        <t xml:space="preserve">Makespace
</t>
      </text>
    </comment>
    <comment authorId="0" ref="V17">
      <text>
        <t xml:space="preserve">Makespace
Rent at Joey's
</t>
      </text>
    </comment>
    <comment authorId="0" ref="W17">
      <text>
        <t xml:space="preserve">Makespace
Rent at Joey's
</t>
      </text>
    </comment>
    <comment authorId="0" ref="X17">
      <text>
        <t xml:space="preserve">Joey 2 week rent 
Rent for Oct - Corinth</t>
      </text>
    </comment>
    <comment authorId="0" ref="Z17">
      <text>
        <t xml:space="preserve">$400 off rent</t>
      </text>
    </comment>
    <comment authorId="0" ref="Z19">
      <text>
        <t xml:space="preserve">Gas
Water &amp; Electric</t>
      </text>
    </comment>
    <comment authorId="0" ref="R21">
      <text>
        <t xml:space="preserve">April 06 - $195</t>
      </text>
    </comment>
    <comment authorId="0" ref="Z22">
      <text>
        <t xml:space="preserve">Nancy Pays: 
$130.09</t>
      </text>
    </comment>
    <comment authorId="0" ref="AA22">
      <text>
        <t xml:space="preserve">Nancy Pays: 
$130.09</t>
      </text>
    </comment>
    <comment authorId="0" ref="AB22">
      <text>
        <t xml:space="preserve">Nancy Pays: 
$130.09</t>
      </text>
    </comment>
    <comment authorId="0" ref="AC22">
      <text>
        <t xml:space="preserve">Nancy Pays: 
$130.09</t>
      </text>
    </comment>
    <comment authorId="0" ref="AD22">
      <text>
        <t xml:space="preserve">Nancy Pays: 
$130.09</t>
      </text>
    </comment>
    <comment authorId="0" ref="AE22">
      <text>
        <t xml:space="preserve">Nancy Pays: 
$130.09</t>
      </text>
    </comment>
    <comment authorId="0" ref="AF22">
      <text>
        <t xml:space="preserve">Nancy Pays: 
$130.09</t>
      </text>
    </comment>
    <comment authorId="0" ref="AG22">
      <text>
        <t xml:space="preserve">Nancy Pays: 
$130.09</t>
      </text>
    </comment>
    <comment authorId="0" ref="AH22">
      <text>
        <t xml:space="preserve">Nancy Pays: 
$130.09</t>
      </text>
    </comment>
    <comment authorId="0" ref="AI22">
      <text>
        <t xml:space="preserve">Nancy Pays: 
$130.09</t>
      </text>
    </comment>
    <comment authorId="0" ref="AJ22">
      <text>
        <t xml:space="preserve">Nancy Pays: 
$130.09</t>
      </text>
    </comment>
    <comment authorId="0" ref="AK22">
      <text>
        <t xml:space="preserve">$300 - bill to EVM Fund</t>
      </text>
    </comment>
    <comment authorId="0" ref="AL22">
      <text>
        <t xml:space="preserve">$300 - bill to EVM Fund</t>
      </text>
    </comment>
    <comment authorId="0" ref="AM22">
      <text>
        <t xml:space="preserve">$300 - bill to EVM Fund</t>
      </text>
    </comment>
    <comment authorId="0" ref="AN22">
      <text>
        <t xml:space="preserve">$300 - bill to EVM Fund</t>
      </text>
    </comment>
    <comment authorId="0" ref="AO22">
      <text>
        <t xml:space="preserve">$300 - bill to EVM Fund</t>
      </text>
    </comment>
    <comment authorId="0" ref="AP22">
      <text>
        <t xml:space="preserve">$300 - bill to EVM Fund</t>
      </text>
    </comment>
    <comment authorId="0" ref="AQ22">
      <text>
        <t xml:space="preserve">$300 - bill to EVM Fund</t>
      </text>
    </comment>
    <comment authorId="0" ref="AR22">
      <text>
        <t xml:space="preserve">$300 - bill to EVM Fund</t>
      </text>
    </comment>
    <comment authorId="0" ref="AS22">
      <text>
        <t xml:space="preserve">$300 - bill to EVM Fund</t>
      </text>
    </comment>
    <comment authorId="0" ref="AT22">
      <text>
        <t xml:space="preserve">$300 - bill to EVM Fund</t>
      </text>
    </comment>
    <comment authorId="0" ref="AU22">
      <text>
        <t xml:space="preserve">$300 - bill to EVM Fund</t>
      </text>
    </comment>
    <comment authorId="0" ref="AV22">
      <text>
        <t xml:space="preserve">$300 - bill to EVM Fund</t>
      </text>
    </comment>
    <comment authorId="0" ref="S23">
      <text>
        <t xml:space="preserve">$350 - Car
$100 - Insurance
$100 - Parking 
$50 - Gas
-&gt; Down Payment: $5,000</t>
      </text>
    </comment>
    <comment authorId="0" ref="T23">
      <text>
        <t xml:space="preserve">Speeding ticket lawyer</t>
      </text>
    </comment>
    <comment authorId="0" ref="U23">
      <text>
        <t xml:space="preserve">$350 - Car
$100 - Insurance
$100 - Parking 
$50 - Gas
-&gt; Down Payment: $5,000</t>
      </text>
    </comment>
    <comment authorId="0" ref="V23">
      <text>
        <t xml:space="preserve">$400 - Car
$100 - Insurance
$50 - Gas</t>
      </text>
    </comment>
    <comment authorId="0" ref="W23">
      <text>
        <t xml:space="preserve">$300 - Car
$30 - Insurance
$75 - Gas</t>
      </text>
    </comment>
    <comment authorId="0" ref="X23">
      <text>
        <t xml:space="preserve">$300 - Car
$180 - Insurance
$150 - Gas</t>
      </text>
    </comment>
    <comment authorId="0" ref="Y23">
      <text>
        <t xml:space="preserve">$300 - Car
$180 - Insurance
$100 - Gas</t>
      </text>
    </comment>
    <comment authorId="0" ref="AI23">
      <text>
        <t xml:space="preserve">Registration</t>
      </text>
    </comment>
    <comment authorId="0" ref="I24">
      <text>
        <t xml:space="preserve">Bart = $8 daily x 4 days 
Lyft = $20 on weekends </t>
      </text>
    </comment>
    <comment authorId="0" ref="J24">
      <text>
        <t xml:space="preserve">M- $0
T- $0
W- $0
Th- $20
Fr- $35
Sat- $45
Sun- $50</t>
      </text>
    </comment>
    <comment authorId="0" ref="I25">
      <text>
        <t xml:space="preserve">Bart = $8 daily x 4 days 
Lyft = $20 on weekends </t>
      </text>
    </comment>
    <comment authorId="0" ref="J28">
      <text>
        <t xml:space="preserve">M- $15
T- $15
W- $15
Th- $40
Fr- $40</t>
      </text>
    </comment>
    <comment authorId="0" ref="J29">
      <text>
        <t xml:space="preserve">Sat- $100
Sun- $100</t>
      </text>
    </comment>
    <comment authorId="0" ref="N30">
      <text>
        <t xml:space="preserve">Ballet for 2 year anniversary</t>
      </text>
    </comment>
    <comment authorId="0" ref="O30">
      <text>
        <t xml:space="preserve">Coachella Tickets</t>
      </text>
    </comment>
    <comment authorId="0" ref="B31">
      <text>
        <t xml:space="preserve">Notion
GoDaddy
Prime
Soho House
</t>
      </text>
    </comment>
    <comment authorId="0" ref="C31">
      <text>
        <t xml:space="preserve">• Spotify - $10</t>
      </text>
    </comment>
    <comment authorId="0" ref="D31">
      <text>
        <t xml:space="preserve">• Spotify - $10</t>
      </text>
    </comment>
    <comment authorId="0" ref="E31">
      <text>
        <t xml:space="preserve">• Spotify - $10</t>
      </text>
    </comment>
    <comment authorId="0" ref="F31">
      <text>
        <t xml:space="preserve">• Spotify - $10</t>
      </text>
    </comment>
    <comment authorId="0" ref="G31">
      <text>
        <t xml:space="preserve">• Spotify - $10
• Dollar Shave Club
• Adobe Cloud</t>
      </text>
    </comment>
    <comment authorId="0" ref="J31">
      <text>
        <t xml:space="preserve">Spotify 
Linkedin 
Dollar Shave</t>
      </text>
    </comment>
    <comment authorId="0" ref="Q31">
      <text>
        <t xml:space="preserve">1Password - $36.98 annual
--&gt; Move to DoceLabs</t>
      </text>
    </comment>
    <comment authorId="0" ref="S31">
      <text>
        <t xml:space="preserve">Linkedin - $60
Experian - $20
Prime - $13
Spotify - $10</t>
      </text>
    </comment>
    <comment authorId="0" ref="T31">
      <text>
        <t xml:space="preserve">Linkedin - $60
Experian - $20
Prime - $13
Spotify - $10</t>
      </text>
    </comment>
    <comment authorId="0" ref="U31">
      <text>
        <t xml:space="preserve">Linkedin - $60
Experian - $20
Prime - $13
Spotify - $10</t>
      </text>
    </comment>
    <comment authorId="0" ref="V31">
      <text>
        <t xml:space="preserve">Linkedin - $60
Experian - $20
Prime - $13
Spotify - $10
Ny Times - $4
Zoom - $14.99
Microsoft - $19.99</t>
      </text>
    </comment>
    <comment authorId="0" ref="W31">
      <text>
        <t xml:space="preserve">Linkedin - $60
Experian - $20
Prime - $13
Spotify - $10
Ny Times - $4
Zoom - $14.99
Microsoft - $69.99</t>
      </text>
    </comment>
    <comment authorId="0" ref="X31">
      <text>
        <t xml:space="preserve">Linkedin - $60
Experian - $20
Prime - $13
Spotify - $10
Ny Times - $4
Zoom - $14.99
Microsoft - $0</t>
      </text>
    </comment>
    <comment authorId="0" ref="Y31">
      <text>
        <t xml:space="preserve">Linkedin - $60
Experian - $20
Prime - $13
Spotify - $10
Ny Times - $4
Zoom - $14.99
Microsoft - $0</t>
      </text>
    </comment>
    <comment authorId="0" ref="Z31">
      <text>
        <t xml:space="preserve">Linkedin - $60
Prime - $13
Spotify - $10
Ny Times - $4
Zoom - $14.99</t>
      </text>
    </comment>
    <comment authorId="0" ref="C32">
      <text>
        <t xml:space="preserve">Coachella Tickets + Airbnb
$500 - Nancy</t>
      </text>
    </comment>
    <comment authorId="0" ref="D32">
      <text>
        <t xml:space="preserve">• Coachella Tickets + Airbnb
• New York Airbnb
$1,000 - Nancy</t>
      </text>
    </comment>
    <comment authorId="0" ref="J32">
      <text>
        <t xml:space="preserve">Nancy's Bday Expenses</t>
      </text>
    </comment>
    <comment authorId="0" ref="K32">
      <text>
        <t xml:space="preserve">Japan Trip in October</t>
      </text>
    </comment>
    <comment authorId="0" ref="M32">
      <text>
        <t xml:space="preserve">Travel home for holidays</t>
      </text>
    </comment>
    <comment authorId="0" ref="N32">
      <text>
        <t xml:space="preserve">Travel home for holidays</t>
      </text>
    </comment>
    <comment authorId="0" ref="P32">
      <text>
        <t xml:space="preserve">Tickets to Colorado
Vegas for Nolan</t>
      </text>
    </comment>
    <comment authorId="0" ref="Q32">
      <text>
        <t xml:space="preserve">Las Vegas</t>
      </text>
    </comment>
    <comment authorId="0" ref="T32">
      <text>
        <t xml:space="preserve">Rental Car - Back home
J Tree
J Tree Rental Car
Justin's BDay</t>
      </text>
    </comment>
    <comment authorId="0" ref="U32">
      <text>
        <t xml:space="preserve">Jenny's Wedding 
- Car Insurance)
Car Rental</t>
      </text>
    </comment>
    <comment authorId="0" ref="V32">
      <text>
        <t xml:space="preserve">Nancy Bday ($300)
Bday food ($600)
Present ($240)</t>
      </text>
    </comment>
    <comment authorId="0" ref="X32">
      <text>
        <t xml:space="preserve">Mateo's Bday</t>
      </text>
    </comment>
    <comment authorId="0" ref="AB32">
      <text>
        <t xml:space="preserve">Vegas Todd</t>
      </text>
    </comment>
    <comment authorId="0" ref="AC32">
      <text>
        <t xml:space="preserve">Todd &amp; Julie's Wedding
- $700 hotel
- $500 flight
Car rental</t>
      </text>
    </comment>
    <comment authorId="0" ref="AZ32">
      <text>
        <t xml:space="preserve">Vermont: 
- $650 - snowgear 
- $375 - travel 
- $300 - f&amp;b</t>
      </text>
    </comment>
    <comment authorId="0" ref="BC32">
      <text>
        <t xml:space="preserve">Mo and Mason come to NY</t>
      </text>
    </comment>
    <comment authorId="0" ref="BD32">
      <text>
        <t xml:space="preserve">Harrison bachelor party</t>
      </text>
    </comment>
    <comment authorId="0" ref="J33">
      <text>
        <t xml:space="preserve">Task Rabbit - TV
(or) White Board</t>
      </text>
    </comment>
    <comment authorId="0" ref="M33">
      <text>
        <t xml:space="preserve">Task Rabbit</t>
      </text>
    </comment>
    <comment authorId="0" ref="P33">
      <text>
        <t xml:space="preserve">Patio Set</t>
      </text>
    </comment>
    <comment authorId="0" ref="Q33">
      <text>
        <t xml:space="preserve">Plants
Ikea Home Office
Standing Desk</t>
      </text>
    </comment>
    <comment authorId="0" ref="Z33">
      <text>
        <t xml:space="preserve">Office chairs, curtains, bedding, xmas tree</t>
      </text>
    </comment>
    <comment authorId="0" ref="BD33">
      <text>
        <t xml:space="preserve">New sofa? Dresser?</t>
      </text>
    </comment>
    <comment authorId="0" ref="B36">
      <text>
        <t xml:space="preserve">$2k annual budget + calculate company reimbursement dental care</t>
      </text>
    </comment>
    <comment authorId="0" ref="BD36">
      <text>
        <t xml:space="preserve">Dentist if you recoup EVM investment
$2k budget</t>
      </text>
    </comment>
    <comment authorId="0" ref="AK37">
      <text>
        <t xml:space="preserve">Paid to SF doctor (need to reimburse)</t>
      </text>
    </comment>
    <comment authorId="0" ref="J38">
      <text>
        <t xml:space="preserve">Haricut - $40
Products - $20
Drycleaning -$20
Headshot - $350</t>
      </text>
    </comment>
    <comment authorId="0" ref="K38">
      <text>
        <t xml:space="preserve">Haricut - $25
Drycleaning - $25
</t>
      </text>
    </comment>
    <comment authorId="0" ref="L38">
      <text>
        <t xml:space="preserve">Haricut - $40
Products - $25
Drycleaning -$20
</t>
      </text>
    </comment>
    <comment authorId="0" ref="M38">
      <text>
        <t xml:space="preserve">Haricut - $40
Products - $25
Drycleaning -$20
</t>
      </text>
    </comment>
    <comment authorId="0" ref="N38">
      <text>
        <t xml:space="preserve">Haricuts - $50
Products - $25
Drycleaning -$20
</t>
      </text>
    </comment>
    <comment authorId="0" ref="S39">
      <text>
        <t xml:space="preserve">$175 - Equinox</t>
      </text>
    </comment>
    <comment authorId="0" ref="T39">
      <text>
        <t xml:space="preserve">$175 - Equinox</t>
      </text>
    </comment>
    <comment authorId="0" ref="U39">
      <text>
        <t xml:space="preserve">$175 - Equinox</t>
      </text>
    </comment>
    <comment authorId="0" ref="V39">
      <text>
        <t xml:space="preserve">$175 - Equinox</t>
      </text>
    </comment>
    <comment authorId="0" ref="W39">
      <text>
        <t xml:space="preserve">$175 - Equinox</t>
      </text>
    </comment>
    <comment authorId="0" ref="X39">
      <text>
        <t xml:space="preserve">$175 - Equinox</t>
      </text>
    </comment>
    <comment authorId="0" ref="Y39">
      <text>
        <t xml:space="preserve">$175 - Equinox</t>
      </text>
    </comment>
    <comment authorId="0" ref="Z39">
      <text>
        <t xml:space="preserve">$175 - Equinox</t>
      </text>
    </comment>
    <comment authorId="0" ref="AA39">
      <text>
        <t xml:space="preserve">$175 - Equinox/boxing</t>
      </text>
    </comment>
    <comment authorId="0" ref="AB39">
      <text>
        <t xml:space="preserve">$175 - Equinox</t>
      </text>
    </comment>
    <comment authorId="0" ref="AC39">
      <text>
        <t xml:space="preserve">$175 - Equinox</t>
      </text>
    </comment>
    <comment authorId="0" ref="AD39">
      <text>
        <t xml:space="preserve">$175 - Equinox</t>
      </text>
    </comment>
    <comment authorId="0" ref="AE39">
      <text>
        <t xml:space="preserve">$175 - Equinox</t>
      </text>
    </comment>
    <comment authorId="0" ref="AF39">
      <text>
        <t xml:space="preserve">$175 - Equinox</t>
      </text>
    </comment>
    <comment authorId="0" ref="AG39">
      <text>
        <t xml:space="preserve">$175 - Equinox</t>
      </text>
    </comment>
    <comment authorId="0" ref="AH39">
      <text>
        <t xml:space="preserve">$175 - Equinox</t>
      </text>
    </comment>
    <comment authorId="0" ref="AI39">
      <text>
        <t xml:space="preserve">$300 - Equinox</t>
      </text>
    </comment>
    <comment authorId="0" ref="AJ39">
      <text>
        <t xml:space="preserve">$175 - Equinox</t>
      </text>
    </comment>
    <comment authorId="0" ref="R40">
      <text>
        <t xml:space="preserve">treats - $15 </t>
      </text>
    </comment>
    <comment authorId="0" ref="V40">
      <text>
        <t xml:space="preserve">Flea Meds
Shots
Haircut</t>
      </text>
    </comment>
    <comment authorId="0" ref="N41">
      <text>
        <t xml:space="preserve">Gifts</t>
      </text>
    </comment>
    <comment authorId="0" ref="P41">
      <text>
        <t xml:space="preserve">Pay UpWork Tax Filing</t>
      </text>
    </comment>
    <comment authorId="0" ref="Q41">
      <text>
        <t xml:space="preserve">HTL Dissolution -- $450 
(move to Apr)
</t>
      </text>
    </comment>
    <comment authorId="0" ref="R41">
      <text>
        <t xml:space="preserve">HTL Dissolution -- $450 
(move to May)
</t>
      </text>
    </comment>
    <comment authorId="0" ref="S41">
      <text>
        <t xml:space="preserve">Taxes for HTL</t>
      </text>
    </comment>
    <comment authorId="0" ref="T41">
      <text>
        <t xml:space="preserve">HTL 2019 Tax Filing
Dissolution of HTL
</t>
      </text>
    </comment>
    <comment authorId="0" ref="X42">
      <text>
        <t xml:space="preserve">Airpods
iPad</t>
      </text>
    </comment>
    <comment authorId="0" ref="T43">
      <text>
        <t xml:space="preserve">iPad</t>
      </text>
    </comment>
    <comment authorId="0" ref="U43">
      <text>
        <t xml:space="preserve">iPad</t>
      </text>
    </comment>
    <comment authorId="0" ref="X43">
      <text>
        <t xml:space="preserve">Moving OAK to LA</t>
      </text>
    </comment>
    <comment authorId="0" ref="J49">
      <text>
        <t xml:space="preserve">Amazon
JCrew
Capital One</t>
      </text>
    </comment>
    <comment authorId="0" ref="AA49">
      <text>
        <t xml:space="preserve">When Mario sends $20k -&gt; 
$5k to credit card debt</t>
      </text>
    </comment>
    <comment authorId="0" ref="AB49">
      <text>
        <t xml:space="preserve">Increase to 30% if budgeted</t>
      </text>
    </comment>
    <comment authorId="0" ref="BC49">
      <text>
        <t xml:space="preserve">$132k - if Uniquity</t>
      </text>
    </comment>
    <comment authorId="0" ref="BD52">
      <text>
        <t xml:space="preserve">$50,000 with EVM founder investment</t>
      </text>
    </comment>
    <comment authorId="0" ref="P54">
      <text>
        <t xml:space="preserve">Domains</t>
      </text>
    </comment>
    <comment authorId="0" ref="AB54">
      <text>
        <t xml:space="preserve">Start DoceFund/DoceLabs</t>
      </text>
    </comment>
    <comment authorId="0" ref="AG54">
      <text>
        <t xml:space="preserve">DoceFund Admin
DoceFund Costs</t>
      </text>
    </comment>
    <comment authorId="0" ref="AH54">
      <text>
        <t xml:space="preserve">DoceFund Admin
EVM Fund Startup Costs</t>
      </text>
    </comment>
    <comment authorId="0" ref="AY54">
      <text>
        <t xml:space="preserve">Noime
How can we use her to make 10x more personal income?</t>
      </text>
    </comment>
    <comment authorId="0" ref="AZ54">
      <text>
        <t xml:space="preserve">Noime
How can we use her to make 10x more personal income?</t>
      </text>
    </comment>
    <comment authorId="0" ref="BA54">
      <text>
        <t xml:space="preserve">Payment for EVM thru June 15
Send $500 more for writing support</t>
      </text>
    </comment>
    <comment authorId="0" ref="Q55">
      <text>
        <t xml:space="preserve">3MM, Twitter, Work, Pfizer</t>
      </text>
    </comment>
    <comment authorId="0" ref="R55">
      <text>
        <t xml:space="preserve">Zoom</t>
      </text>
    </comment>
    <comment authorId="0" ref="J59">
      <text>
        <t xml:space="preserve">#YangGang</t>
      </text>
    </comment>
    <comment authorId="0" ref="Q59">
      <text>
        <t xml:space="preserve">Adopted Koala
Homeless Man</t>
      </text>
    </comment>
    <comment authorId="0" ref="T59">
      <text>
        <t xml:space="preserve">Black Girls Code
Homeless Austinites Post-Riots</t>
      </text>
    </comment>
    <comment authorId="0" ref="AS59">
      <text>
        <t xml:space="preserve">Ken Luster</t>
      </text>
    </comment>
    <comment authorId="0" ref="H60">
      <text>
        <t xml:space="preserve">Pulled ETH from wallet to cover difference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Harrison
Jordan
Amanda
Todd
Greg
Tanner
==need===
JP
Tanner 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A4">
      <text>
        <t xml:space="preserve">- Renegotiate Salary to $250k annual 
- Carry on accelerator for Matt, Yalor 
- MD, DAO Lab 
- Support on getting ConsenSys to anchor LP into fund</t>
      </text>
    </comment>
    <comment authorId="0" ref="D5">
      <text>
        <t xml:space="preserve">Tax Return
</t>
      </text>
    </comment>
    <comment authorId="0" ref="F5">
      <text>
        <t xml:space="preserve">Jean - $3,000</t>
      </text>
    </comment>
    <comment authorId="0" ref="J5">
      <text>
        <t xml:space="preserve">Loan</t>
      </text>
    </comment>
    <comment authorId="0" ref="N5">
      <text>
        <t xml:space="preserve">Jean Repayment 1/4
$500 (Dec 19)</t>
      </text>
    </comment>
    <comment authorId="0" ref="P5">
      <text>
        <t xml:space="preserve">EOY Bonus</t>
      </text>
    </comment>
    <comment authorId="0" ref="X5">
      <text>
        <t xml:space="preserve">Need to hustle to pay credit cards
$3,500 gap</t>
      </text>
    </comment>
    <comment authorId="0" ref="BE5">
      <text>
        <t xml:space="preserve">ConsenSys Bonus - $50k?</t>
      </text>
    </comment>
    <comment authorId="0" ref="Q7">
      <text>
        <t xml:space="preserve">DoceLabs Profit</t>
      </text>
    </comment>
    <comment authorId="0" ref="R7">
      <text>
        <t xml:space="preserve">DoceLabs Profit</t>
      </text>
    </comment>
    <comment authorId="0" ref="S7">
      <text>
        <t xml:space="preserve">DoceLabs Profit</t>
      </text>
    </comment>
    <comment authorId="0" ref="T7">
      <text>
        <t xml:space="preserve">Side Hustle Profit</t>
      </text>
    </comment>
    <comment authorId="0" ref="U7">
      <text>
        <t xml:space="preserve">Side Hustle Profit</t>
      </text>
    </comment>
    <comment authorId="0" ref="V7">
      <text>
        <t xml:space="preserve">Side Hustle Profit</t>
      </text>
    </comment>
    <comment authorId="0" ref="W7">
      <text>
        <t xml:space="preserve">Side Hustle Profit</t>
      </text>
    </comment>
    <comment authorId="0" ref="Y7">
      <text>
        <t xml:space="preserve">Side Hustle Profit</t>
      </text>
    </comment>
    <comment authorId="0" ref="O8">
      <text>
        <t xml:space="preserve">Jean repayment 2/4</t>
      </text>
    </comment>
    <comment authorId="0" ref="P8">
      <text>
        <t xml:space="preserve">Tax Return</t>
      </text>
    </comment>
    <comment authorId="0" ref="Q8">
      <text>
        <t xml:space="preserve">Withdraw Wealthfront</t>
      </text>
    </comment>
    <comment authorId="0" ref="R8">
      <text>
        <t xml:space="preserve">Flight refund
Jean Repayment - 3/5</t>
      </text>
    </comment>
    <comment authorId="0" ref="S8">
      <text>
        <t xml:space="preserve">Refund from flights
Pops to fico</t>
      </text>
    </comment>
    <comment authorId="0" ref="T8">
      <text>
        <t xml:space="preserve">$1,500 to be paid
Jean Repayment 5/5
Jean Repayment 4/5</t>
      </text>
    </comment>
    <comment authorId="0" ref="Y8">
      <text>
        <t xml:space="preserve">Potentially:
$13,464 post-tax
(or)
$7,000 post-tax</t>
      </text>
    </comment>
    <comment authorId="0" ref="AA8">
      <text>
        <t xml:space="preserve">Mario to pay: 
$10,000 
+
$10K to Will</t>
      </text>
    </comment>
    <comment authorId="0" ref="AC8">
      <text>
        <t xml:space="preserve">Tax Return</t>
      </text>
    </comment>
    <comment authorId="0" ref="AE8">
      <text>
        <t xml:space="preserve">$245 Mantis</t>
      </text>
    </comment>
    <comment authorId="0" ref="AG8">
      <text>
        <t xml:space="preserve">Furniture ($1200), Airdrop, Sec Deposit
=sum(1500,4000,1200)</t>
      </text>
    </comment>
    <comment authorId="0" ref="AK8">
      <text>
        <t xml:space="preserve">Reimbursement from DoceFund
+ ConsenSys referral %
+ ConsenSys reimbursement</t>
      </text>
    </comment>
    <comment authorId="0" ref="AP8">
      <text>
        <t xml:space="preserve">Tax Return</t>
      </text>
    </comment>
    <comment authorId="0" ref="AT8">
      <text>
        <t xml:space="preserve">Reimbursement Permissionless, DAO Palace</t>
      </text>
    </comment>
    <comment authorId="0" ref="AY8">
      <text>
        <t xml:space="preserve">Consulting on Community
Reimbursement from ConsenSys</t>
      </text>
    </comment>
    <comment authorId="0" ref="AZ8">
      <text>
        <t xml:space="preserve">Tax Return</t>
      </text>
    </comment>
    <comment authorId="0" ref="BA8">
      <text>
        <t xml:space="preserve">Personal Loan</t>
      </text>
    </comment>
    <comment authorId="0" ref="BD8">
      <text>
        <t xml:space="preserve">EVM Fund Payout [TBD]
$100-300k founder EVM</t>
      </text>
    </comment>
    <comment authorId="0" ref="T17">
      <text>
        <t xml:space="preserve">Last Rent for Oakland</t>
      </text>
    </comment>
    <comment authorId="0" ref="U17">
      <text>
        <t xml:space="preserve">Makespace
</t>
      </text>
    </comment>
    <comment authorId="0" ref="V17">
      <text>
        <t xml:space="preserve">Makespace
Rent at Joey's
</t>
      </text>
    </comment>
    <comment authorId="0" ref="W17">
      <text>
        <t xml:space="preserve">Makespace
Rent at Joey's
</t>
      </text>
    </comment>
    <comment authorId="0" ref="X17">
      <text>
        <t xml:space="preserve">Joey 2 week rent 
Rent for Oct - Corinth</t>
      </text>
    </comment>
    <comment authorId="0" ref="Z17">
      <text>
        <t xml:space="preserve">$400 off rent</t>
      </text>
    </comment>
    <comment authorId="0" ref="Z19">
      <text>
        <t xml:space="preserve">Gas
Water &amp; Electric</t>
      </text>
    </comment>
    <comment authorId="0" ref="R21">
      <text>
        <t xml:space="preserve">April 06 - $195</t>
      </text>
    </comment>
    <comment authorId="0" ref="Z22">
      <text>
        <t xml:space="preserve">Nancy Pays: 
$130.09</t>
      </text>
    </comment>
    <comment authorId="0" ref="AA22">
      <text>
        <t xml:space="preserve">Nancy Pays: 
$130.09</t>
      </text>
    </comment>
    <comment authorId="0" ref="AB22">
      <text>
        <t xml:space="preserve">Nancy Pays: 
$130.09</t>
      </text>
    </comment>
    <comment authorId="0" ref="AC22">
      <text>
        <t xml:space="preserve">Nancy Pays: 
$130.09</t>
      </text>
    </comment>
    <comment authorId="0" ref="AD22">
      <text>
        <t xml:space="preserve">Nancy Pays: 
$130.09</t>
      </text>
    </comment>
    <comment authorId="0" ref="AE22">
      <text>
        <t xml:space="preserve">Nancy Pays: 
$130.09</t>
      </text>
    </comment>
    <comment authorId="0" ref="AF22">
      <text>
        <t xml:space="preserve">Nancy Pays: 
$130.09</t>
      </text>
    </comment>
    <comment authorId="0" ref="AG22">
      <text>
        <t xml:space="preserve">Nancy Pays: 
$130.09</t>
      </text>
    </comment>
    <comment authorId="0" ref="AH22">
      <text>
        <t xml:space="preserve">Nancy Pays: 
$130.09</t>
      </text>
    </comment>
    <comment authorId="0" ref="AI22">
      <text>
        <t xml:space="preserve">Nancy Pays: 
$130.09</t>
      </text>
    </comment>
    <comment authorId="0" ref="AJ22">
      <text>
        <t xml:space="preserve">Nancy Pays: 
$130.09</t>
      </text>
    </comment>
    <comment authorId="0" ref="AK22">
      <text>
        <t xml:space="preserve">$300 - bill to EVM Fund</t>
      </text>
    </comment>
    <comment authorId="0" ref="AL22">
      <text>
        <t xml:space="preserve">$300 - bill to EVM Fund</t>
      </text>
    </comment>
    <comment authorId="0" ref="AM22">
      <text>
        <t xml:space="preserve">$300 - bill to EVM Fund</t>
      </text>
    </comment>
    <comment authorId="0" ref="AN22">
      <text>
        <t xml:space="preserve">$300 - bill to EVM Fund</t>
      </text>
    </comment>
    <comment authorId="0" ref="AO22">
      <text>
        <t xml:space="preserve">$300 - bill to EVM Fund</t>
      </text>
    </comment>
    <comment authorId="0" ref="AP22">
      <text>
        <t xml:space="preserve">$300 - bill to EVM Fund</t>
      </text>
    </comment>
    <comment authorId="0" ref="AQ22">
      <text>
        <t xml:space="preserve">$300 - bill to EVM Fund</t>
      </text>
    </comment>
    <comment authorId="0" ref="AR22">
      <text>
        <t xml:space="preserve">$300 - bill to EVM Fund</t>
      </text>
    </comment>
    <comment authorId="0" ref="AS22">
      <text>
        <t xml:space="preserve">$300 - bill to EVM Fund</t>
      </text>
    </comment>
    <comment authorId="0" ref="AT22">
      <text>
        <t xml:space="preserve">$300 - bill to EVM Fund</t>
      </text>
    </comment>
    <comment authorId="0" ref="AU22">
      <text>
        <t xml:space="preserve">$300 - bill to EVM Fund</t>
      </text>
    </comment>
    <comment authorId="0" ref="AV22">
      <text>
        <t xml:space="preserve">$300 - bill to EVM Fund</t>
      </text>
    </comment>
    <comment authorId="0" ref="S23">
      <text>
        <t xml:space="preserve">$350 - Car
$100 - Insurance
$100 - Parking 
$50 - Gas
-&gt; Down Payment: $5,000</t>
      </text>
    </comment>
    <comment authorId="0" ref="T23">
      <text>
        <t xml:space="preserve">Speeding ticket lawyer</t>
      </text>
    </comment>
    <comment authorId="0" ref="U23">
      <text>
        <t xml:space="preserve">$350 - Car
$100 - Insurance
$100 - Parking 
$50 - Gas
-&gt; Down Payment: $5,000</t>
      </text>
    </comment>
    <comment authorId="0" ref="V23">
      <text>
        <t xml:space="preserve">$400 - Car
$100 - Insurance
$50 - Gas</t>
      </text>
    </comment>
    <comment authorId="0" ref="W23">
      <text>
        <t xml:space="preserve">$300 - Car
$30 - Insurance
$75 - Gas</t>
      </text>
    </comment>
    <comment authorId="0" ref="X23">
      <text>
        <t xml:space="preserve">$300 - Car
$180 - Insurance
$150 - Gas</t>
      </text>
    </comment>
    <comment authorId="0" ref="Y23">
      <text>
        <t xml:space="preserve">$300 - Car
$180 - Insurance
$100 - Gas</t>
      </text>
    </comment>
    <comment authorId="0" ref="AI23">
      <text>
        <t xml:space="preserve">Registration</t>
      </text>
    </comment>
    <comment authorId="0" ref="I24">
      <text>
        <t xml:space="preserve">Bart = $8 daily x 4 days 
Lyft = $20 on weekends </t>
      </text>
    </comment>
    <comment authorId="0" ref="J24">
      <text>
        <t xml:space="preserve">M- $0
T- $0
W- $0
Th- $20
Fr- $35
Sat- $45
Sun- $50</t>
      </text>
    </comment>
    <comment authorId="0" ref="I25">
      <text>
        <t xml:space="preserve">Bart = $8 daily x 4 days 
Lyft = $20 on weekends </t>
      </text>
    </comment>
    <comment authorId="0" ref="J28">
      <text>
        <t xml:space="preserve">M- $15
T- $15
W- $15
Th- $40
Fr- $40</t>
      </text>
    </comment>
    <comment authorId="0" ref="J29">
      <text>
        <t xml:space="preserve">Sat- $100
Sun- $100</t>
      </text>
    </comment>
    <comment authorId="0" ref="N30">
      <text>
        <t xml:space="preserve">Ballet for 2 year anniversary</t>
      </text>
    </comment>
    <comment authorId="0" ref="O30">
      <text>
        <t xml:space="preserve">Coachella Tickets</t>
      </text>
    </comment>
    <comment authorId="0" ref="B31">
      <text>
        <t xml:space="preserve">Notion
GoDaddy
Prime
Soho House
</t>
      </text>
    </comment>
    <comment authorId="0" ref="C31">
      <text>
        <t xml:space="preserve">• Spotify - $10</t>
      </text>
    </comment>
    <comment authorId="0" ref="D31">
      <text>
        <t xml:space="preserve">• Spotify - $10</t>
      </text>
    </comment>
    <comment authorId="0" ref="E31">
      <text>
        <t xml:space="preserve">• Spotify - $10</t>
      </text>
    </comment>
    <comment authorId="0" ref="F31">
      <text>
        <t xml:space="preserve">• Spotify - $10</t>
      </text>
    </comment>
    <comment authorId="0" ref="G31">
      <text>
        <t xml:space="preserve">• Spotify - $10
• Dollar Shave Club
• Adobe Cloud</t>
      </text>
    </comment>
    <comment authorId="0" ref="J31">
      <text>
        <t xml:space="preserve">Spotify 
Linkedin 
Dollar Shave</t>
      </text>
    </comment>
    <comment authorId="0" ref="Q31">
      <text>
        <t xml:space="preserve">1Password - $36.98 annual
--&gt; Move to DoceLabs</t>
      </text>
    </comment>
    <comment authorId="0" ref="S31">
      <text>
        <t xml:space="preserve">Linkedin - $60
Experian - $20
Prime - $13
Spotify - $10</t>
      </text>
    </comment>
    <comment authorId="0" ref="T31">
      <text>
        <t xml:space="preserve">Linkedin - $60
Experian - $20
Prime - $13
Spotify - $10</t>
      </text>
    </comment>
    <comment authorId="0" ref="U31">
      <text>
        <t xml:space="preserve">Linkedin - $60
Experian - $20
Prime - $13
Spotify - $10</t>
      </text>
    </comment>
    <comment authorId="0" ref="V31">
      <text>
        <t xml:space="preserve">Linkedin - $60
Experian - $20
Prime - $13
Spotify - $10
Ny Times - $4
Zoom - $14.99
Microsoft - $19.99</t>
      </text>
    </comment>
    <comment authorId="0" ref="W31">
      <text>
        <t xml:space="preserve">Linkedin - $60
Experian - $20
Prime - $13
Spotify - $10
Ny Times - $4
Zoom - $14.99
Microsoft - $69.99</t>
      </text>
    </comment>
    <comment authorId="0" ref="X31">
      <text>
        <t xml:space="preserve">Linkedin - $60
Experian - $20
Prime - $13
Spotify - $10
Ny Times - $4
Zoom - $14.99
Microsoft - $0</t>
      </text>
    </comment>
    <comment authorId="0" ref="Y31">
      <text>
        <t xml:space="preserve">Linkedin - $60
Experian - $20
Prime - $13
Spotify - $10
Ny Times - $4
Zoom - $14.99
Microsoft - $0</t>
      </text>
    </comment>
    <comment authorId="0" ref="Z31">
      <text>
        <t xml:space="preserve">Linkedin - $60
Prime - $13
Spotify - $10
Ny Times - $4
Zoom - $14.99</t>
      </text>
    </comment>
    <comment authorId="0" ref="C32">
      <text>
        <t xml:space="preserve">Coachella Tickets + Airbnb
$500 - Nancy</t>
      </text>
    </comment>
    <comment authorId="0" ref="D32">
      <text>
        <t xml:space="preserve">• Coachella Tickets + Airbnb
• New York Airbnb
$1,000 - Nancy</t>
      </text>
    </comment>
    <comment authorId="0" ref="J32">
      <text>
        <t xml:space="preserve">Nancy's Bday Expenses</t>
      </text>
    </comment>
    <comment authorId="0" ref="K32">
      <text>
        <t xml:space="preserve">Japan Trip in October</t>
      </text>
    </comment>
    <comment authorId="0" ref="M32">
      <text>
        <t xml:space="preserve">Travel home for holidays</t>
      </text>
    </comment>
    <comment authorId="0" ref="N32">
      <text>
        <t xml:space="preserve">Travel home for holidays</t>
      </text>
    </comment>
    <comment authorId="0" ref="P32">
      <text>
        <t xml:space="preserve">Tickets to Colorado
Vegas for Nolan</t>
      </text>
    </comment>
    <comment authorId="0" ref="Q32">
      <text>
        <t xml:space="preserve">Las Vegas</t>
      </text>
    </comment>
    <comment authorId="0" ref="T32">
      <text>
        <t xml:space="preserve">Rental Car - Back home
J Tree
J Tree Rental Car
Justin's BDay</t>
      </text>
    </comment>
    <comment authorId="0" ref="U32">
      <text>
        <t xml:space="preserve">Jenny's Wedding 
- Car Insurance)
Car Rental</t>
      </text>
    </comment>
    <comment authorId="0" ref="V32">
      <text>
        <t xml:space="preserve">Nancy Bday ($300)
Bday food ($600)
Present ($240)</t>
      </text>
    </comment>
    <comment authorId="0" ref="X32">
      <text>
        <t xml:space="preserve">Mateo's Bday</t>
      </text>
    </comment>
    <comment authorId="0" ref="AB32">
      <text>
        <t xml:space="preserve">Vegas Todd</t>
      </text>
    </comment>
    <comment authorId="0" ref="AC32">
      <text>
        <t xml:space="preserve">Todd &amp; Julie's Wedding
- $700 hotel
- $500 flight
Car rental</t>
      </text>
    </comment>
    <comment authorId="0" ref="AZ32">
      <text>
        <t xml:space="preserve">Vermont: 
- $650 - snowgear 
- $375 - travel 
- $300 - f&amp;b</t>
      </text>
    </comment>
    <comment authorId="0" ref="BC32">
      <text>
        <t xml:space="preserve">Mo and Mason come to NY</t>
      </text>
    </comment>
    <comment authorId="0" ref="BD32">
      <text>
        <t xml:space="preserve">Harrison bachelor party</t>
      </text>
    </comment>
    <comment authorId="0" ref="J33">
      <text>
        <t xml:space="preserve">Task Rabbit - TV
(or) White Board</t>
      </text>
    </comment>
    <comment authorId="0" ref="M33">
      <text>
        <t xml:space="preserve">Task Rabbit</t>
      </text>
    </comment>
    <comment authorId="0" ref="P33">
      <text>
        <t xml:space="preserve">Patio Set</t>
      </text>
    </comment>
    <comment authorId="0" ref="Q33">
      <text>
        <t xml:space="preserve">Plants
Ikea Home Office
Standing Desk</t>
      </text>
    </comment>
    <comment authorId="0" ref="Z33">
      <text>
        <t xml:space="preserve">Office chairs, curtains, bedding, xmas tree</t>
      </text>
    </comment>
    <comment authorId="0" ref="BD33">
      <text>
        <t xml:space="preserve">New sofa? Dresser?</t>
      </text>
    </comment>
    <comment authorId="0" ref="B36">
      <text>
        <t xml:space="preserve">$2k annual budget + calculate company reimbursement dental care</t>
      </text>
    </comment>
    <comment authorId="0" ref="BD36">
      <text>
        <t xml:space="preserve">Dentist if you recoup EVM investment
$2k budget</t>
      </text>
    </comment>
    <comment authorId="0" ref="AK37">
      <text>
        <t xml:space="preserve">Paid to SF doctor (need to reimburse)</t>
      </text>
    </comment>
    <comment authorId="0" ref="J38">
      <text>
        <t xml:space="preserve">Haricut - $40
Products - $20
Drycleaning -$20
Headshot - $350</t>
      </text>
    </comment>
    <comment authorId="0" ref="K38">
      <text>
        <t xml:space="preserve">Haricut - $25
Drycleaning - $25
</t>
      </text>
    </comment>
    <comment authorId="0" ref="L38">
      <text>
        <t xml:space="preserve">Haricut - $40
Products - $25
Drycleaning -$20
</t>
      </text>
    </comment>
    <comment authorId="0" ref="M38">
      <text>
        <t xml:space="preserve">Haricut - $40
Products - $25
Drycleaning -$20
</t>
      </text>
    </comment>
    <comment authorId="0" ref="N38">
      <text>
        <t xml:space="preserve">Haricuts - $50
Products - $25
Drycleaning -$20
</t>
      </text>
    </comment>
    <comment authorId="0" ref="S39">
      <text>
        <t xml:space="preserve">$175 - Equinox</t>
      </text>
    </comment>
    <comment authorId="0" ref="T39">
      <text>
        <t xml:space="preserve">$175 - Equinox</t>
      </text>
    </comment>
    <comment authorId="0" ref="U39">
      <text>
        <t xml:space="preserve">$175 - Equinox</t>
      </text>
    </comment>
    <comment authorId="0" ref="V39">
      <text>
        <t xml:space="preserve">$175 - Equinox</t>
      </text>
    </comment>
    <comment authorId="0" ref="W39">
      <text>
        <t xml:space="preserve">$175 - Equinox</t>
      </text>
    </comment>
    <comment authorId="0" ref="X39">
      <text>
        <t xml:space="preserve">$175 - Equinox</t>
      </text>
    </comment>
    <comment authorId="0" ref="Y39">
      <text>
        <t xml:space="preserve">$175 - Equinox</t>
      </text>
    </comment>
    <comment authorId="0" ref="Z39">
      <text>
        <t xml:space="preserve">$175 - Equinox</t>
      </text>
    </comment>
    <comment authorId="0" ref="AA39">
      <text>
        <t xml:space="preserve">$175 - Equinox/boxing</t>
      </text>
    </comment>
    <comment authorId="0" ref="AB39">
      <text>
        <t xml:space="preserve">$175 - Equinox</t>
      </text>
    </comment>
    <comment authorId="0" ref="AC39">
      <text>
        <t xml:space="preserve">$175 - Equinox</t>
      </text>
    </comment>
    <comment authorId="0" ref="AD39">
      <text>
        <t xml:space="preserve">$175 - Equinox</t>
      </text>
    </comment>
    <comment authorId="0" ref="AE39">
      <text>
        <t xml:space="preserve">$175 - Equinox</t>
      </text>
    </comment>
    <comment authorId="0" ref="AF39">
      <text>
        <t xml:space="preserve">$175 - Equinox</t>
      </text>
    </comment>
    <comment authorId="0" ref="AG39">
      <text>
        <t xml:space="preserve">$175 - Equinox</t>
      </text>
    </comment>
    <comment authorId="0" ref="AH39">
      <text>
        <t xml:space="preserve">$175 - Equinox</t>
      </text>
    </comment>
    <comment authorId="0" ref="AI39">
      <text>
        <t xml:space="preserve">$300 - Equinox</t>
      </text>
    </comment>
    <comment authorId="0" ref="AJ39">
      <text>
        <t xml:space="preserve">$175 - Equinox</t>
      </text>
    </comment>
    <comment authorId="0" ref="R40">
      <text>
        <t xml:space="preserve">treats - $15 </t>
      </text>
    </comment>
    <comment authorId="0" ref="V40">
      <text>
        <t xml:space="preserve">Flea Meds
Shots
Haircut</t>
      </text>
    </comment>
    <comment authorId="0" ref="N41">
      <text>
        <t xml:space="preserve">Gifts</t>
      </text>
    </comment>
    <comment authorId="0" ref="P41">
      <text>
        <t xml:space="preserve">Pay UpWork Tax Filing</t>
      </text>
    </comment>
    <comment authorId="0" ref="Q41">
      <text>
        <t xml:space="preserve">HTL Dissolution -- $450 
(move to Apr)
</t>
      </text>
    </comment>
    <comment authorId="0" ref="R41">
      <text>
        <t xml:space="preserve">HTL Dissolution -- $450 
(move to May)
</t>
      </text>
    </comment>
    <comment authorId="0" ref="S41">
      <text>
        <t xml:space="preserve">Taxes for HTL</t>
      </text>
    </comment>
    <comment authorId="0" ref="T41">
      <text>
        <t xml:space="preserve">HTL 2019 Tax Filing
Dissolution of HTL
</t>
      </text>
    </comment>
    <comment authorId="0" ref="X42">
      <text>
        <t xml:space="preserve">Airpods
iPad</t>
      </text>
    </comment>
    <comment authorId="0" ref="T43">
      <text>
        <t xml:space="preserve">iPad</t>
      </text>
    </comment>
    <comment authorId="0" ref="U43">
      <text>
        <t xml:space="preserve">iPad</t>
      </text>
    </comment>
    <comment authorId="0" ref="X43">
      <text>
        <t xml:space="preserve">Moving OAK to LA</t>
      </text>
    </comment>
    <comment authorId="0" ref="J49">
      <text>
        <t xml:space="preserve">Amazon
JCrew
Capital One</t>
      </text>
    </comment>
    <comment authorId="0" ref="AA49">
      <text>
        <t xml:space="preserve">When Mario sends $20k -&gt; 
$5k to credit card debt</t>
      </text>
    </comment>
    <comment authorId="0" ref="AB49">
      <text>
        <t xml:space="preserve">Increase to 30% if budgeted</t>
      </text>
    </comment>
    <comment authorId="0" ref="BC49">
      <text>
        <t xml:space="preserve">$132k - if Uniquity</t>
      </text>
    </comment>
    <comment authorId="0" ref="BD52">
      <text>
        <t xml:space="preserve">$50,000 with EVM founder investment</t>
      </text>
    </comment>
    <comment authorId="0" ref="P54">
      <text>
        <t xml:space="preserve">Domains</t>
      </text>
    </comment>
    <comment authorId="0" ref="AB54">
      <text>
        <t xml:space="preserve">Start DoceFund/DoceLabs</t>
      </text>
    </comment>
    <comment authorId="0" ref="AG54">
      <text>
        <t xml:space="preserve">DoceFund Admin
DoceFund Costs</t>
      </text>
    </comment>
    <comment authorId="0" ref="AH54">
      <text>
        <t xml:space="preserve">DoceFund Admin
EVM Fund Startup Costs</t>
      </text>
    </comment>
    <comment authorId="0" ref="AY54">
      <text>
        <t xml:space="preserve">Noime
How can we use her to make 10x more personal income?</t>
      </text>
    </comment>
    <comment authorId="0" ref="AZ54">
      <text>
        <t xml:space="preserve">Noime
How can we use her to make 10x more personal income?</t>
      </text>
    </comment>
    <comment authorId="0" ref="BA54">
      <text>
        <t xml:space="preserve">Payment for EVM thru June 15
Send $500 more for writing support</t>
      </text>
    </comment>
    <comment authorId="0" ref="Q55">
      <text>
        <t xml:space="preserve">3MM, Twitter, Work, Pfizer</t>
      </text>
    </comment>
    <comment authorId="0" ref="R55">
      <text>
        <t xml:space="preserve">Zoom</t>
      </text>
    </comment>
    <comment authorId="0" ref="J59">
      <text>
        <t xml:space="preserve">#YangGang</t>
      </text>
    </comment>
    <comment authorId="0" ref="Q59">
      <text>
        <t xml:space="preserve">Adopted Koala
Homeless Man</t>
      </text>
    </comment>
    <comment authorId="0" ref="T59">
      <text>
        <t xml:space="preserve">Black Girls Code
Homeless Austinites Post-Riots</t>
      </text>
    </comment>
    <comment authorId="0" ref="AS59">
      <text>
        <t xml:space="preserve">Ken Luster</t>
      </text>
    </comment>
    <comment authorId="0" ref="H60">
      <text>
        <t xml:space="preserve">Pulled ETH from wallet to cover difference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5">
      <text>
        <t xml:space="preserve">Invest in: 
- UpWork
- Zoom
- Strinkingly</t>
      </text>
    </comment>
    <comment authorId="0" ref="E83">
      <text>
        <t xml:space="preserve">$30*2</t>
      </text>
    </comment>
    <comment authorId="0" ref="E100">
      <text>
        <t xml:space="preserve">All expenses for EVM Fund
All personal AUM going into the fund
**See below</t>
      </text>
    </comment>
    <comment authorId="0" ref="F112">
      <text>
        <t xml:space="preserve">Goal: 
$1.2M</t>
      </text>
    </comment>
    <comment authorId="0" ref="E115">
      <text>
        <t xml:space="preserve">Initial $3,000</t>
      </text>
    </comment>
    <comment authorId="0" ref="E116">
      <text>
        <t xml:space="preserve">@ 20% APY until 100k</t>
      </text>
    </comment>
    <comment authorId="0" ref="C132">
      <text>
        <t xml:space="preserve">$1,947</t>
      </text>
    </comment>
    <comment authorId="0" ref="F132">
      <text>
        <t xml:space="preserve">Exited to stabletokens</t>
      </text>
    </comment>
    <comment authorId="0" ref="C133">
      <text>
        <t xml:space="preserve">$1,723
$1,909
+$30 fees
+$14 fees</t>
      </text>
    </comment>
    <comment authorId="0" ref="F133">
      <text>
        <t xml:space="preserve">Exited to stabletoken</t>
      </text>
    </comment>
    <comment authorId="0" ref="G133">
      <text>
        <t xml:space="preserve">$37 Coinbase fees
+2%</t>
      </text>
    </comment>
    <comment authorId="0" ref="F134">
      <text>
        <t xml:space="preserve">Exited to stabletoken</t>
      </text>
    </comment>
    <comment authorId="0" ref="F135">
      <text>
        <t xml:space="preserve">Exited to stabletokens @  $2,714.99</t>
      </text>
    </comment>
    <comment authorId="0" ref="F137">
      <text>
        <t xml:space="preserve">Exited to stabletokens at $2,610</t>
      </text>
    </comment>
    <comment authorId="0" ref="F5">
      <text>
        <t xml:space="preserve">Send $65k from personal investment from friends &gt; to new liquid wallet
	-Matt Wright
safeWallet
0xBFe94E2Ee06C22302c5E5d36AD65Ac6d286Be125
	-Matt Wright
Send them their funds in ETH. If they can get into EVM Fund as accredited investor, they can onboard that way.
	-Matt Wright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Tax Return
</t>
      </text>
    </comment>
    <comment authorId="0" ref="F5">
      <text>
        <t xml:space="preserve">Jean - $3,000</t>
      </text>
    </comment>
    <comment authorId="0" ref="J5">
      <text>
        <t xml:space="preserve">Loan</t>
      </text>
    </comment>
    <comment authorId="0" ref="N5">
      <text>
        <t xml:space="preserve">Jean Repayment 1/4
$500 (Dec 19)</t>
      </text>
    </comment>
    <comment authorId="0" ref="P5">
      <text>
        <t xml:space="preserve">EOY Bonus</t>
      </text>
    </comment>
    <comment authorId="0" ref="Q7">
      <text>
        <t xml:space="preserve">DoceLabs Profit</t>
      </text>
    </comment>
    <comment authorId="0" ref="O8">
      <text>
        <t xml:space="preserve">Jean repayment 2/4</t>
      </text>
    </comment>
    <comment authorId="0" ref="P8">
      <text>
        <t xml:space="preserve">Tax Return</t>
      </text>
    </comment>
    <comment authorId="0" ref="Q8">
      <text>
        <t xml:space="preserve">Jean Repayment 3/5
Withdraw Wealthfront</t>
      </text>
    </comment>
    <comment authorId="0" ref="R8">
      <text>
        <t xml:space="preserve">Jean Repayment 4/5</t>
      </text>
    </comment>
    <comment authorId="0" ref="S8">
      <text>
        <t xml:space="preserve">Jean Repayment 5/5</t>
      </text>
    </comment>
    <comment authorId="0" ref="I24">
      <text>
        <t xml:space="preserve">Bart = $8 daily x 4 days 
Lyft = $20 on weekends </t>
      </text>
    </comment>
    <comment authorId="0" ref="J24">
      <text>
        <t xml:space="preserve">M- $0
T- $0
W- $0
Th- $20
Fr- $35
Sat- $45
Sun- $50</t>
      </text>
    </comment>
    <comment authorId="0" ref="I25">
      <text>
        <t xml:space="preserve">Bart = $8 daily x 4 days 
Lyft = $20 on weekends </t>
      </text>
    </comment>
    <comment authorId="0" ref="J28">
      <text>
        <t xml:space="preserve">M- $15
T- $15
W- $15
Th- $40
Fr- $40</t>
      </text>
    </comment>
    <comment authorId="0" ref="J29">
      <text>
        <t xml:space="preserve">Sat- $100
Sun- $100</t>
      </text>
    </comment>
    <comment authorId="0" ref="N30">
      <text>
        <t xml:space="preserve">Ballet for 2 year anniversary</t>
      </text>
    </comment>
    <comment authorId="0" ref="O30">
      <text>
        <t xml:space="preserve">Coachella Tickets</t>
      </text>
    </comment>
    <comment authorId="0" ref="Q30">
      <text>
        <t xml:space="preserve">Coachella House</t>
      </text>
    </comment>
    <comment authorId="0" ref="R30">
      <text>
        <t xml:space="preserve">Coachella Spending</t>
      </text>
    </comment>
    <comment authorId="0" ref="C31">
      <text>
        <t xml:space="preserve">• Spotify - $10</t>
      </text>
    </comment>
    <comment authorId="0" ref="D31">
      <text>
        <t xml:space="preserve">• Spotify - $10</t>
      </text>
    </comment>
    <comment authorId="0" ref="E31">
      <text>
        <t xml:space="preserve">• Spotify - $10</t>
      </text>
    </comment>
    <comment authorId="0" ref="F31">
      <text>
        <t xml:space="preserve">• Spotify - $10</t>
      </text>
    </comment>
    <comment authorId="0" ref="G31">
      <text>
        <t xml:space="preserve">• Spotify - $10
• Dollar Shave Club
• Adobe Cloud</t>
      </text>
    </comment>
    <comment authorId="0" ref="J31">
      <text>
        <t xml:space="preserve">Spotify 
Linkedin 
Dollar Shave</t>
      </text>
    </comment>
    <comment authorId="0" ref="C32">
      <text>
        <t xml:space="preserve">Coachella Tickets + Airbnb
$500 - Nancy</t>
      </text>
    </comment>
    <comment authorId="0" ref="D32">
      <text>
        <t xml:space="preserve">• Coachella Tickets + Airbnb
• New York Airbnb
$1,000 - Nancy</t>
      </text>
    </comment>
    <comment authorId="0" ref="J32">
      <text>
        <t xml:space="preserve">Nancy's Bday Expenses</t>
      </text>
    </comment>
    <comment authorId="0" ref="K32">
      <text>
        <t xml:space="preserve">Japan Trip in October</t>
      </text>
    </comment>
    <comment authorId="0" ref="M32">
      <text>
        <t xml:space="preserve">Travel home for holidays</t>
      </text>
    </comment>
    <comment authorId="0" ref="N32">
      <text>
        <t xml:space="preserve">Travel home for holidays</t>
      </text>
    </comment>
    <comment authorId="0" ref="P32">
      <text>
        <t xml:space="preserve">Tickets to Colorado
Vegas for Nolan</t>
      </text>
    </comment>
    <comment authorId="0" ref="Q32">
      <text>
        <t xml:space="preserve">Las Vegas</t>
      </text>
    </comment>
    <comment authorId="0" ref="R32">
      <text>
        <t xml:space="preserve">Buy Flight To Jenny's Wedding</t>
      </text>
    </comment>
    <comment authorId="0" ref="S32">
      <text>
        <t xml:space="preserve">Other Vacation</t>
      </text>
    </comment>
    <comment authorId="0" ref="T32">
      <text>
        <t xml:space="preserve">Miami Vacation</t>
      </text>
    </comment>
    <comment authorId="0" ref="U32">
      <text>
        <t xml:space="preserve">Candice's Bday
Jenny's Wedding</t>
      </text>
    </comment>
    <comment authorId="0" ref="X32">
      <text>
        <t xml:space="preserve">Todd &amp; Julie's Wedding</t>
      </text>
    </comment>
    <comment authorId="0" ref="J33">
      <text>
        <t xml:space="preserve">Task Rabbit - TV
(or) White Board</t>
      </text>
    </comment>
    <comment authorId="0" ref="M33">
      <text>
        <t xml:space="preserve">Task Rabbit</t>
      </text>
    </comment>
    <comment authorId="0" ref="P33">
      <text>
        <t xml:space="preserve">Patio Set</t>
      </text>
    </comment>
    <comment authorId="0" ref="B34">
      <text>
        <t xml:space="preserve">Create "Guilt Free" section with 30% spending </t>
      </text>
    </comment>
    <comment authorId="0" ref="J38">
      <text>
        <t xml:space="preserve">Haricut - $40
Products - $20
Drycleaning -$20
Headshot - $350</t>
      </text>
    </comment>
    <comment authorId="0" ref="K38">
      <text>
        <t xml:space="preserve">Haricut - $25
Drycleaning - $25
</t>
      </text>
    </comment>
    <comment authorId="0" ref="L38">
      <text>
        <t xml:space="preserve">Haricut - $40
Products - $25
Drycleaning -$20
</t>
      </text>
    </comment>
    <comment authorId="0" ref="M38">
      <text>
        <t xml:space="preserve">Haricut - $40
Products - $25
Drycleaning -$20
</t>
      </text>
    </comment>
    <comment authorId="0" ref="N38">
      <text>
        <t xml:space="preserve">Haricuts - $50
Products - $25
Drycleaning -$20
</t>
      </text>
    </comment>
    <comment authorId="0" ref="S39">
      <text>
        <t xml:space="preserve">Equinox</t>
      </text>
    </comment>
    <comment authorId="0" ref="T39">
      <text>
        <t xml:space="preserve">Equinox</t>
      </text>
    </comment>
    <comment authorId="0" ref="U39">
      <text>
        <t xml:space="preserve">Equinox</t>
      </text>
    </comment>
    <comment authorId="0" ref="V39">
      <text>
        <t xml:space="preserve">Equinox</t>
      </text>
    </comment>
    <comment authorId="0" ref="W39">
      <text>
        <t xml:space="preserve">Equinox</t>
      </text>
    </comment>
    <comment authorId="0" ref="X39">
      <text>
        <t xml:space="preserve">Equinox</t>
      </text>
    </comment>
    <comment authorId="0" ref="Y39">
      <text>
        <t xml:space="preserve">Equinox</t>
      </text>
    </comment>
    <comment authorId="0" ref="Z39">
      <text>
        <t xml:space="preserve">Equinox</t>
      </text>
    </comment>
    <comment authorId="0" ref="N41">
      <text>
        <t xml:space="preserve">Gifts</t>
      </text>
    </comment>
    <comment authorId="0" ref="P41">
      <text>
        <t xml:space="preserve">Pay UpWork Tax Filing</t>
      </text>
    </comment>
    <comment authorId="0" ref="Q41">
      <text>
        <t xml:space="preserve">HTL Dissolution
</t>
      </text>
    </comment>
    <comment authorId="0" ref="R41">
      <text>
        <t xml:space="preserve">HTL 2019 Tax Filing</t>
      </text>
    </comment>
    <comment authorId="0" ref="U41">
      <text>
        <t xml:space="preserve">Moving Costs</t>
      </text>
    </comment>
    <comment authorId="0" ref="J47">
      <text>
        <t xml:space="preserve">Amazon
JCrew
Capital One</t>
      </text>
    </comment>
    <comment authorId="0" ref="P52">
      <text>
        <t xml:space="preserve">Domains</t>
      </text>
    </comment>
    <comment authorId="0" ref="Q53">
      <text>
        <t xml:space="preserve">3MM</t>
      </text>
    </comment>
    <comment authorId="0" ref="J58">
      <text>
        <t xml:space="preserve">#YangGang</t>
      </text>
    </comment>
    <comment authorId="0" ref="Q58">
      <text>
        <t xml:space="preserve">Adopted Koala</t>
      </text>
    </comment>
    <comment authorId="0" ref="H60">
      <text>
        <t xml:space="preserve">Pulled ETH from wallet to cover difference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Tax Return
</t>
      </text>
    </comment>
    <comment authorId="0" ref="E6">
      <text>
        <t xml:space="preserve">Jean - $3,000</t>
      </text>
    </comment>
    <comment authorId="0" ref="I6">
      <text>
        <t xml:space="preserve">Loan</t>
      </text>
    </comment>
    <comment authorId="0" ref="M6">
      <text>
        <t xml:space="preserve">Jean Repayment 1/4
$500 (Dec 19)</t>
      </text>
    </comment>
    <comment authorId="0" ref="N6">
      <text>
        <t xml:space="preserve">Jean repayment 2/4
Ryan Repayment </t>
      </text>
    </comment>
    <comment authorId="0" ref="O6">
      <text>
        <t xml:space="preserve">EOY Bonus</t>
      </text>
    </comment>
    <comment authorId="0" ref="P6">
      <text>
        <t xml:space="preserve">Tax Return
Jean Repayment 3/5</t>
      </text>
    </comment>
    <comment authorId="0" ref="Q6">
      <text>
        <t xml:space="preserve">Jean Repayment 4/5</t>
      </text>
    </comment>
    <comment authorId="0" ref="R6">
      <text>
        <t xml:space="preserve">Jean Repayment 5/5</t>
      </text>
    </comment>
    <comment authorId="0" ref="I15">
      <text>
        <t xml:space="preserve">M- $15
T- $15
W- $15
Th- $40
Fr- $40</t>
      </text>
    </comment>
    <comment authorId="0" ref="I16">
      <text>
        <t xml:space="preserve">Sat- $100
Sun- $100</t>
      </text>
    </comment>
    <comment authorId="0" ref="H18">
      <text>
        <t xml:space="preserve">Bart = $8 daily x 4 days 
Lyft = $20 on weekends </t>
      </text>
    </comment>
    <comment authorId="0" ref="H19">
      <text>
        <t xml:space="preserve">Bart = $8 daily x 4 days 
Lyft = $20 on weekends </t>
      </text>
    </comment>
    <comment authorId="0" ref="I19">
      <text>
        <t xml:space="preserve">M- $0
T- $0
W- $0
Th- $20
Fr- $35
Sat- $45
Sun- $50</t>
      </text>
    </comment>
    <comment authorId="0" ref="R20">
      <text>
        <t xml:space="preserve">Car Lease - $400 
Insurance - $120
Parking - $120</t>
      </text>
    </comment>
    <comment authorId="0" ref="S20">
      <text>
        <t xml:space="preserve">Car Lease - $400 
Insurance - $120
Parking - $120</t>
      </text>
    </comment>
    <comment authorId="0" ref="T20">
      <text>
        <t xml:space="preserve">Car Lease - $400 
Insurance - $120
Parking - $120</t>
      </text>
    </comment>
    <comment authorId="0" ref="U20">
      <text>
        <t xml:space="preserve">Car Lease - $400 
Insurance - $120
Parking - $120</t>
      </text>
    </comment>
    <comment authorId="0" ref="V20">
      <text>
        <t xml:space="preserve">Car Lease - $400 
Insurance - $120
Parking - $120</t>
      </text>
    </comment>
    <comment authorId="0" ref="W20">
      <text>
        <t xml:space="preserve">Car Lease - $400 
Insurance - $120
Parking - $120</t>
      </text>
    </comment>
    <comment authorId="0" ref="X20">
      <text>
        <t xml:space="preserve">Car Lease - $400 
Insurance - $120
Parking - $120</t>
      </text>
    </comment>
    <comment authorId="0" ref="I28">
      <text>
        <t xml:space="preserve">Task Rabbit - TV
(or) White Board</t>
      </text>
    </comment>
    <comment authorId="0" ref="L28">
      <text>
        <t xml:space="preserve">Task Rabbit</t>
      </text>
    </comment>
    <comment authorId="0" ref="I31">
      <text>
        <t xml:space="preserve">Haricut - $40
Products - $20
Drycleaning -$20
Headshot - $350</t>
      </text>
    </comment>
    <comment authorId="0" ref="J31">
      <text>
        <t xml:space="preserve">Haricut - $25
Drycleaning - $25
</t>
      </text>
    </comment>
    <comment authorId="0" ref="K31">
      <text>
        <t xml:space="preserve">Haricut - $40
Products - $25
Drycleaning -$20
</t>
      </text>
    </comment>
    <comment authorId="0" ref="L31">
      <text>
        <t xml:space="preserve">Haricut - $40
Products - $25
Drycleaning -$20
</t>
      </text>
    </comment>
    <comment authorId="0" ref="M31">
      <text>
        <t xml:space="preserve">Haricuts - $50
Products - $25
Drycleaning -$20
</t>
      </text>
    </comment>
    <comment authorId="0" ref="B38">
      <text>
        <t xml:space="preserve">• Spotify - $10</t>
      </text>
    </comment>
    <comment authorId="0" ref="C38">
      <text>
        <t xml:space="preserve">• Spotify - $10</t>
      </text>
    </comment>
    <comment authorId="0" ref="D38">
      <text>
        <t xml:space="preserve">• Spotify - $10</t>
      </text>
    </comment>
    <comment authorId="0" ref="E38">
      <text>
        <t xml:space="preserve">• Spotify - $10</t>
      </text>
    </comment>
    <comment authorId="0" ref="F38">
      <text>
        <t xml:space="preserve">• Spotify - $10
• Dollar Shave Club
• Adobe Cloud</t>
      </text>
    </comment>
    <comment authorId="0" ref="I38">
      <text>
        <t xml:space="preserve">Spotify 
Linkedin 
Dollar Shave</t>
      </text>
    </comment>
    <comment authorId="0" ref="B39">
      <text>
        <t xml:space="preserve">Coachella Tickets + Airbnb
$500 - Nancy</t>
      </text>
    </comment>
    <comment authorId="0" ref="C39">
      <text>
        <t xml:space="preserve">• Coachella Tickets + Airbnb
• New York Airbnb
$1,000 - Nancy</t>
      </text>
    </comment>
    <comment authorId="0" ref="I39">
      <text>
        <t xml:space="preserve">Nancy's Bday Expenses</t>
      </text>
    </comment>
    <comment authorId="0" ref="J39">
      <text>
        <t xml:space="preserve">Japan Trip in October</t>
      </text>
    </comment>
    <comment authorId="0" ref="L39">
      <text>
        <t xml:space="preserve">Travel home for holidays</t>
      </text>
    </comment>
    <comment authorId="0" ref="M39">
      <text>
        <t xml:space="preserve">Travel home for holidays</t>
      </text>
    </comment>
    <comment authorId="0" ref="O39">
      <text>
        <t xml:space="preserve">Tickets to Colorado
Tickets to Ireland</t>
      </text>
    </comment>
    <comment authorId="0" ref="S39">
      <text>
        <t xml:space="preserve">Summer Vacation</t>
      </text>
    </comment>
    <comment authorId="0" ref="M40">
      <text>
        <t xml:space="preserve">Ballet for 2 year anniversary</t>
      </text>
    </comment>
    <comment authorId="0" ref="O40">
      <text>
        <t xml:space="preserve">Coachella
- Tickets
- House</t>
      </text>
    </comment>
    <comment authorId="0" ref="M41">
      <text>
        <t xml:space="preserve">Gifts</t>
      </text>
    </comment>
    <comment authorId="0" ref="O41">
      <text>
        <t xml:space="preserve">- Ipad? 
- Laptop
- Nancy Gift</t>
      </text>
    </comment>
    <comment authorId="0" ref="Q41">
      <text>
        <t xml:space="preserve">Laptop</t>
      </text>
    </comment>
    <comment authorId="0" ref="R41">
      <text>
        <t xml:space="preserve">Wallet</t>
      </text>
    </comment>
    <comment authorId="0" ref="I47">
      <text>
        <t xml:space="preserve">Amazon
JCrew
Capital One</t>
      </text>
    </comment>
    <comment authorId="0" ref="A52">
      <text>
        <t xml:space="preserve">UpWork - $150 /mo.
Arounda Agency - TBD
Internt</t>
      </text>
    </comment>
    <comment authorId="0" ref="I58">
      <text>
        <t xml:space="preserve">#YangGang</t>
      </text>
    </comment>
    <comment authorId="0" ref="G60">
      <text>
        <t xml:space="preserve">Pulled ETH from wallet to cover difference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6">
      <text>
        <t xml:space="preserve">Jean - $3,000</t>
      </text>
    </comment>
    <comment authorId="0" ref="B19">
      <text>
        <t xml:space="preserve">Task Rabbit - TV
(or) White Board</t>
      </text>
    </comment>
    <comment authorId="0" ref="C19">
      <text>
        <t xml:space="preserve">Outdoor Table</t>
      </text>
    </comment>
    <comment authorId="0" ref="B27">
      <text>
        <t xml:space="preserve">Nancy's Bday Expenses</t>
      </text>
    </comment>
    <comment authorId="0" ref="C27">
      <text>
        <t xml:space="preserve">Japan Trip in October</t>
      </text>
    </comment>
    <comment authorId="0" ref="F27">
      <text>
        <t xml:space="preserve">Flight home for Christmas</t>
      </text>
    </comment>
    <comment authorId="0" ref="B30">
      <text>
        <t xml:space="preserve">Hashtag Dissolution</t>
      </text>
    </comment>
    <comment authorId="0" ref="F30">
      <text>
        <t xml:space="preserve">Christmas Presents</t>
      </text>
    </comment>
    <comment authorId="0" ref="H30">
      <text>
        <t xml:space="preserve">C-Corp Annual Fee</t>
      </text>
    </comment>
    <comment authorId="0" ref="M30">
      <text>
        <t xml:space="preserve">Moving Costs:
- Moving Company - $2100 
- Install/ Boxing - $200
- Couch - $1000
- Flights - $600</t>
      </text>
    </comment>
    <comment authorId="0" ref="B40">
      <text>
        <t xml:space="preserve">Capital One (1)
Slate
JCrew
Wells Fargo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DoceLabs Profit</t>
      </text>
    </comment>
    <comment authorId="0" ref="D6">
      <text>
        <t xml:space="preserve">DoceLabs Profit</t>
      </text>
    </comment>
    <comment authorId="0" ref="C41">
      <text>
        <t xml:space="preserve">UpWork Contractors
</t>
      </text>
    </comment>
    <comment authorId="0" ref="D41">
      <text>
        <t xml:space="preserve">UpWork Contractors
</t>
      </text>
    </comment>
    <comment authorId="0" ref="E41">
      <text>
        <t xml:space="preserve">UpWork Contractors
</t>
      </text>
    </comment>
    <comment authorId="0" ref="F41">
      <text>
        <t xml:space="preserve">UpWork Contractors
</t>
      </text>
    </comment>
    <comment authorId="0" ref="G41">
      <text>
        <t xml:space="preserve">UpWork Contractors
</t>
      </text>
    </comment>
    <comment authorId="0" ref="H41">
      <text>
        <t xml:space="preserve">UpWork Contractors
</t>
      </text>
    </comment>
    <comment authorId="0" ref="I41">
      <text>
        <t xml:space="preserve">UpWork Contractors
</t>
      </text>
    </comment>
    <comment authorId="0" ref="J41">
      <text>
        <t xml:space="preserve">UpWork Contractors
</t>
      </text>
    </comment>
    <comment authorId="0" ref="K41">
      <text>
        <t xml:space="preserve">UpWork Contractors
</t>
      </text>
    </comment>
    <comment authorId="0" ref="L41">
      <text>
        <t xml:space="preserve">UpWork Contractors
</t>
      </text>
    </comment>
    <comment authorId="0" ref="M41">
      <text>
        <t xml:space="preserve">UpWork Contractors
</t>
      </text>
    </comment>
    <comment authorId="0" ref="N41">
      <text>
        <t xml:space="preserve">UpWork Contractors
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DoceLabs Profit</t>
      </text>
    </comment>
    <comment authorId="0" ref="D6">
      <text>
        <t xml:space="preserve">DoceLabs Profit</t>
      </text>
    </comment>
    <comment authorId="0" ref="C33">
      <text>
        <t xml:space="preserve">Plants
Ikea Home Office</t>
      </text>
    </comment>
    <comment authorId="0" ref="B34">
      <text>
        <t xml:space="preserve">Create "Guilt Free" section with 30% spending </t>
      </text>
    </comment>
    <comment authorId="0" ref="C41">
      <text>
        <t xml:space="preserve">UpWork Contractors
</t>
      </text>
    </comment>
    <comment authorId="0" ref="D41">
      <text>
        <t xml:space="preserve">UpWork Contractors
</t>
      </text>
    </comment>
    <comment authorId="0" ref="E41">
      <text>
        <t xml:space="preserve">UpWork Contractors
</t>
      </text>
    </comment>
    <comment authorId="0" ref="F41">
      <text>
        <t xml:space="preserve">UpWork Contractors
</t>
      </text>
    </comment>
    <comment authorId="0" ref="G41">
      <text>
        <t xml:space="preserve">UpWork Contractors
</t>
      </text>
    </comment>
    <comment authorId="0" ref="H41">
      <text>
        <t xml:space="preserve">UpWork Contractors
</t>
      </text>
    </comment>
    <comment authorId="0" ref="I41">
      <text>
        <t xml:space="preserve">UpWork Contractors
</t>
      </text>
    </comment>
    <comment authorId="0" ref="J41">
      <text>
        <t xml:space="preserve">UpWork Contractors
</t>
      </text>
    </comment>
    <comment authorId="0" ref="K41">
      <text>
        <t xml:space="preserve">UpWork Contractors
</t>
      </text>
    </comment>
    <comment authorId="0" ref="L41">
      <text>
        <t xml:space="preserve">UpWork Contractors
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DoceLabs Profit</t>
      </text>
    </comment>
    <comment authorId="0" ref="D6">
      <text>
        <t xml:space="preserve">DoceLabs Profit</t>
      </text>
    </comment>
    <comment authorId="0" ref="C33">
      <text>
        <t xml:space="preserve">Plants
Ikea Home Office</t>
      </text>
    </comment>
    <comment authorId="0" ref="B34">
      <text>
        <t xml:space="preserve">Create "Guilt Free" section with 30% spending </t>
      </text>
    </comment>
    <comment authorId="0" ref="C41">
      <text>
        <t xml:space="preserve">UpWork Contractors
</t>
      </text>
    </comment>
    <comment authorId="0" ref="D41">
      <text>
        <t xml:space="preserve">UpWork Contractors
</t>
      </text>
    </comment>
    <comment authorId="0" ref="E41">
      <text>
        <t xml:space="preserve">UpWork Contractors
</t>
      </text>
    </comment>
    <comment authorId="0" ref="F41">
      <text>
        <t xml:space="preserve">UpWork Contractors
</t>
      </text>
    </comment>
    <comment authorId="0" ref="G41">
      <text>
        <t xml:space="preserve">UpWork Contractors
</t>
      </text>
    </comment>
    <comment authorId="0" ref="H41">
      <text>
        <t xml:space="preserve">UpWork Contractors
</t>
      </text>
    </comment>
    <comment authorId="0" ref="I41">
      <text>
        <t xml:space="preserve">UpWork Contractors
</t>
      </text>
    </comment>
    <comment authorId="0" ref="J41">
      <text>
        <t xml:space="preserve">UpWork Contractors
</t>
      </text>
    </comment>
    <comment authorId="0" ref="K41">
      <text>
        <t xml:space="preserve">UpWork Contractors
</t>
      </text>
    </comment>
    <comment authorId="0" ref="L41">
      <text>
        <t xml:space="preserve">UpWork Contractors
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">
      <text>
        <t xml:space="preserve">Paid: 
10/15/2019
11/15/2019
12/15/2019</t>
      </text>
    </comment>
    <comment authorId="0" ref="C10">
      <text>
        <t xml:space="preserve">Paid: 
11/1/2019</t>
      </text>
    </comment>
    <comment authorId="0" ref="B11">
      <text>
        <t xml:space="preserve">Pay Schedule: 
- $100 (Feb)
- $1,000 (Mar)
- $1,000 (April)
- $1,000 (May)
- $1,000 (June)
- $2,466 (July)</t>
      </text>
    </comment>
    <comment authorId="0" ref="C11">
      <text>
        <t xml:space="preserve">Paid: 
12/15/2019</t>
      </text>
    </comment>
    <comment authorId="0" ref="B12">
      <text>
        <t xml:space="preserve">Pay Schedule: 
- $1,000 (Feb)
- $2,500 (Mar)
- $2,500 (April)
- $2,500 (May)
- $2,500 (June)
- $800 (July)</t>
      </text>
    </comment>
    <comment authorId="0" ref="C12">
      <text>
        <t xml:space="preserve">Paid: 
11/1/2019
12/15/2019
1/1/2020
2/1/2020</t>
      </text>
    </comment>
    <comment authorId="0" ref="B13">
      <text>
        <t xml:space="preserve">Pay Schedule: 
- $1,000 (Feb)
- $1,000 (Mar)
- $1,000 (April)
- $1,000 (May)
- $1,000 (June)
- $2,000 (July)
- $2,000 (Aug)
- $2080 (Sept)</t>
      </text>
    </comment>
    <comment authorId="0" ref="C13">
      <text>
        <t xml:space="preserve">Paid: 
11/15/2019 (Only $50)
</t>
      </text>
    </comment>
    <comment authorId="0" ref="C14">
      <text>
        <t xml:space="preserve">Paid: 
10/15/2019</t>
      </text>
    </comment>
    <comment authorId="0" ref="B15">
      <text>
        <t xml:space="preserve">Pay Schedule: 
- $500 (Mar)
- $500 (April)
- $500 (May)
- $500 (June)
- $500 (July)
- $500 (Aug)</t>
      </text>
    </comment>
    <comment authorId="0" ref="C16">
      <text>
        <t xml:space="preserve">Paid: 
10/15/2019
11/1/2019</t>
      </text>
    </comment>
    <comment authorId="0" ref="D16">
      <text>
        <t xml:space="preserve">24.99%</t>
      </text>
    </comment>
    <comment authorId="0" ref="C17">
      <text>
        <t xml:space="preserve">Paid:
10/15/2019
1/1/2020
1/15/2020
2/1/2020 ($700)</t>
      </text>
    </comment>
    <comment authorId="0" ref="C18">
      <text>
        <t xml:space="preserve">Paid:
10/15/2019
11/15/2019
1/1/2020</t>
      </text>
    </comment>
    <comment authorId="0" ref="D19">
      <text>
        <t xml:space="preserve">26.94%</t>
      </text>
    </comment>
    <comment authorId="0" ref="D20">
      <text>
        <t xml:space="preserve">27.74%</t>
      </text>
    </comment>
    <comment authorId="0" ref="D21">
      <text>
        <t xml:space="preserve">27.2%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7">
      <text>
        <t xml:space="preserve">From Jean/ DoceLabs</t>
      </text>
    </comment>
    <comment authorId="0" ref="J8">
      <text>
        <t xml:space="preserve">Kaplan</t>
      </text>
    </comment>
    <comment authorId="0" ref="K8">
      <text>
        <t xml:space="preserve">Kaplan</t>
      </text>
    </comment>
    <comment authorId="0" ref="N8">
      <text>
        <t xml:space="preserve">NetCredit Loan</t>
      </text>
    </comment>
    <comment authorId="0" ref="K23">
      <text>
        <t xml:space="preserve">Mexico City</t>
      </text>
    </comment>
    <comment authorId="0" ref="K26">
      <text>
        <t xml:space="preserve">• Airpods
• TV
• Bar Set + Utensils</t>
      </text>
    </comment>
    <comment authorId="0" ref="O26">
      <text>
        <t xml:space="preserve">Xmas Presents</t>
      </text>
    </comment>
    <comment authorId="0" ref="N33">
      <text>
        <t xml:space="preserve">PP1:
- Eddie ($450)
- Nancy - $500
- Will ($1500)
- Pay Capital One - 1 ($101)
- Pay Capital One - 2 ($63)
- Pay Wells Fargo ($207)
- Pay Amazon ($185)
- Grandma ($100)
- Parents ($1000)
PP2: 
- Eddie $450
- Will $1500
- Nancy  - $2000</t>
      </text>
    </comment>
    <comment authorId="0" ref="O33">
      <text>
        <t xml:space="preserve">- Eddie ($450)*paid
- Will ($750)*paid
- JCrew ($27)*paid
- Chase Slate ($25)*paid
- Capital One - 1 ($115)
- Nordstrom ($96)*paid
- Wells Fargo ($42.16)*paid
- NetCredit ($400)
- Nancy ($500)*paid</t>
      </text>
    </comment>
  </commentLi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This organizes assets by group and creates days-since-update content by referencing the All Accounts section</t>
      </text>
    </comment>
    <comment authorId="0" ref="Q1">
      <text>
        <t xml:space="preserve">This organizes liabilities by group and creates days-since-update content by referencing the All Accounts section</t>
      </text>
    </comment>
    <comment authorId="0" ref="X1">
      <text>
        <t xml:space="preserve">Core Sheet column and range lookups</t>
      </text>
    </comment>
    <comment authorId="0" ref="X2">
      <text>
        <t xml:space="preserve">Accounts core sheet lookups</t>
      </text>
    </comment>
    <comment authorId="0" ref="J3">
      <text>
        <t xml:space="preserve">References Sorted Assets group information to generate row indices for _grouped_ listings for unhidden Balances section</t>
      </text>
    </comment>
    <comment authorId="0" ref="K3">
      <text>
        <t xml:space="preserve">Reorganizes All Accounts _assets_ section content by group and calculates days since last update</t>
      </text>
    </comment>
    <comment authorId="0" ref="Q3">
      <text>
        <t xml:space="preserve">References Sorted Liabilities group information to generate row indices for _grouped_ listings for unhidden Balances section</t>
      </text>
    </comment>
    <comment authorId="0" ref="R3">
      <text>
        <t xml:space="preserve">Reorganizes All Accounts _liabilities_ section content by group and calculates days since last update</t>
      </text>
    </comment>
  </commentLi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F1">
      <text>
        <t xml:space="preserve">Dynamic lookups to external reference data (in Balance History)</t>
      </text>
    </comment>
    <comment authorId="0" ref="AF2">
      <text>
        <t xml:space="preserve">Balance History core sheet lookups</t>
      </text>
    </comment>
    <comment authorId="0" ref="AF13">
      <text>
        <t xml:space="preserve">Balance History core sheet lookups</t>
      </text>
    </comment>
  </commentList>
</comments>
</file>

<file path=xl/sharedStrings.xml><?xml version="1.0" encoding="utf-8"?>
<sst xmlns="http://schemas.openxmlformats.org/spreadsheetml/2006/main" count="4027" uniqueCount="1341">
  <si>
    <t>Payment Schedule 2018</t>
  </si>
  <si>
    <t>Schedule</t>
  </si>
  <si>
    <t>Week 1</t>
  </si>
  <si>
    <t>Week 2</t>
  </si>
  <si>
    <t>REMAINING BALANCE</t>
  </si>
  <si>
    <t>TOTAL SAVINGS</t>
  </si>
  <si>
    <t>TOTAL DEBT</t>
  </si>
  <si>
    <t>Starting Balance</t>
  </si>
  <si>
    <t>Income #1</t>
  </si>
  <si>
    <t>Additional Income</t>
  </si>
  <si>
    <t>EXPENSES</t>
  </si>
  <si>
    <t>SAVINGS</t>
  </si>
  <si>
    <t>DEBTS MANAGEMENT</t>
  </si>
  <si>
    <t>PERSONAL EXPENSES</t>
  </si>
  <si>
    <t>BUSINESS EXPENSES</t>
  </si>
  <si>
    <t>NON-PROFIT</t>
  </si>
  <si>
    <t>Net</t>
  </si>
  <si>
    <t>WEEK 1</t>
  </si>
  <si>
    <t>WEEK 2</t>
  </si>
  <si>
    <t>TOTAL</t>
  </si>
  <si>
    <t>STATUS</t>
  </si>
  <si>
    <t>SCHEDULE</t>
  </si>
  <si>
    <t>Groceries</t>
  </si>
  <si>
    <t>ACTIVE</t>
  </si>
  <si>
    <t>Restaurants &amp; Bars</t>
  </si>
  <si>
    <t xml:space="preserve">Services </t>
  </si>
  <si>
    <t>Spotify, Nomad List</t>
  </si>
  <si>
    <t>Travel (Hosting, Flights)</t>
  </si>
  <si>
    <t>PAUSED</t>
  </si>
  <si>
    <t>Clothing</t>
  </si>
  <si>
    <t>Healthcare</t>
  </si>
  <si>
    <t>Misc.</t>
  </si>
  <si>
    <t>Travel (Simple)</t>
  </si>
  <si>
    <t>Rainy Day (Simple)</t>
  </si>
  <si>
    <t>INVEST</t>
  </si>
  <si>
    <t>Hashtag Language</t>
  </si>
  <si>
    <t>Roth IRA</t>
  </si>
  <si>
    <t>Ethereum</t>
  </si>
  <si>
    <t>Bitcoin</t>
  </si>
  <si>
    <t>EOS</t>
  </si>
  <si>
    <t>XRP</t>
  </si>
  <si>
    <t>NEO</t>
  </si>
  <si>
    <t>*Hold for Nancy</t>
  </si>
  <si>
    <t>DCR</t>
  </si>
  <si>
    <t>XLM</t>
  </si>
  <si>
    <t>ETrade</t>
  </si>
  <si>
    <t>TSLA, AMZN, FB</t>
  </si>
  <si>
    <t>DEBTS</t>
  </si>
  <si>
    <t>Capital One</t>
  </si>
  <si>
    <t>1st, 15th</t>
  </si>
  <si>
    <t xml:space="preserve">Wells Fargo </t>
  </si>
  <si>
    <t>1st, 15th (15 Payments~12/1/2017)</t>
  </si>
  <si>
    <t>NuVision</t>
  </si>
  <si>
    <t>1st (7 Payments~12/1/2017)</t>
  </si>
  <si>
    <t>Braden (Venmo)</t>
  </si>
  <si>
    <t>4% APR (32 Payments~12/1/2017)</t>
  </si>
  <si>
    <t>Grandma (Venmo)</t>
  </si>
  <si>
    <t>1st</t>
  </si>
  <si>
    <t>JCrew</t>
  </si>
  <si>
    <t>15th</t>
  </si>
  <si>
    <t>Great Lakes</t>
  </si>
  <si>
    <t>TBD</t>
  </si>
  <si>
    <t>LLC Disolution</t>
  </si>
  <si>
    <t>Dad &amp; Mom</t>
  </si>
  <si>
    <t>Paypal</t>
  </si>
  <si>
    <t>PAID OFF</t>
  </si>
  <si>
    <t>Nordstrom</t>
  </si>
  <si>
    <t>PHILANTHOPY</t>
  </si>
  <si>
    <t>Donations</t>
  </si>
  <si>
    <t>Active English</t>
  </si>
  <si>
    <t>DASHBOARD</t>
  </si>
  <si>
    <t>XXXX</t>
  </si>
  <si>
    <t>Avg. Monthly Net</t>
  </si>
  <si>
    <t>Net worth</t>
  </si>
  <si>
    <t>Credit Score</t>
  </si>
  <si>
    <t>Credit Usage</t>
  </si>
  <si>
    <t>Debt</t>
  </si>
  <si>
    <t>xxxx</t>
  </si>
  <si>
    <t xml:space="preserve">Goals: </t>
  </si>
  <si>
    <t>- $350k salary</t>
  </si>
  <si>
    <t>- Exercise $8k CSI shares</t>
  </si>
  <si>
    <t>- Pay $50k liabilities</t>
  </si>
  <si>
    <t>(Upstart, Sapphire priorities, lower spending 50%)</t>
  </si>
  <si>
    <t>- $30k to invest into seed</t>
  </si>
  <si>
    <t>- Purchase Jaeger LeCouture</t>
  </si>
  <si>
    <t>- $20k in ETH, $20k in BTC</t>
  </si>
  <si>
    <t>- $30k cash savings (75% in high yield)</t>
  </si>
  <si>
    <t>Amount Needed</t>
  </si>
  <si>
    <t xml:space="preserve">Due </t>
  </si>
  <si>
    <t>- 800 credit score</t>
  </si>
  <si>
    <t xml:space="preserve">Consensys Shares </t>
  </si>
  <si>
    <t>- $10k in IRA, Stocks</t>
  </si>
  <si>
    <t>Stock, IRA</t>
  </si>
  <si>
    <t>Savings</t>
  </si>
  <si>
    <t>Categories</t>
  </si>
  <si>
    <t>Jan</t>
  </si>
  <si>
    <t>Feb</t>
  </si>
  <si>
    <t>Mar</t>
  </si>
  <si>
    <t>Apr</t>
  </si>
  <si>
    <t>May</t>
  </si>
  <si>
    <t>Jun</t>
  </si>
  <si>
    <t>Jul '19</t>
  </si>
  <si>
    <t>Aug '19</t>
  </si>
  <si>
    <t>Sept '19</t>
  </si>
  <si>
    <t>Oct '19</t>
  </si>
  <si>
    <t>Nov '19</t>
  </si>
  <si>
    <t>Dec '19</t>
  </si>
  <si>
    <t>Jan '20</t>
  </si>
  <si>
    <t>Feb '20</t>
  </si>
  <si>
    <t>Mar '20</t>
  </si>
  <si>
    <t>Apr '20</t>
  </si>
  <si>
    <t>May '20</t>
  </si>
  <si>
    <t>Jun '20</t>
  </si>
  <si>
    <t>Jul '20</t>
  </si>
  <si>
    <t>Aug '20</t>
  </si>
  <si>
    <t>Sep '20</t>
  </si>
  <si>
    <t>Oct '20</t>
  </si>
  <si>
    <t>Nov '20</t>
  </si>
  <si>
    <t>Dec '20</t>
  </si>
  <si>
    <t>Jan '21</t>
  </si>
  <si>
    <t>Feb'21</t>
  </si>
  <si>
    <t>Mar '21</t>
  </si>
  <si>
    <t>Apr '21</t>
  </si>
  <si>
    <t>May '21</t>
  </si>
  <si>
    <t>Jun '21</t>
  </si>
  <si>
    <t>Jul '21</t>
  </si>
  <si>
    <t>Aug '21</t>
  </si>
  <si>
    <t>Sept '21</t>
  </si>
  <si>
    <t>Oct '21</t>
  </si>
  <si>
    <t>Nov '21</t>
  </si>
  <si>
    <t>Dec '21</t>
  </si>
  <si>
    <t>Jan '22</t>
  </si>
  <si>
    <t>Feb '22</t>
  </si>
  <si>
    <t>Mar '22</t>
  </si>
  <si>
    <t>Apr '22</t>
  </si>
  <si>
    <t>May '22</t>
  </si>
  <si>
    <t>Jun '22</t>
  </si>
  <si>
    <t>July '22</t>
  </si>
  <si>
    <t>Aug '22</t>
  </si>
  <si>
    <t>Sept '22</t>
  </si>
  <si>
    <t>Oct '22</t>
  </si>
  <si>
    <t>Nov '22</t>
  </si>
  <si>
    <t>Dec '22</t>
  </si>
  <si>
    <t>Jan '23</t>
  </si>
  <si>
    <t>Feb '23</t>
  </si>
  <si>
    <t>Mar '23</t>
  </si>
  <si>
    <t>Apr '23</t>
  </si>
  <si>
    <t>May '23</t>
  </si>
  <si>
    <t>Jun '23</t>
  </si>
  <si>
    <t>Jul '23</t>
  </si>
  <si>
    <t>Aug '23</t>
  </si>
  <si>
    <t>Sept '23</t>
  </si>
  <si>
    <t>Oct '23</t>
  </si>
  <si>
    <t>Nov '23</t>
  </si>
  <si>
    <t>Dec '23</t>
  </si>
  <si>
    <t>FY 2023</t>
  </si>
  <si>
    <t>Jan '24</t>
  </si>
  <si>
    <t>Feb '24</t>
  </si>
  <si>
    <t>Mar '24</t>
  </si>
  <si>
    <t>Apr '24</t>
  </si>
  <si>
    <t>May '24</t>
  </si>
  <si>
    <t>Jun '24</t>
  </si>
  <si>
    <t>Jul '24</t>
  </si>
  <si>
    <t>Aug '24</t>
  </si>
  <si>
    <t>Sep '24</t>
  </si>
  <si>
    <t>Oct '24</t>
  </si>
  <si>
    <t>Nov '24</t>
  </si>
  <si>
    <t>Dec '24</t>
  </si>
  <si>
    <t>FY 2024</t>
  </si>
  <si>
    <t>Jan '25</t>
  </si>
  <si>
    <t>Feb '25</t>
  </si>
  <si>
    <t>Mar '25</t>
  </si>
  <si>
    <t>Apr '25</t>
  </si>
  <si>
    <t>May '25</t>
  </si>
  <si>
    <t>Jun '25</t>
  </si>
  <si>
    <t>Jul '25</t>
  </si>
  <si>
    <t>Aug '25</t>
  </si>
  <si>
    <t>Sep '25</t>
  </si>
  <si>
    <t>Oct '25</t>
  </si>
  <si>
    <t>Nov '25</t>
  </si>
  <si>
    <t>Dec '25</t>
  </si>
  <si>
    <t>FY 2025</t>
  </si>
  <si>
    <t>Jan '26</t>
  </si>
  <si>
    <t>Feb '26</t>
  </si>
  <si>
    <t>Mar '26</t>
  </si>
  <si>
    <t>Apr '26</t>
  </si>
  <si>
    <t>May '26</t>
  </si>
  <si>
    <t>Jun '26</t>
  </si>
  <si>
    <t>Jul '26</t>
  </si>
  <si>
    <t>Aug '26</t>
  </si>
  <si>
    <t>Sep '26</t>
  </si>
  <si>
    <t>Oct '26</t>
  </si>
  <si>
    <t>Nov '26</t>
  </si>
  <si>
    <t>Dec '26</t>
  </si>
  <si>
    <t>FY 2026</t>
  </si>
  <si>
    <t>Income</t>
  </si>
  <si>
    <t>Salary</t>
  </si>
  <si>
    <t>Salary (Pre-Tax of 34%)</t>
  </si>
  <si>
    <t>Freelance (Taxed at 41%)</t>
  </si>
  <si>
    <t>Freelance</t>
  </si>
  <si>
    <t/>
  </si>
  <si>
    <t>Secondary Income (Taxed @ 34%)</t>
  </si>
  <si>
    <t>Non-taxed Income</t>
  </si>
  <si>
    <t>Total Income</t>
  </si>
  <si>
    <t>Tax + Withholding</t>
  </si>
  <si>
    <t>401k Contribution</t>
  </si>
  <si>
    <t>Net Take Home</t>
  </si>
  <si>
    <t>Expenses (60%)</t>
  </si>
  <si>
    <t>Fixed Costs (40%)</t>
  </si>
  <si>
    <t>Home</t>
  </si>
  <si>
    <t>Rent</t>
  </si>
  <si>
    <t xml:space="preserve">Utilities </t>
  </si>
  <si>
    <t>Wifi</t>
  </si>
  <si>
    <t>Phone</t>
  </si>
  <si>
    <t>Phone Bill</t>
  </si>
  <si>
    <t>Car</t>
  </si>
  <si>
    <t>Transportation</t>
  </si>
  <si>
    <t>Ridesharing</t>
  </si>
  <si>
    <t>Metro</t>
  </si>
  <si>
    <t>Variable Costs (20%)</t>
  </si>
  <si>
    <t>Guilt Free</t>
  </si>
  <si>
    <t>Safe to Spend - Weekdays</t>
  </si>
  <si>
    <t>Safe to Spend - Weekends</t>
  </si>
  <si>
    <t>Entertainment</t>
  </si>
  <si>
    <t>Subscriptions</t>
  </si>
  <si>
    <t>Travel</t>
  </si>
  <si>
    <t>Home Goods</t>
  </si>
  <si>
    <t>Books</t>
  </si>
  <si>
    <t>Health</t>
  </si>
  <si>
    <t>Dental</t>
  </si>
  <si>
    <t>Self-Care</t>
  </si>
  <si>
    <t>Gym</t>
  </si>
  <si>
    <t>Misc</t>
  </si>
  <si>
    <t>Dog Stuff</t>
  </si>
  <si>
    <t>Contractor Services</t>
  </si>
  <si>
    <t>Tech</t>
  </si>
  <si>
    <t>Total Expenses</t>
  </si>
  <si>
    <r>
      <rPr>
        <rFont val="Arial"/>
        <b/>
        <color rgb="FFFFFFFF"/>
        <sz val="10.0"/>
      </rPr>
      <t xml:space="preserve">Financial Health </t>
    </r>
    <r>
      <rPr>
        <rFont val="Arial"/>
        <b val="0"/>
        <color rgb="FFFFFFFF"/>
        <sz val="10.0"/>
      </rPr>
      <t>(40%)</t>
    </r>
  </si>
  <si>
    <r>
      <rPr>
        <rFont val="Arial"/>
        <b/>
        <color rgb="FF000000"/>
        <sz val="10.0"/>
      </rPr>
      <t>Debt Consolidation</t>
    </r>
    <r>
      <rPr>
        <rFont val="Arial"/>
        <b val="0"/>
        <color rgb="FF000000"/>
        <sz val="10.0"/>
      </rPr>
      <t xml:space="preserve"> (10%) </t>
    </r>
  </si>
  <si>
    <t>Debt Repayment (10%)</t>
  </si>
  <si>
    <r>
      <rPr>
        <rFont val="Arial"/>
        <b/>
        <color rgb="FF000000"/>
        <sz val="10.0"/>
      </rPr>
      <t xml:space="preserve">Savings </t>
    </r>
    <r>
      <rPr>
        <rFont val="Arial"/>
        <b val="0"/>
        <color rgb="FF000000"/>
        <sz val="10.0"/>
      </rPr>
      <t>(19%)</t>
    </r>
  </si>
  <si>
    <t>Long-Term High-Yield Savings (10%)</t>
  </si>
  <si>
    <t>Short-Term Liquid Traditional Savings (10%)</t>
  </si>
  <si>
    <t>Wedding Savings</t>
  </si>
  <si>
    <r>
      <rPr>
        <rFont val="Arial"/>
        <b/>
        <color rgb="FF000000"/>
        <sz val="10.0"/>
      </rPr>
      <t xml:space="preserve">Investment </t>
    </r>
    <r>
      <rPr>
        <rFont val="Arial"/>
        <b val="0"/>
        <color rgb="FF000000"/>
        <sz val="10.0"/>
      </rPr>
      <t>(10%)</t>
    </r>
  </si>
  <si>
    <t>Angel investment (1%)</t>
  </si>
  <si>
    <t>Common Stock (5%)</t>
  </si>
  <si>
    <t>Crypto Portfolio (10%)</t>
  </si>
  <si>
    <t>401K IRA (2.5% Pre-Tax)</t>
  </si>
  <si>
    <t>Real Estate</t>
  </si>
  <si>
    <r>
      <rPr>
        <rFont val="Arial"/>
        <b/>
        <color rgb="FF000000"/>
        <sz val="10.0"/>
      </rPr>
      <t>Philanthropy</t>
    </r>
    <r>
      <rPr>
        <rFont val="Arial"/>
        <b val="0"/>
        <color rgb="FF000000"/>
        <sz val="10.0"/>
      </rPr>
      <t xml:space="preserve"> (1%)</t>
    </r>
  </si>
  <si>
    <t>Non-Profit (1%)</t>
  </si>
  <si>
    <t>Total Financial Health</t>
  </si>
  <si>
    <t>Total Remaining</t>
  </si>
  <si>
    <t>Matt Wright</t>
  </si>
  <si>
    <t>Pro-Forma FY '23-'25</t>
  </si>
  <si>
    <t xml:space="preserve">Projected </t>
  </si>
  <si>
    <t>PROJECTED</t>
  </si>
  <si>
    <t>Total 2022</t>
  </si>
  <si>
    <t>OPERATING REVENUE</t>
  </si>
  <si>
    <t xml:space="preserve">      Salary - Consensys</t>
  </si>
  <si>
    <t xml:space="preserve">      Salary - EVM Capital</t>
  </si>
  <si>
    <t xml:space="preserve">      Consulting</t>
  </si>
  <si>
    <t xml:space="preserve">      </t>
  </si>
  <si>
    <t xml:space="preserve">      Total Revenue</t>
  </si>
  <si>
    <t>OPERATING EXPENSES</t>
  </si>
  <si>
    <t xml:space="preserve">      FTE Payroll</t>
  </si>
  <si>
    <t xml:space="preserve">      Contractors</t>
  </si>
  <si>
    <t xml:space="preserve">      Legal, Accounting</t>
  </si>
  <si>
    <t xml:space="preserve">      Office</t>
  </si>
  <si>
    <t xml:space="preserve">      Rent</t>
  </si>
  <si>
    <t xml:space="preserve">      Utilities</t>
  </si>
  <si>
    <t xml:space="preserve">      Software &amp; Apps</t>
  </si>
  <si>
    <t xml:space="preserve">      Travel</t>
  </si>
  <si>
    <t xml:space="preserve">      Business Development</t>
  </si>
  <si>
    <t xml:space="preserve">      Marketing, Events</t>
  </si>
  <si>
    <t xml:space="preserve">      Platform (EVM Labs)</t>
  </si>
  <si>
    <t xml:space="preserve">      Bank Fees / Credit Interest</t>
  </si>
  <si>
    <t xml:space="preserve">      Interest Expense</t>
  </si>
  <si>
    <t xml:space="preserve">      Total Expenses</t>
  </si>
  <si>
    <t>NET OPERATING INCOME (LOSS)</t>
  </si>
  <si>
    <t>CASH INCR (DECR) SHORT TERM</t>
  </si>
  <si>
    <t xml:space="preserve">      Accounts Payable Increase (Decr)</t>
  </si>
  <si>
    <t xml:space="preserve">      Credit Card Increase (Decrease)</t>
  </si>
  <si>
    <t xml:space="preserve">      Net Cash Incr (Decr) - Short Term</t>
  </si>
  <si>
    <t>CASH INCR (DECR) LONG TERM</t>
  </si>
  <si>
    <t xml:space="preserve">      Seed Investment </t>
  </si>
  <si>
    <t xml:space="preserve">      Refinancing</t>
  </si>
  <si>
    <t xml:space="preserve">      Investment - Fund I</t>
  </si>
  <si>
    <t xml:space="preserve">      Investment - Fund II</t>
  </si>
  <si>
    <t xml:space="preserve">      Prop Capital</t>
  </si>
  <si>
    <t xml:space="preserve">      Founder - Personal Investment</t>
  </si>
  <si>
    <t xml:space="preserve">      Net Cash Incr (Decr) - Long Term</t>
  </si>
  <si>
    <t>NET CASH INCRE (DECR)</t>
  </si>
  <si>
    <t xml:space="preserve">  PROJECTED ENDING CASH</t>
  </si>
  <si>
    <t>Debt Consolidation</t>
  </si>
  <si>
    <r>
      <rPr>
        <rFont val="Verdana"/>
        <b/>
        <sz val="10.0"/>
      </rPr>
      <t>Goal:</t>
    </r>
    <r>
      <rPr>
        <rFont val="Verdana"/>
        <sz val="10.0"/>
      </rPr>
      <t xml:space="preserve">
$0 bad debt, $5m Net Worth by July 2024</t>
    </r>
  </si>
  <si>
    <t>List all of your debts. Enter the balance you owe, annual interest rate, and required monthly payment for each.</t>
  </si>
  <si>
    <t>Update spreadsheet as you pay off your debts. Add more rows if needed.</t>
  </si>
  <si>
    <t>Creditor</t>
  </si>
  <si>
    <t>Balance</t>
  </si>
  <si>
    <t>Interest Rate</t>
  </si>
  <si>
    <t>Monthly Payment</t>
  </si>
  <si>
    <t>% of Total</t>
  </si>
  <si>
    <t>Payment Scheduled</t>
  </si>
  <si>
    <t>Nelnet</t>
  </si>
  <si>
    <t>Yes</t>
  </si>
  <si>
    <t>Parents</t>
  </si>
  <si>
    <t>Amex - Business</t>
  </si>
  <si>
    <t>Chase - Business</t>
  </si>
  <si>
    <t>Nuvision</t>
  </si>
  <si>
    <t>Chase Saphire</t>
  </si>
  <si>
    <t>SoFi Loan</t>
  </si>
  <si>
    <t>Upstart</t>
  </si>
  <si>
    <t>Capital One - Platinum</t>
  </si>
  <si>
    <t>Chase Slate</t>
  </si>
  <si>
    <t>Amazon</t>
  </si>
  <si>
    <t>Capital One - Quicksilver</t>
  </si>
  <si>
    <t>Chase United</t>
  </si>
  <si>
    <t>Wells Fargo</t>
  </si>
  <si>
    <t>Discover</t>
  </si>
  <si>
    <t>Chase Freedom</t>
  </si>
  <si>
    <t>Total</t>
  </si>
  <si>
    <t>Budgeted Amount</t>
  </si>
  <si>
    <t>Enter the amount you have available in your budget each month for debt repayment.</t>
  </si>
  <si>
    <t>This amount needs to be at greater or equal to the total required monthly payments above.</t>
  </si>
  <si>
    <t xml:space="preserve"> </t>
  </si>
  <si>
    <t>Amount</t>
  </si>
  <si>
    <t>Repayment Budget</t>
  </si>
  <si>
    <t>Payment Goal Q2 2021</t>
  </si>
  <si>
    <t>Totals &amp; Summary</t>
  </si>
  <si>
    <t>A calculated summary of your total debts and what you have available to pay them back.</t>
  </si>
  <si>
    <t>If your extra repayments are negative, you're not making your minimum payments and need to re-budget!</t>
  </si>
  <si>
    <t>Total Debt:</t>
  </si>
  <si>
    <t>Total Credit Debt:</t>
  </si>
  <si>
    <t>Total Personal Debt:</t>
  </si>
  <si>
    <t>Expenses - Wgmi</t>
  </si>
  <si>
    <t>Total Loan Debt:</t>
  </si>
  <si>
    <t>Expenses - 0xMateo, EVM Labs</t>
  </si>
  <si>
    <t>Average Interest Rate:</t>
  </si>
  <si>
    <t>Expenses - EVM Fund</t>
  </si>
  <si>
    <t>Average Monthly Interest:</t>
  </si>
  <si>
    <t>Total Monthly Payments:</t>
  </si>
  <si>
    <t>Amount Available:</t>
  </si>
  <si>
    <t>Extra Repayments:</t>
  </si>
  <si>
    <t>Repayment Strategies</t>
  </si>
  <si>
    <t>Pick your debt to repay. Either pay off the debt with the highest interest rate, or the one with the smallest balance.</t>
  </si>
  <si>
    <t>Highest Interest Rate First:</t>
  </si>
  <si>
    <t>New Payment</t>
  </si>
  <si>
    <t>Lowest Balance First:</t>
  </si>
  <si>
    <t>Payment Schedule</t>
  </si>
  <si>
    <t>Investments</t>
  </si>
  <si>
    <t>Status</t>
  </si>
  <si>
    <t>Amount Owed</t>
  </si>
  <si>
    <t>Type</t>
  </si>
  <si>
    <t>Category</t>
  </si>
  <si>
    <t>Details</t>
  </si>
  <si>
    <t>PP1 (December 1st)</t>
  </si>
  <si>
    <t>Paid</t>
  </si>
  <si>
    <t>N/A</t>
  </si>
  <si>
    <t>Automated</t>
  </si>
  <si>
    <t>Bill</t>
  </si>
  <si>
    <t>Week 1-2</t>
  </si>
  <si>
    <t>Utilities</t>
  </si>
  <si>
    <t>Scheduled</t>
  </si>
  <si>
    <t>Chase - Savings</t>
  </si>
  <si>
    <t>Paused</t>
  </si>
  <si>
    <t>Paid in Full</t>
  </si>
  <si>
    <t>Manual</t>
  </si>
  <si>
    <t>Credit Card</t>
  </si>
  <si>
    <t>Loan</t>
  </si>
  <si>
    <t>Bills</t>
  </si>
  <si>
    <t>Budget</t>
  </si>
  <si>
    <t>Buffer</t>
  </si>
  <si>
    <t>PP1 (Oct 15th)</t>
  </si>
  <si>
    <t>Week 2-4</t>
  </si>
  <si>
    <t>Chase Sapphire</t>
  </si>
  <si>
    <t>Credit Card Debt</t>
  </si>
  <si>
    <t>Gross Debt</t>
  </si>
  <si>
    <t>Remainder</t>
  </si>
  <si>
    <t>Investment</t>
  </si>
  <si>
    <t>Mike Caroll</t>
  </si>
  <si>
    <t>&gt; Move to Mulstisig - Degen</t>
  </si>
  <si>
    <t>David Wright</t>
  </si>
  <si>
    <t>&gt; Move to EVM Cap Top Co</t>
  </si>
  <si>
    <t>Greg Ruggles</t>
  </si>
  <si>
    <t>&gt; Move to Mulstisig - Degen, or return 100% ROI</t>
  </si>
  <si>
    <t>Luis Valdivia</t>
  </si>
  <si>
    <t>Faith</t>
  </si>
  <si>
    <t>&gt; Move to EVM Cap Top Co via Marcos? Or return capital on 200% return</t>
  </si>
  <si>
    <t>Ian Lee</t>
  </si>
  <si>
    <t>Payments this Month</t>
  </si>
  <si>
    <t>Soho House</t>
  </si>
  <si>
    <t>Nancy retainer</t>
  </si>
  <si>
    <t>HOLDINGS</t>
  </si>
  <si>
    <t>Account</t>
  </si>
  <si>
    <t>Entity</t>
  </si>
  <si>
    <t>Quantity</t>
  </si>
  <si>
    <t>Principal ($)</t>
  </si>
  <si>
    <t>Current Value ($)</t>
  </si>
  <si>
    <t>% Portfolio</t>
  </si>
  <si>
    <t>2025 Goal ($G)</t>
  </si>
  <si>
    <t>2025 Goal (%G)</t>
  </si>
  <si>
    <t>% Return</t>
  </si>
  <si>
    <t>Memo</t>
  </si>
  <si>
    <t>Cash, Savings</t>
  </si>
  <si>
    <t>Premier Checking</t>
  </si>
  <si>
    <t>Chase Saphire Checking</t>
  </si>
  <si>
    <t>Personal</t>
  </si>
  <si>
    <t>Traditional Savings</t>
  </si>
  <si>
    <t>Chase Premier</t>
  </si>
  <si>
    <t>High Yield Savings</t>
  </si>
  <si>
    <t>American Express</t>
  </si>
  <si>
    <t>Private Equity</t>
  </si>
  <si>
    <t>EVM Capital</t>
  </si>
  <si>
    <t>Private</t>
  </si>
  <si>
    <t>-</t>
  </si>
  <si>
    <t>Consensys</t>
  </si>
  <si>
    <t>Wgmi DAO</t>
  </si>
  <si>
    <t>EVM Systems</t>
  </si>
  <si>
    <t>MetalithsDAO</t>
  </si>
  <si>
    <t>OTC</t>
  </si>
  <si>
    <t>Jpegfund.eth</t>
  </si>
  <si>
    <t>Relayer</t>
  </si>
  <si>
    <t>Matt Trust</t>
  </si>
  <si>
    <t xml:space="preserve">Epoch </t>
  </si>
  <si>
    <t>PADO</t>
  </si>
  <si>
    <t xml:space="preserve">Noves </t>
  </si>
  <si>
    <r>
      <rPr>
        <rFont val="Arial"/>
        <b/>
        <color rgb="FF000000"/>
        <sz val="10.0"/>
      </rPr>
      <t>Crypto Assets</t>
    </r>
    <r>
      <rPr>
        <rFont val="Arial"/>
        <b val="0"/>
        <color rgb="FF000000"/>
        <sz val="10.0"/>
      </rPr>
      <t xml:space="preserve"> (10%)</t>
    </r>
  </si>
  <si>
    <t>Gaia</t>
  </si>
  <si>
    <t>BTC</t>
  </si>
  <si>
    <t>DeFi</t>
  </si>
  <si>
    <t>Stabletokens</t>
  </si>
  <si>
    <t>Solana</t>
  </si>
  <si>
    <t>Stocks, Bonds, ETFS, CDs</t>
  </si>
  <si>
    <t>Etrade</t>
  </si>
  <si>
    <t>Vanguard</t>
  </si>
  <si>
    <r>
      <rPr>
        <rFont val="Arial"/>
        <b/>
        <color rgb="FF000000"/>
        <sz val="10.0"/>
      </rPr>
      <t xml:space="preserve">Retirement Accts </t>
    </r>
    <r>
      <rPr>
        <rFont val="Arial"/>
        <b val="0"/>
        <color rgb="FF000000"/>
        <sz val="10.0"/>
      </rPr>
      <t>(5%)</t>
    </r>
  </si>
  <si>
    <t>401K</t>
  </si>
  <si>
    <t>IRA</t>
  </si>
  <si>
    <t>Home 01</t>
  </si>
  <si>
    <t>Loans Distributed</t>
  </si>
  <si>
    <t>Jean Lucas</t>
  </si>
  <si>
    <t>Transferwise</t>
  </si>
  <si>
    <t>Mario Salazar</t>
  </si>
  <si>
    <t>Coinbase Wallet</t>
  </si>
  <si>
    <t>Ken Luster</t>
  </si>
  <si>
    <t>Total Portfolio</t>
  </si>
  <si>
    <t>Total Principal</t>
  </si>
  <si>
    <t>Total Goal 2025</t>
  </si>
  <si>
    <t>% of Portfolio</t>
  </si>
  <si>
    <t>2022 Goal ($ Growth)</t>
  </si>
  <si>
    <t>2022 Goal (% Growth)</t>
  </si>
  <si>
    <t>Traditional</t>
  </si>
  <si>
    <t>High Yield</t>
  </si>
  <si>
    <r>
      <rPr>
        <b/>
        <color rgb="FF000000"/>
        <sz val="10.0"/>
      </rPr>
      <t>Crypto Assets</t>
    </r>
    <r>
      <rPr>
        <b val="0"/>
        <color rgb="FF000000"/>
        <sz val="10.0"/>
      </rPr>
      <t xml:space="preserve"> (10%)</t>
    </r>
  </si>
  <si>
    <t>Token</t>
  </si>
  <si>
    <t>bc1qhy52h6z6fxqajt2zdh6tswg4k4safyfsaq3qlx</t>
  </si>
  <si>
    <t>ETH</t>
  </si>
  <si>
    <t>0x54CC0802aa8bAB73b21b897f96b37AfF16239EeA</t>
  </si>
  <si>
    <t>WETH</t>
  </si>
  <si>
    <t>DAI</t>
  </si>
  <si>
    <t>1Inch</t>
  </si>
  <si>
    <t>POOL</t>
  </si>
  <si>
    <t>UNI</t>
  </si>
  <si>
    <t>Sushi</t>
  </si>
  <si>
    <t>DPI</t>
  </si>
  <si>
    <t>YFI</t>
  </si>
  <si>
    <t>Reward Token</t>
  </si>
  <si>
    <t>SNX</t>
  </si>
  <si>
    <t>FARM</t>
  </si>
  <si>
    <t>COMP</t>
  </si>
  <si>
    <t>Cream</t>
  </si>
  <si>
    <t>GHST</t>
  </si>
  <si>
    <t>STAKE</t>
  </si>
  <si>
    <t>YAM</t>
  </si>
  <si>
    <t>InstaDApp</t>
  </si>
  <si>
    <t>Uniswap UNI/ETH Pool</t>
  </si>
  <si>
    <t>Liquidity Pool</t>
  </si>
  <si>
    <t>Sushi WBTC/WETH Pool</t>
  </si>
  <si>
    <t>UNIv2</t>
  </si>
  <si>
    <t>pDAI</t>
  </si>
  <si>
    <t>Lending</t>
  </si>
  <si>
    <t>sUSD</t>
  </si>
  <si>
    <t>aDAI</t>
  </si>
  <si>
    <t>cDAI</t>
  </si>
  <si>
    <t>dYdX</t>
  </si>
  <si>
    <t xml:space="preserve">Synthetics </t>
  </si>
  <si>
    <t>Wgmi</t>
  </si>
  <si>
    <t>DAO</t>
  </si>
  <si>
    <t>Bankless</t>
  </si>
  <si>
    <t>Forefront</t>
  </si>
  <si>
    <t>Seed Club</t>
  </si>
  <si>
    <t>FWB</t>
  </si>
  <si>
    <t>Metacartel</t>
  </si>
  <si>
    <t>ConsenSys DAO</t>
  </si>
  <si>
    <t>Decentraland</t>
  </si>
  <si>
    <t>Metaverse</t>
  </si>
  <si>
    <t>CoolCats</t>
  </si>
  <si>
    <t>NFT</t>
  </si>
  <si>
    <t>Art Blocks</t>
  </si>
  <si>
    <t>Mooncat Rescue</t>
  </si>
  <si>
    <t>Pixel Portraits</t>
  </si>
  <si>
    <t>Metaliths</t>
  </si>
  <si>
    <t>Bored Apes</t>
  </si>
  <si>
    <t>CryptoPunks</t>
  </si>
  <si>
    <t>Unfamiliar Faces</t>
  </si>
  <si>
    <t>Strawberry.wtf</t>
  </si>
  <si>
    <t>Stocks, Bonds</t>
  </si>
  <si>
    <t>Airbnb</t>
  </si>
  <si>
    <t>Equity</t>
  </si>
  <si>
    <t>Uber (UBER)</t>
  </si>
  <si>
    <t>UpWork (UPWK)</t>
  </si>
  <si>
    <t>Coinbase (Coin)</t>
  </si>
  <si>
    <t>Slack (WORK)</t>
  </si>
  <si>
    <t>Blackberry (BB)</t>
  </si>
  <si>
    <t>Roku (ROKU)</t>
  </si>
  <si>
    <t>Square (SQ)</t>
  </si>
  <si>
    <t>Paypal (PYPL)</t>
  </si>
  <si>
    <t>AMC (AMC)</t>
  </si>
  <si>
    <t>Nokia (NOK)</t>
  </si>
  <si>
    <t>Tesla (TSL)</t>
  </si>
  <si>
    <t>Zoom (ZM)</t>
  </si>
  <si>
    <t>Twitter (TWTR)</t>
  </si>
  <si>
    <t>TMobile (TMUS)</t>
  </si>
  <si>
    <t>$Cash</t>
  </si>
  <si>
    <t>3M (MMM)</t>
  </si>
  <si>
    <t>Mongo DB (MDB)</t>
  </si>
  <si>
    <t>Pfizer (PFE)</t>
  </si>
  <si>
    <t>Coca Cola (KO)</t>
  </si>
  <si>
    <t>Apple (APPL)</t>
  </si>
  <si>
    <t>Splunk (SPLK)</t>
  </si>
  <si>
    <t>United Healthcare (UNH)</t>
  </si>
  <si>
    <t>Bonds, ETFs, CDs</t>
  </si>
  <si>
    <t>Precious Metals</t>
  </si>
  <si>
    <t>Gold</t>
  </si>
  <si>
    <t>Vault</t>
  </si>
  <si>
    <t>Silver</t>
  </si>
  <si>
    <t>EVM Fund (EVM Cap Mgmt)</t>
  </si>
  <si>
    <t>0xCapitalMgmt</t>
  </si>
  <si>
    <t>ConsenSys</t>
  </si>
  <si>
    <t>DoceLabs (EVM Labs)</t>
  </si>
  <si>
    <t>JokeDAO</t>
  </si>
  <si>
    <t>Venture Club</t>
  </si>
  <si>
    <r>
      <rPr>
        <b/>
        <color rgb="FF000000"/>
        <sz val="10.0"/>
      </rPr>
      <t xml:space="preserve">Retirement Accts </t>
    </r>
    <r>
      <rPr>
        <b val="0"/>
        <color rgb="FF000000"/>
        <sz val="10.0"/>
      </rPr>
      <t>(5%)</t>
    </r>
  </si>
  <si>
    <t>Home #1</t>
  </si>
  <si>
    <t xml:space="preserve">Staked BUIDL </t>
  </si>
  <si>
    <t>https://stake.ethdenver.com/</t>
  </si>
  <si>
    <t xml:space="preserve">Consensys </t>
  </si>
  <si>
    <t>Current Value</t>
  </si>
  <si>
    <t>Pot. Value 2 Years</t>
  </si>
  <si>
    <t>APY</t>
  </si>
  <si>
    <t>Notes</t>
  </si>
  <si>
    <t>8500 shares at $35, could reach $200 each</t>
  </si>
  <si>
    <t>40% equity in a company worth $35m, could 5x</t>
  </si>
  <si>
    <t>5-7%</t>
  </si>
  <si>
    <t>Purchasing $50k ETH, expected to 3x by next fall</t>
  </si>
  <si>
    <t>Eigen Layer</t>
  </si>
  <si>
    <t>$100k in Eigen, providing 7% APY through restaking</t>
  </si>
  <si>
    <t>$20k in tokens like Arb, Mkr, Uni, Aave, Linea</t>
  </si>
  <si>
    <t>5% on high yield</t>
  </si>
  <si>
    <t>$30k in cash, $20k in high-yield savings at 5% APY</t>
  </si>
  <si>
    <t>Jpegfund</t>
  </si>
  <si>
    <t>$20k ownership in NFTs, 5x potential</t>
  </si>
  <si>
    <t>$20k in staking Metaliths, 5x potential</t>
  </si>
  <si>
    <t>Retirement</t>
  </si>
  <si>
    <t>Varied</t>
  </si>
  <si>
    <t>$1k monthly into retirement for 2 years</t>
  </si>
  <si>
    <t>Renters Insurance</t>
  </si>
  <si>
    <t>Memberships</t>
  </si>
  <si>
    <r>
      <rPr>
        <rFont val="Arial"/>
        <b/>
        <color rgb="FFFFFFFF"/>
        <sz val="10.0"/>
      </rPr>
      <t xml:space="preserve">Financial Health </t>
    </r>
    <r>
      <rPr>
        <rFont val="Arial"/>
        <b val="0"/>
        <color rgb="FFFFFFFF"/>
        <sz val="10.0"/>
      </rPr>
      <t>(40%)</t>
    </r>
  </si>
  <si>
    <r>
      <rPr>
        <rFont val="Arial"/>
        <b/>
        <color rgb="FF000000"/>
        <sz val="10.0"/>
      </rPr>
      <t>Debt Consolidation</t>
    </r>
    <r>
      <rPr>
        <rFont val="Arial"/>
        <b val="0"/>
        <color rgb="FF000000"/>
        <sz val="10.0"/>
      </rPr>
      <t xml:space="preserve"> (10%) </t>
    </r>
  </si>
  <si>
    <r>
      <rPr>
        <rFont val="Arial"/>
        <b/>
        <color rgb="FF000000"/>
        <sz val="10.0"/>
      </rPr>
      <t xml:space="preserve">Savings </t>
    </r>
    <r>
      <rPr>
        <rFont val="Arial"/>
        <b val="0"/>
        <color rgb="FF000000"/>
        <sz val="10.0"/>
      </rPr>
      <t>(19%)</t>
    </r>
  </si>
  <si>
    <r>
      <rPr>
        <rFont val="Arial"/>
        <b/>
        <color rgb="FF000000"/>
        <sz val="10.0"/>
      </rPr>
      <t xml:space="preserve">Investment </t>
    </r>
    <r>
      <rPr>
        <rFont val="Arial"/>
        <b val="0"/>
        <color rgb="FF000000"/>
        <sz val="10.0"/>
      </rPr>
      <t>(10%)</t>
    </r>
  </si>
  <si>
    <t>EVM Capital (1%)</t>
  </si>
  <si>
    <r>
      <rPr>
        <rFont val="Arial"/>
        <b/>
        <color rgb="FF000000"/>
        <sz val="10.0"/>
      </rPr>
      <t>Philanthropy</t>
    </r>
    <r>
      <rPr>
        <rFont val="Arial"/>
        <b val="0"/>
        <color rgb="FF000000"/>
        <sz val="10.0"/>
      </rPr>
      <t xml:space="preserve"> (1%)</t>
    </r>
  </si>
  <si>
    <r>
      <rPr>
        <rFont val="Arial"/>
        <b/>
        <color rgb="FFFFFFFF"/>
        <sz val="10.0"/>
      </rPr>
      <t xml:space="preserve">Financial Health </t>
    </r>
    <r>
      <rPr>
        <rFont val="Arial"/>
        <b val="0"/>
        <color rgb="FFFFFFFF"/>
        <sz val="10.0"/>
      </rPr>
      <t>(40%)</t>
    </r>
  </si>
  <si>
    <r>
      <rPr>
        <rFont val="Arial"/>
        <b/>
        <color rgb="FF000000"/>
        <sz val="10.0"/>
      </rPr>
      <t>Debt Consolidation</t>
    </r>
    <r>
      <rPr>
        <rFont val="Arial"/>
        <b val="0"/>
        <color rgb="FF000000"/>
        <sz val="10.0"/>
      </rPr>
      <t xml:space="preserve"> (10%) </t>
    </r>
  </si>
  <si>
    <t>Charge Card (Weekly Expenses)</t>
  </si>
  <si>
    <r>
      <rPr>
        <rFont val="Arial"/>
        <b/>
        <color rgb="FF000000"/>
        <sz val="10.0"/>
      </rPr>
      <t xml:space="preserve">Savings </t>
    </r>
    <r>
      <rPr>
        <rFont val="Arial"/>
        <b val="0"/>
        <color rgb="FF000000"/>
        <sz val="10.0"/>
      </rPr>
      <t>(19%)</t>
    </r>
  </si>
  <si>
    <r>
      <rPr>
        <rFont val="Arial"/>
        <b/>
        <color rgb="FF000000"/>
        <sz val="10.0"/>
      </rPr>
      <t xml:space="preserve">Investment </t>
    </r>
    <r>
      <rPr>
        <rFont val="Arial"/>
        <b val="0"/>
        <color rgb="FF000000"/>
        <sz val="10.0"/>
      </rPr>
      <t>(10%)</t>
    </r>
  </si>
  <si>
    <t>EVM Fund (1%)</t>
  </si>
  <si>
    <r>
      <rPr>
        <rFont val="Arial"/>
        <b/>
        <color rgb="FF000000"/>
        <sz val="10.0"/>
      </rPr>
      <t>Philanthropy</t>
    </r>
    <r>
      <rPr>
        <rFont val="Arial"/>
        <b val="0"/>
        <color rgb="FF000000"/>
        <sz val="10.0"/>
      </rPr>
      <t xml:space="preserve"> (1%)</t>
    </r>
  </si>
  <si>
    <t>Milestones</t>
  </si>
  <si>
    <t>Priority</t>
  </si>
  <si>
    <t>Final Date</t>
  </si>
  <si>
    <t>Apply personal loan for less APR%</t>
  </si>
  <si>
    <t>Complete</t>
  </si>
  <si>
    <t>Pay Amazon + Cap One w/ Loan</t>
  </si>
  <si>
    <t>Apply for 0% APR intro (Chase Freedom)</t>
  </si>
  <si>
    <t>Automate invest 2.5% in Savings (Wealthfront)</t>
  </si>
  <si>
    <t>Stop using ALL credit cards</t>
  </si>
  <si>
    <t>Red Flag</t>
  </si>
  <si>
    <t>Cash App Only</t>
  </si>
  <si>
    <t>Credit Usage to 50%</t>
  </si>
  <si>
    <t>Behind Schedule</t>
  </si>
  <si>
    <t xml:space="preserve">Invest 5% ETH (cDAI), BTC </t>
  </si>
  <si>
    <t>Multiple Income Streams ($1,000 /mo.)</t>
  </si>
  <si>
    <t>EOY Bonus (10-50% salary)</t>
  </si>
  <si>
    <t>On Track</t>
  </si>
  <si>
    <t>Promotion ($180K Annual)</t>
  </si>
  <si>
    <t>Credit Usage to 0%</t>
  </si>
  <si>
    <t>All Critical Debt Paid Off</t>
  </si>
  <si>
    <t xml:space="preserve">Credit Score 700 </t>
  </si>
  <si>
    <t>Apply Chase Saphire Reserve</t>
  </si>
  <si>
    <t>*Use as debit card for points</t>
  </si>
  <si>
    <t>Apply Amex Platinum</t>
  </si>
  <si>
    <t>*Use for travel lounges/ perks</t>
  </si>
  <si>
    <t>Invest 5% Roth IRA (Vangaurd)</t>
  </si>
  <si>
    <t>*Transition to focus on assets vs. debt</t>
  </si>
  <si>
    <t>Save $5,000 (Rainy Day Fund)</t>
  </si>
  <si>
    <t>*Build savings + retirement that compounds</t>
  </si>
  <si>
    <t>Increase credit limits</t>
  </si>
  <si>
    <t xml:space="preserve">Invest 2.5% in Silver and Gold </t>
  </si>
  <si>
    <t>*Diverse portfolio of low/high risk</t>
  </si>
  <si>
    <t>All Debt Paid Off</t>
  </si>
  <si>
    <t>Research investing in commodities, bonds</t>
  </si>
  <si>
    <t>Epic Summer Europe Trip</t>
  </si>
  <si>
    <t>*Greece, Italy</t>
  </si>
  <si>
    <t>Rolex</t>
  </si>
  <si>
    <t>Passive Income $2,5000 /monthly</t>
  </si>
  <si>
    <t>Save $50,000 (Wedding)</t>
  </si>
  <si>
    <t>*Goal: Save $100K (total)</t>
  </si>
  <si>
    <t>Save $50,000 (Startup)</t>
  </si>
  <si>
    <t>New Salary ($275K Annual)</t>
  </si>
  <si>
    <t>TMI $40,000</t>
  </si>
  <si>
    <t>Mortgage down payment</t>
  </si>
  <si>
    <t xml:space="preserve">Mortage monthly payment </t>
  </si>
  <si>
    <t>Startup investment</t>
  </si>
  <si>
    <t>Non-Profit Donation/ Startup Costs</t>
  </si>
  <si>
    <t>Task</t>
  </si>
  <si>
    <t>Start Date</t>
  </si>
  <si>
    <t>Due Date</t>
  </si>
  <si>
    <t>November</t>
  </si>
  <si>
    <t>December</t>
  </si>
  <si>
    <t>Week 3</t>
  </si>
  <si>
    <t>Week 4</t>
  </si>
  <si>
    <t>Increase TMI to $15K</t>
  </si>
  <si>
    <t>Promotion to $180K</t>
  </si>
  <si>
    <t>EOY Bonus</t>
  </si>
  <si>
    <t>Debt/ Credit</t>
  </si>
  <si>
    <t>Use Blank Rows</t>
  </si>
  <si>
    <t>Assets</t>
  </si>
  <si>
    <t>Net Worth</t>
  </si>
  <si>
    <t>Liquid</t>
  </si>
  <si>
    <t>‎Net Worth Trends Analysis</t>
  </si>
  <si>
    <t>End Date</t>
  </si>
  <si>
    <t>Period Unit</t>
  </si>
  <si>
    <t>Month</t>
  </si>
  <si>
    <t>Date</t>
  </si>
  <si>
    <t>Date Range</t>
  </si>
  <si>
    <t>Account Count</t>
  </si>
  <si>
    <t>New Class</t>
  </si>
  <si>
    <t>Last Account</t>
  </si>
  <si>
    <t>Class Line</t>
  </si>
  <si>
    <t>Account Line</t>
  </si>
  <si>
    <t>Class</t>
  </si>
  <si>
    <t>Id</t>
  </si>
  <si>
    <t>Account #</t>
  </si>
  <si>
    <t>Account + #</t>
  </si>
  <si>
    <t>Account Id</t>
  </si>
  <si>
    <t>Institution</t>
  </si>
  <si>
    <t>Accounts</t>
  </si>
  <si>
    <t>Last Balance</t>
  </si>
  <si>
    <t>Last Update</t>
  </si>
  <si>
    <t>NET WORTH</t>
  </si>
  <si>
    <t>Class (BH)</t>
  </si>
  <si>
    <t>Net Worth Subtotal</t>
  </si>
  <si>
    <t>% Change</t>
  </si>
  <si>
    <t>$ Liquid</t>
  </si>
  <si>
    <t>Row Kind</t>
  </si>
  <si>
    <t>Lookup Row</t>
  </si>
  <si>
    <t>Group</t>
  </si>
  <si>
    <t>ASSETS</t>
  </si>
  <si>
    <t>Hide</t>
  </si>
  <si>
    <t>Banking</t>
  </si>
  <si>
    <t>Account Data Range</t>
  </si>
  <si>
    <t>Premier-Checking-1</t>
  </si>
  <si>
    <t>Saphire-Checking-2</t>
  </si>
  <si>
    <t>Premier-Savings-1</t>
  </si>
  <si>
    <t>Savings-2</t>
  </si>
  <si>
    <t>Amex-HSA</t>
  </si>
  <si>
    <t>Traditional Investing</t>
  </si>
  <si>
    <t>ETrade-Stocks</t>
  </si>
  <si>
    <t>Vanguard-Trad-IRA</t>
  </si>
  <si>
    <t>Crypto Assets</t>
  </si>
  <si>
    <t>Coinbase</t>
  </si>
  <si>
    <t>MattWright.eth</t>
  </si>
  <si>
    <t>Mateoventures.eth</t>
  </si>
  <si>
    <t>Jpegfund DAO</t>
  </si>
  <si>
    <t>EVM Fund, LLC</t>
  </si>
  <si>
    <t>BlackBox</t>
  </si>
  <si>
    <t>Equity &amp; Venture</t>
  </si>
  <si>
    <t>ConsenSys, Inc</t>
  </si>
  <si>
    <t>EVM Capital Management, LLC</t>
  </si>
  <si>
    <t>Advisory</t>
  </si>
  <si>
    <t>Wgmi Labs</t>
  </si>
  <si>
    <t>LIABILITIES</t>
  </si>
  <si>
    <t>Credit Cards</t>
  </si>
  <si>
    <t>Capital One Platinum</t>
  </si>
  <si>
    <t xml:space="preserve">Capital One-1 </t>
  </si>
  <si>
    <t>Loans</t>
  </si>
  <si>
    <t>LA House</t>
  </si>
  <si>
    <t>NY House</t>
  </si>
  <si>
    <t>Vacation House</t>
  </si>
  <si>
    <t>Description</t>
  </si>
  <si>
    <t>Jul</t>
  </si>
  <si>
    <t>Aug</t>
  </si>
  <si>
    <t>Sept</t>
  </si>
  <si>
    <t>Oct</t>
  </si>
  <si>
    <t>Nov</t>
  </si>
  <si>
    <t>Dec</t>
  </si>
  <si>
    <t>JP Morgan Quorum (Pre-Tax)</t>
  </si>
  <si>
    <t>DoceLabs</t>
  </si>
  <si>
    <t>Other</t>
  </si>
  <si>
    <t xml:space="preserve">Tax </t>
  </si>
  <si>
    <t>Expenses</t>
  </si>
  <si>
    <t>Guilt-Free WK (Cash)</t>
  </si>
  <si>
    <t>Guilt Free WKND (Cash)</t>
  </si>
  <si>
    <t>Groceries (Cash)</t>
  </si>
  <si>
    <t>Rent + Utilities</t>
  </si>
  <si>
    <t>Pet Services/ Supplies (Cash)</t>
  </si>
  <si>
    <t>Home Furnishings (Cash)</t>
  </si>
  <si>
    <t>Books (Cash)</t>
  </si>
  <si>
    <t>Clothing &amp; Toilettre</t>
  </si>
  <si>
    <t>iphone + iwatch</t>
  </si>
  <si>
    <t>Health + Dental</t>
  </si>
  <si>
    <t>Transportation (Cash)</t>
  </si>
  <si>
    <t>Entertainment (Cash)</t>
  </si>
  <si>
    <t>Debt Management &amp; Savings</t>
  </si>
  <si>
    <t>Savings - Long Term</t>
  </si>
  <si>
    <t>Savings - Rainy Day Fund</t>
  </si>
  <si>
    <t>Investment (Roth IRA)</t>
  </si>
  <si>
    <t>Philanthropy</t>
  </si>
  <si>
    <t>Debt Management</t>
  </si>
  <si>
    <t>DEBT REDUCTION</t>
  </si>
  <si>
    <t>Debts</t>
  </si>
  <si>
    <t>Capital One-2</t>
  </si>
  <si>
    <t>20.15.%</t>
  </si>
  <si>
    <t>Braden</t>
  </si>
  <si>
    <t>Grandma</t>
  </si>
  <si>
    <t>TMobile Loan</t>
  </si>
  <si>
    <t>Financiers</t>
  </si>
  <si>
    <t>% Interest</t>
  </si>
  <si>
    <t>$ Amount Remaining</t>
  </si>
  <si>
    <t>Payments #</t>
  </si>
  <si>
    <t>Timeline</t>
  </si>
  <si>
    <t>Debt Total</t>
  </si>
  <si>
    <t>Capital One (1)</t>
  </si>
  <si>
    <t>Payments Scheduled</t>
  </si>
  <si>
    <t>STOP USING/ INCREASE PAYMENTS</t>
  </si>
  <si>
    <t>Capital One (2)</t>
  </si>
  <si>
    <t>Mom &amp; Dad</t>
  </si>
  <si>
    <t>TMobile Mobile Device</t>
  </si>
  <si>
    <t>Conf #8392301// 3-33818379 // call: 1-855-666-9201</t>
  </si>
  <si>
    <t>Corporate FIling Fee</t>
  </si>
  <si>
    <t>Nancy</t>
  </si>
  <si>
    <t>Paid Off</t>
  </si>
  <si>
    <t>Eddie</t>
  </si>
  <si>
    <t>NetCredit</t>
  </si>
  <si>
    <t>4500+</t>
  </si>
  <si>
    <t>Milan</t>
  </si>
  <si>
    <t>Total Monthly Payments</t>
  </si>
  <si>
    <t>Monthly Credit Card Debt Payment</t>
  </si>
  <si>
    <t>Monthly Friends/Family Debt Payment</t>
  </si>
  <si>
    <t>Monthly Other Debt Payment</t>
  </si>
  <si>
    <t>Total Credit Card Debt</t>
  </si>
  <si>
    <t>Total Friends/Family</t>
  </si>
  <si>
    <t>Total Debt</t>
  </si>
  <si>
    <t>Sept 2022</t>
  </si>
  <si>
    <t>Startup Equity</t>
  </si>
  <si>
    <t xml:space="preserve">        Units</t>
  </si>
  <si>
    <t xml:space="preserve">        FMV</t>
  </si>
  <si>
    <t>Wgmi Labs, LLC</t>
  </si>
  <si>
    <t>Startup Advisory Equity</t>
  </si>
  <si>
    <t>ETH Trust, Inc</t>
  </si>
  <si>
    <t>Scrye, LLC</t>
  </si>
  <si>
    <t>Nifty Cards, LLC</t>
  </si>
  <si>
    <t>CommondGround.gg</t>
  </si>
  <si>
    <t>Ticker</t>
  </si>
  <si>
    <t>Google Price</t>
  </si>
  <si>
    <t>Manual Price</t>
  </si>
  <si>
    <t>Last Price</t>
  </si>
  <si>
    <t>Yield on Cost</t>
  </si>
  <si>
    <t>Checking/ Savings</t>
  </si>
  <si>
    <r>
      <rPr>
        <b/>
        <color rgb="FF000000"/>
        <sz val="10.0"/>
      </rPr>
      <t>DeFi Crypto Assets</t>
    </r>
    <r>
      <rPr>
        <b val="0"/>
        <color rgb="FF000000"/>
        <sz val="10.0"/>
      </rPr>
      <t xml:space="preserve"> (10%)</t>
    </r>
  </si>
  <si>
    <t xml:space="preserve">DeFi </t>
  </si>
  <si>
    <t>DAO (Crypto Assets)</t>
  </si>
  <si>
    <t>wgmi.community</t>
  </si>
  <si>
    <t>Governance Token</t>
  </si>
  <si>
    <t>DAO Shares</t>
  </si>
  <si>
    <t>Metaverse (Crypto Assets)</t>
  </si>
  <si>
    <r>
      <rPr>
        <b/>
        <color rgb="FF000000"/>
        <sz val="10.0"/>
      </rPr>
      <t>NFTs (Crypto Assets)</t>
    </r>
    <r>
      <rPr>
        <b val="0"/>
        <color rgb="FF000000"/>
        <sz val="10.0"/>
      </rPr>
      <t xml:space="preserve"> (10%)</t>
    </r>
  </si>
  <si>
    <r>
      <rPr>
        <b/>
        <color rgb="FF000000"/>
        <sz val="10.0"/>
      </rPr>
      <t>Stocks</t>
    </r>
    <r>
      <rPr>
        <b val="0"/>
        <color rgb="FF000000"/>
        <sz val="10.0"/>
      </rPr>
      <t xml:space="preserve"> (5%)</t>
    </r>
  </si>
  <si>
    <t>Venture Capital</t>
  </si>
  <si>
    <t>EVM Fund</t>
  </si>
  <si>
    <r>
      <rPr>
        <b/>
        <color rgb="FF000000"/>
        <sz val="10.0"/>
      </rPr>
      <t xml:space="preserve">Retirement Accts </t>
    </r>
    <r>
      <rPr>
        <b val="0"/>
        <color rgb="FF000000"/>
        <sz val="10.0"/>
      </rPr>
      <t>(5%)</t>
    </r>
  </si>
  <si>
    <t>Total Contributions</t>
  </si>
  <si>
    <t>NFT Crypto Assets</t>
  </si>
  <si>
    <t>Assets Under Management</t>
  </si>
  <si>
    <t>Principal</t>
  </si>
  <si>
    <t>Custodian</t>
  </si>
  <si>
    <t>Curent Value</t>
  </si>
  <si>
    <t>Redemption Fees</t>
  </si>
  <si>
    <t>Will Daniels</t>
  </si>
  <si>
    <t>Metamask</t>
  </si>
  <si>
    <t>ETH, UNI</t>
  </si>
  <si>
    <t>Tanner Crisp</t>
  </si>
  <si>
    <t>Marcos Navarro</t>
  </si>
  <si>
    <t xml:space="preserve">EVM Capital </t>
  </si>
  <si>
    <t xml:space="preserve">Wyoming </t>
  </si>
  <si>
    <t>- Fund I</t>
  </si>
  <si>
    <t>Cayman</t>
  </si>
  <si>
    <t>- Fund II</t>
  </si>
  <si>
    <t>EVM Labs</t>
  </si>
  <si>
    <t xml:space="preserve">C&amp;E Enterprises </t>
  </si>
  <si>
    <t>Matt and Nancy LLC for investing into real estate, small businesses, and holding shared assets.</t>
  </si>
  <si>
    <t>Business with Marcos. Invest in developers in LatAm, build Ethereum businesses, and purchase real estate in LatAm. Also, reinvest into the community via public goods, ESG.</t>
  </si>
  <si>
    <t xml:space="preserve">C&amp;E </t>
  </si>
  <si>
    <t>Docelabs</t>
  </si>
  <si>
    <t xml:space="preserve">Tasks: </t>
  </si>
  <si>
    <t>- Convert Marcos to EVM Capital equity for investment</t>
  </si>
  <si>
    <t>- David Wright, Leslie Wright - convert to ETH</t>
  </si>
  <si>
    <t>&lt; move to fund AUM</t>
  </si>
  <si>
    <t>- Will Daniels convert to ETH</t>
  </si>
  <si>
    <t>&lt; pay off debt 100%</t>
  </si>
  <si>
    <t>- Greg Ruggles convert to ETH</t>
  </si>
  <si>
    <t>ETH long</t>
  </si>
  <si>
    <t>- Ian Lee convert to ETH</t>
  </si>
  <si>
    <t xml:space="preserve"> Metaliths DAO</t>
  </si>
  <si>
    <t>CSI</t>
  </si>
  <si>
    <t xml:space="preserve">Debt </t>
  </si>
  <si>
    <t>Spectrum</t>
  </si>
  <si>
    <t>14th</t>
  </si>
  <si>
    <t>Coned</t>
  </si>
  <si>
    <t>Tmobile</t>
  </si>
  <si>
    <t>5th</t>
  </si>
  <si>
    <t>12th</t>
  </si>
  <si>
    <t>Equinox</t>
  </si>
  <si>
    <t>Membership</t>
  </si>
  <si>
    <t>Equinox - Trainer</t>
  </si>
  <si>
    <t>Service</t>
  </si>
  <si>
    <t>8th</t>
  </si>
  <si>
    <t>Dec 1st</t>
  </si>
  <si>
    <t>Annual</t>
  </si>
  <si>
    <t>Notion</t>
  </si>
  <si>
    <t>Subscription</t>
  </si>
  <si>
    <t>Beatport</t>
  </si>
  <si>
    <t>18th</t>
  </si>
  <si>
    <t xml:space="preserve">Notion </t>
  </si>
  <si>
    <t>17th</t>
  </si>
  <si>
    <t>Youtube Premium</t>
  </si>
  <si>
    <t>4th</t>
  </si>
  <si>
    <t>Spotify</t>
  </si>
  <si>
    <t>31st</t>
  </si>
  <si>
    <t>Linkedin</t>
  </si>
  <si>
    <t>Soundcloud</t>
  </si>
  <si>
    <t>Apple</t>
  </si>
  <si>
    <t>Monthly app charges</t>
  </si>
  <si>
    <t>Google - Metaliths</t>
  </si>
  <si>
    <t>1 year</t>
  </si>
  <si>
    <t>Google - Jpegfund</t>
  </si>
  <si>
    <t>0xFCeDC13C1DD6ED4Cc2C063042bFa98ff0640C88E</t>
  </si>
  <si>
    <t>mattwright.eth</t>
  </si>
  <si>
    <t>Wallet 1</t>
  </si>
  <si>
    <t>evmpapi.eth</t>
  </si>
  <si>
    <t>mateoventures.eth</t>
  </si>
  <si>
    <t>0x9E09EEb5984C359aA1728ED2F7ba44a57BABC469</t>
  </si>
  <si>
    <t>Test Wallet</t>
  </si>
  <si>
    <t>0x7c63c196ebDf3a75b4eA78538F311fB550042a97</t>
  </si>
  <si>
    <t>0xad7141eEc1A75e86a64bE2262fDf51B3F7aB353C</t>
  </si>
  <si>
    <t>Base Wallet</t>
  </si>
  <si>
    <t>Wallet 2</t>
  </si>
  <si>
    <t>Business Accounts</t>
  </si>
  <si>
    <t>0x7cFe14d67a9d50497811aAbA5a7675E08f6d5AEc</t>
  </si>
  <si>
    <t>EVM</t>
  </si>
  <si>
    <t>Wallet 3</t>
  </si>
  <si>
    <t>Previosuly Lucas'</t>
  </si>
  <si>
    <t>0xDE29040fC884bbECA3FDf1335d4fd6178c36d00F</t>
  </si>
  <si>
    <t>EVMCapital.eth, Matt's wallet</t>
  </si>
  <si>
    <t>0x88ea545998cf1c56a4504ffc43fcaac7a80f1427</t>
  </si>
  <si>
    <t>Wallet 4</t>
  </si>
  <si>
    <t>Previosuly Gabe's Wallet</t>
  </si>
  <si>
    <t>Multisigs</t>
  </si>
  <si>
    <t>https://app.safe.global/home?safe=eth:0xe5f1329ea7bD1a4814e8481e979D14Ef811029C7</t>
  </si>
  <si>
    <t>MattWright.eth, Popstarving</t>
  </si>
  <si>
    <t xml:space="preserve">Create Notion page with SOP for organizing </t>
  </si>
  <si>
    <t>https://app.safe.global/balances?safe=eth:0x735Ec9710bE390744e2E01A445CdC2F274584415</t>
  </si>
  <si>
    <t>Matt, Yalor</t>
  </si>
  <si>
    <t>MattWright.eth, Yalor.eth</t>
  </si>
  <si>
    <t>https://app.safe.global/balances?safe=eth:0xE1B643314D6D87F27ee6e43B51f33b895AA47E85</t>
  </si>
  <si>
    <t>Matt, Marcos</t>
  </si>
  <si>
    <t>MattWright.eth, MarcosNavarro.eth</t>
  </si>
  <si>
    <t>https://app.safe.global/settings/setup?safe=eth:0x682552053c1B6905F3115a8877fB8279145ba4B8</t>
  </si>
  <si>
    <t>Some event with Yalor</t>
  </si>
  <si>
    <t>MattWright.eth, MarcosNavarro.eth, Yalor.eth</t>
  </si>
  <si>
    <t>• Take of Yalor
• Donate to public goods; Wgmi</t>
  </si>
  <si>
    <t>https://app.safe.global/settings/setup?safe=eth:0x2F8Cbe69Be1CE691a178B9e0e80c15C1e3685cf6</t>
  </si>
  <si>
    <t>• Let's merge with other account</t>
  </si>
  <si>
    <t>https://app.safe.global/home?safe=eth:0x7EBC002C832907a6b24732ea9FA581bf02c0199C</t>
  </si>
  <si>
    <t>Matt, Matt</t>
  </si>
  <si>
    <t>Wallet used for EVMCapital signing</t>
  </si>
  <si>
    <t>EVMCapital.eth, Unkn wallet</t>
  </si>
  <si>
    <t>https://app.safe.global/balances?safe=eth:0x23AA3040596Fd1c60BE0FC2f481258515c4Aa1A7</t>
  </si>
  <si>
    <t>MattWright.eth, Addie, Jack, Reese, Oops, Oz</t>
  </si>
  <si>
    <t xml:space="preserve">• Migrate to new leadership, remove other folks from multisig, propose budget for website, domain, open source
• Clear transactions </t>
  </si>
  <si>
    <t>https://app.safe.global/settings/setup?safe=oeth:0x50370F347CaFA36a1CBB0BB65522590c9BE19077</t>
  </si>
  <si>
    <t>Wgmi - Optimism</t>
  </si>
  <si>
    <t>https://app.safe.global/home?safe=arb1:0x23AA3040596Fd1c60BE0FC2f481258515c4Aa1A7</t>
  </si>
  <si>
    <t>Wgmi - Arbitrum</t>
  </si>
  <si>
    <t>https://app.safe.global/home?safe=gno:0x23AA3040596Fd1c60BE0FC2f481258515c4Aa1A7</t>
  </si>
  <si>
    <t>Wgmi - Gnosis Chain</t>
  </si>
  <si>
    <t>https://app.safe.global/home?safe=matic:0x23AA3040596Fd1c60BE0FC2f481258515c4Aa1A7</t>
  </si>
  <si>
    <t>Wgmi - Polygon</t>
  </si>
  <si>
    <t>https://app.safe.global/balances?safe=eth:0x8F28B1104Bb9cE64649d9e774219c54B4e23495c</t>
  </si>
  <si>
    <t>CLOSED - StoopKids</t>
  </si>
  <si>
    <t>Jordan, Matt - CLOSED and will repurpose</t>
  </si>
  <si>
    <t>https://app.safe.global/balances?safe=eth:0xDd7D945A6660262E9a66094B96c2BfceD2A28E92</t>
  </si>
  <si>
    <t>EVM - Working</t>
  </si>
  <si>
    <t>Lucas EVM, Matt EVM</t>
  </si>
  <si>
    <t>• Migrate to a single EVM Capital multisig
• Have a single EOA for trading EVM</t>
  </si>
  <si>
    <t>H7KHYRWzBqbaV9XMKQAPNvcrbGydGxnNsy82yXxpF1kr</t>
  </si>
  <si>
    <t>Phantom Wallet</t>
  </si>
  <si>
    <t xml:space="preserve">Proposal: </t>
  </si>
  <si>
    <t xml:space="preserve">- MattWright.eth for personal related </t>
  </si>
  <si>
    <t xml:space="preserve">- evmcapital.eth for business EOA </t>
  </si>
  <si>
    <t xml:space="preserve">- Operating team to have business addresses for multisig </t>
  </si>
  <si>
    <t>MW Trust</t>
  </si>
  <si>
    <r>
      <rPr>
        <b/>
        <color rgb="FF000000"/>
        <sz val="10.0"/>
      </rPr>
      <t>Crypto Assets</t>
    </r>
    <r>
      <rPr>
        <b val="0"/>
        <color rgb="FF000000"/>
        <sz val="10.0"/>
      </rPr>
      <t xml:space="preserve"> (10%)</t>
    </r>
  </si>
  <si>
    <t>BTC Wallet - MW Trust</t>
  </si>
  <si>
    <t>ETH Wallet - MW Trust</t>
  </si>
  <si>
    <t>BTC Wallet - Personal</t>
  </si>
  <si>
    <t>ETH Wallet-1 - Personal</t>
  </si>
  <si>
    <t xml:space="preserve">ETH Wallet-2 - Personal </t>
  </si>
  <si>
    <t>ETH Wallet-3 - Personal</t>
  </si>
  <si>
    <t>SOL-Wallet - Personal</t>
  </si>
  <si>
    <r>
      <rPr>
        <b/>
        <color rgb="FF000000"/>
        <sz val="10.0"/>
      </rPr>
      <t xml:space="preserve">Retirement Accts </t>
    </r>
    <r>
      <rPr>
        <b val="0"/>
        <color rgb="FF000000"/>
        <sz val="10.0"/>
      </rPr>
      <t>(5%)</t>
    </r>
  </si>
  <si>
    <t>Pending Investments to allocate</t>
  </si>
  <si>
    <t>Pay By</t>
  </si>
  <si>
    <t xml:space="preserve">BTC </t>
  </si>
  <si>
    <t>IRA, Stock</t>
  </si>
  <si>
    <t xml:space="preserve">**Partners to reinvest into the business? </t>
  </si>
  <si>
    <t>**Remaining investment from Gaia</t>
  </si>
  <si>
    <r>
      <rPr>
        <rFont val="Arial"/>
        <b/>
        <color rgb="FFFFFFFF"/>
        <sz val="10.0"/>
      </rPr>
      <t xml:space="preserve">Financial Health </t>
    </r>
    <r>
      <rPr>
        <rFont val="Arial"/>
        <b val="0"/>
        <color rgb="FFFFFFFF"/>
        <sz val="10.0"/>
      </rPr>
      <t>(40%)</t>
    </r>
  </si>
  <si>
    <r>
      <rPr>
        <rFont val="Arial"/>
        <b/>
        <color rgb="FF000000"/>
        <sz val="10.0"/>
      </rPr>
      <t>Debt Consolidation</t>
    </r>
    <r>
      <rPr>
        <rFont val="Arial"/>
        <b val="0"/>
        <color rgb="FF000000"/>
        <sz val="10.0"/>
      </rPr>
      <t xml:space="preserve"> (10%) </t>
    </r>
  </si>
  <si>
    <r>
      <rPr>
        <rFont val="Arial"/>
        <b/>
        <color rgb="FF000000"/>
        <sz val="10.0"/>
      </rPr>
      <t xml:space="preserve">Savings </t>
    </r>
    <r>
      <rPr>
        <rFont val="Arial"/>
        <b val="0"/>
        <color rgb="FF000000"/>
        <sz val="10.0"/>
      </rPr>
      <t>(19%)</t>
    </r>
  </si>
  <si>
    <r>
      <rPr>
        <rFont val="Arial"/>
        <b/>
        <color rgb="FF000000"/>
        <sz val="10.0"/>
      </rPr>
      <t xml:space="preserve">Investment </t>
    </r>
    <r>
      <rPr>
        <rFont val="Arial"/>
        <b val="0"/>
        <color rgb="FF000000"/>
        <sz val="10.0"/>
      </rPr>
      <t>(10%)</t>
    </r>
  </si>
  <si>
    <r>
      <rPr>
        <rFont val="Arial"/>
        <b/>
        <color rgb="FF000000"/>
        <sz val="10.0"/>
      </rPr>
      <t>Philanthropy</t>
    </r>
    <r>
      <rPr>
        <rFont val="Arial"/>
        <b val="0"/>
        <color rgb="FF000000"/>
        <sz val="10.0"/>
      </rPr>
      <t xml:space="preserve"> (1%)</t>
    </r>
  </si>
  <si>
    <r>
      <rPr>
        <rFont val="Arial"/>
        <b/>
        <color rgb="FFFFFFFF"/>
        <sz val="10.0"/>
      </rPr>
      <t xml:space="preserve">Financial Health </t>
    </r>
    <r>
      <rPr>
        <rFont val="Arial"/>
        <b val="0"/>
        <color rgb="FFFFFFFF"/>
        <sz val="10.0"/>
      </rPr>
      <t>(40%)</t>
    </r>
  </si>
  <si>
    <r>
      <rPr>
        <rFont val="Arial"/>
        <b/>
        <color rgb="FF000000"/>
        <sz val="10.0"/>
      </rPr>
      <t>Debt Consolidation</t>
    </r>
    <r>
      <rPr>
        <rFont val="Arial"/>
        <b val="0"/>
        <color rgb="FF000000"/>
        <sz val="10.0"/>
      </rPr>
      <t xml:space="preserve"> (10%) </t>
    </r>
  </si>
  <si>
    <r>
      <rPr>
        <rFont val="Arial"/>
        <b/>
        <color rgb="FF000000"/>
        <sz val="10.0"/>
      </rPr>
      <t xml:space="preserve">Savings </t>
    </r>
    <r>
      <rPr>
        <rFont val="Arial"/>
        <b val="0"/>
        <color rgb="FF000000"/>
        <sz val="10.0"/>
      </rPr>
      <t>(19%)</t>
    </r>
  </si>
  <si>
    <r>
      <rPr>
        <rFont val="Arial"/>
        <b/>
        <color rgb="FF000000"/>
        <sz val="10.0"/>
      </rPr>
      <t xml:space="preserve">Investment </t>
    </r>
    <r>
      <rPr>
        <rFont val="Arial"/>
        <b val="0"/>
        <color rgb="FF000000"/>
        <sz val="10.0"/>
      </rPr>
      <t>(10%)</t>
    </r>
  </si>
  <si>
    <r>
      <rPr>
        <rFont val="Arial"/>
        <b/>
        <color rgb="FF000000"/>
        <sz val="10.0"/>
      </rPr>
      <t>Philanthropy</t>
    </r>
    <r>
      <rPr>
        <rFont val="Arial"/>
        <b val="0"/>
        <color rgb="FF000000"/>
        <sz val="10.0"/>
      </rPr>
      <t xml:space="preserve"> (1%)</t>
    </r>
  </si>
  <si>
    <t>Vegas</t>
  </si>
  <si>
    <t>Paid (me)</t>
  </si>
  <si>
    <t>Paid (Friends)</t>
  </si>
  <si>
    <t>Diff</t>
  </si>
  <si>
    <t>Bottle Service</t>
  </si>
  <si>
    <t>Hotel</t>
  </si>
  <si>
    <t>Fat Burger</t>
  </si>
  <si>
    <t>Rockhouse</t>
  </si>
  <si>
    <t>Delmonicos</t>
  </si>
  <si>
    <t>Total NW</t>
  </si>
  <si>
    <t>Liabilities</t>
  </si>
  <si>
    <t>Total Invested</t>
  </si>
  <si>
    <t>M $ Change</t>
  </si>
  <si>
    <t>M % Change</t>
  </si>
  <si>
    <t>Cumu $ Change</t>
  </si>
  <si>
    <t>Cumu % Change</t>
  </si>
  <si>
    <t>March '24</t>
  </si>
  <si>
    <t>Rent/ Mortgage</t>
  </si>
  <si>
    <r>
      <rPr>
        <rFont val="Arial"/>
        <b/>
        <color rgb="FFFFFFFF"/>
        <sz val="10.0"/>
      </rPr>
      <t xml:space="preserve">Financial Health </t>
    </r>
    <r>
      <rPr>
        <rFont val="Arial"/>
        <b val="0"/>
        <color rgb="FFFFFFFF"/>
        <sz val="10.0"/>
      </rPr>
      <t>(40%)</t>
    </r>
  </si>
  <si>
    <r>
      <rPr>
        <rFont val="Arial"/>
        <b/>
        <color rgb="FF000000"/>
        <sz val="10.0"/>
      </rPr>
      <t>Debt Consolidation</t>
    </r>
    <r>
      <rPr>
        <rFont val="Arial"/>
        <b val="0"/>
        <color rgb="FF000000"/>
        <sz val="10.0"/>
      </rPr>
      <t xml:space="preserve"> (10%) </t>
    </r>
  </si>
  <si>
    <r>
      <rPr>
        <rFont val="Arial"/>
        <b/>
        <color rgb="FF000000"/>
        <sz val="10.0"/>
      </rPr>
      <t xml:space="preserve">Savings </t>
    </r>
    <r>
      <rPr>
        <rFont val="Arial"/>
        <b val="0"/>
        <color rgb="FF000000"/>
        <sz val="10.0"/>
      </rPr>
      <t>(19%)</t>
    </r>
  </si>
  <si>
    <r>
      <rPr>
        <rFont val="Arial"/>
        <b/>
        <color rgb="FF000000"/>
        <sz val="10.0"/>
      </rPr>
      <t xml:space="preserve">Investment </t>
    </r>
    <r>
      <rPr>
        <rFont val="Arial"/>
        <b val="0"/>
        <color rgb="FF000000"/>
        <sz val="10.0"/>
      </rPr>
      <t>(10%)</t>
    </r>
  </si>
  <si>
    <r>
      <rPr>
        <rFont val="Arial"/>
        <b/>
        <color rgb="FF000000"/>
        <sz val="10.0"/>
      </rPr>
      <t>Philanthropy</t>
    </r>
    <r>
      <rPr>
        <rFont val="Arial"/>
        <b val="0"/>
        <color rgb="FF000000"/>
        <sz val="10.0"/>
      </rPr>
      <t xml:space="preserve"> (1%)</t>
    </r>
  </si>
  <si>
    <t>Jpeg Fund</t>
  </si>
  <si>
    <t>website</t>
  </si>
  <si>
    <t>swag</t>
  </si>
  <si>
    <t>Address</t>
  </si>
  <si>
    <t>Checking</t>
  </si>
  <si>
    <t>Checking-2</t>
  </si>
  <si>
    <t>Chase Checking</t>
  </si>
  <si>
    <r>
      <rPr>
        <b/>
        <color rgb="FF000000"/>
        <sz val="10.0"/>
      </rPr>
      <t>DeFi Crypto Assets</t>
    </r>
    <r>
      <rPr>
        <b val="0"/>
        <color rgb="FF000000"/>
        <sz val="10.0"/>
      </rPr>
      <t xml:space="preserve"> (10%)</t>
    </r>
  </si>
  <si>
    <t>ConstitutuionDAO</t>
  </si>
  <si>
    <r>
      <rPr>
        <b/>
        <color rgb="FF000000"/>
        <sz val="10.0"/>
      </rPr>
      <t>NFTs (Crypto Assets)</t>
    </r>
    <r>
      <rPr>
        <b val="0"/>
        <color rgb="FF000000"/>
        <sz val="10.0"/>
      </rPr>
      <t xml:space="preserve"> (10%)</t>
    </r>
  </si>
  <si>
    <r>
      <rPr>
        <b/>
        <color rgb="FF000000"/>
        <sz val="10.0"/>
      </rPr>
      <t>Stocks</t>
    </r>
    <r>
      <rPr>
        <b val="0"/>
        <color rgb="FF000000"/>
        <sz val="10.0"/>
      </rPr>
      <t xml:space="preserve"> (5%)</t>
    </r>
  </si>
  <si>
    <r>
      <rPr>
        <b/>
        <color rgb="FF000000"/>
        <sz val="10.0"/>
      </rPr>
      <t xml:space="preserve">Retirement Accts </t>
    </r>
    <r>
      <rPr>
        <b val="0"/>
        <color rgb="FF000000"/>
        <sz val="10.0"/>
      </rPr>
      <t>(5%)</t>
    </r>
  </si>
  <si>
    <t>EVM Fund (evmfund.eth)</t>
  </si>
  <si>
    <t>wgmicommunity.eth</t>
  </si>
  <si>
    <t>Metaliths.eth</t>
  </si>
  <si>
    <t>Mattwright.eth</t>
  </si>
  <si>
    <t>Nancteo.eth</t>
  </si>
  <si>
    <t>Stoopkids.eth</t>
  </si>
  <si>
    <t xml:space="preserve">Strategy: </t>
  </si>
  <si>
    <t>Accrue assets &gt; take small salary</t>
  </si>
  <si>
    <t xml:space="preserve">Salary to pay IRL bills </t>
  </si>
  <si>
    <t xml:space="preserve">Have offshore caymans crypto wallet that you send to but never withdraw -&gt; </t>
  </si>
  <si>
    <t>Other (Taxed at 41%)</t>
  </si>
  <si>
    <t>Tax</t>
  </si>
  <si>
    <t>Witholding (401K)</t>
  </si>
  <si>
    <t>Expenses (80%)</t>
  </si>
  <si>
    <t>Fixed Costs (50%)</t>
  </si>
  <si>
    <t>TMobile</t>
  </si>
  <si>
    <t xml:space="preserve">Clipper Card </t>
  </si>
  <si>
    <t>Variable Costs (30%)</t>
  </si>
  <si>
    <t>Per Diem</t>
  </si>
  <si>
    <t>Weekends — Going Out</t>
  </si>
  <si>
    <t>Furnishings</t>
  </si>
  <si>
    <t>Ernie Stuff</t>
  </si>
  <si>
    <t>Financial Health (20%)</t>
  </si>
  <si>
    <t xml:space="preserve">Debt Consolidation </t>
  </si>
  <si>
    <t>Debt Repayment — 10%</t>
  </si>
  <si>
    <t xml:space="preserve">Savings </t>
  </si>
  <si>
    <t>Rainy Day Liquid (Compound) - 2.5%</t>
  </si>
  <si>
    <t>Long Term High Yield (Wealthfront) — 2.5%</t>
  </si>
  <si>
    <t>DoceLabs — 0%</t>
  </si>
  <si>
    <t>Common Stock —2%</t>
  </si>
  <si>
    <t>Crypto Portfolio — 5%</t>
  </si>
  <si>
    <t>Roth IRA — 2%</t>
  </si>
  <si>
    <t>JPM 401K — 6%</t>
  </si>
  <si>
    <t>Non-Profit — 1%</t>
  </si>
  <si>
    <t>Target $$</t>
  </si>
  <si>
    <t>(1) Pay of urgent debt, (2) save for new rent</t>
  </si>
  <si>
    <t xml:space="preserve">(3) invest for long-term, (4) </t>
  </si>
  <si>
    <t>Salary (Pre-Tax)</t>
  </si>
  <si>
    <t>Secondary Income (1099)</t>
  </si>
  <si>
    <t>Other Income (Capital Gains %)</t>
  </si>
  <si>
    <t>Fixed Expenses</t>
  </si>
  <si>
    <t>Weekly Per-Diem</t>
  </si>
  <si>
    <t>Weekend Per-Diem</t>
  </si>
  <si>
    <t>Clipper Card (CashApp)</t>
  </si>
  <si>
    <t>Ridesharing (CashApp)</t>
  </si>
  <si>
    <t>Renters Insurance (Credit Card-1)</t>
  </si>
  <si>
    <t>Groceries (CashApp)</t>
  </si>
  <si>
    <t>Utilities (Credit Card-1)</t>
  </si>
  <si>
    <t>Ernie (CashApp)</t>
  </si>
  <si>
    <t>Furnishings (Cash)</t>
  </si>
  <si>
    <t>Health and Well-Being</t>
  </si>
  <si>
    <t>Total Fixed Expenses</t>
  </si>
  <si>
    <t>Wealth Management (30%)</t>
  </si>
  <si>
    <t>Rainy Day (Compound— cDai) - 2.5%</t>
  </si>
  <si>
    <t xml:space="preserve">Investment  — </t>
  </si>
  <si>
    <t>DoceLabs — 6%</t>
  </si>
  <si>
    <t>Total Wealth Management</t>
  </si>
  <si>
    <t>Feb '21</t>
  </si>
  <si>
    <t>July '21</t>
  </si>
  <si>
    <t>Nov'21</t>
  </si>
  <si>
    <t>Dec'21</t>
  </si>
  <si>
    <t>CEO Salary</t>
  </si>
  <si>
    <t>Additional Income — Part-Time Salary (34%)</t>
  </si>
  <si>
    <t>Additional Income — Capital Gains (40%)</t>
  </si>
  <si>
    <t>Additional Income — Post-Tax</t>
  </si>
  <si>
    <t>Clothing (Cash)</t>
  </si>
  <si>
    <t>Financial Health</t>
  </si>
  <si>
    <r>
      <rPr>
        <rFont val="Arial"/>
        <b/>
        <color rgb="FF000000"/>
        <sz val="10.0"/>
      </rPr>
      <t xml:space="preserve">Savings - Long Term </t>
    </r>
    <r>
      <rPr>
        <rFont val="Arial"/>
        <b val="0"/>
        <color rgb="FF000000"/>
        <sz val="10.0"/>
      </rPr>
      <t>(2.5%)</t>
    </r>
  </si>
  <si>
    <r>
      <rPr>
        <rFont val="Arial"/>
        <b/>
        <color rgb="FF000000"/>
        <sz val="10.0"/>
      </rPr>
      <t xml:space="preserve">Savings - Rainy Day Fund </t>
    </r>
    <r>
      <rPr>
        <rFont val="Arial"/>
        <b val="0"/>
        <color rgb="FF000000"/>
        <sz val="10.0"/>
      </rPr>
      <t>(2.5%)</t>
    </r>
  </si>
  <si>
    <r>
      <rPr>
        <rFont val="Arial"/>
        <b/>
        <color rgb="FF000000"/>
        <sz val="10.0"/>
      </rPr>
      <t xml:space="preserve">Investment  - Roth IRA </t>
    </r>
    <r>
      <rPr>
        <rFont val="Arial"/>
        <b val="0"/>
        <color rgb="FF000000"/>
        <sz val="10.0"/>
      </rPr>
      <t>(2.5%)</t>
    </r>
  </si>
  <si>
    <r>
      <rPr>
        <rFont val="Arial"/>
        <b/>
        <color rgb="FF000000"/>
        <sz val="10.0"/>
      </rPr>
      <t xml:space="preserve">Philanthropy </t>
    </r>
    <r>
      <rPr>
        <rFont val="Arial"/>
        <b val="0"/>
        <color rgb="FF000000"/>
        <sz val="10.0"/>
      </rPr>
      <t>(1%)</t>
    </r>
  </si>
  <si>
    <r>
      <rPr>
        <rFont val="Calibri"/>
        <b/>
        <color rgb="FF000000"/>
        <sz val="11.0"/>
      </rPr>
      <t xml:space="preserve">Debt Management </t>
    </r>
    <r>
      <rPr>
        <rFont val="Calibri"/>
        <b val="0"/>
        <color rgb="FF000000"/>
        <sz val="11.0"/>
      </rPr>
      <t>(20%)</t>
    </r>
  </si>
  <si>
    <t>Remaining Balance</t>
  </si>
  <si>
    <t>EOY Total</t>
  </si>
  <si>
    <t>Monthly</t>
  </si>
  <si>
    <t>Total Annual Income</t>
  </si>
  <si>
    <t>Total Take-Home</t>
  </si>
  <si>
    <t>Total Savings</t>
  </si>
  <si>
    <t>Total Debt Paid</t>
  </si>
  <si>
    <t>New Salary</t>
  </si>
  <si>
    <t>Mortgage</t>
  </si>
  <si>
    <t>Debt Repayment — 7%</t>
  </si>
  <si>
    <t>Crypto Portfolio — 2%</t>
  </si>
  <si>
    <t>401K — 5%</t>
  </si>
  <si>
    <t>Philanthropy— 1%</t>
  </si>
  <si>
    <t>Dec'22</t>
  </si>
  <si>
    <t>Prosper</t>
  </si>
  <si>
    <t>No</t>
  </si>
  <si>
    <t>Interest</t>
  </si>
  <si>
    <t>Saved</t>
  </si>
  <si>
    <t>@</t>
  </si>
  <si>
    <t>I will pay off $10K my credit cards with Prosper loan and retire them. I will then apply for Amex Platinum once my credit score increases. I can also request more credit from other cards to expand my % utilized.
For the Prosper loan, I will pay it off with another loan at a better rate as soon as possible.
Until I find a better deal to pay off the Freedom loan and Upstart loans, I will keep searching.</t>
  </si>
  <si>
    <t>Goals</t>
  </si>
  <si>
    <t>Financing</t>
  </si>
  <si>
    <t>%</t>
  </si>
  <si>
    <t>Funds Required</t>
  </si>
  <si>
    <t>20 Years</t>
  </si>
  <si>
    <t>5-10 Years</t>
  </si>
  <si>
    <t>Under 5 Years</t>
  </si>
  <si>
    <t>Goals 2019</t>
  </si>
  <si>
    <t>Item</t>
  </si>
  <si>
    <t>($USD)</t>
  </si>
  <si>
    <t>Date To Complete</t>
  </si>
  <si>
    <t>iPhone X</t>
  </si>
  <si>
    <t>Apartment in SF</t>
  </si>
  <si>
    <t>$1,800/Mo.</t>
  </si>
  <si>
    <t>Apartment Furniture</t>
  </si>
  <si>
    <t>In-Progress</t>
  </si>
  <si>
    <t>Couch</t>
  </si>
  <si>
    <t>Chase Premier Plus Checking and Savings</t>
  </si>
  <si>
    <t>700 Credit Score</t>
  </si>
  <si>
    <t>Chase Saphire Credit Card</t>
  </si>
  <si>
    <t xml:space="preserve">Credit score to 670 </t>
  </si>
  <si>
    <t>Personal Loan with lower APR</t>
  </si>
  <si>
    <t>Hashtag Language Dissolution</t>
  </si>
  <si>
    <t>Dissolve or create MRR with simple business model</t>
  </si>
  <si>
    <t>DoceLabs Investment</t>
  </si>
  <si>
    <t>Bank account, incorporation</t>
  </si>
  <si>
    <t>Sunglasses</t>
  </si>
  <si>
    <t>KREWE</t>
  </si>
  <si>
    <t>Macbook PRO</t>
  </si>
  <si>
    <t>Wait for work to pay for it?</t>
  </si>
  <si>
    <t>New Wardrobe</t>
  </si>
  <si>
    <t>HOLD</t>
  </si>
  <si>
    <t>Spring 2019 - shirts, jeans, sneakers, suit?</t>
  </si>
  <si>
    <t>$2,000/Mo.</t>
  </si>
  <si>
    <t>Maserati</t>
  </si>
  <si>
    <t>Gym Membership</t>
  </si>
  <si>
    <t>$25 /mo.</t>
  </si>
  <si>
    <t>Wishlist</t>
  </si>
  <si>
    <t>Pay off 100% Debt</t>
  </si>
  <si>
    <t>Savings for startup 18 month runway</t>
  </si>
  <si>
    <t>Savings for wedding</t>
  </si>
  <si>
    <t>Maserati Ghibli</t>
  </si>
  <si>
    <t>1st of the Month</t>
  </si>
  <si>
    <t>Google for Business</t>
  </si>
  <si>
    <t>GoDaddy Domains</t>
  </si>
  <si>
    <t>Consultants (UpWork)</t>
  </si>
  <si>
    <t>Monthly Total</t>
  </si>
  <si>
    <t>Total Invested (12 months)</t>
  </si>
  <si>
    <t>Note:</t>
  </si>
  <si>
    <t>For the time being, make payments from Capital One (1)</t>
  </si>
  <si>
    <t>$</t>
  </si>
  <si>
    <t>To Nancy</t>
  </si>
  <si>
    <t>Movers</t>
  </si>
  <si>
    <t>4th of July ticket</t>
  </si>
  <si>
    <t>Trader Joes</t>
  </si>
  <si>
    <t>Target</t>
  </si>
  <si>
    <t>Ikea</t>
  </si>
  <si>
    <t>Flight to SF</t>
  </si>
  <si>
    <t>Boudin</t>
  </si>
  <si>
    <t>internet</t>
  </si>
  <si>
    <t>Homeroom</t>
  </si>
  <si>
    <t>Delores Park Food</t>
  </si>
  <si>
    <t>Ubers</t>
  </si>
  <si>
    <t>To Mama</t>
  </si>
  <si>
    <t>Cash - Borrow</t>
  </si>
  <si>
    <t>Rent - Borrow</t>
  </si>
  <si>
    <t>Moving Company</t>
  </si>
  <si>
    <t>From Mason</t>
  </si>
  <si>
    <t>To Pay Immed:</t>
  </si>
  <si>
    <t>to mama</t>
  </si>
  <si>
    <t>to nancy</t>
  </si>
  <si>
    <t>nancy to send mama</t>
  </si>
  <si>
    <t>Hours</t>
  </si>
  <si>
    <t>Payment</t>
  </si>
  <si>
    <t>Invoice/Receipt</t>
  </si>
  <si>
    <t>Ref #</t>
  </si>
  <si>
    <t>Bank Balance</t>
  </si>
  <si>
    <t>Currency</t>
  </si>
  <si>
    <t>Blockfinity @ $75 hr</t>
  </si>
  <si>
    <t>Sep</t>
  </si>
  <si>
    <t>Blockfinity (Pre-Tax)</t>
  </si>
  <si>
    <t>Reimbursement (No Income Tax)</t>
  </si>
  <si>
    <t>Other (No Income Tax)</t>
  </si>
  <si>
    <r>
      <rPr>
        <rFont val="Calibri"/>
        <b/>
        <color rgb="FF434343"/>
        <sz val="11.0"/>
      </rPr>
      <t xml:space="preserve">Tax + Withheld </t>
    </r>
    <r>
      <rPr>
        <rFont val="Calibri"/>
        <b val="0"/>
        <color rgb="FF434343"/>
        <sz val="11.0"/>
      </rPr>
      <t>(@ 38%)</t>
    </r>
  </si>
  <si>
    <t>Net Income Post Tax</t>
  </si>
  <si>
    <t>Cell Phone</t>
  </si>
  <si>
    <t>Medical and Dental</t>
  </si>
  <si>
    <t>Transportation (Gas or Ride Share)</t>
  </si>
  <si>
    <t>Cash</t>
  </si>
  <si>
    <t>Fees and Memberships</t>
  </si>
  <si>
    <r>
      <rPr>
        <rFont val="Arial"/>
        <b/>
        <color rgb="FF434343"/>
        <sz val="10.0"/>
      </rPr>
      <t xml:space="preserve">Savings </t>
    </r>
    <r>
      <rPr>
        <rFont val="Arial"/>
        <b val="0"/>
        <color rgb="FF434343"/>
        <sz val="10.0"/>
      </rPr>
      <t>(10%)</t>
    </r>
  </si>
  <si>
    <t>Strategy 2019</t>
  </si>
  <si>
    <t>Tax Return $3,000</t>
  </si>
  <si>
    <t>Done</t>
  </si>
  <si>
    <t>Cancel Google Email Accounts</t>
  </si>
  <si>
    <t>matt@docelabs.com (hello@ for internt, hashtag language, wsep, opportunity.vc)</t>
  </si>
  <si>
    <t>Have $5,000 credit line available</t>
  </si>
  <si>
    <t>Critical Debt is slowing down other action items</t>
  </si>
  <si>
    <t>Pay off 50% of debt</t>
  </si>
  <si>
    <t xml:space="preserve">Critical Debt is slowing down other action items (Nancy, Braden) </t>
  </si>
  <si>
    <t>Pay off all credit cards</t>
  </si>
  <si>
    <t>Apply for Chase Saphire</t>
  </si>
  <si>
    <t>Save $10,000</t>
  </si>
  <si>
    <t>Save funds in Simple Savings account and ETH hardware Wallet</t>
  </si>
  <si>
    <t>Jean to pay $3,000</t>
  </si>
  <si>
    <t>Blockfinity $2,000</t>
  </si>
  <si>
    <t>Part-time work</t>
  </si>
  <si>
    <t>Launch Internt</t>
  </si>
  <si>
    <t>Incorporate DoceLabs, LLC</t>
  </si>
  <si>
    <t>Invest $ -  Incorporate DoceLabs LLC for consulting work</t>
  </si>
  <si>
    <t>DoceLabs Website</t>
  </si>
  <si>
    <t>Build website with portfolio</t>
  </si>
  <si>
    <t>Purchase trademarks</t>
  </si>
  <si>
    <t>under DoceLabs for portfolio companies. Opportunity.vc to be investment arm</t>
  </si>
  <si>
    <t>Open DoceLabs, LLC Bank Account</t>
  </si>
  <si>
    <t>Google for work, GoDaddy, Legal, Phone Bill, Wifi, Other</t>
  </si>
  <si>
    <t>Relaunch Hashtag Language</t>
  </si>
  <si>
    <t xml:space="preserve">Set the rules and automations better - improved Ambassador program send links for swag </t>
  </si>
  <si>
    <t>Start Non-Profit Mission</t>
  </si>
  <si>
    <r>
      <rPr>
        <b/>
      </rPr>
      <t>*Multiple income streams:</t>
    </r>
    <r>
      <rPr/>
      <t xml:space="preserve"> Quorum, DoceLabs, Blockfinity</t>
    </r>
  </si>
  <si>
    <t>*Build savings</t>
  </si>
  <si>
    <r>
      <rPr>
        <b/>
      </rPr>
      <t xml:space="preserve">*Tax vehicle: </t>
    </r>
    <r>
      <rPr>
        <b val="0"/>
      </rPr>
      <t>seperate business expenses and income</t>
    </r>
  </si>
  <si>
    <r>
      <rPr>
        <b/>
      </rPr>
      <t xml:space="preserve">*Non-profit </t>
    </r>
    <r>
      <rPr/>
      <t>- Dedicate time to a cause close to you</t>
    </r>
  </si>
  <si>
    <t>Wish List (Create TMI)</t>
  </si>
  <si>
    <t>Jeep Grand Cherokee 2017</t>
  </si>
  <si>
    <t>$400 /mo.</t>
  </si>
  <si>
    <t>$1,500 /mo.</t>
  </si>
  <si>
    <t>Please do NOT request access to this spreadsheet. To use the spreadsheet, save a copy of it by selecting</t>
  </si>
  <si>
    <t>File -&gt; Make a Copy.</t>
  </si>
  <si>
    <t>Allocation</t>
  </si>
  <si>
    <t>Value</t>
  </si>
  <si>
    <t>Rick Ferri Rule</t>
  </si>
  <si>
    <t>Personal Capital</t>
  </si>
  <si>
    <t>My Target</t>
  </si>
  <si>
    <t>Actual</t>
  </si>
  <si>
    <t>Threshold</t>
  </si>
  <si>
    <t>Current</t>
  </si>
  <si>
    <t>US Stocks</t>
  </si>
  <si>
    <t>International Stocks</t>
  </si>
  <si>
    <t>Alternatives</t>
  </si>
  <si>
    <t>Bonds</t>
  </si>
  <si>
    <t>Resource</t>
  </si>
  <si>
    <t>Account Balance</t>
  </si>
  <si>
    <t>Expense Ratio</t>
  </si>
  <si>
    <t>Symbol</t>
  </si>
  <si>
    <t>Name</t>
  </si>
  <si>
    <t>Lookup</t>
  </si>
  <si>
    <t>Shares</t>
  </si>
  <si>
    <t>Price</t>
  </si>
  <si>
    <t>Porfolio %</t>
  </si>
  <si>
    <t>Fund</t>
  </si>
  <si>
    <t>Weighted</t>
  </si>
  <si>
    <t>Vanguard Rollover IRA</t>
  </si>
  <si>
    <t>VTSAX</t>
  </si>
  <si>
    <t>VTIAX</t>
  </si>
  <si>
    <t>VBTLX</t>
  </si>
  <si>
    <t>VGSLX</t>
  </si>
  <si>
    <t>VTI</t>
  </si>
  <si>
    <t>Vanguard Roth IRA</t>
  </si>
  <si>
    <t>VBMFX</t>
  </si>
  <si>
    <t>VGSIX</t>
  </si>
  <si>
    <t>PCS 401K</t>
  </si>
  <si>
    <t>HSA Bank</t>
  </si>
  <si>
    <t>VEU</t>
  </si>
  <si>
    <t>BND</t>
  </si>
  <si>
    <t>VNQ</t>
  </si>
  <si>
    <t>TDAXX</t>
  </si>
  <si>
    <t>This page is under construction! I'm adding a sheet specifically for individual stock holdings. Stay tuned!</t>
  </si>
  <si>
    <t>PE</t>
  </si>
  <si>
    <t>DE</t>
  </si>
  <si>
    <t>XOM</t>
  </si>
  <si>
    <t>AAPL</t>
  </si>
  <si>
    <t>BRK.B</t>
  </si>
  <si>
    <t>PEP</t>
  </si>
  <si>
    <t>GM</t>
  </si>
  <si>
    <t>F</t>
  </si>
  <si>
    <t>IBM</t>
  </si>
  <si>
    <t>Cateogry</t>
  </si>
  <si>
    <t>Amt</t>
  </si>
  <si>
    <t>Dining</t>
  </si>
  <si>
    <t>Airport breakfast</t>
  </si>
  <si>
    <t>Casa Malca Dinner</t>
  </si>
  <si>
    <t>United Bag Check</t>
  </si>
  <si>
    <t>DoorDash SF</t>
  </si>
  <si>
    <t>Intercontinentatl Food</t>
  </si>
  <si>
    <t>Uber</t>
  </si>
  <si>
    <t>ATM Withdrawl</t>
  </si>
  <si>
    <t>Moto Rental</t>
  </si>
  <si>
    <t>Cabana Diamante K</t>
  </si>
  <si>
    <t>Get in Inc</t>
  </si>
  <si>
    <t>ATM Withdrawl (fun)</t>
  </si>
  <si>
    <t>Hotel Beach Tulum</t>
  </si>
  <si>
    <t>Soho House Miami</t>
  </si>
  <si>
    <t>Nobu Hotel</t>
  </si>
  <si>
    <t>American Flight</t>
  </si>
  <si>
    <t>United Flight</t>
  </si>
  <si>
    <t>Housing</t>
  </si>
  <si>
    <t>Trip Allied</t>
  </si>
  <si>
    <t>Uber to LAX</t>
  </si>
  <si>
    <t>Uber Miami</t>
  </si>
  <si>
    <t>Coles food at LAX</t>
  </si>
  <si>
    <t>EdenRoc</t>
  </si>
  <si>
    <t>1 Hotel Brunch</t>
  </si>
  <si>
    <t>Oyestria</t>
  </si>
  <si>
    <t>Coyo Wynwood</t>
  </si>
  <si>
    <t>Hostel</t>
  </si>
  <si>
    <t>Sorted Assets</t>
  </si>
  <si>
    <t>Sorted Liabilities</t>
  </si>
  <si>
    <t>Sheet References</t>
  </si>
  <si>
    <t>Balances</t>
  </si>
  <si>
    <t>Row</t>
  </si>
  <si>
    <t>Last Updated</t>
  </si>
  <si>
    <t>© 2021 Tiller LLC</t>
  </si>
  <si>
    <t>Savings Goal Tracker</t>
  </si>
  <si>
    <t>by Vertex42.com</t>
  </si>
  <si>
    <t>ETH Purchase</t>
  </si>
  <si>
    <t>Summer Vacation</t>
  </si>
  <si>
    <t>Ring</t>
  </si>
  <si>
    <t>Proposal</t>
  </si>
  <si>
    <t>Debt Payoff</t>
  </si>
  <si>
    <t>© 2010-2019 Vertex42 LLC</t>
  </si>
  <si>
    <t>Savings Goal</t>
  </si>
  <si>
    <t>INSTRUCTIONS</t>
  </si>
  <si>
    <t>Current Balance</t>
  </si>
  <si>
    <t>See the Help worksheet!</t>
  </si>
  <si>
    <t>% Saved</t>
  </si>
  <si>
    <t>Hide this column before printing.</t>
  </si>
  <si>
    <t>Remaining</t>
  </si>
  <si>
    <t>Amount to Deposit</t>
  </si>
  <si>
    <t>Hide rows 8-10 if you don't use them</t>
  </si>
  <si>
    <t>% Allocation</t>
  </si>
  <si>
    <t>DATE</t>
  </si>
  <si>
    <t>DESCRIPTION</t>
  </si>
  <si>
    <t>SUBTOTAL</t>
  </si>
  <si>
    <t>BALANCE</t>
  </si>
  <si>
    <t>Beginning Balances</t>
  </si>
  <si>
    <t>Interest Earned</t>
  </si>
  <si>
    <t>Monthly Allocation</t>
  </si>
  <si>
    <t>Rebalance</t>
  </si>
  <si>
    <t>Holiday Travel</t>
  </si>
  <si>
    <r>
      <rPr>
        <sz val="11.0"/>
      </rPr>
      <t xml:space="preserve">Insert new rows above this one. Then, copy the formulas in the </t>
    </r>
    <r>
      <rPr>
        <rFont val="Arial"/>
        <i/>
        <sz val="11.0"/>
      </rPr>
      <t>Subtotal</t>
    </r>
    <r>
      <rPr>
        <rFont val="Arial"/>
        <sz val="11.0"/>
      </rPr>
      <t xml:space="preserve"> and </t>
    </r>
    <r>
      <rPr>
        <rFont val="Arial"/>
        <i/>
        <sz val="11.0"/>
      </rPr>
      <t>Balance</t>
    </r>
    <r>
      <rPr>
        <rFont val="Arial"/>
        <sz val="11.0"/>
      </rPr>
      <t xml:space="preserve"> columns down to fill blanks.</t>
    </r>
  </si>
  <si>
    <t>Configuration</t>
  </si>
  <si>
    <t>Account Data</t>
  </si>
  <si>
    <t>Data for Trends Table</t>
  </si>
  <si>
    <t>Net Worth Snapshot</t>
  </si>
  <si>
    <t>Settings</t>
  </si>
  <si>
    <t>Balance History</t>
  </si>
  <si>
    <t>© 2021 Tiller</t>
  </si>
  <si>
    <t>Group or Type</t>
  </si>
  <si>
    <t>Reference Date</t>
  </si>
  <si>
    <t>12 Months Ago</t>
  </si>
  <si>
    <t>mm/dd/yy</t>
  </si>
  <si>
    <t>← enter custom date</t>
  </si>
  <si>
    <t>Comparison Date</t>
  </si>
  <si>
    <t>Today</t>
  </si>
  <si>
    <t>← enter a custom date after date above</t>
  </si>
  <si>
    <t>Time</t>
  </si>
  <si>
    <t>Date Calculations</t>
  </si>
  <si>
    <t>End of Last Year</t>
  </si>
  <si>
    <t>Show 2nd Date</t>
  </si>
  <si>
    <t>Balance History 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</si>
</sst>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5">
    <numFmt numFmtId="164" formatCode="&quot;$&quot;#,##0"/>
    <numFmt numFmtId="165" formatCode="&quot;$&quot;#,##0.00"/>
    <numFmt numFmtId="166" formatCode="mmmm yyyy"/>
    <numFmt numFmtId="167" formatCode="mmmm d, yyyy"/>
    <numFmt numFmtId="168" formatCode="$#,##0"/>
    <numFmt numFmtId="169" formatCode="mmm yyyy"/>
    <numFmt numFmtId="170" formatCode="#,##0.000"/>
    <numFmt numFmtId="171" formatCode="#,##0.0"/>
    <numFmt numFmtId="172" formatCode="#,##0.000000"/>
    <numFmt numFmtId="173" formatCode="$#,##0.00"/>
    <numFmt numFmtId="174" formatCode="M/d/yyyy"/>
    <numFmt numFmtId="175" formatCode="mmm&quot; &quot;d&quot;, &quot;yyyy"/>
    <numFmt numFmtId="176" formatCode="0.0%;[red]0.0%"/>
    <numFmt numFmtId="177" formatCode="m/d/yyyy h:mm:ss"/>
    <numFmt numFmtId="178" formatCode="0.0%"/>
    <numFmt numFmtId="179" formatCode="m/d"/>
    <numFmt numFmtId="180" formatCode="m/d/yyyy"/>
    <numFmt numFmtId="181" formatCode="#,###.000"/>
    <numFmt numFmtId="182" formatCode="0.000"/>
    <numFmt numFmtId="183" formatCode="0&quot; days ago&quot;;&quot;today&quot;;&quot;today&quot;"/>
    <numFmt numFmtId="184" formatCode="m/d/yy"/>
    <numFmt numFmtId="185" formatCode="#,##0.00;\-#,##0.00;&quot;-&quot;"/>
    <numFmt numFmtId="186" formatCode="#,##0.00;[Color10]\-#,##0.00;&quot;-&quot;"/>
    <numFmt numFmtId="187" formatCode="[Color10]#,##0.00;[Red]\-#,##0.00"/>
    <numFmt numFmtId="188" formatCode="M/d/yy"/>
  </numFmts>
  <fonts count="276">
    <font>
      <sz val="10.0"/>
      <color rgb="FF000000"/>
      <name val="Arial"/>
    </font>
    <font>
      <b/>
      <sz val="11.0"/>
      <color rgb="FF000000"/>
      <name val="Helvetica Neue"/>
    </font>
    <font>
      <b/>
      <sz val="11.0"/>
      <name val="Helvetica Neue"/>
    </font>
    <font>
      <b/>
      <sz val="11.0"/>
      <color rgb="FFFFFFFF"/>
      <name val="Helvetica Neue"/>
    </font>
    <font>
      <sz val="11.0"/>
      <color rgb="FF6AA84F"/>
      <name val="Helvetica Neue"/>
    </font>
    <font>
      <b/>
      <sz val="11.0"/>
      <color rgb="FF3C78D8"/>
      <name val="Helvetica Neue"/>
    </font>
    <font>
      <b/>
      <sz val="11.0"/>
      <color rgb="FF6AA84F"/>
      <name val="Helvetica Neue"/>
    </font>
    <font>
      <b/>
      <sz val="11.0"/>
      <color rgb="FFE69138"/>
      <name val="Helvetica Neue"/>
    </font>
    <font>
      <sz val="11.0"/>
      <name val="Helvetica Neue"/>
    </font>
    <font>
      <sz val="11.0"/>
      <color rgb="FFFFFFFF"/>
      <name val="Helvetica Neue"/>
    </font>
    <font>
      <b/>
      <sz val="16.0"/>
      <color rgb="FF373D44"/>
      <name val="&quot;Gotham SSm A&quot;"/>
    </font>
    <font>
      <sz val="11.0"/>
      <color rgb="FF000000"/>
      <name val="Helvetica Neue"/>
    </font>
    <font>
      <b/>
      <sz val="11.0"/>
      <color rgb="FFFF0000"/>
      <name val="Helvetica Neue"/>
    </font>
    <font>
      <sz val="11.0"/>
      <color rgb="FFFF0000"/>
      <name val="Helvetica Neue"/>
    </font>
    <font>
      <b/>
      <i/>
      <sz val="11.0"/>
      <color rgb="FF000000"/>
      <name val="Helvetica Neue"/>
    </font>
    <font>
      <b/>
      <sz val="14.0"/>
      <color rgb="FFFFFFFF"/>
      <name val="Arial"/>
    </font>
    <font>
      <b/>
      <sz val="10.0"/>
      <color rgb="FFFFFFFF"/>
      <name val="Arial"/>
    </font>
    <font>
      <color rgb="FFFFFFFF"/>
      <name val="Arial"/>
    </font>
    <font>
      <sz val="35.0"/>
      <color rgb="FF38761D"/>
    </font>
    <font>
      <b/>
      <sz val="35.0"/>
      <color rgb="FF3C78D8"/>
    </font>
    <font>
      <b/>
      <sz val="35.0"/>
      <color rgb="FF38761D"/>
    </font>
    <font>
      <b/>
      <sz val="35.0"/>
      <color rgb="FFE69138"/>
    </font>
    <font>
      <sz val="35.0"/>
      <color rgb="FF000000"/>
    </font>
    <font>
      <sz val="10.0"/>
      <color rgb="FF38761D"/>
    </font>
    <font>
      <b/>
      <sz val="10.0"/>
      <color rgb="FF000000"/>
      <name val="Arial"/>
    </font>
    <font>
      <sz val="10.0"/>
      <color rgb="FF000000"/>
    </font>
    <font>
      <sz val="40.0"/>
      <color rgb="FF38761D"/>
    </font>
    <font/>
    <font>
      <b/>
    </font>
    <font>
      <color rgb="FF000000"/>
      <name val="Arial"/>
    </font>
    <font>
      <b/>
      <u/>
    </font>
    <font>
      <sz val="10.0"/>
      <color rgb="FFFFFFFF"/>
      <name val="Arial"/>
    </font>
    <font>
      <sz val="10.0"/>
      <color rgb="FF434343"/>
      <name val="Arial"/>
    </font>
    <font>
      <color rgb="FF000000"/>
    </font>
    <font>
      <sz val="10.0"/>
      <color rgb="FF38761D"/>
      <name val="Arial"/>
    </font>
    <font>
      <sz val="10.0"/>
      <color rgb="FFFF0000"/>
      <name val="Arial"/>
    </font>
    <font>
      <sz val="10.0"/>
      <color rgb="FF1155CC"/>
      <name val="Arial"/>
    </font>
    <font>
      <sz val="10.0"/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color rgb="FF666666"/>
    </font>
    <font>
      <sz val="10.0"/>
      <color rgb="FF3C78D8"/>
      <name val="Arial"/>
    </font>
    <font>
      <sz val="10.0"/>
      <color rgb="FF666666"/>
      <name val="Arial"/>
    </font>
    <font>
      <strike/>
      <sz val="10.0"/>
      <color rgb="FF000000"/>
      <name val="Arial"/>
    </font>
    <font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sz val="10.0"/>
      <color rgb="FFFF0000"/>
      <name val="Inconsolata"/>
    </font>
    <font>
      <sz val="10.0"/>
      <color rgb="FF6AA84F"/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b/>
      <sz val="14.0"/>
      <name val="Arial"/>
    </font>
    <font>
      <sz val="11.0"/>
      <name val="Calibri"/>
    </font>
    <font>
      <sz val="14.0"/>
      <name val="Arial"/>
    </font>
    <font>
      <b/>
      <sz val="9.0"/>
      <name val="Arial"/>
    </font>
    <font>
      <b/>
      <u/>
      <sz val="9.0"/>
      <name val="Arial"/>
    </font>
    <font>
      <b/>
      <sz val="8.0"/>
      <name val="Arial"/>
    </font>
    <font>
      <sz val="8.0"/>
      <name val="Arial"/>
    </font>
    <font>
      <b/>
      <sz val="11.0"/>
      <name val="Calibri"/>
    </font>
    <font>
      <b/>
      <sz val="8.0"/>
      <color rgb="FF38761D"/>
      <name val="Arial"/>
    </font>
    <font>
      <sz val="8.0"/>
      <color rgb="FFFF0000"/>
      <name val="Arial"/>
    </font>
    <font>
      <sz val="8.0"/>
      <color rgb="FF38761D"/>
      <name val="Arial"/>
    </font>
    <font>
      <sz val="10.0"/>
      <name val="Verdana"/>
    </font>
    <font>
      <b/>
      <sz val="24.0"/>
      <name val="Verdana"/>
    </font>
    <font>
      <sz val="10.0"/>
      <color rgb="FFFF0000"/>
      <name val="Verdana"/>
    </font>
    <font>
      <sz val="28.0"/>
      <name val="Milonga"/>
    </font>
    <font>
      <b/>
      <sz val="16.0"/>
      <name val="Verdana"/>
    </font>
    <font>
      <b/>
      <sz val="10.0"/>
      <name val="Verdana"/>
    </font>
    <font>
      <b/>
      <u/>
      <sz val="10.0"/>
      <color rgb="FF000000"/>
    </font>
    <font>
      <b/>
      <sz val="10.0"/>
      <color rgb="FF000000"/>
    </font>
    <font>
      <sz val="10.0"/>
      <color rgb="FF000000"/>
      <name val="Verdana"/>
    </font>
    <font>
      <sz val="10.0"/>
      <color rgb="FFFF0000"/>
    </font>
    <font>
      <b/>
      <sz val="10.0"/>
      <color rgb="FFFF0000"/>
    </font>
    <font>
      <sz val="10.0"/>
      <color rgb="FFCCCCCC"/>
      <name val="Verdana"/>
    </font>
    <font>
      <sz val="10.0"/>
      <color rgb="FF666666"/>
      <name val="Verdana"/>
    </font>
    <font>
      <b/>
      <sz val="10.0"/>
      <color rgb="FF666666"/>
    </font>
    <font>
      <sz val="10.0"/>
      <color rgb="FF666666"/>
    </font>
    <font>
      <sz val="10.0"/>
      <color rgb="FFCCCCCC"/>
      <name val="Arial"/>
    </font>
    <font>
      <sz val="10.0"/>
      <color rgb="FFCCCCCC"/>
    </font>
    <font>
      <b/>
      <sz val="10.0"/>
      <color rgb="FFCCCCCC"/>
    </font>
    <font>
      <b/>
      <sz val="13.0"/>
      <name val="Verdana"/>
    </font>
    <font>
      <b/>
      <u/>
      <sz val="10.0"/>
      <color rgb="FFFF0000"/>
      <name val="Verdana"/>
    </font>
    <font>
      <u/>
      <sz val="10.0"/>
      <name val="Verdana"/>
    </font>
    <font>
      <u/>
      <color rgb="FF1155CC"/>
      <name val="Arial"/>
    </font>
    <font>
      <b/>
      <u/>
      <sz val="10.0"/>
    </font>
    <font>
      <b/>
      <u/>
      <sz val="10.0"/>
      <name val="Verdana"/>
    </font>
    <font>
      <i/>
      <sz val="10.0"/>
      <name val="Verdana"/>
    </font>
    <font>
      <sz val="16.0"/>
      <name val="Trebuchet ms bold"/>
    </font>
    <font>
      <b/>
      <sz val="14.0"/>
      <color rgb="FFFFFFFF"/>
    </font>
    <font>
      <b/>
      <sz val="11.0"/>
      <color rgb="FFFFFFFF"/>
    </font>
    <font>
      <color rgb="FFFFFFFF"/>
    </font>
    <font>
      <b/>
      <color rgb="FFFFFFFF"/>
    </font>
    <font>
      <color rgb="FFFF0000"/>
      <name val="Arial"/>
    </font>
    <font>
      <name val="Verdana"/>
    </font>
    <font>
      <b/>
      <name val="Arial"/>
    </font>
    <font>
      <color rgb="FF4A86E8"/>
      <name val="Arial"/>
    </font>
    <font>
      <b/>
      <color rgb="FF38761D"/>
      <name val="Arial"/>
    </font>
    <font>
      <i/>
      <name val="Arial"/>
    </font>
    <font>
      <b/>
      <u/>
      <name val="Arial"/>
    </font>
    <font>
      <sz val="10.0"/>
      <color rgb="FF414042"/>
      <name val="Arial"/>
    </font>
    <font>
      <sz val="11.0"/>
      <color rgb="FF414042"/>
      <name val="&quot;Open Sans&quot;"/>
    </font>
    <font>
      <b/>
      <color rgb="FF38761D"/>
    </font>
    <font>
      <b/>
      <sz val="10.0"/>
      <name val="Arial"/>
    </font>
    <font>
      <b/>
      <sz val="10.0"/>
      <color rgb="FFB7B7B7"/>
      <name val="Arial"/>
    </font>
    <font>
      <u/>
      <sz val="10.0"/>
      <color rgb="FF1155CC"/>
      <name val="Arial"/>
    </font>
    <font>
      <sz val="10.0"/>
      <color rgb="FF999999"/>
      <name val="Arial"/>
    </font>
    <font>
      <b/>
      <sz val="10.0"/>
      <color rgb="FF999999"/>
      <name val="Arial"/>
    </font>
    <font>
      <sz val="10.0"/>
      <color rgb="FFB7B7B7"/>
      <name val="Arial"/>
    </font>
    <font>
      <b/>
      <sz val="24.0"/>
      <color rgb="FF000000"/>
      <name val="Verdana"/>
    </font>
    <font>
      <b/>
      <sz val="11.0"/>
      <color rgb="FF000000"/>
    </font>
    <font>
      <b/>
      <color rgb="FF000000"/>
    </font>
    <font>
      <b/>
      <color rgb="FFB7B7B7"/>
    </font>
    <font>
      <sz val="11.0"/>
      <color rgb="FF000000"/>
    </font>
    <font>
      <sz val="10.0"/>
    </font>
    <font>
      <b/>
      <sz val="10.0"/>
      <color rgb="FFB7B7B7"/>
    </font>
    <font>
      <sz val="10.0"/>
      <color rgb="FF999999"/>
    </font>
    <font>
      <b/>
      <sz val="10.0"/>
      <color rgb="FF999999"/>
    </font>
    <font>
      <b/>
      <sz val="10.0"/>
      <color rgb="FFFFFFFF"/>
    </font>
    <font>
      <b/>
      <sz val="11.0"/>
      <color rgb="FFB7B7B7"/>
    </font>
    <font>
      <color rgb="FFB7B7B7"/>
    </font>
    <font>
      <sz val="10.0"/>
      <color rgb="FFB7B7B7"/>
    </font>
    <font>
      <sz val="11.0"/>
      <color rgb="FFB7B7B7"/>
    </font>
    <font>
      <sz val="11.0"/>
      <color rgb="FF000000"/>
      <name val="Inconsolata"/>
    </font>
    <font>
      <sz val="11.0"/>
      <color rgb="FFFF0000"/>
    </font>
    <font>
      <u/>
      <color rgb="FF1155CC"/>
    </font>
    <font>
      <color rgb="FFFF0000"/>
    </font>
    <font>
      <u/>
      <color rgb="FF0000FF"/>
    </font>
    <font>
      <color rgb="FFFF9900"/>
      <name val="Arial"/>
    </font>
    <font>
      <sz val="10.0"/>
      <color rgb="FFE69138"/>
      <name val="Arial"/>
    </font>
    <font>
      <b/>
      <sz val="11.0"/>
    </font>
    <font>
      <strike/>
      <sz val="11.0"/>
      <color rgb="FF000000"/>
    </font>
    <font>
      <strike/>
      <sz val="11.0"/>
    </font>
    <font>
      <strike/>
      <sz val="11.0"/>
      <color rgb="FFFFFFFF"/>
    </font>
    <font>
      <b/>
      <strike/>
      <sz val="11.0"/>
      <color rgb="FF000000"/>
    </font>
    <font>
      <strike/>
      <sz val="11.0"/>
      <color rgb="FF000000"/>
      <name val="Arial"/>
    </font>
    <font>
      <b/>
      <strike/>
      <sz val="11.0"/>
    </font>
    <font>
      <sz val="11.0"/>
      <name val="Arial"/>
    </font>
    <font>
      <sz val="11.0"/>
    </font>
    <font>
      <sz val="11.0"/>
      <color rgb="FFFFFFFF"/>
    </font>
    <font>
      <sz val="11.0"/>
      <color rgb="FFFFFFFF"/>
      <name val="Arial"/>
    </font>
    <font>
      <sz val="11.0"/>
      <color rgb="FF38761D"/>
      <name val="Arial"/>
    </font>
    <font>
      <sz val="11.0"/>
      <color rgb="FF38761D"/>
    </font>
    <font>
      <b/>
      <sz val="11.0"/>
      <color rgb="FF38761D"/>
    </font>
    <font>
      <sz val="11.0"/>
      <color rgb="FF999999"/>
      <name val="Arial"/>
    </font>
    <font>
      <sz val="11.0"/>
      <color rgb="FFB7B7B7"/>
      <name val="Arial"/>
    </font>
    <font>
      <sz val="11.0"/>
      <color rgb="FF000000"/>
      <name val="Arial"/>
    </font>
    <font>
      <u/>
    </font>
    <font>
      <b/>
      <u/>
    </font>
    <font>
      <color rgb="FF343E47"/>
      <name val="Overpass"/>
    </font>
    <font>
      <b/>
      <sz val="21.0"/>
      <color rgb="FF333333"/>
      <name val="Overpass"/>
    </font>
    <font>
      <name val="Overpass"/>
    </font>
    <font>
      <b/>
      <sz val="10.0"/>
      <color rgb="FF343E47"/>
      <name val="Overpass"/>
    </font>
    <font>
      <b/>
      <sz val="22.0"/>
      <color rgb="FF343E47"/>
      <name val="Overpass"/>
    </font>
    <font>
      <b/>
      <color rgb="FF343E47"/>
      <name val="Overpass"/>
    </font>
    <font>
      <sz val="10.0"/>
      <color rgb="FF343E47"/>
      <name val="Overpass"/>
    </font>
    <font>
      <color rgb="FF333333"/>
      <name val="Overpass"/>
    </font>
    <font>
      <b/>
      <color rgb="FF333333"/>
      <name val="Overpass"/>
    </font>
    <font>
      <sz val="10.0"/>
      <color rgb="FF333333"/>
      <name val="Overpass"/>
    </font>
    <font>
      <b/>
      <sz val="21.0"/>
      <color rgb="FFFDFDFD"/>
      <name val="Overpass"/>
    </font>
    <font>
      <b/>
      <sz val="21.0"/>
      <color rgb="FF6AA84F"/>
      <name val="Overpass"/>
    </font>
    <font>
      <b/>
      <sz val="21.0"/>
      <color rgb="FFFFFFFF"/>
      <name val="Overpass"/>
    </font>
    <font>
      <b/>
      <sz val="12.0"/>
      <color rgb="FFFDFDFD"/>
      <name val="Overpass"/>
    </font>
    <font>
      <b/>
      <sz val="10.0"/>
      <color rgb="FFFDFDFD"/>
      <name val="Overpass"/>
    </font>
    <font>
      <b/>
      <sz val="22.0"/>
      <color rgb="FFFDFDFD"/>
      <name val="Overpass"/>
    </font>
    <font>
      <sz val="10.0"/>
      <color rgb="FFFDFDFD"/>
      <name val="Overpass"/>
    </font>
    <font>
      <i/>
      <sz val="10.0"/>
      <color rgb="FFFDFDFD"/>
      <name val="Overpass"/>
    </font>
    <font>
      <sz val="11.0"/>
      <color rgb="FF333333"/>
      <name val="Overpass"/>
    </font>
    <font>
      <b/>
      <sz val="21.0"/>
      <color rgb="FF343E47"/>
      <name val="Overpass"/>
    </font>
    <font>
      <b/>
      <color rgb="FFFFFFFF"/>
      <name val="Overpass"/>
    </font>
    <font>
      <b/>
      <sz val="10.0"/>
      <color rgb="FFFFFFFF"/>
      <name val="Overpass"/>
    </font>
    <font>
      <b/>
      <sz val="10.0"/>
      <color rgb="FF333333"/>
      <name val="Overpass"/>
    </font>
    <font>
      <b/>
      <color rgb="FFFF0000"/>
      <name val="Overpass"/>
    </font>
    <font>
      <color rgb="FF000000"/>
      <name val="Overpass"/>
    </font>
    <font>
      <b/>
      <color rgb="FFFDFDFD"/>
      <name val="Overpass"/>
    </font>
    <font>
      <b/>
      <sz val="11.0"/>
      <color rgb="FF000000"/>
      <name val="Calibri"/>
    </font>
    <font>
      <sz val="11.0"/>
      <color rgb="FF000000"/>
      <name val="Calibri"/>
    </font>
    <font>
      <b/>
      <color rgb="FF000000"/>
      <name val="Arial"/>
    </font>
    <font>
      <b/>
      <u/>
      <color rgb="FF000000"/>
      <name val="Arial"/>
    </font>
    <font>
      <b/>
      <u/>
      <sz val="11.0"/>
      <color rgb="FF000000"/>
      <name val="Calibri"/>
    </font>
    <font>
      <b/>
      <u/>
      <color rgb="FF000000"/>
    </font>
    <font>
      <b/>
      <sz val="10.0"/>
    </font>
    <font>
      <b/>
      <sz val="14.0"/>
    </font>
    <font>
      <b/>
      <sz val="14.0"/>
      <color rgb="FFB7B7B7"/>
    </font>
    <font>
      <b/>
      <sz val="11.0"/>
      <color rgb="FF434343"/>
    </font>
    <font>
      <color rgb="FFCCCCCC"/>
    </font>
    <font>
      <b/>
      <color rgb="FFFF0000"/>
      <name val="Arial"/>
    </font>
    <font>
      <b/>
      <i/>
      <u/>
    </font>
    <font>
      <i/>
    </font>
    <font>
      <b/>
      <u/>
      <color rgb="FF0000FF"/>
    </font>
    <font>
      <strike/>
      <color rgb="FF000000"/>
    </font>
    <font>
      <b/>
      <u/>
    </font>
    <font>
      <u/>
    </font>
    <font>
      <u/>
    </font>
    <font>
      <strike/>
    </font>
    <font>
      <sz val="12.0"/>
      <color rgb="FFFFFFFF"/>
      <name val="&quot;Aeonik Pro&quot;"/>
    </font>
    <font>
      <u/>
      <color rgb="FF0000FF"/>
    </font>
    <font>
      <u/>
      <color rgb="FF0000FF"/>
    </font>
    <font>
      <b/>
      <u/>
      <name val="Arial"/>
    </font>
    <font>
      <color rgb="FF6AA84F"/>
    </font>
    <font>
      <color rgb="FF38761D"/>
      <name val="Arial"/>
    </font>
    <font>
      <b/>
      <sz val="10.0"/>
      <color rgb="FFFF0000"/>
      <name val="Arial"/>
    </font>
    <font>
      <b/>
      <sz val="10.0"/>
      <color rgb="FF6AA84F"/>
      <name val="Arial"/>
    </font>
    <font>
      <b/>
      <u/>
      <sz val="10.0"/>
      <color rgb="FF000000"/>
      <name val="Arial"/>
    </font>
    <font>
      <sz val="11.0"/>
      <color rgb="FFB7B7B7"/>
      <name val="Calibri"/>
    </font>
    <font>
      <sz val="11.0"/>
      <color rgb="FF1155CC"/>
      <name val="Calibri"/>
    </font>
    <font>
      <b/>
      <u/>
      <color rgb="FF000000"/>
      <name val="Arial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color rgb="FF000000"/>
    </font>
    <font>
      <color rgb="FF334246"/>
      <name val="&quot;helvetica neue&quot;"/>
    </font>
    <font>
      <b/>
      <sz val="14.0"/>
      <color rgb="FF999999"/>
    </font>
    <font>
      <strike/>
      <color rgb="FFFFFFFF"/>
    </font>
    <font>
      <strike/>
      <color rgb="FFB7B7B7"/>
    </font>
    <font>
      <color rgb="FF999999"/>
    </font>
    <font>
      <color rgb="FF999999"/>
      <name val="Arial"/>
    </font>
    <font>
      <b/>
      <sz val="14.0"/>
      <color rgb="FF000000"/>
    </font>
    <font>
      <b/>
      <i/>
    </font>
    <font>
      <b/>
      <color rgb="FF999999"/>
    </font>
    <font>
      <strike/>
      <u/>
    </font>
    <font>
      <b/>
      <strike/>
    </font>
    <font>
      <b/>
      <sz val="11.0"/>
      <color rgb="FF434343"/>
      <name val="Calibri"/>
    </font>
    <font>
      <b/>
      <sz val="11.0"/>
      <color rgb="FF3C78D8"/>
      <name val="Calibri"/>
    </font>
    <font>
      <color rgb="FF434343"/>
      <name val="Arial"/>
    </font>
    <font>
      <sz val="11.0"/>
      <color rgb="FF434343"/>
      <name val="Calibri"/>
    </font>
    <font>
      <sz val="11.0"/>
      <color rgb="FFFF0000"/>
      <name val="Calibri"/>
    </font>
    <font>
      <sz val="11.0"/>
      <color rgb="FFE69138"/>
      <name val="Calibri"/>
    </font>
    <font>
      <b/>
      <color rgb="FF434343"/>
      <name val="Arial"/>
    </font>
    <font>
      <b/>
      <u/>
      <color rgb="FF434343"/>
      <name val="Arial"/>
    </font>
    <font>
      <b/>
      <sz val="11.0"/>
      <color rgb="FFFF0000"/>
      <name val="Calibri"/>
    </font>
    <font>
      <sz val="11.0"/>
      <color rgb="FF6AA84F"/>
      <name val="Calibri"/>
    </font>
    <font>
      <b/>
      <u/>
      <sz val="11.0"/>
      <color rgb="FF434343"/>
      <name val="Calibri"/>
    </font>
    <font>
      <b/>
      <sz val="11.0"/>
      <color rgb="FFE69138"/>
      <name val="Calibri"/>
    </font>
    <font>
      <color rgb="FFE69138"/>
      <name val="Arial"/>
    </font>
    <font>
      <b/>
      <sz val="10.0"/>
      <color rgb="FF434343"/>
      <name val="Arial"/>
    </font>
    <font>
      <color rgb="FF434343"/>
    </font>
    <font>
      <b/>
      <color rgb="FF434343"/>
    </font>
    <font>
      <b/>
      <u/>
      <color rgb="FF434343"/>
    </font>
    <font>
      <b/>
      <strike/>
      <sz val="10.0"/>
      <color rgb="FF000000"/>
      <name val="Arial"/>
    </font>
    <font>
      <strike/>
      <sz val="10.0"/>
      <color rgb="FF000000"/>
    </font>
    <font>
      <b/>
      <strike/>
      <sz val="11.0"/>
      <color rgb="FFB7B7B7"/>
    </font>
    <font>
      <strike/>
      <color rgb="FF999999"/>
    </font>
    <font>
      <u/>
      <color rgb="FF434343"/>
    </font>
    <font>
      <b/>
      <sz val="10.0"/>
      <color rgb="FF434343"/>
    </font>
    <font>
      <sz val="10.0"/>
      <color rgb="FF434343"/>
    </font>
    <font>
      <sz val="11.0"/>
      <color rgb="FF434343"/>
    </font>
    <font>
      <b/>
      <sz val="18.0"/>
      <color rgb="FFF46524"/>
      <name val="Overpass"/>
    </font>
    <font>
      <i/>
      <sz val="10.0"/>
      <color rgb="FFB7B7B7"/>
      <name val="Overpass"/>
    </font>
    <font>
      <sz val="10.0"/>
      <name val="Overpass"/>
    </font>
    <font>
      <b/>
      <sz val="21.0"/>
      <color rgb="FFF46524"/>
      <name val="Overpass"/>
    </font>
    <font>
      <b/>
      <sz val="22.0"/>
      <color rgb="FFF46524"/>
      <name val="Overpass"/>
    </font>
    <font>
      <b/>
      <sz val="10.0"/>
      <name val="Overpass"/>
    </font>
    <font>
      <b/>
      <name val="Overpass"/>
    </font>
    <font>
      <sz val="10.0"/>
      <color rgb="FF000000"/>
      <name val="Overpass"/>
    </font>
    <font>
      <sz val="8.0"/>
      <color rgb="FF80889A"/>
      <name val="Overpass"/>
    </font>
    <font>
      <b/>
      <sz val="11.0"/>
      <color rgb="FFFFFFFF"/>
      <name val="Overpass"/>
    </font>
    <font>
      <b/>
      <sz val="11.0"/>
      <color rgb="FFEFEFEF"/>
      <name val="Overpass"/>
    </font>
    <font>
      <b/>
      <sz val="18.0"/>
      <color rgb="FF2A4E81"/>
      <name val="Tahoma"/>
    </font>
    <font>
      <b/>
      <sz val="14.0"/>
      <color/>
    </font>
    <font>
      <sz val="6.0"/>
      <color rgb="FF2A4E81"/>
    </font>
    <font>
      <b/>
      <sz val="18.0"/>
      <color rgb="FF7F7F7F"/>
      <name val="Arial Narrow"/>
    </font>
    <font>
      <u/>
      <sz val="10.0"/>
      <color rgb="FF0000FF"/>
      <name val="Arial"/>
    </font>
    <font>
      <b/>
      <sz val="12.0"/>
      <color rgb="FF26491E"/>
    </font>
    <font>
      <b/>
      <sz val="9.0"/>
    </font>
    <font>
      <sz val="9.0"/>
      <color rgb="FF7F7F7F"/>
    </font>
    <font>
      <b/>
      <sz val="12.0"/>
    </font>
    <font>
      <b/>
      <sz val="10.0"/>
      <color rgb="FF2A4E81"/>
    </font>
    <font>
      <sz val="9.0"/>
    </font>
    <font>
      <sz val="10.0"/>
      <color rgb="FF2A4E81"/>
    </font>
    <font>
      <sz val="12.0"/>
    </font>
    <font>
      <sz val="8.0"/>
    </font>
    <font>
      <sz val="9.0"/>
      <color rgb="FFFFFFFF"/>
    </font>
    <font>
      <i/>
      <sz val="10.0"/>
    </font>
    <font>
      <b/>
      <sz val="24.0"/>
      <color rgb="FF333333"/>
      <name val="Overpass"/>
    </font>
    <font>
      <i/>
      <sz val="10.0"/>
      <color rgb="FF999999"/>
      <name val="Overpass"/>
    </font>
    <font>
      <u/>
      <sz val="8.0"/>
      <color rgb="FF80889A"/>
      <name val="Overpass"/>
    </font>
    <font>
      <sz val="10.0"/>
      <color rgb="FF80889A"/>
      <name val="Overpass"/>
    </font>
  </fonts>
  <fills count="50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76A5AF"/>
        <bgColor rgb="FF76A5AF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E69138"/>
        <bgColor rgb="FFE69138"/>
      </patternFill>
    </fill>
    <fill>
      <patternFill patternType="solid">
        <fgColor rgb="FF3C78D8"/>
        <bgColor rgb="FF3C78D8"/>
      </patternFill>
    </fill>
    <fill>
      <patternFill patternType="solid">
        <fgColor rgb="FFEBFFEC"/>
        <bgColor rgb="FFEBFFEC"/>
      </patternFill>
    </fill>
    <fill>
      <patternFill patternType="solid">
        <fgColor rgb="FF333333"/>
        <bgColor rgb="FF333333"/>
      </patternFill>
    </fill>
    <fill>
      <patternFill patternType="solid">
        <fgColor rgb="FF6AA84F"/>
        <bgColor rgb="FF6AA84F"/>
      </patternFill>
    </fill>
    <fill>
      <patternFill patternType="solid">
        <fgColor rgb="FF1C2436"/>
        <bgColor rgb="FF1C2436"/>
      </patternFill>
    </fill>
    <fill>
      <patternFill patternType="solid">
        <fgColor rgb="FF2E86DE"/>
        <bgColor rgb="FF2E86DE"/>
      </patternFill>
    </fill>
    <fill>
      <patternFill patternType="solid">
        <fgColor rgb="FFEEEEF1"/>
        <bgColor rgb="FFEEEEF1"/>
      </patternFill>
    </fill>
    <fill>
      <patternFill patternType="solid">
        <fgColor rgb="FF666666"/>
        <bgColor rgb="FF666666"/>
      </patternFill>
    </fill>
    <fill>
      <patternFill patternType="solid">
        <fgColor rgb="FFB2B2B2"/>
        <bgColor rgb="FFB2B2B2"/>
      </patternFill>
    </fill>
    <fill>
      <patternFill patternType="solid">
        <fgColor rgb="FF16161A"/>
        <bgColor rgb="FF16161A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1273FF"/>
        <bgColor rgb="FF1273FF"/>
      </patternFill>
    </fill>
    <fill>
      <patternFill patternType="solid">
        <fgColor rgb="FF69C569"/>
        <bgColor rgb="FF69C569"/>
      </patternFill>
    </fill>
    <fill>
      <patternFill patternType="solid">
        <fgColor rgb="FF576475"/>
        <bgColor rgb="FF576475"/>
      </patternFill>
    </fill>
    <fill>
      <patternFill patternType="solid">
        <fgColor rgb="FFD8EDD3"/>
        <bgColor rgb="FFD8EDD3"/>
      </patternFill>
    </fill>
    <fill>
      <patternFill patternType="solid">
        <fgColor rgb="FFB2DBA8"/>
        <bgColor rgb="FFB2DBA8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2A4E81"/>
        <bgColor rgb="FF2A4E81"/>
      </patternFill>
    </fill>
    <fill>
      <patternFill patternType="solid">
        <fgColor rgb="FFAAC2E3"/>
        <bgColor rgb="FFAAC2E3"/>
      </patternFill>
    </fill>
    <fill>
      <patternFill patternType="solid">
        <fgColor rgb="FFD4E0F1"/>
        <bgColor rgb="FFD4E0F1"/>
      </patternFill>
    </fill>
  </fills>
  <borders count="8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</border>
    <border>
      <right style="dotted">
        <color rgb="FF000000"/>
      </right>
    </border>
    <border>
      <bottom style="double">
        <color rgb="FF000000"/>
      </bottom>
    </border>
    <border>
      <left style="dotted">
        <color rgb="FF000000"/>
      </left>
      <right style="dotted">
        <color rgb="FF000000"/>
      </right>
      <bottom style="double">
        <color rgb="FF000000"/>
      </bottom>
    </border>
    <border>
      <right/>
    </border>
    <border>
      <top style="double">
        <color rgb="FF000000"/>
      </top>
    </border>
    <border>
      <left style="dotted">
        <color rgb="FF000000"/>
      </left>
      <right style="dotted">
        <color rgb="FF000000"/>
      </right>
      <top style="double">
        <color rgb="FF000000"/>
      </top>
    </border>
    <border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bottom style="hair">
        <color rgb="FF000000"/>
      </bottom>
    </border>
    <border>
      <bottom style="medium">
        <color rgb="FFA4C2F4"/>
      </bottom>
    </border>
    <border>
      <right style="medium">
        <color rgb="FFA4C2F4"/>
      </right>
    </border>
    <border>
      <right style="medium">
        <color rgb="FFA4C2F4"/>
      </right>
      <bottom style="medium">
        <color rgb="FF000000"/>
      </bottom>
    </border>
    <border>
      <right style="medium">
        <color rgb="FFA4C2F4"/>
      </right>
      <bottom style="thin">
        <color rgb="FF000000"/>
      </bottom>
    </border>
    <border>
      <bottom style="double">
        <color rgb="FFA4C2F4"/>
      </bottom>
    </border>
    <border>
      <right style="medium">
        <color rgb="FFA4C2F4"/>
      </right>
      <bottom style="double">
        <color rgb="FFA4C2F4"/>
      </bottom>
    </border>
    <border>
      <right style="medium">
        <color rgb="FFA4C2F4"/>
      </right>
      <bottom style="medium">
        <color rgb="FFA4C2F4"/>
      </bottom>
    </border>
    <border>
      <bottom style="thick">
        <color rgb="FF000000"/>
      </bottom>
    </border>
    <border>
      <top style="thin">
        <color rgb="FF000000"/>
      </top>
    </border>
    <border>
      <top style="hair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69C569"/>
      </left>
      <top style="medium">
        <color rgb="FF69C569"/>
      </top>
      <bottom style="medium">
        <color rgb="FF69C569"/>
      </bottom>
    </border>
    <border>
      <top style="medium">
        <color rgb="FF69C569"/>
      </top>
      <bottom style="medium">
        <color rgb="FF69C569"/>
      </bottom>
    </border>
    <border>
      <left style="thick">
        <color rgb="FF69C569"/>
      </left>
      <top style="medium">
        <color rgb="FF69C569"/>
      </top>
      <bottom style="medium">
        <color rgb="FF69C569"/>
      </bottom>
    </border>
    <border>
      <right style="medium">
        <color rgb="FF69C569"/>
      </right>
      <top style="medium">
        <color rgb="FF69C569"/>
      </top>
      <bottom style="medium">
        <color rgb="FF69C569"/>
      </bottom>
    </border>
    <border>
      <bottom style="thin">
        <color rgb="FFFFFFFF"/>
      </bottom>
    </border>
    <border>
      <bottom style="thick">
        <color rgb="FF1155CC"/>
      </bottom>
    </border>
    <border>
      <left style="dotted">
        <color rgb="FF000000"/>
      </left>
      <right style="dotted">
        <color rgb="FF000000"/>
      </right>
      <bottom style="thick">
        <color rgb="FF1155CC"/>
      </bottom>
    </border>
    <border>
      <bottom style="thick">
        <color rgb="FFFF0000"/>
      </bottom>
    </border>
    <border>
      <left style="dotted">
        <color rgb="FF000000"/>
      </left>
      <right style="dotted">
        <color rgb="FF000000"/>
      </right>
      <bottom style="thick">
        <color rgb="FFFF0000"/>
      </bottom>
    </border>
    <border>
      <bottom style="thick">
        <color rgb="FFE69138"/>
      </bottom>
    </border>
    <border>
      <left style="dotted">
        <color rgb="FF000000"/>
      </left>
      <right style="dotted">
        <color rgb="FF000000"/>
      </right>
      <bottom style="thick">
        <color rgb="FFE69138"/>
      </bottom>
    </border>
    <border>
      <left style="dotted">
        <color rgb="FF000000"/>
      </left>
    </border>
    <border>
      <bottom style="thick">
        <color rgb="FF6AA84F"/>
      </bottom>
    </border>
    <border>
      <left style="dotted">
        <color rgb="FF000000"/>
      </left>
      <right style="dotted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thick">
        <color rgb="FF1155CC"/>
      </bottom>
    </border>
    <border>
      <left style="hair">
        <color rgb="FF000000"/>
      </left>
      <right style="hair">
        <color rgb="FF000000"/>
      </right>
      <top style="double">
        <color rgb="FF000000"/>
      </top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bottom/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right style="thin">
        <color rgb="FFB2B2B2"/>
      </right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/>
      <bottom style="thin">
        <color rgb="FFB2B2B2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6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2" fontId="3" numFmtId="0" xfId="0" applyAlignment="1" applyFill="1" applyFont="1">
      <alignment horizontal="left" readingOrder="0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horizontal="left"/>
    </xf>
    <xf borderId="0" fillId="0" fontId="4" numFmtId="164" xfId="0" applyAlignment="1" applyFont="1" applyNumberFormat="1">
      <alignment horizontal="left" readingOrder="0"/>
    </xf>
    <xf borderId="0" fillId="0" fontId="5" numFmtId="164" xfId="0" applyAlignment="1" applyFont="1" applyNumberFormat="1">
      <alignment horizontal="left" readingOrder="0"/>
    </xf>
    <xf borderId="0" fillId="0" fontId="6" numFmtId="164" xfId="0" applyAlignment="1" applyFont="1" applyNumberFormat="1">
      <alignment horizontal="left" readingOrder="0"/>
    </xf>
    <xf borderId="0" fillId="0" fontId="7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0" fontId="8" numFmtId="165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8" numFmtId="9" xfId="0" applyAlignment="1" applyFont="1" applyNumberFormat="1">
      <alignment horizontal="right" vertical="bottom"/>
    </xf>
    <xf borderId="0" fillId="0" fontId="8" numFmtId="0" xfId="0" applyAlignment="1" applyFont="1">
      <alignment horizontal="left" readingOrder="0"/>
    </xf>
    <xf borderId="0" fillId="2" fontId="3" numFmtId="0" xfId="0" applyAlignment="1" applyFont="1">
      <alignment horizontal="left" readingOrder="0" shrinkToFit="0" wrapText="1"/>
    </xf>
    <xf borderId="0" fillId="2" fontId="9" numFmtId="0" xfId="0" applyAlignment="1" applyFont="1">
      <alignment horizontal="left" readingOrder="0"/>
    </xf>
    <xf borderId="0" fillId="2" fontId="9" numFmtId="164" xfId="0" applyAlignment="1" applyFont="1" applyNumberFormat="1">
      <alignment horizontal="left" readingOrder="0"/>
    </xf>
    <xf borderId="0" fillId="0" fontId="2" numFmtId="9" xfId="0" applyAlignment="1" applyFont="1" applyNumberFormat="1">
      <alignment horizontal="left" readingOrder="0"/>
    </xf>
    <xf borderId="0" fillId="0" fontId="2" numFmtId="164" xfId="0" applyAlignment="1" applyFont="1" applyNumberFormat="1">
      <alignment vertical="bottom"/>
    </xf>
    <xf borderId="0" fillId="0" fontId="8" numFmtId="164" xfId="0" applyAlignment="1" applyFont="1" applyNumberFormat="1">
      <alignment horizontal="right" vertical="bottom"/>
    </xf>
    <xf borderId="0" fillId="0" fontId="8" numFmtId="164" xfId="0" applyAlignment="1" applyFont="1" applyNumberFormat="1">
      <alignment horizontal="left" readingOrder="0" vertical="bottom"/>
    </xf>
    <xf borderId="0" fillId="0" fontId="2" numFmtId="10" xfId="0" applyAlignment="1" applyFont="1" applyNumberFormat="1">
      <alignment horizontal="left" readingOrder="0"/>
    </xf>
    <xf borderId="0" fillId="0" fontId="8" numFmtId="9" xfId="0" applyAlignment="1" applyFont="1" applyNumberFormat="1">
      <alignment vertical="bottom"/>
    </xf>
    <xf borderId="0" fillId="0" fontId="2" numFmtId="164" xfId="0" applyAlignment="1" applyFont="1" applyNumberFormat="1">
      <alignment shrinkToFit="0" vertical="bottom" wrapText="1"/>
    </xf>
    <xf borderId="0" fillId="0" fontId="8" numFmtId="164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3" fontId="10" numFmtId="0" xfId="0" applyAlignment="1" applyFill="1" applyFont="1">
      <alignment readingOrder="0" shrinkToFit="0" wrapText="0"/>
    </xf>
    <xf borderId="0" fillId="0" fontId="11" numFmtId="0" xfId="0" applyAlignment="1" applyFont="1">
      <alignment horizontal="left" readingOrder="0" shrinkToFit="0" wrapText="1"/>
    </xf>
    <xf borderId="0" fillId="4" fontId="1" numFmtId="0" xfId="0" applyAlignment="1" applyFill="1" applyFont="1">
      <alignment horizontal="left" readingOrder="0"/>
    </xf>
    <xf borderId="0" fillId="4" fontId="3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0" fillId="5" fontId="11" numFmtId="0" xfId="0" applyAlignment="1" applyFill="1" applyFont="1">
      <alignment horizontal="left" readingOrder="0"/>
    </xf>
    <xf borderId="0" fillId="5" fontId="8" numFmtId="164" xfId="0" applyAlignment="1" applyFont="1" applyNumberFormat="1">
      <alignment horizontal="left" readingOrder="0"/>
    </xf>
    <xf borderId="0" fillId="6" fontId="2" numFmtId="164" xfId="0" applyAlignment="1" applyFill="1" applyFont="1" applyNumberFormat="1">
      <alignment horizontal="left" readingOrder="0"/>
    </xf>
    <xf borderId="0" fillId="5" fontId="12" numFmtId="164" xfId="0" applyAlignment="1" applyFont="1" applyNumberFormat="1">
      <alignment horizontal="left" readingOrder="0"/>
    </xf>
    <xf borderId="0" fillId="0" fontId="8" numFmtId="164" xfId="0" applyAlignment="1" applyFont="1" applyNumberFormat="1">
      <alignment horizontal="left" readingOrder="0"/>
    </xf>
    <xf borderId="0" fillId="7" fontId="2" numFmtId="164" xfId="0" applyAlignment="1" applyFill="1" applyFont="1" applyNumberFormat="1">
      <alignment horizontal="left" readingOrder="0"/>
    </xf>
    <xf borderId="0" fillId="5" fontId="11" numFmtId="0" xfId="0" applyAlignment="1" applyFont="1">
      <alignment horizontal="left" readingOrder="0"/>
    </xf>
    <xf borderId="0" fillId="5" fontId="2" numFmtId="164" xfId="0" applyAlignment="1" applyFont="1" applyNumberFormat="1">
      <alignment horizontal="left" readingOrder="0"/>
    </xf>
    <xf borderId="0" fillId="5" fontId="2" numFmtId="0" xfId="0" applyAlignment="1" applyFont="1">
      <alignment horizontal="left"/>
    </xf>
    <xf borderId="0" fillId="5" fontId="11" numFmtId="0" xfId="0" applyAlignment="1" applyFont="1">
      <alignment horizontal="left" readingOrder="0" vertical="bottom"/>
    </xf>
    <xf borderId="0" fillId="5" fontId="8" numFmtId="164" xfId="0" applyAlignment="1" applyFont="1" applyNumberFormat="1">
      <alignment horizontal="left" vertical="bottom"/>
    </xf>
    <xf borderId="0" fillId="0" fontId="8" numFmtId="164" xfId="0" applyAlignment="1" applyFont="1" applyNumberFormat="1">
      <alignment horizontal="left" vertical="bottom"/>
    </xf>
    <xf borderId="0" fillId="0" fontId="8" numFmtId="0" xfId="0" applyAlignment="1" applyFont="1">
      <alignment horizontal="left" vertical="bottom"/>
    </xf>
    <xf borderId="0" fillId="0" fontId="1" numFmtId="0" xfId="0" applyAlignment="1" applyFont="1">
      <alignment horizontal="left" readingOrder="0"/>
    </xf>
    <xf borderId="0" fillId="0" fontId="12" numFmtId="164" xfId="0" applyAlignment="1" applyFont="1" applyNumberFormat="1">
      <alignment horizontal="left" readingOrder="0"/>
    </xf>
    <xf borderId="0" fillId="0" fontId="13" numFmtId="0" xfId="0" applyAlignment="1" applyFont="1">
      <alignment horizontal="left"/>
    </xf>
    <xf borderId="0" fillId="0" fontId="13" numFmtId="164" xfId="0" applyAlignment="1" applyFont="1" applyNumberFormat="1">
      <alignment horizontal="left" readingOrder="0"/>
    </xf>
    <xf borderId="0" fillId="0" fontId="12" numFmtId="0" xfId="0" applyAlignment="1" applyFont="1">
      <alignment horizontal="left" readingOrder="0"/>
    </xf>
    <xf borderId="0" fillId="3" fontId="10" numFmtId="164" xfId="0" applyAlignment="1" applyFont="1" applyNumberFormat="1">
      <alignment readingOrder="0" shrinkToFit="0" wrapText="0"/>
    </xf>
    <xf borderId="0" fillId="0" fontId="2" numFmtId="164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left" readingOrder="0" vertical="bottom"/>
    </xf>
    <xf borderId="0" fillId="8" fontId="1" numFmtId="0" xfId="0" applyAlignment="1" applyFill="1" applyFont="1">
      <alignment horizontal="left" readingOrder="0"/>
    </xf>
    <xf borderId="0" fillId="8" fontId="3" numFmtId="0" xfId="0" applyAlignment="1" applyFont="1">
      <alignment horizontal="left" readingOrder="0"/>
    </xf>
    <xf borderId="0" fillId="0" fontId="9" numFmtId="0" xfId="0" applyAlignment="1" applyFont="1">
      <alignment horizontal="left"/>
    </xf>
    <xf borderId="0" fillId="0" fontId="11" numFmtId="0" xfId="0" applyAlignment="1" applyFont="1">
      <alignment horizontal="left" readingOrder="0"/>
    </xf>
    <xf borderId="0" fillId="0" fontId="11" numFmtId="164" xfId="0" applyAlignment="1" applyFont="1" applyNumberFormat="1">
      <alignment horizontal="left" readingOrder="0"/>
    </xf>
    <xf borderId="0" fillId="0" fontId="11" numFmtId="0" xfId="0" applyAlignment="1" applyFont="1">
      <alignment horizontal="left" readingOrder="0"/>
    </xf>
    <xf borderId="0" fillId="0" fontId="8" numFmtId="0" xfId="0" applyAlignment="1" applyFont="1">
      <alignment horizontal="left" readingOrder="0" vertical="bottom"/>
    </xf>
    <xf borderId="0" fillId="0" fontId="1" numFmtId="164" xfId="0" applyAlignment="1" applyFont="1" applyNumberFormat="1">
      <alignment horizontal="left" readingOrder="0"/>
    </xf>
    <xf borderId="0" fillId="0" fontId="11" numFmtId="0" xfId="0" applyAlignment="1" applyFont="1">
      <alignment horizontal="left"/>
    </xf>
    <xf borderId="0" fillId="0" fontId="14" numFmtId="0" xfId="0" applyAlignment="1" applyFont="1">
      <alignment horizontal="left" readingOrder="0"/>
    </xf>
    <xf borderId="0" fillId="0" fontId="8" numFmtId="164" xfId="0" applyAlignment="1" applyFont="1" applyNumberFormat="1">
      <alignment horizontal="left" readingOrder="0"/>
    </xf>
    <xf borderId="0" fillId="4" fontId="9" numFmtId="0" xfId="0" applyAlignment="1" applyFont="1">
      <alignment horizontal="left"/>
    </xf>
    <xf borderId="0" fillId="3" fontId="4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 readingOrder="0"/>
    </xf>
    <xf borderId="0" fillId="3" fontId="6" numFmtId="0" xfId="0" applyAlignment="1" applyFont="1">
      <alignment horizontal="left" readingOrder="0" shrinkToFit="0" wrapText="0"/>
    </xf>
    <xf borderId="0" fillId="9" fontId="1" numFmtId="0" xfId="0" applyAlignment="1" applyFill="1" applyFont="1">
      <alignment horizontal="left" readingOrder="0"/>
    </xf>
    <xf borderId="0" fillId="9" fontId="3" numFmtId="0" xfId="0" applyAlignment="1" applyFont="1">
      <alignment horizontal="left" readingOrder="0"/>
    </xf>
    <xf borderId="0" fillId="5" fontId="8" numFmtId="0" xfId="0" applyAlignment="1" applyFont="1">
      <alignment horizontal="left" readingOrder="0"/>
    </xf>
    <xf borderId="0" fillId="10" fontId="11" numFmtId="164" xfId="0" applyAlignment="1" applyFill="1" applyFont="1" applyNumberFormat="1">
      <alignment horizontal="left" readingOrder="0" vertical="bottom"/>
    </xf>
    <xf borderId="0" fillId="0" fontId="11" numFmtId="0" xfId="0" applyAlignment="1" applyFont="1">
      <alignment horizontal="left" readingOrder="0"/>
    </xf>
    <xf borderId="0" fillId="11" fontId="1" numFmtId="0" xfId="0" applyAlignment="1" applyFill="1" applyFont="1">
      <alignment horizontal="left" readingOrder="0"/>
    </xf>
    <xf borderId="0" fillId="11" fontId="3" numFmtId="0" xfId="0" applyAlignment="1" applyFont="1">
      <alignment horizontal="left" readingOrder="0"/>
    </xf>
    <xf borderId="0" fillId="5" fontId="8" numFmtId="164" xfId="0" applyAlignment="1" applyFont="1" applyNumberFormat="1">
      <alignment horizontal="left" readingOrder="0" vertical="bottom"/>
    </xf>
    <xf borderId="0" fillId="5" fontId="11" numFmtId="164" xfId="0" applyAlignment="1" applyFont="1" applyNumberFormat="1">
      <alignment horizontal="left" readingOrder="0" vertical="bottom"/>
    </xf>
    <xf borderId="0" fillId="2" fontId="15" numFmtId="0" xfId="0" applyAlignment="1" applyFont="1">
      <alignment readingOrder="0" vertical="bottom"/>
    </xf>
    <xf borderId="0" fillId="2" fontId="16" numFmtId="0" xfId="0" applyAlignment="1" applyFont="1">
      <alignment readingOrder="0" vertical="bottom"/>
    </xf>
    <xf borderId="0" fillId="2" fontId="17" numFmtId="0" xfId="0" applyAlignment="1" applyFont="1">
      <alignment vertical="bottom"/>
    </xf>
    <xf borderId="0" fillId="0" fontId="18" numFmtId="164" xfId="0" applyAlignment="1" applyFont="1" applyNumberFormat="1">
      <alignment horizontal="center" readingOrder="0" vertical="center"/>
    </xf>
    <xf borderId="0" fillId="0" fontId="19" numFmtId="164" xfId="0" applyAlignment="1" applyFont="1" applyNumberFormat="1">
      <alignment horizontal="center" readingOrder="0" vertical="center"/>
    </xf>
    <xf borderId="0" fillId="0" fontId="20" numFmtId="164" xfId="0" applyAlignment="1" applyFont="1" applyNumberForma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0" fontId="21" numFmtId="9" xfId="0" applyAlignment="1" applyFont="1" applyNumberFormat="1">
      <alignment horizontal="center" readingOrder="0" vertical="center"/>
    </xf>
    <xf borderId="0" fillId="0" fontId="21" numFmtId="164" xfId="0" applyAlignment="1" applyFont="1" applyNumberForma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0" fillId="0" fontId="23" numFmtId="164" xfId="0" applyAlignment="1" applyFont="1" applyNumberFormat="1">
      <alignment horizontal="center" readingOrder="0" vertical="center"/>
    </xf>
    <xf borderId="0" fillId="3" fontId="24" numFmtId="164" xfId="0" applyAlignment="1" applyFont="1" applyNumberFormat="1">
      <alignment horizontal="center" vertical="center"/>
    </xf>
    <xf borderId="0" fillId="3" fontId="24" numFmtId="164" xfId="0" applyAlignment="1" applyFont="1" applyNumberFormat="1">
      <alignment horizontal="center" readingOrder="0" vertical="center"/>
    </xf>
    <xf borderId="0" fillId="3" fontId="24" numFmtId="0" xfId="0" applyAlignment="1" applyFont="1">
      <alignment horizontal="center" vertical="center"/>
    </xf>
    <xf borderId="0" fillId="0" fontId="24" numFmtId="0" xfId="0" applyAlignment="1" applyFont="1">
      <alignment horizontal="center" vertical="center"/>
    </xf>
    <xf borderId="0" fillId="0" fontId="25" numFmtId="0" xfId="0" applyAlignment="1" applyFont="1">
      <alignment horizontal="center" readingOrder="0" vertical="center"/>
    </xf>
    <xf borderId="0" fillId="0" fontId="26" numFmtId="0" xfId="0" applyAlignment="1" applyFont="1">
      <alignment horizontal="center" readingOrder="0" vertical="center"/>
    </xf>
    <xf borderId="1" fillId="0" fontId="26" numFmtId="0" xfId="0" applyAlignment="1" applyBorder="1" applyFont="1">
      <alignment horizontal="center" readingOrder="0" vertical="center"/>
    </xf>
    <xf borderId="2" fillId="0" fontId="27" numFmtId="0" xfId="0" applyBorder="1" applyFont="1"/>
    <xf borderId="2" fillId="0" fontId="26" numFmtId="0" xfId="0" applyAlignment="1" applyBorder="1" applyFont="1">
      <alignment horizontal="center" readingOrder="0" vertical="center"/>
    </xf>
    <xf borderId="3" fillId="0" fontId="26" numFmtId="0" xfId="0" applyAlignment="1" applyBorder="1" applyFont="1">
      <alignment horizontal="center" readingOrder="0" vertical="center"/>
    </xf>
    <xf borderId="4" fillId="0" fontId="27" numFmtId="0" xfId="0" applyBorder="1" applyFont="1"/>
    <xf borderId="5" fillId="0" fontId="26" numFmtId="0" xfId="0" applyAlignment="1" applyBorder="1" applyFont="1">
      <alignment horizontal="center" readingOrder="0" vertical="center"/>
    </xf>
    <xf borderId="6" fillId="0" fontId="27" numFmtId="0" xfId="0" applyBorder="1" applyFont="1"/>
    <xf borderId="7" fillId="0" fontId="27" numFmtId="0" xfId="0" applyBorder="1" applyFont="1"/>
    <xf borderId="7" fillId="0" fontId="26" numFmtId="0" xfId="0" applyAlignment="1" applyBorder="1" applyFont="1">
      <alignment horizontal="center" readingOrder="0" vertical="center"/>
    </xf>
    <xf borderId="8" fillId="0" fontId="26" numFmtId="0" xfId="0" applyAlignment="1" applyBorder="1" applyFont="1">
      <alignment horizontal="center" readingOrder="0" vertical="center"/>
    </xf>
    <xf borderId="0" fillId="0" fontId="28" numFmtId="0" xfId="0" applyAlignment="1" applyFont="1">
      <alignment readingOrder="0"/>
    </xf>
    <xf borderId="0" fillId="3" fontId="29" numFmtId="0" xfId="0" applyAlignment="1" applyFont="1">
      <alignment horizontal="left" readingOrder="0"/>
    </xf>
    <xf borderId="0" fillId="0" fontId="27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28" numFmtId="0" xfId="0" applyAlignment="1" applyFont="1">
      <alignment horizontal="right" readingOrder="0"/>
    </xf>
    <xf borderId="0" fillId="0" fontId="27" numFmtId="164" xfId="0" applyAlignment="1" applyFont="1" applyNumberFormat="1">
      <alignment readingOrder="0"/>
    </xf>
    <xf borderId="0" fillId="0" fontId="27" numFmtId="166" xfId="0" applyAlignment="1" applyFont="1" applyNumberFormat="1">
      <alignment readingOrder="0"/>
    </xf>
    <xf borderId="0" fillId="0" fontId="27" numFmtId="0" xfId="0" applyAlignment="1" applyFont="1">
      <alignment readingOrder="0"/>
    </xf>
    <xf borderId="9" fillId="0" fontId="28" numFmtId="0" xfId="0" applyAlignment="1" applyBorder="1" applyFont="1">
      <alignment horizontal="center" readingOrder="0"/>
    </xf>
    <xf borderId="9" fillId="0" fontId="28" numFmtId="164" xfId="0" applyAlignment="1" applyBorder="1" applyFont="1" applyNumberFormat="1">
      <alignment horizontal="center" readingOrder="0"/>
    </xf>
    <xf borderId="0" fillId="0" fontId="27" numFmtId="167" xfId="0" applyAlignment="1" applyFont="1" applyNumberFormat="1">
      <alignment readingOrder="0"/>
    </xf>
    <xf borderId="0" fillId="0" fontId="28" numFmtId="0" xfId="0" applyAlignment="1" applyFont="1">
      <alignment horizontal="center" readingOrder="0"/>
    </xf>
    <xf borderId="0" fillId="0" fontId="27" numFmtId="164" xfId="0" applyFont="1" applyNumberFormat="1"/>
    <xf borderId="0" fillId="0" fontId="27" numFmtId="164" xfId="0" applyAlignment="1" applyFont="1" applyNumberFormat="1">
      <alignment readingOrder="0"/>
    </xf>
    <xf borderId="0" fillId="5" fontId="24" numFmtId="168" xfId="0" applyAlignment="1" applyFont="1" applyNumberFormat="1">
      <alignment horizontal="center" readingOrder="0" shrinkToFit="0" vertical="center" wrapText="0"/>
    </xf>
    <xf borderId="0" fillId="5" fontId="24" numFmtId="168" xfId="0" applyAlignment="1" applyFont="1" applyNumberFormat="1">
      <alignment horizontal="center" readingOrder="0" shrinkToFit="0" vertical="center" wrapText="0"/>
    </xf>
    <xf borderId="0" fillId="5" fontId="24" numFmtId="168" xfId="0" applyAlignment="1" applyFont="1" applyNumberFormat="1">
      <alignment horizontal="center" shrinkToFit="0" vertical="center" wrapText="0"/>
    </xf>
    <xf borderId="10" fillId="5" fontId="24" numFmtId="168" xfId="0" applyAlignment="1" applyBorder="1" applyFont="1" applyNumberFormat="1">
      <alignment horizontal="center" shrinkToFit="0" vertical="center" wrapText="0"/>
    </xf>
    <xf borderId="0" fillId="12" fontId="24" numFmtId="168" xfId="0" applyAlignment="1" applyFill="1" applyFont="1" applyNumberFormat="1">
      <alignment horizontal="center" readingOrder="0" shrinkToFit="0" vertical="center" wrapText="0"/>
    </xf>
    <xf borderId="10" fillId="12" fontId="24" numFmtId="168" xfId="0" applyAlignment="1" applyBorder="1" applyFont="1" applyNumberFormat="1">
      <alignment horizontal="center" readingOrder="0" shrinkToFit="0" vertical="center" wrapText="0"/>
    </xf>
    <xf borderId="10" fillId="13" fontId="16" numFmtId="168" xfId="0" applyAlignment="1" applyBorder="1" applyFill="1" applyFont="1" applyNumberFormat="1">
      <alignment horizontal="center" readingOrder="0" shrinkToFit="0" vertical="center" wrapText="0"/>
    </xf>
    <xf borderId="0" fillId="13" fontId="16" numFmtId="168" xfId="0" applyAlignment="1" applyFont="1" applyNumberFormat="1">
      <alignment horizontal="center" readingOrder="0" shrinkToFit="0" vertical="center" wrapText="0"/>
    </xf>
    <xf borderId="10" fillId="3" fontId="24" numFmtId="168" xfId="0" applyAlignment="1" applyBorder="1" applyFont="1" applyNumberFormat="1">
      <alignment horizontal="center" readingOrder="0" shrinkToFit="0" vertical="center" wrapText="0"/>
    </xf>
    <xf borderId="0" fillId="14" fontId="16" numFmtId="168" xfId="0" applyAlignment="1" applyFill="1" applyFont="1" applyNumberFormat="1">
      <alignment shrinkToFit="0" vertical="bottom" wrapText="0"/>
    </xf>
    <xf borderId="0" fillId="14" fontId="16" numFmtId="168" xfId="0" applyAlignment="1" applyFont="1" applyNumberFormat="1">
      <alignment shrinkToFit="0" vertical="bottom" wrapText="0"/>
    </xf>
    <xf borderId="0" fillId="14" fontId="31" numFmtId="168" xfId="0" applyAlignment="1" applyFont="1" applyNumberFormat="1">
      <alignment vertical="bottom"/>
    </xf>
    <xf borderId="11" fillId="14" fontId="31" numFmtId="168" xfId="0" applyAlignment="1" applyBorder="1" applyFont="1" applyNumberFormat="1">
      <alignment vertical="bottom"/>
    </xf>
    <xf borderId="0" fillId="0" fontId="24" numFmtId="168" xfId="0" applyAlignment="1" applyFont="1" applyNumberFormat="1">
      <alignment readingOrder="0" shrinkToFit="0" vertical="bottom" wrapText="0"/>
    </xf>
    <xf borderId="0" fillId="0" fontId="24" numFmtId="168" xfId="0" applyAlignment="1" applyFont="1" applyNumberFormat="1">
      <alignment readingOrder="0" shrinkToFit="0" vertical="bottom" wrapText="0"/>
    </xf>
    <xf borderId="0" fillId="0" fontId="0" numFmtId="168" xfId="0" applyAlignment="1" applyFont="1" applyNumberFormat="1">
      <alignment readingOrder="0" vertical="bottom"/>
    </xf>
    <xf borderId="0" fillId="15" fontId="0" numFmtId="168" xfId="0" applyAlignment="1" applyFill="1" applyFont="1" applyNumberFormat="1">
      <alignment readingOrder="0" vertical="bottom"/>
    </xf>
    <xf borderId="0" fillId="7" fontId="32" numFmtId="168" xfId="0" applyAlignment="1" applyFont="1" applyNumberFormat="1">
      <alignment horizontal="center" readingOrder="0" vertical="bottom"/>
    </xf>
    <xf borderId="11" fillId="15" fontId="0" numFmtId="168" xfId="0" applyAlignment="1" applyBorder="1" applyFont="1" applyNumberFormat="1">
      <alignment readingOrder="0" vertical="bottom"/>
    </xf>
    <xf borderId="0" fillId="16" fontId="0" numFmtId="168" xfId="0" applyAlignment="1" applyFill="1" applyFont="1" applyNumberFormat="1">
      <alignment readingOrder="0" vertical="bottom"/>
    </xf>
    <xf borderId="11" fillId="16" fontId="0" numFmtId="168" xfId="0" applyAlignment="1" applyBorder="1" applyFont="1" applyNumberFormat="1">
      <alignment readingOrder="0" vertical="bottom"/>
    </xf>
    <xf borderId="0" fillId="0" fontId="33" numFmtId="0" xfId="0" applyAlignment="1" applyFont="1">
      <alignment shrinkToFit="0" wrapText="0"/>
    </xf>
    <xf borderId="0" fillId="0" fontId="0" numFmtId="168" xfId="0" applyAlignment="1" applyFont="1" applyNumberFormat="1">
      <alignment readingOrder="0" shrinkToFit="0" vertical="bottom" wrapText="0"/>
    </xf>
    <xf borderId="0" fillId="0" fontId="0" numFmtId="168" xfId="0" applyAlignment="1" applyFont="1" applyNumberFormat="1">
      <alignment horizontal="right" readingOrder="0" shrinkToFit="0" vertical="bottom" wrapText="0"/>
    </xf>
    <xf borderId="11" fillId="0" fontId="0" numFmtId="168" xfId="0" applyAlignment="1" applyBorder="1" applyFont="1" applyNumberFormat="1">
      <alignment horizontal="right" readingOrder="0" shrinkToFit="0" vertical="bottom" wrapText="0"/>
    </xf>
    <xf borderId="0" fillId="17" fontId="0" numFmtId="168" xfId="0" applyAlignment="1" applyFill="1" applyFont="1" applyNumberFormat="1">
      <alignment horizontal="right" readingOrder="0" shrinkToFit="0" vertical="bottom" wrapText="0"/>
    </xf>
    <xf quotePrefix="1" borderId="0" fillId="16" fontId="0" numFmtId="0" xfId="0" applyAlignment="1" applyFont="1">
      <alignment readingOrder="0" vertical="bottom"/>
    </xf>
    <xf borderId="0" fillId="0" fontId="27" numFmtId="0" xfId="0" applyAlignment="1" applyFont="1">
      <alignment shrinkToFit="0" wrapText="0"/>
    </xf>
    <xf borderId="0" fillId="0" fontId="29" numFmtId="168" xfId="0" applyAlignment="1" applyFont="1" applyNumberFormat="1">
      <alignment horizontal="right" shrinkToFit="0" vertical="bottom" wrapText="0"/>
    </xf>
    <xf borderId="0" fillId="0" fontId="29" numFmtId="168" xfId="0" applyAlignment="1" applyFont="1" applyNumberFormat="1">
      <alignment horizontal="right" readingOrder="0" shrinkToFit="0" vertical="bottom" wrapText="0"/>
    </xf>
    <xf borderId="11" fillId="0" fontId="29" numFmtId="168" xfId="0" applyAlignment="1" applyBorder="1" applyFont="1" applyNumberFormat="1">
      <alignment horizontal="right" shrinkToFit="0" vertical="bottom" wrapText="0"/>
    </xf>
    <xf borderId="11" fillId="0" fontId="29" numFmtId="168" xfId="0" applyAlignment="1" applyBorder="1" applyFont="1" applyNumberFormat="1">
      <alignment horizontal="right" readingOrder="0" shrinkToFit="0" vertical="bottom" wrapText="0"/>
    </xf>
    <xf borderId="0" fillId="18" fontId="29" numFmtId="168" xfId="0" applyAlignment="1" applyFill="1" applyFont="1" applyNumberFormat="1">
      <alignment horizontal="right" readingOrder="0" shrinkToFit="0" vertical="bottom" wrapText="0"/>
    </xf>
    <xf borderId="0" fillId="0" fontId="34" numFmtId="168" xfId="0" applyAlignment="1" applyFont="1" applyNumberFormat="1">
      <alignment horizontal="right" readingOrder="0" shrinkToFit="0" vertical="bottom" wrapText="0"/>
    </xf>
    <xf borderId="0" fillId="0" fontId="35" numFmtId="168" xfId="0" applyAlignment="1" applyFont="1" applyNumberFormat="1">
      <alignment horizontal="right" readingOrder="0" shrinkToFit="0" vertical="bottom" wrapText="0"/>
    </xf>
    <xf borderId="0" fillId="0" fontId="36" numFmtId="168" xfId="0" applyAlignment="1" applyFont="1" applyNumberFormat="1">
      <alignment horizontal="right" readingOrder="0" shrinkToFit="0" vertical="bottom" wrapText="0"/>
    </xf>
    <xf borderId="0" fillId="3" fontId="29" numFmtId="168" xfId="0" applyAlignment="1" applyFont="1" applyNumberFormat="1">
      <alignment horizontal="right" readingOrder="0"/>
    </xf>
    <xf borderId="12" fillId="18" fontId="0" numFmtId="168" xfId="0" applyAlignment="1" applyBorder="1" applyFont="1" applyNumberFormat="1">
      <alignment horizontal="right" readingOrder="0" shrinkToFit="0" vertical="bottom" wrapText="0"/>
    </xf>
    <xf borderId="12" fillId="0" fontId="0" numFmtId="168" xfId="0" applyAlignment="1" applyBorder="1" applyFont="1" applyNumberFormat="1">
      <alignment horizontal="right" readingOrder="0" shrinkToFit="0" vertical="bottom" wrapText="0"/>
    </xf>
    <xf borderId="0" fillId="18" fontId="0" numFmtId="168" xfId="0" applyAlignment="1" applyFont="1" applyNumberFormat="1">
      <alignment horizontal="right" readingOrder="0" shrinkToFit="0" vertical="bottom" wrapText="0"/>
    </xf>
    <xf borderId="0" fillId="18" fontId="29" numFmtId="168" xfId="0" applyAlignment="1" applyFont="1" applyNumberFormat="1">
      <alignment horizontal="right" readingOrder="0"/>
    </xf>
    <xf borderId="0" fillId="0" fontId="37" numFmtId="168" xfId="0" applyAlignment="1" applyFont="1" applyNumberFormat="1">
      <alignment horizontal="right" readingOrder="0" shrinkToFit="0" vertical="bottom" wrapText="0"/>
    </xf>
    <xf borderId="0" fillId="18" fontId="27" numFmtId="164" xfId="0" applyAlignment="1" applyFont="1" applyNumberFormat="1">
      <alignment readingOrder="0"/>
    </xf>
    <xf borderId="0" fillId="17" fontId="37" numFmtId="168" xfId="0" applyAlignment="1" applyFont="1" applyNumberFormat="1">
      <alignment horizontal="right" readingOrder="0" shrinkToFit="0" vertical="bottom" wrapText="0"/>
    </xf>
    <xf borderId="13" fillId="0" fontId="0" numFmtId="168" xfId="0" applyAlignment="1" applyBorder="1" applyFont="1" applyNumberFormat="1">
      <alignment shrinkToFit="0" wrapText="0"/>
    </xf>
    <xf borderId="13" fillId="0" fontId="0" numFmtId="168" xfId="0" applyBorder="1" applyFont="1" applyNumberFormat="1"/>
    <xf borderId="13" fillId="0" fontId="0" numFmtId="168" xfId="0" applyAlignment="1" applyBorder="1" applyFont="1" applyNumberFormat="1">
      <alignment vertical="bottom"/>
    </xf>
    <xf borderId="14" fillId="0" fontId="0" numFmtId="168" xfId="0" applyAlignment="1" applyBorder="1" applyFont="1" applyNumberFormat="1">
      <alignment vertical="bottom"/>
    </xf>
    <xf borderId="14" fillId="3" fontId="0" numFmtId="168" xfId="0" applyAlignment="1" applyBorder="1" applyFont="1" applyNumberFormat="1">
      <alignment vertical="bottom"/>
    </xf>
    <xf borderId="0" fillId="0" fontId="24" numFmtId="168" xfId="0" applyAlignment="1" applyFont="1" applyNumberFormat="1">
      <alignment readingOrder="0" shrinkToFit="0" vertical="bottom" wrapText="0"/>
    </xf>
    <xf borderId="0" fillId="0" fontId="24" numFmtId="168" xfId="0" applyAlignment="1" applyFont="1" applyNumberFormat="1">
      <alignment readingOrder="0" shrinkToFit="0" vertical="bottom" wrapText="0"/>
    </xf>
    <xf borderId="0" fillId="0" fontId="0" numFmtId="168" xfId="0" applyAlignment="1" applyFont="1" applyNumberFormat="1">
      <alignment horizontal="right" shrinkToFit="0" vertical="bottom" wrapText="0"/>
    </xf>
    <xf borderId="11" fillId="0" fontId="0" numFmtId="168" xfId="0" applyAlignment="1" applyBorder="1" applyFont="1" applyNumberFormat="1">
      <alignment horizontal="right" shrinkToFit="0" vertical="bottom" wrapText="0"/>
    </xf>
    <xf borderId="11" fillId="0" fontId="0" numFmtId="168" xfId="0" applyAlignment="1" applyBorder="1" applyFont="1" applyNumberFormat="1">
      <alignment readingOrder="0" vertical="bottom"/>
    </xf>
    <xf borderId="0" fillId="0" fontId="24" numFmtId="168" xfId="0" applyAlignment="1" applyFont="1" applyNumberFormat="1">
      <alignment readingOrder="0" vertical="bottom"/>
    </xf>
    <xf borderId="0" fillId="0" fontId="0" numFmtId="168" xfId="0" applyFont="1" applyNumberFormat="1"/>
    <xf borderId="11" fillId="0" fontId="0" numFmtId="168" xfId="0" applyBorder="1" applyFont="1" applyNumberFormat="1"/>
    <xf borderId="0" fillId="0" fontId="0" numFmtId="168" xfId="0" applyAlignment="1" applyFont="1" applyNumberFormat="1">
      <alignment readingOrder="0"/>
    </xf>
    <xf borderId="11" fillId="0" fontId="0" numFmtId="168" xfId="0" applyAlignment="1" applyBorder="1" applyFont="1" applyNumberFormat="1">
      <alignment readingOrder="0"/>
    </xf>
    <xf borderId="0" fillId="0" fontId="38" numFmtId="168" xfId="0" applyAlignment="1" applyFont="1" applyNumberFormat="1">
      <alignment readingOrder="0" shrinkToFit="0" vertical="bottom" wrapText="0"/>
    </xf>
    <xf borderId="0" fillId="0" fontId="39" numFmtId="168" xfId="0" applyAlignment="1" applyFont="1" applyNumberFormat="1">
      <alignment readingOrder="0" vertical="bottom"/>
    </xf>
    <xf borderId="0" fillId="0" fontId="0" numFmtId="168" xfId="0" applyAlignment="1" applyFont="1" applyNumberFormat="1">
      <alignment vertical="bottom"/>
    </xf>
    <xf borderId="11" fillId="0" fontId="0" numFmtId="168" xfId="0" applyAlignment="1" applyBorder="1" applyFont="1" applyNumberFormat="1">
      <alignment vertical="bottom"/>
    </xf>
    <xf borderId="11" fillId="3" fontId="0" numFmtId="168" xfId="0" applyAlignment="1" applyBorder="1" applyFont="1" applyNumberFormat="1">
      <alignment vertical="bottom"/>
    </xf>
    <xf borderId="0" fillId="14" fontId="16" numFmtId="168" xfId="0" applyAlignment="1" applyFont="1" applyNumberFormat="1">
      <alignment readingOrder="0" shrinkToFit="0" vertical="bottom" wrapText="0"/>
    </xf>
    <xf borderId="0" fillId="14" fontId="16" numFmtId="168" xfId="0" applyAlignment="1" applyFont="1" applyNumberFormat="1">
      <alignment readingOrder="0" shrinkToFit="0" vertical="bottom" wrapText="0"/>
    </xf>
    <xf borderId="0" fillId="0" fontId="40" numFmtId="0" xfId="0" applyAlignment="1" applyFont="1">
      <alignment readingOrder="0" shrinkToFit="0" wrapText="0"/>
    </xf>
    <xf borderId="0" fillId="19" fontId="0" numFmtId="168" xfId="0" applyAlignment="1" applyFill="1" applyFont="1" applyNumberFormat="1">
      <alignment readingOrder="0" vertical="bottom"/>
    </xf>
    <xf borderId="0" fillId="19" fontId="41" numFmtId="168" xfId="0" applyAlignment="1" applyFont="1" applyNumberFormat="1">
      <alignment readingOrder="0" vertical="bottom"/>
    </xf>
    <xf borderId="0" fillId="0" fontId="41" numFmtId="168" xfId="0" applyAlignment="1" applyFont="1" applyNumberFormat="1">
      <alignment readingOrder="0" vertical="bottom"/>
    </xf>
    <xf borderId="0" fillId="0" fontId="37" numFmtId="168" xfId="0" applyAlignment="1" applyFont="1" applyNumberFormat="1">
      <alignment readingOrder="0" vertical="bottom"/>
    </xf>
    <xf borderId="0" fillId="19" fontId="35" numFmtId="168" xfId="0" applyAlignment="1" applyFont="1" applyNumberFormat="1">
      <alignment readingOrder="0" vertical="bottom"/>
    </xf>
    <xf borderId="0" fillId="0" fontId="35" numFmtId="168" xfId="0" applyAlignment="1" applyFont="1" applyNumberFormat="1">
      <alignment readingOrder="0" vertical="bottom"/>
    </xf>
    <xf borderId="11" fillId="0" fontId="35" numFmtId="168" xfId="0" applyAlignment="1" applyBorder="1" applyFont="1" applyNumberFormat="1">
      <alignment readingOrder="0" vertical="bottom"/>
    </xf>
    <xf borderId="0" fillId="0" fontId="42" numFmtId="9" xfId="0" applyAlignment="1" applyFont="1" applyNumberFormat="1">
      <alignment readingOrder="0" vertical="bottom"/>
    </xf>
    <xf borderId="11" fillId="0" fontId="42" numFmtId="9" xfId="0" applyAlignment="1" applyBorder="1" applyFont="1" applyNumberFormat="1">
      <alignment readingOrder="0" vertical="bottom"/>
    </xf>
    <xf borderId="11" fillId="3" fontId="42" numFmtId="9" xfId="0" applyAlignment="1" applyBorder="1" applyFont="1" applyNumberFormat="1">
      <alignment readingOrder="0" vertical="bottom"/>
    </xf>
    <xf borderId="0" fillId="0" fontId="0" numFmtId="168" xfId="0" applyAlignment="1" applyFont="1" applyNumberFormat="1">
      <alignment readingOrder="0" shrinkToFit="0" vertical="bottom" wrapText="0"/>
    </xf>
    <xf borderId="0" fillId="19" fontId="43" numFmtId="168" xfId="0" applyAlignment="1" applyFont="1" applyNumberFormat="1">
      <alignment readingOrder="0" vertical="bottom"/>
    </xf>
    <xf borderId="0" fillId="20" fontId="35" numFmtId="168" xfId="0" applyAlignment="1" applyFill="1" applyFont="1" applyNumberFormat="1">
      <alignment readingOrder="0" vertical="bottom"/>
    </xf>
    <xf borderId="0" fillId="18" fontId="35" numFmtId="168" xfId="0" applyAlignment="1" applyFont="1" applyNumberFormat="1">
      <alignment readingOrder="0" vertical="bottom"/>
    </xf>
    <xf borderId="0" fillId="18" fontId="0" numFmtId="168" xfId="0" applyAlignment="1" applyFont="1" applyNumberFormat="1">
      <alignment readingOrder="0" vertical="bottom"/>
    </xf>
    <xf borderId="0" fillId="3" fontId="44" numFmtId="168" xfId="0" applyAlignment="1" applyFont="1" applyNumberFormat="1">
      <alignment horizontal="right" readingOrder="0"/>
    </xf>
    <xf borderId="0" fillId="21" fontId="0" numFmtId="168" xfId="0" applyAlignment="1" applyFill="1" applyFont="1" applyNumberFormat="1">
      <alignment readingOrder="0" vertical="bottom"/>
    </xf>
    <xf borderId="0" fillId="0" fontId="42" numFmtId="168" xfId="0" applyAlignment="1" applyFont="1" applyNumberFormat="1">
      <alignment readingOrder="0" shrinkToFit="0" vertical="bottom" wrapText="0"/>
    </xf>
    <xf borderId="0" fillId="22" fontId="0" numFmtId="168" xfId="0" applyAlignment="1" applyFill="1" applyFont="1" applyNumberFormat="1">
      <alignment readingOrder="0" vertical="bottom"/>
    </xf>
    <xf borderId="13" fillId="0" fontId="45" numFmtId="168" xfId="0" applyAlignment="1" applyBorder="1" applyFont="1" applyNumberFormat="1">
      <alignment shrinkToFit="0" vertical="bottom" wrapText="0"/>
    </xf>
    <xf borderId="13" fillId="0" fontId="46" numFmtId="168" xfId="0" applyAlignment="1" applyBorder="1" applyFont="1" applyNumberFormat="1">
      <alignment shrinkToFit="0" vertical="bottom" wrapText="0"/>
    </xf>
    <xf borderId="13" fillId="0" fontId="24" numFmtId="168" xfId="0" applyAlignment="1" applyBorder="1" applyFont="1" applyNumberFormat="1">
      <alignment horizontal="right" shrinkToFit="0" vertical="bottom" wrapText="0"/>
    </xf>
    <xf borderId="14" fillId="0" fontId="24" numFmtId="168" xfId="0" applyAlignment="1" applyBorder="1" applyFont="1" applyNumberFormat="1">
      <alignment horizontal="right" shrinkToFit="0" vertical="bottom" wrapText="0"/>
    </xf>
    <xf borderId="13" fillId="0" fontId="42" numFmtId="9" xfId="0" applyAlignment="1" applyBorder="1" applyFont="1" applyNumberFormat="1">
      <alignment horizontal="right" shrinkToFit="0" vertical="bottom" wrapText="0"/>
    </xf>
    <xf borderId="14" fillId="0" fontId="42" numFmtId="9" xfId="0" applyAlignment="1" applyBorder="1" applyFont="1" applyNumberFormat="1">
      <alignment horizontal="right" shrinkToFit="0" vertical="bottom" wrapText="0"/>
    </xf>
    <xf borderId="14" fillId="3" fontId="42" numFmtId="9" xfId="0" applyAlignment="1" applyBorder="1" applyFont="1" applyNumberFormat="1">
      <alignment horizontal="right" shrinkToFit="0" vertical="bottom" wrapText="0"/>
    </xf>
    <xf borderId="0" fillId="0" fontId="0" numFmtId="168" xfId="0" applyAlignment="1" applyFont="1" applyNumberFormat="1">
      <alignment shrinkToFit="0" vertical="bottom" wrapText="0"/>
    </xf>
    <xf borderId="0" fillId="0" fontId="0" numFmtId="10" xfId="0" applyAlignment="1" applyFont="1" applyNumberFormat="1">
      <alignment vertical="bottom"/>
    </xf>
    <xf borderId="0" fillId="3" fontId="47" numFmtId="168" xfId="0" applyAlignment="1" applyFont="1" applyNumberFormat="1">
      <alignment horizontal="right"/>
    </xf>
    <xf borderId="0" fillId="0" fontId="48" numFmtId="168" xfId="0" applyAlignment="1" applyFont="1" applyNumberFormat="1">
      <alignment readingOrder="0" vertical="bottom"/>
    </xf>
    <xf borderId="0" fillId="0" fontId="0" numFmtId="168" xfId="0" applyAlignment="1" applyFont="1" applyNumberFormat="1">
      <alignment readingOrder="0" shrinkToFit="0" vertical="bottom" wrapText="0"/>
    </xf>
    <xf borderId="15" fillId="0" fontId="29" numFmtId="168" xfId="0" applyAlignment="1" applyBorder="1" applyFont="1" applyNumberFormat="1">
      <alignment readingOrder="0" shrinkToFit="0" vertical="bottom" wrapText="0"/>
    </xf>
    <xf borderId="0" fillId="0" fontId="29" numFmtId="168" xfId="0" applyAlignment="1" applyFont="1" applyNumberFormat="1">
      <alignment readingOrder="0" shrinkToFit="0" vertical="bottom" wrapText="0"/>
    </xf>
    <xf borderId="0" fillId="0" fontId="34" numFmtId="168" xfId="0" applyAlignment="1" applyFont="1" applyNumberFormat="1">
      <alignment readingOrder="0" vertical="bottom"/>
    </xf>
    <xf borderId="0" fillId="0" fontId="29" numFmtId="168" xfId="0" applyAlignment="1" applyFont="1" applyNumberFormat="1">
      <alignment readingOrder="0" vertical="bottom"/>
    </xf>
    <xf borderId="12" fillId="18" fontId="35" numFmtId="168" xfId="0" applyAlignment="1" applyBorder="1" applyFont="1" applyNumberFormat="1">
      <alignment readingOrder="0" vertical="bottom"/>
    </xf>
    <xf borderId="0" fillId="23" fontId="17" numFmtId="168" xfId="0" applyAlignment="1" applyFill="1" applyFont="1" applyNumberFormat="1">
      <alignment horizontal="right" vertical="bottom"/>
    </xf>
    <xf borderId="0" fillId="23" fontId="31" numFmtId="168" xfId="0" applyAlignment="1" applyFont="1" applyNumberFormat="1">
      <alignment readingOrder="0" vertical="bottom"/>
    </xf>
    <xf borderId="0" fillId="0" fontId="29" numFmtId="168" xfId="0" applyAlignment="1" applyFont="1" applyNumberFormat="1">
      <alignment horizontal="right" readingOrder="0" vertical="bottom"/>
    </xf>
    <xf borderId="0" fillId="0" fontId="34" numFmtId="168" xfId="0" applyAlignment="1" applyFont="1" applyNumberFormat="1">
      <alignment readingOrder="0" shrinkToFit="0" vertical="bottom" wrapText="0"/>
    </xf>
    <xf borderId="0" fillId="0" fontId="44" numFmtId="168" xfId="0" applyAlignment="1" applyFont="1" applyNumberFormat="1">
      <alignment readingOrder="0" vertical="bottom"/>
    </xf>
    <xf borderId="11" fillId="0" fontId="34" numFmtId="168" xfId="0" applyAlignment="1" applyBorder="1" applyFont="1" applyNumberFormat="1">
      <alignment readingOrder="0" vertical="bottom"/>
    </xf>
    <xf borderId="0" fillId="0" fontId="29" numFmtId="168" xfId="0" applyAlignment="1" applyFont="1" applyNumberFormat="1">
      <alignment horizontal="right" vertical="bottom"/>
    </xf>
    <xf borderId="13" fillId="0" fontId="0" numFmtId="168" xfId="0" applyAlignment="1" applyBorder="1" applyFont="1" applyNumberFormat="1">
      <alignment readingOrder="0" vertical="bottom"/>
    </xf>
    <xf borderId="14" fillId="0" fontId="0" numFmtId="168" xfId="0" applyAlignment="1" applyBorder="1" applyFont="1" applyNumberFormat="1">
      <alignment horizontal="right" readingOrder="0" shrinkToFit="0" vertical="bottom" wrapText="0"/>
    </xf>
    <xf borderId="16" fillId="0" fontId="24" numFmtId="168" xfId="0" applyAlignment="1" applyBorder="1" applyFont="1" applyNumberFormat="1">
      <alignment readingOrder="0" shrinkToFit="0" vertical="bottom" wrapText="0"/>
    </xf>
    <xf borderId="16" fillId="0" fontId="24" numFmtId="168" xfId="0" applyAlignment="1" applyBorder="1" applyFont="1" applyNumberFormat="1">
      <alignment readingOrder="0" shrinkToFit="0" vertical="bottom" wrapText="0"/>
    </xf>
    <xf borderId="16" fillId="0" fontId="24" numFmtId="168" xfId="0" applyAlignment="1" applyBorder="1" applyFont="1" applyNumberFormat="1">
      <alignment vertical="bottom"/>
    </xf>
    <xf borderId="17" fillId="0" fontId="24" numFmtId="168" xfId="0" applyAlignment="1" applyBorder="1" applyFont="1" applyNumberFormat="1">
      <alignment vertical="bottom"/>
    </xf>
    <xf borderId="16" fillId="0" fontId="0" numFmtId="168" xfId="0" applyAlignment="1" applyBorder="1" applyFont="1" applyNumberFormat="1">
      <alignment vertical="bottom"/>
    </xf>
    <xf borderId="17" fillId="0" fontId="0" numFmtId="168" xfId="0" applyAlignment="1" applyBorder="1" applyFont="1" applyNumberFormat="1">
      <alignment vertical="bottom"/>
    </xf>
    <xf borderId="0" fillId="0" fontId="24" numFmtId="168" xfId="0" applyAlignment="1" applyFont="1" applyNumberFormat="1">
      <alignment readingOrder="0" shrinkToFit="0" wrapText="0"/>
    </xf>
    <xf borderId="0" fillId="0" fontId="24" numFmtId="168" xfId="0" applyAlignment="1" applyFont="1" applyNumberFormat="1">
      <alignment readingOrder="0"/>
    </xf>
    <xf borderId="11" fillId="3" fontId="0" numFmtId="168" xfId="0" applyBorder="1" applyFont="1" applyNumberFormat="1"/>
    <xf borderId="18" fillId="0" fontId="24" numFmtId="168" xfId="0" applyAlignment="1" applyBorder="1" applyFont="1" applyNumberFormat="1">
      <alignment readingOrder="0" shrinkToFit="0" wrapText="0"/>
    </xf>
    <xf borderId="18" fillId="0" fontId="24" numFmtId="168" xfId="0" applyAlignment="1" applyBorder="1" applyFont="1" applyNumberFormat="1">
      <alignment readingOrder="0"/>
    </xf>
    <xf borderId="18" fillId="0" fontId="0" numFmtId="168" xfId="0" applyBorder="1" applyFont="1" applyNumberFormat="1"/>
    <xf borderId="19" fillId="0" fontId="0" numFmtId="168" xfId="0" applyBorder="1" applyFont="1" applyNumberFormat="1"/>
    <xf borderId="20" fillId="0" fontId="0" numFmtId="168" xfId="0" applyBorder="1" applyFont="1" applyNumberFormat="1"/>
    <xf borderId="19" fillId="3" fontId="0" numFmtId="168" xfId="0" applyBorder="1" applyFont="1" applyNumberFormat="1"/>
    <xf borderId="0" fillId="0" fontId="24" numFmtId="168" xfId="0" applyAlignment="1" applyFont="1" applyNumberFormat="1">
      <alignment horizontal="left" readingOrder="0" shrinkToFit="0" wrapText="0"/>
    </xf>
    <xf borderId="0" fillId="0" fontId="0" numFmtId="168" xfId="0" applyAlignment="1" applyFont="1" applyNumberFormat="1">
      <alignment horizontal="left" readingOrder="0"/>
    </xf>
    <xf borderId="0" fillId="0" fontId="49" numFmtId="168" xfId="0" applyAlignment="1" applyFont="1" applyNumberFormat="1">
      <alignment readingOrder="0" shrinkToFit="0" wrapText="0"/>
    </xf>
    <xf borderId="0" fillId="0" fontId="50" numFmtId="168" xfId="0" applyAlignment="1" applyFont="1" applyNumberFormat="1">
      <alignment readingOrder="0"/>
    </xf>
    <xf borderId="0" fillId="0" fontId="51" numFmtId="0" xfId="0" applyAlignment="1" applyFont="1">
      <alignment readingOrder="0" vertical="bottom"/>
    </xf>
    <xf borderId="0" fillId="0" fontId="52" numFmtId="0" xfId="0" applyAlignment="1" applyFont="1">
      <alignment vertical="bottom"/>
    </xf>
    <xf borderId="0" fillId="0" fontId="53" numFmtId="0" xfId="0" applyAlignment="1" applyFont="1">
      <alignment vertical="bottom"/>
    </xf>
    <xf borderId="21" fillId="0" fontId="52" numFmtId="0" xfId="0" applyAlignment="1" applyBorder="1" applyFont="1">
      <alignment vertical="bottom"/>
    </xf>
    <xf borderId="0" fillId="19" fontId="52" numFmtId="0" xfId="0" applyAlignment="1" applyFont="1">
      <alignment vertical="bottom"/>
    </xf>
    <xf borderId="22" fillId="19" fontId="52" numFmtId="0" xfId="0" applyAlignment="1" applyBorder="1" applyFont="1">
      <alignment vertical="bottom"/>
    </xf>
    <xf borderId="22" fillId="0" fontId="54" numFmtId="0" xfId="0" applyAlignment="1" applyBorder="1" applyFont="1">
      <alignment horizontal="center" shrinkToFit="0" vertical="bottom" wrapText="1"/>
    </xf>
    <xf borderId="0" fillId="0" fontId="54" numFmtId="0" xfId="0" applyAlignment="1" applyFont="1">
      <alignment horizontal="center" shrinkToFit="0" vertical="bottom" wrapText="1"/>
    </xf>
    <xf borderId="7" fillId="0" fontId="52" numFmtId="0" xfId="0" applyAlignment="1" applyBorder="1" applyFont="1">
      <alignment vertical="bottom"/>
    </xf>
    <xf borderId="7" fillId="19" fontId="55" numFmtId="0" xfId="0" applyAlignment="1" applyBorder="1" applyFont="1">
      <alignment horizontal="center" readingOrder="0" shrinkToFit="0" vertical="bottom" wrapText="1"/>
    </xf>
    <xf borderId="23" fillId="0" fontId="54" numFmtId="0" xfId="0" applyAlignment="1" applyBorder="1" applyFont="1">
      <alignment horizontal="center" shrinkToFit="0" vertical="bottom" wrapText="1"/>
    </xf>
    <xf borderId="7" fillId="0" fontId="54" numFmtId="0" xfId="0" applyAlignment="1" applyBorder="1" applyFont="1">
      <alignment horizontal="center" shrinkToFit="0" vertical="bottom" wrapText="1"/>
    </xf>
    <xf borderId="7" fillId="0" fontId="52" numFmtId="0" xfId="0" applyAlignment="1" applyBorder="1" applyFont="1">
      <alignment shrinkToFit="0" vertical="bottom" wrapText="1"/>
    </xf>
    <xf borderId="7" fillId="0" fontId="52" numFmtId="169" xfId="0" applyAlignment="1" applyBorder="1" applyFont="1" applyNumberFormat="1">
      <alignment vertical="bottom"/>
    </xf>
    <xf borderId="23" fillId="0" fontId="52" numFmtId="0" xfId="0" applyAlignment="1" applyBorder="1" applyFont="1">
      <alignment vertical="bottom"/>
    </xf>
    <xf borderId="0" fillId="3" fontId="56" numFmtId="164" xfId="0" applyAlignment="1" applyFont="1" applyNumberFormat="1">
      <alignment readingOrder="0" shrinkToFit="0" vertical="bottom" wrapText="1"/>
    </xf>
    <xf borderId="0" fillId="0" fontId="57" numFmtId="164" xfId="0" applyAlignment="1" applyFont="1" applyNumberFormat="1">
      <alignment horizontal="right" shrinkToFit="0" vertical="bottom" wrapText="1"/>
    </xf>
    <xf borderId="22" fillId="0" fontId="52" numFmtId="164" xfId="0" applyAlignment="1" applyBorder="1" applyFont="1" applyNumberFormat="1">
      <alignment vertical="bottom"/>
    </xf>
    <xf borderId="22" fillId="0" fontId="57" numFmtId="164" xfId="0" applyAlignment="1" applyBorder="1" applyFont="1" applyNumberFormat="1">
      <alignment horizontal="right" shrinkToFit="0" vertical="bottom" wrapText="1"/>
    </xf>
    <xf borderId="0" fillId="3" fontId="56" numFmtId="164" xfId="0" applyAlignment="1" applyFont="1" applyNumberFormat="1">
      <alignment shrinkToFit="0" vertical="bottom" wrapText="1"/>
    </xf>
    <xf borderId="9" fillId="3" fontId="56" numFmtId="164" xfId="0" applyAlignment="1" applyBorder="1" applyFont="1" applyNumberFormat="1">
      <alignment shrinkToFit="0" vertical="bottom" wrapText="1"/>
    </xf>
    <xf borderId="9" fillId="0" fontId="52" numFmtId="164" xfId="0" applyAlignment="1" applyBorder="1" applyFont="1" applyNumberFormat="1">
      <alignment vertical="bottom"/>
    </xf>
    <xf borderId="24" fillId="0" fontId="52" numFmtId="164" xfId="0" applyAlignment="1" applyBorder="1" applyFont="1" applyNumberFormat="1">
      <alignment vertical="bottom"/>
    </xf>
    <xf borderId="24" fillId="0" fontId="57" numFmtId="164" xfId="0" applyAlignment="1" applyBorder="1" applyFont="1" applyNumberFormat="1">
      <alignment horizontal="right" shrinkToFit="0" vertical="bottom" wrapText="1"/>
    </xf>
    <xf borderId="0" fillId="0" fontId="56" numFmtId="164" xfId="0" applyAlignment="1" applyFont="1" applyNumberFormat="1">
      <alignment shrinkToFit="0" vertical="bottom" wrapText="1"/>
    </xf>
    <xf borderId="0" fillId="3" fontId="52" numFmtId="164" xfId="0" applyAlignment="1" applyFont="1" applyNumberFormat="1">
      <alignment vertical="bottom"/>
    </xf>
    <xf borderId="22" fillId="3" fontId="52" numFmtId="164" xfId="0" applyAlignment="1" applyBorder="1" applyFont="1" applyNumberFormat="1">
      <alignment vertical="bottom"/>
    </xf>
    <xf borderId="7" fillId="0" fontId="52" numFmtId="164" xfId="0" applyAlignment="1" applyBorder="1" applyFont="1" applyNumberFormat="1">
      <alignment shrinkToFit="0" vertical="bottom" wrapText="1"/>
    </xf>
    <xf borderId="7" fillId="0" fontId="52" numFmtId="164" xfId="0" applyAlignment="1" applyBorder="1" applyFont="1" applyNumberFormat="1">
      <alignment vertical="bottom"/>
    </xf>
    <xf borderId="23" fillId="0" fontId="52" numFmtId="164" xfId="0" applyAlignment="1" applyBorder="1" applyFont="1" applyNumberFormat="1">
      <alignment vertical="bottom"/>
    </xf>
    <xf borderId="9" fillId="0" fontId="57" numFmtId="164" xfId="0" applyAlignment="1" applyBorder="1" applyFont="1" applyNumberFormat="1">
      <alignment horizontal="right" shrinkToFit="0" vertical="bottom" wrapText="1"/>
    </xf>
    <xf borderId="9" fillId="0" fontId="58" numFmtId="164" xfId="0" applyAlignment="1" applyBorder="1" applyFont="1" applyNumberFormat="1">
      <alignment shrinkToFit="0" vertical="bottom" wrapText="1"/>
    </xf>
    <xf borderId="9" fillId="0" fontId="56" numFmtId="164" xfId="0" applyAlignment="1" applyBorder="1" applyFont="1" applyNumberFormat="1">
      <alignment horizontal="right" shrinkToFit="0" vertical="bottom" wrapText="1"/>
    </xf>
    <xf borderId="24" fillId="0" fontId="56" numFmtId="164" xfId="0" applyAlignment="1" applyBorder="1" applyFont="1" applyNumberFormat="1">
      <alignment horizontal="right" shrinkToFit="0" vertical="bottom" wrapText="1"/>
    </xf>
    <xf borderId="0" fillId="0" fontId="52" numFmtId="164" xfId="0" applyAlignment="1" applyFont="1" applyNumberFormat="1">
      <alignment vertical="bottom"/>
    </xf>
    <xf borderId="7" fillId="16" fontId="56" numFmtId="164" xfId="0" applyAlignment="1" applyBorder="1" applyFont="1" applyNumberFormat="1">
      <alignment shrinkToFit="0" vertical="bottom" wrapText="1"/>
    </xf>
    <xf borderId="7" fillId="16" fontId="52" numFmtId="164" xfId="0" applyAlignment="1" applyBorder="1" applyFont="1" applyNumberFormat="1">
      <alignment vertical="bottom"/>
    </xf>
    <xf borderId="23" fillId="16" fontId="52" numFmtId="164" xfId="0" applyAlignment="1" applyBorder="1" applyFont="1" applyNumberFormat="1">
      <alignment vertical="bottom"/>
    </xf>
    <xf borderId="0" fillId="16" fontId="56" numFmtId="164" xfId="0" applyAlignment="1" applyFont="1" applyNumberFormat="1">
      <alignment shrinkToFit="0" vertical="bottom" wrapText="1"/>
    </xf>
    <xf borderId="0" fillId="16" fontId="57" numFmtId="164" xfId="0" applyAlignment="1" applyFont="1" applyNumberFormat="1">
      <alignment horizontal="right" shrinkToFit="0" vertical="bottom" wrapText="1"/>
    </xf>
    <xf borderId="22" fillId="16" fontId="52" numFmtId="164" xfId="0" applyAlignment="1" applyBorder="1" applyFont="1" applyNumberFormat="1">
      <alignment vertical="bottom"/>
    </xf>
    <xf borderId="22" fillId="16" fontId="57" numFmtId="164" xfId="0" applyAlignment="1" applyBorder="1" applyFont="1" applyNumberFormat="1">
      <alignment horizontal="right" shrinkToFit="0" vertical="bottom" wrapText="1"/>
    </xf>
    <xf borderId="23" fillId="16" fontId="57" numFmtId="164" xfId="0" applyAlignment="1" applyBorder="1" applyFont="1" applyNumberFormat="1">
      <alignment horizontal="right" shrinkToFit="0" vertical="bottom" wrapText="1"/>
    </xf>
    <xf borderId="7" fillId="0" fontId="57" numFmtId="164" xfId="0" applyAlignment="1" applyBorder="1" applyFont="1" applyNumberFormat="1">
      <alignment horizontal="right" shrinkToFit="0" vertical="bottom" wrapText="1"/>
    </xf>
    <xf borderId="0" fillId="16" fontId="56" numFmtId="164" xfId="0" applyAlignment="1" applyFont="1" applyNumberFormat="1">
      <alignment horizontal="right" shrinkToFit="0" vertical="bottom" wrapText="1"/>
    </xf>
    <xf borderId="22" fillId="16" fontId="56" numFmtId="164" xfId="0" applyAlignment="1" applyBorder="1" applyFont="1" applyNumberFormat="1">
      <alignment horizontal="right" shrinkToFit="0" vertical="bottom" wrapText="1"/>
    </xf>
    <xf borderId="0" fillId="0" fontId="56" numFmtId="164" xfId="0" applyAlignment="1" applyFont="1" applyNumberFormat="1">
      <alignment horizontal="right" shrinkToFit="0" vertical="bottom" wrapText="1"/>
    </xf>
    <xf borderId="0" fillId="16" fontId="52" numFmtId="164" xfId="0" applyAlignment="1" applyFont="1" applyNumberFormat="1">
      <alignment vertical="bottom"/>
    </xf>
    <xf borderId="0" fillId="16" fontId="59" numFmtId="164" xfId="0" applyAlignment="1" applyFont="1" applyNumberFormat="1">
      <alignment horizontal="right" shrinkToFit="0" vertical="bottom" wrapText="1"/>
    </xf>
    <xf borderId="7" fillId="16" fontId="57" numFmtId="164" xfId="0" applyAlignment="1" applyBorder="1" applyFont="1" applyNumberFormat="1">
      <alignment horizontal="right" shrinkToFit="0" vertical="bottom" wrapText="1"/>
    </xf>
    <xf borderId="9" fillId="16" fontId="52" numFmtId="164" xfId="0" applyAlignment="1" applyBorder="1" applyFont="1" applyNumberFormat="1">
      <alignment vertical="bottom"/>
    </xf>
    <xf borderId="24" fillId="16" fontId="52" numFmtId="164" xfId="0" applyAlignment="1" applyBorder="1" applyFont="1" applyNumberFormat="1">
      <alignment vertical="bottom"/>
    </xf>
    <xf borderId="0" fillId="5" fontId="56" numFmtId="164" xfId="0" applyAlignment="1" applyFont="1" applyNumberFormat="1">
      <alignment shrinkToFit="0" vertical="bottom" wrapText="1"/>
    </xf>
    <xf borderId="0" fillId="5" fontId="56" numFmtId="164" xfId="0" applyAlignment="1" applyFont="1" applyNumberFormat="1">
      <alignment horizontal="right" shrinkToFit="0" vertical="bottom" wrapText="1"/>
    </xf>
    <xf borderId="22" fillId="5" fontId="52" numFmtId="164" xfId="0" applyAlignment="1" applyBorder="1" applyFont="1" applyNumberFormat="1">
      <alignment vertical="bottom"/>
    </xf>
    <xf borderId="22" fillId="5" fontId="56" numFmtId="164" xfId="0" applyAlignment="1" applyBorder="1" applyFont="1" applyNumberFormat="1">
      <alignment horizontal="right" shrinkToFit="0" vertical="bottom" wrapText="1"/>
    </xf>
    <xf borderId="0" fillId="5" fontId="52" numFmtId="164" xfId="0" applyAlignment="1" applyFont="1" applyNumberFormat="1">
      <alignment vertical="bottom"/>
    </xf>
    <xf borderId="25" fillId="5" fontId="52" numFmtId="164" xfId="0" applyAlignment="1" applyBorder="1" applyFont="1" applyNumberFormat="1">
      <alignment vertical="bottom"/>
    </xf>
    <xf borderId="26" fillId="5" fontId="52" numFmtId="164" xfId="0" applyAlignment="1" applyBorder="1" applyFont="1" applyNumberFormat="1">
      <alignment vertical="bottom"/>
    </xf>
    <xf borderId="0" fillId="5" fontId="56" numFmtId="164" xfId="0" applyAlignment="1" applyFont="1" applyNumberFormat="1">
      <alignment vertical="bottom"/>
    </xf>
    <xf borderId="25" fillId="5" fontId="60" numFmtId="164" xfId="0" applyAlignment="1" applyBorder="1" applyFont="1" applyNumberFormat="1">
      <alignment horizontal="right" vertical="bottom"/>
    </xf>
    <xf borderId="25" fillId="5" fontId="61" numFmtId="164" xfId="0" applyAlignment="1" applyBorder="1" applyFont="1" applyNumberFormat="1">
      <alignment horizontal="right" vertical="bottom"/>
    </xf>
    <xf borderId="25" fillId="5" fontId="59" numFmtId="164" xfId="0" applyAlignment="1" applyBorder="1" applyFont="1" applyNumberFormat="1">
      <alignment horizontal="right" vertical="bottom"/>
    </xf>
    <xf borderId="27" fillId="5" fontId="52" numFmtId="164" xfId="0" applyAlignment="1" applyBorder="1" applyFont="1" applyNumberFormat="1">
      <alignment vertical="bottom"/>
    </xf>
    <xf borderId="28" fillId="0" fontId="62" numFmtId="165" xfId="0" applyBorder="1" applyFont="1" applyNumberFormat="1"/>
    <xf borderId="28" fillId="0" fontId="63" numFmtId="165" xfId="0" applyAlignment="1" applyBorder="1" applyFont="1" applyNumberFormat="1">
      <alignment readingOrder="0"/>
    </xf>
    <xf borderId="28" fillId="0" fontId="62" numFmtId="165" xfId="0" applyAlignment="1" applyBorder="1" applyFont="1" applyNumberFormat="1">
      <alignment readingOrder="0"/>
    </xf>
    <xf borderId="28" fillId="0" fontId="64" numFmtId="165" xfId="0" applyAlignment="1" applyBorder="1" applyFont="1" applyNumberFormat="1">
      <alignment readingOrder="0"/>
    </xf>
    <xf borderId="28" fillId="0" fontId="65" numFmtId="165" xfId="0" applyAlignment="1" applyBorder="1" applyFont="1" applyNumberFormat="1">
      <alignment horizontal="right"/>
    </xf>
    <xf borderId="0" fillId="0" fontId="62" numFmtId="0" xfId="0" applyFont="1"/>
    <xf borderId="0" fillId="0" fontId="62" numFmtId="165" xfId="0" applyFont="1" applyNumberFormat="1"/>
    <xf borderId="0" fillId="0" fontId="62" numFmtId="10" xfId="0" applyFont="1" applyNumberFormat="1"/>
    <xf borderId="0" fillId="0" fontId="66" numFmtId="165" xfId="0" applyFont="1" applyNumberFormat="1"/>
    <xf borderId="0" fillId="0" fontId="62" numFmtId="0" xfId="0" applyAlignment="1" applyFont="1">
      <alignment horizontal="left"/>
    </xf>
    <xf borderId="0" fillId="0" fontId="67" numFmtId="0" xfId="0" applyAlignment="1" applyFont="1">
      <alignment horizontal="left"/>
    </xf>
    <xf borderId="0" fillId="0" fontId="67" numFmtId="165" xfId="0" applyAlignment="1" applyFont="1" applyNumberFormat="1">
      <alignment horizontal="left"/>
    </xf>
    <xf borderId="0" fillId="0" fontId="67" numFmtId="10" xfId="0" applyAlignment="1" applyFont="1" applyNumberFormat="1">
      <alignment horizontal="left"/>
    </xf>
    <xf borderId="0" fillId="0" fontId="67" numFmtId="0" xfId="0" applyAlignment="1" applyFont="1">
      <alignment horizontal="left" readingOrder="0"/>
    </xf>
    <xf borderId="0" fillId="0" fontId="68" numFmtId="165" xfId="0" applyAlignment="1" applyFont="1" applyNumberFormat="1">
      <alignment horizontal="left" readingOrder="0"/>
    </xf>
    <xf borderId="0" fillId="0" fontId="69" numFmtId="0" xfId="0" applyAlignment="1" applyFont="1">
      <alignment horizontal="left" readingOrder="0" vertical="center"/>
    </xf>
    <xf borderId="0" fillId="0" fontId="25" numFmtId="10" xfId="0" applyAlignment="1" applyFont="1" applyNumberFormat="1">
      <alignment horizontal="left" readingOrder="0"/>
    </xf>
    <xf borderId="0" fillId="0" fontId="25" numFmtId="164" xfId="0" applyAlignment="1" applyFont="1" applyNumberFormat="1">
      <alignment horizontal="left" readingOrder="0"/>
    </xf>
    <xf borderId="0" fillId="0" fontId="25" numFmtId="165" xfId="0" applyAlignment="1" applyFont="1" applyNumberFormat="1">
      <alignment horizontal="left" readingOrder="0"/>
    </xf>
    <xf borderId="0" fillId="0" fontId="62" numFmtId="0" xfId="0" applyAlignment="1" applyFont="1">
      <alignment readingOrder="0"/>
    </xf>
    <xf borderId="0" fillId="0" fontId="37" numFmtId="0" xfId="0" applyAlignment="1" applyFont="1">
      <alignment horizontal="left" readingOrder="0"/>
    </xf>
    <xf borderId="0" fillId="0" fontId="62" numFmtId="164" xfId="0" applyAlignment="1" applyFont="1" applyNumberFormat="1">
      <alignment readingOrder="0" shrinkToFit="0" vertical="top" wrapText="1"/>
    </xf>
    <xf borderId="0" fillId="0" fontId="25" numFmtId="10" xfId="0" applyAlignment="1" applyFont="1" applyNumberFormat="1">
      <alignment horizontal="right" readingOrder="0"/>
    </xf>
    <xf borderId="0" fillId="0" fontId="25" numFmtId="164" xfId="0" applyAlignment="1" applyFont="1" applyNumberFormat="1">
      <alignment horizontal="right" readingOrder="0"/>
    </xf>
    <xf borderId="0" fillId="0" fontId="70" numFmtId="10" xfId="0" applyFont="1" applyNumberFormat="1"/>
    <xf borderId="0" fillId="0" fontId="70" numFmtId="0" xfId="0" applyAlignment="1" applyFont="1">
      <alignment horizontal="right" readingOrder="0"/>
    </xf>
    <xf borderId="0" fillId="0" fontId="25" numFmtId="165" xfId="0" applyAlignment="1" applyFont="1" applyNumberFormat="1">
      <alignment readingOrder="0"/>
    </xf>
    <xf borderId="0" fillId="0" fontId="25" numFmtId="164" xfId="0" applyAlignment="1" applyFont="1" applyNumberFormat="1">
      <alignment horizontal="center" readingOrder="0" vertical="center"/>
    </xf>
    <xf borderId="0" fillId="0" fontId="71" numFmtId="9" xfId="0" applyAlignment="1" applyFont="1" applyNumberFormat="1">
      <alignment horizontal="right" readingOrder="0"/>
    </xf>
    <xf borderId="0" fillId="0" fontId="71" numFmtId="164" xfId="0" applyAlignment="1" applyFont="1" applyNumberFormat="1">
      <alignment horizontal="right" readingOrder="0"/>
    </xf>
    <xf borderId="0" fillId="0" fontId="71" numFmtId="165" xfId="0" applyAlignment="1" applyFont="1" applyNumberFormat="1">
      <alignment horizontal="right" readingOrder="0"/>
    </xf>
    <xf borderId="0" fillId="0" fontId="70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0" fontId="70" numFmtId="164" xfId="0" applyAlignment="1" applyFont="1" applyNumberFormat="1">
      <alignment readingOrder="0"/>
    </xf>
    <xf borderId="0" fillId="0" fontId="25" numFmtId="165" xfId="0" applyAlignment="1" applyFont="1" applyNumberFormat="1">
      <alignment horizontal="right" readingOrder="0"/>
    </xf>
    <xf borderId="0" fillId="0" fontId="72" numFmtId="0" xfId="0" applyAlignment="1" applyFont="1">
      <alignment horizontal="center" readingOrder="0" vertical="center"/>
    </xf>
    <xf borderId="0" fillId="0" fontId="73" numFmtId="0" xfId="0" applyAlignment="1" applyFont="1">
      <alignment readingOrder="0"/>
    </xf>
    <xf borderId="0" fillId="0" fontId="25" numFmtId="0" xfId="0" applyAlignment="1" applyFont="1">
      <alignment horizontal="left" readingOrder="0"/>
    </xf>
    <xf borderId="0" fillId="0" fontId="74" numFmtId="0" xfId="0" applyFont="1"/>
    <xf borderId="0" fillId="0" fontId="75" numFmtId="0" xfId="0" applyAlignment="1" applyFont="1">
      <alignment horizontal="center" readingOrder="0" vertical="center"/>
    </xf>
    <xf borderId="0" fillId="0" fontId="76" numFmtId="0" xfId="0" applyAlignment="1" applyFont="1">
      <alignment horizontal="right" readingOrder="0"/>
    </xf>
    <xf borderId="0" fillId="0" fontId="76" numFmtId="164" xfId="0" applyAlignment="1" applyFont="1" applyNumberFormat="1">
      <alignment horizontal="right" readingOrder="0"/>
    </xf>
    <xf borderId="0" fillId="0" fontId="76" numFmtId="165" xfId="0" applyAlignment="1" applyFont="1" applyNumberFormat="1">
      <alignment horizontal="right" readingOrder="0"/>
    </xf>
    <xf borderId="0" fillId="0" fontId="64" numFmtId="0" xfId="0" applyAlignment="1" applyFont="1">
      <alignment readingOrder="0"/>
    </xf>
    <xf borderId="0" fillId="0" fontId="69" numFmtId="0" xfId="0" applyAlignment="1" applyFont="1">
      <alignment horizontal="center" readingOrder="0" vertical="center"/>
    </xf>
    <xf borderId="0" fillId="0" fontId="25" numFmtId="10" xfId="0" applyAlignment="1" applyFont="1" applyNumberFormat="1">
      <alignment readingOrder="0"/>
    </xf>
    <xf borderId="0" fillId="0" fontId="62" numFmtId="164" xfId="0" applyAlignment="1" applyFont="1" applyNumberFormat="1">
      <alignment readingOrder="0"/>
    </xf>
    <xf borderId="0" fillId="0" fontId="77" numFmtId="0" xfId="0" applyAlignment="1" applyFont="1">
      <alignment horizontal="left" readingOrder="0"/>
    </xf>
    <xf borderId="0" fillId="0" fontId="73" numFmtId="164" xfId="0" applyAlignment="1" applyFont="1" applyNumberFormat="1">
      <alignment readingOrder="0" shrinkToFit="0" vertical="top" wrapText="1"/>
    </xf>
    <xf borderId="0" fillId="0" fontId="78" numFmtId="10" xfId="0" applyAlignment="1" applyFont="1" applyNumberFormat="1">
      <alignment horizontal="right" readingOrder="0"/>
    </xf>
    <xf borderId="0" fillId="0" fontId="78" numFmtId="164" xfId="0" applyAlignment="1" applyFont="1" applyNumberFormat="1">
      <alignment horizontal="right" readingOrder="0"/>
    </xf>
    <xf borderId="0" fillId="0" fontId="73" numFmtId="10" xfId="0" applyFont="1" applyNumberFormat="1"/>
    <xf borderId="0" fillId="0" fontId="73" numFmtId="0" xfId="0" applyAlignment="1" applyFont="1">
      <alignment horizontal="right" readingOrder="0"/>
    </xf>
    <xf borderId="0" fillId="0" fontId="73" numFmtId="0" xfId="0" applyFont="1"/>
    <xf borderId="0" fillId="0" fontId="78" numFmtId="165" xfId="0" applyAlignment="1" applyFont="1" applyNumberFormat="1">
      <alignment readingOrder="0"/>
    </xf>
    <xf borderId="0" fillId="0" fontId="78" numFmtId="164" xfId="0" applyAlignment="1" applyFont="1" applyNumberFormat="1">
      <alignment horizontal="center" readingOrder="0" vertical="center"/>
    </xf>
    <xf borderId="0" fillId="0" fontId="78" numFmtId="9" xfId="0" applyAlignment="1" applyFont="1" applyNumberFormat="1">
      <alignment horizontal="right" readingOrder="0"/>
    </xf>
    <xf borderId="0" fillId="0" fontId="78" numFmtId="165" xfId="0" applyAlignment="1" applyFont="1" applyNumberFormat="1">
      <alignment horizontal="right" readingOrder="0"/>
    </xf>
    <xf borderId="0" fillId="0" fontId="79" numFmtId="0" xfId="0" applyAlignment="1" applyFont="1">
      <alignment horizontal="center" readingOrder="0" vertical="center"/>
    </xf>
    <xf borderId="0" fillId="0" fontId="78" numFmtId="10" xfId="0" applyAlignment="1" applyFont="1" applyNumberFormat="1">
      <alignment readingOrder="0"/>
    </xf>
    <xf borderId="0" fillId="0" fontId="73" numFmtId="164" xfId="0" applyAlignment="1" applyFont="1" applyNumberFormat="1">
      <alignment readingOrder="0"/>
    </xf>
    <xf borderId="0" fillId="0" fontId="78" numFmtId="165" xfId="0" applyAlignment="1" applyFont="1" applyNumberFormat="1">
      <alignment horizontal="left" readingOrder="0"/>
    </xf>
    <xf borderId="0" fillId="0" fontId="78" numFmtId="0" xfId="0" applyAlignment="1" applyFont="1">
      <alignment horizontal="left" readingOrder="0"/>
    </xf>
    <xf borderId="0" fillId="0" fontId="78" numFmtId="0" xfId="0" applyAlignment="1" applyFont="1">
      <alignment horizontal="right" readingOrder="0"/>
    </xf>
    <xf borderId="0" fillId="0" fontId="67" numFmtId="0" xfId="0" applyFont="1"/>
    <xf borderId="0" fillId="0" fontId="67" numFmtId="165" xfId="0" applyFont="1" applyNumberFormat="1"/>
    <xf borderId="0" fillId="0" fontId="67" numFmtId="10" xfId="0" applyFont="1" applyNumberFormat="1"/>
    <xf borderId="0" fillId="0" fontId="67" numFmtId="0" xfId="0" applyAlignment="1" applyFont="1">
      <alignment horizontal="right" readingOrder="0"/>
    </xf>
    <xf borderId="0" fillId="0" fontId="72" numFmtId="165" xfId="0" applyAlignment="1" applyFont="1" applyNumberFormat="1">
      <alignment horizontal="right" readingOrder="0"/>
    </xf>
    <xf borderId="0" fillId="0" fontId="72" numFmtId="9" xfId="0" applyAlignment="1" applyFont="1" applyNumberFormat="1">
      <alignment horizontal="right" readingOrder="0"/>
    </xf>
    <xf borderId="0" fillId="0" fontId="72" numFmtId="164" xfId="0" applyAlignment="1" applyFont="1" applyNumberFormat="1">
      <alignment horizontal="right" readingOrder="0"/>
    </xf>
    <xf borderId="0" fillId="0" fontId="80" numFmtId="165" xfId="0" applyFont="1" applyNumberFormat="1"/>
    <xf borderId="0" fillId="0" fontId="81" numFmtId="165" xfId="0" applyAlignment="1" applyFont="1" applyNumberFormat="1">
      <alignment readingOrder="0"/>
    </xf>
    <xf borderId="0" fillId="0" fontId="62" numFmtId="165" xfId="0" applyAlignment="1" applyFont="1" applyNumberFormat="1">
      <alignment readingOrder="0"/>
    </xf>
    <xf borderId="0" fillId="0" fontId="62" numFmtId="165" xfId="0" applyAlignment="1" applyFont="1" applyNumberFormat="1">
      <alignment readingOrder="0"/>
    </xf>
    <xf borderId="0" fillId="0" fontId="62" numFmtId="4" xfId="0" applyFont="1" applyNumberFormat="1"/>
    <xf borderId="0" fillId="0" fontId="62" numFmtId="165" xfId="0" applyAlignment="1" applyFont="1" applyNumberFormat="1">
      <alignment readingOrder="0" shrinkToFit="0" vertical="top" wrapText="1"/>
    </xf>
    <xf borderId="0" fillId="0" fontId="67" numFmtId="0" xfId="0" applyAlignment="1" applyFont="1">
      <alignment readingOrder="0" shrinkToFit="0" vertical="top" wrapText="1"/>
    </xf>
    <xf borderId="0" fillId="0" fontId="62" numFmtId="0" xfId="0" applyAlignment="1" applyFont="1">
      <alignment readingOrder="0" shrinkToFit="0" vertical="top" wrapText="1"/>
    </xf>
    <xf quotePrefix="1" borderId="0" fillId="0" fontId="62" numFmtId="0" xfId="0" applyFont="1"/>
    <xf borderId="0" fillId="0" fontId="62" numFmtId="165" xfId="0" applyAlignment="1" applyFont="1" applyNumberFormat="1">
      <alignment horizontal="right"/>
    </xf>
    <xf borderId="0" fillId="0" fontId="67" numFmtId="165" xfId="0" applyAlignment="1" applyFont="1" applyNumberFormat="1">
      <alignment readingOrder="0"/>
    </xf>
    <xf borderId="0" fillId="18" fontId="62" numFmtId="0" xfId="0" applyAlignment="1" applyFont="1">
      <alignment readingOrder="0"/>
    </xf>
    <xf borderId="0" fillId="18" fontId="67" numFmtId="165" xfId="0" applyAlignment="1" applyFont="1" applyNumberFormat="1">
      <alignment readingOrder="0"/>
    </xf>
    <xf quotePrefix="1" borderId="0" fillId="0" fontId="82" numFmtId="0" xfId="0" applyFont="1"/>
    <xf borderId="0" fillId="19" fontId="67" numFmtId="0" xfId="0" applyAlignment="1" applyFont="1">
      <alignment readingOrder="0"/>
    </xf>
    <xf borderId="0" fillId="19" fontId="67" numFmtId="165" xfId="0" applyFont="1" applyNumberFormat="1"/>
    <xf borderId="0" fillId="21" fontId="67" numFmtId="0" xfId="0" applyAlignment="1" applyFont="1">
      <alignment readingOrder="0"/>
    </xf>
    <xf borderId="0" fillId="21" fontId="67" numFmtId="165" xfId="0" applyFont="1" applyNumberFormat="1"/>
    <xf borderId="0" fillId="0" fontId="83" numFmtId="165" xfId="0" applyAlignment="1" applyFont="1" applyNumberFormat="1">
      <alignment vertical="bottom"/>
    </xf>
    <xf borderId="0" fillId="24" fontId="67" numFmtId="0" xfId="0" applyAlignment="1" applyFill="1" applyFont="1">
      <alignment readingOrder="0"/>
    </xf>
    <xf borderId="0" fillId="24" fontId="67" numFmtId="165" xfId="0" applyFont="1" applyNumberFormat="1"/>
    <xf borderId="0" fillId="0" fontId="67" numFmtId="0" xfId="0" applyAlignment="1" applyFont="1">
      <alignment readingOrder="0"/>
    </xf>
    <xf borderId="0" fillId="0" fontId="67" numFmtId="164" xfId="0" applyFont="1" applyNumberFormat="1"/>
    <xf borderId="0" fillId="0" fontId="62" numFmtId="9" xfId="0" applyFont="1" applyNumberFormat="1"/>
    <xf borderId="0" fillId="0" fontId="84" numFmtId="0" xfId="0" applyAlignment="1" applyFont="1">
      <alignment horizontal="center" readingOrder="0"/>
    </xf>
    <xf borderId="0" fillId="0" fontId="85" numFmtId="0" xfId="0" applyAlignment="1" applyFont="1">
      <alignment readingOrder="0"/>
    </xf>
    <xf borderId="0" fillId="0" fontId="62" numFmtId="10" xfId="0" applyAlignment="1" applyFont="1" applyNumberFormat="1">
      <alignment readingOrder="0"/>
    </xf>
    <xf borderId="0" fillId="0" fontId="86" numFmtId="0" xfId="0" applyAlignment="1" applyFont="1">
      <alignment horizontal="center" readingOrder="0"/>
    </xf>
    <xf borderId="0" fillId="0" fontId="62" numFmtId="164" xfId="0" applyAlignment="1" applyFont="1" applyNumberFormat="1">
      <alignment readingOrder="0"/>
    </xf>
    <xf borderId="0" fillId="0" fontId="62" numFmtId="9" xfId="0" applyAlignment="1" applyFont="1" applyNumberFormat="1">
      <alignment readingOrder="0"/>
    </xf>
    <xf borderId="0" fillId="0" fontId="62" numFmtId="165" xfId="0" applyAlignment="1" applyFont="1" applyNumberFormat="1">
      <alignment readingOrder="0"/>
    </xf>
    <xf borderId="0" fillId="0" fontId="87" numFmtId="165" xfId="0" applyFont="1" applyNumberFormat="1"/>
    <xf borderId="0" fillId="0" fontId="62" numFmtId="10" xfId="0" applyAlignment="1" applyFont="1" applyNumberFormat="1">
      <alignment horizontal="right"/>
    </xf>
    <xf borderId="0" fillId="0" fontId="70" numFmtId="165" xfId="0" applyAlignment="1" applyFont="1" applyNumberFormat="1">
      <alignment horizontal="right"/>
    </xf>
    <xf borderId="0" fillId="0" fontId="62" numFmtId="0" xfId="0" applyAlignment="1" applyFont="1">
      <alignment horizontal="right"/>
    </xf>
    <xf borderId="0" fillId="2" fontId="88" numFmtId="0" xfId="0" applyAlignment="1" applyFont="1">
      <alignment readingOrder="0" shrinkToFit="0" wrapText="1"/>
    </xf>
    <xf borderId="0" fillId="2" fontId="88" numFmtId="0" xfId="0" applyAlignment="1" applyFont="1">
      <alignment horizontal="center" readingOrder="0" shrinkToFit="0" wrapText="1"/>
    </xf>
    <xf borderId="0" fillId="2" fontId="89" numFmtId="0" xfId="0" applyAlignment="1" applyFont="1">
      <alignment horizontal="center" readingOrder="0"/>
    </xf>
    <xf borderId="0" fillId="2" fontId="90" numFmtId="0" xfId="0" applyAlignment="1" applyFont="1">
      <alignment readingOrder="0"/>
    </xf>
    <xf borderId="0" fillId="2" fontId="27" numFmtId="0" xfId="0" applyFont="1"/>
    <xf borderId="0" fillId="2" fontId="91" numFmtId="0" xfId="0" applyAlignment="1" applyFont="1">
      <alignment readingOrder="0"/>
    </xf>
    <xf borderId="0" fillId="0" fontId="25" numFmtId="0" xfId="0" applyAlignment="1" applyFont="1">
      <alignment horizontal="center" readingOrder="0"/>
    </xf>
    <xf borderId="0" fillId="0" fontId="92" numFmtId="0" xfId="0" applyAlignment="1" applyFont="1">
      <alignment horizontal="center" readingOrder="0" vertical="bottom"/>
    </xf>
    <xf borderId="0" fillId="0" fontId="44" numFmtId="0" xfId="0" applyAlignment="1" applyFont="1">
      <alignment horizontal="center" readingOrder="0" vertical="bottom"/>
    </xf>
    <xf borderId="0" fillId="0" fontId="44" numFmtId="0" xfId="0" applyAlignment="1" applyFont="1">
      <alignment readingOrder="0" vertical="bottom"/>
    </xf>
    <xf borderId="0" fillId="0" fontId="29" numFmtId="164" xfId="0" applyAlignment="1" applyFont="1" applyNumberFormat="1">
      <alignment horizontal="right" readingOrder="0" vertical="bottom"/>
    </xf>
    <xf borderId="0" fillId="0" fontId="29" numFmtId="0" xfId="0" applyAlignment="1" applyFont="1">
      <alignment readingOrder="0" vertical="bottom"/>
    </xf>
    <xf borderId="0" fillId="0" fontId="93" numFmtId="164" xfId="0" applyAlignment="1" applyFont="1" applyNumberFormat="1">
      <alignment horizontal="right" readingOrder="0" vertical="bottom"/>
    </xf>
    <xf borderId="0" fillId="0" fontId="93" numFmtId="164" xfId="0" applyAlignment="1" applyFont="1" applyNumberFormat="1">
      <alignment horizontal="right" readingOrder="0" shrinkToFit="0" vertical="top" wrapText="1"/>
    </xf>
    <xf borderId="0" fillId="0" fontId="93" numFmtId="164" xfId="0" applyAlignment="1" applyFont="1" applyNumberFormat="1">
      <alignment horizontal="right" shrinkToFit="0" vertical="top" wrapText="1"/>
    </xf>
    <xf borderId="9" fillId="0" fontId="70" numFmtId="0" xfId="0" applyAlignment="1" applyBorder="1" applyFont="1">
      <alignment readingOrder="0"/>
    </xf>
    <xf borderId="9" fillId="0" fontId="93" numFmtId="164" xfId="0" applyAlignment="1" applyBorder="1" applyFont="1" applyNumberFormat="1">
      <alignment horizontal="right" shrinkToFit="0" vertical="top" wrapText="1"/>
    </xf>
    <xf borderId="9" fillId="0" fontId="25" numFmtId="164" xfId="0" applyAlignment="1" applyBorder="1" applyFont="1" applyNumberFormat="1">
      <alignment horizontal="right" readingOrder="0"/>
    </xf>
    <xf borderId="9" fillId="0" fontId="92" numFmtId="0" xfId="0" applyAlignment="1" applyBorder="1" applyFont="1">
      <alignment horizontal="center" readingOrder="0" vertical="bottom"/>
    </xf>
    <xf borderId="9" fillId="0" fontId="25" numFmtId="0" xfId="0" applyAlignment="1" applyBorder="1" applyFont="1">
      <alignment horizontal="center" readingOrder="0"/>
    </xf>
    <xf borderId="9" fillId="0" fontId="44" numFmtId="0" xfId="0" applyAlignment="1" applyBorder="1" applyFont="1">
      <alignment horizontal="center" readingOrder="0" vertical="bottom"/>
    </xf>
    <xf borderId="29" fillId="0" fontId="94" numFmtId="0" xfId="0" applyAlignment="1" applyBorder="1" applyFont="1">
      <alignment readingOrder="0" vertical="bottom"/>
    </xf>
    <xf borderId="29" fillId="0" fontId="44" numFmtId="0" xfId="0" applyAlignment="1" applyBorder="1" applyFont="1">
      <alignment vertical="bottom"/>
    </xf>
    <xf borderId="0" fillId="0" fontId="44" numFmtId="164" xfId="0" applyAlignment="1" applyFont="1" applyNumberFormat="1">
      <alignment vertical="bottom"/>
    </xf>
    <xf borderId="29" fillId="0" fontId="95" numFmtId="0" xfId="0" applyAlignment="1" applyBorder="1" applyFont="1">
      <alignment readingOrder="0" vertical="bottom"/>
    </xf>
    <xf borderId="0" fillId="0" fontId="44" numFmtId="0" xfId="0" applyAlignment="1" applyFont="1">
      <alignment vertical="bottom"/>
    </xf>
    <xf borderId="0" fillId="0" fontId="94" numFmtId="0" xfId="0" applyAlignment="1" applyFont="1">
      <alignment readingOrder="0" vertical="bottom"/>
    </xf>
    <xf borderId="0" fillId="0" fontId="44" numFmtId="165" xfId="0" applyAlignment="1" applyFont="1" applyNumberFormat="1">
      <alignment readingOrder="0" vertical="bottom"/>
    </xf>
    <xf borderId="0" fillId="0" fontId="95" numFmtId="0" xfId="0" applyAlignment="1" applyFont="1">
      <alignment readingOrder="0" vertical="bottom"/>
    </xf>
    <xf borderId="0" fillId="0" fontId="29" numFmtId="164" xfId="0" applyAlignment="1" applyFont="1" applyNumberFormat="1">
      <alignment vertical="bottom"/>
    </xf>
    <xf borderId="0" fillId="0" fontId="96" numFmtId="164" xfId="0" applyAlignment="1" applyFont="1" applyNumberFormat="1">
      <alignment vertical="bottom"/>
    </xf>
    <xf borderId="9" fillId="0" fontId="37" numFmtId="0" xfId="0" applyAlignment="1" applyBorder="1" applyFont="1">
      <alignment horizontal="left" readingOrder="0"/>
    </xf>
    <xf borderId="9" fillId="0" fontId="93" numFmtId="164" xfId="0" applyAlignment="1" applyBorder="1" applyFont="1" applyNumberFormat="1">
      <alignment horizontal="right" readingOrder="0" shrinkToFit="0" vertical="top" wrapText="1"/>
    </xf>
    <xf borderId="29" fillId="0" fontId="97" numFmtId="0" xfId="0" applyAlignment="1" applyBorder="1" applyFont="1">
      <alignment readingOrder="0" vertical="bottom"/>
    </xf>
    <xf borderId="29" fillId="0" fontId="44" numFmtId="164" xfId="0" applyAlignment="1" applyBorder="1" applyFont="1" applyNumberFormat="1">
      <alignment vertical="bottom"/>
    </xf>
    <xf borderId="0" fillId="0" fontId="97" numFmtId="0" xfId="0" applyAlignment="1" applyFont="1">
      <alignment readingOrder="0" vertical="bottom"/>
    </xf>
    <xf borderId="0" fillId="0" fontId="44" numFmtId="164" xfId="0" applyAlignment="1" applyFont="1" applyNumberFormat="1">
      <alignment readingOrder="0" vertical="bottom"/>
    </xf>
    <xf borderId="0" fillId="0" fontId="98" numFmtId="0" xfId="0" applyAlignment="1" applyFont="1">
      <alignment readingOrder="0" vertical="bottom"/>
    </xf>
    <xf borderId="0" fillId="0" fontId="37" numFmtId="0" xfId="0" applyAlignment="1" applyFont="1">
      <alignment readingOrder="0"/>
    </xf>
    <xf borderId="0" fillId="0" fontId="33" numFmtId="0" xfId="0" applyFont="1"/>
    <xf borderId="0" fillId="0" fontId="37" numFmtId="164" xfId="0" applyAlignment="1" applyFont="1" applyNumberFormat="1">
      <alignment horizontal="left" readingOrder="0"/>
    </xf>
    <xf borderId="0" fillId="0" fontId="27" numFmtId="164" xfId="0" applyAlignment="1" applyFont="1" applyNumberFormat="1">
      <alignment horizontal="left" readingOrder="0"/>
    </xf>
    <xf borderId="0" fillId="0" fontId="27" numFmtId="164" xfId="0" applyAlignment="1" applyFont="1" applyNumberFormat="1">
      <alignment horizontal="left" readingOrder="0"/>
    </xf>
    <xf borderId="0" fillId="0" fontId="0" numFmtId="164" xfId="0" applyAlignment="1" applyFont="1" applyNumberFormat="1">
      <alignment horizontal="left" readingOrder="0"/>
    </xf>
    <xf borderId="0" fillId="0" fontId="27" numFmtId="165" xfId="0" applyAlignment="1" applyFont="1" applyNumberFormat="1">
      <alignment horizontal="left" readingOrder="0"/>
    </xf>
    <xf borderId="0" fillId="0" fontId="99" numFmtId="0" xfId="0" applyAlignment="1" applyFont="1">
      <alignment readingOrder="0"/>
    </xf>
    <xf borderId="0" fillId="0" fontId="27" numFmtId="165" xfId="0" applyAlignment="1" applyFont="1" applyNumberFormat="1">
      <alignment horizontal="center" readingOrder="0"/>
    </xf>
    <xf borderId="0" fillId="3" fontId="100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29" numFmtId="164" xfId="0" applyAlignment="1" applyFont="1" applyNumberFormat="1">
      <alignment horizontal="right" vertical="bottom"/>
    </xf>
    <xf borderId="0" fillId="0" fontId="44" numFmtId="0" xfId="0" applyAlignment="1" applyFont="1">
      <alignment shrinkToFit="0" vertical="bottom" wrapText="0"/>
    </xf>
    <xf borderId="0" fillId="0" fontId="44" numFmtId="165" xfId="0" applyAlignment="1" applyFont="1" applyNumberFormat="1">
      <alignment shrinkToFit="0" vertical="bottom" wrapText="0"/>
    </xf>
    <xf borderId="0" fillId="0" fontId="101" numFmtId="164" xfId="0" applyFont="1" applyNumberFormat="1"/>
    <xf borderId="0" fillId="3" fontId="100" numFmtId="164" xfId="0" applyAlignment="1" applyFont="1" applyNumberFormat="1">
      <alignment readingOrder="0"/>
    </xf>
    <xf borderId="0" fillId="0" fontId="33" numFmtId="164" xfId="0" applyAlignment="1" applyFont="1" applyNumberFormat="1">
      <alignment readingOrder="0"/>
    </xf>
    <xf borderId="28" fillId="13" fontId="16" numFmtId="165" xfId="0" applyAlignment="1" applyBorder="1" applyFont="1" applyNumberFormat="1">
      <alignment horizontal="center" readingOrder="0" vertical="center"/>
    </xf>
    <xf borderId="28" fillId="13" fontId="16" numFmtId="165" xfId="0" applyAlignment="1" applyBorder="1" applyFont="1" applyNumberFormat="1">
      <alignment readingOrder="0"/>
    </xf>
    <xf borderId="28" fillId="13" fontId="31" numFmtId="165" xfId="0" applyAlignment="1" applyBorder="1" applyFont="1" applyNumberFormat="1">
      <alignment horizontal="right" readingOrder="0"/>
    </xf>
    <xf borderId="28" fillId="13" fontId="31" numFmtId="165" xfId="0" applyAlignment="1" applyBorder="1" applyFont="1" applyNumberFormat="1">
      <alignment horizontal="right"/>
    </xf>
    <xf borderId="28" fillId="13" fontId="31" numFmtId="165" xfId="0" applyBorder="1" applyFont="1" applyNumberFormat="1"/>
    <xf borderId="28" fillId="0" fontId="24" numFmtId="0" xfId="0" applyAlignment="1" applyBorder="1" applyFont="1">
      <alignment horizontal="center" readingOrder="0"/>
    </xf>
    <xf borderId="18" fillId="0" fontId="102" numFmtId="0" xfId="0" applyAlignment="1" applyBorder="1" applyFont="1">
      <alignment readingOrder="0"/>
    </xf>
    <xf borderId="18" fillId="0" fontId="24" numFmtId="0" xfId="0" applyBorder="1" applyFont="1"/>
    <xf borderId="18" fillId="0" fontId="24" numFmtId="0" xfId="0" applyAlignment="1" applyBorder="1" applyFont="1">
      <alignment horizontal="left"/>
    </xf>
    <xf borderId="18" fillId="0" fontId="24" numFmtId="0" xfId="0" applyAlignment="1" applyBorder="1" applyFont="1">
      <alignment horizontal="right"/>
    </xf>
    <xf borderId="18" fillId="0" fontId="102" numFmtId="0" xfId="0" applyAlignment="1" applyBorder="1" applyFont="1">
      <alignment horizontal="right"/>
    </xf>
    <xf borderId="18" fillId="0" fontId="103" numFmtId="0" xfId="0" applyAlignment="1" applyBorder="1" applyFont="1">
      <alignment horizontal="right"/>
    </xf>
    <xf borderId="18" fillId="0" fontId="103" numFmtId="164" xfId="0" applyAlignment="1" applyBorder="1" applyFont="1" applyNumberFormat="1">
      <alignment readingOrder="0"/>
    </xf>
    <xf borderId="0" fillId="0" fontId="37" numFmtId="0" xfId="0" applyAlignment="1" applyFont="1">
      <alignment readingOrder="0"/>
    </xf>
    <xf borderId="0" fillId="3" fontId="0" numFmtId="0" xfId="0" applyAlignment="1" applyFont="1">
      <alignment horizontal="left" readingOrder="0"/>
    </xf>
    <xf borderId="0" fillId="0" fontId="0" numFmtId="0" xfId="0" applyAlignment="1" applyFont="1">
      <alignment readingOrder="0"/>
    </xf>
    <xf borderId="0" fillId="0" fontId="0" numFmtId="165" xfId="0" applyAlignment="1" applyFont="1" applyNumberFormat="1">
      <alignment horizontal="right" readingOrder="0"/>
    </xf>
    <xf borderId="0" fillId="0" fontId="37" numFmtId="165" xfId="0" applyAlignment="1" applyFont="1" applyNumberFormat="1">
      <alignment horizontal="right" readingOrder="0"/>
    </xf>
    <xf borderId="0" fillId="0" fontId="0" numFmtId="9" xfId="0" applyAlignment="1" applyFont="1" applyNumberFormat="1">
      <alignment horizontal="right" readingOrder="0"/>
    </xf>
    <xf borderId="0" fillId="18" fontId="37" numFmtId="164" xfId="0" applyAlignment="1" applyFont="1" applyNumberFormat="1">
      <alignment horizontal="right" readingOrder="0"/>
    </xf>
    <xf borderId="0" fillId="0" fontId="37" numFmtId="164" xfId="0" applyAlignment="1" applyFont="1" applyNumberFormat="1">
      <alignment horizontal="right" readingOrder="0"/>
    </xf>
    <xf borderId="0" fillId="0" fontId="103" numFmtId="0" xfId="0" applyAlignment="1" applyFont="1">
      <alignment horizontal="right"/>
    </xf>
    <xf borderId="0" fillId="0" fontId="103" numFmtId="164" xfId="0" applyAlignment="1" applyFont="1" applyNumberFormat="1">
      <alignment readingOrder="0"/>
    </xf>
    <xf borderId="0" fillId="0" fontId="0" numFmtId="0" xfId="0" applyAlignment="1" applyFont="1">
      <alignment horizontal="left" readingOrder="0"/>
    </xf>
    <xf borderId="0" fillId="5" fontId="0" numFmtId="0" xfId="0" applyAlignment="1" applyFont="1">
      <alignment horizontal="left" readingOrder="0"/>
    </xf>
    <xf borderId="0" fillId="5" fontId="0" numFmtId="3" xfId="0" applyAlignment="1" applyFont="1" applyNumberFormat="1">
      <alignment horizontal="left" readingOrder="0"/>
    </xf>
    <xf borderId="0" fillId="5" fontId="0" numFmtId="164" xfId="0" applyAlignment="1" applyFont="1" applyNumberFormat="1">
      <alignment horizontal="right" readingOrder="0"/>
    </xf>
    <xf borderId="0" fillId="5" fontId="24" numFmtId="9" xfId="0" applyAlignment="1" applyFont="1" applyNumberFormat="1">
      <alignment horizontal="right" readingOrder="0"/>
    </xf>
    <xf borderId="0" fillId="5" fontId="24" numFmtId="164" xfId="0" applyAlignment="1" applyFont="1" applyNumberFormat="1">
      <alignment horizontal="right" readingOrder="0"/>
    </xf>
    <xf borderId="0" fillId="5" fontId="0" numFmtId="9" xfId="0" applyAlignment="1" applyFont="1" applyNumberFormat="1">
      <alignment horizontal="right" readingOrder="0"/>
    </xf>
    <xf borderId="0" fillId="5" fontId="103" numFmtId="0" xfId="0" applyAlignment="1" applyFont="1">
      <alignment horizontal="center" readingOrder="0"/>
    </xf>
    <xf borderId="20" fillId="0" fontId="24" numFmtId="0" xfId="0" applyAlignment="1" applyBorder="1" applyFont="1">
      <alignment horizontal="left" readingOrder="0"/>
    </xf>
    <xf borderId="20" fillId="0" fontId="0" numFmtId="3" xfId="0" applyAlignment="1" applyBorder="1" applyFont="1" applyNumberFormat="1">
      <alignment horizontal="left" readingOrder="0"/>
    </xf>
    <xf borderId="20" fillId="0" fontId="0" numFmtId="164" xfId="0" applyAlignment="1" applyBorder="1" applyFont="1" applyNumberFormat="1">
      <alignment horizontal="right" readingOrder="0"/>
    </xf>
    <xf borderId="20" fillId="0" fontId="0" numFmtId="9" xfId="0" applyAlignment="1" applyBorder="1" applyFont="1" applyNumberFormat="1">
      <alignment horizontal="right" readingOrder="0"/>
    </xf>
    <xf borderId="20" fillId="0" fontId="103" numFmtId="0" xfId="0" applyAlignment="1" applyBorder="1" applyFont="1">
      <alignment horizontal="center" readingOrder="0"/>
    </xf>
    <xf borderId="0" fillId="0" fontId="37" numFmtId="0" xfId="0" applyAlignment="1" applyFont="1">
      <alignment readingOrder="0"/>
    </xf>
    <xf borderId="30" fillId="0" fontId="0" numFmtId="3" xfId="0" applyAlignment="1" applyBorder="1" applyFont="1" applyNumberFormat="1">
      <alignment readingOrder="0" vertical="bottom"/>
    </xf>
    <xf borderId="0" fillId="0" fontId="0" numFmtId="3" xfId="0" applyAlignment="1" applyFont="1" applyNumberFormat="1">
      <alignment horizontal="left" readingOrder="0"/>
    </xf>
    <xf borderId="0" fillId="0" fontId="0" numFmtId="10" xfId="0" applyAlignment="1" applyFont="1" applyNumberFormat="1">
      <alignment horizontal="right" readingOrder="0"/>
    </xf>
    <xf borderId="0" fillId="18" fontId="0" numFmtId="164" xfId="0" applyAlignment="1" applyFont="1" applyNumberFormat="1">
      <alignment horizontal="right" readingOrder="0"/>
    </xf>
    <xf borderId="0" fillId="0" fontId="0" numFmtId="164" xfId="0" applyAlignment="1" applyFont="1" applyNumberFormat="1">
      <alignment horizontal="right" readingOrder="0"/>
    </xf>
    <xf borderId="0" fillId="0" fontId="103" numFmtId="0" xfId="0" applyAlignment="1" applyFont="1">
      <alignment horizontal="center" readingOrder="0"/>
    </xf>
    <xf borderId="0" fillId="0" fontId="0" numFmtId="3" xfId="0" applyAlignment="1" applyFont="1" applyNumberFormat="1">
      <alignment vertical="bottom"/>
    </xf>
    <xf borderId="0" fillId="0" fontId="104" numFmtId="0" xfId="0" applyAlignment="1" applyFont="1">
      <alignment readingOrder="0"/>
    </xf>
    <xf borderId="0" fillId="0" fontId="105" numFmtId="3" xfId="0" applyAlignment="1" applyFont="1" applyNumberFormat="1">
      <alignment horizontal="left" readingOrder="0"/>
    </xf>
    <xf borderId="0" fillId="0" fontId="105" numFmtId="164" xfId="0" applyAlignment="1" applyFont="1" applyNumberFormat="1">
      <alignment horizontal="right" readingOrder="0"/>
    </xf>
    <xf borderId="0" fillId="0" fontId="105" numFmtId="9" xfId="0" applyAlignment="1" applyFont="1" applyNumberFormat="1">
      <alignment horizontal="right" readingOrder="0"/>
    </xf>
    <xf borderId="0" fillId="0" fontId="106" numFmtId="0" xfId="0" applyAlignment="1" applyFont="1">
      <alignment horizontal="center" readingOrder="0"/>
    </xf>
    <xf borderId="0" fillId="0" fontId="44" numFmtId="0" xfId="0" applyAlignment="1" applyFont="1">
      <alignment vertical="bottom"/>
    </xf>
    <xf borderId="0" fillId="0" fontId="44" numFmtId="164" xfId="0" applyAlignment="1" applyFont="1" applyNumberFormat="1">
      <alignment horizontal="right" vertical="bottom"/>
    </xf>
    <xf borderId="18" fillId="0" fontId="24" numFmtId="0" xfId="0" applyAlignment="1" applyBorder="1" applyFont="1">
      <alignment horizontal="left" readingOrder="0"/>
    </xf>
    <xf borderId="18" fillId="0" fontId="0" numFmtId="3" xfId="0" applyAlignment="1" applyBorder="1" applyFont="1" applyNumberFormat="1">
      <alignment horizontal="left" readingOrder="0"/>
    </xf>
    <xf borderId="18" fillId="0" fontId="0" numFmtId="164" xfId="0" applyAlignment="1" applyBorder="1" applyFont="1" applyNumberFormat="1">
      <alignment horizontal="right" readingOrder="0"/>
    </xf>
    <xf borderId="18" fillId="0" fontId="0" numFmtId="9" xfId="0" applyAlignment="1" applyBorder="1" applyFont="1" applyNumberFormat="1">
      <alignment horizontal="right" readingOrder="0"/>
    </xf>
    <xf borderId="18" fillId="0" fontId="103" numFmtId="0" xfId="0" applyAlignment="1" applyBorder="1" applyFont="1">
      <alignment horizontal="center" readingOrder="0"/>
    </xf>
    <xf borderId="0" fillId="5" fontId="24" numFmtId="0" xfId="0" applyAlignment="1" applyFont="1">
      <alignment horizontal="left" readingOrder="0"/>
    </xf>
    <xf borderId="0" fillId="5" fontId="24" numFmtId="3" xfId="0" applyAlignment="1" applyFont="1" applyNumberFormat="1">
      <alignment horizontal="left" readingOrder="0"/>
    </xf>
    <xf borderId="0" fillId="0" fontId="0" numFmtId="3" xfId="0" applyAlignment="1" applyFont="1" applyNumberFormat="1">
      <alignment horizontal="right" readingOrder="0"/>
    </xf>
    <xf borderId="0" fillId="0" fontId="0" numFmtId="0" xfId="0" applyAlignment="1" applyFont="1">
      <alignment horizontal="center" readingOrder="0"/>
    </xf>
    <xf borderId="0" fillId="0" fontId="0" numFmtId="0" xfId="0" applyAlignment="1" applyFont="1">
      <alignment readingOrder="0"/>
    </xf>
    <xf borderId="0" fillId="5" fontId="24" numFmtId="10" xfId="0" applyAlignment="1" applyFont="1" applyNumberFormat="1">
      <alignment horizontal="right" readingOrder="0"/>
    </xf>
    <xf borderId="0" fillId="0" fontId="37" numFmtId="0" xfId="0" applyAlignment="1" applyFont="1">
      <alignment horizontal="right"/>
    </xf>
    <xf borderId="0" fillId="0" fontId="37" numFmtId="0" xfId="0" applyFont="1"/>
    <xf borderId="0" fillId="0" fontId="0" numFmtId="0" xfId="0" applyFont="1"/>
    <xf borderId="0" fillId="0" fontId="0" numFmtId="0" xfId="0" applyAlignment="1" applyFont="1">
      <alignment horizontal="left"/>
    </xf>
    <xf borderId="0" fillId="0" fontId="0" numFmtId="0" xfId="0" applyAlignment="1" applyFont="1">
      <alignment horizontal="right"/>
    </xf>
    <xf borderId="0" fillId="0" fontId="107" numFmtId="0" xfId="0" applyAlignment="1" applyFont="1">
      <alignment horizontal="right"/>
    </xf>
    <xf borderId="0" fillId="0" fontId="107" numFmtId="0" xfId="0" applyFont="1"/>
    <xf borderId="31" fillId="0" fontId="24" numFmtId="0" xfId="0" applyAlignment="1" applyBorder="1" applyFont="1">
      <alignment horizontal="left" readingOrder="0"/>
    </xf>
    <xf borderId="32" fillId="0" fontId="24" numFmtId="0" xfId="0" applyAlignment="1" applyBorder="1" applyFont="1">
      <alignment horizontal="left" readingOrder="0"/>
    </xf>
    <xf borderId="32" fillId="0" fontId="102" numFmtId="0" xfId="0" applyAlignment="1" applyBorder="1" applyFont="1">
      <alignment horizontal="left" readingOrder="0"/>
    </xf>
    <xf borderId="33" fillId="0" fontId="24" numFmtId="0" xfId="0" applyAlignment="1" applyBorder="1" applyFont="1">
      <alignment horizontal="right" readingOrder="0"/>
    </xf>
    <xf borderId="0" fillId="0" fontId="107" numFmtId="0" xfId="0" applyAlignment="1" applyFont="1">
      <alignment horizontal="left"/>
    </xf>
    <xf borderId="4" fillId="0" fontId="0" numFmtId="0" xfId="0" applyBorder="1" applyFont="1"/>
    <xf borderId="0" fillId="0" fontId="0" numFmtId="164" xfId="0" applyAlignment="1" applyFont="1" applyNumberFormat="1">
      <alignment horizontal="left"/>
    </xf>
    <xf borderId="0" fillId="0" fontId="37" numFmtId="164" xfId="0" applyAlignment="1" applyFont="1" applyNumberFormat="1">
      <alignment horizontal="right"/>
    </xf>
    <xf borderId="5" fillId="0" fontId="37" numFmtId="10" xfId="0" applyAlignment="1" applyBorder="1" applyFont="1" applyNumberFormat="1">
      <alignment horizontal="right"/>
    </xf>
    <xf borderId="0" fillId="0" fontId="102" numFmtId="0" xfId="0" applyAlignment="1" applyFont="1">
      <alignment horizontal="right"/>
    </xf>
    <xf borderId="0" fillId="0" fontId="103" numFmtId="0" xfId="0" applyFont="1"/>
    <xf borderId="0" fillId="0" fontId="107" numFmtId="164" xfId="0" applyAlignment="1" applyFont="1" applyNumberFormat="1">
      <alignment readingOrder="0"/>
    </xf>
    <xf borderId="34" fillId="19" fontId="24" numFmtId="0" xfId="0" applyAlignment="1" applyBorder="1" applyFont="1">
      <alignment readingOrder="0"/>
    </xf>
    <xf borderId="35" fillId="19" fontId="24" numFmtId="0" xfId="0" applyAlignment="1" applyBorder="1" applyFont="1">
      <alignment horizontal="left"/>
    </xf>
    <xf borderId="35" fillId="19" fontId="24" numFmtId="164" xfId="0" applyAlignment="1" applyBorder="1" applyFont="1" applyNumberFormat="1">
      <alignment horizontal="right"/>
    </xf>
    <xf borderId="36" fillId="19" fontId="24" numFmtId="10" xfId="0" applyAlignment="1" applyBorder="1" applyFont="1" applyNumberFormat="1">
      <alignment horizontal="right"/>
    </xf>
    <xf borderId="0" fillId="0" fontId="102" numFmtId="0" xfId="0" applyAlignment="1" applyFont="1">
      <alignment horizontal="right" readingOrder="0"/>
    </xf>
    <xf borderId="0" fillId="0" fontId="24" numFmtId="0" xfId="0" applyAlignment="1" applyFont="1">
      <alignment readingOrder="0"/>
    </xf>
    <xf borderId="0" fillId="0" fontId="37" numFmtId="0" xfId="0" applyAlignment="1" applyFont="1">
      <alignment horizontal="left"/>
    </xf>
    <xf borderId="28" fillId="0" fontId="108" numFmtId="165" xfId="0" applyAlignment="1" applyBorder="1" applyFont="1" applyNumberFormat="1">
      <alignment readingOrder="0"/>
    </xf>
    <xf borderId="28" fillId="0" fontId="62" numFmtId="165" xfId="0" applyAlignment="1" applyBorder="1" applyFont="1" applyNumberFormat="1">
      <alignment horizontal="right" readingOrder="0"/>
    </xf>
    <xf borderId="28" fillId="0" fontId="62" numFmtId="165" xfId="0" applyAlignment="1" applyBorder="1" applyFont="1" applyNumberFormat="1">
      <alignment horizontal="right"/>
    </xf>
    <xf borderId="28" fillId="0" fontId="109" numFmtId="0" xfId="0" applyAlignment="1" applyBorder="1" applyFont="1">
      <alignment horizontal="center" readingOrder="0"/>
    </xf>
    <xf borderId="0" fillId="0" fontId="109" numFmtId="0" xfId="0" applyAlignment="1" applyFont="1">
      <alignment horizontal="center" readingOrder="0"/>
    </xf>
    <xf borderId="18" fillId="0" fontId="28" numFmtId="0" xfId="0" applyAlignment="1" applyBorder="1" applyFont="1">
      <alignment readingOrder="0"/>
    </xf>
    <xf borderId="18" fillId="0" fontId="110" numFmtId="0" xfId="0" applyBorder="1" applyFont="1"/>
    <xf borderId="18" fillId="0" fontId="110" numFmtId="0" xfId="0" applyAlignment="1" applyBorder="1" applyFont="1">
      <alignment horizontal="left"/>
    </xf>
    <xf borderId="18" fillId="0" fontId="110" numFmtId="0" xfId="0" applyAlignment="1" applyBorder="1" applyFont="1">
      <alignment horizontal="right"/>
    </xf>
    <xf borderId="18" fillId="0" fontId="28" numFmtId="0" xfId="0" applyAlignment="1" applyBorder="1" applyFont="1">
      <alignment horizontal="right"/>
    </xf>
    <xf borderId="18" fillId="0" fontId="111" numFmtId="0" xfId="0" applyAlignment="1" applyBorder="1" applyFont="1">
      <alignment horizontal="right"/>
    </xf>
    <xf borderId="18" fillId="0" fontId="111" numFmtId="164" xfId="0" applyAlignment="1" applyBorder="1" applyFont="1" applyNumberFormat="1">
      <alignment readingOrder="0"/>
    </xf>
    <xf borderId="0" fillId="0" fontId="111" numFmtId="164" xfId="0" applyAlignment="1" applyFont="1" applyNumberFormat="1">
      <alignment readingOrder="0"/>
    </xf>
    <xf borderId="0" fillId="0" fontId="33" numFmtId="0" xfId="0" applyAlignment="1" applyFont="1">
      <alignment readingOrder="0"/>
    </xf>
    <xf borderId="0" fillId="0" fontId="33" numFmtId="165" xfId="0" applyAlignment="1" applyFont="1" applyNumberFormat="1">
      <alignment horizontal="right" readingOrder="0"/>
    </xf>
    <xf borderId="0" fillId="0" fontId="27" numFmtId="165" xfId="0" applyAlignment="1" applyFont="1" applyNumberFormat="1">
      <alignment horizontal="right" readingOrder="0"/>
    </xf>
    <xf borderId="0" fillId="0" fontId="112" numFmtId="9" xfId="0" applyAlignment="1" applyFont="1" applyNumberFormat="1">
      <alignment horizontal="right" readingOrder="0"/>
    </xf>
    <xf borderId="0" fillId="0" fontId="111" numFmtId="0" xfId="0" applyAlignment="1" applyFont="1">
      <alignment horizontal="right"/>
    </xf>
    <xf borderId="0" fillId="0" fontId="113" numFmtId="164" xfId="0" applyAlignment="1" applyFont="1" applyNumberFormat="1">
      <alignment horizontal="right" readingOrder="0"/>
    </xf>
    <xf borderId="0" fillId="0" fontId="33" numFmtId="0" xfId="0" applyAlignment="1" applyFont="1">
      <alignment horizontal="left" readingOrder="0"/>
    </xf>
    <xf borderId="0" fillId="5" fontId="25" numFmtId="0" xfId="0" applyAlignment="1" applyFont="1">
      <alignment horizontal="left" readingOrder="0"/>
    </xf>
    <xf borderId="0" fillId="5" fontId="25" numFmtId="3" xfId="0" applyAlignment="1" applyFont="1" applyNumberFormat="1">
      <alignment horizontal="left" readingOrder="0"/>
    </xf>
    <xf borderId="0" fillId="5" fontId="112" numFmtId="164" xfId="0" applyAlignment="1" applyFont="1" applyNumberFormat="1">
      <alignment horizontal="right" readingOrder="0"/>
    </xf>
    <xf borderId="0" fillId="5" fontId="109" numFmtId="9" xfId="0" applyAlignment="1" applyFont="1" applyNumberFormat="1">
      <alignment horizontal="right" readingOrder="0"/>
    </xf>
    <xf borderId="0" fillId="5" fontId="112" numFmtId="9" xfId="0" applyAlignment="1" applyFont="1" applyNumberFormat="1">
      <alignment horizontal="right" readingOrder="0"/>
    </xf>
    <xf borderId="0" fillId="5" fontId="25" numFmtId="164" xfId="0" applyAlignment="1" applyFont="1" applyNumberFormat="1">
      <alignment horizontal="right" readingOrder="0"/>
    </xf>
    <xf borderId="0" fillId="5" fontId="114" numFmtId="0" xfId="0" applyAlignment="1" applyFont="1">
      <alignment horizontal="center" readingOrder="0"/>
    </xf>
    <xf borderId="0" fillId="0" fontId="25" numFmtId="3" xfId="0" applyAlignment="1" applyFont="1" applyNumberFormat="1">
      <alignment horizontal="left" readingOrder="0"/>
    </xf>
    <xf borderId="0" fillId="0" fontId="112" numFmtId="164" xfId="0" applyAlignment="1" applyFont="1" applyNumberFormat="1">
      <alignment horizontal="right" readingOrder="0"/>
    </xf>
    <xf borderId="0" fillId="0" fontId="109" numFmtId="9" xfId="0" applyAlignment="1" applyFont="1" applyNumberFormat="1">
      <alignment horizontal="right" readingOrder="0"/>
    </xf>
    <xf borderId="0" fillId="0" fontId="114" numFmtId="0" xfId="0" applyAlignment="1" applyFont="1">
      <alignment horizontal="center" readingOrder="0"/>
    </xf>
    <xf borderId="20" fillId="0" fontId="69" numFmtId="0" xfId="0" applyAlignment="1" applyBorder="1" applyFont="1">
      <alignment horizontal="left" readingOrder="0"/>
    </xf>
    <xf borderId="20" fillId="0" fontId="25" numFmtId="3" xfId="0" applyAlignment="1" applyBorder="1" applyFont="1" applyNumberFormat="1">
      <alignment horizontal="left" readingOrder="0"/>
    </xf>
    <xf borderId="20" fillId="0" fontId="25" numFmtId="164" xfId="0" applyAlignment="1" applyBorder="1" applyFont="1" applyNumberFormat="1">
      <alignment horizontal="right" readingOrder="0"/>
    </xf>
    <xf borderId="20" fillId="0" fontId="25" numFmtId="9" xfId="0" applyAlignment="1" applyBorder="1" applyFont="1" applyNumberFormat="1">
      <alignment horizontal="right" readingOrder="0"/>
    </xf>
    <xf borderId="20" fillId="0" fontId="114" numFmtId="0" xfId="0" applyAlignment="1" applyBorder="1" applyFont="1">
      <alignment horizontal="center" readingOrder="0"/>
    </xf>
    <xf borderId="0" fillId="0" fontId="25" numFmtId="3" xfId="0" applyAlignment="1" applyFont="1" applyNumberFormat="1">
      <alignment horizontal="left" readingOrder="0" shrinkToFit="0" wrapText="0"/>
    </xf>
    <xf borderId="0" fillId="0" fontId="25" numFmtId="170" xfId="0" applyAlignment="1" applyFont="1" applyNumberFormat="1">
      <alignment horizontal="left" readingOrder="0"/>
    </xf>
    <xf borderId="0" fillId="3" fontId="0" numFmtId="9" xfId="0" applyAlignment="1" applyFont="1" applyNumberFormat="1">
      <alignment horizontal="right"/>
    </xf>
    <xf borderId="0" fillId="0" fontId="25" numFmtId="9" xfId="0" applyAlignment="1" applyFont="1" applyNumberFormat="1">
      <alignment horizontal="right" readingOrder="0"/>
    </xf>
    <xf borderId="0" fillId="0" fontId="113" numFmtId="171" xfId="0" applyAlignment="1" applyFont="1" applyNumberFormat="1">
      <alignment horizontal="right" readingOrder="0"/>
    </xf>
    <xf borderId="0" fillId="0" fontId="27" numFmtId="3" xfId="0" applyAlignment="1" applyFont="1" applyNumberFormat="1">
      <alignment readingOrder="0"/>
    </xf>
    <xf borderId="0" fillId="0" fontId="113" numFmtId="3" xfId="0" applyAlignment="1" applyFont="1" applyNumberFormat="1">
      <alignment horizontal="right" readingOrder="0"/>
    </xf>
    <xf borderId="0" fillId="0" fontId="25" numFmtId="171" xfId="0" applyAlignment="1" applyFont="1" applyNumberFormat="1">
      <alignment horizontal="left" readingOrder="0"/>
    </xf>
    <xf borderId="0" fillId="0" fontId="25" numFmtId="3" xfId="0" applyAlignment="1" applyFont="1" applyNumberFormat="1">
      <alignment horizontal="right" readingOrder="0"/>
    </xf>
    <xf borderId="0" fillId="0" fontId="105" numFmtId="0" xfId="0" applyAlignment="1" applyFont="1">
      <alignment horizontal="left" readingOrder="0"/>
    </xf>
    <xf borderId="0" fillId="0" fontId="115" numFmtId="3" xfId="0" applyAlignment="1" applyFont="1" applyNumberFormat="1">
      <alignment horizontal="left" readingOrder="0"/>
    </xf>
    <xf borderId="0" fillId="0" fontId="115" numFmtId="170" xfId="0" applyAlignment="1" applyFont="1" applyNumberFormat="1">
      <alignment horizontal="left" readingOrder="0"/>
    </xf>
    <xf borderId="0" fillId="0" fontId="115" numFmtId="164" xfId="0" applyAlignment="1" applyFont="1" applyNumberFormat="1">
      <alignment horizontal="right" readingOrder="0"/>
    </xf>
    <xf borderId="0" fillId="0" fontId="115" numFmtId="165" xfId="0" applyAlignment="1" applyFont="1" applyNumberFormat="1">
      <alignment horizontal="right" readingOrder="0"/>
    </xf>
    <xf borderId="0" fillId="0" fontId="115" numFmtId="9" xfId="0" applyAlignment="1" applyFont="1" applyNumberFormat="1">
      <alignment horizontal="right" readingOrder="0"/>
    </xf>
    <xf borderId="0" fillId="0" fontId="115" numFmtId="3" xfId="0" applyAlignment="1" applyFont="1" applyNumberFormat="1">
      <alignment horizontal="right" readingOrder="0"/>
    </xf>
    <xf borderId="0" fillId="0" fontId="116" numFmtId="0" xfId="0" applyAlignment="1" applyFont="1">
      <alignment horizontal="center" readingOrder="0"/>
    </xf>
    <xf borderId="0" fillId="25" fontId="117" numFmtId="3" xfId="0" applyAlignment="1" applyFill="1" applyFont="1" applyNumberFormat="1">
      <alignment horizontal="right" readingOrder="0"/>
    </xf>
    <xf borderId="0" fillId="0" fontId="112" numFmtId="3" xfId="0" applyAlignment="1" applyFont="1" applyNumberFormat="1">
      <alignment horizontal="left" readingOrder="0"/>
    </xf>
    <xf borderId="0" fillId="0" fontId="25" numFmtId="172" xfId="0" applyAlignment="1" applyFont="1" applyNumberFormat="1">
      <alignment horizontal="left" readingOrder="0"/>
    </xf>
    <xf borderId="0" fillId="5" fontId="69" numFmtId="0" xfId="0" applyAlignment="1" applyFont="1">
      <alignment horizontal="left" readingOrder="0"/>
    </xf>
    <xf borderId="0" fillId="5" fontId="69" numFmtId="3" xfId="0" applyAlignment="1" applyFont="1" applyNumberFormat="1">
      <alignment horizontal="left" readingOrder="0"/>
    </xf>
    <xf borderId="0" fillId="5" fontId="69" numFmtId="164" xfId="0" applyAlignment="1" applyFont="1" applyNumberFormat="1">
      <alignment horizontal="right" readingOrder="0"/>
    </xf>
    <xf borderId="0" fillId="5" fontId="69" numFmtId="9" xfId="0" applyAlignment="1" applyFont="1" applyNumberFormat="1">
      <alignment horizontal="right" readingOrder="0"/>
    </xf>
    <xf borderId="0" fillId="0" fontId="29" numFmtId="0" xfId="0" applyAlignment="1" applyFont="1">
      <alignment horizontal="left" readingOrder="0"/>
    </xf>
    <xf borderId="0" fillId="0" fontId="118" numFmtId="0" xfId="0" applyAlignment="1" applyFont="1">
      <alignment horizontal="center" readingOrder="0"/>
    </xf>
    <xf borderId="20" fillId="0" fontId="112" numFmtId="164" xfId="0" applyAlignment="1" applyBorder="1" applyFont="1" applyNumberFormat="1">
      <alignment horizontal="right" readingOrder="0"/>
    </xf>
    <xf borderId="20" fillId="0" fontId="112" numFmtId="9" xfId="0" applyAlignment="1" applyBorder="1" applyFont="1" applyNumberFormat="1">
      <alignment horizontal="right" readingOrder="0"/>
    </xf>
    <xf borderId="0" fillId="0" fontId="33" numFmtId="10" xfId="0" applyAlignment="1" applyFont="1" applyNumberFormat="1">
      <alignment horizontal="right" readingOrder="0"/>
    </xf>
    <xf borderId="0" fillId="0" fontId="25" numFmtId="0" xfId="0" applyAlignment="1" applyFont="1">
      <alignment horizontal="center" readingOrder="0"/>
    </xf>
    <xf borderId="0" fillId="0" fontId="119" numFmtId="0" xfId="0" applyAlignment="1" applyFont="1">
      <alignment readingOrder="0"/>
    </xf>
    <xf borderId="0" fillId="0" fontId="120" numFmtId="3" xfId="0" applyAlignment="1" applyFont="1" applyNumberFormat="1">
      <alignment horizontal="left" readingOrder="0"/>
    </xf>
    <xf borderId="0" fillId="0" fontId="121" numFmtId="165" xfId="0" applyAlignment="1" applyFont="1" applyNumberFormat="1">
      <alignment horizontal="right" readingOrder="0"/>
    </xf>
    <xf borderId="0" fillId="0" fontId="120" numFmtId="164" xfId="0" applyAlignment="1" applyFont="1" applyNumberFormat="1">
      <alignment horizontal="right" readingOrder="0"/>
    </xf>
    <xf borderId="0" fillId="3" fontId="122" numFmtId="9" xfId="0" applyAlignment="1" applyFont="1" applyNumberFormat="1">
      <alignment horizontal="right"/>
    </xf>
    <xf borderId="0" fillId="0" fontId="121" numFmtId="9" xfId="0" applyAlignment="1" applyFont="1" applyNumberFormat="1">
      <alignment horizontal="right" readingOrder="0"/>
    </xf>
    <xf borderId="0" fillId="0" fontId="121" numFmtId="164" xfId="0" applyAlignment="1" applyFont="1" applyNumberFormat="1">
      <alignment horizontal="right" readingOrder="0"/>
    </xf>
    <xf borderId="0" fillId="0" fontId="120" numFmtId="0" xfId="0" applyAlignment="1" applyFont="1">
      <alignment horizontal="center" readingOrder="0"/>
    </xf>
    <xf borderId="0" fillId="5" fontId="109" numFmtId="10" xfId="0" applyAlignment="1" applyFont="1" applyNumberFormat="1">
      <alignment horizontal="right" readingOrder="0"/>
    </xf>
    <xf borderId="0" fillId="0" fontId="69" numFmtId="164" xfId="0" applyAlignment="1" applyFont="1" applyNumberFormat="1">
      <alignment horizontal="right" readingOrder="0"/>
    </xf>
    <xf borderId="0" fillId="0" fontId="27" numFmtId="0" xfId="0" applyAlignment="1" applyFont="1">
      <alignment readingOrder="0"/>
    </xf>
    <xf borderId="0" fillId="0" fontId="123" numFmtId="164" xfId="0" applyAlignment="1" applyFont="1" applyNumberFormat="1">
      <alignment horizontal="right" readingOrder="0"/>
    </xf>
    <xf borderId="0" fillId="0" fontId="124" numFmtId="0" xfId="0" applyAlignment="1" applyFont="1">
      <alignment readingOrder="0"/>
    </xf>
    <xf borderId="0" fillId="0" fontId="110" numFmtId="0" xfId="0" applyFont="1"/>
    <xf borderId="0" fillId="0" fontId="110" numFmtId="0" xfId="0" applyAlignment="1" applyFont="1">
      <alignment horizontal="left"/>
    </xf>
    <xf borderId="0" fillId="0" fontId="110" numFmtId="0" xfId="0" applyAlignment="1" applyFont="1">
      <alignment horizontal="right"/>
    </xf>
    <xf borderId="0" fillId="0" fontId="28" numFmtId="0" xfId="0" applyAlignment="1" applyFont="1">
      <alignment horizontal="right"/>
    </xf>
    <xf borderId="0" fillId="0" fontId="33" numFmtId="164" xfId="0" applyAlignment="1" applyFont="1" applyNumberFormat="1">
      <alignment horizontal="right" readingOrder="0"/>
    </xf>
    <xf borderId="0" fillId="0" fontId="27" numFmtId="0" xfId="0" applyAlignment="1" applyFont="1">
      <alignment horizontal="right"/>
    </xf>
    <xf borderId="0" fillId="0" fontId="125" numFmtId="164" xfId="0" applyAlignment="1" applyFont="1" applyNumberFormat="1">
      <alignment horizontal="right" readingOrder="0"/>
    </xf>
    <xf borderId="0" fillId="0" fontId="33" numFmtId="0" xfId="0" applyAlignment="1" applyFont="1">
      <alignment horizontal="left"/>
    </xf>
    <xf borderId="0" fillId="0" fontId="33" numFmtId="0" xfId="0" applyAlignment="1" applyFont="1">
      <alignment horizontal="right"/>
    </xf>
    <xf borderId="0" fillId="0" fontId="119" numFmtId="0" xfId="0" applyAlignment="1" applyFont="1">
      <alignment horizontal="right"/>
    </xf>
    <xf borderId="0" fillId="0" fontId="119" numFmtId="0" xfId="0" applyFont="1"/>
    <xf borderId="7" fillId="0" fontId="110" numFmtId="0" xfId="0" applyAlignment="1" applyBorder="1" applyFont="1">
      <alignment horizontal="left" readingOrder="0"/>
    </xf>
    <xf borderId="7" fillId="0" fontId="28" numFmtId="0" xfId="0" applyAlignment="1" applyBorder="1" applyFont="1">
      <alignment horizontal="left" readingOrder="0"/>
    </xf>
    <xf borderId="7" fillId="0" fontId="110" numFmtId="0" xfId="0" applyAlignment="1" applyBorder="1" applyFont="1">
      <alignment horizontal="right" readingOrder="0"/>
    </xf>
    <xf borderId="0" fillId="0" fontId="119" numFmtId="0" xfId="0" applyAlignment="1" applyFont="1">
      <alignment horizontal="left"/>
    </xf>
    <xf borderId="0" fillId="0" fontId="33" numFmtId="164" xfId="0" applyAlignment="1" applyFont="1" applyNumberFormat="1">
      <alignment horizontal="left"/>
    </xf>
    <xf borderId="0" fillId="0" fontId="27" numFmtId="164" xfId="0" applyAlignment="1" applyFont="1" applyNumberFormat="1">
      <alignment horizontal="right"/>
    </xf>
    <xf borderId="0" fillId="0" fontId="27" numFmtId="10" xfId="0" applyAlignment="1" applyFont="1" applyNumberFormat="1">
      <alignment horizontal="right"/>
    </xf>
    <xf borderId="0" fillId="0" fontId="33" numFmtId="164" xfId="0" applyAlignment="1" applyFont="1" applyNumberFormat="1">
      <alignment horizontal="left" readingOrder="0"/>
    </xf>
    <xf borderId="0" fillId="0" fontId="111" numFmtId="0" xfId="0" applyFont="1"/>
    <xf borderId="0" fillId="0" fontId="119" numFmtId="164" xfId="0" applyAlignment="1" applyFont="1" applyNumberFormat="1">
      <alignment readingOrder="0"/>
    </xf>
    <xf borderId="29" fillId="19" fontId="110" numFmtId="0" xfId="0" applyAlignment="1" applyBorder="1" applyFont="1">
      <alignment readingOrder="0"/>
    </xf>
    <xf borderId="29" fillId="19" fontId="110" numFmtId="0" xfId="0" applyAlignment="1" applyBorder="1" applyFont="1">
      <alignment horizontal="left"/>
    </xf>
    <xf borderId="29" fillId="19" fontId="110" numFmtId="164" xfId="0" applyAlignment="1" applyBorder="1" applyFont="1" applyNumberFormat="1">
      <alignment horizontal="left"/>
    </xf>
    <xf borderId="29" fillId="19" fontId="110" numFmtId="10" xfId="0" applyAlignment="1" applyBorder="1" applyFont="1" applyNumberFormat="1">
      <alignment horizontal="left"/>
    </xf>
    <xf borderId="0" fillId="0" fontId="110" numFmtId="0" xfId="0" applyAlignment="1" applyFont="1">
      <alignment readingOrder="0"/>
    </xf>
    <xf borderId="0" fillId="0" fontId="27" numFmtId="0" xfId="0" applyAlignment="1" applyFont="1">
      <alignment horizontal="left"/>
    </xf>
    <xf borderId="0" fillId="0" fontId="119" numFmtId="0" xfId="0" applyAlignment="1" applyFont="1">
      <alignment horizontal="right" readingOrder="0"/>
    </xf>
    <xf borderId="0" fillId="0" fontId="27" numFmtId="164" xfId="0" applyAlignment="1" applyFont="1" applyNumberFormat="1">
      <alignment horizontal="right" readingOrder="0"/>
    </xf>
    <xf borderId="0" fillId="0" fontId="33" numFmtId="0" xfId="0" applyAlignment="1" applyFont="1">
      <alignment horizontal="left" readingOrder="0"/>
    </xf>
    <xf borderId="7" fillId="0" fontId="33" numFmtId="0" xfId="0" applyBorder="1" applyFont="1"/>
    <xf borderId="7" fillId="0" fontId="27" numFmtId="0" xfId="0" applyAlignment="1" applyBorder="1" applyFont="1">
      <alignment horizontal="left"/>
    </xf>
    <xf borderId="7" fillId="0" fontId="119" numFmtId="0" xfId="0" applyAlignment="1" applyBorder="1" applyFont="1">
      <alignment horizontal="right"/>
    </xf>
    <xf borderId="7" fillId="0" fontId="27" numFmtId="0" xfId="0" applyAlignment="1" applyBorder="1" applyFont="1">
      <alignment horizontal="right"/>
    </xf>
    <xf borderId="0" fillId="0" fontId="27" numFmtId="0" xfId="0" applyAlignment="1" applyFont="1">
      <alignment horizontal="left" readingOrder="0"/>
    </xf>
    <xf borderId="0" fillId="0" fontId="33" numFmtId="0" xfId="0" applyAlignment="1" applyFont="1">
      <alignment horizontal="right" readingOrder="0"/>
    </xf>
    <xf borderId="0" fillId="0" fontId="126" numFmtId="0" xfId="0" applyAlignment="1" applyFont="1">
      <alignment readingOrder="0"/>
    </xf>
    <xf borderId="0" fillId="0" fontId="27" numFmtId="0" xfId="0" applyAlignment="1" applyFont="1">
      <alignment horizontal="right" readingOrder="0"/>
    </xf>
    <xf borderId="0" fillId="0" fontId="119" numFmtId="9" xfId="0" applyAlignment="1" applyFont="1" applyNumberFormat="1">
      <alignment horizontal="right" readingOrder="0"/>
    </xf>
    <xf borderId="0" fillId="0" fontId="33" numFmtId="165" xfId="0" applyAlignment="1" applyFont="1" applyNumberFormat="1">
      <alignment readingOrder="0"/>
    </xf>
    <xf borderId="0" fillId="26" fontId="0" numFmtId="168" xfId="0" applyAlignment="1" applyFill="1" applyFont="1" applyNumberFormat="1">
      <alignment horizontal="right" readingOrder="0" shrinkToFit="0" vertical="bottom" wrapText="0"/>
    </xf>
    <xf borderId="11" fillId="26" fontId="0" numFmtId="168" xfId="0" applyAlignment="1" applyBorder="1" applyFont="1" applyNumberFormat="1">
      <alignment horizontal="right" readingOrder="0" shrinkToFit="0" vertical="bottom" wrapText="0"/>
    </xf>
    <xf borderId="11" fillId="18" fontId="0" numFmtId="168" xfId="0" applyAlignment="1" applyBorder="1" applyFont="1" applyNumberFormat="1">
      <alignment horizontal="right" readingOrder="0" shrinkToFit="0" vertical="bottom" wrapText="0"/>
    </xf>
    <xf borderId="0" fillId="4" fontId="0" numFmtId="168" xfId="0" applyAlignment="1" applyFont="1" applyNumberFormat="1">
      <alignment horizontal="right" readingOrder="0" shrinkToFit="0" vertical="bottom" wrapText="0"/>
    </xf>
    <xf borderId="11" fillId="0" fontId="35" numFmtId="168" xfId="0" applyAlignment="1" applyBorder="1" applyFont="1" applyNumberFormat="1">
      <alignment horizontal="right" readingOrder="0" shrinkToFit="0" vertical="bottom" wrapText="0"/>
    </xf>
    <xf borderId="0" fillId="21" fontId="0" numFmtId="168" xfId="0" applyAlignment="1" applyFont="1" applyNumberFormat="1">
      <alignment horizontal="right" readingOrder="0" shrinkToFit="0" vertical="bottom" wrapText="0"/>
    </xf>
    <xf borderId="0" fillId="21" fontId="29" numFmtId="168" xfId="0" applyAlignment="1" applyFont="1" applyNumberFormat="1">
      <alignment horizontal="right" shrinkToFit="0" vertical="bottom" wrapText="0"/>
    </xf>
    <xf borderId="11" fillId="21" fontId="29" numFmtId="168" xfId="0" applyAlignment="1" applyBorder="1" applyFont="1" applyNumberFormat="1">
      <alignment horizontal="right" shrinkToFit="0" vertical="bottom" wrapText="0"/>
    </xf>
    <xf borderId="0" fillId="21" fontId="29" numFmtId="168" xfId="0" applyAlignment="1" applyFont="1" applyNumberFormat="1">
      <alignment horizontal="right" readingOrder="0" shrinkToFit="0" vertical="bottom" wrapText="0"/>
    </xf>
    <xf borderId="11" fillId="21" fontId="29" numFmtId="168" xfId="0" applyAlignment="1" applyBorder="1" applyFont="1" applyNumberFormat="1">
      <alignment horizontal="right" readingOrder="0" shrinkToFit="0" vertical="bottom" wrapText="0"/>
    </xf>
    <xf borderId="0" fillId="0" fontId="41" numFmtId="168" xfId="0" applyAlignment="1" applyFont="1" applyNumberFormat="1">
      <alignment horizontal="right" readingOrder="0" shrinkToFit="0" vertical="bottom" wrapText="0"/>
    </xf>
    <xf borderId="0" fillId="0" fontId="127" numFmtId="168" xfId="0" applyAlignment="1" applyFont="1" applyNumberFormat="1">
      <alignment readingOrder="0" vertical="bottom"/>
    </xf>
    <xf borderId="0" fillId="26" fontId="35" numFmtId="168" xfId="0" applyAlignment="1" applyFont="1" applyNumberFormat="1">
      <alignment horizontal="right" readingOrder="0" shrinkToFit="0" vertical="bottom" wrapText="0"/>
    </xf>
    <xf borderId="0" fillId="18" fontId="35" numFmtId="168" xfId="0" applyAlignment="1" applyFont="1" applyNumberFormat="1">
      <alignment horizontal="right" readingOrder="0" shrinkToFit="0" vertical="bottom" wrapText="0"/>
    </xf>
    <xf borderId="0" fillId="18" fontId="0" numFmtId="168" xfId="0" applyAlignment="1" applyFont="1" applyNumberFormat="1">
      <alignment readingOrder="0"/>
    </xf>
    <xf borderId="0" fillId="0" fontId="128" numFmtId="168" xfId="0" applyAlignment="1" applyFont="1" applyNumberFormat="1">
      <alignment readingOrder="0" shrinkToFit="0" vertical="bottom" wrapText="0"/>
    </xf>
    <xf borderId="13" fillId="0" fontId="24" numFmtId="168" xfId="0" applyAlignment="1" applyBorder="1" applyFont="1" applyNumberFormat="1">
      <alignment horizontal="left" readingOrder="0" shrinkToFit="0" wrapText="0"/>
    </xf>
    <xf borderId="13" fillId="0" fontId="24" numFmtId="168" xfId="0" applyAlignment="1" applyBorder="1" applyFont="1" applyNumberFormat="1">
      <alignment horizontal="left" readingOrder="0"/>
    </xf>
    <xf borderId="14" fillId="0" fontId="0" numFmtId="168" xfId="0" applyBorder="1" applyFont="1" applyNumberFormat="1"/>
    <xf borderId="13" fillId="0" fontId="0" numFmtId="9" xfId="0" applyBorder="1" applyFont="1" applyNumberFormat="1"/>
    <xf borderId="14" fillId="0" fontId="0" numFmtId="9" xfId="0" applyBorder="1" applyFont="1" applyNumberFormat="1"/>
    <xf borderId="0" fillId="0" fontId="24" numFmtId="168" xfId="0" applyAlignment="1" applyFont="1" applyNumberFormat="1">
      <alignment vertical="bottom"/>
    </xf>
    <xf borderId="11" fillId="0" fontId="24" numFmtId="168" xfId="0" applyAlignment="1" applyBorder="1" applyFont="1" applyNumberFormat="1">
      <alignment vertical="bottom"/>
    </xf>
    <xf borderId="0" fillId="0" fontId="24" numFmtId="168" xfId="0" applyAlignment="1" applyFont="1" applyNumberFormat="1">
      <alignment horizontal="left" readingOrder="0"/>
    </xf>
    <xf borderId="0" fillId="0" fontId="24" numFmtId="168" xfId="0" applyFont="1" applyNumberFormat="1"/>
    <xf borderId="11" fillId="0" fontId="24" numFmtId="168" xfId="0" applyBorder="1" applyFont="1" applyNumberFormat="1"/>
    <xf borderId="9" fillId="0" fontId="129" numFmtId="0" xfId="0" applyAlignment="1" applyBorder="1" applyFont="1">
      <alignment horizontal="center" readingOrder="0"/>
    </xf>
    <xf borderId="9" fillId="0" fontId="129" numFmtId="0" xfId="0" applyAlignment="1" applyBorder="1" applyFont="1">
      <alignment horizontal="left" readingOrder="0"/>
    </xf>
    <xf borderId="0" fillId="0" fontId="130" numFmtId="0" xfId="0" applyAlignment="1" applyFont="1">
      <alignment readingOrder="0"/>
    </xf>
    <xf borderId="0" fillId="0" fontId="130" numFmtId="0" xfId="0" applyAlignment="1" applyFont="1">
      <alignment horizontal="center" readingOrder="0"/>
    </xf>
    <xf borderId="0" fillId="0" fontId="131" numFmtId="166" xfId="0" applyAlignment="1" applyFont="1" applyNumberFormat="1">
      <alignment horizontal="center" readingOrder="0"/>
    </xf>
    <xf borderId="0" fillId="25" fontId="132" numFmtId="0" xfId="0" applyAlignment="1" applyFont="1">
      <alignment horizontal="center" readingOrder="0"/>
    </xf>
    <xf borderId="0" fillId="0" fontId="133" numFmtId="0" xfId="0" applyAlignment="1" applyFont="1">
      <alignment horizontal="left" readingOrder="0"/>
    </xf>
    <xf borderId="0" fillId="3" fontId="134" numFmtId="0" xfId="0" applyAlignment="1" applyFont="1">
      <alignment readingOrder="0" shrinkToFit="0" vertical="bottom" wrapText="1"/>
    </xf>
    <xf borderId="0" fillId="0" fontId="131" numFmtId="0" xfId="0" applyAlignment="1" applyFont="1">
      <alignment horizontal="center" readingOrder="0"/>
    </xf>
    <xf borderId="0" fillId="0" fontId="135" numFmtId="0" xfId="0" applyAlignment="1" applyFont="1">
      <alignment horizontal="left" readingOrder="0"/>
    </xf>
    <xf borderId="0" fillId="0" fontId="131" numFmtId="0" xfId="0" applyAlignment="1" applyFont="1">
      <alignment readingOrder="0"/>
    </xf>
    <xf borderId="0" fillId="0" fontId="134" numFmtId="0" xfId="0" applyAlignment="1" applyFont="1">
      <alignment readingOrder="0" vertical="bottom"/>
    </xf>
    <xf borderId="0" fillId="0" fontId="130" numFmtId="166" xfId="0" applyAlignment="1" applyFont="1" applyNumberFormat="1">
      <alignment horizontal="center" readingOrder="0"/>
    </xf>
    <xf borderId="0" fillId="0" fontId="136" numFmtId="0" xfId="0" applyAlignment="1" applyFont="1">
      <alignment readingOrder="0" vertical="bottom"/>
    </xf>
    <xf borderId="0" fillId="0" fontId="137" numFmtId="0" xfId="0" applyAlignment="1" applyFont="1">
      <alignment horizontal="center" readingOrder="0"/>
    </xf>
    <xf borderId="0" fillId="0" fontId="137" numFmtId="166" xfId="0" applyAlignment="1" applyFont="1" applyNumberFormat="1">
      <alignment horizontal="center" readingOrder="0"/>
    </xf>
    <xf borderId="0" fillId="23" fontId="138" numFmtId="0" xfId="0" applyAlignment="1" applyFont="1">
      <alignment horizontal="center" readingOrder="0"/>
    </xf>
    <xf borderId="0" fillId="0" fontId="137" numFmtId="0" xfId="0" applyAlignment="1" applyFont="1">
      <alignment horizontal="left" readingOrder="0"/>
    </xf>
    <xf borderId="0" fillId="0" fontId="137" numFmtId="0" xfId="0" applyAlignment="1" applyFont="1">
      <alignment readingOrder="0"/>
    </xf>
    <xf borderId="0" fillId="27" fontId="138" numFmtId="0" xfId="0" applyAlignment="1" applyFill="1" applyFont="1">
      <alignment horizontal="center" readingOrder="0"/>
    </xf>
    <xf borderId="0" fillId="0" fontId="129" numFmtId="0" xfId="0" applyAlignment="1" applyFont="1">
      <alignment horizontal="left" readingOrder="0"/>
    </xf>
    <xf borderId="28" fillId="0" fontId="136" numFmtId="0" xfId="0" applyAlignment="1" applyBorder="1" applyFont="1">
      <alignment readingOrder="0" vertical="bottom"/>
    </xf>
    <xf borderId="28" fillId="0" fontId="137" numFmtId="0" xfId="0" applyAlignment="1" applyBorder="1" applyFont="1">
      <alignment horizontal="center" readingOrder="0"/>
    </xf>
    <xf borderId="28" fillId="0" fontId="137" numFmtId="166" xfId="0" applyAlignment="1" applyBorder="1" applyFont="1" applyNumberFormat="1">
      <alignment horizontal="center" readingOrder="0"/>
    </xf>
    <xf borderId="28" fillId="27" fontId="139" numFmtId="0" xfId="0" applyAlignment="1" applyBorder="1" applyFont="1">
      <alignment horizontal="center" vertical="bottom"/>
    </xf>
    <xf borderId="28" fillId="0" fontId="129" numFmtId="0" xfId="0" applyAlignment="1" applyBorder="1" applyFont="1">
      <alignment horizontal="left" readingOrder="0"/>
    </xf>
    <xf borderId="0" fillId="0" fontId="140" numFmtId="0" xfId="0" applyAlignment="1" applyFont="1">
      <alignment readingOrder="0" vertical="bottom"/>
    </xf>
    <xf borderId="0" fillId="0" fontId="141" numFmtId="0" xfId="0" applyAlignment="1" applyFont="1">
      <alignment horizontal="center" readingOrder="0"/>
    </xf>
    <xf borderId="0" fillId="0" fontId="140" numFmtId="166" xfId="0" applyAlignment="1" applyFont="1" applyNumberFormat="1">
      <alignment horizontal="center" readingOrder="0" vertical="bottom"/>
    </xf>
    <xf borderId="0" fillId="0" fontId="142" numFmtId="0" xfId="0" applyAlignment="1" applyFont="1">
      <alignment horizontal="left" readingOrder="0"/>
    </xf>
    <xf borderId="0" fillId="28" fontId="138" numFmtId="0" xfId="0" applyAlignment="1" applyFill="1" applyFont="1">
      <alignment horizontal="center" readingOrder="0"/>
    </xf>
    <xf borderId="0" fillId="0" fontId="140" numFmtId="173" xfId="0" applyAlignment="1" applyFont="1" applyNumberFormat="1">
      <alignment vertical="bottom"/>
    </xf>
    <xf borderId="0" fillId="0" fontId="140" numFmtId="173" xfId="0" applyAlignment="1" applyFont="1" applyNumberFormat="1">
      <alignment horizontal="left" vertical="bottom"/>
    </xf>
    <xf borderId="0" fillId="0" fontId="141" numFmtId="0" xfId="0" applyAlignment="1" applyFont="1">
      <alignment readingOrder="0"/>
    </xf>
    <xf borderId="0" fillId="0" fontId="112" numFmtId="0" xfId="0" applyAlignment="1" applyFont="1">
      <alignment horizontal="left" readingOrder="0"/>
    </xf>
    <xf borderId="28" fillId="0" fontId="141" numFmtId="0" xfId="0" applyAlignment="1" applyBorder="1" applyFont="1">
      <alignment readingOrder="0"/>
    </xf>
    <xf borderId="28" fillId="0" fontId="141" numFmtId="0" xfId="0" applyAlignment="1" applyBorder="1" applyFont="1">
      <alignment horizontal="center" readingOrder="0"/>
    </xf>
    <xf borderId="28" fillId="0" fontId="140" numFmtId="166" xfId="0" applyAlignment="1" applyBorder="1" applyFont="1" applyNumberFormat="1">
      <alignment horizontal="center" readingOrder="0" vertical="bottom"/>
    </xf>
    <xf borderId="28" fillId="27" fontId="138" numFmtId="0" xfId="0" applyAlignment="1" applyBorder="1" applyFont="1">
      <alignment horizontal="center" readingOrder="0"/>
    </xf>
    <xf borderId="28" fillId="0" fontId="112" numFmtId="0" xfId="0" applyAlignment="1" applyBorder="1" applyFont="1">
      <alignment horizontal="left" readingOrder="0"/>
    </xf>
    <xf borderId="0" fillId="0" fontId="143" numFmtId="0" xfId="0" applyAlignment="1" applyFont="1">
      <alignment vertical="bottom"/>
    </xf>
    <xf borderId="0" fillId="18" fontId="112" numFmtId="0" xfId="0" applyAlignment="1" applyFont="1">
      <alignment horizontal="left" readingOrder="0"/>
    </xf>
    <xf borderId="0" fillId="0" fontId="144" numFmtId="0" xfId="0" applyAlignment="1" applyFont="1">
      <alignment readingOrder="0" vertical="bottom"/>
    </xf>
    <xf borderId="0" fillId="0" fontId="121" numFmtId="0" xfId="0" applyAlignment="1" applyFont="1">
      <alignment horizontal="center" readingOrder="0"/>
    </xf>
    <xf borderId="0" fillId="0" fontId="121" numFmtId="166" xfId="0" applyAlignment="1" applyFont="1" applyNumberFormat="1">
      <alignment horizontal="center" readingOrder="0"/>
    </xf>
    <xf borderId="0" fillId="0" fontId="145" numFmtId="173" xfId="0" applyAlignment="1" applyFont="1" applyNumberFormat="1">
      <alignment horizontal="left" readingOrder="0" vertical="bottom"/>
    </xf>
    <xf borderId="0" fillId="0" fontId="121" numFmtId="0" xfId="0" applyAlignment="1" applyFont="1">
      <alignment readingOrder="0"/>
    </xf>
    <xf borderId="0" fillId="0" fontId="109" numFmtId="0" xfId="0" applyAlignment="1" applyFont="1">
      <alignment horizontal="left" readingOrder="0"/>
    </xf>
    <xf borderId="0" fillId="0" fontId="118" numFmtId="0" xfId="0" applyAlignment="1" applyFont="1">
      <alignment horizontal="left" readingOrder="0"/>
    </xf>
    <xf borderId="0" fillId="0" fontId="144" numFmtId="173" xfId="0" applyAlignment="1" applyFont="1" applyNumberFormat="1">
      <alignment horizontal="left" readingOrder="0" vertical="bottom"/>
    </xf>
    <xf borderId="0" fillId="0" fontId="121" numFmtId="0" xfId="0" applyFont="1"/>
    <xf borderId="28" fillId="0" fontId="144" numFmtId="0" xfId="0" applyAlignment="1" applyBorder="1" applyFont="1">
      <alignment readingOrder="0" vertical="bottom"/>
    </xf>
    <xf borderId="28" fillId="0" fontId="121" numFmtId="0" xfId="0" applyAlignment="1" applyBorder="1" applyFont="1">
      <alignment horizontal="center" readingOrder="0"/>
    </xf>
    <xf borderId="28" fillId="0" fontId="121" numFmtId="166" xfId="0" applyAlignment="1" applyBorder="1" applyFont="1" applyNumberFormat="1">
      <alignment horizontal="center" readingOrder="0"/>
    </xf>
    <xf borderId="28" fillId="0" fontId="144" numFmtId="173" xfId="0" applyAlignment="1" applyBorder="1" applyFont="1" applyNumberFormat="1">
      <alignment horizontal="left" vertical="bottom"/>
    </xf>
    <xf borderId="0" fillId="0" fontId="144" numFmtId="173" xfId="0" applyAlignment="1" applyFont="1" applyNumberFormat="1">
      <alignment horizontal="left" vertical="bottom"/>
    </xf>
    <xf borderId="0" fillId="0" fontId="137" numFmtId="0" xfId="0" applyFont="1"/>
    <xf borderId="9" fillId="0" fontId="28" numFmtId="0" xfId="0" applyAlignment="1" applyBorder="1" applyFont="1">
      <alignment horizontal="center" readingOrder="0"/>
    </xf>
    <xf borderId="9" fillId="0" fontId="27" numFmtId="0" xfId="0" applyBorder="1" applyFont="1"/>
    <xf borderId="9" fillId="0" fontId="28" numFmtId="0" xfId="0" applyAlignment="1" applyBorder="1" applyFont="1">
      <alignment horizontal="center"/>
    </xf>
    <xf borderId="0" fillId="19" fontId="28" numFmtId="0" xfId="0" applyAlignment="1" applyFont="1">
      <alignment horizontal="center" readingOrder="0"/>
    </xf>
    <xf borderId="0" fillId="19" fontId="146" numFmtId="0" xfId="0" applyAlignment="1" applyFont="1">
      <alignment horizontal="center" readingOrder="0"/>
    </xf>
    <xf borderId="0" fillId="19" fontId="28" numFmtId="0" xfId="0" applyAlignment="1" applyFont="1">
      <alignment horizontal="center"/>
    </xf>
    <xf borderId="0" fillId="0" fontId="147" numFmtId="0" xfId="0" applyAlignment="1" applyFont="1">
      <alignment horizontal="left" readingOrder="0" vertical="center"/>
    </xf>
    <xf borderId="0" fillId="0" fontId="148" numFmtId="0" xfId="0" applyAlignment="1" applyFont="1">
      <alignment vertical="center"/>
    </xf>
    <xf borderId="0" fillId="0" fontId="149" numFmtId="0" xfId="0" applyAlignment="1" applyFont="1">
      <alignment readingOrder="0" vertical="bottom"/>
    </xf>
    <xf borderId="0" fillId="0" fontId="150" numFmtId="0" xfId="0" applyAlignment="1" applyFont="1">
      <alignment vertical="center"/>
    </xf>
    <xf borderId="0" fillId="0" fontId="151" numFmtId="164" xfId="0" applyAlignment="1" applyFont="1" applyNumberFormat="1">
      <alignment horizontal="right" readingOrder="0" vertical="center"/>
    </xf>
    <xf borderId="0" fillId="0" fontId="152" numFmtId="0" xfId="0" applyAlignment="1" applyFont="1">
      <alignment readingOrder="0" vertical="center"/>
    </xf>
    <xf borderId="0" fillId="0" fontId="153" numFmtId="0" xfId="0" applyAlignment="1" applyFont="1">
      <alignment vertical="center"/>
    </xf>
    <xf borderId="0" fillId="0" fontId="149" numFmtId="164" xfId="0" applyAlignment="1" applyFont="1" applyNumberFormat="1">
      <alignment readingOrder="0" vertical="center"/>
    </xf>
    <xf borderId="0" fillId="0" fontId="154" numFmtId="0" xfId="0" applyAlignment="1" applyFont="1">
      <alignment vertical="center"/>
    </xf>
    <xf borderId="0" fillId="16" fontId="154" numFmtId="0" xfId="0" applyAlignment="1" applyFont="1">
      <alignment horizontal="center" vertical="center"/>
    </xf>
    <xf borderId="0" fillId="0" fontId="155" numFmtId="174" xfId="0" applyAlignment="1" applyFont="1" applyNumberFormat="1">
      <alignment vertical="center"/>
    </xf>
    <xf borderId="0" fillId="12" fontId="156" numFmtId="0" xfId="0" applyAlignment="1" applyFont="1">
      <alignment readingOrder="0" vertical="center"/>
    </xf>
    <xf borderId="0" fillId="29" fontId="157" numFmtId="164" xfId="0" applyAlignment="1" applyFill="1" applyFont="1" applyNumberFormat="1">
      <alignment horizontal="left" readingOrder="0" vertical="center"/>
    </xf>
    <xf borderId="0" fillId="0" fontId="155" numFmtId="0" xfId="0" applyAlignment="1" applyFont="1">
      <alignment horizontal="center" readingOrder="0" vertical="center"/>
    </xf>
    <xf borderId="0" fillId="0" fontId="155" numFmtId="0" xfId="0" applyFont="1"/>
    <xf borderId="0" fillId="0" fontId="155" numFmtId="0" xfId="0" applyAlignment="1" applyFont="1">
      <alignment horizontal="center" vertical="center"/>
    </xf>
    <xf borderId="0" fillId="0" fontId="155" numFmtId="164" xfId="0" applyAlignment="1" applyFont="1" applyNumberFormat="1">
      <alignment horizontal="center" readingOrder="0" vertical="center"/>
    </xf>
    <xf borderId="0" fillId="0" fontId="155" numFmtId="164" xfId="0" applyAlignment="1" applyFont="1" applyNumberFormat="1">
      <alignment horizontal="left" readingOrder="0" vertical="center"/>
    </xf>
    <xf borderId="0" fillId="16" fontId="157" numFmtId="0" xfId="0" applyAlignment="1" applyFont="1">
      <alignment horizontal="center" vertical="center"/>
    </xf>
    <xf borderId="0" fillId="0" fontId="156" numFmtId="164" xfId="0" applyAlignment="1" applyFont="1" applyNumberFormat="1">
      <alignment horizontal="left" readingOrder="0" shrinkToFit="0" vertical="center" wrapText="0"/>
    </xf>
    <xf borderId="0" fillId="0" fontId="155" numFmtId="164" xfId="0" applyAlignment="1" applyFont="1" applyNumberFormat="1">
      <alignment horizontal="right" vertical="center"/>
    </xf>
    <xf borderId="0" fillId="0" fontId="157" numFmtId="0" xfId="0" applyAlignment="1" applyFont="1">
      <alignment vertical="center"/>
    </xf>
    <xf borderId="0" fillId="0" fontId="157" numFmtId="0" xfId="0" applyAlignment="1" applyFont="1">
      <alignment horizontal="center" vertical="center"/>
    </xf>
    <xf borderId="0" fillId="30" fontId="158" numFmtId="0" xfId="0" applyAlignment="1" applyFill="1" applyFont="1">
      <alignment readingOrder="0" vertical="center"/>
    </xf>
    <xf borderId="37" fillId="0" fontId="159" numFmtId="164" xfId="0" applyAlignment="1" applyBorder="1" applyFont="1" applyNumberFormat="1">
      <alignment horizontal="center" readingOrder="0" vertical="center"/>
    </xf>
    <xf borderId="0" fillId="30" fontId="160" numFmtId="0" xfId="0" applyAlignment="1" applyFont="1">
      <alignment readingOrder="0" vertical="center"/>
    </xf>
    <xf borderId="0" fillId="0" fontId="149" numFmtId="164" xfId="0" applyAlignment="1" applyFont="1" applyNumberFormat="1">
      <alignment horizontal="center" readingOrder="0" vertical="center"/>
    </xf>
    <xf borderId="0" fillId="0" fontId="153" numFmtId="164" xfId="0" applyAlignment="1" applyFont="1" applyNumberFormat="1">
      <alignment horizontal="right" vertical="center"/>
    </xf>
    <xf borderId="38" fillId="31" fontId="161" numFmtId="0" xfId="0" applyAlignment="1" applyBorder="1" applyFill="1" applyFont="1">
      <alignment horizontal="left" readingOrder="0" vertical="center"/>
    </xf>
    <xf borderId="39" fillId="0" fontId="27" numFmtId="0" xfId="0" applyBorder="1" applyFont="1"/>
    <xf borderId="39" fillId="31" fontId="162" numFmtId="164" xfId="0" applyAlignment="1" applyBorder="1" applyFont="1" applyNumberFormat="1">
      <alignment horizontal="left" readingOrder="0" vertical="center"/>
    </xf>
    <xf borderId="39" fillId="31" fontId="162" numFmtId="174" xfId="0" applyAlignment="1" applyBorder="1" applyFont="1" applyNumberFormat="1">
      <alignment horizontal="center" readingOrder="0" vertical="center"/>
    </xf>
    <xf borderId="39" fillId="31" fontId="163" numFmtId="0" xfId="0" applyAlignment="1" applyBorder="1" applyFont="1">
      <alignment readingOrder="0" vertical="center"/>
    </xf>
    <xf borderId="39" fillId="31" fontId="164" numFmtId="164" xfId="0" applyAlignment="1" applyBorder="1" applyFont="1" applyNumberFormat="1">
      <alignment horizontal="center" readingOrder="0" vertical="center"/>
    </xf>
    <xf borderId="40" fillId="31" fontId="165" numFmtId="0" xfId="0" applyAlignment="1" applyBorder="1" applyFont="1">
      <alignment horizontal="right" readingOrder="0" vertical="center"/>
    </xf>
    <xf borderId="41" fillId="0" fontId="27" numFmtId="0" xfId="0" applyBorder="1" applyFont="1"/>
    <xf borderId="0" fillId="0" fontId="151" numFmtId="164" xfId="0" applyAlignment="1" applyFont="1" applyNumberFormat="1">
      <alignment horizontal="right" vertical="center"/>
    </xf>
    <xf borderId="0" fillId="0" fontId="155" numFmtId="0" xfId="0" applyAlignment="1" applyFont="1">
      <alignment horizontal="left" readingOrder="0" vertical="center"/>
    </xf>
    <xf borderId="0" fillId="0" fontId="157" numFmtId="0" xfId="0" applyAlignment="1" applyFont="1">
      <alignment readingOrder="0" vertical="center"/>
    </xf>
    <xf borderId="0" fillId="0" fontId="152" numFmtId="175" xfId="0" applyAlignment="1" applyFont="1" applyNumberFormat="1">
      <alignment readingOrder="0" vertical="center"/>
    </xf>
    <xf borderId="0" fillId="12" fontId="156" numFmtId="0" xfId="0" applyAlignment="1" applyFont="1">
      <alignment horizontal="left" readingOrder="0" vertical="center"/>
    </xf>
    <xf borderId="0" fillId="12" fontId="156" numFmtId="0" xfId="0" applyAlignment="1" applyFont="1">
      <alignment horizontal="center" readingOrder="0" vertical="center"/>
    </xf>
    <xf borderId="0" fillId="12" fontId="156" numFmtId="0" xfId="0" applyAlignment="1" applyFont="1">
      <alignment horizontal="left" readingOrder="0" shrinkToFit="0" vertical="center" wrapText="0"/>
    </xf>
    <xf borderId="0" fillId="19" fontId="155" numFmtId="164" xfId="0" applyAlignment="1" applyFont="1" applyNumberFormat="1">
      <alignment horizontal="left" readingOrder="0" vertical="center"/>
    </xf>
    <xf borderId="0" fillId="0" fontId="155" numFmtId="0" xfId="0" applyAlignment="1" applyFont="1">
      <alignment horizontal="center"/>
    </xf>
    <xf borderId="0" fillId="0" fontId="155" numFmtId="164" xfId="0" applyAlignment="1" applyFont="1" applyNumberFormat="1">
      <alignment horizontal="right"/>
    </xf>
    <xf borderId="0" fillId="0" fontId="155" numFmtId="0" xfId="0" applyAlignment="1" applyFont="1">
      <alignment horizontal="left" vertical="center"/>
    </xf>
    <xf borderId="0" fillId="3" fontId="166" numFmtId="0" xfId="0" applyAlignment="1" applyFont="1">
      <alignment horizontal="left"/>
    </xf>
    <xf borderId="0" fillId="0" fontId="155" numFmtId="164" xfId="0" applyAlignment="1" applyFont="1" applyNumberFormat="1">
      <alignment horizontal="left" vertical="center"/>
    </xf>
    <xf borderId="0" fillId="0" fontId="156" numFmtId="164" xfId="0" applyAlignment="1" applyFont="1" applyNumberFormat="1">
      <alignment horizontal="left" shrinkToFit="0" vertical="center" wrapText="0"/>
    </xf>
    <xf borderId="0" fillId="0" fontId="157" numFmtId="0" xfId="0" applyAlignment="1" applyFont="1">
      <alignment vertical="center"/>
    </xf>
    <xf borderId="0" fillId="0" fontId="151" numFmtId="0" xfId="0" applyAlignment="1" applyFont="1">
      <alignment vertical="center"/>
    </xf>
    <xf borderId="0" fillId="0" fontId="157" numFmtId="0" xfId="0" applyAlignment="1" applyFont="1">
      <alignment horizontal="left" vertical="center"/>
    </xf>
    <xf borderId="0" fillId="16" fontId="156" numFmtId="0" xfId="0" applyAlignment="1" applyFont="1">
      <alignment horizontal="center" readingOrder="0" vertical="center"/>
    </xf>
    <xf borderId="0" fillId="0" fontId="153" numFmtId="164" xfId="0" applyAlignment="1" applyFont="1" applyNumberFormat="1">
      <alignment vertical="center"/>
    </xf>
    <xf borderId="0" fillId="0" fontId="151" numFmtId="164" xfId="0" applyAlignment="1" applyFont="1" applyNumberFormat="1">
      <alignment vertical="center"/>
    </xf>
    <xf borderId="0" fillId="0" fontId="153" numFmtId="0" xfId="0" applyAlignment="1" applyFont="1">
      <alignment horizontal="right" vertical="center"/>
    </xf>
    <xf borderId="0" fillId="0" fontId="151" numFmtId="0" xfId="0" applyAlignment="1" applyFont="1">
      <alignment horizontal="right" vertical="center"/>
    </xf>
    <xf borderId="0" fillId="0" fontId="167" numFmtId="0" xfId="0" applyAlignment="1" applyFont="1">
      <alignment readingOrder="0" vertical="center"/>
    </xf>
    <xf borderId="0" fillId="32" fontId="153" numFmtId="164" xfId="0" applyAlignment="1" applyFill="1" applyFont="1" applyNumberFormat="1">
      <alignment horizontal="right" vertical="center"/>
    </xf>
    <xf borderId="0" fillId="0" fontId="151" numFmtId="175" xfId="0" applyAlignment="1" applyFont="1" applyNumberFormat="1">
      <alignment horizontal="center" readingOrder="0" vertical="center"/>
    </xf>
    <xf borderId="0" fillId="0" fontId="151" numFmtId="175" xfId="0" applyAlignment="1" applyFont="1" applyNumberFormat="1">
      <alignment horizontal="center" vertical="center"/>
    </xf>
    <xf borderId="0" fillId="0" fontId="148" numFmtId="164" xfId="0" applyAlignment="1" applyFont="1" applyNumberFormat="1">
      <alignment horizontal="right" vertical="center"/>
    </xf>
    <xf borderId="42" fillId="33" fontId="168" numFmtId="0" xfId="0" applyAlignment="1" applyBorder="1" applyFill="1" applyFont="1">
      <alignment readingOrder="0" vertical="center"/>
    </xf>
    <xf borderId="42" fillId="0" fontId="168" numFmtId="169" xfId="0" applyAlignment="1" applyBorder="1" applyFont="1" applyNumberFormat="1">
      <alignment horizontal="right" readingOrder="0" vertical="center"/>
    </xf>
    <xf borderId="42" fillId="0" fontId="168" numFmtId="166" xfId="0" applyAlignment="1" applyBorder="1" applyFont="1" applyNumberFormat="1">
      <alignment horizontal="right" readingOrder="0" vertical="center"/>
    </xf>
    <xf borderId="42" fillId="0" fontId="168" numFmtId="164" xfId="0" applyAlignment="1" applyBorder="1" applyFont="1" applyNumberFormat="1">
      <alignment horizontal="right" vertical="center"/>
    </xf>
    <xf borderId="0" fillId="0" fontId="155" numFmtId="1" xfId="0" applyAlignment="1" applyFont="1" applyNumberFormat="1">
      <alignment readingOrder="0" vertical="center"/>
    </xf>
    <xf borderId="0" fillId="3" fontId="155" numFmtId="164" xfId="0" applyAlignment="1" applyFont="1" applyNumberFormat="1">
      <alignment horizontal="right" vertical="center"/>
    </xf>
    <xf borderId="0" fillId="3" fontId="155" numFmtId="176" xfId="0" applyAlignment="1" applyFont="1" applyNumberFormat="1">
      <alignment horizontal="right" vertical="center"/>
    </xf>
    <xf borderId="0" fillId="0" fontId="155" numFmtId="175" xfId="0" applyAlignment="1" applyFont="1" applyNumberFormat="1">
      <alignment vertical="center"/>
    </xf>
    <xf borderId="0" fillId="3" fontId="155" numFmtId="10" xfId="0" applyAlignment="1" applyFont="1" applyNumberFormat="1">
      <alignment horizontal="right" vertical="center"/>
    </xf>
    <xf borderId="0" fillId="0" fontId="155" numFmtId="0" xfId="0" applyAlignment="1" applyFont="1">
      <alignment readingOrder="0" vertical="center"/>
    </xf>
    <xf borderId="0" fillId="0" fontId="155" numFmtId="0" xfId="0" applyAlignment="1" applyFont="1">
      <alignment vertical="center"/>
    </xf>
    <xf borderId="0" fillId="0" fontId="155" numFmtId="0" xfId="0" applyAlignment="1" applyFont="1">
      <alignment horizontal="right" vertical="center"/>
    </xf>
    <xf borderId="0" fillId="33" fontId="169" numFmtId="0" xfId="0" applyAlignment="1" applyFont="1">
      <alignment horizontal="left" readingOrder="0" vertical="center"/>
    </xf>
    <xf borderId="0" fillId="33" fontId="169" numFmtId="0" xfId="0" applyAlignment="1" applyFont="1">
      <alignment horizontal="center" readingOrder="0" vertical="center"/>
    </xf>
    <xf borderId="0" fillId="0" fontId="150" numFmtId="1" xfId="0" applyAlignment="1" applyFont="1" applyNumberFormat="1">
      <alignment vertical="center"/>
    </xf>
    <xf borderId="0" fillId="0" fontId="150" numFmtId="164" xfId="0" applyAlignment="1" applyFont="1" applyNumberFormat="1">
      <alignment horizontal="right" vertical="center"/>
    </xf>
    <xf borderId="0" fillId="3" fontId="157" numFmtId="0" xfId="0" applyFont="1"/>
    <xf borderId="0" fillId="0" fontId="155" numFmtId="1" xfId="0" applyAlignment="1" applyFont="1" applyNumberFormat="1">
      <alignment vertical="center"/>
    </xf>
    <xf borderId="0" fillId="0" fontId="148" numFmtId="0" xfId="0" applyAlignment="1" applyFont="1">
      <alignment readingOrder="0" vertical="center"/>
    </xf>
    <xf borderId="0" fillId="0" fontId="156" numFmtId="0" xfId="0" applyAlignment="1" applyFont="1">
      <alignment readingOrder="0"/>
    </xf>
    <xf borderId="0" fillId="0" fontId="150" numFmtId="164" xfId="0" applyAlignment="1" applyFont="1" applyNumberFormat="1">
      <alignment horizontal="right" readingOrder="0" vertical="center"/>
    </xf>
    <xf borderId="0" fillId="19" fontId="155" numFmtId="1" xfId="0" applyAlignment="1" applyFont="1" applyNumberFormat="1">
      <alignment readingOrder="0" vertical="center"/>
    </xf>
    <xf borderId="0" fillId="19" fontId="155" numFmtId="1" xfId="0" applyAlignment="1" applyFont="1" applyNumberFormat="1">
      <alignment vertical="center"/>
    </xf>
    <xf borderId="0" fillId="19" fontId="150" numFmtId="164" xfId="0" applyAlignment="1" applyFont="1" applyNumberFormat="1">
      <alignment horizontal="right" readingOrder="0" vertical="center"/>
    </xf>
    <xf borderId="0" fillId="0" fontId="153" numFmtId="0" xfId="0" applyAlignment="1" applyFont="1">
      <alignment readingOrder="0" vertical="center"/>
    </xf>
    <xf borderId="0" fillId="34" fontId="156" numFmtId="1" xfId="0" applyAlignment="1" applyFill="1" applyFont="1" applyNumberFormat="1">
      <alignment readingOrder="0" vertical="center"/>
    </xf>
    <xf borderId="0" fillId="34" fontId="150" numFmtId="1" xfId="0" applyAlignment="1" applyFont="1" applyNumberFormat="1">
      <alignment vertical="center"/>
    </xf>
    <xf borderId="0" fillId="34" fontId="150" numFmtId="164" xfId="0" applyAlignment="1" applyFont="1" applyNumberFormat="1">
      <alignment horizontal="right" vertical="center"/>
    </xf>
    <xf borderId="0" fillId="3" fontId="170" numFmtId="0" xfId="0" applyFont="1"/>
    <xf borderId="0" fillId="16" fontId="151" numFmtId="0" xfId="0" applyAlignment="1" applyFont="1">
      <alignment horizontal="center" vertical="center"/>
    </xf>
    <xf borderId="0" fillId="0" fontId="156" numFmtId="175" xfId="0" applyAlignment="1" applyFont="1" applyNumberFormat="1">
      <alignment vertical="center"/>
    </xf>
    <xf borderId="0" fillId="0" fontId="156" numFmtId="0" xfId="0" applyAlignment="1" applyFont="1">
      <alignment horizontal="center" vertical="center"/>
    </xf>
    <xf borderId="0" fillId="0" fontId="156" numFmtId="0" xfId="0" applyAlignment="1" applyFont="1">
      <alignment horizontal="left" vertical="center"/>
    </xf>
    <xf borderId="0" fillId="0" fontId="156" numFmtId="0" xfId="0" applyAlignment="1" applyFont="1">
      <alignment horizontal="center"/>
    </xf>
    <xf borderId="0" fillId="16" fontId="170" numFmtId="0" xfId="0" applyAlignment="1" applyFont="1">
      <alignment horizontal="center" vertical="center"/>
    </xf>
    <xf borderId="0" fillId="0" fontId="156" numFmtId="164" xfId="0" applyAlignment="1" applyFont="1" applyNumberFormat="1">
      <alignment horizontal="right"/>
    </xf>
    <xf borderId="0" fillId="0" fontId="170" numFmtId="0" xfId="0" applyAlignment="1" applyFont="1">
      <alignment vertical="center"/>
    </xf>
    <xf borderId="0" fillId="21" fontId="155" numFmtId="1" xfId="0" applyAlignment="1" applyFont="1" applyNumberFormat="1">
      <alignment readingOrder="0" vertical="center"/>
    </xf>
    <xf borderId="0" fillId="21" fontId="155" numFmtId="1" xfId="0" applyAlignment="1" applyFont="1" applyNumberFormat="1">
      <alignment vertical="center"/>
    </xf>
    <xf borderId="0" fillId="21" fontId="150" numFmtId="164" xfId="0" applyAlignment="1" applyFont="1" applyNumberFormat="1">
      <alignment horizontal="right" readingOrder="0" vertical="center"/>
    </xf>
    <xf borderId="0" fillId="21" fontId="171" numFmtId="164" xfId="0" applyAlignment="1" applyFont="1" applyNumberFormat="1">
      <alignment horizontal="right" readingOrder="0" vertical="center"/>
    </xf>
    <xf borderId="0" fillId="0" fontId="150" numFmtId="0" xfId="0" applyFont="1"/>
    <xf borderId="0" fillId="21" fontId="172" numFmtId="1" xfId="0" applyAlignment="1" applyFont="1" applyNumberFormat="1">
      <alignment readingOrder="0" vertical="center"/>
    </xf>
    <xf borderId="0" fillId="0" fontId="172" numFmtId="1" xfId="0" applyAlignment="1" applyFont="1" applyNumberFormat="1">
      <alignment readingOrder="0" vertical="center"/>
    </xf>
    <xf borderId="0" fillId="33" fontId="173" numFmtId="1" xfId="0" applyAlignment="1" applyFont="1" applyNumberFormat="1">
      <alignment readingOrder="0" vertical="center"/>
    </xf>
    <xf borderId="0" fillId="33" fontId="155" numFmtId="1" xfId="0" applyAlignment="1" applyFont="1" applyNumberFormat="1">
      <alignment vertical="center"/>
    </xf>
    <xf borderId="0" fillId="33" fontId="150" numFmtId="164" xfId="0" applyAlignment="1" applyFont="1" applyNumberFormat="1">
      <alignment horizontal="right" vertical="center"/>
    </xf>
    <xf borderId="0" fillId="5" fontId="174" numFmtId="0" xfId="0" applyAlignment="1" applyFont="1">
      <alignment horizontal="center" readingOrder="0" shrinkToFit="0" vertical="bottom" wrapText="0"/>
    </xf>
    <xf borderId="0" fillId="5" fontId="174" numFmtId="177" xfId="0" applyAlignment="1" applyFont="1" applyNumberFormat="1">
      <alignment horizontal="center" shrinkToFit="0" vertical="bottom" wrapText="0"/>
    </xf>
    <xf borderId="10" fillId="5" fontId="174" numFmtId="177" xfId="0" applyAlignment="1" applyBorder="1" applyFont="1" applyNumberFormat="1">
      <alignment horizontal="center" shrinkToFit="0" vertical="bottom" wrapText="0"/>
    </xf>
    <xf borderId="0" fillId="13" fontId="174" numFmtId="0" xfId="0" applyAlignment="1" applyFont="1">
      <alignment horizontal="center" readingOrder="0" shrinkToFit="0" vertical="bottom" wrapText="0"/>
    </xf>
    <xf borderId="43" fillId="0" fontId="174" numFmtId="0" xfId="0" applyAlignment="1" applyBorder="1" applyFont="1">
      <alignment shrinkToFit="0" vertical="bottom" wrapText="0"/>
    </xf>
    <xf borderId="43" fillId="0" fontId="29" numFmtId="173" xfId="0" applyAlignment="1" applyBorder="1" applyFont="1" applyNumberFormat="1">
      <alignment vertical="bottom"/>
    </xf>
    <xf borderId="44" fillId="0" fontId="29" numFmtId="173" xfId="0" applyAlignment="1" applyBorder="1" applyFont="1" applyNumberFormat="1">
      <alignment vertical="bottom"/>
    </xf>
    <xf borderId="43" fillId="13" fontId="29" numFmtId="173" xfId="0" applyAlignment="1" applyBorder="1" applyFont="1" applyNumberFormat="1">
      <alignment vertical="bottom"/>
    </xf>
    <xf borderId="0" fillId="0" fontId="175" numFmtId="0" xfId="0" applyAlignment="1" applyFont="1">
      <alignment readingOrder="0" shrinkToFit="0" vertical="bottom" wrapText="0"/>
    </xf>
    <xf borderId="0" fillId="0" fontId="175" numFmtId="173" xfId="0" applyAlignment="1" applyFont="1" applyNumberFormat="1">
      <alignment horizontal="right" readingOrder="0" shrinkToFit="0" vertical="bottom" wrapText="0"/>
    </xf>
    <xf borderId="11" fillId="0" fontId="175" numFmtId="173" xfId="0" applyAlignment="1" applyBorder="1" applyFont="1" applyNumberFormat="1">
      <alignment horizontal="right" readingOrder="0" shrinkToFit="0" vertical="bottom" wrapText="0"/>
    </xf>
    <xf borderId="0" fillId="13" fontId="175" numFmtId="173" xfId="0" applyAlignment="1" applyFont="1" applyNumberFormat="1">
      <alignment horizontal="right" readingOrder="0" shrinkToFit="0" vertical="bottom" wrapText="0"/>
    </xf>
    <xf borderId="0" fillId="0" fontId="29" numFmtId="173" xfId="0" applyAlignment="1" applyFont="1" applyNumberFormat="1">
      <alignment vertical="bottom"/>
    </xf>
    <xf borderId="11" fillId="0" fontId="29" numFmtId="173" xfId="0" applyAlignment="1" applyBorder="1" applyFont="1" applyNumberFormat="1">
      <alignment vertical="bottom"/>
    </xf>
    <xf borderId="13" fillId="0" fontId="29" numFmtId="173" xfId="0" applyAlignment="1" applyBorder="1" applyFont="1" applyNumberFormat="1">
      <alignment vertical="bottom"/>
    </xf>
    <xf borderId="0" fillId="13" fontId="29" numFmtId="173" xfId="0" applyAlignment="1" applyFont="1" applyNumberFormat="1">
      <alignment vertical="bottom"/>
    </xf>
    <xf borderId="16" fillId="0" fontId="174" numFmtId="0" xfId="0" applyAlignment="1" applyBorder="1" applyFont="1">
      <alignment readingOrder="0" shrinkToFit="0" vertical="bottom" wrapText="0"/>
    </xf>
    <xf borderId="16" fillId="0" fontId="175" numFmtId="173" xfId="0" applyAlignment="1" applyBorder="1" applyFont="1" applyNumberFormat="1">
      <alignment horizontal="right" shrinkToFit="0" vertical="bottom" wrapText="0"/>
    </xf>
    <xf borderId="17" fillId="0" fontId="175" numFmtId="173" xfId="0" applyAlignment="1" applyBorder="1" applyFont="1" applyNumberFormat="1">
      <alignment horizontal="right" shrinkToFit="0" vertical="bottom" wrapText="0"/>
    </xf>
    <xf borderId="0" fillId="0" fontId="175" numFmtId="173" xfId="0" applyAlignment="1" applyFont="1" applyNumberFormat="1">
      <alignment horizontal="right" shrinkToFit="0" vertical="bottom" wrapText="0"/>
    </xf>
    <xf borderId="16" fillId="13" fontId="175" numFmtId="173" xfId="0" applyAlignment="1" applyBorder="1" applyFont="1" applyNumberFormat="1">
      <alignment horizontal="right" shrinkToFit="0" vertical="bottom" wrapText="0"/>
    </xf>
    <xf borderId="0" fillId="0" fontId="174" numFmtId="0" xfId="0" applyAlignment="1" applyFont="1">
      <alignment readingOrder="0" shrinkToFit="0" vertical="bottom" wrapText="0"/>
    </xf>
    <xf borderId="0" fillId="0" fontId="29" numFmtId="165" xfId="0" applyAlignment="1" applyFont="1" applyNumberFormat="1">
      <alignment readingOrder="0" vertical="bottom"/>
    </xf>
    <xf borderId="11" fillId="0" fontId="29" numFmtId="165" xfId="0" applyAlignment="1" applyBorder="1" applyFont="1" applyNumberFormat="1">
      <alignment readingOrder="0" vertical="bottom"/>
    </xf>
    <xf borderId="0" fillId="13" fontId="29" numFmtId="165" xfId="0" applyAlignment="1" applyFont="1" applyNumberFormat="1">
      <alignment readingOrder="0" vertical="bottom"/>
    </xf>
    <xf borderId="0" fillId="0" fontId="176" numFmtId="0" xfId="0" applyAlignment="1" applyFont="1">
      <alignment readingOrder="0" vertical="bottom"/>
    </xf>
    <xf borderId="0" fillId="0" fontId="33" numFmtId="173" xfId="0" applyFont="1" applyNumberFormat="1"/>
    <xf borderId="11" fillId="0" fontId="33" numFmtId="173" xfId="0" applyBorder="1" applyFont="1" applyNumberFormat="1"/>
    <xf borderId="0" fillId="13" fontId="33" numFmtId="0" xfId="0" applyFont="1"/>
    <xf borderId="0" fillId="0" fontId="177" numFmtId="0" xfId="0" applyAlignment="1" applyFont="1">
      <alignment readingOrder="0" vertical="bottom"/>
    </xf>
    <xf borderId="0" fillId="0" fontId="29" numFmtId="0" xfId="0" applyAlignment="1" applyFont="1">
      <alignment vertical="bottom"/>
    </xf>
    <xf borderId="11" fillId="0" fontId="29" numFmtId="0" xfId="0" applyAlignment="1" applyBorder="1" applyFont="1">
      <alignment vertical="bottom"/>
    </xf>
    <xf borderId="0" fillId="13" fontId="29" numFmtId="0" xfId="0" applyAlignment="1" applyFont="1">
      <alignment vertical="bottom"/>
    </xf>
    <xf borderId="45" fillId="0" fontId="174" numFmtId="0" xfId="0" applyAlignment="1" applyBorder="1" applyFont="1">
      <alignment shrinkToFit="0" vertical="bottom" wrapText="0"/>
    </xf>
    <xf borderId="45" fillId="0" fontId="29" numFmtId="173" xfId="0" applyAlignment="1" applyBorder="1" applyFont="1" applyNumberFormat="1">
      <alignment vertical="bottom"/>
    </xf>
    <xf borderId="46" fillId="0" fontId="29" numFmtId="173" xfId="0" applyAlignment="1" applyBorder="1" applyFont="1" applyNumberFormat="1">
      <alignment vertical="bottom"/>
    </xf>
    <xf borderId="45" fillId="0" fontId="29" numFmtId="0" xfId="0" applyAlignment="1" applyBorder="1" applyFont="1">
      <alignment vertical="bottom"/>
    </xf>
    <xf borderId="45" fillId="13" fontId="29" numFmtId="0" xfId="0" applyAlignment="1" applyBorder="1" applyFont="1">
      <alignment vertical="bottom"/>
    </xf>
    <xf borderId="0" fillId="0" fontId="29" numFmtId="173" xfId="0" applyAlignment="1" applyFont="1" applyNumberFormat="1">
      <alignment readingOrder="0" vertical="bottom"/>
    </xf>
    <xf borderId="11" fillId="0" fontId="29" numFmtId="173" xfId="0" applyAlignment="1" applyBorder="1" applyFont="1" applyNumberFormat="1">
      <alignment readingOrder="0" vertical="bottom"/>
    </xf>
    <xf borderId="0" fillId="13" fontId="29" numFmtId="173" xfId="0" applyAlignment="1" applyFont="1" applyNumberFormat="1">
      <alignment readingOrder="0" vertical="bottom"/>
    </xf>
    <xf borderId="0" fillId="0" fontId="178" numFmtId="0" xfId="0" applyAlignment="1" applyFont="1">
      <alignment shrinkToFit="0" vertical="bottom" wrapText="0"/>
    </xf>
    <xf borderId="0" fillId="0" fontId="174" numFmtId="173" xfId="0" applyAlignment="1" applyFont="1" applyNumberFormat="1">
      <alignment horizontal="right" shrinkToFit="0" vertical="bottom" wrapText="0"/>
    </xf>
    <xf borderId="11" fillId="0" fontId="174" numFmtId="173" xfId="0" applyAlignment="1" applyBorder="1" applyFont="1" applyNumberFormat="1">
      <alignment horizontal="right" shrinkToFit="0" vertical="bottom" wrapText="0"/>
    </xf>
    <xf borderId="13" fillId="0" fontId="174" numFmtId="173" xfId="0" applyAlignment="1" applyBorder="1" applyFont="1" applyNumberFormat="1">
      <alignment horizontal="right" shrinkToFit="0" vertical="bottom" wrapText="0"/>
    </xf>
    <xf borderId="0" fillId="13" fontId="174" numFmtId="173" xfId="0" applyAlignment="1" applyFont="1" applyNumberFormat="1">
      <alignment horizontal="right" shrinkToFit="0" vertical="bottom" wrapText="0"/>
    </xf>
    <xf borderId="16" fillId="0" fontId="29" numFmtId="173" xfId="0" applyAlignment="1" applyBorder="1" applyFont="1" applyNumberFormat="1">
      <alignment readingOrder="0" vertical="bottom"/>
    </xf>
    <xf borderId="17" fillId="0" fontId="29" numFmtId="173" xfId="0" applyAlignment="1" applyBorder="1" applyFont="1" applyNumberFormat="1">
      <alignment readingOrder="0" vertical="bottom"/>
    </xf>
    <xf borderId="47" fillId="0" fontId="174" numFmtId="0" xfId="0" applyAlignment="1" applyBorder="1" applyFont="1">
      <alignment readingOrder="0" shrinkToFit="0" vertical="bottom" wrapText="0"/>
    </xf>
    <xf borderId="47" fillId="0" fontId="29" numFmtId="173" xfId="0" applyAlignment="1" applyBorder="1" applyFont="1" applyNumberFormat="1">
      <alignment vertical="bottom"/>
    </xf>
    <xf borderId="48" fillId="0" fontId="29" numFmtId="173" xfId="0" applyAlignment="1" applyBorder="1" applyFont="1" applyNumberFormat="1">
      <alignment vertical="bottom"/>
    </xf>
    <xf borderId="47" fillId="0" fontId="29" numFmtId="0" xfId="0" applyAlignment="1" applyBorder="1" applyFont="1">
      <alignment vertical="bottom"/>
    </xf>
    <xf borderId="47" fillId="13" fontId="29" numFmtId="0" xfId="0" applyAlignment="1" applyBorder="1" applyFont="1">
      <alignment vertical="bottom"/>
    </xf>
    <xf borderId="0" fillId="0" fontId="24" numFmtId="0" xfId="0" applyAlignment="1" applyFont="1">
      <alignment readingOrder="0" vertical="bottom"/>
    </xf>
    <xf borderId="49" fillId="0" fontId="29" numFmtId="165" xfId="0" applyAlignment="1" applyBorder="1" applyFont="1" applyNumberFormat="1">
      <alignment readingOrder="0" vertical="bottom"/>
    </xf>
    <xf borderId="49" fillId="0" fontId="29" numFmtId="173" xfId="0" applyAlignment="1" applyBorder="1" applyFont="1" applyNumberFormat="1">
      <alignment readingOrder="0" vertical="bottom"/>
    </xf>
    <xf borderId="11" fillId="13" fontId="29" numFmtId="173" xfId="0" applyAlignment="1" applyBorder="1" applyFont="1" applyNumberFormat="1">
      <alignment readingOrder="0" vertical="bottom"/>
    </xf>
    <xf borderId="0" fillId="0" fontId="110" numFmtId="0" xfId="0" applyAlignment="1" applyFont="1">
      <alignment horizontal="left" readingOrder="0"/>
    </xf>
    <xf borderId="11" fillId="0" fontId="33" numFmtId="0" xfId="0" applyBorder="1" applyFont="1"/>
    <xf borderId="13" fillId="0" fontId="33" numFmtId="0" xfId="0" applyBorder="1" applyFont="1"/>
    <xf borderId="16" fillId="0" fontId="24" numFmtId="0" xfId="0" applyAlignment="1" applyBorder="1" applyFont="1">
      <alignment readingOrder="0" shrinkToFit="0" vertical="bottom" wrapText="0"/>
    </xf>
    <xf borderId="16" fillId="0" fontId="176" numFmtId="173" xfId="0" applyAlignment="1" applyBorder="1" applyFont="1" applyNumberFormat="1">
      <alignment vertical="bottom"/>
    </xf>
    <xf borderId="17" fillId="0" fontId="176" numFmtId="173" xfId="0" applyAlignment="1" applyBorder="1" applyFont="1" applyNumberFormat="1">
      <alignment vertical="bottom"/>
    </xf>
    <xf borderId="0" fillId="0" fontId="176" numFmtId="173" xfId="0" applyAlignment="1" applyFont="1" applyNumberFormat="1">
      <alignment vertical="bottom"/>
    </xf>
    <xf borderId="16" fillId="13" fontId="176" numFmtId="173" xfId="0" applyAlignment="1" applyBorder="1" applyFont="1" applyNumberFormat="1">
      <alignment vertical="bottom"/>
    </xf>
    <xf borderId="0" fillId="0" fontId="179" numFmtId="0" xfId="0" applyAlignment="1" applyFont="1">
      <alignment readingOrder="0"/>
    </xf>
    <xf borderId="19" fillId="0" fontId="33" numFmtId="0" xfId="0" applyBorder="1" applyFont="1"/>
    <xf borderId="0" fillId="0" fontId="62" numFmtId="0" xfId="0" applyAlignment="1" applyFont="1">
      <alignment horizontal="right" readingOrder="0"/>
    </xf>
    <xf borderId="0" fillId="0" fontId="25" numFmtId="0" xfId="0" applyAlignment="1" applyFont="1">
      <alignment readingOrder="0" shrinkToFit="0" wrapText="1"/>
    </xf>
    <xf borderId="0" fillId="0" fontId="25" numFmtId="164" xfId="0" applyAlignment="1" applyFont="1" applyNumberFormat="1">
      <alignment readingOrder="0"/>
    </xf>
    <xf borderId="0" fillId="0" fontId="180" numFmtId="0" xfId="0" applyAlignment="1" applyFont="1">
      <alignment horizontal="center" readingOrder="0" vertical="center"/>
    </xf>
    <xf borderId="0" fillId="0" fontId="25" numFmtId="0" xfId="0" applyAlignment="1" applyFont="1">
      <alignment horizontal="right" readingOrder="0"/>
    </xf>
    <xf borderId="0" fillId="0" fontId="25" numFmtId="178" xfId="0" applyAlignment="1" applyFont="1" applyNumberFormat="1">
      <alignment horizontal="right" readingOrder="0"/>
    </xf>
    <xf borderId="0" fillId="0" fontId="37" numFmtId="0" xfId="0" applyFont="1"/>
    <xf borderId="0" fillId="0" fontId="27" numFmtId="179" xfId="0" applyAlignment="1" applyFont="1" applyNumberFormat="1">
      <alignment horizontal="center" readingOrder="0"/>
    </xf>
    <xf borderId="0" fillId="0" fontId="25" numFmtId="164" xfId="0" applyAlignment="1" applyFont="1" applyNumberFormat="1">
      <alignment horizontal="center" readingOrder="0"/>
    </xf>
    <xf borderId="0" fillId="0" fontId="113" numFmtId="164" xfId="0" applyAlignment="1" applyFont="1" applyNumberFormat="1">
      <alignment horizontal="center" readingOrder="0"/>
    </xf>
    <xf borderId="0" fillId="0" fontId="25" numFmtId="179" xfId="0" applyAlignment="1" applyFont="1" applyNumberFormat="1">
      <alignment horizontal="center" readingOrder="0"/>
    </xf>
    <xf borderId="0" fillId="0" fontId="113" numFmtId="179" xfId="0" applyAlignment="1" applyFont="1" applyNumberFormat="1">
      <alignment horizontal="center" readingOrder="0"/>
    </xf>
    <xf borderId="0" fillId="0" fontId="181" numFmtId="0" xfId="0" applyAlignment="1" applyFont="1">
      <alignment readingOrder="0" shrinkToFit="0" wrapText="1"/>
    </xf>
    <xf borderId="0" fillId="0" fontId="181" numFmtId="165" xfId="0" applyAlignment="1" applyFont="1" applyNumberFormat="1">
      <alignment readingOrder="0" shrinkToFit="0" wrapText="1"/>
    </xf>
    <xf borderId="0" fillId="0" fontId="182" numFmtId="0" xfId="0" applyAlignment="1" applyFont="1">
      <alignment readingOrder="0" shrinkToFit="0" wrapText="1"/>
    </xf>
    <xf borderId="0" fillId="0" fontId="118" numFmtId="0" xfId="0" applyAlignment="1" applyFont="1">
      <alignment readingOrder="0"/>
    </xf>
    <xf borderId="0" fillId="35" fontId="129" numFmtId="0" xfId="0" applyAlignment="1" applyFill="1" applyFont="1">
      <alignment readingOrder="0"/>
    </xf>
    <xf borderId="0" fillId="0" fontId="129" numFmtId="0" xfId="0" applyAlignment="1" applyFont="1">
      <alignment readingOrder="0"/>
    </xf>
    <xf borderId="0" fillId="0" fontId="129" numFmtId="0" xfId="0" applyFont="1"/>
    <xf borderId="50" fillId="0" fontId="183" numFmtId="0" xfId="0" applyAlignment="1" applyBorder="1" applyFont="1">
      <alignment horizontal="center" readingOrder="0"/>
    </xf>
    <xf borderId="50" fillId="0" fontId="183" numFmtId="165" xfId="0" applyAlignment="1" applyBorder="1" applyFont="1" applyNumberFormat="1">
      <alignment horizontal="center" readingOrder="0"/>
    </xf>
    <xf borderId="50" fillId="0" fontId="109" numFmtId="0" xfId="0" applyAlignment="1" applyBorder="1" applyFont="1">
      <alignment horizontal="center" readingOrder="0"/>
    </xf>
    <xf borderId="50" fillId="35" fontId="183" numFmtId="0" xfId="0" applyAlignment="1" applyBorder="1" applyFont="1">
      <alignment horizontal="center" readingOrder="0"/>
    </xf>
    <xf borderId="0" fillId="0" fontId="129" numFmtId="0" xfId="0" applyAlignment="1" applyFont="1">
      <alignment horizontal="center"/>
    </xf>
    <xf borderId="0" fillId="0" fontId="25" numFmtId="1" xfId="0" applyAlignment="1" applyFont="1" applyNumberFormat="1">
      <alignment horizontal="center" readingOrder="0"/>
    </xf>
    <xf borderId="0" fillId="35" fontId="27" numFmtId="0" xfId="0" applyFont="1"/>
    <xf borderId="0" fillId="0" fontId="25" numFmtId="0" xfId="0" applyAlignment="1" applyFont="1">
      <alignment horizontal="left"/>
    </xf>
    <xf borderId="0" fillId="0" fontId="180" numFmtId="0" xfId="0" applyAlignment="1" applyFont="1">
      <alignment horizontal="center"/>
    </xf>
    <xf borderId="0" fillId="35" fontId="113" numFmtId="179" xfId="0" applyAlignment="1" applyFont="1" applyNumberFormat="1">
      <alignment horizontal="center" readingOrder="0"/>
    </xf>
    <xf borderId="0" fillId="0" fontId="69" numFmtId="0" xfId="0" applyAlignment="1" applyFont="1">
      <alignment readingOrder="0"/>
    </xf>
    <xf borderId="0" fillId="0" fontId="69" numFmtId="0" xfId="0" applyFont="1"/>
    <xf borderId="0" fillId="0" fontId="120" numFmtId="0" xfId="0" applyAlignment="1" applyFont="1">
      <alignment horizontal="left"/>
    </xf>
    <xf borderId="0" fillId="0" fontId="35" numFmtId="0" xfId="0" applyAlignment="1" applyFont="1">
      <alignment horizontal="left" readingOrder="0"/>
    </xf>
    <xf borderId="0" fillId="0" fontId="71" numFmtId="0" xfId="0" applyAlignment="1" applyFont="1">
      <alignment horizontal="left" readingOrder="0"/>
    </xf>
    <xf borderId="0" fillId="0" fontId="71" numFmtId="1" xfId="0" applyAlignment="1" applyFont="1" applyNumberFormat="1">
      <alignment horizontal="center" readingOrder="0"/>
    </xf>
    <xf borderId="0" fillId="35" fontId="25" numFmtId="179" xfId="0" applyAlignment="1" applyFont="1" applyNumberFormat="1">
      <alignment horizontal="center" readingOrder="0"/>
    </xf>
    <xf borderId="0" fillId="0" fontId="72" numFmtId="0" xfId="0" applyAlignment="1" applyFont="1">
      <alignment horizontal="center"/>
    </xf>
    <xf borderId="0" fillId="0" fontId="78" numFmtId="0" xfId="0" applyAlignment="1" applyFont="1">
      <alignment readingOrder="0" shrinkToFit="0" wrapText="1"/>
    </xf>
    <xf borderId="0" fillId="0" fontId="78" numFmtId="1" xfId="0" applyAlignment="1" applyFont="1" applyNumberFormat="1">
      <alignment horizontal="center" readingOrder="0"/>
    </xf>
    <xf borderId="0" fillId="0" fontId="79" numFmtId="0" xfId="0" applyAlignment="1" applyFont="1">
      <alignment readingOrder="0"/>
    </xf>
    <xf borderId="0" fillId="0" fontId="79" numFmtId="0" xfId="0" applyFont="1"/>
    <xf borderId="0" fillId="0" fontId="107" numFmtId="0" xfId="0" applyAlignment="1" applyFont="1">
      <alignment horizontal="left" readingOrder="0"/>
    </xf>
    <xf borderId="0" fillId="0" fontId="120" numFmtId="9" xfId="0" applyAlignment="1" applyFont="1" applyNumberFormat="1">
      <alignment horizontal="right" readingOrder="0"/>
    </xf>
    <xf borderId="0" fillId="0" fontId="120" numFmtId="165" xfId="0" applyAlignment="1" applyFont="1" applyNumberFormat="1">
      <alignment horizontal="right" readingOrder="0"/>
    </xf>
    <xf borderId="0" fillId="0" fontId="120" numFmtId="1" xfId="0" applyAlignment="1" applyFont="1" applyNumberFormat="1">
      <alignment horizontal="center" readingOrder="0"/>
    </xf>
    <xf borderId="0" fillId="0" fontId="120" numFmtId="0" xfId="0" applyAlignment="1" applyFont="1">
      <alignment horizontal="left" readingOrder="0"/>
    </xf>
    <xf borderId="0" fillId="0" fontId="120" numFmtId="178" xfId="0" applyAlignment="1" applyFont="1" applyNumberFormat="1">
      <alignment horizontal="right" readingOrder="0"/>
    </xf>
    <xf borderId="0" fillId="0" fontId="120" numFmtId="164" xfId="0" applyAlignment="1" applyFont="1" applyNumberFormat="1">
      <alignment horizontal="left" readingOrder="0"/>
    </xf>
    <xf borderId="0" fillId="0" fontId="114" numFmtId="0" xfId="0" applyAlignment="1" applyFont="1">
      <alignment horizontal="center"/>
    </xf>
    <xf borderId="0" fillId="0" fontId="184" numFmtId="164" xfId="0" applyAlignment="1" applyFont="1" applyNumberFormat="1">
      <alignment readingOrder="0"/>
    </xf>
    <xf borderId="0" fillId="35" fontId="79" numFmtId="0" xfId="0" applyAlignment="1" applyFont="1">
      <alignment horizontal="center" readingOrder="0"/>
    </xf>
    <xf borderId="0" fillId="0" fontId="79" numFmtId="0" xfId="0" applyAlignment="1" applyFont="1">
      <alignment horizontal="center"/>
    </xf>
    <xf borderId="0" fillId="35" fontId="114" numFmtId="0" xfId="0" applyAlignment="1" applyFont="1">
      <alignment horizontal="center"/>
    </xf>
    <xf borderId="0" fillId="35" fontId="180" numFmtId="0" xfId="0" applyAlignment="1" applyFont="1">
      <alignment horizontal="center"/>
    </xf>
    <xf borderId="7" fillId="0" fontId="44" numFmtId="0" xfId="0" applyAlignment="1" applyBorder="1" applyFont="1">
      <alignment vertical="bottom"/>
    </xf>
    <xf borderId="7" fillId="0" fontId="113" numFmtId="0" xfId="0" applyAlignment="1" applyBorder="1" applyFont="1">
      <alignment readingOrder="0"/>
    </xf>
    <xf borderId="7" fillId="0" fontId="113" numFmtId="165" xfId="0" applyAlignment="1" applyBorder="1" applyFont="1" applyNumberFormat="1">
      <alignment readingOrder="0"/>
    </xf>
    <xf borderId="7" fillId="0" fontId="137" numFmtId="164" xfId="0" applyAlignment="1" applyBorder="1" applyFont="1" applyNumberFormat="1">
      <alignment readingOrder="0"/>
    </xf>
    <xf borderId="0" fillId="0" fontId="120" numFmtId="0" xfId="0" applyAlignment="1" applyFont="1">
      <alignment readingOrder="0"/>
    </xf>
    <xf borderId="0" fillId="0" fontId="121" numFmtId="164" xfId="0" applyAlignment="1" applyFont="1" applyNumberFormat="1">
      <alignment readingOrder="0"/>
    </xf>
    <xf borderId="0" fillId="35" fontId="129" numFmtId="0" xfId="0" applyFont="1"/>
    <xf borderId="0" fillId="0" fontId="113" numFmtId="0" xfId="0" applyAlignment="1" applyFont="1">
      <alignment readingOrder="0"/>
    </xf>
    <xf borderId="0" fillId="0" fontId="72" numFmtId="0" xfId="0" applyAlignment="1" applyFont="1">
      <alignment readingOrder="0"/>
    </xf>
    <xf borderId="0" fillId="0" fontId="113" numFmtId="165" xfId="0" applyAlignment="1" applyFont="1" applyNumberFormat="1">
      <alignment readingOrder="0"/>
    </xf>
    <xf borderId="0" fillId="0" fontId="137" numFmtId="164" xfId="0" applyAlignment="1" applyFont="1" applyNumberFormat="1">
      <alignment readingOrder="0"/>
    </xf>
    <xf borderId="0" fillId="0" fontId="25" numFmtId="173" xfId="0" applyAlignment="1" applyFont="1" applyNumberFormat="1">
      <alignment horizontal="left" readingOrder="0"/>
    </xf>
    <xf borderId="0" fillId="0" fontId="180" numFmtId="165" xfId="0" applyAlignment="1" applyFont="1" applyNumberFormat="1">
      <alignment readingOrder="0" vertical="top"/>
    </xf>
    <xf borderId="0" fillId="0" fontId="180" numFmtId="0" xfId="0" applyAlignment="1" applyFont="1">
      <alignment horizontal="center" readingOrder="0"/>
    </xf>
    <xf borderId="0" fillId="0" fontId="113" numFmtId="164" xfId="0" applyAlignment="1" applyFont="1" applyNumberFormat="1">
      <alignment horizontal="left" readingOrder="0"/>
    </xf>
    <xf borderId="0" fillId="35" fontId="137" numFmtId="0" xfId="0" applyFont="1"/>
    <xf borderId="0" fillId="0" fontId="185" numFmtId="165" xfId="0" applyAlignment="1" applyFont="1" applyNumberFormat="1">
      <alignment horizontal="left" readingOrder="0" vertical="bottom"/>
    </xf>
    <xf borderId="0" fillId="0" fontId="27" numFmtId="165" xfId="0" applyFont="1" applyNumberFormat="1"/>
    <xf borderId="0" fillId="0" fontId="185" numFmtId="164" xfId="0" applyAlignment="1" applyFont="1" applyNumberFormat="1">
      <alignment horizontal="left" vertical="bottom"/>
    </xf>
    <xf borderId="7" fillId="0" fontId="28" numFmtId="0" xfId="0" applyAlignment="1" applyBorder="1" applyFont="1">
      <alignment horizontal="center"/>
    </xf>
    <xf borderId="7" fillId="0" fontId="28" numFmtId="169" xfId="0" applyAlignment="1" applyBorder="1" applyFont="1" applyNumberFormat="1">
      <alignment horizontal="center" readingOrder="0"/>
    </xf>
    <xf borderId="7" fillId="0" fontId="28" numFmtId="166" xfId="0" applyAlignment="1" applyBorder="1" applyFont="1" applyNumberFormat="1">
      <alignment horizontal="center" readingOrder="0"/>
    </xf>
    <xf borderId="7" fillId="0" fontId="28" numFmtId="0" xfId="0" applyAlignment="1" applyBorder="1" applyFont="1">
      <alignment horizontal="center" readingOrder="0"/>
    </xf>
    <xf borderId="0" fillId="26" fontId="186" numFmtId="0" xfId="0" applyAlignment="1" applyFont="1">
      <alignment readingOrder="0"/>
    </xf>
    <xf borderId="0" fillId="26" fontId="27" numFmtId="0" xfId="0" applyFont="1"/>
    <xf borderId="0" fillId="36" fontId="27" numFmtId="0" xfId="0" applyFill="1" applyFont="1"/>
    <xf borderId="0" fillId="0" fontId="187" numFmtId="0" xfId="0" applyAlignment="1" applyFont="1">
      <alignment readingOrder="0"/>
    </xf>
    <xf borderId="0" fillId="0" fontId="188" numFmtId="0" xfId="0" applyAlignment="1" applyFont="1">
      <alignment readingOrder="0"/>
    </xf>
    <xf borderId="0" fillId="0" fontId="28" numFmtId="0" xfId="0" applyAlignment="1" applyFont="1">
      <alignment readingOrder="0"/>
    </xf>
    <xf borderId="28" fillId="0" fontId="69" numFmtId="0" xfId="0" applyAlignment="1" applyBorder="1" applyFont="1">
      <alignment horizontal="center" readingOrder="0"/>
    </xf>
    <xf borderId="0" fillId="0" fontId="69" numFmtId="0" xfId="0" applyAlignment="1" applyFont="1">
      <alignment horizontal="center" readingOrder="0"/>
    </xf>
    <xf borderId="0" fillId="3" fontId="105" numFmtId="9" xfId="0" applyAlignment="1" applyFont="1" applyNumberFormat="1">
      <alignment horizontal="right"/>
    </xf>
    <xf borderId="0" fillId="0" fontId="25" numFmtId="171" xfId="0" applyAlignment="1" applyFont="1" applyNumberFormat="1">
      <alignment horizontal="right" readingOrder="0"/>
    </xf>
    <xf borderId="0" fillId="3" fontId="122" numFmtId="10" xfId="0" applyAlignment="1" applyFont="1" applyNumberFormat="1">
      <alignment horizontal="right"/>
    </xf>
    <xf borderId="0" fillId="0" fontId="119" numFmtId="164" xfId="0" applyAlignment="1" applyFont="1" applyNumberFormat="1">
      <alignment horizontal="right"/>
    </xf>
    <xf borderId="0" fillId="0" fontId="119" numFmtId="10" xfId="0" applyAlignment="1" applyFont="1" applyNumberFormat="1">
      <alignment horizontal="right" readingOrder="0"/>
    </xf>
    <xf borderId="0" fillId="19" fontId="110" numFmtId="0" xfId="0" applyAlignment="1" applyFont="1">
      <alignment readingOrder="0"/>
    </xf>
    <xf borderId="0" fillId="19" fontId="110" numFmtId="0" xfId="0" applyAlignment="1" applyFont="1">
      <alignment horizontal="left"/>
    </xf>
    <xf borderId="0" fillId="19" fontId="28" numFmtId="164" xfId="0" applyAlignment="1" applyFont="1" applyNumberFormat="1">
      <alignment horizontal="right"/>
    </xf>
    <xf borderId="0" fillId="19" fontId="28" numFmtId="10" xfId="0" applyAlignment="1" applyFont="1" applyNumberFormat="1">
      <alignment horizontal="right"/>
    </xf>
    <xf borderId="31" fillId="0" fontId="28" numFmtId="0" xfId="0" applyAlignment="1" applyBorder="1" applyFont="1">
      <alignment horizontal="center" readingOrder="0"/>
    </xf>
    <xf borderId="32" fillId="0" fontId="110" numFmtId="0" xfId="0" applyAlignment="1" applyBorder="1" applyFont="1">
      <alignment horizontal="center" readingOrder="0"/>
    </xf>
    <xf borderId="32" fillId="0" fontId="28" numFmtId="0" xfId="0" applyAlignment="1" applyBorder="1" applyFont="1">
      <alignment horizontal="center" readingOrder="0"/>
    </xf>
    <xf borderId="4" fillId="0" fontId="101" numFmtId="0" xfId="0" applyAlignment="1" applyBorder="1" applyFont="1">
      <alignment readingOrder="0"/>
    </xf>
    <xf borderId="0" fillId="0" fontId="27" numFmtId="0" xfId="0" applyAlignment="1" applyFont="1">
      <alignment horizontal="center" readingOrder="0"/>
    </xf>
    <xf borderId="0" fillId="0" fontId="27" numFmtId="165" xfId="0" applyAlignment="1" applyFont="1" applyNumberFormat="1">
      <alignment horizontal="right"/>
    </xf>
    <xf borderId="4" fillId="0" fontId="27" numFmtId="0" xfId="0" applyAlignment="1" applyBorder="1" applyFont="1">
      <alignment readingOrder="0"/>
    </xf>
    <xf borderId="0" fillId="0" fontId="33" numFmtId="164" xfId="0" applyFont="1" applyNumberFormat="1"/>
    <xf borderId="0" fillId="0" fontId="27" numFmtId="165" xfId="0" applyFont="1" applyNumberFormat="1"/>
    <xf borderId="0" fillId="19" fontId="110" numFmtId="0" xfId="0" applyFont="1"/>
    <xf borderId="0" fillId="19" fontId="111" numFmtId="0" xfId="0" applyAlignment="1" applyFont="1">
      <alignment horizontal="right"/>
    </xf>
    <xf borderId="0" fillId="19" fontId="28" numFmtId="0" xfId="0" applyAlignment="1" applyFont="1">
      <alignment horizontal="right"/>
    </xf>
    <xf borderId="0" fillId="0" fontId="27" numFmtId="0" xfId="0" applyAlignment="1" applyFont="1">
      <alignment shrinkToFit="0" wrapText="1"/>
    </xf>
    <xf borderId="0" fillId="0" fontId="27" numFmtId="0" xfId="0" applyAlignment="1" applyFont="1">
      <alignment readingOrder="0" shrinkToFit="0" wrapText="1"/>
    </xf>
    <xf borderId="0" fillId="0" fontId="189" numFmtId="0" xfId="0" applyAlignment="1" applyFont="1">
      <alignment readingOrder="0"/>
    </xf>
    <xf borderId="0" fillId="0" fontId="189" numFmtId="164" xfId="0" applyFont="1" applyNumberFormat="1"/>
    <xf borderId="0" fillId="0" fontId="190" numFmtId="0" xfId="0" applyAlignment="1" applyFont="1">
      <alignment readingOrder="0"/>
    </xf>
    <xf borderId="0" fillId="0" fontId="189" numFmtId="164" xfId="0" applyAlignment="1" applyFont="1" applyNumberFormat="1">
      <alignment horizontal="right" readingOrder="0"/>
    </xf>
    <xf borderId="9" fillId="0" fontId="33" numFmtId="0" xfId="0" applyAlignment="1" applyBorder="1" applyFont="1">
      <alignment readingOrder="0"/>
    </xf>
    <xf borderId="9" fillId="0" fontId="33" numFmtId="164" xfId="0" applyAlignment="1" applyBorder="1" applyFont="1" applyNumberFormat="1">
      <alignment horizontal="right" readingOrder="0"/>
    </xf>
    <xf borderId="0" fillId="0" fontId="191" numFmtId="164" xfId="0" applyAlignment="1" applyFont="1" applyNumberFormat="1">
      <alignment readingOrder="0"/>
    </xf>
    <xf borderId="0" fillId="0" fontId="192" numFmtId="164" xfId="0" applyFont="1" applyNumberFormat="1"/>
    <xf borderId="0" fillId="0" fontId="37" numFmtId="164" xfId="0" applyAlignment="1" applyFont="1" applyNumberFormat="1">
      <alignment horizontal="right" vertical="bottom"/>
    </xf>
    <xf borderId="0" fillId="3" fontId="0" numFmtId="0" xfId="0" applyAlignment="1" applyFont="1">
      <alignment vertical="bottom"/>
    </xf>
    <xf borderId="0" fillId="0" fontId="37" numFmtId="164" xfId="0" applyAlignment="1" applyFont="1" applyNumberFormat="1">
      <alignment horizontal="center" readingOrder="0" vertical="bottom"/>
    </xf>
    <xf borderId="0" fillId="0" fontId="37" numFmtId="0" xfId="0" applyAlignment="1" applyFont="1">
      <alignment vertical="bottom"/>
    </xf>
    <xf borderId="0" fillId="3" fontId="0" numFmtId="0" xfId="0" applyAlignment="1" applyFont="1">
      <alignment readingOrder="0" vertical="bottom"/>
    </xf>
    <xf borderId="0" fillId="0" fontId="37" numFmtId="164" xfId="0" applyAlignment="1" applyFont="1" applyNumberFormat="1">
      <alignment horizontal="right" readingOrder="0" vertical="bottom"/>
    </xf>
    <xf borderId="0" fillId="0" fontId="37" numFmtId="0" xfId="0" applyAlignment="1" applyFont="1">
      <alignment readingOrder="0" vertical="bottom"/>
    </xf>
    <xf borderId="0" fillId="3" fontId="99" numFmtId="0" xfId="0" applyAlignment="1" applyFont="1">
      <alignment readingOrder="0" shrinkToFit="0" vertical="bottom" wrapText="1"/>
    </xf>
    <xf borderId="0" fillId="0" fontId="37" numFmtId="0" xfId="0" applyAlignment="1" applyFont="1">
      <alignment horizontal="center" readingOrder="0" vertical="bottom"/>
    </xf>
    <xf borderId="0" fillId="3" fontId="99" numFmtId="0" xfId="0" applyAlignment="1" applyFont="1">
      <alignment readingOrder="0" vertical="bottom"/>
    </xf>
    <xf borderId="0" fillId="0" fontId="193" numFmtId="0" xfId="0" applyFont="1"/>
    <xf borderId="0" fillId="0" fontId="193" numFmtId="0" xfId="0" applyAlignment="1" applyFont="1">
      <alignment readingOrder="0"/>
    </xf>
    <xf borderId="0" fillId="0" fontId="193" numFmtId="0" xfId="0" applyAlignment="1" applyFont="1">
      <alignment horizontal="center" readingOrder="0"/>
    </xf>
    <xf borderId="0" fillId="0" fontId="193" numFmtId="164" xfId="0" applyAlignment="1" applyFont="1" applyNumberFormat="1">
      <alignment readingOrder="0"/>
    </xf>
    <xf borderId="0" fillId="0" fontId="37" numFmtId="164" xfId="0" applyAlignment="1" applyFont="1" applyNumberFormat="1">
      <alignment readingOrder="0"/>
    </xf>
    <xf borderId="0" fillId="0" fontId="37" numFmtId="165" xfId="0" applyAlignment="1" applyFont="1" applyNumberFormat="1">
      <alignment horizontal="center" vertical="bottom"/>
    </xf>
    <xf borderId="0" fillId="3" fontId="99" numFmtId="0" xfId="0" applyAlignment="1" applyFont="1">
      <alignment shrinkToFit="0" vertical="bottom" wrapText="1"/>
    </xf>
    <xf borderId="0" fillId="0" fontId="37" numFmtId="165" xfId="0" applyAlignment="1" applyFont="1" applyNumberFormat="1">
      <alignment horizontal="right" vertical="bottom"/>
    </xf>
    <xf borderId="0" fillId="0" fontId="37" numFmtId="0" xfId="0" applyAlignment="1" applyFont="1">
      <alignment horizontal="right" readingOrder="0" vertical="bottom"/>
    </xf>
    <xf borderId="0" fillId="3" fontId="0" numFmtId="0" xfId="0" applyAlignment="1" applyFont="1">
      <alignment readingOrder="0" shrinkToFit="0" vertical="bottom" wrapText="1"/>
    </xf>
    <xf borderId="0" fillId="0" fontId="27" numFmtId="0" xfId="0" applyAlignment="1" applyFont="1">
      <alignment shrinkToFit="0" wrapText="0"/>
    </xf>
    <xf borderId="0" fillId="0" fontId="28" numFmtId="0" xfId="0" applyAlignment="1" applyFont="1">
      <alignment readingOrder="0" shrinkToFit="0" wrapText="0"/>
    </xf>
    <xf borderId="0" fillId="0" fontId="27" numFmtId="0" xfId="0" applyAlignment="1" applyFont="1">
      <alignment readingOrder="0" shrinkToFit="0" wrapText="0"/>
    </xf>
    <xf borderId="0" fillId="37" fontId="194" numFmtId="0" xfId="0" applyAlignment="1" applyFill="1" applyFont="1">
      <alignment readingOrder="0"/>
    </xf>
    <xf borderId="0" fillId="0" fontId="195" numFmtId="0" xfId="0" applyAlignment="1" applyFont="1">
      <alignment readingOrder="0" shrinkToFit="0" wrapText="0"/>
    </xf>
    <xf borderId="0" fillId="0" fontId="196" numFmtId="0" xfId="0" applyAlignment="1" applyFont="1">
      <alignment readingOrder="0" shrinkToFit="0" wrapText="0"/>
    </xf>
    <xf borderId="0" fillId="0" fontId="29" numFmtId="3" xfId="0" applyAlignment="1" applyFont="1" applyNumberFormat="1">
      <alignment readingOrder="0" vertical="bottom"/>
    </xf>
    <xf borderId="0" fillId="0" fontId="136" numFmtId="164" xfId="0" applyAlignment="1" applyFont="1" applyNumberFormat="1">
      <alignment horizontal="right" vertical="bottom"/>
    </xf>
    <xf borderId="30" fillId="0" fontId="29" numFmtId="3" xfId="0" applyAlignment="1" applyBorder="1" applyFont="1" applyNumberFormat="1">
      <alignment vertical="bottom"/>
    </xf>
    <xf borderId="0" fillId="0" fontId="29" numFmtId="3" xfId="0" applyAlignment="1" applyFont="1" applyNumberFormat="1">
      <alignment vertical="bottom"/>
    </xf>
    <xf borderId="0" fillId="0" fontId="145" numFmtId="164" xfId="0" applyAlignment="1" applyFont="1" applyNumberFormat="1">
      <alignment horizontal="right" vertical="bottom"/>
    </xf>
    <xf borderId="0" fillId="0" fontId="197" numFmtId="0" xfId="0" applyAlignment="1" applyFont="1">
      <alignment vertical="bottom"/>
    </xf>
    <xf borderId="0" fillId="0" fontId="44" numFmtId="0" xfId="0" applyAlignment="1" applyFont="1">
      <alignment vertical="bottom"/>
    </xf>
    <xf borderId="0" fillId="0" fontId="94" numFmtId="0" xfId="0" applyAlignment="1" applyFont="1">
      <alignment horizontal="right" vertical="bottom"/>
    </xf>
    <xf borderId="0" fillId="0" fontId="44" numFmtId="164" xfId="0" applyAlignment="1" applyFont="1" applyNumberFormat="1">
      <alignment horizontal="right" vertical="bottom"/>
    </xf>
    <xf borderId="0" fillId="0" fontId="44" numFmtId="166" xfId="0" applyAlignment="1" applyFont="1" applyNumberFormat="1">
      <alignment horizontal="right" vertical="bottom"/>
    </xf>
    <xf quotePrefix="1" borderId="0" fillId="15" fontId="0" numFmtId="0" xfId="0" applyAlignment="1" applyFont="1">
      <alignment readingOrder="0" vertical="bottom"/>
    </xf>
    <xf borderId="0" fillId="3" fontId="92" numFmtId="168" xfId="0" applyAlignment="1" applyFont="1" applyNumberFormat="1">
      <alignment horizontal="right" readingOrder="0"/>
    </xf>
    <xf borderId="0" fillId="0" fontId="198" numFmtId="164" xfId="0" applyAlignment="1" applyFont="1" applyNumberFormat="1">
      <alignment readingOrder="0"/>
    </xf>
    <xf borderId="0" fillId="0" fontId="44" numFmtId="174" xfId="0" applyAlignment="1" applyFont="1" applyNumberFormat="1">
      <alignment horizontal="right" vertical="bottom"/>
    </xf>
    <xf borderId="0" fillId="0" fontId="27" numFmtId="164" xfId="0" applyFont="1" applyNumberFormat="1"/>
    <xf borderId="0" fillId="0" fontId="27" numFmtId="180" xfId="0" applyAlignment="1" applyFont="1" applyNumberFormat="1">
      <alignment readingOrder="0"/>
    </xf>
    <xf borderId="0" fillId="19" fontId="27" numFmtId="0" xfId="0" applyAlignment="1" applyFont="1">
      <alignment readingOrder="0"/>
    </xf>
    <xf borderId="0" fillId="19" fontId="29" numFmtId="0" xfId="0" applyAlignment="1" applyFont="1">
      <alignment horizontal="left" readingOrder="0"/>
    </xf>
    <xf borderId="0" fillId="19" fontId="33" numFmtId="0" xfId="0" applyAlignment="1" applyFont="1">
      <alignment readingOrder="0"/>
    </xf>
    <xf borderId="0" fillId="19" fontId="33" numFmtId="165" xfId="0" applyAlignment="1" applyFont="1" applyNumberFormat="1">
      <alignment horizontal="right" readingOrder="0"/>
    </xf>
    <xf borderId="0" fillId="19" fontId="27" numFmtId="165" xfId="0" applyAlignment="1" applyFont="1" applyNumberFormat="1">
      <alignment horizontal="right" readingOrder="0"/>
    </xf>
    <xf borderId="0" fillId="19" fontId="112" numFmtId="9" xfId="0" applyAlignment="1" applyFont="1" applyNumberFormat="1">
      <alignment horizontal="right" readingOrder="0"/>
    </xf>
    <xf borderId="0" fillId="0" fontId="119" numFmtId="164" xfId="0" applyAlignment="1" applyFont="1" applyNumberFormat="1">
      <alignment horizontal="left"/>
    </xf>
    <xf borderId="0" fillId="19" fontId="110" numFmtId="164" xfId="0" applyAlignment="1" applyFont="1" applyNumberFormat="1">
      <alignment horizontal="left"/>
    </xf>
    <xf borderId="32" fillId="0" fontId="28" numFmtId="0" xfId="0" applyAlignment="1" applyBorder="1" applyFont="1">
      <alignment horizontal="left" readingOrder="0"/>
    </xf>
    <xf borderId="0" fillId="19" fontId="28" numFmtId="0" xfId="0" applyAlignment="1" applyFont="1">
      <alignment horizontal="left"/>
    </xf>
    <xf borderId="0" fillId="19" fontId="28" numFmtId="165" xfId="0" applyAlignment="1" applyFont="1" applyNumberFormat="1">
      <alignment horizontal="right"/>
    </xf>
    <xf borderId="0" fillId="18" fontId="175" numFmtId="173" xfId="0" applyAlignment="1" applyFont="1" applyNumberFormat="1">
      <alignment horizontal="right" readingOrder="0" shrinkToFit="0" vertical="bottom" wrapText="0"/>
    </xf>
    <xf borderId="0" fillId="0" fontId="40" numFmtId="0" xfId="0" applyAlignment="1" applyFont="1">
      <alignment readingOrder="0"/>
    </xf>
    <xf borderId="0" fillId="0" fontId="42" numFmtId="168" xfId="0" applyAlignment="1" applyFont="1" applyNumberFormat="1">
      <alignment readingOrder="0" shrinkToFit="0" vertical="bottom" wrapText="0"/>
    </xf>
    <xf borderId="16" fillId="0" fontId="0" numFmtId="168" xfId="0" applyAlignment="1" applyBorder="1" applyFont="1" applyNumberFormat="1">
      <alignment readingOrder="0" vertical="bottom"/>
    </xf>
    <xf borderId="17" fillId="0" fontId="0" numFmtId="168" xfId="0" applyAlignment="1" applyBorder="1" applyFont="1" applyNumberFormat="1">
      <alignment readingOrder="0" vertical="bottom"/>
    </xf>
    <xf borderId="0" fillId="0" fontId="0" numFmtId="168" xfId="0" applyAlignment="1" applyFont="1" applyNumberFormat="1">
      <alignment readingOrder="0" vertical="bottom"/>
    </xf>
    <xf borderId="15" fillId="0" fontId="29" numFmtId="168" xfId="0" applyAlignment="1" applyBorder="1" applyFont="1" applyNumberFormat="1">
      <alignment shrinkToFit="0" vertical="bottom" wrapText="0"/>
    </xf>
    <xf borderId="0" fillId="0" fontId="29" numFmtId="168" xfId="0" applyAlignment="1" applyFont="1" applyNumberFormat="1">
      <alignment vertical="bottom"/>
    </xf>
    <xf borderId="0" fillId="0" fontId="34" numFmtId="168" xfId="0" applyAlignment="1" applyFont="1" applyNumberFormat="1">
      <alignment readingOrder="0" vertical="bottom"/>
    </xf>
    <xf borderId="0" fillId="0" fontId="199" numFmtId="168" xfId="0" applyAlignment="1" applyFont="1" applyNumberFormat="1">
      <alignment vertical="bottom"/>
    </xf>
    <xf borderId="20" fillId="0" fontId="24" numFmtId="168" xfId="0" applyAlignment="1" applyBorder="1" applyFont="1" applyNumberFormat="1">
      <alignment readingOrder="0"/>
    </xf>
    <xf borderId="51" fillId="0" fontId="0" numFmtId="168" xfId="0" applyBorder="1" applyFont="1" applyNumberFormat="1"/>
    <xf borderId="0" fillId="0" fontId="200" numFmtId="168" xfId="0" applyAlignment="1" applyFont="1" applyNumberFormat="1">
      <alignment readingOrder="0" vertical="bottom"/>
    </xf>
    <xf borderId="0" fillId="5" fontId="24" numFmtId="168" xfId="0" applyAlignment="1" applyFont="1" applyNumberFormat="1">
      <alignment horizontal="center" readingOrder="0" shrinkToFit="0" vertical="bottom" wrapText="0"/>
    </xf>
    <xf borderId="0" fillId="5" fontId="24" numFmtId="168" xfId="0" applyAlignment="1" applyFont="1" applyNumberFormat="1">
      <alignment horizontal="center" shrinkToFit="0" vertical="bottom" wrapText="0"/>
    </xf>
    <xf borderId="52" fillId="5" fontId="24" numFmtId="168" xfId="0" applyAlignment="1" applyBorder="1" applyFont="1" applyNumberFormat="1">
      <alignment horizontal="center" readingOrder="0" shrinkToFit="0" vertical="bottom" wrapText="0"/>
    </xf>
    <xf borderId="10" fillId="5" fontId="24" numFmtId="168" xfId="0" applyAlignment="1" applyBorder="1" applyFont="1" applyNumberFormat="1">
      <alignment horizontal="center" shrinkToFit="0" vertical="bottom" wrapText="0"/>
    </xf>
    <xf borderId="0" fillId="18" fontId="24" numFmtId="168" xfId="0" applyAlignment="1" applyFont="1" applyNumberFormat="1">
      <alignment horizontal="center" readingOrder="0" shrinkToFit="0" vertical="bottom" wrapText="0"/>
    </xf>
    <xf borderId="53" fillId="5" fontId="24" numFmtId="168" xfId="0" applyAlignment="1" applyBorder="1" applyFont="1" applyNumberFormat="1">
      <alignment horizontal="center" readingOrder="0" shrinkToFit="0" vertical="bottom" wrapText="0"/>
    </xf>
    <xf borderId="43" fillId="14" fontId="16" numFmtId="168" xfId="0" applyAlignment="1" applyBorder="1" applyFont="1" applyNumberFormat="1">
      <alignment shrinkToFit="0" vertical="bottom" wrapText="0"/>
    </xf>
    <xf borderId="43" fillId="14" fontId="31" numFmtId="168" xfId="0" applyAlignment="1" applyBorder="1" applyFont="1" applyNumberFormat="1">
      <alignment vertical="bottom"/>
    </xf>
    <xf borderId="44" fillId="14" fontId="31" numFmtId="168" xfId="0" applyAlignment="1" applyBorder="1" applyFont="1" applyNumberFormat="1">
      <alignment vertical="bottom"/>
    </xf>
    <xf borderId="54" fillId="14" fontId="31" numFmtId="168" xfId="0" applyAlignment="1" applyBorder="1" applyFont="1" applyNumberFormat="1">
      <alignment vertical="bottom"/>
    </xf>
    <xf borderId="0" fillId="6" fontId="0" numFmtId="168" xfId="0" applyAlignment="1" applyFont="1" applyNumberFormat="1">
      <alignment horizontal="right" readingOrder="0" shrinkToFit="0" vertical="bottom" wrapText="0"/>
    </xf>
    <xf borderId="0" fillId="0" fontId="201" numFmtId="168" xfId="0" applyAlignment="1" applyFont="1" applyNumberFormat="1">
      <alignment horizontal="right" readingOrder="0" shrinkToFit="0" vertical="bottom" wrapText="0"/>
    </xf>
    <xf borderId="53" fillId="0" fontId="0" numFmtId="168" xfId="0" applyAlignment="1" applyBorder="1" applyFont="1" applyNumberFormat="1">
      <alignment vertical="bottom"/>
    </xf>
    <xf borderId="16" fillId="0" fontId="0" numFmtId="168" xfId="0" applyAlignment="1" applyBorder="1" applyFont="1" applyNumberFormat="1">
      <alignment horizontal="right" shrinkToFit="0" vertical="bottom" wrapText="0"/>
    </xf>
    <xf borderId="17" fillId="0" fontId="0" numFmtId="168" xfId="0" applyAlignment="1" applyBorder="1" applyFont="1" applyNumberFormat="1">
      <alignment horizontal="right" shrinkToFit="0" vertical="bottom" wrapText="0"/>
    </xf>
    <xf borderId="16" fillId="6" fontId="0" numFmtId="168" xfId="0" applyAlignment="1" applyBorder="1" applyFont="1" applyNumberFormat="1">
      <alignment horizontal="right" shrinkToFit="0" vertical="bottom" wrapText="0"/>
    </xf>
    <xf borderId="55" fillId="6" fontId="0" numFmtId="168" xfId="0" applyAlignment="1" applyBorder="1" applyFont="1" applyNumberFormat="1">
      <alignment horizontal="right" shrinkToFit="0" vertical="bottom" wrapText="0"/>
    </xf>
    <xf borderId="53" fillId="0" fontId="0" numFmtId="168" xfId="0" applyAlignment="1" applyBorder="1" applyFont="1" applyNumberFormat="1">
      <alignment readingOrder="0" vertical="bottom"/>
    </xf>
    <xf borderId="43" fillId="14" fontId="16" numFmtId="168" xfId="0" applyAlignment="1" applyBorder="1" applyFont="1" applyNumberFormat="1">
      <alignment readingOrder="0" shrinkToFit="0" vertical="bottom" wrapText="0"/>
    </xf>
    <xf borderId="9" fillId="0" fontId="24" numFmtId="168" xfId="0" applyAlignment="1" applyBorder="1" applyFont="1" applyNumberFormat="1">
      <alignment readingOrder="0" shrinkToFit="0" vertical="bottom" wrapText="0"/>
    </xf>
    <xf borderId="9" fillId="0" fontId="0" numFmtId="168" xfId="0" applyAlignment="1" applyBorder="1" applyFont="1" applyNumberFormat="1">
      <alignment readingOrder="0" vertical="bottom"/>
    </xf>
    <xf borderId="56" fillId="0" fontId="0" numFmtId="168" xfId="0" applyAlignment="1" applyBorder="1" applyFont="1" applyNumberFormat="1">
      <alignment readingOrder="0" vertical="bottom"/>
    </xf>
    <xf borderId="9" fillId="15" fontId="0" numFmtId="168" xfId="0" applyAlignment="1" applyBorder="1" applyFont="1" applyNumberFormat="1">
      <alignment readingOrder="0" vertical="bottom"/>
    </xf>
    <xf borderId="9" fillId="7" fontId="32" numFmtId="168" xfId="0" applyAlignment="1" applyBorder="1" applyFont="1" applyNumberFormat="1">
      <alignment horizontal="center" readingOrder="0" vertical="bottom"/>
    </xf>
    <xf borderId="57" fillId="15" fontId="0" numFmtId="168" xfId="0" applyAlignment="1" applyBorder="1" applyFont="1" applyNumberFormat="1">
      <alignment readingOrder="0" vertical="bottom"/>
    </xf>
    <xf borderId="9" fillId="0" fontId="24" numFmtId="168" xfId="0" applyAlignment="1" applyBorder="1" applyFont="1" applyNumberFormat="1">
      <alignment readingOrder="0" shrinkToFit="0" vertical="bottom" wrapText="0"/>
    </xf>
    <xf borderId="53" fillId="0" fontId="0" numFmtId="168" xfId="0" applyAlignment="1" applyBorder="1" applyFont="1" applyNumberFormat="1">
      <alignment horizontal="right" readingOrder="0" shrinkToFit="0" vertical="bottom" wrapText="0"/>
    </xf>
    <xf borderId="9" fillId="0" fontId="0" numFmtId="168" xfId="0" applyAlignment="1" applyBorder="1" applyFont="1" applyNumberFormat="1">
      <alignment readingOrder="0" vertical="bottom"/>
    </xf>
    <xf borderId="9" fillId="15" fontId="0" numFmtId="168" xfId="0" applyAlignment="1" applyBorder="1" applyFont="1" applyNumberFormat="1">
      <alignment readingOrder="0" vertical="bottom"/>
    </xf>
    <xf borderId="57" fillId="15" fontId="0" numFmtId="168" xfId="0" applyAlignment="1" applyBorder="1" applyFont="1" applyNumberFormat="1">
      <alignment readingOrder="0" vertical="bottom"/>
    </xf>
    <xf borderId="0" fillId="15" fontId="0" numFmtId="168" xfId="0" applyAlignment="1" applyFont="1" applyNumberFormat="1">
      <alignment readingOrder="0" vertical="bottom"/>
    </xf>
    <xf borderId="53" fillId="18" fontId="35" numFmtId="168" xfId="0" applyAlignment="1" applyBorder="1" applyFont="1" applyNumberFormat="1">
      <alignment readingOrder="0" vertical="bottom"/>
    </xf>
    <xf borderId="0" fillId="0" fontId="202" numFmtId="168" xfId="0" applyAlignment="1" applyFont="1" applyNumberFormat="1">
      <alignment shrinkToFit="0" vertical="bottom" wrapText="0"/>
    </xf>
    <xf borderId="0" fillId="0" fontId="24" numFmtId="168" xfId="0" applyAlignment="1" applyFont="1" applyNumberFormat="1">
      <alignment horizontal="right" shrinkToFit="0" vertical="bottom" wrapText="0"/>
    </xf>
    <xf borderId="11" fillId="0" fontId="24" numFmtId="168" xfId="0" applyAlignment="1" applyBorder="1" applyFont="1" applyNumberFormat="1">
      <alignment horizontal="right" shrinkToFit="0" vertical="bottom" wrapText="0"/>
    </xf>
    <xf borderId="53" fillId="0" fontId="24" numFmtId="168" xfId="0" applyAlignment="1" applyBorder="1" applyFont="1" applyNumberFormat="1">
      <alignment horizontal="right" shrinkToFit="0" vertical="bottom" wrapText="0"/>
    </xf>
    <xf borderId="9" fillId="0" fontId="24" numFmtId="168" xfId="0" applyAlignment="1" applyBorder="1" applyFont="1" applyNumberFormat="1">
      <alignment readingOrder="0" vertical="bottom"/>
    </xf>
    <xf borderId="57" fillId="0" fontId="0" numFmtId="168" xfId="0" applyAlignment="1" applyBorder="1" applyFont="1" applyNumberFormat="1">
      <alignment readingOrder="0" vertical="bottom"/>
    </xf>
    <xf borderId="53" fillId="0" fontId="0" numFmtId="168" xfId="0" applyBorder="1" applyFont="1" applyNumberFormat="1"/>
    <xf borderId="55" fillId="0" fontId="24" numFmtId="168" xfId="0" applyAlignment="1" applyBorder="1" applyFont="1" applyNumberFormat="1">
      <alignment vertical="bottom"/>
    </xf>
    <xf borderId="58" fillId="0" fontId="0" numFmtId="168" xfId="0" applyBorder="1" applyFont="1" applyNumberFormat="1"/>
    <xf borderId="7" fillId="15" fontId="203" numFmtId="0" xfId="0" applyAlignment="1" applyBorder="1" applyFont="1">
      <alignment horizontal="center" readingOrder="0" shrinkToFit="0" vertical="bottom" wrapText="0"/>
    </xf>
    <xf borderId="7" fillId="15" fontId="174" numFmtId="0" xfId="0" applyAlignment="1" applyBorder="1" applyFont="1">
      <alignment horizontal="center" readingOrder="0" shrinkToFit="0" vertical="bottom" wrapText="0"/>
    </xf>
    <xf borderId="0" fillId="15" fontId="174" numFmtId="0" xfId="0" applyAlignment="1" applyFont="1">
      <alignment horizontal="center" readingOrder="0" shrinkToFit="0" vertical="bottom" wrapText="0"/>
    </xf>
    <xf borderId="0" fillId="3" fontId="175" numFmtId="0" xfId="0" applyAlignment="1" applyFont="1">
      <alignment readingOrder="0" shrinkToFit="0" vertical="bottom" wrapText="0"/>
    </xf>
    <xf borderId="0" fillId="3" fontId="175" numFmtId="173" xfId="0" applyAlignment="1" applyFont="1" applyNumberFormat="1">
      <alignment horizontal="right" readingOrder="0" shrinkToFit="0" vertical="bottom" wrapText="0"/>
    </xf>
    <xf borderId="0" fillId="3" fontId="29" numFmtId="0" xfId="0" applyAlignment="1" applyFont="1">
      <alignment readingOrder="0" vertical="bottom"/>
    </xf>
    <xf borderId="0" fillId="3" fontId="204" numFmtId="173" xfId="0" applyAlignment="1" applyFont="1" applyNumberFormat="1">
      <alignment horizontal="right" readingOrder="0" shrinkToFit="0" vertical="bottom" wrapText="0"/>
    </xf>
    <xf borderId="20" fillId="3" fontId="33" numFmtId="0" xfId="0" applyBorder="1" applyFont="1"/>
    <xf borderId="20" fillId="3" fontId="29" numFmtId="173" xfId="0" applyAlignment="1" applyBorder="1" applyFont="1" applyNumberFormat="1">
      <alignment vertical="bottom"/>
    </xf>
    <xf borderId="0" fillId="3" fontId="29" numFmtId="173" xfId="0" applyAlignment="1" applyFont="1" applyNumberFormat="1">
      <alignment vertical="bottom"/>
    </xf>
    <xf borderId="0" fillId="3" fontId="174" numFmtId="0" xfId="0" applyAlignment="1" applyFont="1">
      <alignment readingOrder="0" shrinkToFit="0" vertical="bottom" wrapText="0"/>
    </xf>
    <xf borderId="0" fillId="3" fontId="175" numFmtId="173" xfId="0" applyAlignment="1" applyFont="1" applyNumberFormat="1">
      <alignment horizontal="right" shrinkToFit="0" vertical="bottom" wrapText="0"/>
    </xf>
    <xf borderId="0" fillId="3" fontId="29" numFmtId="165" xfId="0" applyAlignment="1" applyFont="1" applyNumberFormat="1">
      <alignment readingOrder="0" vertical="bottom"/>
    </xf>
    <xf borderId="0" fillId="3" fontId="176" numFmtId="0" xfId="0" applyAlignment="1" applyFont="1">
      <alignment readingOrder="0" vertical="bottom"/>
    </xf>
    <xf borderId="0" fillId="3" fontId="33" numFmtId="173" xfId="0" applyFont="1" applyNumberFormat="1"/>
    <xf borderId="0" fillId="3" fontId="33" numFmtId="0" xfId="0" applyFont="1"/>
    <xf borderId="0" fillId="3" fontId="205" numFmtId="0" xfId="0" applyAlignment="1" applyFont="1">
      <alignment readingOrder="0" vertical="bottom"/>
    </xf>
    <xf borderId="0" fillId="3" fontId="29" numFmtId="0" xfId="0" applyAlignment="1" applyFont="1">
      <alignment vertical="bottom"/>
    </xf>
    <xf borderId="7" fillId="3" fontId="174" numFmtId="0" xfId="0" applyAlignment="1" applyBorder="1" applyFont="1">
      <alignment readingOrder="0" shrinkToFit="0" vertical="bottom" wrapText="0"/>
    </xf>
    <xf borderId="7" fillId="3" fontId="29" numFmtId="173" xfId="0" applyAlignment="1" applyBorder="1" applyFont="1" applyNumberFormat="1">
      <alignment vertical="bottom"/>
    </xf>
    <xf borderId="0" fillId="3" fontId="29" numFmtId="173" xfId="0" applyAlignment="1" applyFont="1" applyNumberFormat="1">
      <alignment readingOrder="0" vertical="bottom"/>
    </xf>
    <xf borderId="18" fillId="3" fontId="206" numFmtId="0" xfId="0" applyAlignment="1" applyBorder="1" applyFont="1">
      <alignment shrinkToFit="0" vertical="bottom" wrapText="0"/>
    </xf>
    <xf borderId="18" fillId="3" fontId="174" numFmtId="173" xfId="0" applyAlignment="1" applyBorder="1" applyFont="1" applyNumberFormat="1">
      <alignment horizontal="right" shrinkToFit="0" vertical="bottom" wrapText="0"/>
    </xf>
    <xf borderId="0" fillId="3" fontId="174" numFmtId="173" xfId="0" applyAlignment="1" applyFont="1" applyNumberFormat="1">
      <alignment horizontal="right" shrinkToFit="0" vertical="bottom" wrapText="0"/>
    </xf>
    <xf borderId="0" fillId="3" fontId="207" numFmtId="0" xfId="0" applyAlignment="1" applyFont="1">
      <alignment shrinkToFit="0" vertical="bottom" wrapText="0"/>
    </xf>
    <xf borderId="0" fillId="3" fontId="24" numFmtId="0" xfId="0" applyAlignment="1" applyFont="1">
      <alignment readingOrder="0" vertical="bottom"/>
    </xf>
    <xf borderId="20" fillId="3" fontId="110" numFmtId="0" xfId="0" applyAlignment="1" applyBorder="1" applyFont="1">
      <alignment horizontal="left" readingOrder="0"/>
    </xf>
    <xf borderId="0" fillId="3" fontId="24" numFmtId="0" xfId="0" applyAlignment="1" applyFont="1">
      <alignment readingOrder="0" shrinkToFit="0" vertical="bottom" wrapText="0"/>
    </xf>
    <xf borderId="0" fillId="3" fontId="176" numFmtId="173" xfId="0" applyAlignment="1" applyFont="1" applyNumberFormat="1">
      <alignment vertical="bottom"/>
    </xf>
    <xf borderId="0" fillId="3" fontId="110" numFmtId="0" xfId="0" applyAlignment="1" applyFont="1">
      <alignment horizontal="left" readingOrder="0"/>
    </xf>
    <xf borderId="28" fillId="3" fontId="110" numFmtId="0" xfId="0" applyAlignment="1" applyBorder="1" applyFont="1">
      <alignment readingOrder="0"/>
    </xf>
    <xf borderId="0" fillId="3" fontId="208" numFmtId="0" xfId="0" applyAlignment="1" applyFont="1">
      <alignment readingOrder="0"/>
    </xf>
    <xf borderId="0" fillId="3" fontId="33" numFmtId="165" xfId="0" applyAlignment="1" applyFont="1" applyNumberFormat="1">
      <alignment readingOrder="0"/>
    </xf>
    <xf borderId="0" fillId="3" fontId="110" numFmtId="0" xfId="0" applyAlignment="1" applyFont="1">
      <alignment readingOrder="0"/>
    </xf>
    <xf borderId="13" fillId="3" fontId="29" numFmtId="0" xfId="0" applyAlignment="1" applyBorder="1" applyFont="1">
      <alignment readingOrder="0" vertical="bottom"/>
    </xf>
    <xf borderId="0" fillId="0" fontId="199" numFmtId="168" xfId="0" applyAlignment="1" applyFont="1" applyNumberFormat="1">
      <alignment readingOrder="0" vertical="bottom"/>
    </xf>
    <xf borderId="0" fillId="3" fontId="33" numFmtId="168" xfId="0" applyFont="1" applyNumberFormat="1"/>
    <xf borderId="0" fillId="3" fontId="33" numFmtId="168" xfId="0" applyAlignment="1" applyFont="1" applyNumberFormat="1">
      <alignment readingOrder="0"/>
    </xf>
    <xf borderId="0" fillId="0" fontId="70" numFmtId="0" xfId="0" applyFont="1"/>
    <xf borderId="0" fillId="0" fontId="209" numFmtId="164" xfId="0" applyAlignment="1" applyFont="1" applyNumberFormat="1">
      <alignment readingOrder="0"/>
    </xf>
    <xf borderId="0" fillId="0" fontId="67" numFmtId="164" xfId="0" applyFont="1" applyNumberFormat="1"/>
    <xf borderId="0" fillId="0" fontId="62" numFmtId="165" xfId="0" applyFont="1" applyNumberFormat="1"/>
    <xf borderId="0" fillId="0" fontId="62" numFmtId="164" xfId="0" applyFont="1" applyNumberFormat="1"/>
    <xf borderId="0" fillId="0" fontId="67" numFmtId="165" xfId="0" applyAlignment="1" applyFont="1" applyNumberFormat="1">
      <alignment horizontal="right" readingOrder="0"/>
    </xf>
    <xf borderId="0" fillId="0" fontId="27" numFmtId="179" xfId="0" applyAlignment="1" applyFont="1" applyNumberFormat="1">
      <alignment horizontal="right" readingOrder="0"/>
    </xf>
    <xf borderId="0" fillId="0" fontId="62" numFmtId="165" xfId="0" applyAlignment="1" applyFont="1" applyNumberFormat="1">
      <alignment horizontal="right" readingOrder="0"/>
    </xf>
    <xf borderId="0" fillId="0" fontId="25" numFmtId="179" xfId="0" applyAlignment="1" applyFont="1" applyNumberFormat="1">
      <alignment horizontal="right" readingOrder="0"/>
    </xf>
    <xf borderId="0" fillId="0" fontId="113" numFmtId="179" xfId="0" applyAlignment="1" applyFont="1" applyNumberFormat="1">
      <alignment horizontal="right" readingOrder="0"/>
    </xf>
    <xf borderId="0" fillId="0" fontId="28" numFmtId="0" xfId="0" applyAlignment="1" applyFont="1">
      <alignment horizontal="center" readingOrder="0" textRotation="90" vertical="center"/>
    </xf>
    <xf borderId="0" fillId="0" fontId="210" numFmtId="0" xfId="0" applyAlignment="1" applyFont="1">
      <alignment readingOrder="0" shrinkToFit="0" wrapText="1"/>
    </xf>
    <xf borderId="50" fillId="0" fontId="118" numFmtId="0" xfId="0" applyAlignment="1" applyBorder="1" applyFont="1">
      <alignment horizontal="center" readingOrder="0"/>
    </xf>
    <xf borderId="0" fillId="0" fontId="189" numFmtId="164" xfId="0" applyAlignment="1" applyFont="1" applyNumberFormat="1">
      <alignment horizontal="center" readingOrder="0"/>
    </xf>
    <xf borderId="0" fillId="31" fontId="211" numFmtId="0" xfId="0" applyAlignment="1" applyFont="1">
      <alignment horizontal="center" readingOrder="0"/>
    </xf>
    <xf borderId="0" fillId="0" fontId="189" numFmtId="166" xfId="0" applyAlignment="1" applyFont="1" applyNumberFormat="1">
      <alignment horizontal="center" readingOrder="0"/>
    </xf>
    <xf borderId="0" fillId="0" fontId="193" numFmtId="164" xfId="0" applyAlignment="1" applyFont="1" applyNumberFormat="1">
      <alignment horizontal="left" readingOrder="0"/>
    </xf>
    <xf borderId="0" fillId="0" fontId="212" numFmtId="0" xfId="0" applyFont="1"/>
    <xf borderId="0" fillId="38" fontId="193" numFmtId="0" xfId="0" applyAlignment="1" applyFill="1" applyFont="1">
      <alignment horizontal="center" readingOrder="0"/>
    </xf>
    <xf borderId="0" fillId="0" fontId="33" numFmtId="164" xfId="0" applyAlignment="1" applyFont="1" applyNumberFormat="1">
      <alignment horizontal="center" readingOrder="0"/>
    </xf>
    <xf borderId="0" fillId="38" fontId="27" numFmtId="0" xfId="0" applyAlignment="1" applyFont="1">
      <alignment horizontal="center" readingOrder="0"/>
    </xf>
    <xf borderId="0" fillId="0" fontId="33" numFmtId="166" xfId="0" applyAlignment="1" applyFont="1" applyNumberFormat="1">
      <alignment horizontal="center" readingOrder="0"/>
    </xf>
    <xf borderId="0" fillId="0" fontId="213" numFmtId="0" xfId="0" applyAlignment="1" applyFont="1">
      <alignment readingOrder="0"/>
    </xf>
    <xf borderId="0" fillId="0" fontId="213" numFmtId="164" xfId="0" applyAlignment="1" applyFont="1" applyNumberFormat="1">
      <alignment horizontal="center" readingOrder="0"/>
    </xf>
    <xf borderId="0" fillId="0" fontId="213" numFmtId="166" xfId="0" applyAlignment="1" applyFont="1" applyNumberFormat="1">
      <alignment horizontal="center" readingOrder="0"/>
    </xf>
    <xf borderId="0" fillId="0" fontId="213" numFmtId="0" xfId="0" applyFont="1"/>
    <xf borderId="0" fillId="0" fontId="213" numFmtId="164" xfId="0" applyAlignment="1" applyFont="1" applyNumberFormat="1">
      <alignment horizontal="left" readingOrder="0"/>
    </xf>
    <xf borderId="0" fillId="23" fontId="213" numFmtId="0" xfId="0" applyAlignment="1" applyFont="1">
      <alignment horizontal="center" readingOrder="0"/>
    </xf>
    <xf borderId="0" fillId="0" fontId="213" numFmtId="0" xfId="0" applyAlignment="1" applyFont="1">
      <alignment horizontal="center" readingOrder="0"/>
    </xf>
    <xf borderId="0" fillId="3" fontId="214" numFmtId="164" xfId="0" applyAlignment="1" applyFont="1" applyNumberFormat="1">
      <alignment horizontal="left" readingOrder="0"/>
    </xf>
    <xf borderId="0" fillId="0" fontId="69" numFmtId="0" xfId="0" applyAlignment="1" applyFont="1">
      <alignment horizontal="left" readingOrder="0"/>
    </xf>
    <xf borderId="0" fillId="0" fontId="0" numFmtId="164" xfId="0" applyAlignment="1" applyFont="1" applyNumberFormat="1">
      <alignment horizontal="right" readingOrder="0" vertical="bottom"/>
    </xf>
    <xf borderId="0" fillId="0" fontId="0" numFmtId="180" xfId="0" applyAlignment="1" applyFont="1" applyNumberFormat="1">
      <alignment horizontal="center" readingOrder="0" vertical="bottom"/>
    </xf>
    <xf borderId="0" fillId="0" fontId="25" numFmtId="165" xfId="0" applyAlignment="1" applyFont="1" applyNumberFormat="1">
      <alignment horizontal="left" readingOrder="0"/>
    </xf>
    <xf borderId="0" fillId="0" fontId="120" numFmtId="165" xfId="0" applyAlignment="1" applyFont="1" applyNumberFormat="1">
      <alignment horizontal="right" readingOrder="0"/>
    </xf>
    <xf borderId="0" fillId="0" fontId="24" numFmtId="0" xfId="0" applyAlignment="1" applyFont="1">
      <alignment horizontal="left" readingOrder="0"/>
    </xf>
    <xf borderId="0" fillId="0" fontId="119" numFmtId="165" xfId="0" applyAlignment="1" applyFont="1" applyNumberFormat="1">
      <alignment readingOrder="0"/>
    </xf>
    <xf borderId="7" fillId="0" fontId="215" numFmtId="0" xfId="0" applyAlignment="1" applyBorder="1" applyFont="1">
      <alignment horizontal="left" readingOrder="0"/>
    </xf>
    <xf borderId="7" fillId="0" fontId="0" numFmtId="164" xfId="0" applyAlignment="1" applyBorder="1" applyFont="1" applyNumberFormat="1">
      <alignment horizontal="right" readingOrder="0" vertical="bottom"/>
    </xf>
    <xf borderId="7" fillId="0" fontId="0" numFmtId="180" xfId="0" applyAlignment="1" applyBorder="1" applyFont="1" applyNumberFormat="1">
      <alignment horizontal="center" readingOrder="0" vertical="bottom"/>
    </xf>
    <xf borderId="7" fillId="0" fontId="25" numFmtId="165" xfId="0" applyAlignment="1" applyBorder="1" applyFont="1" applyNumberFormat="1">
      <alignment horizontal="left" readingOrder="0"/>
    </xf>
    <xf borderId="0" fillId="0" fontId="120" numFmtId="165" xfId="0" applyAlignment="1" applyFont="1" applyNumberFormat="1">
      <alignment readingOrder="0"/>
    </xf>
    <xf borderId="0" fillId="0" fontId="27" numFmtId="164" xfId="0" applyAlignment="1" applyFont="1" applyNumberFormat="1">
      <alignment horizontal="left"/>
    </xf>
    <xf borderId="0" fillId="0" fontId="25" numFmtId="0" xfId="0" applyAlignment="1" applyFont="1">
      <alignment horizontal="left" readingOrder="0"/>
    </xf>
    <xf borderId="0" fillId="0" fontId="0" numFmtId="164" xfId="0" applyAlignment="1" applyFont="1" applyNumberFormat="1">
      <alignment horizontal="left" readingOrder="0" vertical="bottom"/>
    </xf>
    <xf borderId="0" fillId="0" fontId="121" numFmtId="165" xfId="0" applyAlignment="1" applyFont="1" applyNumberFormat="1">
      <alignment horizontal="right" readingOrder="0"/>
    </xf>
    <xf borderId="0" fillId="0" fontId="69" numFmtId="0" xfId="0" applyAlignment="1" applyFont="1">
      <alignment readingOrder="0" shrinkToFit="0" wrapText="1"/>
    </xf>
    <xf borderId="0" fillId="3" fontId="29" numFmtId="0" xfId="0" applyAlignment="1" applyFont="1">
      <alignment horizontal="left" readingOrder="0"/>
    </xf>
    <xf borderId="0" fillId="0" fontId="25" numFmtId="180" xfId="0" applyAlignment="1" applyFont="1" applyNumberFormat="1">
      <alignment horizontal="center" readingOrder="0"/>
    </xf>
    <xf borderId="0" fillId="0" fontId="69" numFmtId="0" xfId="0" applyAlignment="1" applyFont="1">
      <alignment horizontal="left" readingOrder="0"/>
    </xf>
    <xf borderId="0" fillId="0" fontId="111" numFmtId="0" xfId="0" applyAlignment="1" applyFont="1">
      <alignment readingOrder="0"/>
    </xf>
    <xf borderId="0" fillId="0" fontId="28" numFmtId="0" xfId="0" applyAlignment="1" applyFont="1">
      <alignment horizontal="left" readingOrder="0"/>
    </xf>
    <xf borderId="0" fillId="0" fontId="213" numFmtId="0" xfId="0" applyAlignment="1" applyFont="1">
      <alignment horizontal="center"/>
    </xf>
    <xf borderId="0" fillId="0" fontId="28" numFmtId="0" xfId="0" applyAlignment="1" applyFont="1">
      <alignment horizontal="left" readingOrder="0"/>
    </xf>
    <xf borderId="0" fillId="0" fontId="216" numFmtId="0" xfId="0" applyAlignment="1" applyFont="1">
      <alignment horizontal="right" readingOrder="0"/>
    </xf>
    <xf borderId="0" fillId="0" fontId="28" numFmtId="0" xfId="0" applyFont="1"/>
    <xf borderId="0" fillId="0" fontId="217" numFmtId="0" xfId="0" applyAlignment="1" applyFont="1">
      <alignment horizontal="center"/>
    </xf>
    <xf borderId="0" fillId="0" fontId="217" numFmtId="0" xfId="0" applyFont="1"/>
    <xf borderId="9" fillId="35" fontId="89" numFmtId="0" xfId="0" applyAlignment="1" applyBorder="1" applyFont="1">
      <alignment horizontal="center" readingOrder="0"/>
    </xf>
    <xf borderId="0" fillId="2" fontId="90" numFmtId="0" xfId="0" applyFont="1"/>
    <xf borderId="0" fillId="0" fontId="113" numFmtId="0" xfId="0" applyAlignment="1" applyFont="1">
      <alignment readingOrder="0" shrinkToFit="0" wrapText="1"/>
    </xf>
    <xf borderId="0" fillId="0" fontId="113" numFmtId="164" xfId="0" applyAlignment="1" applyFont="1" applyNumberFormat="1">
      <alignment readingOrder="0"/>
    </xf>
    <xf borderId="59" fillId="2" fontId="91" numFmtId="0" xfId="0" applyAlignment="1" applyBorder="1" applyFont="1">
      <alignment readingOrder="0"/>
    </xf>
    <xf borderId="60" fillId="0" fontId="27" numFmtId="0" xfId="0" applyBorder="1" applyFont="1"/>
    <xf borderId="61" fillId="0" fontId="27" numFmtId="0" xfId="0" applyAlignment="1" applyBorder="1" applyFont="1">
      <alignment readingOrder="0" vertical="center"/>
    </xf>
    <xf borderId="62" fillId="0" fontId="27" numFmtId="0" xfId="0" applyBorder="1" applyFont="1"/>
    <xf borderId="63" fillId="0" fontId="27" numFmtId="0" xfId="0" applyBorder="1" applyFont="1"/>
    <xf borderId="64" fillId="0" fontId="27" numFmtId="0" xfId="0" applyBorder="1" applyFont="1"/>
    <xf borderId="0" fillId="19" fontId="27" numFmtId="0" xfId="0" applyAlignment="1" applyFont="1">
      <alignment readingOrder="0"/>
    </xf>
    <xf borderId="0" fillId="19" fontId="27" numFmtId="0" xfId="0" applyFont="1"/>
    <xf borderId="0" fillId="0" fontId="193" numFmtId="0" xfId="0" applyAlignment="1" applyFont="1">
      <alignment horizontal="left" readingOrder="0"/>
    </xf>
    <xf borderId="0" fillId="0" fontId="193" numFmtId="164" xfId="0" applyAlignment="1" applyFont="1" applyNumberFormat="1">
      <alignment readingOrder="0"/>
    </xf>
    <xf borderId="0" fillId="0" fontId="193" numFmtId="0" xfId="0" applyFont="1"/>
    <xf borderId="0" fillId="15" fontId="193" numFmtId="164" xfId="0" applyAlignment="1" applyFont="1" applyNumberFormat="1">
      <alignment readingOrder="0"/>
    </xf>
    <xf borderId="0" fillId="0" fontId="193" numFmtId="0" xfId="0" applyAlignment="1" applyFont="1">
      <alignment readingOrder="0"/>
    </xf>
    <xf borderId="0" fillId="0" fontId="218" numFmtId="164" xfId="0" applyFont="1" applyNumberFormat="1"/>
    <xf borderId="0" fillId="0" fontId="193" numFmtId="164" xfId="0" applyFont="1" applyNumberFormat="1"/>
    <xf borderId="0" fillId="0" fontId="219" numFmtId="0" xfId="0" applyAlignment="1" applyFont="1">
      <alignment readingOrder="0"/>
    </xf>
    <xf borderId="0" fillId="15" fontId="94" numFmtId="0" xfId="0" applyAlignment="1" applyFont="1">
      <alignment vertical="bottom"/>
    </xf>
    <xf borderId="0" fillId="15" fontId="94" numFmtId="0" xfId="0" applyAlignment="1" applyFont="1">
      <alignment shrinkToFit="0" vertical="bottom" wrapText="0"/>
    </xf>
    <xf borderId="0" fillId="15" fontId="94" numFmtId="165" xfId="0" applyAlignment="1" applyFont="1" applyNumberFormat="1">
      <alignment vertical="bottom"/>
    </xf>
    <xf borderId="0" fillId="5" fontId="220" numFmtId="0" xfId="0" applyAlignment="1" applyFont="1">
      <alignment readingOrder="0" shrinkToFit="0" vertical="bottom" wrapText="0"/>
    </xf>
    <xf borderId="0" fillId="5" fontId="220" numFmtId="173" xfId="0" applyAlignment="1" applyFont="1" applyNumberFormat="1">
      <alignment readingOrder="0" shrinkToFit="0" vertical="bottom" wrapText="0"/>
    </xf>
    <xf borderId="0" fillId="5" fontId="220" numFmtId="177" xfId="0" applyAlignment="1" applyFont="1" applyNumberFormat="1">
      <alignment shrinkToFit="0" vertical="bottom" wrapText="0"/>
    </xf>
    <xf borderId="43" fillId="0" fontId="221" numFmtId="0" xfId="0" applyAlignment="1" applyBorder="1" applyFont="1">
      <alignment shrinkToFit="0" vertical="bottom" wrapText="0"/>
    </xf>
    <xf borderId="43" fillId="0" fontId="222" numFmtId="173" xfId="0" applyAlignment="1" applyBorder="1" applyFont="1" applyNumberFormat="1">
      <alignment vertical="bottom"/>
    </xf>
    <xf borderId="43" fillId="0" fontId="222" numFmtId="173" xfId="0" applyAlignment="1" applyBorder="1" applyFont="1" applyNumberFormat="1">
      <alignment readingOrder="0" vertical="bottom"/>
    </xf>
    <xf borderId="43" fillId="0" fontId="27" numFmtId="0" xfId="0" applyBorder="1" applyFont="1"/>
    <xf borderId="0" fillId="0" fontId="223" numFmtId="0" xfId="0" applyAlignment="1" applyFont="1">
      <alignment readingOrder="0" shrinkToFit="0" vertical="bottom" wrapText="0"/>
    </xf>
    <xf borderId="0" fillId="0" fontId="223" numFmtId="173" xfId="0" applyAlignment="1" applyFont="1" applyNumberFormat="1">
      <alignment shrinkToFit="0" vertical="bottom" wrapText="0"/>
    </xf>
    <xf borderId="0" fillId="0" fontId="223" numFmtId="173" xfId="0" applyAlignment="1" applyFont="1" applyNumberFormat="1">
      <alignment horizontal="right" readingOrder="0" shrinkToFit="0" vertical="bottom" wrapText="0"/>
    </xf>
    <xf borderId="0" fillId="0" fontId="224" numFmtId="173" xfId="0" applyAlignment="1" applyFont="1" applyNumberFormat="1">
      <alignment horizontal="right" readingOrder="0" shrinkToFit="0" vertical="bottom" wrapText="0"/>
    </xf>
    <xf borderId="0" fillId="19" fontId="222" numFmtId="0" xfId="0" applyAlignment="1" applyFont="1">
      <alignment readingOrder="0" vertical="bottom"/>
    </xf>
    <xf borderId="0" fillId="19" fontId="222" numFmtId="173" xfId="0" applyAlignment="1" applyFont="1" applyNumberFormat="1">
      <alignment vertical="bottom"/>
    </xf>
    <xf borderId="0" fillId="19" fontId="223" numFmtId="173" xfId="0" applyAlignment="1" applyFont="1" applyNumberFormat="1">
      <alignment horizontal="right" shrinkToFit="0" vertical="bottom" wrapText="0"/>
    </xf>
    <xf borderId="0" fillId="19" fontId="223" numFmtId="173" xfId="0" applyAlignment="1" applyFont="1" applyNumberFormat="1">
      <alignment horizontal="right" readingOrder="0" shrinkToFit="0" vertical="bottom" wrapText="0"/>
    </xf>
    <xf borderId="0" fillId="0" fontId="222" numFmtId="173" xfId="0" applyAlignment="1" applyFont="1" applyNumberFormat="1">
      <alignment vertical="bottom"/>
    </xf>
    <xf borderId="0" fillId="0" fontId="223" numFmtId="173" xfId="0" applyAlignment="1" applyFont="1" applyNumberFormat="1">
      <alignment horizontal="right" shrinkToFit="0" vertical="bottom" wrapText="0"/>
    </xf>
    <xf borderId="0" fillId="0" fontId="225" numFmtId="173" xfId="0" applyAlignment="1" applyFont="1" applyNumberFormat="1">
      <alignment horizontal="right" readingOrder="0" shrinkToFit="0" vertical="bottom" wrapText="0"/>
    </xf>
    <xf borderId="0" fillId="0" fontId="222" numFmtId="0" xfId="0" applyAlignment="1" applyFont="1">
      <alignment vertical="bottom"/>
    </xf>
    <xf borderId="0" fillId="0" fontId="220" numFmtId="0" xfId="0" applyAlignment="1" applyFont="1">
      <alignment readingOrder="0" shrinkToFit="0" vertical="bottom" wrapText="0"/>
    </xf>
    <xf borderId="0" fillId="0" fontId="226" numFmtId="165" xfId="0" applyAlignment="1" applyFont="1" applyNumberFormat="1">
      <alignment readingOrder="0" vertical="bottom"/>
    </xf>
    <xf borderId="0" fillId="0" fontId="226" numFmtId="0" xfId="0" applyAlignment="1" applyFont="1">
      <alignment readingOrder="0" vertical="bottom"/>
    </xf>
    <xf borderId="0" fillId="0" fontId="28" numFmtId="173" xfId="0" applyFont="1" applyNumberFormat="1"/>
    <xf borderId="0" fillId="0" fontId="227" numFmtId="0" xfId="0" applyAlignment="1" applyFont="1">
      <alignment readingOrder="0" vertical="bottom"/>
    </xf>
    <xf borderId="45" fillId="0" fontId="228" numFmtId="0" xfId="0" applyAlignment="1" applyBorder="1" applyFont="1">
      <alignment shrinkToFit="0" vertical="bottom" wrapText="0"/>
    </xf>
    <xf borderId="45" fillId="0" fontId="222" numFmtId="173" xfId="0" applyAlignment="1" applyBorder="1" applyFont="1" applyNumberFormat="1">
      <alignment vertical="bottom"/>
    </xf>
    <xf borderId="45" fillId="0" fontId="222" numFmtId="0" xfId="0" applyAlignment="1" applyBorder="1" applyFont="1">
      <alignment vertical="bottom"/>
    </xf>
    <xf borderId="0" fillId="0" fontId="229" numFmtId="173" xfId="0" applyAlignment="1" applyFont="1" applyNumberFormat="1">
      <alignment horizontal="right" readingOrder="0" shrinkToFit="0" vertical="bottom" wrapText="0"/>
    </xf>
    <xf borderId="0" fillId="0" fontId="175" numFmtId="0" xfId="0" applyAlignment="1" applyFont="1">
      <alignment shrinkToFit="0" vertical="bottom" wrapText="0"/>
    </xf>
    <xf borderId="0" fillId="21" fontId="175" numFmtId="173" xfId="0" applyAlignment="1" applyFont="1" applyNumberFormat="1">
      <alignment horizontal="right" readingOrder="0" shrinkToFit="0" vertical="bottom" wrapText="0"/>
    </xf>
    <xf borderId="0" fillId="0" fontId="230" numFmtId="0" xfId="0" applyAlignment="1" applyFont="1">
      <alignment shrinkToFit="0" vertical="bottom" wrapText="0"/>
    </xf>
    <xf borderId="0" fillId="0" fontId="220" numFmtId="173" xfId="0" applyAlignment="1" applyFont="1" applyNumberFormat="1">
      <alignment horizontal="right" shrinkToFit="0" vertical="bottom" wrapText="0"/>
    </xf>
    <xf borderId="47" fillId="0" fontId="231" numFmtId="0" xfId="0" applyAlignment="1" applyBorder="1" applyFont="1">
      <alignment readingOrder="0" shrinkToFit="0" vertical="bottom" wrapText="0"/>
    </xf>
    <xf borderId="47" fillId="0" fontId="232" numFmtId="173" xfId="0" applyAlignment="1" applyBorder="1" applyFont="1" applyNumberFormat="1">
      <alignment vertical="bottom"/>
    </xf>
    <xf borderId="47" fillId="0" fontId="232" numFmtId="0" xfId="0" applyAlignment="1" applyBorder="1" applyFont="1">
      <alignment vertical="bottom"/>
    </xf>
    <xf borderId="0" fillId="0" fontId="233" numFmtId="0" xfId="0" applyAlignment="1" applyFont="1">
      <alignment readingOrder="0" vertical="bottom"/>
    </xf>
    <xf borderId="0" fillId="0" fontId="222" numFmtId="173" xfId="0" applyAlignment="1" applyFont="1" applyNumberFormat="1">
      <alignment readingOrder="0" vertical="bottom"/>
    </xf>
    <xf borderId="0" fillId="0" fontId="234" numFmtId="173" xfId="0" applyFont="1" applyNumberFormat="1"/>
    <xf borderId="0" fillId="0" fontId="235" numFmtId="0" xfId="0" applyAlignment="1" applyFont="1">
      <alignment horizontal="left" readingOrder="0"/>
    </xf>
    <xf borderId="0" fillId="0" fontId="234" numFmtId="0" xfId="0" applyFont="1"/>
    <xf borderId="0" fillId="0" fontId="233" numFmtId="0" xfId="0" applyAlignment="1" applyFont="1">
      <alignment readingOrder="0" shrinkToFit="0" vertical="bottom" wrapText="0"/>
    </xf>
    <xf borderId="0" fillId="0" fontId="226" numFmtId="173" xfId="0" applyAlignment="1" applyFont="1" applyNumberFormat="1">
      <alignment vertical="bottom"/>
    </xf>
    <xf borderId="0" fillId="0" fontId="213" numFmtId="0" xfId="0" applyAlignment="1" applyFont="1">
      <alignment readingOrder="0"/>
    </xf>
    <xf borderId="0" fillId="0" fontId="236" numFmtId="0" xfId="0" applyAlignment="1" applyFont="1">
      <alignment readingOrder="0"/>
    </xf>
    <xf borderId="0" fillId="0" fontId="234" numFmtId="0" xfId="0" applyAlignment="1" applyFont="1">
      <alignment readingOrder="0"/>
    </xf>
    <xf borderId="0" fillId="0" fontId="237" numFmtId="0" xfId="0" applyAlignment="1" applyFont="1">
      <alignment horizontal="left" readingOrder="0"/>
    </xf>
    <xf borderId="0" fillId="0" fontId="238" numFmtId="165" xfId="0" applyAlignment="1" applyFont="1" applyNumberFormat="1">
      <alignment horizontal="left" readingOrder="0"/>
    </xf>
    <xf borderId="0" fillId="0" fontId="43" numFmtId="164" xfId="0" applyAlignment="1" applyFont="1" applyNumberFormat="1">
      <alignment horizontal="right" readingOrder="0" vertical="bottom"/>
    </xf>
    <xf borderId="0" fillId="0" fontId="43" numFmtId="180" xfId="0" applyAlignment="1" applyFont="1" applyNumberFormat="1">
      <alignment horizontal="center" readingOrder="0" vertical="bottom"/>
    </xf>
    <xf borderId="0" fillId="0" fontId="212" numFmtId="165" xfId="0" applyAlignment="1" applyFont="1" applyNumberFormat="1">
      <alignment readingOrder="0"/>
    </xf>
    <xf borderId="0" fillId="0" fontId="239" numFmtId="0" xfId="0" applyAlignment="1" applyFont="1">
      <alignment horizontal="center" readingOrder="0"/>
    </xf>
    <xf borderId="0" fillId="0" fontId="240" numFmtId="0" xfId="0" applyFont="1"/>
    <xf borderId="0" fillId="0" fontId="125" numFmtId="0" xfId="0" applyAlignment="1" applyFont="1">
      <alignment readingOrder="0"/>
    </xf>
    <xf borderId="0" fillId="0" fontId="235" numFmtId="181" xfId="0" applyAlignment="1" applyFont="1" applyNumberFormat="1">
      <alignment horizontal="center" readingOrder="0"/>
    </xf>
    <xf borderId="65" fillId="39" fontId="235" numFmtId="2" xfId="0" applyAlignment="1" applyBorder="1" applyFill="1" applyFont="1" applyNumberFormat="1">
      <alignment horizontal="center" readingOrder="0"/>
    </xf>
    <xf borderId="65" fillId="0" fontId="27" numFmtId="0" xfId="0" applyBorder="1" applyFont="1"/>
    <xf borderId="66" fillId="0" fontId="27" numFmtId="0" xfId="0" applyBorder="1" applyFont="1"/>
    <xf borderId="67" fillId="39" fontId="235" numFmtId="181" xfId="0" applyAlignment="1" applyBorder="1" applyFont="1" applyNumberFormat="1">
      <alignment horizontal="center" readingOrder="0"/>
    </xf>
    <xf borderId="67" fillId="39" fontId="235" numFmtId="0" xfId="0" applyAlignment="1" applyBorder="1" applyFont="1">
      <alignment readingOrder="0"/>
    </xf>
    <xf borderId="67" fillId="39" fontId="235" numFmtId="10" xfId="0" applyAlignment="1" applyBorder="1" applyFont="1" applyNumberFormat="1">
      <alignment readingOrder="0"/>
    </xf>
    <xf borderId="68" fillId="39" fontId="235" numFmtId="0" xfId="0" applyAlignment="1" applyBorder="1" applyFont="1">
      <alignment readingOrder="0"/>
    </xf>
    <xf borderId="67" fillId="39" fontId="235" numFmtId="165" xfId="0" applyAlignment="1" applyBorder="1" applyFont="1" applyNumberFormat="1">
      <alignment readingOrder="0"/>
    </xf>
    <xf borderId="69" fillId="39" fontId="235" numFmtId="165" xfId="0" applyAlignment="1" applyBorder="1" applyFont="1" applyNumberFormat="1">
      <alignment horizontal="center" readingOrder="0"/>
    </xf>
    <xf borderId="0" fillId="0" fontId="235" numFmtId="0" xfId="0" applyFont="1"/>
    <xf borderId="67" fillId="0" fontId="234" numFmtId="0" xfId="0" applyAlignment="1" applyBorder="1" applyFont="1">
      <alignment readingOrder="0"/>
    </xf>
    <xf borderId="67" fillId="16" fontId="234" numFmtId="10" xfId="0" applyBorder="1" applyFont="1" applyNumberFormat="1"/>
    <xf borderId="70" fillId="0" fontId="234" numFmtId="10" xfId="0" applyAlignment="1" applyBorder="1" applyFont="1" applyNumberFormat="1">
      <alignment readingOrder="0"/>
    </xf>
    <xf borderId="71" fillId="38" fontId="234" numFmtId="9" xfId="0" applyAlignment="1" applyBorder="1" applyFont="1" applyNumberFormat="1">
      <alignment readingOrder="0"/>
    </xf>
    <xf borderId="66" fillId="0" fontId="234" numFmtId="10" xfId="0" applyBorder="1" applyFont="1" applyNumberFormat="1"/>
    <xf borderId="67" fillId="0" fontId="234" numFmtId="0" xfId="0" applyBorder="1" applyFont="1"/>
    <xf borderId="67" fillId="0" fontId="234" numFmtId="10" xfId="0" applyBorder="1" applyFont="1" applyNumberFormat="1"/>
    <xf borderId="67" fillId="0" fontId="234" numFmtId="165" xfId="0" applyBorder="1" applyFont="1" applyNumberFormat="1"/>
    <xf borderId="0" fillId="0" fontId="234" numFmtId="10" xfId="0" applyAlignment="1" applyFont="1" applyNumberFormat="1">
      <alignment readingOrder="0"/>
    </xf>
    <xf borderId="0" fillId="0" fontId="234" numFmtId="10" xfId="0" applyFont="1" applyNumberFormat="1"/>
    <xf borderId="68" fillId="16" fontId="234" numFmtId="10" xfId="0" applyBorder="1" applyFont="1" applyNumberFormat="1"/>
    <xf borderId="0" fillId="0" fontId="234" numFmtId="9" xfId="0" applyAlignment="1" applyFont="1" applyNumberFormat="1">
      <alignment readingOrder="0"/>
    </xf>
    <xf borderId="69" fillId="16" fontId="234" numFmtId="10" xfId="0" applyBorder="1" applyFont="1" applyNumberFormat="1"/>
    <xf borderId="70" fillId="0" fontId="234" numFmtId="0" xfId="0" applyAlignment="1" applyBorder="1" applyFont="1">
      <alignment readingOrder="0"/>
    </xf>
    <xf borderId="71" fillId="5" fontId="234" numFmtId="10" xfId="0" applyAlignment="1" applyBorder="1" applyFont="1" applyNumberFormat="1">
      <alignment readingOrder="0"/>
    </xf>
    <xf borderId="65" fillId="0" fontId="234" numFmtId="10" xfId="0" applyAlignment="1" applyBorder="1" applyFont="1" applyNumberFormat="1">
      <alignment readingOrder="0"/>
    </xf>
    <xf borderId="67" fillId="0" fontId="234" numFmtId="0" xfId="0" applyAlignment="1" applyBorder="1" applyFont="1">
      <alignment readingOrder="0"/>
    </xf>
    <xf borderId="67" fillId="16" fontId="234" numFmtId="10" xfId="0" applyAlignment="1" applyBorder="1" applyFont="1" applyNumberFormat="1">
      <alignment readingOrder="0"/>
    </xf>
    <xf borderId="0" fillId="0" fontId="234" numFmtId="9" xfId="0" applyFont="1" applyNumberFormat="1"/>
    <xf borderId="0" fillId="0" fontId="235" numFmtId="165" xfId="0" applyFont="1" applyNumberFormat="1"/>
    <xf borderId="67" fillId="0" fontId="110" numFmtId="165" xfId="0" applyBorder="1" applyFont="1" applyNumberFormat="1"/>
    <xf borderId="0" fillId="0" fontId="234" numFmtId="165" xfId="0" applyFont="1" applyNumberFormat="1"/>
    <xf borderId="0" fillId="0" fontId="235" numFmtId="0" xfId="0" applyAlignment="1" applyFont="1">
      <alignment horizontal="center" readingOrder="0"/>
    </xf>
    <xf borderId="0" fillId="0" fontId="241" numFmtId="0" xfId="0" applyAlignment="1" applyFont="1">
      <alignment readingOrder="0"/>
    </xf>
    <xf borderId="0" fillId="0" fontId="235" numFmtId="0" xfId="0" applyAlignment="1" applyFont="1">
      <alignment readingOrder="0"/>
    </xf>
    <xf borderId="70" fillId="39" fontId="235" numFmtId="181" xfId="0" applyAlignment="1" applyBorder="1" applyFont="1" applyNumberFormat="1">
      <alignment horizontal="center" readingOrder="0"/>
    </xf>
    <xf borderId="70" fillId="39" fontId="242" numFmtId="2" xfId="0" applyAlignment="1" applyBorder="1" applyFont="1" applyNumberFormat="1">
      <alignment horizontal="center" readingOrder="0"/>
    </xf>
    <xf borderId="68" fillId="39" fontId="235" numFmtId="181" xfId="0" applyAlignment="1" applyBorder="1" applyFont="1" applyNumberFormat="1">
      <alignment readingOrder="0"/>
    </xf>
    <xf borderId="67" fillId="39" fontId="242" numFmtId="2" xfId="0" applyAlignment="1" applyBorder="1" applyFont="1" applyNumberFormat="1">
      <alignment readingOrder="0"/>
    </xf>
    <xf borderId="67" fillId="39" fontId="235" numFmtId="182" xfId="0" applyAlignment="1" applyBorder="1" applyFont="1" applyNumberFormat="1">
      <alignment readingOrder="0"/>
    </xf>
    <xf borderId="67" fillId="19" fontId="33" numFmtId="0" xfId="0" applyAlignment="1" applyBorder="1" applyFont="1">
      <alignment readingOrder="0"/>
    </xf>
    <xf borderId="70" fillId="0" fontId="234" numFmtId="0" xfId="0" applyAlignment="1" applyBorder="1" applyFont="1">
      <alignment readingOrder="0"/>
    </xf>
    <xf borderId="71" fillId="19" fontId="234" numFmtId="181" xfId="0" applyAlignment="1" applyBorder="1" applyFont="1" applyNumberFormat="1">
      <alignment readingOrder="0"/>
    </xf>
    <xf borderId="66" fillId="0" fontId="234" numFmtId="0" xfId="0" applyBorder="1" applyFont="1"/>
    <xf borderId="67" fillId="3" fontId="243" numFmtId="2" xfId="0" applyBorder="1" applyFont="1" applyNumberFormat="1"/>
    <xf borderId="67" fillId="0" fontId="234" numFmtId="182" xfId="0" applyBorder="1" applyFont="1" applyNumberFormat="1"/>
    <xf borderId="67" fillId="19" fontId="33" numFmtId="0" xfId="0" applyAlignment="1" applyBorder="1" applyFont="1">
      <alignment readingOrder="0"/>
    </xf>
    <xf borderId="67" fillId="19" fontId="243" numFmtId="2" xfId="0" applyAlignment="1" applyBorder="1" applyFont="1" applyNumberFormat="1">
      <alignment readingOrder="0"/>
    </xf>
    <xf borderId="67" fillId="38" fontId="244" numFmtId="0" xfId="0" applyAlignment="1" applyBorder="1" applyFont="1">
      <alignment readingOrder="0"/>
    </xf>
    <xf borderId="67" fillId="38" fontId="234" numFmtId="0" xfId="0" applyAlignment="1" applyBorder="1" applyFont="1">
      <alignment readingOrder="0"/>
    </xf>
    <xf borderId="67" fillId="16" fontId="234" numFmtId="0" xfId="0" applyAlignment="1" applyBorder="1" applyFont="1">
      <alignment readingOrder="0"/>
    </xf>
    <xf borderId="70" fillId="16" fontId="234" numFmtId="0" xfId="0" applyAlignment="1" applyBorder="1" applyFont="1">
      <alignment readingOrder="0"/>
    </xf>
    <xf borderId="71" fillId="38" fontId="234" numFmtId="181" xfId="0" applyAlignment="1" applyBorder="1" applyFont="1" applyNumberFormat="1">
      <alignment readingOrder="0"/>
    </xf>
    <xf borderId="66" fillId="16" fontId="234" numFmtId="0" xfId="0" applyBorder="1" applyFont="1"/>
    <xf borderId="67" fillId="16" fontId="234" numFmtId="165" xfId="0" applyBorder="1" applyFont="1" applyNumberFormat="1"/>
    <xf borderId="67" fillId="16" fontId="243" numFmtId="2" xfId="0" applyBorder="1" applyFont="1" applyNumberFormat="1"/>
    <xf borderId="67" fillId="16" fontId="234" numFmtId="182" xfId="0" applyBorder="1" applyFont="1" applyNumberFormat="1"/>
    <xf borderId="67" fillId="38" fontId="234" numFmtId="0" xfId="0" applyAlignment="1" applyBorder="1" applyFont="1">
      <alignment readingOrder="0"/>
    </xf>
    <xf borderId="67" fillId="19" fontId="234" numFmtId="0" xfId="0" applyAlignment="1" applyBorder="1" applyFont="1">
      <alignment readingOrder="0"/>
    </xf>
    <xf borderId="68" fillId="3" fontId="243" numFmtId="2" xfId="0" applyBorder="1" applyFont="1" applyNumberFormat="1"/>
    <xf borderId="71" fillId="38" fontId="243" numFmtId="2" xfId="0" applyAlignment="1" applyBorder="1" applyFont="1" applyNumberFormat="1">
      <alignment readingOrder="0"/>
    </xf>
    <xf borderId="68" fillId="16" fontId="234" numFmtId="165" xfId="0" applyBorder="1" applyFont="1" applyNumberFormat="1"/>
    <xf borderId="69" fillId="16" fontId="243" numFmtId="2" xfId="0" applyBorder="1" applyFont="1" applyNumberFormat="1"/>
    <xf borderId="0" fillId="0" fontId="27" numFmtId="181" xfId="0" applyFont="1" applyNumberFormat="1"/>
    <xf borderId="72" fillId="0" fontId="28" numFmtId="165" xfId="0" applyBorder="1" applyFont="1" applyNumberFormat="1"/>
    <xf borderId="0" fillId="0" fontId="27" numFmtId="10" xfId="0" applyFont="1" applyNumberFormat="1"/>
    <xf borderId="0" fillId="0" fontId="113" numFmtId="2" xfId="0" applyFont="1" applyNumberFormat="1"/>
    <xf borderId="67" fillId="0" fontId="110" numFmtId="182" xfId="0" applyBorder="1" applyFont="1" applyNumberFormat="1"/>
    <xf borderId="0" fillId="0" fontId="27" numFmtId="182" xfId="0" applyFont="1" applyNumberFormat="1"/>
    <xf borderId="67" fillId="39" fontId="235" numFmtId="0" xfId="0" applyAlignment="1" applyBorder="1" applyFont="1">
      <alignment horizontal="center" readingOrder="0"/>
    </xf>
    <xf borderId="68" fillId="39" fontId="235" numFmtId="181" xfId="0" applyAlignment="1" applyBorder="1" applyFont="1" applyNumberFormat="1">
      <alignment horizontal="center" readingOrder="0"/>
    </xf>
    <xf borderId="67" fillId="39" fontId="235" numFmtId="165" xfId="0" applyAlignment="1" applyBorder="1" applyFont="1" applyNumberFormat="1">
      <alignment horizontal="center" readingOrder="0"/>
    </xf>
    <xf borderId="68" fillId="39" fontId="235" numFmtId="0" xfId="0" applyAlignment="1" applyBorder="1" applyFont="1">
      <alignment horizontal="center" readingOrder="0"/>
    </xf>
    <xf borderId="0" fillId="0" fontId="27" numFmtId="0" xfId="0" applyAlignment="1" applyFont="1">
      <alignment horizontal="center"/>
    </xf>
    <xf borderId="67" fillId="19" fontId="33" numFmtId="0" xfId="0" applyAlignment="1" applyBorder="1" applyFont="1">
      <alignment horizontal="center" readingOrder="0"/>
    </xf>
    <xf borderId="70" fillId="0" fontId="234" numFmtId="10" xfId="0" applyBorder="1" applyFont="1" applyNumberFormat="1"/>
    <xf borderId="73" fillId="0" fontId="27" numFmtId="0" xfId="0" applyAlignment="1" applyBorder="1" applyFont="1">
      <alignment horizontal="center"/>
    </xf>
    <xf borderId="67" fillId="38" fontId="234" numFmtId="0" xfId="0" applyAlignment="1" applyBorder="1" applyFont="1">
      <alignment horizontal="center" readingOrder="0"/>
    </xf>
    <xf borderId="72" fillId="0" fontId="28" numFmtId="165" xfId="0" applyAlignment="1" applyBorder="1" applyFont="1" applyNumberFormat="1">
      <alignment readingOrder="0"/>
    </xf>
    <xf borderId="9" fillId="0" fontId="28" numFmtId="0" xfId="0" applyAlignment="1" applyBorder="1" applyFont="1">
      <alignment readingOrder="0"/>
    </xf>
    <xf borderId="9" fillId="0" fontId="28" numFmtId="0" xfId="0" applyBorder="1" applyFont="1"/>
    <xf borderId="0" fillId="0" fontId="27" numFmtId="165" xfId="0" applyAlignment="1" applyFont="1" applyNumberFormat="1">
      <alignment readingOrder="0"/>
    </xf>
    <xf borderId="0" fillId="0" fontId="27" numFmtId="165" xfId="0" applyAlignment="1" applyFont="1" applyNumberFormat="1">
      <alignment readingOrder="0"/>
    </xf>
    <xf borderId="0" fillId="0" fontId="245" numFmtId="0" xfId="0" applyAlignment="1" applyFont="1">
      <alignment readingOrder="0" vertical="center"/>
    </xf>
    <xf borderId="0" fillId="0" fontId="150" numFmtId="0" xfId="0" applyAlignment="1" applyFont="1">
      <alignment shrinkToFit="0" wrapText="0"/>
    </xf>
    <xf borderId="0" fillId="0" fontId="246" numFmtId="0" xfId="0" applyAlignment="1" applyFont="1">
      <alignment horizontal="right" readingOrder="0" shrinkToFit="0" vertical="center" wrapText="0"/>
    </xf>
    <xf borderId="0" fillId="0" fontId="150" numFmtId="0" xfId="0" applyAlignment="1" applyFont="1">
      <alignment vertical="bottom"/>
    </xf>
    <xf borderId="0" fillId="40" fontId="169" numFmtId="3" xfId="0" applyAlignment="1" applyFill="1" applyFont="1" applyNumberFormat="1">
      <alignment horizontal="center" readingOrder="0" vertical="center"/>
    </xf>
    <xf borderId="0" fillId="0" fontId="247" numFmtId="0" xfId="0" applyAlignment="1" applyFont="1">
      <alignment horizontal="left" vertical="center"/>
    </xf>
    <xf borderId="0" fillId="40" fontId="169" numFmtId="0" xfId="0" applyAlignment="1" applyFont="1">
      <alignment horizontal="left" readingOrder="0" shrinkToFit="0" vertical="center" wrapText="0"/>
    </xf>
    <xf borderId="0" fillId="0" fontId="152" numFmtId="0" xfId="0" applyAlignment="1" applyFont="1">
      <alignment readingOrder="0" shrinkToFit="0" vertical="bottom" wrapText="0"/>
    </xf>
    <xf borderId="0" fillId="0" fontId="248" numFmtId="0" xfId="0" applyAlignment="1" applyFont="1">
      <alignment readingOrder="0" vertical="bottom"/>
    </xf>
    <xf borderId="0" fillId="0" fontId="249" numFmtId="0" xfId="0" applyAlignment="1" applyFont="1">
      <alignment readingOrder="0" vertical="bottom"/>
    </xf>
    <xf borderId="0" fillId="0" fontId="249" numFmtId="0" xfId="0" applyAlignment="1" applyFont="1">
      <alignment readingOrder="0" shrinkToFit="0" vertical="bottom" wrapText="0"/>
    </xf>
    <xf borderId="0" fillId="0" fontId="150" numFmtId="0" xfId="0" applyAlignment="1" applyFont="1">
      <alignment horizontal="right" vertical="top"/>
    </xf>
    <xf borderId="0" fillId="0" fontId="250" numFmtId="3" xfId="0" applyAlignment="1" applyFont="1" applyNumberFormat="1">
      <alignment horizontal="center" readingOrder="0" vertical="center"/>
    </xf>
    <xf borderId="0" fillId="0" fontId="250" numFmtId="0" xfId="0" applyAlignment="1" applyFont="1">
      <alignment horizontal="left" readingOrder="0" shrinkToFit="0" vertical="center" wrapText="0"/>
    </xf>
    <xf borderId="0" fillId="0" fontId="250" numFmtId="0" xfId="0" applyAlignment="1" applyFont="1">
      <alignment horizontal="left" readingOrder="0" vertical="center"/>
    </xf>
    <xf borderId="0" fillId="0" fontId="250" numFmtId="0" xfId="0" applyAlignment="1" applyFont="1">
      <alignment horizontal="right" readingOrder="0" vertical="center"/>
    </xf>
    <xf borderId="0" fillId="0" fontId="250" numFmtId="0" xfId="0" applyAlignment="1" applyFont="1">
      <alignment horizontal="left" vertical="center"/>
    </xf>
    <xf borderId="0" fillId="0" fontId="250" numFmtId="3" xfId="0" applyAlignment="1" applyFont="1" applyNumberFormat="1">
      <alignment horizontal="center" vertical="center"/>
    </xf>
    <xf borderId="0" fillId="0" fontId="250" numFmtId="0" xfId="0" applyAlignment="1" applyFont="1">
      <alignment horizontal="left" shrinkToFit="0" vertical="center" wrapText="0"/>
    </xf>
    <xf borderId="0" fillId="0" fontId="250" numFmtId="0" xfId="0" applyAlignment="1" applyFont="1">
      <alignment horizontal="center" vertical="center"/>
    </xf>
    <xf borderId="0" fillId="16" fontId="251" numFmtId="0" xfId="0" applyAlignment="1" applyFont="1">
      <alignment horizontal="center" readingOrder="0" vertical="center"/>
    </xf>
    <xf borderId="0" fillId="0" fontId="249" numFmtId="0" xfId="0" applyAlignment="1" applyFont="1">
      <alignment readingOrder="0" vertical="center"/>
    </xf>
    <xf borderId="0" fillId="0" fontId="150" numFmtId="0" xfId="0" applyAlignment="1" applyFont="1">
      <alignment readingOrder="0" shrinkToFit="0" vertical="center" wrapText="0"/>
    </xf>
    <xf borderId="0" fillId="0" fontId="248" numFmtId="0" xfId="0" applyAlignment="1" applyFont="1">
      <alignment readingOrder="0" vertical="center"/>
    </xf>
    <xf borderId="0" fillId="0" fontId="249" numFmtId="0" xfId="0" applyAlignment="1" applyFont="1">
      <alignment horizontal="right" readingOrder="0" vertical="center"/>
    </xf>
    <xf borderId="0" fillId="0" fontId="249" numFmtId="0" xfId="0" applyAlignment="1" applyFont="1">
      <alignment readingOrder="0" shrinkToFit="0" vertical="center" wrapText="0"/>
    </xf>
    <xf borderId="0" fillId="3" fontId="252" numFmtId="3" xfId="0" applyAlignment="1" applyFont="1" applyNumberFormat="1">
      <alignment horizontal="center" readingOrder="0" vertical="center"/>
    </xf>
    <xf borderId="0" fillId="0" fontId="247" numFmtId="0" xfId="0" applyAlignment="1" applyFont="1">
      <alignment horizontal="left" shrinkToFit="0" vertical="center" wrapText="0"/>
    </xf>
    <xf borderId="0" fillId="3" fontId="252" numFmtId="0" xfId="0" applyAlignment="1" applyFont="1">
      <alignment horizontal="left" vertical="center"/>
    </xf>
    <xf borderId="0" fillId="0" fontId="247" numFmtId="0" xfId="0" applyAlignment="1" applyFont="1">
      <alignment horizontal="left" readingOrder="0" vertical="center"/>
    </xf>
    <xf borderId="0" fillId="0" fontId="150" numFmtId="183" xfId="0" applyAlignment="1" applyFont="1" applyNumberFormat="1">
      <alignment horizontal="right" vertical="center"/>
    </xf>
    <xf borderId="0" fillId="0" fontId="150" numFmtId="165" xfId="0" applyAlignment="1" applyFont="1" applyNumberFormat="1">
      <alignment horizontal="right" vertical="center"/>
    </xf>
    <xf borderId="0" fillId="3" fontId="252" numFmtId="0" xfId="0" applyAlignment="1" applyFont="1">
      <alignment horizontal="left" shrinkToFit="0" vertical="center" wrapText="0"/>
    </xf>
    <xf borderId="0" fillId="0" fontId="154" numFmtId="0" xfId="0" applyAlignment="1" applyFont="1">
      <alignment horizontal="left" readingOrder="0" vertical="center"/>
    </xf>
    <xf borderId="0" fillId="0" fontId="154" numFmtId="0" xfId="0" applyAlignment="1" applyFont="1">
      <alignment horizontal="center" vertical="center"/>
    </xf>
    <xf borderId="0" fillId="0" fontId="253" numFmtId="0" xfId="0" applyAlignment="1" applyFont="1">
      <alignment horizontal="right" readingOrder="0" vertical="bottom"/>
    </xf>
    <xf borderId="0" fillId="0" fontId="247" numFmtId="3" xfId="0" applyAlignment="1" applyFont="1" applyNumberFormat="1">
      <alignment horizontal="center" vertical="center"/>
    </xf>
    <xf borderId="0" fillId="0" fontId="247" numFmtId="165" xfId="0" applyAlignment="1" applyFont="1" applyNumberFormat="1">
      <alignment horizontal="right" vertical="center"/>
    </xf>
    <xf borderId="0" fillId="0" fontId="154" numFmtId="0" xfId="0" applyAlignment="1" applyFont="1">
      <alignment horizontal="left" vertical="center"/>
    </xf>
    <xf borderId="0" fillId="3" fontId="254" numFmtId="164" xfId="0" applyAlignment="1" applyFont="1" applyNumberFormat="1">
      <alignment horizontal="left" readingOrder="0" vertical="center"/>
    </xf>
    <xf borderId="0" fillId="41" fontId="254" numFmtId="164" xfId="0" applyAlignment="1" applyFill="1" applyFont="1" applyNumberFormat="1">
      <alignment horizontal="left" readingOrder="0" shrinkToFit="0" vertical="center" wrapText="0"/>
    </xf>
    <xf borderId="0" fillId="41" fontId="255" numFmtId="164" xfId="0" applyAlignment="1" applyFont="1" applyNumberFormat="1">
      <alignment horizontal="right" readingOrder="0" vertical="center"/>
    </xf>
    <xf borderId="0" fillId="0" fontId="150" numFmtId="0" xfId="0" applyAlignment="1" applyFont="1">
      <alignment readingOrder="0"/>
    </xf>
    <xf borderId="0" fillId="42" fontId="254" numFmtId="164" xfId="0" applyAlignment="1" applyFill="1" applyFont="1" applyNumberFormat="1">
      <alignment horizontal="left" readingOrder="0" shrinkToFit="0" vertical="center" wrapText="0"/>
    </xf>
    <xf borderId="0" fillId="42" fontId="255" numFmtId="164" xfId="0" applyAlignment="1" applyFont="1" applyNumberFormat="1">
      <alignment horizontal="right" readingOrder="0" vertical="center"/>
    </xf>
    <xf borderId="0" fillId="42" fontId="254" numFmtId="49" xfId="0" applyAlignment="1" applyFont="1" applyNumberFormat="1">
      <alignment horizontal="left" readingOrder="0" shrinkToFit="0" vertical="center" wrapText="0"/>
    </xf>
    <xf borderId="0" fillId="42" fontId="254" numFmtId="164" xfId="0" applyAlignment="1" applyFont="1" applyNumberFormat="1">
      <alignment horizontal="right" readingOrder="0" vertical="center"/>
    </xf>
    <xf borderId="0" fillId="0" fontId="251" numFmtId="0" xfId="0" applyAlignment="1" applyFont="1">
      <alignment shrinkToFit="0" vertical="center" wrapText="0"/>
    </xf>
    <xf borderId="0" fillId="0" fontId="150" numFmtId="174" xfId="0" applyAlignment="1" applyFont="1" applyNumberFormat="1">
      <alignment horizontal="right" vertical="center"/>
    </xf>
    <xf borderId="0" fillId="0" fontId="150" numFmtId="0" xfId="0" applyAlignment="1" applyFont="1">
      <alignment shrinkToFit="0" vertical="center" wrapText="0"/>
    </xf>
    <xf borderId="0" fillId="0" fontId="150" numFmtId="0" xfId="0" applyAlignment="1" applyFont="1">
      <alignment horizontal="left" shrinkToFit="0" wrapText="0"/>
    </xf>
    <xf borderId="0" fillId="0" fontId="150" numFmtId="0" xfId="0" applyAlignment="1" applyFont="1">
      <alignment horizontal="left" vertical="center"/>
    </xf>
    <xf borderId="0" fillId="0" fontId="256" numFmtId="0" xfId="0" applyAlignment="1" applyFont="1">
      <alignment horizontal="left" vertical="center"/>
    </xf>
    <xf borderId="0" fillId="0" fontId="257" numFmtId="0" xfId="0" applyAlignment="1" applyFont="1">
      <alignment vertical="center"/>
    </xf>
    <xf borderId="0" fillId="0" fontId="257" numFmtId="0" xfId="0" applyAlignment="1" applyFont="1">
      <alignment horizontal="left" vertical="center"/>
    </xf>
    <xf borderId="0" fillId="0" fontId="258" numFmtId="0" xfId="0" applyAlignment="1" applyFont="1">
      <alignment horizontal="right" vertical="center"/>
    </xf>
    <xf borderId="0" fillId="0" fontId="113" numFmtId="0" xfId="0" applyAlignment="1" applyFont="1">
      <alignment vertical="center"/>
    </xf>
    <xf borderId="0" fillId="0" fontId="259" numFmtId="0" xfId="0" applyAlignment="1" applyFont="1">
      <alignment vertical="center"/>
    </xf>
    <xf borderId="0" fillId="0" fontId="113" numFmtId="0" xfId="0" applyFont="1"/>
    <xf borderId="0" fillId="0" fontId="260" numFmtId="0" xfId="0" applyAlignment="1" applyFont="1">
      <alignment vertical="center"/>
    </xf>
    <xf borderId="74" fillId="43" fontId="261" numFmtId="0" xfId="0" applyAlignment="1" applyBorder="1" applyFill="1" applyFont="1">
      <alignment horizontal="center" readingOrder="0" shrinkToFit="0" vertical="center" wrapText="1"/>
    </xf>
    <xf borderId="74" fillId="43" fontId="261" numFmtId="0" xfId="0" applyAlignment="1" applyBorder="1" applyFont="1">
      <alignment horizontal="center" shrinkToFit="0" vertical="center" wrapText="1"/>
    </xf>
    <xf borderId="0" fillId="0" fontId="262" numFmtId="0" xfId="0" applyAlignment="1" applyFont="1">
      <alignment horizontal="center"/>
    </xf>
    <xf borderId="0" fillId="0" fontId="263" numFmtId="0" xfId="0" applyAlignment="1" applyFont="1">
      <alignment horizontal="left" vertical="top"/>
    </xf>
    <xf borderId="74" fillId="44" fontId="113" numFmtId="0" xfId="0" applyAlignment="1" applyBorder="1" applyFill="1" applyFont="1">
      <alignment vertical="center"/>
    </xf>
    <xf borderId="74" fillId="44" fontId="264" numFmtId="0" xfId="0" applyAlignment="1" applyBorder="1" applyFont="1">
      <alignment horizontal="right" vertical="center"/>
    </xf>
    <xf borderId="75" fillId="0" fontId="137" numFmtId="4" xfId="0" applyAlignment="1" applyBorder="1" applyFont="1" applyNumberFormat="1">
      <alignment readingOrder="0" vertical="center"/>
    </xf>
    <xf borderId="75" fillId="0" fontId="137" numFmtId="4" xfId="0" applyAlignment="1" applyBorder="1" applyFont="1" applyNumberFormat="1">
      <alignment vertical="center"/>
    </xf>
    <xf borderId="74" fillId="44" fontId="129" numFmtId="4" xfId="0" applyAlignment="1" applyBorder="1" applyFont="1" applyNumberFormat="1">
      <alignment vertical="center"/>
    </xf>
    <xf borderId="0" fillId="0" fontId="265" numFmtId="0" xfId="0" applyAlignment="1" applyFont="1">
      <alignment horizontal="left"/>
    </xf>
    <xf borderId="74" fillId="45" fontId="266" numFmtId="184" xfId="0" applyAlignment="1" applyBorder="1" applyFill="1" applyFont="1" applyNumberFormat="1">
      <alignment horizontal="right" vertical="center"/>
    </xf>
    <xf borderId="74" fillId="45" fontId="129" numFmtId="0" xfId="0" applyAlignment="1" applyBorder="1" applyFont="1">
      <alignment horizontal="right" vertical="center"/>
    </xf>
    <xf borderId="74" fillId="46" fontId="129" numFmtId="185" xfId="0" applyAlignment="1" applyBorder="1" applyFill="1" applyFont="1" applyNumberFormat="1">
      <alignment vertical="center"/>
    </xf>
    <xf borderId="74" fillId="45" fontId="129" numFmtId="185" xfId="0" applyAlignment="1" applyBorder="1" applyFont="1" applyNumberFormat="1">
      <alignment vertical="center"/>
    </xf>
    <xf borderId="0" fillId="0" fontId="267" numFmtId="0" xfId="0" applyAlignment="1" applyFont="1">
      <alignment vertical="center"/>
    </xf>
    <xf borderId="74" fillId="45" fontId="113" numFmtId="0" xfId="0" applyAlignment="1" applyBorder="1" applyFont="1">
      <alignment vertical="center"/>
    </xf>
    <xf borderId="74" fillId="45" fontId="268" numFmtId="0" xfId="0" applyAlignment="1" applyBorder="1" applyFont="1">
      <alignment horizontal="right" vertical="center"/>
    </xf>
    <xf borderId="0" fillId="46" fontId="137" numFmtId="178" xfId="0" applyAlignment="1" applyFont="1" applyNumberFormat="1">
      <alignment horizontal="left" vertical="center"/>
    </xf>
    <xf borderId="74" fillId="45" fontId="137" numFmtId="178" xfId="0" applyAlignment="1" applyBorder="1" applyFont="1" applyNumberFormat="1">
      <alignment horizontal="right" vertical="center"/>
    </xf>
    <xf borderId="76" fillId="46" fontId="137" numFmtId="186" xfId="0" applyAlignment="1" applyBorder="1" applyFont="1" applyNumberFormat="1">
      <alignment vertical="center"/>
    </xf>
    <xf borderId="74" fillId="45" fontId="137" numFmtId="186" xfId="0" applyAlignment="1" applyBorder="1" applyFont="1" applyNumberFormat="1">
      <alignment vertical="center"/>
    </xf>
    <xf borderId="0" fillId="0" fontId="268" numFmtId="0" xfId="0" applyAlignment="1" applyFont="1">
      <alignment horizontal="right" vertical="center"/>
    </xf>
    <xf borderId="0" fillId="0" fontId="137" numFmtId="0" xfId="0" applyAlignment="1" applyFont="1">
      <alignment vertical="center"/>
    </xf>
    <xf borderId="0" fillId="0" fontId="267" numFmtId="0" xfId="0" applyAlignment="1" applyFont="1">
      <alignment readingOrder="0" vertical="center"/>
    </xf>
    <xf borderId="75" fillId="0" fontId="137" numFmtId="178" xfId="0" applyAlignment="1" applyBorder="1" applyFont="1" applyNumberFormat="1">
      <alignment horizontal="right" vertical="center"/>
    </xf>
    <xf borderId="0" fillId="0" fontId="137" numFmtId="10" xfId="0" applyAlignment="1" applyFont="1" applyNumberFormat="1">
      <alignment vertical="center"/>
    </xf>
    <xf borderId="0" fillId="0" fontId="137" numFmtId="4" xfId="0" applyAlignment="1" applyFont="1" applyNumberFormat="1">
      <alignment vertical="center"/>
    </xf>
    <xf borderId="0" fillId="0" fontId="137" numFmtId="185" xfId="0" applyAlignment="1" applyFont="1" applyNumberFormat="1">
      <alignment vertical="center"/>
    </xf>
    <xf borderId="0" fillId="0" fontId="269" numFmtId="0" xfId="0" applyAlignment="1" applyFont="1">
      <alignment vertical="center"/>
    </xf>
    <xf borderId="74" fillId="47" fontId="270" numFmtId="0" xfId="0" applyAlignment="1" applyBorder="1" applyFill="1" applyFont="1">
      <alignment horizontal="center" shrinkToFit="0" vertical="center" wrapText="1"/>
    </xf>
    <xf borderId="74" fillId="47" fontId="270" numFmtId="0" xfId="0" applyAlignment="1" applyBorder="1" applyFont="1">
      <alignment shrinkToFit="0" vertical="center" wrapText="1"/>
    </xf>
    <xf borderId="74" fillId="48" fontId="266" numFmtId="0" xfId="0" applyAlignment="1" applyBorder="1" applyFill="1" applyFont="1">
      <alignment horizontal="center" shrinkToFit="0" vertical="center" wrapText="1"/>
    </xf>
    <xf borderId="77" fillId="0" fontId="137" numFmtId="184" xfId="0" applyAlignment="1" applyBorder="1" applyFont="1" applyNumberFormat="1">
      <alignment horizontal="center" shrinkToFit="1" vertical="center" wrapText="0"/>
    </xf>
    <xf borderId="77" fillId="0" fontId="137" numFmtId="0" xfId="0" applyAlignment="1" applyBorder="1" applyFont="1">
      <alignment horizontal="left" shrinkToFit="1" vertical="center" wrapText="0"/>
    </xf>
    <xf borderId="77" fillId="0" fontId="137" numFmtId="187" xfId="0" applyAlignment="1" applyBorder="1" applyFont="1" applyNumberFormat="1">
      <alignment horizontal="right" readingOrder="0" vertical="center"/>
    </xf>
    <xf borderId="77" fillId="0" fontId="137" numFmtId="187" xfId="0" applyAlignment="1" applyBorder="1" applyFont="1" applyNumberFormat="1">
      <alignment horizontal="right" vertical="center"/>
    </xf>
    <xf borderId="78" fillId="49" fontId="137" numFmtId="185" xfId="0" applyAlignment="1" applyBorder="1" applyFill="1" applyFont="1" applyNumberFormat="1">
      <alignment vertical="center"/>
    </xf>
    <xf borderId="0" fillId="0" fontId="137" numFmtId="0" xfId="0" applyFont="1"/>
    <xf borderId="78" fillId="49" fontId="137" numFmtId="185" xfId="0" applyAlignment="1" applyBorder="1" applyFont="1" applyNumberFormat="1">
      <alignment horizontal="right" vertical="center"/>
    </xf>
    <xf borderId="79" fillId="0" fontId="137" numFmtId="184" xfId="0" applyAlignment="1" applyBorder="1" applyFont="1" applyNumberFormat="1">
      <alignment horizontal="center" shrinkToFit="1" vertical="center" wrapText="0"/>
    </xf>
    <xf borderId="79" fillId="0" fontId="137" numFmtId="0" xfId="0" applyAlignment="1" applyBorder="1" applyFont="1">
      <alignment horizontal="left" shrinkToFit="1" vertical="center" wrapText="0"/>
    </xf>
    <xf borderId="79" fillId="0" fontId="137" numFmtId="187" xfId="0" applyAlignment="1" applyBorder="1" applyFont="1" applyNumberFormat="1">
      <alignment horizontal="right" vertical="center"/>
    </xf>
    <xf borderId="79" fillId="0" fontId="271" numFmtId="184" xfId="0" applyAlignment="1" applyBorder="1" applyFont="1" applyNumberFormat="1">
      <alignment horizontal="left" shrinkToFit="1" vertical="center" wrapText="0"/>
    </xf>
    <xf borderId="79" fillId="0" fontId="137" numFmtId="0" xfId="0" applyAlignment="1" applyBorder="1" applyFont="1">
      <alignment horizontal="left" vertical="center"/>
    </xf>
    <xf borderId="80" fillId="49" fontId="137" numFmtId="185" xfId="0" applyAlignment="1" applyBorder="1" applyFont="1" applyNumberFormat="1">
      <alignment vertical="center"/>
    </xf>
    <xf borderId="80" fillId="49" fontId="137" numFmtId="185" xfId="0" applyAlignment="1" applyBorder="1" applyFont="1" applyNumberFormat="1">
      <alignment horizontal="right" vertical="center"/>
    </xf>
    <xf borderId="0" fillId="0" fontId="247" numFmtId="0" xfId="0" applyAlignment="1" applyFont="1">
      <alignment vertical="center"/>
    </xf>
    <xf borderId="0" fillId="0" fontId="247" numFmtId="0" xfId="0" applyAlignment="1" applyFont="1">
      <alignment readingOrder="0" vertical="center"/>
    </xf>
    <xf borderId="0" fillId="0" fontId="247" numFmtId="164" xfId="0" applyAlignment="1" applyFont="1" applyNumberFormat="1">
      <alignment readingOrder="0" vertical="center"/>
    </xf>
    <xf borderId="0" fillId="0" fontId="247" numFmtId="178" xfId="0" applyAlignment="1" applyFont="1" applyNumberFormat="1">
      <alignment horizontal="right" readingOrder="0" vertical="center"/>
    </xf>
    <xf borderId="0" fillId="41" fontId="169" numFmtId="0" xfId="0" applyAlignment="1" applyFont="1">
      <alignment horizontal="center" readingOrder="0" vertical="center"/>
    </xf>
    <xf borderId="0" fillId="33" fontId="169" numFmtId="0" xfId="0" applyAlignment="1" applyFont="1">
      <alignment horizontal="left" readingOrder="0" shrinkToFit="0" vertical="center" wrapText="0"/>
    </xf>
    <xf borderId="0" fillId="0" fontId="272" numFmtId="0" xfId="0" applyAlignment="1" applyFont="1">
      <alignment readingOrder="0" shrinkToFit="0" vertical="center" wrapText="0"/>
    </xf>
    <xf borderId="0" fillId="0" fontId="247" numFmtId="164" xfId="0" applyAlignment="1" applyFont="1" applyNumberFormat="1">
      <alignment vertical="center"/>
    </xf>
    <xf borderId="0" fillId="0" fontId="44" numFmtId="0" xfId="0" applyAlignment="1" applyFont="1">
      <alignment horizontal="right" vertical="top"/>
    </xf>
    <xf borderId="0" fillId="12" fontId="170" numFmtId="0" xfId="0" applyAlignment="1" applyFont="1">
      <alignment readingOrder="0" vertical="center"/>
    </xf>
    <xf borderId="0" fillId="0" fontId="170" numFmtId="0" xfId="0" applyAlignment="1" applyFont="1">
      <alignment horizontal="center" readingOrder="0" vertical="center"/>
    </xf>
    <xf borderId="0" fillId="0" fontId="170" numFmtId="0" xfId="0" applyAlignment="1" applyFont="1">
      <alignment readingOrder="0" vertical="center"/>
    </xf>
    <xf borderId="0" fillId="0" fontId="170" numFmtId="0" xfId="0" applyAlignment="1" applyFont="1">
      <alignment horizontal="left" readingOrder="0" vertical="center"/>
    </xf>
    <xf borderId="0" fillId="12" fontId="170" numFmtId="188" xfId="0" applyAlignment="1" applyFont="1" applyNumberFormat="1">
      <alignment horizontal="left" shrinkToFit="0" vertical="center" wrapText="0"/>
    </xf>
    <xf borderId="0" fillId="12" fontId="170" numFmtId="188" xfId="0" applyAlignment="1" applyFont="1" applyNumberFormat="1">
      <alignment horizontal="right" vertical="center"/>
    </xf>
    <xf borderId="0" fillId="16" fontId="170" numFmtId="0" xfId="0" applyAlignment="1" applyFont="1">
      <alignment horizontal="center" readingOrder="0" vertical="center"/>
    </xf>
    <xf borderId="0" fillId="0" fontId="157" numFmtId="0" xfId="0" applyAlignment="1" applyFont="1">
      <alignment horizontal="center" readingOrder="0" vertical="center"/>
    </xf>
    <xf borderId="0" fillId="0" fontId="157" numFmtId="0" xfId="0" applyAlignment="1" applyFont="1">
      <alignment horizontal="center" vertical="center"/>
    </xf>
    <xf borderId="0" fillId="0" fontId="157" numFmtId="164" xfId="0" applyAlignment="1" applyFont="1" applyNumberFormat="1">
      <alignment horizontal="center" readingOrder="0" vertical="center"/>
    </xf>
    <xf borderId="0" fillId="0" fontId="157" numFmtId="164" xfId="0" applyAlignment="1" applyFont="1" applyNumberFormat="1">
      <alignment horizontal="left" readingOrder="0" vertical="center"/>
    </xf>
    <xf borderId="0" fillId="0" fontId="170" numFmtId="164" xfId="0" applyAlignment="1" applyFont="1" applyNumberFormat="1">
      <alignment horizontal="left" readingOrder="0" shrinkToFit="0" vertical="center" wrapText="0"/>
    </xf>
    <xf borderId="0" fillId="0" fontId="157" numFmtId="164" xfId="0" applyAlignment="1" applyFont="1" applyNumberFormat="1">
      <alignment horizontal="right" vertical="center"/>
    </xf>
    <xf borderId="0" fillId="0" fontId="253" numFmtId="0" xfId="0" applyAlignment="1" applyFont="1">
      <alignment readingOrder="0" vertical="top"/>
    </xf>
    <xf borderId="0" fillId="0" fontId="273" numFmtId="0" xfId="0" applyAlignment="1" applyFont="1">
      <alignment readingOrder="0" vertical="center"/>
    </xf>
    <xf borderId="0" fillId="0" fontId="151" numFmtId="0" xfId="0" applyAlignment="1" applyFont="1">
      <alignment readingOrder="0" vertical="center"/>
    </xf>
    <xf borderId="0" fillId="0" fontId="151" numFmtId="164" xfId="0" applyAlignment="1" applyFont="1" applyNumberFormat="1">
      <alignment readingOrder="0" vertical="center"/>
    </xf>
    <xf borderId="0" fillId="0" fontId="274" numFmtId="0" xfId="0" applyAlignment="1" applyFont="1">
      <alignment horizontal="right"/>
    </xf>
    <xf borderId="0" fillId="0" fontId="157" numFmtId="0" xfId="0" applyAlignment="1" applyFont="1">
      <alignment horizontal="left" readingOrder="0" vertical="center"/>
    </xf>
    <xf borderId="0" fillId="34" fontId="157" numFmtId="1" xfId="0" applyAlignment="1" applyFont="1" applyNumberFormat="1">
      <alignment readingOrder="0" vertical="center"/>
    </xf>
    <xf borderId="0" fillId="29" fontId="151" numFmtId="0" xfId="0" applyAlignment="1" applyFont="1">
      <alignment horizontal="right" readingOrder="0" vertical="center"/>
    </xf>
    <xf borderId="0" fillId="0" fontId="275" numFmtId="0" xfId="0" applyAlignment="1" applyFont="1">
      <alignment readingOrder="0" vertical="center"/>
    </xf>
    <xf borderId="0" fillId="0" fontId="151" numFmtId="178" xfId="0" applyAlignment="1" applyFont="1" applyNumberFormat="1">
      <alignment horizontal="right" readingOrder="0" vertical="center"/>
    </xf>
    <xf borderId="0" fillId="12" fontId="170" numFmtId="0" xfId="0" applyAlignment="1" applyFont="1">
      <alignment horizontal="left" readingOrder="0" vertical="center"/>
    </xf>
    <xf borderId="0" fillId="12" fontId="170" numFmtId="0" xfId="0" applyAlignment="1" applyFont="1">
      <alignment horizontal="center" readingOrder="0" vertical="center"/>
    </xf>
    <xf borderId="0" fillId="12" fontId="170" numFmtId="164" xfId="0" applyAlignment="1" applyFont="1" applyNumberFormat="1">
      <alignment horizontal="left" readingOrder="0" vertical="center"/>
    </xf>
    <xf borderId="0" fillId="12" fontId="170" numFmtId="0" xfId="0" applyAlignment="1" applyFont="1">
      <alignment horizontal="left" readingOrder="0" shrinkToFit="0" vertical="center" wrapText="0"/>
    </xf>
    <xf borderId="0" fillId="0" fontId="157" numFmtId="1" xfId="0" applyAlignment="1" applyFont="1" applyNumberFormat="1">
      <alignment readingOrder="0" vertical="center"/>
    </xf>
    <xf borderId="0" fillId="0" fontId="157" numFmtId="1" xfId="0" applyAlignment="1" applyFont="1" applyNumberFormat="1">
      <alignment vertical="center"/>
    </xf>
    <xf borderId="0" fillId="0" fontId="247" numFmtId="164" xfId="0" applyAlignment="1" applyFont="1" applyNumberFormat="1">
      <alignment horizontal="center" readingOrder="0" vertical="center"/>
    </xf>
    <xf borderId="0" fillId="0" fontId="247" numFmtId="178" xfId="0" applyAlignment="1" applyFont="1" applyNumberFormat="1">
      <alignment horizontal="right" vertical="center"/>
    </xf>
    <xf borderId="0" fillId="0" fontId="157" numFmtId="174" xfId="0" applyAlignment="1" applyFont="1" applyNumberFormat="1">
      <alignment vertical="center"/>
    </xf>
    <xf borderId="0" fillId="19" fontId="157" numFmtId="164" xfId="0" applyAlignment="1" applyFont="1" applyNumberFormat="1">
      <alignment horizontal="left" readingOrder="0" vertical="center"/>
    </xf>
    <xf borderId="81" fillId="30" fontId="169" numFmtId="0" xfId="0" applyAlignment="1" applyBorder="1" applyFont="1">
      <alignment readingOrder="0" vertical="center"/>
    </xf>
    <xf borderId="82" fillId="0" fontId="27" numFmtId="0" xfId="0" applyBorder="1" applyFont="1"/>
    <xf borderId="82" fillId="30" fontId="169" numFmtId="174" xfId="0" applyAlignment="1" applyBorder="1" applyFont="1" applyNumberFormat="1">
      <alignment horizontal="right" readingOrder="0" vertical="center"/>
    </xf>
    <xf borderId="82" fillId="30" fontId="169" numFmtId="174" xfId="0" applyAlignment="1" applyBorder="1" applyFont="1" applyNumberFormat="1">
      <alignment vertical="center"/>
    </xf>
    <xf borderId="82" fillId="30" fontId="169" numFmtId="164" xfId="0" applyAlignment="1" applyBorder="1" applyFont="1" applyNumberFormat="1">
      <alignment horizontal="right" readingOrder="0" vertical="center"/>
    </xf>
    <xf borderId="83" fillId="30" fontId="169" numFmtId="178" xfId="0" applyAlignment="1" applyBorder="1" applyFont="1" applyNumberFormat="1">
      <alignment horizontal="right" readingOrder="0" vertical="center"/>
    </xf>
    <xf borderId="0" fillId="3" fontId="157" numFmtId="0" xfId="0" applyAlignment="1" applyFont="1">
      <alignment horizontal="left" vertical="center"/>
    </xf>
    <xf borderId="0" fillId="0" fontId="157" numFmtId="164" xfId="0" applyAlignment="1" applyFont="1" applyNumberFormat="1">
      <alignment horizontal="left" vertical="center"/>
    </xf>
    <xf borderId="0" fillId="0" fontId="170" numFmtId="164" xfId="0" applyAlignment="1" applyFont="1" applyNumberFormat="1">
      <alignment horizontal="left" shrinkToFit="0" vertical="center" wrapText="0"/>
    </xf>
    <xf borderId="0" fillId="0" fontId="154" numFmtId="164" xfId="0" applyAlignment="1" applyFont="1" applyNumberFormat="1">
      <alignment horizontal="right" vertical="center"/>
    </xf>
    <xf borderId="0" fillId="0" fontId="154" numFmtId="164" xfId="0" applyAlignment="1" applyFont="1" applyNumberFormat="1">
      <alignment vertical="center"/>
    </xf>
    <xf borderId="0" fillId="0" fontId="151" numFmtId="178" xfId="0" applyAlignment="1" applyFont="1" applyNumberFormat="1">
      <alignment horizontal="right" vertical="center"/>
    </xf>
    <xf borderId="0" fillId="0" fontId="157" numFmtId="14" xfId="0" applyAlignment="1" applyFont="1" applyNumberFormat="1">
      <alignment horizontal="center" vertical="center"/>
    </xf>
    <xf borderId="42" fillId="33" fontId="169" numFmtId="0" xfId="0" applyAlignment="1" applyBorder="1" applyFont="1">
      <alignment readingOrder="0" vertical="center"/>
    </xf>
    <xf borderId="42" fillId="33" fontId="169" numFmtId="164" xfId="0" applyAlignment="1" applyBorder="1" applyFont="1" applyNumberFormat="1">
      <alignment readingOrder="0" vertical="center"/>
    </xf>
    <xf borderId="42" fillId="33" fontId="169" numFmtId="178" xfId="0" applyAlignment="1" applyBorder="1" applyFont="1" applyNumberFormat="1">
      <alignment horizontal="right" readingOrder="0" vertical="center"/>
    </xf>
    <xf borderId="0" fillId="0" fontId="157" numFmtId="0" xfId="0" applyAlignment="1" applyFont="1">
      <alignment horizontal="right" vertical="center"/>
    </xf>
    <xf borderId="0" fillId="0" fontId="252" numFmtId="0" xfId="0" applyAlignment="1" applyFont="1">
      <alignment horizontal="right" vertical="center"/>
    </xf>
    <xf borderId="0" fillId="0" fontId="252" numFmtId="164" xfId="0" applyAlignment="1" applyFont="1" applyNumberFormat="1">
      <alignment horizontal="right" vertical="center"/>
    </xf>
    <xf borderId="0" fillId="0" fontId="252" numFmtId="178" xfId="0" applyAlignment="1" applyFont="1" applyNumberFormat="1">
      <alignment horizontal="right" vertical="center"/>
    </xf>
    <xf borderId="0" fillId="0" fontId="247" numFmtId="1" xfId="0" applyAlignment="1" applyFont="1" applyNumberFormat="1">
      <alignment vertical="center"/>
    </xf>
    <xf borderId="0" fillId="0" fontId="247" numFmtId="164" xfId="0" applyAlignment="1" applyFont="1" applyNumberFormat="1">
      <alignment horizontal="right" vertical="center"/>
    </xf>
    <xf borderId="0" fillId="0" fontId="252" numFmtId="164" xfId="0" applyAlignment="1" applyFont="1" applyNumberFormat="1">
      <alignment horizontal="right" vertical="center"/>
    </xf>
    <xf borderId="42" fillId="0" fontId="169" numFmtId="164" xfId="0" applyAlignment="1" applyBorder="1" applyFont="1" applyNumberFormat="1">
      <alignment horizontal="right" vertical="center"/>
    </xf>
    <xf borderId="0" fillId="3" fontId="157" numFmtId="0" xfId="0" applyAlignment="1" applyFont="1">
      <alignment vertical="center"/>
    </xf>
    <xf borderId="0" fillId="3" fontId="252" numFmtId="0" xfId="0" applyAlignment="1" applyFont="1">
      <alignment vertical="center"/>
    </xf>
    <xf borderId="0" fillId="0" fontId="157" numFmtId="175" xfId="0" applyAlignment="1" applyFont="1" applyNumberFormat="1">
      <alignment vertical="center"/>
    </xf>
    <xf borderId="0" fillId="0" fontId="154" numFmtId="0" xfId="0" applyAlignment="1" applyFont="1">
      <alignment readingOrder="0" vertical="center"/>
    </xf>
    <xf borderId="0" fillId="0" fontId="250" numFmtId="164" xfId="0" applyAlignment="1" applyFont="1" applyNumberFormat="1">
      <alignment horizontal="right" vertical="center"/>
    </xf>
    <xf borderId="0" fillId="0" fontId="247" numFmtId="164" xfId="0" applyAlignment="1" applyFont="1" applyNumberFormat="1">
      <alignment horizontal="right" vertical="center"/>
    </xf>
  </cellXfs>
  <cellStyles count="1">
    <cellStyle xfId="0" name="Normal" builtinId="0"/>
  </cellStyles>
  <dxfs count="33">
    <dxf>
      <font>
        <color rgb="FF38761D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93C47D"/>
      </font>
      <fill>
        <patternFill patternType="none"/>
      </fill>
      <border/>
    </dxf>
    <dxf>
      <font>
        <color rgb="FFE06666"/>
      </font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6AA84F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  <color rgb="FF38761D"/>
      </font>
      <fill>
        <patternFill patternType="none"/>
      </fill>
      <border/>
    </dxf>
    <dxf>
      <font>
        <color rgb="FFE69138"/>
      </font>
      <fill>
        <patternFill patternType="none"/>
      </fill>
      <border/>
    </dxf>
    <dxf>
      <font>
        <b/>
        <color rgb="FFFFFFFF"/>
      </font>
      <fill>
        <patternFill patternType="solid">
          <fgColor rgb="FF1C2436"/>
          <bgColor rgb="FF1C2436"/>
        </patternFill>
      </fill>
      <border/>
    </dxf>
    <dxf>
      <font>
        <b/>
        <color rgb="FFFFFFFF"/>
      </font>
      <fill>
        <patternFill patternType="solid">
          <fgColor rgb="FF2E86DE"/>
          <bgColor rgb="FF2E86DE"/>
        </patternFill>
      </fill>
      <border/>
    </dxf>
    <dxf>
      <font>
        <color rgb="FFDE4C60"/>
      </font>
      <fill>
        <patternFill patternType="none"/>
      </fill>
      <border/>
    </dxf>
    <dxf>
      <font>
        <b/>
        <color rgb="FF1C2436"/>
      </font>
      <fill>
        <patternFill patternType="solid">
          <fgColor rgb="FFEEEEF1"/>
          <bgColor rgb="FFEEEEF1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color rgb="FFFF9900"/>
      </font>
      <fill>
        <patternFill patternType="none"/>
      </fill>
      <border/>
    </dxf>
    <dxf>
      <font>
        <color rgb="FF4A86E8"/>
      </font>
      <fill>
        <patternFill patternType="none"/>
      </fill>
      <border/>
    </dxf>
    <dxf>
      <font>
        <color rgb="FF6AA84F"/>
      </font>
      <fill>
        <patternFill patternType="none"/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b/>
        <color rgb="FFFFFFFF"/>
      </font>
      <fill>
        <patternFill patternType="solid">
          <fgColor rgb="FF1273FF"/>
          <bgColor rgb="FF1273FF"/>
        </patternFill>
      </fill>
      <border/>
    </dxf>
    <dxf>
      <font>
        <i/>
        <color rgb="FF999999"/>
      </font>
      <fill>
        <patternFill patternType="none"/>
      </fill>
      <border/>
    </dxf>
    <dxf>
      <font>
        <i/>
        <color rgb="FFDE4C60"/>
      </font>
      <fill>
        <patternFill patternType="none"/>
      </fill>
      <border/>
    </dxf>
    <dxf>
      <font>
        <color rgb="FFFFFFFF"/>
      </font>
      <fill>
        <patternFill patternType="solid">
          <fgColor rgb="FFDE4C60"/>
          <bgColor rgb="FFDE4C60"/>
        </patternFill>
      </fill>
      <border/>
    </dxf>
    <dxf>
      <font/>
      <fill>
        <patternFill patternType="solid">
          <fgColor rgb="FFF4F4F4"/>
          <bgColor rgb="FFF4F4F4"/>
        </patternFill>
      </fill>
      <border/>
    </dxf>
    <dxf>
      <font>
        <color/>
      </font>
      <fill>
        <patternFill patternType="solid">
          <fgColor rgb="FF396D2D"/>
          <bgColor rgb="FF396D2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</dxfs>
  <tableStyles count="1">
    <tableStyle count="2" pivot="0" name="Copy of Savings-style">
      <tableStyleElement dxfId="30" type="firstRowStripe"/>
      <tableStyleElement dxfId="3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44" Type="http://schemas.openxmlformats.org/officeDocument/2006/relationships/worksheet" Target="worksheets/sheet42.xml"/><Relationship Id="rId43" Type="http://schemas.openxmlformats.org/officeDocument/2006/relationships/worksheet" Target="worksheets/sheet41.xml"/><Relationship Id="rId46" Type="http://schemas.openxmlformats.org/officeDocument/2006/relationships/worksheet" Target="worksheets/sheet44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48" Type="http://schemas.openxmlformats.org/officeDocument/2006/relationships/worksheet" Target="worksheets/sheet46.xml"/><Relationship Id="rId47" Type="http://schemas.openxmlformats.org/officeDocument/2006/relationships/worksheet" Target="worksheets/sheet45.xml"/><Relationship Id="rId49" Type="http://schemas.openxmlformats.org/officeDocument/2006/relationships/worksheet" Target="worksheets/sheet4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33" Type="http://schemas.openxmlformats.org/officeDocument/2006/relationships/worksheet" Target="worksheets/sheet31.xml"/><Relationship Id="rId32" Type="http://schemas.openxmlformats.org/officeDocument/2006/relationships/worksheet" Target="worksheets/sheet30.xml"/><Relationship Id="rId35" Type="http://schemas.openxmlformats.org/officeDocument/2006/relationships/worksheet" Target="worksheets/sheet33.xml"/><Relationship Id="rId34" Type="http://schemas.openxmlformats.org/officeDocument/2006/relationships/worksheet" Target="worksheets/sheet32.xml"/><Relationship Id="rId37" Type="http://schemas.openxmlformats.org/officeDocument/2006/relationships/worksheet" Target="worksheets/sheet35.xml"/><Relationship Id="rId36" Type="http://schemas.openxmlformats.org/officeDocument/2006/relationships/worksheet" Target="worksheets/sheet34.xml"/><Relationship Id="rId39" Type="http://schemas.openxmlformats.org/officeDocument/2006/relationships/worksheet" Target="worksheets/sheet37.xml"/><Relationship Id="rId38" Type="http://schemas.openxmlformats.org/officeDocument/2006/relationships/worksheet" Target="worksheets/sheet36.xml"/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29" Type="http://schemas.openxmlformats.org/officeDocument/2006/relationships/worksheet" Target="worksheets/sheet27.xml"/><Relationship Id="rId51" Type="http://schemas.openxmlformats.org/officeDocument/2006/relationships/worksheet" Target="worksheets/sheet49.xml"/><Relationship Id="rId50" Type="http://schemas.openxmlformats.org/officeDocument/2006/relationships/worksheet" Target="worksheets/sheet48.xml"/><Relationship Id="rId53" Type="http://schemas.openxmlformats.org/officeDocument/2006/relationships/worksheet" Target="worksheets/sheet51.xml"/><Relationship Id="rId52" Type="http://schemas.openxmlformats.org/officeDocument/2006/relationships/worksheet" Target="worksheets/sheet50.xml"/><Relationship Id="rId11" Type="http://schemas.openxmlformats.org/officeDocument/2006/relationships/worksheet" Target="worksheets/sheet9.xml"/><Relationship Id="rId55" Type="http://schemas.openxmlformats.org/officeDocument/2006/relationships/worksheet" Target="worksheets/sheet53.xml"/><Relationship Id="rId10" Type="http://schemas.openxmlformats.org/officeDocument/2006/relationships/worksheet" Target="worksheets/sheet8.xml"/><Relationship Id="rId54" Type="http://schemas.openxmlformats.org/officeDocument/2006/relationships/worksheet" Target="worksheets/sheet52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Total Portfolio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HOLDINGS!$A$45:$A$51</c:f>
            </c:strRef>
          </c:cat>
          <c:val>
            <c:numRef>
              <c:f>HOLDINGS!$B$45:$B$51</c:f>
              <c:numCache/>
            </c:numRef>
          </c:val>
        </c:ser>
        <c:ser>
          <c:idx val="1"/>
          <c:order val="1"/>
          <c:cat>
            <c:strRef>
              <c:f>HOLDINGS!$A$45:$A$51</c:f>
            </c:strRef>
          </c:cat>
          <c:val>
            <c:numRef>
              <c:f>HOLDINGS!$C$45:$C$51</c:f>
              <c:numCache/>
            </c:numRef>
          </c:val>
        </c:ser>
        <c:axId val="1743348455"/>
        <c:axId val="2014331406"/>
      </c:barChart>
      <c:catAx>
        <c:axId val="174334845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 Portfolio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14331406"/>
      </c:catAx>
      <c:valAx>
        <c:axId val="2014331406"/>
        <c:scaling>
          <c:orientation val="minMax"/>
          <c:max val="1000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4334845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Net Worth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'NET-WORTH'!$A$1</c:f>
            </c:strRef>
          </c:tx>
          <c:spPr>
            <a:solidFill>
              <a:srgbClr val="4285F4">
                <a:alpha val="30000"/>
              </a:srgbClr>
            </a:solidFill>
            <a:ln cmpd="sng" w="19050">
              <a:solidFill>
                <a:srgbClr val="4285F4"/>
              </a:solidFill>
            </a:ln>
          </c:spPr>
          <c:cat>
            <c:strRef>
              <c:f>'NET-WORTH'!$B$2:$B$21</c:f>
            </c:strRef>
          </c:cat>
          <c:val>
            <c:numRef>
              <c:f>'NET-WORTH'!$A$2:$A$21</c:f>
              <c:numCache/>
            </c:numRef>
          </c:val>
        </c:ser>
        <c:axId val="1263663643"/>
        <c:axId val="1337689653"/>
      </c:areaChart>
      <c:catAx>
        <c:axId val="1263663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37689653"/>
      </c:catAx>
      <c:valAx>
        <c:axId val="1337689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63663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Net Worth Over Time (up to 12 months)</a:t>
            </a:r>
          </a:p>
        </c:rich>
      </c:tx>
      <c:overlay val="0"/>
    </c:title>
    <c:plotArea>
      <c:layout/>
      <c:lineChart>
        <c:axId val="984611981"/>
        <c:axId val="1494667179"/>
      </c:lineChart>
      <c:catAx>
        <c:axId val="984611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94667179"/>
      </c:catAx>
      <c:valAx>
        <c:axId val="149466717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84611981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Arial"/>
              </a:defRPr>
            </a:pPr>
            <a:r>
              <a:rPr b="1" i="0" sz="1600">
                <a:solidFill>
                  <a:srgbClr val="000000"/>
                </a:solidFill>
                <a:latin typeface="Arial"/>
              </a:rPr>
              <a:t>Debt Visual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BB755"/>
              </a:solidFill>
            </c:spPr>
          </c:dPt>
          <c:dPt>
            <c:idx val="1"/>
            <c:spPr>
              <a:solidFill>
                <a:srgbClr val="FC7570"/>
              </a:solidFill>
            </c:spPr>
          </c:dPt>
          <c:dPt>
            <c:idx val="2"/>
            <c:spPr>
              <a:solidFill>
                <a:srgbClr val="6EDA55"/>
              </a:solidFill>
            </c:spPr>
          </c:dPt>
          <c:dPt>
            <c:idx val="3"/>
            <c:spPr>
              <a:solidFill>
                <a:srgbClr val="9B9BD7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'Debt - v2'!$B$8:$B$17</c:f>
            </c:strRef>
          </c:cat>
          <c:val>
            <c:numRef>
              <c:f>'Debt - v2'!$C$8:$C$17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F497D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Arial"/>
              </a:defRPr>
            </a:pPr>
            <a:r>
              <a:rPr b="1" i="0" sz="1600">
                <a:solidFill>
                  <a:srgbClr val="000000"/>
                </a:solidFill>
                <a:latin typeface="Arial"/>
              </a:rPr>
              <a:t>Debt Visual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BB755"/>
              </a:solidFill>
            </c:spPr>
          </c:dPt>
          <c:dPt>
            <c:idx val="1"/>
            <c:spPr>
              <a:solidFill>
                <a:srgbClr val="FC7570"/>
              </a:solidFill>
            </c:spPr>
          </c:dPt>
          <c:dPt>
            <c:idx val="2"/>
            <c:spPr>
              <a:solidFill>
                <a:srgbClr val="6EDA55"/>
              </a:solidFill>
            </c:spPr>
          </c:dPt>
          <c:dPt>
            <c:idx val="3"/>
            <c:spPr>
              <a:solidFill>
                <a:srgbClr val="9B9BD7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Pt>
            <c:idx val="10"/>
            <c:spPr>
              <a:solidFill>
                <a:srgbClr val="994499"/>
              </a:solidFill>
            </c:spPr>
          </c:dPt>
          <c:dPt>
            <c:idx val="11"/>
            <c:spPr>
              <a:solidFill>
                <a:srgbClr val="22AA99"/>
              </a:solidFill>
            </c:spPr>
          </c:dPt>
          <c:dPt>
            <c:idx val="12"/>
            <c:spPr>
              <a:solidFill>
                <a:srgbClr val="AAAA11"/>
              </a:solidFill>
            </c:spPr>
          </c:dPt>
          <c:dPt>
            <c:idx val="13"/>
            <c:spPr>
              <a:solidFill>
                <a:srgbClr val="6633C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'DEBT Scenario (Prosper)'!$B$8:$B$21</c:f>
            </c:strRef>
          </c:cat>
          <c:val>
            <c:numRef>
              <c:f>'DEBT Scenario (Prosper)'!$C$8:$C$21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F497D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34343"/>
                </a:solidFill>
                <a:latin typeface="Roboto"/>
              </a:defRPr>
            </a:pPr>
            <a:r>
              <a:rPr b="1" sz="1600">
                <a:solidFill>
                  <a:srgbClr val="434343"/>
                </a:solidFill>
                <a:latin typeface="Roboto"/>
              </a:rPr>
              <a:t>Portfolio Allocation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4A86E8"/>
              </a:solidFill>
            </c:spPr>
          </c:dPt>
          <c:dPt>
            <c:idx val="2"/>
            <c:spPr>
              <a:solidFill>
                <a:srgbClr val="6D9EEB"/>
              </a:solidFill>
            </c:spPr>
          </c:dPt>
          <c:dPt>
            <c:idx val="3"/>
            <c:spPr>
              <a:solidFill>
                <a:srgbClr val="990099"/>
              </a:solidFill>
            </c:spPr>
          </c:dPt>
          <c:dPt>
            <c:idx val="4"/>
            <c:spPr>
              <a:solidFill>
                <a:srgbClr val="FF9900"/>
              </a:solidFill>
            </c:spPr>
          </c:dPt>
          <c:dPt>
            <c:idx val="5"/>
            <c:spPr>
              <a:solidFill>
                <a:srgbClr val="6AA8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'Copy of By Asset Class'!$A$4:$A$9</c:f>
            </c:strRef>
          </c:cat>
          <c:val>
            <c:numRef>
              <c:f>'Copy of By Asset Class'!$H$4:$H$9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222222"/>
              </a:solidFill>
              <a:latin typeface="Roboto"/>
            </a:defRPr>
          </a:pPr>
        </a:p>
      </c:txPr>
    </c:legend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34343"/>
                </a:solidFill>
                <a:latin typeface="Roboto"/>
              </a:defRPr>
            </a:pPr>
            <a:r>
              <a:rPr b="1" sz="1600">
                <a:solidFill>
                  <a:srgbClr val="434343"/>
                </a:solidFill>
                <a:latin typeface="Roboto"/>
              </a:rPr>
              <a:t>Target Allocation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4A86E8"/>
              </a:solidFill>
            </c:spPr>
          </c:dPt>
          <c:dPt>
            <c:idx val="2"/>
            <c:spPr>
              <a:solidFill>
                <a:srgbClr val="6D9EEB"/>
              </a:solidFill>
            </c:spPr>
          </c:dPt>
          <c:dPt>
            <c:idx val="3"/>
            <c:spPr>
              <a:solidFill>
                <a:srgbClr val="990099"/>
              </a:solidFill>
            </c:spPr>
          </c:dPt>
          <c:dPt>
            <c:idx val="4"/>
            <c:spPr>
              <a:solidFill>
                <a:srgbClr val="FF9900"/>
              </a:solidFill>
            </c:spPr>
          </c:dPt>
          <c:dPt>
            <c:idx val="5"/>
            <c:spPr>
              <a:solidFill>
                <a:srgbClr val="6AA8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'Copy of By Asset Class'!$A$4:$A$9</c:f>
            </c:strRef>
          </c:cat>
          <c:val>
            <c:numRef>
              <c:f>'Copy of By Asset Class'!$D$4:$D$9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222222"/>
              </a:solidFill>
              <a:latin typeface="Roboto"/>
            </a:defRPr>
          </a:pPr>
        </a:p>
      </c:txPr>
    </c:legend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34343"/>
                </a:solidFill>
                <a:latin typeface="Roboto"/>
              </a:defRPr>
            </a:pPr>
            <a:r>
              <a:rPr b="1" sz="1600">
                <a:solidFill>
                  <a:srgbClr val="434343"/>
                </a:solidFill>
                <a:latin typeface="Roboto"/>
              </a:rPr>
              <a:t>Portfolio Allocation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4A86E8"/>
              </a:solidFill>
            </c:spPr>
          </c:dPt>
          <c:dPt>
            <c:idx val="2"/>
            <c:spPr>
              <a:solidFill>
                <a:srgbClr val="6D9EEB"/>
              </a:solidFill>
            </c:spPr>
          </c:dPt>
          <c:dPt>
            <c:idx val="3"/>
            <c:spPr>
              <a:solidFill>
                <a:srgbClr val="990099"/>
              </a:solidFill>
            </c:spPr>
          </c:dPt>
          <c:dPt>
            <c:idx val="4"/>
            <c:spPr>
              <a:solidFill>
                <a:srgbClr val="FF9900"/>
              </a:solidFill>
            </c:spPr>
          </c:dPt>
          <c:dPt>
            <c:idx val="5"/>
            <c:spPr>
              <a:solidFill>
                <a:srgbClr val="6AA8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'Copy of By Asset Class 1'!$A$4:$A$9</c:f>
            </c:strRef>
          </c:cat>
          <c:val>
            <c:numRef>
              <c:f>'Copy of By Asset Class 1'!$H$4:$H$9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222222"/>
              </a:solidFill>
              <a:latin typeface="Roboto"/>
            </a:defRPr>
          </a:pPr>
        </a:p>
      </c:txPr>
    </c:legend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34343"/>
                </a:solidFill>
                <a:latin typeface="Roboto"/>
              </a:defRPr>
            </a:pPr>
            <a:r>
              <a:rPr b="1" sz="1600">
                <a:solidFill>
                  <a:srgbClr val="434343"/>
                </a:solidFill>
                <a:latin typeface="Roboto"/>
              </a:rPr>
              <a:t>Target Allocation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4A86E8"/>
              </a:solidFill>
            </c:spPr>
          </c:dPt>
          <c:dPt>
            <c:idx val="2"/>
            <c:spPr>
              <a:solidFill>
                <a:srgbClr val="6D9EEB"/>
              </a:solidFill>
            </c:spPr>
          </c:dPt>
          <c:dPt>
            <c:idx val="3"/>
            <c:spPr>
              <a:solidFill>
                <a:srgbClr val="990099"/>
              </a:solidFill>
            </c:spPr>
          </c:dPt>
          <c:dPt>
            <c:idx val="4"/>
            <c:spPr>
              <a:solidFill>
                <a:srgbClr val="FF9900"/>
              </a:solidFill>
            </c:spPr>
          </c:dPt>
          <c:dPt>
            <c:idx val="5"/>
            <c:spPr>
              <a:solidFill>
                <a:srgbClr val="6AA8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'Copy of By Asset Class 1'!$A$4:$A$9</c:f>
            </c:strRef>
          </c:cat>
          <c:val>
            <c:numRef>
              <c:f>'Copy of By Asset Class 1'!$D$4:$D$9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222222"/>
              </a:solidFill>
              <a:latin typeface="Roboto"/>
            </a:defRPr>
          </a:pPr>
        </a:p>
      </c:txPr>
    </c:legend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1352550</xdr:colOff>
      <xdr:row>3</xdr:row>
      <xdr:rowOff>152400</xdr:rowOff>
    </xdr:from>
    <xdr:ext cx="5676900" cy="2838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476250</xdr:colOff>
      <xdr:row>3</xdr:row>
      <xdr:rowOff>152400</xdr:rowOff>
    </xdr:from>
    <xdr:ext cx="5067300" cy="2838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4</xdr:row>
      <xdr:rowOff>47625</xdr:rowOff>
    </xdr:from>
    <xdr:ext cx="12230100" cy="2085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2</xdr:row>
      <xdr:rowOff>133350</xdr:rowOff>
    </xdr:from>
    <xdr:ext cx="4848225" cy="4410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2</xdr:row>
      <xdr:rowOff>133350</xdr:rowOff>
    </xdr:from>
    <xdr:ext cx="4848225" cy="44100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8</xdr:row>
      <xdr:rowOff>495300</xdr:rowOff>
    </xdr:from>
    <xdr:ext cx="5781675" cy="34956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581025</xdr:colOff>
      <xdr:row>8</xdr:row>
      <xdr:rowOff>495300</xdr:rowOff>
    </xdr:from>
    <xdr:ext cx="6124575" cy="35147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400050" cy="400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8</xdr:row>
      <xdr:rowOff>495300</xdr:rowOff>
    </xdr:from>
    <xdr:ext cx="5781675" cy="34956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581025</xdr:colOff>
      <xdr:row>8</xdr:row>
      <xdr:rowOff>495300</xdr:rowOff>
    </xdr:from>
    <xdr:ext cx="6124575" cy="35147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3:I51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opy of Saving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docs.google.com/spreadsheets/d/1ky5sn8fKJuAn0m5D1NkN7qYC7p0K-4xr-DorGM5Wbno/edit" TargetMode="External"/><Relationship Id="rId3" Type="http://schemas.openxmlformats.org/officeDocument/2006/relationships/hyperlink" Target="https://docs.google.com/spreadsheets/d/1fyDz7lkT3UyMmqDOK63kz0DUBtZpiSJO8ifo-3nC7AE/edit" TargetMode="External"/><Relationship Id="rId4" Type="http://schemas.openxmlformats.org/officeDocument/2006/relationships/hyperlink" Target="https://docs.google.com/spreadsheets/d/1mdYe6AGUBUyD3hP4MDjvHSyvxy6v_gzzKD8J6Mhsm6s/edit" TargetMode="External"/><Relationship Id="rId5" Type="http://schemas.openxmlformats.org/officeDocument/2006/relationships/drawing" Target="../drawings/drawing5.xml"/><Relationship Id="rId6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s://docs.google.com/spreadsheets/d/1i2yoWrCpAUC2Fp_Gb2KhMF6xE4uPCpiAOkHb5owgy28/edit" TargetMode="External"/><Relationship Id="rId3" Type="http://schemas.openxmlformats.org/officeDocument/2006/relationships/hyperlink" Target="https://stake.ethdenver.com/" TargetMode="Externa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2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commondground.gg/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hyperlink" Target="https://docs.google.com/spreadsheets/d/1i2yoWrCpAUC2Fp_Gb2KhMF6xE4uPCpiAOkHb5owgy28/edit" TargetMode="External"/><Relationship Id="rId3" Type="http://schemas.openxmlformats.org/officeDocument/2006/relationships/drawing" Target="../drawings/drawing18.xml"/><Relationship Id="rId4" Type="http://schemas.openxmlformats.org/officeDocument/2006/relationships/vmlDrawing" Target="../drawings/vmlDrawing13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4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1" Type="http://schemas.openxmlformats.org/officeDocument/2006/relationships/hyperlink" Target="https://app.safe.global/home?safe=matic:0x23AA3040596Fd1c60BE0FC2f481258515c4Aa1A7" TargetMode="External"/><Relationship Id="rId10" Type="http://schemas.openxmlformats.org/officeDocument/2006/relationships/hyperlink" Target="https://app.safe.global/home?safe=gno:0x23AA3040596Fd1c60BE0FC2f481258515c4Aa1A7" TargetMode="External"/><Relationship Id="rId13" Type="http://schemas.openxmlformats.org/officeDocument/2006/relationships/hyperlink" Target="https://app.safe.global/balances?safe=eth:0xDd7D945A6660262E9a66094B96c2BfceD2A28E92" TargetMode="External"/><Relationship Id="rId12" Type="http://schemas.openxmlformats.org/officeDocument/2006/relationships/hyperlink" Target="https://app.safe.global/balances?safe=eth:0x8F28B1104Bb9cE64649d9e774219c54B4e23495c" TargetMode="External"/><Relationship Id="rId1" Type="http://schemas.openxmlformats.org/officeDocument/2006/relationships/hyperlink" Target="https://app.safe.global/home?safe=eth:0xe5f1329ea7bD1a4814e8481e979D14Ef811029C7" TargetMode="External"/><Relationship Id="rId2" Type="http://schemas.openxmlformats.org/officeDocument/2006/relationships/hyperlink" Target="https://app.safe.global/balances?safe=eth:0x735Ec9710bE390744e2E01A445CdC2F274584415" TargetMode="External"/><Relationship Id="rId3" Type="http://schemas.openxmlformats.org/officeDocument/2006/relationships/hyperlink" Target="https://app.safe.global/balances?safe=eth:0xE1B643314D6D87F27ee6e43B51f33b895AA47E85" TargetMode="External"/><Relationship Id="rId4" Type="http://schemas.openxmlformats.org/officeDocument/2006/relationships/hyperlink" Target="https://app.safe.global/settings/setup?safe=eth:0x682552053c1B6905F3115a8877fB8279145ba4B8" TargetMode="External"/><Relationship Id="rId9" Type="http://schemas.openxmlformats.org/officeDocument/2006/relationships/hyperlink" Target="https://app.safe.global/home?safe=arb1:0x23AA3040596Fd1c60BE0FC2f481258515c4Aa1A7" TargetMode="External"/><Relationship Id="rId14" Type="http://schemas.openxmlformats.org/officeDocument/2006/relationships/drawing" Target="../drawings/drawing21.xml"/><Relationship Id="rId5" Type="http://schemas.openxmlformats.org/officeDocument/2006/relationships/hyperlink" Target="https://app.safe.global/settings/setup?safe=eth:0x2F8Cbe69Be1CE691a178B9e0e80c15C1e3685cf6" TargetMode="External"/><Relationship Id="rId6" Type="http://schemas.openxmlformats.org/officeDocument/2006/relationships/hyperlink" Target="https://app.safe.global/home?safe=eth:0x7EBC002C832907a6b24732ea9FA581bf02c0199C" TargetMode="External"/><Relationship Id="rId7" Type="http://schemas.openxmlformats.org/officeDocument/2006/relationships/hyperlink" Target="https://app.safe.global/balances?safe=eth:0x23AA3040596Fd1c60BE0FC2f481258515c4Aa1A7" TargetMode="External"/><Relationship Id="rId8" Type="http://schemas.openxmlformats.org/officeDocument/2006/relationships/hyperlink" Target="https://app.safe.global/settings/setup?safe=oeth:0x50370F347CaFA36a1CBB0BB65522590c9BE19077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hyperlink" Target="https://stake.ethdenver.com/" TargetMode="External"/><Relationship Id="rId3" Type="http://schemas.openxmlformats.org/officeDocument/2006/relationships/drawing" Target="../drawings/drawing22.xml"/><Relationship Id="rId4" Type="http://schemas.openxmlformats.org/officeDocument/2006/relationships/vmlDrawing" Target="../drawings/vmlDrawing15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16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17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18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19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hyperlink" Target="https://docs.google.com/spreadsheets/d/1i2yoWrCpAUC2Fp_Gb2KhMF6xE4uPCpiAOkHb5owgy28/edit" TargetMode="External"/><Relationship Id="rId3" Type="http://schemas.openxmlformats.org/officeDocument/2006/relationships/drawing" Target="../drawings/drawing29.xml"/><Relationship Id="rId4" Type="http://schemas.openxmlformats.org/officeDocument/2006/relationships/vmlDrawing" Target="../drawings/vmlDrawing20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21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22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23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34.xml"/><Relationship Id="rId3" Type="http://schemas.openxmlformats.org/officeDocument/2006/relationships/vmlDrawing" Target="../drawings/vmlDrawing24.v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25.v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26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27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43.xml"/><Relationship Id="rId3" Type="http://schemas.openxmlformats.org/officeDocument/2006/relationships/vmlDrawing" Target="../drawings/vmlDrawing28.v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drawing" Target="../drawings/drawing49.xml"/><Relationship Id="rId3" Type="http://schemas.openxmlformats.org/officeDocument/2006/relationships/vmlDrawing" Target="../drawings/vmlDrawing29.v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3" Type="http://schemas.openxmlformats.org/officeDocument/2006/relationships/table" Target="../tables/table1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53.xml"/><Relationship Id="rId3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18.63"/>
    <col customWidth="1" min="3" max="3" width="18.88"/>
    <col customWidth="1" min="4" max="4" width="23.13"/>
    <col customWidth="1" min="5" max="5" width="21.63"/>
    <col customWidth="1" min="6" max="6" width="32.63"/>
    <col customWidth="1" min="7" max="7" width="30.75"/>
    <col customWidth="1" min="8" max="8" width="16.75"/>
  </cols>
  <sheetData>
    <row r="1">
      <c r="A1" s="1" t="s">
        <v>0</v>
      </c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/>
      <c r="H2" s="5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7</v>
      </c>
      <c r="B3" s="7">
        <v>0.0</v>
      </c>
      <c r="C3" s="7" t="str">
        <f>B12</f>
        <v/>
      </c>
      <c r="D3" s="8">
        <v>0.0</v>
      </c>
      <c r="E3" s="9">
        <f>D27+B7+C7</f>
        <v>0</v>
      </c>
      <c r="F3" s="10" t="str">
        <f>#REF!-B8-C8</f>
        <v>#REF!</v>
      </c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8</v>
      </c>
      <c r="B4" s="7">
        <v>2500.0</v>
      </c>
      <c r="C4" s="7">
        <v>1850.0</v>
      </c>
      <c r="D4" s="2"/>
      <c r="E4" s="11"/>
      <c r="F4" s="12"/>
      <c r="G4" s="2"/>
      <c r="H4" s="2"/>
      <c r="I4" s="2"/>
      <c r="J4" s="2"/>
      <c r="K4" s="2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9</v>
      </c>
      <c r="B5" s="7">
        <v>1900.0</v>
      </c>
      <c r="C5" s="7">
        <v>0.0</v>
      </c>
      <c r="D5" s="2"/>
      <c r="E5" s="13"/>
      <c r="F5" s="14"/>
      <c r="G5" s="15"/>
      <c r="H5" s="2"/>
      <c r="I5" s="2"/>
      <c r="J5" s="2"/>
      <c r="K5" s="2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" t="s">
        <v>10</v>
      </c>
      <c r="B6" s="17" t="str">
        <f>#REF!</f>
        <v>#REF!</v>
      </c>
      <c r="C6" s="18">
        <v>250.0</v>
      </c>
      <c r="D6" s="19"/>
      <c r="E6" s="20"/>
      <c r="F6" s="21"/>
      <c r="G6" s="22"/>
      <c r="H6" s="2"/>
      <c r="I6" s="2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6" t="s">
        <v>11</v>
      </c>
      <c r="B7" s="17" t="str">
        <f t="shared" ref="B7:C7" si="1">B27</f>
        <v/>
      </c>
      <c r="C7" s="17" t="str">
        <f t="shared" si="1"/>
        <v/>
      </c>
      <c r="D7" s="23"/>
      <c r="E7" s="20"/>
      <c r="F7" s="24"/>
      <c r="G7" s="22"/>
      <c r="H7" s="2"/>
      <c r="I7" s="2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6" t="s">
        <v>12</v>
      </c>
      <c r="B8" s="17" t="str">
        <f t="shared" ref="B8:C8" si="2">#REF!</f>
        <v>#REF!</v>
      </c>
      <c r="C8" s="17" t="str">
        <f t="shared" si="2"/>
        <v>#REF!</v>
      </c>
      <c r="D8" s="23"/>
      <c r="E8" s="25"/>
      <c r="F8" s="26"/>
      <c r="G8" s="22"/>
      <c r="H8" s="2"/>
      <c r="I8" s="2"/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6" t="s">
        <v>13</v>
      </c>
      <c r="B9" s="18">
        <f t="shared" ref="B9:C9" si="3">B22</f>
        <v>610</v>
      </c>
      <c r="C9" s="18">
        <f t="shared" si="3"/>
        <v>800</v>
      </c>
      <c r="D9" s="23"/>
      <c r="E9" s="25"/>
      <c r="F9" s="27"/>
      <c r="G9" s="28"/>
      <c r="H9" s="2"/>
      <c r="I9" s="2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6" t="s">
        <v>14</v>
      </c>
      <c r="B10" s="18" t="str">
        <f t="shared" ref="B10:C10" si="4">#REF!-#REF!</f>
        <v>#REF!</v>
      </c>
      <c r="C10" s="18" t="str">
        <f t="shared" si="4"/>
        <v>#REF!</v>
      </c>
      <c r="D10" s="23"/>
      <c r="E10" s="11"/>
      <c r="F10" s="29"/>
      <c r="G10" s="15"/>
      <c r="H10" s="2"/>
      <c r="I10" s="2"/>
      <c r="J10" s="2"/>
      <c r="K10" s="2"/>
      <c r="L10" s="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6" t="s">
        <v>15</v>
      </c>
      <c r="B11" s="17" t="str">
        <f>#REF!</f>
        <v>#REF!</v>
      </c>
      <c r="C11" s="18">
        <v>50.0</v>
      </c>
      <c r="D11" s="23"/>
      <c r="E11" s="30"/>
      <c r="F11" s="27"/>
      <c r="G11" s="15"/>
      <c r="H11" s="2"/>
      <c r="I11" s="2"/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16</v>
      </c>
      <c r="B12" s="2"/>
      <c r="C12" s="2"/>
      <c r="D12" s="31"/>
      <c r="E12" s="11"/>
      <c r="F12" s="29"/>
      <c r="G12" s="15"/>
      <c r="H12" s="2"/>
      <c r="I12" s="2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2"/>
      <c r="B13" s="2"/>
      <c r="C13" s="2"/>
      <c r="D13" s="2"/>
      <c r="E13" s="28"/>
      <c r="F13" s="2"/>
      <c r="G13" s="15"/>
      <c r="H13" s="2"/>
      <c r="I13" s="2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3" t="s">
        <v>13</v>
      </c>
      <c r="B14" s="34" t="s">
        <v>17</v>
      </c>
      <c r="C14" s="34" t="s">
        <v>18</v>
      </c>
      <c r="D14" s="34" t="s">
        <v>19</v>
      </c>
      <c r="E14" s="34" t="s">
        <v>20</v>
      </c>
      <c r="F14" s="34" t="s">
        <v>21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36" t="s">
        <v>22</v>
      </c>
      <c r="B15" s="37">
        <v>100.0</v>
      </c>
      <c r="C15" s="37">
        <v>100.0</v>
      </c>
      <c r="D15" s="37"/>
      <c r="E15" s="38" t="s">
        <v>23</v>
      </c>
      <c r="F15" s="39"/>
      <c r="G15" s="40"/>
      <c r="H15" s="40"/>
      <c r="I15" s="40"/>
      <c r="J15" s="40"/>
      <c r="K15" s="40"/>
      <c r="L15" s="40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36" t="s">
        <v>24</v>
      </c>
      <c r="B16" s="37">
        <v>200.0</v>
      </c>
      <c r="C16" s="37">
        <v>200.0</v>
      </c>
      <c r="D16" s="37"/>
      <c r="E16" s="38" t="s">
        <v>23</v>
      </c>
      <c r="F16" s="39"/>
      <c r="G16" s="40"/>
      <c r="H16" s="40"/>
      <c r="I16" s="40"/>
      <c r="J16" s="40"/>
      <c r="K16" s="40"/>
      <c r="L16" s="40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36" t="s">
        <v>25</v>
      </c>
      <c r="B17" s="37">
        <v>10.0</v>
      </c>
      <c r="C17" s="37">
        <v>0.0</v>
      </c>
      <c r="D17" s="37"/>
      <c r="E17" s="38" t="s">
        <v>23</v>
      </c>
      <c r="F17" s="37" t="s">
        <v>26</v>
      </c>
      <c r="G17" s="40"/>
      <c r="H17" s="40"/>
      <c r="I17" s="40"/>
      <c r="J17" s="40"/>
      <c r="K17" s="40"/>
      <c r="L17" s="40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36" t="s">
        <v>27</v>
      </c>
      <c r="B18" s="37">
        <v>200.0</v>
      </c>
      <c r="C18" s="37">
        <v>400.0</v>
      </c>
      <c r="D18" s="37"/>
      <c r="E18" s="41" t="s">
        <v>28</v>
      </c>
      <c r="F18" s="37"/>
      <c r="G18" s="40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36" t="s">
        <v>29</v>
      </c>
      <c r="B19" s="37">
        <v>100.0</v>
      </c>
      <c r="C19" s="37">
        <v>100.0</v>
      </c>
      <c r="D19" s="37"/>
      <c r="E19" s="41" t="s">
        <v>28</v>
      </c>
      <c r="F19" s="37"/>
      <c r="G19" s="40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6.5" customHeight="1">
      <c r="A20" s="42" t="s">
        <v>30</v>
      </c>
      <c r="B20" s="37">
        <v>0.0</v>
      </c>
      <c r="C20" s="37">
        <v>0.0</v>
      </c>
      <c r="D20" s="43"/>
      <c r="E20" s="41" t="s">
        <v>28</v>
      </c>
      <c r="F20" s="4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5" t="s">
        <v>31</v>
      </c>
      <c r="B21" s="37">
        <v>0.0</v>
      </c>
      <c r="C21" s="37">
        <v>0.0</v>
      </c>
      <c r="D21" s="46"/>
      <c r="E21" s="41" t="s">
        <v>28</v>
      </c>
      <c r="F21" s="46"/>
      <c r="G21" s="47"/>
      <c r="H21" s="47"/>
      <c r="I21" s="47"/>
      <c r="J21" s="47"/>
      <c r="K21" s="47"/>
      <c r="L21" s="47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49" t="s">
        <v>19</v>
      </c>
      <c r="B22" s="50">
        <f t="shared" ref="B22:C22" si="5">sum(B15:B21)</f>
        <v>610</v>
      </c>
      <c r="C22" s="50">
        <f t="shared" si="5"/>
        <v>800</v>
      </c>
      <c r="D22" s="51"/>
      <c r="E22" s="52"/>
      <c r="F22" s="52"/>
      <c r="G22" s="40"/>
      <c r="H22" s="40"/>
      <c r="I22" s="40"/>
      <c r="J22" s="40"/>
      <c r="K22" s="40"/>
      <c r="L22" s="40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>
      <c r="A23" s="49"/>
      <c r="B23" s="53"/>
      <c r="C23" s="53"/>
      <c r="D23" s="54"/>
      <c r="E23" s="55"/>
      <c r="F23" s="3"/>
      <c r="G23" s="5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7" t="s">
        <v>11</v>
      </c>
      <c r="B24" s="58" t="s">
        <v>17</v>
      </c>
      <c r="C24" s="58" t="s">
        <v>18</v>
      </c>
      <c r="D24" s="58" t="s">
        <v>19</v>
      </c>
      <c r="E24" s="58" t="s">
        <v>20</v>
      </c>
      <c r="F24" s="58" t="s">
        <v>21</v>
      </c>
      <c r="G24" s="4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>
      <c r="A25" s="60" t="s">
        <v>32</v>
      </c>
      <c r="B25" s="40">
        <v>0.0</v>
      </c>
      <c r="C25" s="40">
        <v>0.0</v>
      </c>
      <c r="D25" s="9">
        <v>0.0</v>
      </c>
      <c r="E25" s="38" t="s">
        <v>23</v>
      </c>
      <c r="F25" s="61"/>
      <c r="G25" s="47"/>
      <c r="H25" s="40"/>
      <c r="I25" s="40"/>
      <c r="J25" s="40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>
      <c r="A26" s="62" t="s">
        <v>33</v>
      </c>
      <c r="B26" s="40">
        <v>100.0</v>
      </c>
      <c r="C26" s="40">
        <v>0.0</v>
      </c>
      <c r="D26" s="9">
        <v>100.0</v>
      </c>
      <c r="E26" s="38" t="s">
        <v>23</v>
      </c>
      <c r="F26" s="35"/>
      <c r="G26" s="63"/>
      <c r="H26" s="3"/>
      <c r="I26" s="40"/>
      <c r="J26" s="3"/>
      <c r="K26" s="40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9" t="s">
        <v>19</v>
      </c>
      <c r="B27" s="49"/>
      <c r="C27" s="49"/>
      <c r="D27" s="64"/>
      <c r="E27" s="61"/>
      <c r="F27" s="64"/>
      <c r="G27" s="61"/>
      <c r="H27" s="61"/>
      <c r="I27" s="61"/>
      <c r="J27" s="61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>
      <c r="A28" s="66"/>
      <c r="B28" s="55"/>
      <c r="C28" s="55"/>
      <c r="D28" s="55"/>
      <c r="E28" s="55"/>
      <c r="F28" s="55"/>
      <c r="G28" s="67"/>
      <c r="H28" s="55"/>
      <c r="I28" s="55"/>
      <c r="J28" s="55"/>
      <c r="K28" s="55"/>
      <c r="L28" s="5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3" t="s">
        <v>34</v>
      </c>
      <c r="B29" s="34" t="s">
        <v>17</v>
      </c>
      <c r="C29" s="34" t="s">
        <v>18</v>
      </c>
      <c r="D29" s="34" t="s">
        <v>19</v>
      </c>
      <c r="E29" s="34" t="s">
        <v>20</v>
      </c>
      <c r="F29" s="34" t="s">
        <v>21</v>
      </c>
      <c r="G29" s="33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>
      <c r="A30" s="60" t="s">
        <v>35</v>
      </c>
      <c r="B30" s="40">
        <v>100.0</v>
      </c>
      <c r="C30" s="40">
        <v>100.0</v>
      </c>
      <c r="D30" s="9">
        <v>1612.0</v>
      </c>
      <c r="E30" s="38" t="s">
        <v>23</v>
      </c>
      <c r="F30" s="61"/>
      <c r="G30" s="47"/>
      <c r="H30" s="40"/>
      <c r="I30" s="40"/>
      <c r="J30" s="40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62" t="s">
        <v>36</v>
      </c>
      <c r="B31" s="40">
        <v>100.0</v>
      </c>
      <c r="C31" s="40">
        <v>100.0</v>
      </c>
      <c r="D31" s="9">
        <v>300.0</v>
      </c>
      <c r="E31" s="38" t="s">
        <v>23</v>
      </c>
      <c r="F31" s="35"/>
      <c r="G31" s="63"/>
      <c r="H31" s="3"/>
      <c r="I31" s="40"/>
      <c r="J31" s="3"/>
      <c r="K31" s="40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62" t="s">
        <v>37</v>
      </c>
      <c r="B32" s="40">
        <v>100.0</v>
      </c>
      <c r="C32" s="40">
        <v>0.0</v>
      </c>
      <c r="D32" s="69">
        <v>0.0</v>
      </c>
      <c r="E32" s="38" t="s">
        <v>23</v>
      </c>
      <c r="F32" s="70"/>
      <c r="G32" s="35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0" t="s">
        <v>38</v>
      </c>
      <c r="B33" s="40">
        <v>0.0</v>
      </c>
      <c r="C33" s="40">
        <v>0.0</v>
      </c>
      <c r="D33" s="71">
        <v>0.01843329</v>
      </c>
      <c r="E33" s="38" t="s">
        <v>23</v>
      </c>
      <c r="F33" s="70"/>
      <c r="G33" s="47"/>
      <c r="H33" s="40"/>
      <c r="I33" s="40"/>
      <c r="J33" s="40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60" t="s">
        <v>39</v>
      </c>
      <c r="B34" s="40">
        <v>0.0</v>
      </c>
      <c r="C34" s="40">
        <v>0.0</v>
      </c>
      <c r="D34" s="69">
        <v>0.0</v>
      </c>
      <c r="E34" s="41" t="s">
        <v>28</v>
      </c>
      <c r="F34" s="70"/>
      <c r="G34" s="47"/>
      <c r="H34" s="40"/>
      <c r="I34" s="40"/>
      <c r="J34" s="40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60" t="s">
        <v>40</v>
      </c>
      <c r="B35" s="40">
        <v>0.0</v>
      </c>
      <c r="C35" s="40">
        <v>0.0</v>
      </c>
      <c r="D35" s="69">
        <v>300.0</v>
      </c>
      <c r="E35" s="41" t="s">
        <v>28</v>
      </c>
      <c r="F35" s="70"/>
      <c r="G35" s="47"/>
      <c r="H35" s="40"/>
      <c r="I35" s="40"/>
      <c r="J35" s="40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60" t="s">
        <v>41</v>
      </c>
      <c r="B36" s="40">
        <v>0.0</v>
      </c>
      <c r="C36" s="40">
        <v>0.0</v>
      </c>
      <c r="D36" s="69">
        <v>0.0</v>
      </c>
      <c r="E36" s="41" t="s">
        <v>28</v>
      </c>
      <c r="F36" s="70" t="s">
        <v>42</v>
      </c>
      <c r="G36" s="47"/>
      <c r="H36" s="40"/>
      <c r="I36" s="40"/>
      <c r="J36" s="40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60" t="s">
        <v>43</v>
      </c>
      <c r="B37" s="40">
        <v>0.0</v>
      </c>
      <c r="C37" s="40">
        <v>0.0</v>
      </c>
      <c r="D37" s="69">
        <v>0.0</v>
      </c>
      <c r="E37" s="41" t="s">
        <v>28</v>
      </c>
      <c r="F37" s="70"/>
      <c r="G37" s="47"/>
      <c r="H37" s="40"/>
      <c r="I37" s="40"/>
      <c r="J37" s="40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60" t="s">
        <v>44</v>
      </c>
      <c r="B38" s="40">
        <v>0.0</v>
      </c>
      <c r="C38" s="40">
        <v>0.0</v>
      </c>
      <c r="D38" s="69">
        <v>0.0</v>
      </c>
      <c r="E38" s="41" t="s">
        <v>28</v>
      </c>
      <c r="F38" s="70"/>
      <c r="G38" s="47"/>
      <c r="H38" s="40"/>
      <c r="I38" s="40"/>
      <c r="J38" s="40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62" t="s">
        <v>45</v>
      </c>
      <c r="B39" s="40">
        <v>0.0</v>
      </c>
      <c r="C39" s="40">
        <v>0.0</v>
      </c>
      <c r="D39" s="9">
        <v>0.0</v>
      </c>
      <c r="E39" s="41" t="s">
        <v>28</v>
      </c>
      <c r="F39" s="70" t="s">
        <v>46</v>
      </c>
      <c r="G39" s="63"/>
      <c r="H39" s="3"/>
      <c r="I39" s="40"/>
      <c r="J39" s="3"/>
      <c r="K39" s="40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66"/>
      <c r="B40" s="55"/>
      <c r="C40" s="55"/>
      <c r="D40" s="55"/>
      <c r="E40" s="55"/>
      <c r="F40" s="55"/>
      <c r="G40" s="67"/>
      <c r="H40" s="55"/>
      <c r="I40" s="55"/>
      <c r="J40" s="55"/>
      <c r="K40" s="55"/>
      <c r="L40" s="5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72" t="s">
        <v>47</v>
      </c>
      <c r="B41" s="73" t="s">
        <v>17</v>
      </c>
      <c r="C41" s="73" t="s">
        <v>18</v>
      </c>
      <c r="D41" s="73" t="s">
        <v>19</v>
      </c>
      <c r="E41" s="73" t="s">
        <v>20</v>
      </c>
      <c r="F41" s="73" t="s">
        <v>21</v>
      </c>
      <c r="G41" s="4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>
      <c r="A42" s="62" t="s">
        <v>48</v>
      </c>
      <c r="B42" s="61">
        <v>250.0</v>
      </c>
      <c r="C42" s="61">
        <v>250.0</v>
      </c>
      <c r="D42" s="52">
        <v>500.0</v>
      </c>
      <c r="E42" s="38" t="s">
        <v>23</v>
      </c>
      <c r="F42" s="74" t="s">
        <v>49</v>
      </c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62" t="s">
        <v>50</v>
      </c>
      <c r="B43" s="61">
        <v>200.0</v>
      </c>
      <c r="C43" s="61">
        <v>200.0</v>
      </c>
      <c r="D43" s="52">
        <v>2800.0</v>
      </c>
      <c r="E43" s="38" t="s">
        <v>23</v>
      </c>
      <c r="F43" s="37" t="s">
        <v>51</v>
      </c>
      <c r="G43" s="40"/>
      <c r="H43" s="40"/>
      <c r="I43" s="40"/>
      <c r="J43" s="40"/>
      <c r="K43" s="40"/>
      <c r="L43" s="40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62" t="s">
        <v>52</v>
      </c>
      <c r="B44" s="61">
        <v>50.0</v>
      </c>
      <c r="C44" s="61">
        <v>50.0</v>
      </c>
      <c r="D44" s="52">
        <v>350.0</v>
      </c>
      <c r="E44" s="38" t="s">
        <v>23</v>
      </c>
      <c r="F44" s="37" t="s">
        <v>53</v>
      </c>
      <c r="G44" s="35"/>
      <c r="H44" s="40"/>
      <c r="I44" s="35"/>
      <c r="J44" s="40"/>
      <c r="K44" s="35"/>
      <c r="L44" s="40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62" t="s">
        <v>54</v>
      </c>
      <c r="B45" s="61">
        <v>100.0</v>
      </c>
      <c r="C45" s="61">
        <v>0.0</v>
      </c>
      <c r="D45" s="52">
        <v>3210.37</v>
      </c>
      <c r="E45" s="38" t="s">
        <v>23</v>
      </c>
      <c r="F45" s="37" t="s">
        <v>55</v>
      </c>
      <c r="G45" s="40"/>
      <c r="H45" s="35"/>
      <c r="I45" s="40"/>
      <c r="J45" s="35"/>
      <c r="K45" s="40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62" t="s">
        <v>56</v>
      </c>
      <c r="B46" s="61">
        <v>100.0</v>
      </c>
      <c r="C46" s="61">
        <v>100.0</v>
      </c>
      <c r="D46" s="52">
        <v>14000.0</v>
      </c>
      <c r="E46" s="38" t="s">
        <v>23</v>
      </c>
      <c r="F46" s="37" t="s">
        <v>57</v>
      </c>
      <c r="G46" s="40"/>
      <c r="H46" s="35"/>
      <c r="I46" s="40"/>
      <c r="J46" s="35"/>
      <c r="K46" s="40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62" t="s">
        <v>58</v>
      </c>
      <c r="B47" s="61">
        <v>0.0</v>
      </c>
      <c r="C47" s="61">
        <v>0.0</v>
      </c>
      <c r="D47" s="52">
        <v>643.0</v>
      </c>
      <c r="E47" s="38" t="s">
        <v>23</v>
      </c>
      <c r="F47" s="74" t="s">
        <v>59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62" t="s">
        <v>60</v>
      </c>
      <c r="B48" s="61">
        <v>0.0</v>
      </c>
      <c r="C48" s="61">
        <v>100.0</v>
      </c>
      <c r="D48" s="52">
        <v>9311.0</v>
      </c>
      <c r="E48" s="38" t="s">
        <v>23</v>
      </c>
      <c r="F48" s="43" t="s">
        <v>61</v>
      </c>
      <c r="G48" s="35"/>
      <c r="H48" s="40"/>
      <c r="I48" s="35"/>
      <c r="J48" s="40"/>
      <c r="K48" s="35"/>
      <c r="L48" s="40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62" t="s">
        <v>62</v>
      </c>
      <c r="B49" s="61">
        <v>0.0</v>
      </c>
      <c r="C49" s="61">
        <v>0.0</v>
      </c>
      <c r="D49" s="52">
        <v>400.0</v>
      </c>
      <c r="E49" s="41" t="s">
        <v>28</v>
      </c>
      <c r="F49" s="43" t="s">
        <v>61</v>
      </c>
      <c r="G49" s="70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62" t="s">
        <v>63</v>
      </c>
      <c r="B50" s="61">
        <v>0.0</v>
      </c>
      <c r="C50" s="61">
        <v>0.0</v>
      </c>
      <c r="D50" s="52">
        <v>4000.0</v>
      </c>
      <c r="E50" s="41" t="s">
        <v>28</v>
      </c>
      <c r="F50" s="43" t="s">
        <v>61</v>
      </c>
      <c r="G50" s="40"/>
      <c r="H50" s="35"/>
      <c r="I50" s="40"/>
      <c r="J50" s="35"/>
      <c r="K50" s="40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62" t="s">
        <v>64</v>
      </c>
      <c r="B51" s="61">
        <v>0.0</v>
      </c>
      <c r="C51" s="61">
        <v>0.0</v>
      </c>
      <c r="D51" s="40">
        <v>0.0</v>
      </c>
      <c r="E51" s="75" t="s">
        <v>65</v>
      </c>
      <c r="F51" s="43" t="s">
        <v>61</v>
      </c>
      <c r="G51" s="70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76" t="s">
        <v>66</v>
      </c>
      <c r="B52" s="61">
        <v>0.0</v>
      </c>
      <c r="C52" s="61">
        <v>0.0</v>
      </c>
      <c r="D52" s="40">
        <v>0.0</v>
      </c>
      <c r="E52" s="75" t="s">
        <v>65</v>
      </c>
      <c r="F52" s="43" t="s">
        <v>61</v>
      </c>
      <c r="G52" s="70"/>
      <c r="H52" s="40"/>
      <c r="I52" s="35"/>
      <c r="J52" s="40"/>
      <c r="K52" s="35"/>
      <c r="L52" s="40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6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6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77" t="s">
        <v>67</v>
      </c>
      <c r="B55" s="78" t="s">
        <v>17</v>
      </c>
      <c r="C55" s="78" t="s">
        <v>18</v>
      </c>
      <c r="D55" s="78" t="s">
        <v>19</v>
      </c>
      <c r="E55" s="78" t="s">
        <v>20</v>
      </c>
      <c r="F55" s="78" t="s">
        <v>21</v>
      </c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45" t="s">
        <v>68</v>
      </c>
      <c r="B56" s="79">
        <v>50.0</v>
      </c>
      <c r="C56" s="46">
        <v>0.0</v>
      </c>
      <c r="D56" s="80"/>
      <c r="E56" s="41" t="s">
        <v>28</v>
      </c>
      <c r="F56" s="80" t="s">
        <v>69</v>
      </c>
      <c r="G56" s="47"/>
      <c r="H56" s="47"/>
      <c r="I56" s="47"/>
      <c r="J56" s="47"/>
      <c r="K56" s="47"/>
      <c r="L56" s="47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>
      <c r="A57" s="6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6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6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6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6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6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6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6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6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6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6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6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6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6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6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6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6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6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6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6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6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6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6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6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6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6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6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6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6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6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6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6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6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6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6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6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6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6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6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6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6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6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6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6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6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6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6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6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6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6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6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6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6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6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6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6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6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6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6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6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6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6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6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6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6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6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6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6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6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6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6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6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6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6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6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6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6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6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6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6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6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6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6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6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6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6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6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6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6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6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6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6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6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6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6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6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6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6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6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6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6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6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6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6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6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6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6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6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6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6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6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6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6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6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6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6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6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6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6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6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6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6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6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6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6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6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6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6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6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6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6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6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6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6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6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6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6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6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6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6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6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6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6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6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6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6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6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6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6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6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6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6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6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6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6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6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6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6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6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6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6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6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6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6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6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6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6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6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6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6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6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6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6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6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6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6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6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6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6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6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6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6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6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6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6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6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6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6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6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6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6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6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6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6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6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6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6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6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6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6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6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6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6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6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6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6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6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6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6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6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6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6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6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6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6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6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6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6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6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6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6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6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6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6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6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6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6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6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6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6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6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6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6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6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6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6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6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6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6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6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6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6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6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6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6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6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6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6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6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6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6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6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6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6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6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6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6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6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6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6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6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6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6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6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6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6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6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6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6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6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6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6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6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6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6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6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6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6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6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6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6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6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6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6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6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6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6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6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6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6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6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6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6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6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6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6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6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6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6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6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6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6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6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6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6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6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6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6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6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6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6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6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6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6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6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6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6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6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6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6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6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6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6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6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6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6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6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6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6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6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6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6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6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6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6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6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6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6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6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6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6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6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6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6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6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6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6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6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6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6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6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6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6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6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6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6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6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6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6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6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6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6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6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6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6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6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6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6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6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6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6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6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6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6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6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6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6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6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6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6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6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6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6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6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6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6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6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6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6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6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6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6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6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6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6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6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6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6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6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6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6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6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6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6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6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6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6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6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6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6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6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6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6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6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6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6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6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6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6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6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6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6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6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6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6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6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6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6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6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6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6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6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6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6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6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6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6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6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6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6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6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6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6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6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6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6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6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6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6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6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6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6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6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6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6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6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6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6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6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6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6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6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6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6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6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6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6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6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6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6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6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6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6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6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6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6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6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6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6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6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6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6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6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6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6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6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6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6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6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6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6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6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6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6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6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6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6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6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6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6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6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6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6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6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6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6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6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6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6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6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6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6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6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6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6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6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6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6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6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6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6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6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6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6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6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6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6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6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6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6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6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6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6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6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6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6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6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6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6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6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6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6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6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6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6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6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6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6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6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6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6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6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6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6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6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6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6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6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6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6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6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6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6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6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6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6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6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6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6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6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6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6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6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6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6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6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6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6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6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6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6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6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6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6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6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6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6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6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6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6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6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6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6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6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6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6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6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6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6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6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6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6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6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6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6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6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6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6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6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6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6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6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6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6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6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6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6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6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6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6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6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6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6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6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6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6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6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6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6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6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6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6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6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6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6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6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6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6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6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6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6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6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6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6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6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6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6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6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6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6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6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6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6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6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6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6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6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6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6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6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6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6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6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6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6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6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6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6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6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6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6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6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6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6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6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6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6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6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6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6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6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6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6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6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6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6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6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6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6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6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6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6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6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6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6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6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6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6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6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6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6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6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6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6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6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6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6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6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6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6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6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6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6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6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6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6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6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6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6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6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6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6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6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6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6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6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6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6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6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6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6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6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6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6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6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6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6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6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6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6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6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6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6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6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6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6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6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6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6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6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6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6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6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6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6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6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6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6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6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6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6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6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6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6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6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6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6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6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6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6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6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6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6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6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6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6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6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6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6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6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6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6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6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6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6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6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6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6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6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6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6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6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6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6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6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6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6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6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6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6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6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6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6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6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6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6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6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6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6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6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6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6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6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6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6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6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6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6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6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6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6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6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6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6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6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6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6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6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6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6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6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6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6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6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6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6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6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6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6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6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6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6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6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6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6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6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6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6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6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6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6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6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6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6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6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6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6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6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6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6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6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6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6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6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6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6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6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6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6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6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6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6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6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6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6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6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6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6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6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6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6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6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6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6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6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6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6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6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6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6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6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6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6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6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6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6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6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6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6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6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6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6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6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6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6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6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6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6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6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6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6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6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6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6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6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6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6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6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6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6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6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6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6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6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6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6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6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6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6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>
      <c r="A986" s="6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>
      <c r="A987" s="6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>
      <c r="A988" s="6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>
      <c r="A989" s="6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>
      <c r="A990" s="6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>
      <c r="A991" s="6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>
      <c r="A992" s="6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>
      <c r="A993" s="6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>
      <c r="A994" s="6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>
      <c r="A995" s="6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>
      <c r="A996" s="6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>
      <c r="A997" s="6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>
      <c r="A998" s="6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>
      <c r="A999" s="6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>
      <c r="A1000" s="6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>
      <c r="A1001" s="6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>
      <c r="A1002" s="6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>
      <c r="A1003" s="6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  <row r="1004">
      <c r="A1004" s="6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</row>
    <row r="1005">
      <c r="A1005" s="6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27.13"/>
    <col customWidth="1" min="3" max="3" width="33.25"/>
    <col customWidth="1" min="4" max="4" width="18.13"/>
    <col customWidth="1" min="5" max="5" width="22.88"/>
    <col customWidth="1" min="6" max="6" width="25.5"/>
    <col customWidth="1" min="7" max="7" width="27.13"/>
    <col customWidth="1" min="8" max="10" width="5.38"/>
  </cols>
  <sheetData>
    <row r="1" ht="15.75" customHeight="1">
      <c r="A1" s="81"/>
      <c r="B1" s="82" t="s">
        <v>70</v>
      </c>
      <c r="D1" s="83"/>
      <c r="E1" s="83"/>
      <c r="F1" s="82"/>
      <c r="G1" s="83"/>
      <c r="H1" s="83"/>
      <c r="I1" s="83"/>
      <c r="J1" s="83"/>
    </row>
    <row r="2" ht="37.5" customHeight="1">
      <c r="A2" s="84"/>
      <c r="B2" s="85">
        <f>AVERAGE(BUDGET!AM13:AX13)</f>
        <v>16241.25917</v>
      </c>
      <c r="C2" s="86">
        <f>HOLDINGS!C52</f>
        <v>12251244</v>
      </c>
      <c r="D2" s="87">
        <v>675.0</v>
      </c>
      <c r="E2" s="88">
        <v>0.4</v>
      </c>
      <c r="F2" s="89">
        <f>LIABILITIES!C41</f>
        <v>25401.63</v>
      </c>
      <c r="G2" s="89" t="s">
        <v>71</v>
      </c>
      <c r="H2" s="90"/>
      <c r="I2" s="90"/>
      <c r="J2" s="90"/>
    </row>
    <row r="3" ht="16.5" customHeight="1">
      <c r="A3" s="91"/>
      <c r="B3" s="92" t="s">
        <v>72</v>
      </c>
      <c r="C3" s="93" t="s">
        <v>73</v>
      </c>
      <c r="D3" s="94" t="s">
        <v>74</v>
      </c>
      <c r="E3" s="95" t="s">
        <v>75</v>
      </c>
      <c r="F3" s="93" t="s">
        <v>76</v>
      </c>
      <c r="G3" s="93" t="s">
        <v>77</v>
      </c>
      <c r="H3" s="96"/>
      <c r="I3" s="96"/>
      <c r="J3" s="96"/>
    </row>
    <row r="4">
      <c r="A4" s="97"/>
      <c r="B4" s="98"/>
      <c r="C4" s="99"/>
      <c r="D4" s="99"/>
      <c r="E4" s="99"/>
      <c r="F4" s="99"/>
      <c r="G4" s="99"/>
      <c r="H4" s="100"/>
      <c r="I4" s="101"/>
      <c r="J4" s="97"/>
    </row>
    <row r="5">
      <c r="A5" s="97"/>
      <c r="B5" s="102"/>
      <c r="H5" s="97"/>
      <c r="I5" s="103"/>
      <c r="J5" s="97"/>
    </row>
    <row r="6">
      <c r="A6" s="97"/>
      <c r="B6" s="102"/>
      <c r="H6" s="97"/>
      <c r="I6" s="103"/>
      <c r="J6" s="97"/>
    </row>
    <row r="7">
      <c r="A7" s="97"/>
      <c r="B7" s="102"/>
      <c r="H7" s="97"/>
      <c r="I7" s="103"/>
      <c r="J7" s="97"/>
    </row>
    <row r="8">
      <c r="A8" s="97"/>
      <c r="B8" s="102"/>
      <c r="H8" s="97"/>
      <c r="I8" s="103"/>
      <c r="J8" s="97"/>
    </row>
    <row r="9">
      <c r="A9" s="97"/>
      <c r="B9" s="102"/>
      <c r="H9" s="97"/>
      <c r="I9" s="103"/>
      <c r="J9" s="97"/>
    </row>
    <row r="10">
      <c r="A10" s="97"/>
      <c r="B10" s="102"/>
      <c r="H10" s="97"/>
      <c r="I10" s="103"/>
      <c r="J10" s="97"/>
    </row>
    <row r="11">
      <c r="A11" s="97"/>
      <c r="B11" s="102"/>
      <c r="H11" s="97"/>
      <c r="I11" s="103"/>
      <c r="J11" s="97"/>
    </row>
    <row r="12">
      <c r="A12" s="97"/>
      <c r="B12" s="102"/>
      <c r="H12" s="97"/>
      <c r="I12" s="103"/>
      <c r="J12" s="97"/>
    </row>
    <row r="13">
      <c r="A13" s="97"/>
      <c r="B13" s="102"/>
      <c r="H13" s="97"/>
      <c r="I13" s="103"/>
      <c r="J13" s="97"/>
    </row>
    <row r="14">
      <c r="A14" s="97"/>
      <c r="B14" s="102"/>
      <c r="H14" s="97"/>
      <c r="I14" s="103"/>
      <c r="J14" s="97"/>
    </row>
    <row r="15">
      <c r="A15" s="97"/>
      <c r="B15" s="102"/>
      <c r="H15" s="97"/>
      <c r="I15" s="103"/>
      <c r="J15" s="97"/>
    </row>
    <row r="16">
      <c r="A16" s="97"/>
      <c r="B16" s="102"/>
      <c r="H16" s="97"/>
      <c r="I16" s="103"/>
      <c r="J16" s="97"/>
    </row>
    <row r="17">
      <c r="A17" s="97"/>
      <c r="B17" s="102"/>
      <c r="H17" s="97"/>
      <c r="I17" s="103"/>
      <c r="J17" s="97"/>
    </row>
    <row r="18">
      <c r="A18" s="97"/>
      <c r="B18" s="102"/>
      <c r="H18" s="97"/>
      <c r="I18" s="103"/>
      <c r="J18" s="97"/>
    </row>
    <row r="19">
      <c r="A19" s="97"/>
      <c r="B19" s="104"/>
      <c r="C19" s="105"/>
      <c r="D19" s="105"/>
      <c r="E19" s="105"/>
      <c r="F19" s="105"/>
      <c r="G19" s="105"/>
      <c r="H19" s="106"/>
      <c r="I19" s="107"/>
      <c r="J19" s="97"/>
    </row>
    <row r="20" ht="7.5" customHeight="1"/>
    <row r="21">
      <c r="B21" s="108"/>
      <c r="C21" s="108"/>
    </row>
    <row r="22">
      <c r="B22" s="108" t="s">
        <v>78</v>
      </c>
      <c r="C22" s="109"/>
    </row>
    <row r="23">
      <c r="B23" s="110" t="s">
        <v>79</v>
      </c>
      <c r="D23" s="111"/>
      <c r="F23" s="112"/>
    </row>
    <row r="24">
      <c r="B24" s="110" t="s">
        <v>80</v>
      </c>
      <c r="E24" s="113"/>
      <c r="F24" s="114"/>
    </row>
    <row r="25">
      <c r="B25" s="115" t="s">
        <v>81</v>
      </c>
      <c r="C25" s="110" t="s">
        <v>82</v>
      </c>
      <c r="E25" s="113"/>
      <c r="F25" s="114"/>
    </row>
    <row r="26">
      <c r="B26" s="115" t="s">
        <v>83</v>
      </c>
      <c r="E26" s="113"/>
      <c r="F26" s="114"/>
    </row>
    <row r="27">
      <c r="B27" s="110" t="s">
        <v>84</v>
      </c>
      <c r="E27" s="113"/>
      <c r="F27" s="114"/>
    </row>
    <row r="28">
      <c r="B28" s="115" t="s">
        <v>85</v>
      </c>
      <c r="C28" s="109"/>
      <c r="E28" s="113"/>
    </row>
    <row r="29">
      <c r="B29" s="115" t="s">
        <v>86</v>
      </c>
      <c r="C29" s="109"/>
      <c r="D29" s="116" t="s">
        <v>87</v>
      </c>
      <c r="E29" s="117" t="s">
        <v>88</v>
      </c>
    </row>
    <row r="30">
      <c r="B30" s="115" t="s">
        <v>89</v>
      </c>
      <c r="C30" s="109"/>
      <c r="D30" s="113">
        <v>82631.0</v>
      </c>
      <c r="E30" s="118">
        <v>45778.0</v>
      </c>
      <c r="F30" s="119" t="s">
        <v>90</v>
      </c>
    </row>
    <row r="31">
      <c r="B31" s="115" t="s">
        <v>91</v>
      </c>
      <c r="C31" s="109"/>
      <c r="D31" s="113">
        <v>15000.0</v>
      </c>
      <c r="E31" s="113"/>
      <c r="F31" s="119" t="s">
        <v>38</v>
      </c>
    </row>
    <row r="32">
      <c r="C32" s="109"/>
      <c r="D32" s="113">
        <v>35000.0</v>
      </c>
      <c r="E32" s="113"/>
      <c r="F32" s="119" t="s">
        <v>37</v>
      </c>
    </row>
    <row r="33">
      <c r="B33" s="115"/>
      <c r="C33" s="109"/>
      <c r="D33" s="113">
        <v>10000.0</v>
      </c>
      <c r="E33" s="120"/>
      <c r="F33" s="119" t="s">
        <v>92</v>
      </c>
    </row>
    <row r="34">
      <c r="B34" s="115"/>
      <c r="C34" s="109"/>
      <c r="D34" s="121">
        <v>30000.0</v>
      </c>
      <c r="F34" s="119" t="s">
        <v>93</v>
      </c>
    </row>
    <row r="35">
      <c r="B35" s="115"/>
      <c r="C35" s="109"/>
      <c r="E35" s="113"/>
    </row>
    <row r="36">
      <c r="B36" s="115"/>
      <c r="C36" s="109"/>
      <c r="D36" s="120">
        <f>sum(D30:D34)</f>
        <v>172631</v>
      </c>
    </row>
    <row r="37">
      <c r="B37" s="115"/>
      <c r="C37" s="109"/>
    </row>
    <row r="38">
      <c r="B38" s="115"/>
      <c r="C38" s="109"/>
      <c r="E38" s="113"/>
    </row>
    <row r="39">
      <c r="B39" s="115"/>
      <c r="C39" s="109"/>
      <c r="D39" s="110"/>
      <c r="E39" s="113"/>
      <c r="F39" s="110"/>
    </row>
    <row r="40">
      <c r="B40" s="115"/>
      <c r="C40" s="109"/>
      <c r="D40" s="110"/>
      <c r="E40" s="113"/>
      <c r="F40" s="110"/>
    </row>
    <row r="41">
      <c r="B41" s="115"/>
      <c r="C41" s="109"/>
      <c r="D41" s="110"/>
      <c r="E41" s="113"/>
      <c r="F41" s="110"/>
    </row>
  </sheetData>
  <mergeCells count="2">
    <mergeCell ref="B1:C1"/>
    <mergeCell ref="B4:G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25"/>
    <col customWidth="1" min="2" max="2" width="34.0"/>
    <col hidden="1" min="3" max="7" width="12.63"/>
    <col customWidth="1" hidden="1" min="8" max="12" width="15.0"/>
    <col customWidth="1" hidden="1" min="13" max="13" width="16.25"/>
    <col customWidth="1" hidden="1" min="14" max="14" width="15.0"/>
    <col hidden="1" min="15" max="22" width="12.63"/>
    <col customWidth="1" hidden="1" min="23" max="23" width="15.0"/>
    <col hidden="1" min="24" max="76" width="12.63"/>
    <col hidden="1" min="103" max="104" width="12.63"/>
  </cols>
  <sheetData>
    <row r="1" ht="20.25" customHeight="1">
      <c r="A1" s="122" t="s">
        <v>94</v>
      </c>
      <c r="B1" s="123"/>
      <c r="C1" s="124" t="s">
        <v>95</v>
      </c>
      <c r="D1" s="124" t="s">
        <v>96</v>
      </c>
      <c r="E1" s="124" t="s">
        <v>97</v>
      </c>
      <c r="F1" s="124" t="s">
        <v>98</v>
      </c>
      <c r="G1" s="124" t="s">
        <v>99</v>
      </c>
      <c r="H1" s="125" t="s">
        <v>100</v>
      </c>
      <c r="I1" s="123" t="s">
        <v>101</v>
      </c>
      <c r="J1" s="123" t="s">
        <v>102</v>
      </c>
      <c r="K1" s="123" t="s">
        <v>103</v>
      </c>
      <c r="L1" s="123" t="s">
        <v>104</v>
      </c>
      <c r="M1" s="123" t="s">
        <v>105</v>
      </c>
      <c r="N1" s="123" t="s">
        <v>106</v>
      </c>
      <c r="O1" s="123" t="s">
        <v>107</v>
      </c>
      <c r="P1" s="123" t="s">
        <v>108</v>
      </c>
      <c r="Q1" s="123" t="s">
        <v>109</v>
      </c>
      <c r="R1" s="123" t="s">
        <v>110</v>
      </c>
      <c r="S1" s="123" t="s">
        <v>111</v>
      </c>
      <c r="T1" s="123" t="s">
        <v>112</v>
      </c>
      <c r="U1" s="123" t="s">
        <v>113</v>
      </c>
      <c r="V1" s="123" t="s">
        <v>114</v>
      </c>
      <c r="W1" s="123" t="s">
        <v>115</v>
      </c>
      <c r="X1" s="123" t="s">
        <v>116</v>
      </c>
      <c r="Y1" s="123" t="s">
        <v>117</v>
      </c>
      <c r="Z1" s="123" t="s">
        <v>118</v>
      </c>
      <c r="AA1" s="126" t="s">
        <v>119</v>
      </c>
      <c r="AB1" s="126" t="s">
        <v>120</v>
      </c>
      <c r="AC1" s="126" t="s">
        <v>121</v>
      </c>
      <c r="AD1" s="126" t="s">
        <v>122</v>
      </c>
      <c r="AE1" s="126" t="s">
        <v>123</v>
      </c>
      <c r="AF1" s="126" t="s">
        <v>124</v>
      </c>
      <c r="AG1" s="126" t="s">
        <v>125</v>
      </c>
      <c r="AH1" s="127" t="s">
        <v>126</v>
      </c>
      <c r="AI1" s="126" t="s">
        <v>127</v>
      </c>
      <c r="AJ1" s="126" t="s">
        <v>128</v>
      </c>
      <c r="AK1" s="126" t="s">
        <v>129</v>
      </c>
      <c r="AL1" s="126" t="s">
        <v>130</v>
      </c>
      <c r="AM1" s="126" t="s">
        <v>131</v>
      </c>
      <c r="AN1" s="126" t="s">
        <v>132</v>
      </c>
      <c r="AO1" s="126" t="s">
        <v>133</v>
      </c>
      <c r="AP1" s="126" t="s">
        <v>134</v>
      </c>
      <c r="AQ1" s="126" t="s">
        <v>135</v>
      </c>
      <c r="AR1" s="126" t="s">
        <v>136</v>
      </c>
      <c r="AS1" s="126" t="s">
        <v>137</v>
      </c>
      <c r="AT1" s="126" t="s">
        <v>138</v>
      </c>
      <c r="AU1" s="126" t="s">
        <v>139</v>
      </c>
      <c r="AV1" s="126" t="s">
        <v>140</v>
      </c>
      <c r="AW1" s="126" t="s">
        <v>141</v>
      </c>
      <c r="AX1" s="126" t="s">
        <v>142</v>
      </c>
      <c r="AY1" s="126" t="s">
        <v>143</v>
      </c>
      <c r="AZ1" s="126" t="s">
        <v>144</v>
      </c>
      <c r="BA1" s="126" t="s">
        <v>145</v>
      </c>
      <c r="BB1" s="126" t="s">
        <v>146</v>
      </c>
      <c r="BC1" s="126" t="s">
        <v>147</v>
      </c>
      <c r="BD1" s="126" t="s">
        <v>148</v>
      </c>
      <c r="BE1" s="126" t="s">
        <v>149</v>
      </c>
      <c r="BF1" s="126" t="s">
        <v>150</v>
      </c>
      <c r="BG1" s="126" t="s">
        <v>151</v>
      </c>
      <c r="BH1" s="126" t="s">
        <v>152</v>
      </c>
      <c r="BI1" s="126" t="s">
        <v>153</v>
      </c>
      <c r="BJ1" s="126" t="s">
        <v>154</v>
      </c>
      <c r="BK1" s="128" t="s">
        <v>155</v>
      </c>
      <c r="BL1" s="129" t="s">
        <v>156</v>
      </c>
      <c r="BM1" s="129" t="s">
        <v>157</v>
      </c>
      <c r="BN1" s="129" t="s">
        <v>158</v>
      </c>
      <c r="BO1" s="129" t="s">
        <v>159</v>
      </c>
      <c r="BP1" s="129" t="s">
        <v>160</v>
      </c>
      <c r="BQ1" s="129" t="s">
        <v>161</v>
      </c>
      <c r="BR1" s="129" t="s">
        <v>162</v>
      </c>
      <c r="BS1" s="129" t="s">
        <v>163</v>
      </c>
      <c r="BT1" s="129" t="s">
        <v>164</v>
      </c>
      <c r="BU1" s="129" t="s">
        <v>165</v>
      </c>
      <c r="BV1" s="129" t="s">
        <v>166</v>
      </c>
      <c r="BW1" s="129" t="s">
        <v>167</v>
      </c>
      <c r="BX1" s="130" t="s">
        <v>168</v>
      </c>
      <c r="BY1" s="129" t="s">
        <v>169</v>
      </c>
      <c r="BZ1" s="129" t="s">
        <v>170</v>
      </c>
      <c r="CA1" s="129" t="s">
        <v>171</v>
      </c>
      <c r="CB1" s="129" t="s">
        <v>172</v>
      </c>
      <c r="CC1" s="129" t="s">
        <v>173</v>
      </c>
      <c r="CD1" s="129" t="s">
        <v>174</v>
      </c>
      <c r="CE1" s="129" t="s">
        <v>175</v>
      </c>
      <c r="CF1" s="129" t="s">
        <v>176</v>
      </c>
      <c r="CG1" s="129" t="s">
        <v>177</v>
      </c>
      <c r="CH1" s="129" t="s">
        <v>178</v>
      </c>
      <c r="CI1" s="129" t="s">
        <v>179</v>
      </c>
      <c r="CJ1" s="129" t="s">
        <v>180</v>
      </c>
      <c r="CK1" s="130" t="s">
        <v>181</v>
      </c>
      <c r="CL1" s="129" t="s">
        <v>182</v>
      </c>
      <c r="CM1" s="129" t="s">
        <v>183</v>
      </c>
      <c r="CN1" s="129" t="s">
        <v>184</v>
      </c>
      <c r="CO1" s="129" t="s">
        <v>185</v>
      </c>
      <c r="CP1" s="129" t="s">
        <v>186</v>
      </c>
      <c r="CQ1" s="129" t="s">
        <v>187</v>
      </c>
      <c r="CR1" s="129" t="s">
        <v>188</v>
      </c>
      <c r="CS1" s="129" t="s">
        <v>189</v>
      </c>
      <c r="CT1" s="129" t="s">
        <v>190</v>
      </c>
      <c r="CU1" s="129" t="s">
        <v>191</v>
      </c>
      <c r="CV1" s="129" t="s">
        <v>192</v>
      </c>
      <c r="CW1" s="129" t="s">
        <v>193</v>
      </c>
      <c r="CX1" s="130" t="s">
        <v>194</v>
      </c>
      <c r="CY1" s="129" t="s">
        <v>179</v>
      </c>
      <c r="CZ1" s="129" t="s">
        <v>180</v>
      </c>
    </row>
    <row r="2">
      <c r="A2" s="131" t="s">
        <v>195</v>
      </c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4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4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3"/>
      <c r="CQ2" s="133"/>
      <c r="CR2" s="133"/>
      <c r="CS2" s="133"/>
      <c r="CT2" s="133"/>
      <c r="CU2" s="133"/>
      <c r="CV2" s="133"/>
      <c r="CW2" s="133"/>
      <c r="CX2" s="133"/>
      <c r="CY2" s="133"/>
      <c r="CZ2" s="133"/>
    </row>
    <row r="3">
      <c r="A3" s="135" t="s">
        <v>196</v>
      </c>
      <c r="B3" s="136"/>
      <c r="C3" s="137"/>
      <c r="D3" s="137"/>
      <c r="E3" s="137"/>
      <c r="F3" s="137"/>
      <c r="G3" s="137"/>
      <c r="H3" s="137"/>
      <c r="I3" s="138"/>
      <c r="J3" s="138"/>
      <c r="K3" s="138"/>
      <c r="L3" s="138"/>
      <c r="M3" s="139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40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40"/>
      <c r="BL3" s="141"/>
      <c r="BM3" s="141"/>
      <c r="BN3" s="141"/>
      <c r="BO3" s="141"/>
      <c r="BP3" s="141"/>
      <c r="BQ3" s="141"/>
      <c r="BR3" s="141"/>
      <c r="BS3" s="141"/>
      <c r="BT3" s="141"/>
      <c r="BU3" s="141"/>
      <c r="BV3" s="141"/>
      <c r="BW3" s="141"/>
      <c r="BX3" s="142"/>
      <c r="BY3" s="141"/>
      <c r="BZ3" s="141"/>
      <c r="CA3" s="141"/>
      <c r="CB3" s="141"/>
      <c r="CC3" s="141"/>
      <c r="CD3" s="141"/>
      <c r="CE3" s="141"/>
      <c r="CF3" s="141"/>
      <c r="CG3" s="141"/>
      <c r="CH3" s="141"/>
      <c r="CI3" s="141"/>
      <c r="CJ3" s="141"/>
      <c r="CK3" s="142"/>
      <c r="CL3" s="141"/>
      <c r="CM3" s="141"/>
      <c r="CN3" s="141"/>
      <c r="CO3" s="141"/>
      <c r="CP3" s="141"/>
      <c r="CQ3" s="141"/>
      <c r="CR3" s="141"/>
      <c r="CS3" s="141"/>
      <c r="CT3" s="141"/>
      <c r="CU3" s="141"/>
      <c r="CV3" s="141"/>
      <c r="CW3" s="141"/>
      <c r="CX3" s="142"/>
      <c r="CY3" s="141"/>
      <c r="CZ3" s="141"/>
    </row>
    <row r="4">
      <c r="A4" s="143"/>
      <c r="B4" s="144" t="s">
        <v>197</v>
      </c>
      <c r="C4" s="145">
        <v>10000.0</v>
      </c>
      <c r="D4" s="145">
        <v>10000.0</v>
      </c>
      <c r="E4" s="145">
        <v>10000.0</v>
      </c>
      <c r="F4" s="145">
        <v>10000.0</v>
      </c>
      <c r="G4" s="145">
        <v>10000.0</v>
      </c>
      <c r="H4" s="146">
        <v>10000.0</v>
      </c>
      <c r="I4" s="145">
        <v>10000.0</v>
      </c>
      <c r="J4" s="145">
        <f t="shared" ref="J4:P4" si="1">120000/12</f>
        <v>10000</v>
      </c>
      <c r="K4" s="145">
        <f t="shared" si="1"/>
        <v>10000</v>
      </c>
      <c r="L4" s="145">
        <f t="shared" si="1"/>
        <v>10000</v>
      </c>
      <c r="M4" s="145">
        <f t="shared" si="1"/>
        <v>10000</v>
      </c>
      <c r="N4" s="145">
        <f t="shared" si="1"/>
        <v>10000</v>
      </c>
      <c r="O4" s="145">
        <f t="shared" si="1"/>
        <v>10000</v>
      </c>
      <c r="P4" s="145">
        <f t="shared" si="1"/>
        <v>10000</v>
      </c>
      <c r="Q4" s="145">
        <f t="shared" ref="Q4:Y4" si="2">123000/12</f>
        <v>10250</v>
      </c>
      <c r="R4" s="145">
        <f t="shared" si="2"/>
        <v>10250</v>
      </c>
      <c r="S4" s="145">
        <f t="shared" si="2"/>
        <v>10250</v>
      </c>
      <c r="T4" s="145">
        <f t="shared" si="2"/>
        <v>10250</v>
      </c>
      <c r="U4" s="145">
        <f t="shared" si="2"/>
        <v>10250</v>
      </c>
      <c r="V4" s="145">
        <f t="shared" si="2"/>
        <v>10250</v>
      </c>
      <c r="W4" s="145">
        <f t="shared" si="2"/>
        <v>10250</v>
      </c>
      <c r="X4" s="145">
        <f t="shared" si="2"/>
        <v>10250</v>
      </c>
      <c r="Y4" s="145">
        <f t="shared" si="2"/>
        <v>10250</v>
      </c>
      <c r="Z4" s="145">
        <f t="shared" ref="Z4:AJ4" si="3">160000/12</f>
        <v>13333.33333</v>
      </c>
      <c r="AA4" s="145">
        <f t="shared" si="3"/>
        <v>13333.33333</v>
      </c>
      <c r="AB4" s="145">
        <f t="shared" si="3"/>
        <v>13333.33333</v>
      </c>
      <c r="AC4" s="145">
        <f t="shared" si="3"/>
        <v>13333.33333</v>
      </c>
      <c r="AD4" s="145">
        <f t="shared" si="3"/>
        <v>13333.33333</v>
      </c>
      <c r="AE4" s="145">
        <f t="shared" si="3"/>
        <v>13333.33333</v>
      </c>
      <c r="AF4" s="145">
        <f t="shared" si="3"/>
        <v>13333.33333</v>
      </c>
      <c r="AG4" s="145">
        <f t="shared" si="3"/>
        <v>13333.33333</v>
      </c>
      <c r="AH4" s="146">
        <f t="shared" si="3"/>
        <v>13333.33333</v>
      </c>
      <c r="AI4" s="145">
        <f t="shared" si="3"/>
        <v>13333.33333</v>
      </c>
      <c r="AJ4" s="145">
        <f t="shared" si="3"/>
        <v>13333.33333</v>
      </c>
      <c r="AK4" s="145">
        <f>165000/12</f>
        <v>13750</v>
      </c>
      <c r="AL4" s="145">
        <f t="shared" ref="AL4:AZ4" si="4">210000/12</f>
        <v>17500</v>
      </c>
      <c r="AM4" s="145">
        <f t="shared" si="4"/>
        <v>17500</v>
      </c>
      <c r="AN4" s="145">
        <f t="shared" si="4"/>
        <v>17500</v>
      </c>
      <c r="AO4" s="145">
        <f t="shared" si="4"/>
        <v>17500</v>
      </c>
      <c r="AP4" s="145">
        <f t="shared" si="4"/>
        <v>17500</v>
      </c>
      <c r="AQ4" s="145">
        <f t="shared" si="4"/>
        <v>17500</v>
      </c>
      <c r="AR4" s="145">
        <f t="shared" si="4"/>
        <v>17500</v>
      </c>
      <c r="AS4" s="145">
        <f t="shared" si="4"/>
        <v>17500</v>
      </c>
      <c r="AT4" s="145">
        <f t="shared" si="4"/>
        <v>17500</v>
      </c>
      <c r="AU4" s="145">
        <f t="shared" si="4"/>
        <v>17500</v>
      </c>
      <c r="AV4" s="145">
        <f t="shared" si="4"/>
        <v>17500</v>
      </c>
      <c r="AW4" s="145">
        <f t="shared" si="4"/>
        <v>17500</v>
      </c>
      <c r="AX4" s="145">
        <f t="shared" si="4"/>
        <v>17500</v>
      </c>
      <c r="AY4" s="145">
        <f t="shared" si="4"/>
        <v>17500</v>
      </c>
      <c r="AZ4" s="145">
        <f t="shared" si="4"/>
        <v>17500</v>
      </c>
      <c r="BA4" s="145">
        <f t="shared" ref="BA4:BE4" si="5">200000/12</f>
        <v>16666.66667</v>
      </c>
      <c r="BB4" s="145">
        <f t="shared" si="5"/>
        <v>16666.66667</v>
      </c>
      <c r="BC4" s="145">
        <f t="shared" si="5"/>
        <v>16666.66667</v>
      </c>
      <c r="BD4" s="145">
        <f t="shared" si="5"/>
        <v>16666.66667</v>
      </c>
      <c r="BE4" s="145">
        <f t="shared" si="5"/>
        <v>16666.66667</v>
      </c>
      <c r="BF4" s="145">
        <f t="shared" ref="BF4:BJ4" si="6">220000/12</f>
        <v>18333.33333</v>
      </c>
      <c r="BG4" s="145">
        <f t="shared" si="6"/>
        <v>18333.33333</v>
      </c>
      <c r="BH4" s="145">
        <f t="shared" si="6"/>
        <v>18333.33333</v>
      </c>
      <c r="BI4" s="145">
        <f t="shared" si="6"/>
        <v>18333.33333</v>
      </c>
      <c r="BJ4" s="145">
        <f t="shared" si="6"/>
        <v>18333.33333</v>
      </c>
      <c r="BK4" s="146"/>
      <c r="BL4" s="145">
        <f t="shared" ref="BL4:BW4" si="7">220000/12</f>
        <v>18333.33333</v>
      </c>
      <c r="BM4" s="145">
        <f t="shared" si="7"/>
        <v>18333.33333</v>
      </c>
      <c r="BN4" s="145">
        <f t="shared" si="7"/>
        <v>18333.33333</v>
      </c>
      <c r="BO4" s="145">
        <f t="shared" si="7"/>
        <v>18333.33333</v>
      </c>
      <c r="BP4" s="145">
        <f t="shared" si="7"/>
        <v>18333.33333</v>
      </c>
      <c r="BQ4" s="145">
        <f t="shared" si="7"/>
        <v>18333.33333</v>
      </c>
      <c r="BR4" s="145">
        <f t="shared" si="7"/>
        <v>18333.33333</v>
      </c>
      <c r="BS4" s="145">
        <f t="shared" si="7"/>
        <v>18333.33333</v>
      </c>
      <c r="BT4" s="145">
        <f t="shared" si="7"/>
        <v>18333.33333</v>
      </c>
      <c r="BU4" s="145">
        <f t="shared" si="7"/>
        <v>18333.33333</v>
      </c>
      <c r="BV4" s="145">
        <f t="shared" si="7"/>
        <v>18333.33333</v>
      </c>
      <c r="BW4" s="145">
        <f t="shared" si="7"/>
        <v>18333.33333</v>
      </c>
      <c r="BX4" s="146">
        <f t="shared" ref="BX4:BX5" si="13">sum(BL4:BW4)</f>
        <v>220000</v>
      </c>
      <c r="BY4" s="145">
        <f t="shared" ref="BY4:CB4" si="8">220000/12</f>
        <v>18333.33333</v>
      </c>
      <c r="BZ4" s="145">
        <f t="shared" si="8"/>
        <v>18333.33333</v>
      </c>
      <c r="CA4" s="145">
        <f t="shared" si="8"/>
        <v>18333.33333</v>
      </c>
      <c r="CB4" s="145">
        <f t="shared" si="8"/>
        <v>18333.33333</v>
      </c>
      <c r="CC4" s="147">
        <f t="shared" ref="CC4:CJ4" si="9">360000/12</f>
        <v>30000</v>
      </c>
      <c r="CD4" s="145">
        <f t="shared" si="9"/>
        <v>30000</v>
      </c>
      <c r="CE4" s="145">
        <f t="shared" si="9"/>
        <v>30000</v>
      </c>
      <c r="CF4" s="145">
        <f t="shared" si="9"/>
        <v>30000</v>
      </c>
      <c r="CG4" s="145">
        <f t="shared" si="9"/>
        <v>30000</v>
      </c>
      <c r="CH4" s="145">
        <f t="shared" si="9"/>
        <v>30000</v>
      </c>
      <c r="CI4" s="145">
        <f t="shared" si="9"/>
        <v>30000</v>
      </c>
      <c r="CJ4" s="145">
        <f t="shared" si="9"/>
        <v>30000</v>
      </c>
      <c r="CK4" s="146">
        <f t="shared" ref="CK4:CK5" si="14">sum(BY4:CJ4)</f>
        <v>313333.3333</v>
      </c>
      <c r="CL4" s="145">
        <f t="shared" ref="CL4:CN4" si="10">220000/12</f>
        <v>18333.33333</v>
      </c>
      <c r="CM4" s="145">
        <f t="shared" si="10"/>
        <v>18333.33333</v>
      </c>
      <c r="CN4" s="145">
        <f t="shared" si="10"/>
        <v>18333.33333</v>
      </c>
      <c r="CO4" s="147">
        <f t="shared" ref="CO4:CW4" si="11">360000/12</f>
        <v>30000</v>
      </c>
      <c r="CP4" s="145">
        <f t="shared" si="11"/>
        <v>30000</v>
      </c>
      <c r="CQ4" s="145">
        <f t="shared" si="11"/>
        <v>30000</v>
      </c>
      <c r="CR4" s="145">
        <f t="shared" si="11"/>
        <v>30000</v>
      </c>
      <c r="CS4" s="145">
        <f t="shared" si="11"/>
        <v>30000</v>
      </c>
      <c r="CT4" s="145">
        <f t="shared" si="11"/>
        <v>30000</v>
      </c>
      <c r="CU4" s="145">
        <f t="shared" si="11"/>
        <v>30000</v>
      </c>
      <c r="CV4" s="145">
        <f t="shared" si="11"/>
        <v>30000</v>
      </c>
      <c r="CW4" s="145">
        <f t="shared" si="11"/>
        <v>30000</v>
      </c>
      <c r="CX4" s="146">
        <f t="shared" ref="CX4:CX5" si="15">sum(CL4:CW4)</f>
        <v>325000</v>
      </c>
      <c r="CY4" s="145">
        <f t="shared" ref="CY4:CZ4" si="12">400000/12</f>
        <v>33333.33333</v>
      </c>
      <c r="CZ4" s="145">
        <f t="shared" si="12"/>
        <v>33333.33333</v>
      </c>
    </row>
    <row r="5">
      <c r="A5" s="143"/>
      <c r="B5" s="137" t="s">
        <v>198</v>
      </c>
      <c r="C5" s="145">
        <v>0.0</v>
      </c>
      <c r="D5" s="145">
        <v>3000.0</v>
      </c>
      <c r="E5" s="145">
        <v>0.0</v>
      </c>
      <c r="F5" s="145">
        <v>0.0</v>
      </c>
      <c r="G5" s="145">
        <v>0.0</v>
      </c>
      <c r="H5" s="146">
        <v>0.0</v>
      </c>
      <c r="I5" s="145">
        <v>5000.0</v>
      </c>
      <c r="J5" s="145">
        <v>5000.0</v>
      </c>
      <c r="K5" s="145">
        <v>0.0</v>
      </c>
      <c r="L5" s="145">
        <v>0.0</v>
      </c>
      <c r="M5" s="145">
        <v>800.0</v>
      </c>
      <c r="N5" s="145">
        <f>500</f>
        <v>500</v>
      </c>
      <c r="O5" s="145">
        <v>0.0</v>
      </c>
      <c r="P5" s="145">
        <f>5000</f>
        <v>5000</v>
      </c>
      <c r="Q5" s="145">
        <v>0.0</v>
      </c>
      <c r="R5" s="145">
        <v>0.0</v>
      </c>
      <c r="S5" s="145">
        <v>0.0</v>
      </c>
      <c r="T5" s="145">
        <v>0.0</v>
      </c>
      <c r="U5" s="145">
        <v>0.0</v>
      </c>
      <c r="V5" s="145">
        <v>0.0</v>
      </c>
      <c r="W5" s="145">
        <v>0.0</v>
      </c>
      <c r="X5" s="145">
        <v>0.0</v>
      </c>
      <c r="Y5" s="145">
        <v>0.0</v>
      </c>
      <c r="Z5" s="145">
        <v>0.0</v>
      </c>
      <c r="AA5" s="145">
        <v>0.0</v>
      </c>
      <c r="AB5" s="145">
        <v>0.0</v>
      </c>
      <c r="AC5" s="145">
        <v>0.0</v>
      </c>
      <c r="AD5" s="145">
        <v>0.0</v>
      </c>
      <c r="AE5" s="145">
        <v>0.0</v>
      </c>
      <c r="AF5" s="145">
        <v>0.0</v>
      </c>
      <c r="AG5" s="145">
        <v>0.0</v>
      </c>
      <c r="AH5" s="146">
        <v>0.0</v>
      </c>
      <c r="AI5" s="145">
        <v>0.0</v>
      </c>
      <c r="AJ5" s="145">
        <v>0.0</v>
      </c>
      <c r="AK5" s="145">
        <v>0.0</v>
      </c>
      <c r="AL5" s="145">
        <v>0.0</v>
      </c>
      <c r="AM5" s="145">
        <v>0.0</v>
      </c>
      <c r="AN5" s="145">
        <v>0.0</v>
      </c>
      <c r="AO5" s="145">
        <v>0.0</v>
      </c>
      <c r="AP5" s="145">
        <v>0.0</v>
      </c>
      <c r="AQ5" s="145">
        <v>0.0</v>
      </c>
      <c r="AR5" s="145">
        <v>0.0</v>
      </c>
      <c r="AS5" s="145">
        <v>0.0</v>
      </c>
      <c r="AT5" s="145">
        <v>0.0</v>
      </c>
      <c r="AU5" s="145">
        <v>0.0</v>
      </c>
      <c r="AV5" s="145">
        <v>0.0</v>
      </c>
      <c r="AW5" s="145">
        <v>0.0</v>
      </c>
      <c r="AX5" s="145">
        <v>0.0</v>
      </c>
      <c r="AY5" s="145">
        <v>0.0</v>
      </c>
      <c r="AZ5" s="145">
        <v>0.0</v>
      </c>
      <c r="BA5" s="145">
        <v>0.0</v>
      </c>
      <c r="BB5" s="145">
        <v>0.0</v>
      </c>
      <c r="BC5" s="145">
        <v>0.0</v>
      </c>
      <c r="BD5" s="145">
        <v>0.0</v>
      </c>
      <c r="BE5" s="145">
        <v>0.0</v>
      </c>
      <c r="BF5" s="145">
        <v>0.0</v>
      </c>
      <c r="BG5" s="145">
        <v>0.0</v>
      </c>
      <c r="BH5" s="145">
        <v>0.0</v>
      </c>
      <c r="BI5" s="145">
        <v>0.0</v>
      </c>
      <c r="BJ5" s="145">
        <v>0.0</v>
      </c>
      <c r="BK5" s="146"/>
      <c r="BL5" s="145">
        <v>0.0</v>
      </c>
      <c r="BM5" s="145">
        <v>0.0</v>
      </c>
      <c r="BN5" s="145">
        <v>0.0</v>
      </c>
      <c r="BO5" s="145">
        <v>0.0</v>
      </c>
      <c r="BP5" s="145">
        <v>0.0</v>
      </c>
      <c r="BQ5" s="145">
        <v>0.0</v>
      </c>
      <c r="BR5" s="145">
        <v>0.0</v>
      </c>
      <c r="BS5" s="145">
        <v>0.0</v>
      </c>
      <c r="BT5" s="145">
        <v>0.0</v>
      </c>
      <c r="BU5" s="145">
        <v>0.0</v>
      </c>
      <c r="BV5" s="145">
        <v>0.0</v>
      </c>
      <c r="BW5" s="145">
        <v>0.0</v>
      </c>
      <c r="BX5" s="146">
        <f t="shared" si="13"/>
        <v>0</v>
      </c>
      <c r="BY5" s="145">
        <v>0.0</v>
      </c>
      <c r="BZ5" s="145">
        <v>0.0</v>
      </c>
      <c r="CA5" s="145">
        <v>0.0</v>
      </c>
      <c r="CB5" s="145">
        <v>0.0</v>
      </c>
      <c r="CC5" s="145">
        <v>0.0</v>
      </c>
      <c r="CD5" s="145">
        <v>0.0</v>
      </c>
      <c r="CE5" s="145">
        <v>0.0</v>
      </c>
      <c r="CF5" s="145">
        <v>0.0</v>
      </c>
      <c r="CG5" s="145">
        <v>0.0</v>
      </c>
      <c r="CH5" s="145">
        <v>0.0</v>
      </c>
      <c r="CI5" s="145">
        <v>0.0</v>
      </c>
      <c r="CJ5" s="145">
        <v>0.0</v>
      </c>
      <c r="CK5" s="146">
        <f t="shared" si="14"/>
        <v>0</v>
      </c>
      <c r="CL5" s="145">
        <v>0.0</v>
      </c>
      <c r="CM5" s="145">
        <v>0.0</v>
      </c>
      <c r="CN5" s="145">
        <v>0.0</v>
      </c>
      <c r="CO5" s="145">
        <v>0.0</v>
      </c>
      <c r="CP5" s="145">
        <v>0.0</v>
      </c>
      <c r="CQ5" s="145">
        <v>0.0</v>
      </c>
      <c r="CR5" s="145">
        <v>0.0</v>
      </c>
      <c r="CS5" s="145">
        <v>0.0</v>
      </c>
      <c r="CT5" s="145">
        <v>0.0</v>
      </c>
      <c r="CU5" s="145">
        <v>0.0</v>
      </c>
      <c r="CV5" s="145">
        <v>0.0</v>
      </c>
      <c r="CW5" s="145">
        <v>0.0</v>
      </c>
      <c r="CX5" s="146">
        <f t="shared" si="15"/>
        <v>0</v>
      </c>
      <c r="CY5" s="145">
        <v>0.0</v>
      </c>
      <c r="CZ5" s="145">
        <v>0.0</v>
      </c>
    </row>
    <row r="6">
      <c r="A6" s="135" t="s">
        <v>199</v>
      </c>
      <c r="B6" s="136"/>
      <c r="C6" s="137"/>
      <c r="D6" s="137"/>
      <c r="E6" s="137"/>
      <c r="F6" s="137"/>
      <c r="G6" s="137"/>
      <c r="H6" s="137"/>
      <c r="I6" s="138"/>
      <c r="J6" s="138"/>
      <c r="K6" s="138"/>
      <c r="L6" s="138"/>
      <c r="M6" s="139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40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8"/>
      <c r="BK6" s="140"/>
      <c r="BL6" s="148" t="s">
        <v>200</v>
      </c>
      <c r="BM6" s="141"/>
      <c r="BN6" s="141"/>
      <c r="BO6" s="141"/>
      <c r="BP6" s="141"/>
      <c r="BQ6" s="141"/>
      <c r="BR6" s="141"/>
      <c r="BS6" s="141"/>
      <c r="BT6" s="141"/>
      <c r="BU6" s="141"/>
      <c r="BV6" s="141"/>
      <c r="BW6" s="141"/>
      <c r="BX6" s="142"/>
      <c r="BY6" s="148" t="s">
        <v>200</v>
      </c>
      <c r="BZ6" s="141"/>
      <c r="CA6" s="141"/>
      <c r="CB6" s="141"/>
      <c r="CC6" s="141"/>
      <c r="CD6" s="141"/>
      <c r="CE6" s="141"/>
      <c r="CF6" s="141"/>
      <c r="CG6" s="141"/>
      <c r="CH6" s="141"/>
      <c r="CI6" s="141"/>
      <c r="CJ6" s="141"/>
      <c r="CK6" s="142"/>
      <c r="CL6" s="148" t="s">
        <v>200</v>
      </c>
      <c r="CM6" s="141"/>
      <c r="CN6" s="141"/>
      <c r="CO6" s="141"/>
      <c r="CP6" s="141"/>
      <c r="CQ6" s="141"/>
      <c r="CR6" s="141"/>
      <c r="CS6" s="141"/>
      <c r="CT6" s="141"/>
      <c r="CU6" s="141"/>
      <c r="CV6" s="141"/>
      <c r="CW6" s="141"/>
      <c r="CX6" s="142"/>
      <c r="CY6" s="141"/>
      <c r="CZ6" s="141"/>
    </row>
    <row r="7" ht="15.0" customHeight="1">
      <c r="A7" s="149"/>
      <c r="B7" s="137" t="s">
        <v>201</v>
      </c>
      <c r="C7" s="145">
        <v>0.0</v>
      </c>
      <c r="D7" s="145">
        <v>0.0</v>
      </c>
      <c r="E7" s="145">
        <v>0.0</v>
      </c>
      <c r="F7" s="145">
        <v>0.0</v>
      </c>
      <c r="G7" s="145">
        <v>0.0</v>
      </c>
      <c r="H7" s="146">
        <v>0.0</v>
      </c>
      <c r="I7" s="145">
        <v>0.0</v>
      </c>
      <c r="J7" s="145">
        <v>0.0</v>
      </c>
      <c r="K7" s="145">
        <v>0.0</v>
      </c>
      <c r="L7" s="145">
        <v>0.0</v>
      </c>
      <c r="M7" s="145">
        <v>0.0</v>
      </c>
      <c r="N7" s="145">
        <v>0.0</v>
      </c>
      <c r="O7" s="145">
        <v>0.0</v>
      </c>
      <c r="P7" s="145">
        <v>0.0</v>
      </c>
      <c r="Q7" s="145">
        <v>0.0</v>
      </c>
      <c r="R7" s="145">
        <v>0.0</v>
      </c>
      <c r="S7" s="145">
        <v>0.0</v>
      </c>
      <c r="T7" s="145">
        <f t="shared" ref="T7:W7" si="16">S7+S7*0.15</f>
        <v>0</v>
      </c>
      <c r="U7" s="150">
        <f t="shared" si="16"/>
        <v>0</v>
      </c>
      <c r="V7" s="150">
        <f t="shared" si="16"/>
        <v>0</v>
      </c>
      <c r="W7" s="150">
        <f t="shared" si="16"/>
        <v>0</v>
      </c>
      <c r="X7" s="151">
        <v>0.0</v>
      </c>
      <c r="Y7" s="151">
        <v>0.0</v>
      </c>
      <c r="Z7" s="150">
        <f t="shared" ref="Z7:AH7" si="17">Y7+Y7*0.1</f>
        <v>0</v>
      </c>
      <c r="AA7" s="150">
        <f t="shared" si="17"/>
        <v>0</v>
      </c>
      <c r="AB7" s="150">
        <f t="shared" si="17"/>
        <v>0</v>
      </c>
      <c r="AC7" s="150">
        <f t="shared" si="17"/>
        <v>0</v>
      </c>
      <c r="AD7" s="150">
        <f t="shared" si="17"/>
        <v>0</v>
      </c>
      <c r="AE7" s="150">
        <f t="shared" si="17"/>
        <v>0</v>
      </c>
      <c r="AF7" s="150">
        <f t="shared" si="17"/>
        <v>0</v>
      </c>
      <c r="AG7" s="150">
        <f t="shared" si="17"/>
        <v>0</v>
      </c>
      <c r="AH7" s="152">
        <f t="shared" si="17"/>
        <v>0</v>
      </c>
      <c r="AI7" s="150">
        <f t="shared" ref="AI7:AJ7" si="18">AG7+AG7*0.1</f>
        <v>0</v>
      </c>
      <c r="AJ7" s="150">
        <f t="shared" si="18"/>
        <v>0</v>
      </c>
      <c r="AK7" s="150">
        <f t="shared" ref="AK7:AT7" si="19">AJ7+AJ7*0.1</f>
        <v>0</v>
      </c>
      <c r="AL7" s="150">
        <f t="shared" si="19"/>
        <v>0</v>
      </c>
      <c r="AM7" s="150">
        <f t="shared" si="19"/>
        <v>0</v>
      </c>
      <c r="AN7" s="150">
        <f t="shared" si="19"/>
        <v>0</v>
      </c>
      <c r="AO7" s="150">
        <f t="shared" si="19"/>
        <v>0</v>
      </c>
      <c r="AP7" s="150">
        <f t="shared" si="19"/>
        <v>0</v>
      </c>
      <c r="AQ7" s="150">
        <f t="shared" si="19"/>
        <v>0</v>
      </c>
      <c r="AR7" s="150">
        <f t="shared" si="19"/>
        <v>0</v>
      </c>
      <c r="AS7" s="150">
        <f t="shared" si="19"/>
        <v>0</v>
      </c>
      <c r="AT7" s="150">
        <f t="shared" si="19"/>
        <v>0</v>
      </c>
      <c r="AU7" s="151">
        <v>0.0</v>
      </c>
      <c r="AV7" s="151">
        <v>0.0</v>
      </c>
      <c r="AW7" s="151">
        <v>0.0</v>
      </c>
      <c r="AX7" s="151">
        <v>0.0</v>
      </c>
      <c r="AY7" s="151">
        <v>0.0</v>
      </c>
      <c r="AZ7" s="151">
        <v>0.0</v>
      </c>
      <c r="BA7" s="151">
        <v>0.0</v>
      </c>
      <c r="BB7" s="151">
        <v>0.0</v>
      </c>
      <c r="BC7" s="151">
        <v>0.0</v>
      </c>
      <c r="BD7" s="151">
        <v>0.0</v>
      </c>
      <c r="BE7" s="151">
        <v>0.0</v>
      </c>
      <c r="BF7" s="151">
        <v>60000.0</v>
      </c>
      <c r="BG7" s="151">
        <v>0.0</v>
      </c>
      <c r="BH7" s="151">
        <v>0.0</v>
      </c>
      <c r="BI7" s="151">
        <v>0.0</v>
      </c>
      <c r="BJ7" s="151">
        <v>0.0</v>
      </c>
      <c r="BK7" s="153"/>
      <c r="BL7" s="151">
        <v>0.0</v>
      </c>
      <c r="BM7" s="151">
        <v>0.0</v>
      </c>
      <c r="BN7" s="151">
        <v>0.0</v>
      </c>
      <c r="BO7" s="151">
        <v>0.0</v>
      </c>
      <c r="BP7" s="151">
        <v>0.0</v>
      </c>
      <c r="BQ7" s="151">
        <v>0.0</v>
      </c>
      <c r="BR7" s="151">
        <v>0.0</v>
      </c>
      <c r="BS7" s="151">
        <v>0.0</v>
      </c>
      <c r="BT7" s="151">
        <v>0.0</v>
      </c>
      <c r="BU7" s="151">
        <v>0.0</v>
      </c>
      <c r="BV7" s="151">
        <v>0.0</v>
      </c>
      <c r="BW7" s="151">
        <v>0.0</v>
      </c>
      <c r="BX7" s="146">
        <f t="shared" ref="BX7:BX8" si="20">sum(BL7:BW7)</f>
        <v>0</v>
      </c>
      <c r="BY7" s="151">
        <v>0.0</v>
      </c>
      <c r="BZ7" s="151">
        <v>0.0</v>
      </c>
      <c r="CA7" s="151">
        <v>0.0</v>
      </c>
      <c r="CB7" s="151">
        <v>0.0</v>
      </c>
      <c r="CC7" s="151">
        <v>0.0</v>
      </c>
      <c r="CD7" s="151">
        <v>0.0</v>
      </c>
      <c r="CE7" s="154">
        <v>5000000.0</v>
      </c>
      <c r="CF7" s="154">
        <v>5000000.0</v>
      </c>
      <c r="CG7" s="154">
        <v>5000000.0</v>
      </c>
      <c r="CH7" s="154">
        <v>5000000.0</v>
      </c>
      <c r="CI7" s="151">
        <v>0.0</v>
      </c>
      <c r="CJ7" s="151">
        <v>0.0</v>
      </c>
      <c r="CK7" s="146">
        <f t="shared" ref="CK7:CK8" si="22">sum(BY7:CJ7)</f>
        <v>20000000</v>
      </c>
      <c r="CL7" s="151">
        <v>0.0</v>
      </c>
      <c r="CM7" s="151">
        <v>0.0</v>
      </c>
      <c r="CN7" s="151">
        <v>0.0</v>
      </c>
      <c r="CO7" s="151">
        <v>0.0</v>
      </c>
      <c r="CP7" s="151">
        <v>0.0</v>
      </c>
      <c r="CQ7" s="151">
        <v>0.0</v>
      </c>
      <c r="CR7" s="151">
        <v>0.0</v>
      </c>
      <c r="CS7" s="151">
        <v>0.0</v>
      </c>
      <c r="CT7" s="151">
        <v>0.0</v>
      </c>
      <c r="CU7" s="151">
        <v>0.0</v>
      </c>
      <c r="CV7" s="151">
        <v>0.0</v>
      </c>
      <c r="CW7" s="151">
        <v>0.0</v>
      </c>
      <c r="CX7" s="146">
        <f t="shared" ref="CX7:CX8" si="24">sum(CL7:CW7)</f>
        <v>0</v>
      </c>
      <c r="CY7" s="151">
        <v>0.0</v>
      </c>
      <c r="CZ7" s="151">
        <v>0.0</v>
      </c>
    </row>
    <row r="8">
      <c r="A8" s="149"/>
      <c r="B8" s="137" t="s">
        <v>202</v>
      </c>
      <c r="C8" s="145"/>
      <c r="D8" s="145"/>
      <c r="E8" s="145"/>
      <c r="F8" s="145"/>
      <c r="G8" s="145"/>
      <c r="H8" s="146"/>
      <c r="I8" s="145"/>
      <c r="J8" s="145"/>
      <c r="K8" s="145"/>
      <c r="L8" s="145"/>
      <c r="M8" s="145"/>
      <c r="N8" s="145"/>
      <c r="O8" s="145">
        <f>1000</f>
        <v>1000</v>
      </c>
      <c r="P8" s="145">
        <f>2723</f>
        <v>2723</v>
      </c>
      <c r="Q8" s="145">
        <v>419.0</v>
      </c>
      <c r="R8" s="155">
        <f>200</f>
        <v>200</v>
      </c>
      <c r="S8" s="156">
        <f>900+2500</f>
        <v>3400</v>
      </c>
      <c r="T8" s="156">
        <v>0.0</v>
      </c>
      <c r="U8" s="145">
        <v>0.0</v>
      </c>
      <c r="V8" s="145">
        <v>300.0</v>
      </c>
      <c r="W8" s="145">
        <v>0.0</v>
      </c>
      <c r="X8" s="145">
        <v>0.0</v>
      </c>
      <c r="Y8" s="145">
        <v>5600.0</v>
      </c>
      <c r="Z8" s="145">
        <v>0.0</v>
      </c>
      <c r="AA8" s="155">
        <v>0.0</v>
      </c>
      <c r="AB8" s="145">
        <v>0.0</v>
      </c>
      <c r="AC8" s="157">
        <v>700.0</v>
      </c>
      <c r="AD8" s="145">
        <v>0.0</v>
      </c>
      <c r="AE8" s="145">
        <v>11000.0</v>
      </c>
      <c r="AF8" s="158">
        <v>1300.0</v>
      </c>
      <c r="AG8" s="159">
        <f>sum(1200,1200)</f>
        <v>2400</v>
      </c>
      <c r="AH8" s="160">
        <f>sum(7000,10000)</f>
        <v>17000</v>
      </c>
      <c r="AI8" s="161">
        <v>0.0</v>
      </c>
      <c r="AJ8" s="145">
        <v>0.0</v>
      </c>
      <c r="AK8" s="161">
        <f>2000+7700</f>
        <v>9700</v>
      </c>
      <c r="AL8" s="113">
        <v>0.0</v>
      </c>
      <c r="AM8" s="113">
        <v>0.0</v>
      </c>
      <c r="AN8" s="113">
        <v>10000.0</v>
      </c>
      <c r="AO8" s="113">
        <v>1000.0</v>
      </c>
      <c r="AP8" s="113">
        <v>21000.0</v>
      </c>
      <c r="AQ8" s="113">
        <v>0.0</v>
      </c>
      <c r="AR8" s="113">
        <v>0.0</v>
      </c>
      <c r="AS8" s="145">
        <v>0.0</v>
      </c>
      <c r="AT8" s="162">
        <f>sum(4751.11)</f>
        <v>4751.11</v>
      </c>
      <c r="AU8" s="145">
        <f>36000*0.45</f>
        <v>16200</v>
      </c>
      <c r="AV8" s="145">
        <v>0.0</v>
      </c>
      <c r="AW8" s="145">
        <v>0.0</v>
      </c>
      <c r="AX8" s="145">
        <f>SUM(1500,1844)</f>
        <v>3344</v>
      </c>
      <c r="AY8" s="156">
        <f>sum(1000,1800)</f>
        <v>2800</v>
      </c>
      <c r="AZ8" s="155">
        <v>16000.0</v>
      </c>
      <c r="BA8" s="161">
        <v>20000.0</v>
      </c>
      <c r="BB8" s="145">
        <v>0.0</v>
      </c>
      <c r="BC8" s="145">
        <v>2500.0</v>
      </c>
      <c r="BD8" s="163">
        <v>0.0</v>
      </c>
      <c r="BE8" s="113">
        <v>0.0</v>
      </c>
      <c r="BF8" s="113">
        <f>sum(-2000,-3000,-1200)</f>
        <v>-6200</v>
      </c>
      <c r="BG8" s="113">
        <f>sum(5000,2000)</f>
        <v>7000</v>
      </c>
      <c r="BH8" s="145">
        <f>sum(10000,1000)</f>
        <v>11000</v>
      </c>
      <c r="BI8" s="145">
        <v>0.0</v>
      </c>
      <c r="BJ8" s="156">
        <v>0.0</v>
      </c>
      <c r="BK8" s="146"/>
      <c r="BL8" s="163">
        <v>30000.0</v>
      </c>
      <c r="BM8" s="163">
        <v>10000.0</v>
      </c>
      <c r="BN8" s="145">
        <f>sum(25000)</f>
        <v>25000</v>
      </c>
      <c r="BO8" s="145">
        <f>sum(24000)</f>
        <v>24000</v>
      </c>
      <c r="BP8" s="145">
        <v>2000.0</v>
      </c>
      <c r="BQ8" s="145">
        <f>sum(20000)</f>
        <v>20000</v>
      </c>
      <c r="BR8" s="145">
        <f>sum(50000)</f>
        <v>50000</v>
      </c>
      <c r="BS8" s="145">
        <f>SUM(2800,6000)</f>
        <v>8800</v>
      </c>
      <c r="BT8" s="164">
        <v>10000.0</v>
      </c>
      <c r="BU8" s="145">
        <v>0.0</v>
      </c>
      <c r="BV8" s="145">
        <v>0.0</v>
      </c>
      <c r="BW8" s="145">
        <f>sum(10000)</f>
        <v>10000</v>
      </c>
      <c r="BX8" s="146">
        <f t="shared" si="20"/>
        <v>189800</v>
      </c>
      <c r="BY8" s="151">
        <f t="shared" ref="BY8:BZ8" si="21">sum(10000)</f>
        <v>10000</v>
      </c>
      <c r="BZ8" s="145">
        <f t="shared" si="21"/>
        <v>10000</v>
      </c>
      <c r="CA8" s="163">
        <f>sum(85000)</f>
        <v>85000</v>
      </c>
      <c r="CB8" s="165">
        <f>sum(7500,11000,75000)</f>
        <v>93500</v>
      </c>
      <c r="CC8" s="163">
        <v>0.0</v>
      </c>
      <c r="CD8" s="165">
        <v>250000.0</v>
      </c>
      <c r="CE8" s="163">
        <v>0.0</v>
      </c>
      <c r="CF8" s="163">
        <v>0.0</v>
      </c>
      <c r="CG8" s="163">
        <v>0.0</v>
      </c>
      <c r="CH8" s="163">
        <v>0.0</v>
      </c>
      <c r="CI8" s="163">
        <v>0.0</v>
      </c>
      <c r="CJ8" s="163">
        <v>0.0</v>
      </c>
      <c r="CK8" s="146">
        <f t="shared" si="22"/>
        <v>448500</v>
      </c>
      <c r="CL8" s="151">
        <f t="shared" ref="CL8:CM8" si="23">sum(10000)</f>
        <v>10000</v>
      </c>
      <c r="CM8" s="145">
        <f t="shared" si="23"/>
        <v>10000</v>
      </c>
      <c r="CN8" s="163">
        <f>sum(7500,11000,10000)</f>
        <v>28500</v>
      </c>
      <c r="CO8" s="165">
        <v>200000.0</v>
      </c>
      <c r="CP8" s="163">
        <v>0.0</v>
      </c>
      <c r="CQ8" s="163">
        <v>0.0</v>
      </c>
      <c r="CR8" s="163">
        <v>0.0</v>
      </c>
      <c r="CS8" s="163">
        <v>0.0</v>
      </c>
      <c r="CT8" s="163">
        <v>0.0</v>
      </c>
      <c r="CU8" s="163">
        <v>0.0</v>
      </c>
      <c r="CV8" s="163">
        <v>0.0</v>
      </c>
      <c r="CW8" s="163">
        <v>0.0</v>
      </c>
      <c r="CX8" s="146">
        <f t="shared" si="24"/>
        <v>248500</v>
      </c>
      <c r="CY8" s="145">
        <v>0.0</v>
      </c>
      <c r="CZ8" s="145">
        <v>0.0</v>
      </c>
    </row>
    <row r="9">
      <c r="A9" s="166"/>
      <c r="B9" s="167"/>
      <c r="C9" s="168"/>
      <c r="D9" s="168"/>
      <c r="E9" s="168"/>
      <c r="F9" s="168"/>
      <c r="G9" s="168"/>
      <c r="H9" s="169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9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9"/>
      <c r="BL9" s="168"/>
      <c r="BM9" s="168"/>
      <c r="BN9" s="168"/>
      <c r="BO9" s="168"/>
      <c r="BP9" s="168"/>
      <c r="BQ9" s="168"/>
      <c r="BR9" s="168"/>
      <c r="BS9" s="168"/>
      <c r="BT9" s="168"/>
      <c r="BU9" s="168"/>
      <c r="BV9" s="168"/>
      <c r="BW9" s="168"/>
      <c r="BX9" s="170"/>
      <c r="BY9" s="168"/>
      <c r="BZ9" s="168"/>
      <c r="CA9" s="168"/>
      <c r="CB9" s="168"/>
      <c r="CC9" s="168"/>
      <c r="CD9" s="168"/>
      <c r="CE9" s="168"/>
      <c r="CF9" s="168"/>
      <c r="CG9" s="168"/>
      <c r="CH9" s="168"/>
      <c r="CI9" s="168"/>
      <c r="CJ9" s="168"/>
      <c r="CK9" s="170"/>
      <c r="CL9" s="168"/>
      <c r="CM9" s="168"/>
      <c r="CN9" s="168"/>
      <c r="CO9" s="168"/>
      <c r="CP9" s="168"/>
      <c r="CQ9" s="168"/>
      <c r="CR9" s="168"/>
      <c r="CS9" s="168"/>
      <c r="CT9" s="168"/>
      <c r="CU9" s="168"/>
      <c r="CV9" s="168"/>
      <c r="CW9" s="168"/>
      <c r="CX9" s="170"/>
      <c r="CY9" s="168"/>
      <c r="CZ9" s="168"/>
    </row>
    <row r="10">
      <c r="A10" s="171" t="s">
        <v>203</v>
      </c>
      <c r="B10" s="172"/>
      <c r="C10" s="173">
        <f t="shared" ref="C10:O10" si="25">sum(C4:C7)</f>
        <v>10000</v>
      </c>
      <c r="D10" s="173">
        <f t="shared" si="25"/>
        <v>13000</v>
      </c>
      <c r="E10" s="173">
        <f t="shared" si="25"/>
        <v>10000</v>
      </c>
      <c r="F10" s="173">
        <f t="shared" si="25"/>
        <v>10000</v>
      </c>
      <c r="G10" s="173">
        <f t="shared" si="25"/>
        <v>10000</v>
      </c>
      <c r="H10" s="174">
        <f t="shared" si="25"/>
        <v>10000</v>
      </c>
      <c r="I10" s="173">
        <f t="shared" si="25"/>
        <v>15000</v>
      </c>
      <c r="J10" s="173">
        <f t="shared" si="25"/>
        <v>15000</v>
      </c>
      <c r="K10" s="173">
        <f t="shared" si="25"/>
        <v>10000</v>
      </c>
      <c r="L10" s="173">
        <f t="shared" si="25"/>
        <v>10000</v>
      </c>
      <c r="M10" s="173">
        <f t="shared" si="25"/>
        <v>10800</v>
      </c>
      <c r="N10" s="173">
        <f t="shared" si="25"/>
        <v>10500</v>
      </c>
      <c r="O10" s="173">
        <f t="shared" si="25"/>
        <v>10000</v>
      </c>
      <c r="P10" s="173">
        <f t="shared" ref="P10:BJ10" si="26">sum(P4:P8)</f>
        <v>17723</v>
      </c>
      <c r="Q10" s="173">
        <f t="shared" si="26"/>
        <v>10669</v>
      </c>
      <c r="R10" s="173">
        <f t="shared" si="26"/>
        <v>10450</v>
      </c>
      <c r="S10" s="173">
        <f t="shared" si="26"/>
        <v>13650</v>
      </c>
      <c r="T10" s="173">
        <f t="shared" si="26"/>
        <v>10250</v>
      </c>
      <c r="U10" s="173">
        <f t="shared" si="26"/>
        <v>10250</v>
      </c>
      <c r="V10" s="173">
        <f t="shared" si="26"/>
        <v>10550</v>
      </c>
      <c r="W10" s="173">
        <f t="shared" si="26"/>
        <v>10250</v>
      </c>
      <c r="X10" s="173">
        <f t="shared" si="26"/>
        <v>10250</v>
      </c>
      <c r="Y10" s="173">
        <f t="shared" si="26"/>
        <v>15850</v>
      </c>
      <c r="Z10" s="173">
        <f t="shared" si="26"/>
        <v>13333.33333</v>
      </c>
      <c r="AA10" s="173">
        <f t="shared" si="26"/>
        <v>13333.33333</v>
      </c>
      <c r="AB10" s="173">
        <f t="shared" si="26"/>
        <v>13333.33333</v>
      </c>
      <c r="AC10" s="173">
        <f t="shared" si="26"/>
        <v>14033.33333</v>
      </c>
      <c r="AD10" s="173">
        <f t="shared" si="26"/>
        <v>13333.33333</v>
      </c>
      <c r="AE10" s="173">
        <f t="shared" si="26"/>
        <v>24333.33333</v>
      </c>
      <c r="AF10" s="173">
        <f t="shared" si="26"/>
        <v>14633.33333</v>
      </c>
      <c r="AG10" s="173">
        <f t="shared" si="26"/>
        <v>15733.33333</v>
      </c>
      <c r="AH10" s="174">
        <f t="shared" si="26"/>
        <v>30333.33333</v>
      </c>
      <c r="AI10" s="173">
        <f t="shared" si="26"/>
        <v>13333.33333</v>
      </c>
      <c r="AJ10" s="173">
        <f t="shared" si="26"/>
        <v>13333.33333</v>
      </c>
      <c r="AK10" s="173">
        <f t="shared" si="26"/>
        <v>23450</v>
      </c>
      <c r="AL10" s="173">
        <f t="shared" si="26"/>
        <v>17500</v>
      </c>
      <c r="AM10" s="173">
        <f t="shared" si="26"/>
        <v>17500</v>
      </c>
      <c r="AN10" s="173">
        <f t="shared" si="26"/>
        <v>27500</v>
      </c>
      <c r="AO10" s="173">
        <f t="shared" si="26"/>
        <v>18500</v>
      </c>
      <c r="AP10" s="173">
        <f t="shared" si="26"/>
        <v>38500</v>
      </c>
      <c r="AQ10" s="173">
        <f t="shared" si="26"/>
        <v>17500</v>
      </c>
      <c r="AR10" s="173">
        <f t="shared" si="26"/>
        <v>17500</v>
      </c>
      <c r="AS10" s="173">
        <f t="shared" si="26"/>
        <v>17500</v>
      </c>
      <c r="AT10" s="173">
        <f t="shared" si="26"/>
        <v>22251.11</v>
      </c>
      <c r="AU10" s="173">
        <f t="shared" si="26"/>
        <v>33700</v>
      </c>
      <c r="AV10" s="173">
        <f t="shared" si="26"/>
        <v>17500</v>
      </c>
      <c r="AW10" s="173">
        <f t="shared" si="26"/>
        <v>17500</v>
      </c>
      <c r="AX10" s="173">
        <f t="shared" si="26"/>
        <v>20844</v>
      </c>
      <c r="AY10" s="173">
        <f t="shared" si="26"/>
        <v>20300</v>
      </c>
      <c r="AZ10" s="173">
        <f t="shared" si="26"/>
        <v>33500</v>
      </c>
      <c r="BA10" s="173">
        <f t="shared" si="26"/>
        <v>36666.66667</v>
      </c>
      <c r="BB10" s="173">
        <f t="shared" si="26"/>
        <v>16666.66667</v>
      </c>
      <c r="BC10" s="173">
        <f t="shared" si="26"/>
        <v>19166.66667</v>
      </c>
      <c r="BD10" s="173">
        <f t="shared" si="26"/>
        <v>16666.66667</v>
      </c>
      <c r="BE10" s="173">
        <f t="shared" si="26"/>
        <v>16666.66667</v>
      </c>
      <c r="BF10" s="173">
        <f t="shared" si="26"/>
        <v>72133.33333</v>
      </c>
      <c r="BG10" s="173">
        <f t="shared" si="26"/>
        <v>25333.33333</v>
      </c>
      <c r="BH10" s="173">
        <f t="shared" si="26"/>
        <v>29333.33333</v>
      </c>
      <c r="BI10" s="173">
        <f t="shared" si="26"/>
        <v>18333.33333</v>
      </c>
      <c r="BJ10" s="173">
        <f t="shared" si="26"/>
        <v>18333.33333</v>
      </c>
      <c r="BK10" s="174"/>
      <c r="BL10" s="173">
        <f t="shared" ref="BL10:BW10" si="27">sum(BL4:BL8)</f>
        <v>48333.33333</v>
      </c>
      <c r="BM10" s="173">
        <f t="shared" si="27"/>
        <v>28333.33333</v>
      </c>
      <c r="BN10" s="173">
        <f t="shared" si="27"/>
        <v>43333.33333</v>
      </c>
      <c r="BO10" s="173">
        <f t="shared" si="27"/>
        <v>42333.33333</v>
      </c>
      <c r="BP10" s="173">
        <f t="shared" si="27"/>
        <v>20333.33333</v>
      </c>
      <c r="BQ10" s="173">
        <f t="shared" si="27"/>
        <v>38333.33333</v>
      </c>
      <c r="BR10" s="173">
        <f t="shared" si="27"/>
        <v>68333.33333</v>
      </c>
      <c r="BS10" s="173">
        <f t="shared" si="27"/>
        <v>27133.33333</v>
      </c>
      <c r="BT10" s="173">
        <f t="shared" si="27"/>
        <v>28333.33333</v>
      </c>
      <c r="BU10" s="173">
        <f t="shared" si="27"/>
        <v>18333.33333</v>
      </c>
      <c r="BV10" s="173">
        <f t="shared" si="27"/>
        <v>18333.33333</v>
      </c>
      <c r="BW10" s="173">
        <f t="shared" si="27"/>
        <v>28333.33333</v>
      </c>
      <c r="BX10" s="146">
        <f t="shared" ref="BX10:BX13" si="36">sum(BL10:BW10)</f>
        <v>409800</v>
      </c>
      <c r="BY10" s="173">
        <f t="shared" ref="BY10:CJ10" si="28">sum(BY4:BY8)</f>
        <v>28333.33333</v>
      </c>
      <c r="BZ10" s="173">
        <f t="shared" si="28"/>
        <v>28333.33333</v>
      </c>
      <c r="CA10" s="173">
        <f t="shared" si="28"/>
        <v>103333.3333</v>
      </c>
      <c r="CB10" s="173">
        <f t="shared" si="28"/>
        <v>111833.3333</v>
      </c>
      <c r="CC10" s="173">
        <f t="shared" si="28"/>
        <v>30000</v>
      </c>
      <c r="CD10" s="173">
        <f t="shared" si="28"/>
        <v>280000</v>
      </c>
      <c r="CE10" s="173">
        <f t="shared" si="28"/>
        <v>5030000</v>
      </c>
      <c r="CF10" s="173">
        <f t="shared" si="28"/>
        <v>5030000</v>
      </c>
      <c r="CG10" s="173">
        <f t="shared" si="28"/>
        <v>5030000</v>
      </c>
      <c r="CH10" s="173">
        <f t="shared" si="28"/>
        <v>5030000</v>
      </c>
      <c r="CI10" s="173">
        <f t="shared" si="28"/>
        <v>30000</v>
      </c>
      <c r="CJ10" s="173">
        <f t="shared" si="28"/>
        <v>30000</v>
      </c>
      <c r="CK10" s="146">
        <f t="shared" ref="CK10:CK13" si="38">sum(BY10:CJ10)</f>
        <v>20761833.33</v>
      </c>
      <c r="CL10" s="173">
        <f t="shared" ref="CL10:CW10" si="29">sum(CL4:CL8)</f>
        <v>28333.33333</v>
      </c>
      <c r="CM10" s="173">
        <f t="shared" si="29"/>
        <v>28333.33333</v>
      </c>
      <c r="CN10" s="173">
        <f t="shared" si="29"/>
        <v>46833.33333</v>
      </c>
      <c r="CO10" s="173">
        <f t="shared" si="29"/>
        <v>230000</v>
      </c>
      <c r="CP10" s="173">
        <f t="shared" si="29"/>
        <v>30000</v>
      </c>
      <c r="CQ10" s="173">
        <f t="shared" si="29"/>
        <v>30000</v>
      </c>
      <c r="CR10" s="173">
        <f t="shared" si="29"/>
        <v>30000</v>
      </c>
      <c r="CS10" s="173">
        <f t="shared" si="29"/>
        <v>30000</v>
      </c>
      <c r="CT10" s="173">
        <f t="shared" si="29"/>
        <v>30000</v>
      </c>
      <c r="CU10" s="173">
        <f t="shared" si="29"/>
        <v>30000</v>
      </c>
      <c r="CV10" s="173">
        <f t="shared" si="29"/>
        <v>30000</v>
      </c>
      <c r="CW10" s="173">
        <f t="shared" si="29"/>
        <v>30000</v>
      </c>
      <c r="CX10" s="146">
        <f t="shared" ref="CX10:CX13" si="40">sum(CL10:CW10)</f>
        <v>573500</v>
      </c>
      <c r="CY10" s="173">
        <f t="shared" ref="CY10:CZ10" si="30">sum(CY4:CY8)</f>
        <v>33333.33333</v>
      </c>
      <c r="CZ10" s="173">
        <f t="shared" si="30"/>
        <v>33333.33333</v>
      </c>
    </row>
    <row r="11">
      <c r="A11" s="171" t="s">
        <v>204</v>
      </c>
      <c r="B11" s="172"/>
      <c r="C11" s="137">
        <f>C10*0.38</f>
        <v>3800</v>
      </c>
      <c r="D11" s="137">
        <f t="shared" ref="D11:L11" si="31">D10*0.34</f>
        <v>4420</v>
      </c>
      <c r="E11" s="137">
        <f t="shared" si="31"/>
        <v>3400</v>
      </c>
      <c r="F11" s="137">
        <f t="shared" si="31"/>
        <v>3400</v>
      </c>
      <c r="G11" s="137">
        <f t="shared" si="31"/>
        <v>3400</v>
      </c>
      <c r="H11" s="175">
        <f t="shared" si="31"/>
        <v>3400</v>
      </c>
      <c r="I11" s="137">
        <f t="shared" si="31"/>
        <v>5100</v>
      </c>
      <c r="J11" s="137">
        <f t="shared" si="31"/>
        <v>5100</v>
      </c>
      <c r="K11" s="137">
        <f t="shared" si="31"/>
        <v>3400</v>
      </c>
      <c r="L11" s="137">
        <f t="shared" si="31"/>
        <v>3400</v>
      </c>
      <c r="M11" s="137">
        <f t="shared" ref="M11:N11" si="32">sum(M4:M7)*0.34</f>
        <v>3672</v>
      </c>
      <c r="N11" s="137">
        <f t="shared" si="32"/>
        <v>3570</v>
      </c>
      <c r="O11" s="137">
        <f>sum(O4:O7)*0.34+O5*0.41</f>
        <v>3400</v>
      </c>
      <c r="P11" s="137">
        <f>P4*0.34+P5*0.41+P7*0.34</f>
        <v>5450</v>
      </c>
      <c r="Q11" s="137">
        <f t="shared" ref="Q11:BE11" si="33">sum(Q4:Q7)*0.34+Q5*0.41</f>
        <v>3485</v>
      </c>
      <c r="R11" s="137">
        <f t="shared" si="33"/>
        <v>3485</v>
      </c>
      <c r="S11" s="137">
        <f t="shared" si="33"/>
        <v>3485</v>
      </c>
      <c r="T11" s="137">
        <f t="shared" si="33"/>
        <v>3485</v>
      </c>
      <c r="U11" s="137">
        <f t="shared" si="33"/>
        <v>3485</v>
      </c>
      <c r="V11" s="137">
        <f t="shared" si="33"/>
        <v>3485</v>
      </c>
      <c r="W11" s="137">
        <f t="shared" si="33"/>
        <v>3485</v>
      </c>
      <c r="X11" s="137">
        <f t="shared" si="33"/>
        <v>3485</v>
      </c>
      <c r="Y11" s="137">
        <f t="shared" si="33"/>
        <v>3485</v>
      </c>
      <c r="Z11" s="137">
        <f t="shared" si="33"/>
        <v>4533.333333</v>
      </c>
      <c r="AA11" s="137">
        <f t="shared" si="33"/>
        <v>4533.333333</v>
      </c>
      <c r="AB11" s="137">
        <f t="shared" si="33"/>
        <v>4533.333333</v>
      </c>
      <c r="AC11" s="137">
        <f t="shared" si="33"/>
        <v>4533.333333</v>
      </c>
      <c r="AD11" s="137">
        <f t="shared" si="33"/>
        <v>4533.333333</v>
      </c>
      <c r="AE11" s="137">
        <f t="shared" si="33"/>
        <v>4533.333333</v>
      </c>
      <c r="AF11" s="137">
        <f t="shared" si="33"/>
        <v>4533.333333</v>
      </c>
      <c r="AG11" s="137">
        <f t="shared" si="33"/>
        <v>4533.333333</v>
      </c>
      <c r="AH11" s="175">
        <f t="shared" si="33"/>
        <v>4533.333333</v>
      </c>
      <c r="AI11" s="137">
        <f t="shared" si="33"/>
        <v>4533.333333</v>
      </c>
      <c r="AJ11" s="137">
        <f t="shared" si="33"/>
        <v>4533.333333</v>
      </c>
      <c r="AK11" s="137">
        <f t="shared" si="33"/>
        <v>4675</v>
      </c>
      <c r="AL11" s="137">
        <f t="shared" si="33"/>
        <v>5950</v>
      </c>
      <c r="AM11" s="137">
        <f t="shared" si="33"/>
        <v>5950</v>
      </c>
      <c r="AN11" s="137">
        <f t="shared" si="33"/>
        <v>5950</v>
      </c>
      <c r="AO11" s="137">
        <f t="shared" si="33"/>
        <v>5950</v>
      </c>
      <c r="AP11" s="137">
        <f t="shared" si="33"/>
        <v>5950</v>
      </c>
      <c r="AQ11" s="137">
        <f t="shared" si="33"/>
        <v>5950</v>
      </c>
      <c r="AR11" s="137">
        <f t="shared" si="33"/>
        <v>5950</v>
      </c>
      <c r="AS11" s="137">
        <f t="shared" si="33"/>
        <v>5950</v>
      </c>
      <c r="AT11" s="137">
        <f t="shared" si="33"/>
        <v>5950</v>
      </c>
      <c r="AU11" s="137">
        <f t="shared" si="33"/>
        <v>5950</v>
      </c>
      <c r="AV11" s="137">
        <f t="shared" si="33"/>
        <v>5950</v>
      </c>
      <c r="AW11" s="137">
        <f t="shared" si="33"/>
        <v>5950</v>
      </c>
      <c r="AX11" s="137">
        <f t="shared" si="33"/>
        <v>5950</v>
      </c>
      <c r="AY11" s="137">
        <f t="shared" si="33"/>
        <v>5950</v>
      </c>
      <c r="AZ11" s="137">
        <f t="shared" si="33"/>
        <v>5950</v>
      </c>
      <c r="BA11" s="137">
        <f t="shared" si="33"/>
        <v>5666.666667</v>
      </c>
      <c r="BB11" s="137">
        <f t="shared" si="33"/>
        <v>5666.666667</v>
      </c>
      <c r="BC11" s="137">
        <f t="shared" si="33"/>
        <v>5666.666667</v>
      </c>
      <c r="BD11" s="137">
        <f t="shared" si="33"/>
        <v>5666.666667</v>
      </c>
      <c r="BE11" s="137">
        <f t="shared" si="33"/>
        <v>5666.666667</v>
      </c>
      <c r="BF11" s="137">
        <f>sum(BF4:BF7)*0.34+BF5*0.52</f>
        <v>26633.33333</v>
      </c>
      <c r="BG11" s="137">
        <f t="shared" ref="BG11:BJ11" si="34">sum(BG4:BG7)*0.34+BG5*0.41</f>
        <v>6233.333333</v>
      </c>
      <c r="BH11" s="137">
        <f t="shared" si="34"/>
        <v>6233.333333</v>
      </c>
      <c r="BI11" s="137">
        <f t="shared" si="34"/>
        <v>6233.333333</v>
      </c>
      <c r="BJ11" s="137">
        <f t="shared" si="34"/>
        <v>6233.333333</v>
      </c>
      <c r="BK11" s="175"/>
      <c r="BL11" s="137">
        <f t="shared" ref="BL11:BW11" si="35">sum(BL4:BL7)*0.34+BL5*0.41</f>
        <v>6233.333333</v>
      </c>
      <c r="BM11" s="137">
        <f t="shared" si="35"/>
        <v>6233.333333</v>
      </c>
      <c r="BN11" s="137">
        <f t="shared" si="35"/>
        <v>6233.333333</v>
      </c>
      <c r="BO11" s="137">
        <f t="shared" si="35"/>
        <v>6233.333333</v>
      </c>
      <c r="BP11" s="137">
        <f t="shared" si="35"/>
        <v>6233.333333</v>
      </c>
      <c r="BQ11" s="137">
        <f t="shared" si="35"/>
        <v>6233.333333</v>
      </c>
      <c r="BR11" s="137">
        <f t="shared" si="35"/>
        <v>6233.333333</v>
      </c>
      <c r="BS11" s="137">
        <f t="shared" si="35"/>
        <v>6233.333333</v>
      </c>
      <c r="BT11" s="137">
        <f t="shared" si="35"/>
        <v>6233.333333</v>
      </c>
      <c r="BU11" s="137">
        <f t="shared" si="35"/>
        <v>6233.333333</v>
      </c>
      <c r="BV11" s="137">
        <f t="shared" si="35"/>
        <v>6233.333333</v>
      </c>
      <c r="BW11" s="137">
        <f t="shared" si="35"/>
        <v>6233.333333</v>
      </c>
      <c r="BX11" s="146">
        <f t="shared" si="36"/>
        <v>74800</v>
      </c>
      <c r="BY11" s="137">
        <f t="shared" ref="BY11:CJ11" si="37">sum(BY4:BY7)*0.34+BY5*0.41</f>
        <v>6233.333333</v>
      </c>
      <c r="BZ11" s="137">
        <f t="shared" si="37"/>
        <v>6233.333333</v>
      </c>
      <c r="CA11" s="137">
        <f t="shared" si="37"/>
        <v>6233.333333</v>
      </c>
      <c r="CB11" s="137">
        <f t="shared" si="37"/>
        <v>6233.333333</v>
      </c>
      <c r="CC11" s="137">
        <f t="shared" si="37"/>
        <v>10200</v>
      </c>
      <c r="CD11" s="137">
        <f t="shared" si="37"/>
        <v>10200</v>
      </c>
      <c r="CE11" s="137">
        <f t="shared" si="37"/>
        <v>1710200</v>
      </c>
      <c r="CF11" s="137">
        <f t="shared" si="37"/>
        <v>1710200</v>
      </c>
      <c r="CG11" s="137">
        <f t="shared" si="37"/>
        <v>1710200</v>
      </c>
      <c r="CH11" s="137">
        <f t="shared" si="37"/>
        <v>1710200</v>
      </c>
      <c r="CI11" s="137">
        <f t="shared" si="37"/>
        <v>10200</v>
      </c>
      <c r="CJ11" s="137">
        <f t="shared" si="37"/>
        <v>10200</v>
      </c>
      <c r="CK11" s="146">
        <f t="shared" si="38"/>
        <v>6906533.333</v>
      </c>
      <c r="CL11" s="137">
        <f t="shared" ref="CL11:CW11" si="39">sum(CL4:CL7)*0.34+CL5*0.41</f>
        <v>6233.333333</v>
      </c>
      <c r="CM11" s="137">
        <f t="shared" si="39"/>
        <v>6233.333333</v>
      </c>
      <c r="CN11" s="137">
        <f t="shared" si="39"/>
        <v>6233.333333</v>
      </c>
      <c r="CO11" s="137">
        <f t="shared" si="39"/>
        <v>10200</v>
      </c>
      <c r="CP11" s="137">
        <f t="shared" si="39"/>
        <v>10200</v>
      </c>
      <c r="CQ11" s="137">
        <f t="shared" si="39"/>
        <v>10200</v>
      </c>
      <c r="CR11" s="137">
        <f t="shared" si="39"/>
        <v>10200</v>
      </c>
      <c r="CS11" s="137">
        <f t="shared" si="39"/>
        <v>10200</v>
      </c>
      <c r="CT11" s="137">
        <f t="shared" si="39"/>
        <v>10200</v>
      </c>
      <c r="CU11" s="137">
        <f t="shared" si="39"/>
        <v>10200</v>
      </c>
      <c r="CV11" s="137">
        <f t="shared" si="39"/>
        <v>10200</v>
      </c>
      <c r="CW11" s="137">
        <f t="shared" si="39"/>
        <v>10200</v>
      </c>
      <c r="CX11" s="146">
        <f t="shared" si="40"/>
        <v>110500</v>
      </c>
      <c r="CY11" s="137">
        <f t="shared" ref="CY11:CZ11" si="41">sum(CY4:CY7)*0.34+CY5*0.41</f>
        <v>11333.33333</v>
      </c>
      <c r="CZ11" s="137">
        <f t="shared" si="41"/>
        <v>11333.33333</v>
      </c>
    </row>
    <row r="12">
      <c r="A12" s="171" t="s">
        <v>205</v>
      </c>
      <c r="B12" s="172"/>
      <c r="C12" s="137"/>
      <c r="D12" s="137"/>
      <c r="E12" s="137"/>
      <c r="F12" s="137"/>
      <c r="G12" s="137"/>
      <c r="H12" s="175"/>
      <c r="I12" s="137"/>
      <c r="J12" s="137"/>
      <c r="K12" s="137"/>
      <c r="L12" s="137"/>
      <c r="M12" s="137"/>
      <c r="N12" s="137"/>
      <c r="O12" s="137">
        <f t="shared" ref="O12:P12" si="42">O4*0.04</f>
        <v>400</v>
      </c>
      <c r="P12" s="137">
        <f t="shared" si="42"/>
        <v>400</v>
      </c>
      <c r="Q12" s="137">
        <f t="shared" ref="Q12:Y12" si="43">Q4*0.03</f>
        <v>307.5</v>
      </c>
      <c r="R12" s="137">
        <f t="shared" si="43"/>
        <v>307.5</v>
      </c>
      <c r="S12" s="137">
        <f t="shared" si="43"/>
        <v>307.5</v>
      </c>
      <c r="T12" s="137">
        <f t="shared" si="43"/>
        <v>307.5</v>
      </c>
      <c r="U12" s="137">
        <f t="shared" si="43"/>
        <v>307.5</v>
      </c>
      <c r="V12" s="137">
        <f t="shared" si="43"/>
        <v>307.5</v>
      </c>
      <c r="W12" s="137">
        <f t="shared" si="43"/>
        <v>307.5</v>
      </c>
      <c r="X12" s="137">
        <f t="shared" si="43"/>
        <v>307.5</v>
      </c>
      <c r="Y12" s="137">
        <f t="shared" si="43"/>
        <v>307.5</v>
      </c>
      <c r="Z12" s="137">
        <f t="shared" ref="Z12:AA12" si="44">Z4*0</f>
        <v>0</v>
      </c>
      <c r="AA12" s="137">
        <f t="shared" si="44"/>
        <v>0</v>
      </c>
      <c r="AB12" s="137">
        <v>0.0</v>
      </c>
      <c r="AC12" s="137">
        <f>AC4*0.025</f>
        <v>333.3333333</v>
      </c>
      <c r="AD12" s="137">
        <f t="shared" ref="AD12:AE12" si="45">AD4*0.004</f>
        <v>53.33333333</v>
      </c>
      <c r="AE12" s="137">
        <f t="shared" si="45"/>
        <v>53.33333333</v>
      </c>
      <c r="AF12" s="137">
        <f t="shared" ref="AF12:AH12" si="46">AF4*0</f>
        <v>0</v>
      </c>
      <c r="AG12" s="137">
        <f t="shared" si="46"/>
        <v>0</v>
      </c>
      <c r="AH12" s="175">
        <f t="shared" si="46"/>
        <v>0</v>
      </c>
      <c r="AI12" s="137">
        <f t="shared" ref="AI12:AJ12" si="47">AI4*0.025</f>
        <v>333.3333333</v>
      </c>
      <c r="AJ12" s="137">
        <f t="shared" si="47"/>
        <v>333.3333333</v>
      </c>
      <c r="AK12" s="137">
        <f t="shared" ref="AK12:BJ12" si="48">AK4*0</f>
        <v>0</v>
      </c>
      <c r="AL12" s="137">
        <f t="shared" si="48"/>
        <v>0</v>
      </c>
      <c r="AM12" s="137">
        <f t="shared" si="48"/>
        <v>0</v>
      </c>
      <c r="AN12" s="137">
        <f t="shared" si="48"/>
        <v>0</v>
      </c>
      <c r="AO12" s="137">
        <f t="shared" si="48"/>
        <v>0</v>
      </c>
      <c r="AP12" s="137">
        <f t="shared" si="48"/>
        <v>0</v>
      </c>
      <c r="AQ12" s="137">
        <f t="shared" si="48"/>
        <v>0</v>
      </c>
      <c r="AR12" s="137">
        <f t="shared" si="48"/>
        <v>0</v>
      </c>
      <c r="AS12" s="137">
        <f t="shared" si="48"/>
        <v>0</v>
      </c>
      <c r="AT12" s="137">
        <f t="shared" si="48"/>
        <v>0</v>
      </c>
      <c r="AU12" s="137">
        <f t="shared" si="48"/>
        <v>0</v>
      </c>
      <c r="AV12" s="137">
        <f t="shared" si="48"/>
        <v>0</v>
      </c>
      <c r="AW12" s="137">
        <f t="shared" si="48"/>
        <v>0</v>
      </c>
      <c r="AX12" s="137">
        <f t="shared" si="48"/>
        <v>0</v>
      </c>
      <c r="AY12" s="137">
        <f t="shared" si="48"/>
        <v>0</v>
      </c>
      <c r="AZ12" s="137">
        <f t="shared" si="48"/>
        <v>0</v>
      </c>
      <c r="BA12" s="137">
        <f t="shared" si="48"/>
        <v>0</v>
      </c>
      <c r="BB12" s="137">
        <f t="shared" si="48"/>
        <v>0</v>
      </c>
      <c r="BC12" s="137">
        <f t="shared" si="48"/>
        <v>0</v>
      </c>
      <c r="BD12" s="137">
        <f t="shared" si="48"/>
        <v>0</v>
      </c>
      <c r="BE12" s="137">
        <f t="shared" si="48"/>
        <v>0</v>
      </c>
      <c r="BF12" s="137">
        <f t="shared" si="48"/>
        <v>0</v>
      </c>
      <c r="BG12" s="137">
        <f t="shared" si="48"/>
        <v>0</v>
      </c>
      <c r="BH12" s="137">
        <f t="shared" si="48"/>
        <v>0</v>
      </c>
      <c r="BI12" s="137">
        <f t="shared" si="48"/>
        <v>0</v>
      </c>
      <c r="BJ12" s="137">
        <f t="shared" si="48"/>
        <v>0</v>
      </c>
      <c r="BK12" s="175"/>
      <c r="BL12" s="137">
        <f t="shared" ref="BL12:BW12" si="49">BL4*0</f>
        <v>0</v>
      </c>
      <c r="BM12" s="137">
        <f t="shared" si="49"/>
        <v>0</v>
      </c>
      <c r="BN12" s="137">
        <f t="shared" si="49"/>
        <v>0</v>
      </c>
      <c r="BO12" s="137">
        <f t="shared" si="49"/>
        <v>0</v>
      </c>
      <c r="BP12" s="137">
        <f t="shared" si="49"/>
        <v>0</v>
      </c>
      <c r="BQ12" s="137">
        <f t="shared" si="49"/>
        <v>0</v>
      </c>
      <c r="BR12" s="137">
        <f t="shared" si="49"/>
        <v>0</v>
      </c>
      <c r="BS12" s="137">
        <f t="shared" si="49"/>
        <v>0</v>
      </c>
      <c r="BT12" s="137">
        <f t="shared" si="49"/>
        <v>0</v>
      </c>
      <c r="BU12" s="137">
        <f t="shared" si="49"/>
        <v>0</v>
      </c>
      <c r="BV12" s="137">
        <f t="shared" si="49"/>
        <v>0</v>
      </c>
      <c r="BW12" s="137">
        <f t="shared" si="49"/>
        <v>0</v>
      </c>
      <c r="BX12" s="146">
        <f t="shared" si="36"/>
        <v>0</v>
      </c>
      <c r="BY12" s="137">
        <f t="shared" ref="BY12:CJ12" si="50">BY4*0</f>
        <v>0</v>
      </c>
      <c r="BZ12" s="137">
        <f t="shared" si="50"/>
        <v>0</v>
      </c>
      <c r="CA12" s="137">
        <f t="shared" si="50"/>
        <v>0</v>
      </c>
      <c r="CB12" s="137">
        <f t="shared" si="50"/>
        <v>0</v>
      </c>
      <c r="CC12" s="137">
        <f t="shared" si="50"/>
        <v>0</v>
      </c>
      <c r="CD12" s="137">
        <f t="shared" si="50"/>
        <v>0</v>
      </c>
      <c r="CE12" s="137">
        <f t="shared" si="50"/>
        <v>0</v>
      </c>
      <c r="CF12" s="137">
        <f t="shared" si="50"/>
        <v>0</v>
      </c>
      <c r="CG12" s="137">
        <f t="shared" si="50"/>
        <v>0</v>
      </c>
      <c r="CH12" s="137">
        <f t="shared" si="50"/>
        <v>0</v>
      </c>
      <c r="CI12" s="137">
        <f t="shared" si="50"/>
        <v>0</v>
      </c>
      <c r="CJ12" s="137">
        <f t="shared" si="50"/>
        <v>0</v>
      </c>
      <c r="CK12" s="146">
        <f t="shared" si="38"/>
        <v>0</v>
      </c>
      <c r="CL12" s="137">
        <f t="shared" ref="CL12:CW12" si="51">CL4*0</f>
        <v>0</v>
      </c>
      <c r="CM12" s="137">
        <f t="shared" si="51"/>
        <v>0</v>
      </c>
      <c r="CN12" s="137">
        <f t="shared" si="51"/>
        <v>0</v>
      </c>
      <c r="CO12" s="137">
        <f t="shared" si="51"/>
        <v>0</v>
      </c>
      <c r="CP12" s="137">
        <f t="shared" si="51"/>
        <v>0</v>
      </c>
      <c r="CQ12" s="137">
        <f t="shared" si="51"/>
        <v>0</v>
      </c>
      <c r="CR12" s="137">
        <f t="shared" si="51"/>
        <v>0</v>
      </c>
      <c r="CS12" s="137">
        <f t="shared" si="51"/>
        <v>0</v>
      </c>
      <c r="CT12" s="137">
        <f t="shared" si="51"/>
        <v>0</v>
      </c>
      <c r="CU12" s="137">
        <f t="shared" si="51"/>
        <v>0</v>
      </c>
      <c r="CV12" s="137">
        <f t="shared" si="51"/>
        <v>0</v>
      </c>
      <c r="CW12" s="137">
        <f t="shared" si="51"/>
        <v>0</v>
      </c>
      <c r="CX12" s="146">
        <f t="shared" si="40"/>
        <v>0</v>
      </c>
      <c r="CY12" s="137">
        <f t="shared" ref="CY12:CZ12" si="52">CY4*0</f>
        <v>0</v>
      </c>
      <c r="CZ12" s="137">
        <f t="shared" si="52"/>
        <v>0</v>
      </c>
    </row>
    <row r="13">
      <c r="A13" s="171" t="s">
        <v>206</v>
      </c>
      <c r="B13" s="176"/>
      <c r="C13" s="177">
        <f t="shared" ref="C13:L13" si="53">C10-C11+C5</f>
        <v>6200</v>
      </c>
      <c r="D13" s="177">
        <f t="shared" si="53"/>
        <v>11580</v>
      </c>
      <c r="E13" s="177">
        <f t="shared" si="53"/>
        <v>6600</v>
      </c>
      <c r="F13" s="177">
        <f t="shared" si="53"/>
        <v>6600</v>
      </c>
      <c r="G13" s="177">
        <f t="shared" si="53"/>
        <v>6600</v>
      </c>
      <c r="H13" s="178">
        <f t="shared" si="53"/>
        <v>6600</v>
      </c>
      <c r="I13" s="177">
        <f t="shared" si="53"/>
        <v>14900</v>
      </c>
      <c r="J13" s="177">
        <f t="shared" si="53"/>
        <v>14900</v>
      </c>
      <c r="K13" s="177">
        <f t="shared" si="53"/>
        <v>6600</v>
      </c>
      <c r="L13" s="177">
        <f t="shared" si="53"/>
        <v>6600</v>
      </c>
      <c r="M13" s="177">
        <f t="shared" ref="M13:N13" si="54">M10-M11</f>
        <v>7128</v>
      </c>
      <c r="N13" s="177">
        <f t="shared" si="54"/>
        <v>6930</v>
      </c>
      <c r="O13" s="177">
        <f>O4+O7+O5-O11-O12+O8</f>
        <v>7200</v>
      </c>
      <c r="P13" s="179">
        <f t="shared" ref="P13:BJ13" si="55">P10-P11-P12</f>
        <v>11873</v>
      </c>
      <c r="Q13" s="179">
        <f t="shared" si="55"/>
        <v>6876.5</v>
      </c>
      <c r="R13" s="179">
        <f t="shared" si="55"/>
        <v>6657.5</v>
      </c>
      <c r="S13" s="179">
        <f t="shared" si="55"/>
        <v>9857.5</v>
      </c>
      <c r="T13" s="179">
        <f t="shared" si="55"/>
        <v>6457.5</v>
      </c>
      <c r="U13" s="179">
        <f t="shared" si="55"/>
        <v>6457.5</v>
      </c>
      <c r="V13" s="179">
        <f t="shared" si="55"/>
        <v>6757.5</v>
      </c>
      <c r="W13" s="179">
        <f t="shared" si="55"/>
        <v>6457.5</v>
      </c>
      <c r="X13" s="179">
        <f t="shared" si="55"/>
        <v>6457.5</v>
      </c>
      <c r="Y13" s="179">
        <f t="shared" si="55"/>
        <v>12057.5</v>
      </c>
      <c r="Z13" s="179">
        <f t="shared" si="55"/>
        <v>8800</v>
      </c>
      <c r="AA13" s="179">
        <f t="shared" si="55"/>
        <v>8800</v>
      </c>
      <c r="AB13" s="179">
        <f t="shared" si="55"/>
        <v>8800</v>
      </c>
      <c r="AC13" s="179">
        <f t="shared" si="55"/>
        <v>9166.666667</v>
      </c>
      <c r="AD13" s="179">
        <f t="shared" si="55"/>
        <v>8746.666667</v>
      </c>
      <c r="AE13" s="179">
        <f t="shared" si="55"/>
        <v>19746.66667</v>
      </c>
      <c r="AF13" s="179">
        <f t="shared" si="55"/>
        <v>10100</v>
      </c>
      <c r="AG13" s="179">
        <f t="shared" si="55"/>
        <v>11200</v>
      </c>
      <c r="AH13" s="180">
        <f t="shared" si="55"/>
        <v>25800</v>
      </c>
      <c r="AI13" s="179">
        <f t="shared" si="55"/>
        <v>8466.666667</v>
      </c>
      <c r="AJ13" s="179">
        <f t="shared" si="55"/>
        <v>8466.666667</v>
      </c>
      <c r="AK13" s="179">
        <f t="shared" si="55"/>
        <v>18775</v>
      </c>
      <c r="AL13" s="179">
        <f t="shared" si="55"/>
        <v>11550</v>
      </c>
      <c r="AM13" s="179">
        <f t="shared" si="55"/>
        <v>11550</v>
      </c>
      <c r="AN13" s="179">
        <f t="shared" si="55"/>
        <v>21550</v>
      </c>
      <c r="AO13" s="179">
        <f t="shared" si="55"/>
        <v>12550</v>
      </c>
      <c r="AP13" s="179">
        <f t="shared" si="55"/>
        <v>32550</v>
      </c>
      <c r="AQ13" s="179">
        <f t="shared" si="55"/>
        <v>11550</v>
      </c>
      <c r="AR13" s="179">
        <f t="shared" si="55"/>
        <v>11550</v>
      </c>
      <c r="AS13" s="179">
        <f t="shared" si="55"/>
        <v>11550</v>
      </c>
      <c r="AT13" s="179">
        <f t="shared" si="55"/>
        <v>16301.11</v>
      </c>
      <c r="AU13" s="179">
        <f t="shared" si="55"/>
        <v>27750</v>
      </c>
      <c r="AV13" s="179">
        <f t="shared" si="55"/>
        <v>11550</v>
      </c>
      <c r="AW13" s="179">
        <f t="shared" si="55"/>
        <v>11550</v>
      </c>
      <c r="AX13" s="179">
        <f t="shared" si="55"/>
        <v>14894</v>
      </c>
      <c r="AY13" s="179">
        <f t="shared" si="55"/>
        <v>14350</v>
      </c>
      <c r="AZ13" s="179">
        <f t="shared" si="55"/>
        <v>27550</v>
      </c>
      <c r="BA13" s="179">
        <f t="shared" si="55"/>
        <v>31000</v>
      </c>
      <c r="BB13" s="179">
        <f t="shared" si="55"/>
        <v>11000</v>
      </c>
      <c r="BC13" s="179">
        <f t="shared" si="55"/>
        <v>13500</v>
      </c>
      <c r="BD13" s="179">
        <f t="shared" si="55"/>
        <v>11000</v>
      </c>
      <c r="BE13" s="179">
        <f t="shared" si="55"/>
        <v>11000</v>
      </c>
      <c r="BF13" s="179">
        <f t="shared" si="55"/>
        <v>45500</v>
      </c>
      <c r="BG13" s="179">
        <f t="shared" si="55"/>
        <v>19100</v>
      </c>
      <c r="BH13" s="179">
        <f t="shared" si="55"/>
        <v>23100</v>
      </c>
      <c r="BI13" s="179">
        <f t="shared" si="55"/>
        <v>12100</v>
      </c>
      <c r="BJ13" s="179">
        <f t="shared" si="55"/>
        <v>12100</v>
      </c>
      <c r="BK13" s="180"/>
      <c r="BL13" s="179">
        <f t="shared" ref="BL13:BW13" si="56">BL10-BL11-BL12</f>
        <v>42100</v>
      </c>
      <c r="BM13" s="179">
        <f t="shared" si="56"/>
        <v>22100</v>
      </c>
      <c r="BN13" s="179">
        <f t="shared" si="56"/>
        <v>37100</v>
      </c>
      <c r="BO13" s="179">
        <f t="shared" si="56"/>
        <v>36100</v>
      </c>
      <c r="BP13" s="179">
        <f t="shared" si="56"/>
        <v>14100</v>
      </c>
      <c r="BQ13" s="179">
        <f t="shared" si="56"/>
        <v>32100</v>
      </c>
      <c r="BR13" s="179">
        <f t="shared" si="56"/>
        <v>62100</v>
      </c>
      <c r="BS13" s="179">
        <f t="shared" si="56"/>
        <v>20900</v>
      </c>
      <c r="BT13" s="179">
        <f t="shared" si="56"/>
        <v>22100</v>
      </c>
      <c r="BU13" s="179">
        <f t="shared" si="56"/>
        <v>12100</v>
      </c>
      <c r="BV13" s="179">
        <f t="shared" si="56"/>
        <v>12100</v>
      </c>
      <c r="BW13" s="179">
        <f t="shared" si="56"/>
        <v>22100</v>
      </c>
      <c r="BX13" s="146">
        <f t="shared" si="36"/>
        <v>335000</v>
      </c>
      <c r="BY13" s="179">
        <f t="shared" ref="BY13:CJ13" si="57">BY10-BY11-BY12</f>
        <v>22100</v>
      </c>
      <c r="BZ13" s="179">
        <f t="shared" si="57"/>
        <v>22100</v>
      </c>
      <c r="CA13" s="179">
        <f t="shared" si="57"/>
        <v>97100</v>
      </c>
      <c r="CB13" s="179">
        <f t="shared" si="57"/>
        <v>105600</v>
      </c>
      <c r="CC13" s="179">
        <f t="shared" si="57"/>
        <v>19800</v>
      </c>
      <c r="CD13" s="179">
        <f t="shared" si="57"/>
        <v>269800</v>
      </c>
      <c r="CE13" s="179">
        <f t="shared" si="57"/>
        <v>3319800</v>
      </c>
      <c r="CF13" s="179">
        <f t="shared" si="57"/>
        <v>3319800</v>
      </c>
      <c r="CG13" s="179">
        <f t="shared" si="57"/>
        <v>3319800</v>
      </c>
      <c r="CH13" s="179">
        <f t="shared" si="57"/>
        <v>3319800</v>
      </c>
      <c r="CI13" s="179">
        <f t="shared" si="57"/>
        <v>19800</v>
      </c>
      <c r="CJ13" s="179">
        <f t="shared" si="57"/>
        <v>19800</v>
      </c>
      <c r="CK13" s="146">
        <f t="shared" si="38"/>
        <v>13855300</v>
      </c>
      <c r="CL13" s="179">
        <f t="shared" ref="CL13:CW13" si="58">CL10-CL11-CL12</f>
        <v>22100</v>
      </c>
      <c r="CM13" s="179">
        <f t="shared" si="58"/>
        <v>22100</v>
      </c>
      <c r="CN13" s="179">
        <f t="shared" si="58"/>
        <v>40600</v>
      </c>
      <c r="CO13" s="179">
        <f t="shared" si="58"/>
        <v>219800</v>
      </c>
      <c r="CP13" s="179">
        <f t="shared" si="58"/>
        <v>19800</v>
      </c>
      <c r="CQ13" s="179">
        <f t="shared" si="58"/>
        <v>19800</v>
      </c>
      <c r="CR13" s="179">
        <f t="shared" si="58"/>
        <v>19800</v>
      </c>
      <c r="CS13" s="179">
        <f t="shared" si="58"/>
        <v>19800</v>
      </c>
      <c r="CT13" s="179">
        <f t="shared" si="58"/>
        <v>19800</v>
      </c>
      <c r="CU13" s="179">
        <f t="shared" si="58"/>
        <v>19800</v>
      </c>
      <c r="CV13" s="179">
        <f t="shared" si="58"/>
        <v>19800</v>
      </c>
      <c r="CW13" s="179">
        <f t="shared" si="58"/>
        <v>19800</v>
      </c>
      <c r="CX13" s="146">
        <f t="shared" si="40"/>
        <v>463000</v>
      </c>
      <c r="CY13" s="179">
        <f t="shared" ref="CY13:CZ13" si="59">CY10-CY11-CY12</f>
        <v>22000</v>
      </c>
      <c r="CZ13" s="179">
        <f t="shared" si="59"/>
        <v>22000</v>
      </c>
    </row>
    <row r="14">
      <c r="A14" s="181"/>
      <c r="B14" s="182"/>
      <c r="C14" s="183"/>
      <c r="D14" s="183"/>
      <c r="E14" s="183"/>
      <c r="F14" s="183"/>
      <c r="G14" s="183"/>
      <c r="H14" s="184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4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4"/>
      <c r="BL14" s="183"/>
      <c r="BM14" s="183"/>
      <c r="BN14" s="183"/>
      <c r="BO14" s="183"/>
      <c r="BP14" s="183"/>
      <c r="BQ14" s="183"/>
      <c r="BR14" s="183"/>
      <c r="BS14" s="183"/>
      <c r="BT14" s="183"/>
      <c r="BU14" s="183"/>
      <c r="BV14" s="183"/>
      <c r="BW14" s="183"/>
      <c r="BX14" s="185"/>
      <c r="BY14" s="183"/>
      <c r="BZ14" s="183"/>
      <c r="CA14" s="183"/>
      <c r="CB14" s="183"/>
      <c r="CC14" s="183"/>
      <c r="CD14" s="183"/>
      <c r="CE14" s="183"/>
      <c r="CF14" s="183"/>
      <c r="CG14" s="183"/>
      <c r="CH14" s="183"/>
      <c r="CI14" s="183"/>
      <c r="CJ14" s="183"/>
      <c r="CK14" s="185"/>
      <c r="CL14" s="183"/>
      <c r="CM14" s="183"/>
      <c r="CN14" s="183"/>
      <c r="CO14" s="183"/>
      <c r="CP14" s="183"/>
      <c r="CQ14" s="183"/>
      <c r="CR14" s="183"/>
      <c r="CS14" s="183"/>
      <c r="CT14" s="183"/>
      <c r="CU14" s="183"/>
      <c r="CV14" s="183"/>
      <c r="CW14" s="183"/>
      <c r="CX14" s="185"/>
      <c r="CY14" s="183"/>
      <c r="CZ14" s="183"/>
    </row>
    <row r="15">
      <c r="A15" s="186" t="s">
        <v>207</v>
      </c>
      <c r="B15" s="187"/>
      <c r="C15" s="133"/>
      <c r="D15" s="133"/>
      <c r="E15" s="133"/>
      <c r="F15" s="133"/>
      <c r="G15" s="133"/>
      <c r="H15" s="134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4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4"/>
      <c r="BL15" s="133"/>
      <c r="BM15" s="133"/>
      <c r="BN15" s="133"/>
      <c r="BO15" s="133"/>
      <c r="BP15" s="133"/>
      <c r="BQ15" s="133"/>
      <c r="BR15" s="133"/>
      <c r="BS15" s="133"/>
      <c r="BT15" s="133"/>
      <c r="BU15" s="133"/>
      <c r="BV15" s="133"/>
      <c r="BW15" s="133"/>
      <c r="BX15" s="134"/>
      <c r="BY15" s="133"/>
      <c r="BZ15" s="133"/>
      <c r="CA15" s="133"/>
      <c r="CB15" s="133"/>
      <c r="CC15" s="133"/>
      <c r="CD15" s="133"/>
      <c r="CE15" s="133"/>
      <c r="CF15" s="133"/>
      <c r="CG15" s="133"/>
      <c r="CH15" s="133"/>
      <c r="CI15" s="133"/>
      <c r="CJ15" s="133"/>
      <c r="CK15" s="134"/>
      <c r="CL15" s="133"/>
      <c r="CM15" s="133"/>
      <c r="CN15" s="133"/>
      <c r="CO15" s="133"/>
      <c r="CP15" s="133"/>
      <c r="CQ15" s="133"/>
      <c r="CR15" s="133"/>
      <c r="CS15" s="133"/>
      <c r="CT15" s="133"/>
      <c r="CU15" s="133"/>
      <c r="CV15" s="133"/>
      <c r="CW15" s="133"/>
      <c r="CX15" s="134"/>
      <c r="CY15" s="133"/>
      <c r="CZ15" s="133"/>
    </row>
    <row r="16">
      <c r="A16" s="135" t="s">
        <v>208</v>
      </c>
      <c r="B16" s="136"/>
      <c r="C16" s="137"/>
      <c r="D16" s="137"/>
      <c r="E16" s="137"/>
      <c r="F16" s="137"/>
      <c r="G16" s="137"/>
      <c r="H16" s="137"/>
      <c r="I16" s="138"/>
      <c r="J16" s="138"/>
      <c r="K16" s="138"/>
      <c r="L16" s="138"/>
      <c r="M16" s="139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40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40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40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40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40"/>
      <c r="CY16" s="138"/>
      <c r="CZ16" s="138"/>
    </row>
    <row r="17">
      <c r="A17" s="188" t="s">
        <v>209</v>
      </c>
      <c r="B17" s="144" t="s">
        <v>210</v>
      </c>
      <c r="C17" s="137">
        <v>1450.0</v>
      </c>
      <c r="D17" s="137">
        <v>1450.0</v>
      </c>
      <c r="E17" s="137">
        <v>1450.0</v>
      </c>
      <c r="F17" s="137">
        <v>1450.0</v>
      </c>
      <c r="G17" s="137">
        <v>1450.0</v>
      </c>
      <c r="H17" s="175">
        <f>1450+350</f>
        <v>1800</v>
      </c>
      <c r="I17" s="137">
        <f>1853+569</f>
        <v>2422</v>
      </c>
      <c r="J17" s="137">
        <v>0.0</v>
      </c>
      <c r="K17" s="137">
        <v>1000.0</v>
      </c>
      <c r="L17" s="137">
        <f>3383-1500</f>
        <v>1883</v>
      </c>
      <c r="M17" s="137">
        <f>1954</f>
        <v>1954</v>
      </c>
      <c r="N17" s="137">
        <v>1900.0</v>
      </c>
      <c r="O17" s="137">
        <v>1900.0</v>
      </c>
      <c r="P17" s="137">
        <v>1900.0</v>
      </c>
      <c r="Q17" s="137">
        <v>1900.0</v>
      </c>
      <c r="R17" s="137">
        <v>1921.0</v>
      </c>
      <c r="S17" s="137">
        <v>1921.0</v>
      </c>
      <c r="T17" s="189">
        <f>1921</f>
        <v>1921</v>
      </c>
      <c r="U17" s="190">
        <v>120.0</v>
      </c>
      <c r="V17" s="190">
        <f>120+700</f>
        <v>820</v>
      </c>
      <c r="W17" s="191">
        <f>sum(120+700)</f>
        <v>820</v>
      </c>
      <c r="X17" s="137">
        <f>sum(336,1740)</f>
        <v>2076</v>
      </c>
      <c r="Y17" s="137">
        <f>sum(1740)</f>
        <v>1740</v>
      </c>
      <c r="Z17" s="137">
        <v>1571.7</v>
      </c>
      <c r="AA17" s="137">
        <f t="shared" ref="AA17:AG17" si="60">sum(1740)</f>
        <v>1740</v>
      </c>
      <c r="AB17" s="137">
        <f t="shared" si="60"/>
        <v>1740</v>
      </c>
      <c r="AC17" s="137">
        <f t="shared" si="60"/>
        <v>1740</v>
      </c>
      <c r="AD17" s="137">
        <f t="shared" si="60"/>
        <v>1740</v>
      </c>
      <c r="AE17" s="137">
        <f t="shared" si="60"/>
        <v>1740</v>
      </c>
      <c r="AF17" s="137">
        <f t="shared" si="60"/>
        <v>1740</v>
      </c>
      <c r="AG17" s="137">
        <f t="shared" si="60"/>
        <v>1740</v>
      </c>
      <c r="AH17" s="175">
        <f>sum(4000,1700)</f>
        <v>5700</v>
      </c>
      <c r="AI17" s="137">
        <f>sum(2000)</f>
        <v>2000</v>
      </c>
      <c r="AJ17" s="137">
        <f t="shared" ref="AJ17:AT17" si="61">sum(2700)</f>
        <v>2700</v>
      </c>
      <c r="AK17" s="137">
        <f t="shared" si="61"/>
        <v>2700</v>
      </c>
      <c r="AL17" s="137">
        <f t="shared" si="61"/>
        <v>2700</v>
      </c>
      <c r="AM17" s="137">
        <f t="shared" si="61"/>
        <v>2700</v>
      </c>
      <c r="AN17" s="137">
        <f t="shared" si="61"/>
        <v>2700</v>
      </c>
      <c r="AO17" s="137">
        <f t="shared" si="61"/>
        <v>2700</v>
      </c>
      <c r="AP17" s="137">
        <f t="shared" si="61"/>
        <v>2700</v>
      </c>
      <c r="AQ17" s="137">
        <f t="shared" si="61"/>
        <v>2700</v>
      </c>
      <c r="AR17" s="137">
        <f t="shared" si="61"/>
        <v>2700</v>
      </c>
      <c r="AS17" s="137">
        <f t="shared" si="61"/>
        <v>2700</v>
      </c>
      <c r="AT17" s="137">
        <f t="shared" si="61"/>
        <v>2700</v>
      </c>
      <c r="AU17" s="137">
        <f t="shared" ref="AU17:AZ17" si="62">sum(2800)</f>
        <v>2800</v>
      </c>
      <c r="AV17" s="137">
        <f t="shared" si="62"/>
        <v>2800</v>
      </c>
      <c r="AW17" s="137">
        <f t="shared" si="62"/>
        <v>2800</v>
      </c>
      <c r="AX17" s="137">
        <f t="shared" si="62"/>
        <v>2800</v>
      </c>
      <c r="AY17" s="137">
        <f t="shared" si="62"/>
        <v>2800</v>
      </c>
      <c r="AZ17" s="137">
        <f t="shared" si="62"/>
        <v>2800</v>
      </c>
      <c r="BA17" s="137">
        <f t="shared" ref="BA17:BJ17" si="63">-sum(2800)</f>
        <v>-2800</v>
      </c>
      <c r="BB17" s="137">
        <f t="shared" si="63"/>
        <v>-2800</v>
      </c>
      <c r="BC17" s="137">
        <f t="shared" si="63"/>
        <v>-2800</v>
      </c>
      <c r="BD17" s="137">
        <f t="shared" si="63"/>
        <v>-2800</v>
      </c>
      <c r="BE17" s="137">
        <f t="shared" si="63"/>
        <v>-2800</v>
      </c>
      <c r="BF17" s="137">
        <f t="shared" si="63"/>
        <v>-2800</v>
      </c>
      <c r="BG17" s="137">
        <f t="shared" si="63"/>
        <v>-2800</v>
      </c>
      <c r="BH17" s="137">
        <f t="shared" si="63"/>
        <v>-2800</v>
      </c>
      <c r="BI17" s="137">
        <f t="shared" si="63"/>
        <v>-2800</v>
      </c>
      <c r="BJ17" s="137">
        <f t="shared" si="63"/>
        <v>-2800</v>
      </c>
      <c r="BK17" s="175"/>
      <c r="BL17" s="137">
        <v>2800.0</v>
      </c>
      <c r="BM17" s="137">
        <v>2800.0</v>
      </c>
      <c r="BN17" s="137">
        <v>2800.0</v>
      </c>
      <c r="BO17" s="137">
        <v>2800.0</v>
      </c>
      <c r="BP17" s="137">
        <v>2800.0</v>
      </c>
      <c r="BQ17" s="137">
        <v>2800.0</v>
      </c>
      <c r="BR17" s="192">
        <f>sum(2900)</f>
        <v>2900</v>
      </c>
      <c r="BS17" s="192">
        <f>sum(2900,4620*2)</f>
        <v>12140</v>
      </c>
      <c r="BT17" s="192">
        <v>4620.0</v>
      </c>
      <c r="BU17" s="192">
        <v>4620.0</v>
      </c>
      <c r="BV17" s="192">
        <v>4620.0</v>
      </c>
      <c r="BW17" s="192">
        <v>4620.0</v>
      </c>
      <c r="BX17" s="146">
        <f t="shared" ref="BX17:BX24" si="64">sum(BL17:BW17)</f>
        <v>50320</v>
      </c>
      <c r="BY17" s="192">
        <v>4620.0</v>
      </c>
      <c r="BZ17" s="192">
        <v>4620.0</v>
      </c>
      <c r="CA17" s="192">
        <v>4620.0</v>
      </c>
      <c r="CB17" s="192">
        <v>4620.0</v>
      </c>
      <c r="CC17" s="192">
        <v>4620.0</v>
      </c>
      <c r="CD17" s="192">
        <v>4620.0</v>
      </c>
      <c r="CE17" s="192">
        <v>4620.0</v>
      </c>
      <c r="CF17" s="192">
        <v>4620.0</v>
      </c>
      <c r="CG17" s="192">
        <v>4620.0</v>
      </c>
      <c r="CH17" s="192">
        <v>4620.0</v>
      </c>
      <c r="CI17" s="192">
        <v>4620.0</v>
      </c>
      <c r="CJ17" s="192">
        <v>4620.0</v>
      </c>
      <c r="CK17" s="146">
        <f t="shared" ref="CK17:CK24" si="65">sum(BY17:CJ17)</f>
        <v>55440</v>
      </c>
      <c r="CL17" s="192">
        <v>4620.0</v>
      </c>
      <c r="CM17" s="192">
        <v>4620.0</v>
      </c>
      <c r="CN17" s="192">
        <v>4620.0</v>
      </c>
      <c r="CO17" s="192">
        <v>4620.0</v>
      </c>
      <c r="CP17" s="192">
        <v>4620.0</v>
      </c>
      <c r="CQ17" s="192">
        <v>4620.0</v>
      </c>
      <c r="CR17" s="192">
        <v>4620.0</v>
      </c>
      <c r="CS17" s="192">
        <v>4620.0</v>
      </c>
      <c r="CT17" s="192">
        <v>4620.0</v>
      </c>
      <c r="CU17" s="192">
        <v>4620.0</v>
      </c>
      <c r="CV17" s="192">
        <v>4620.0</v>
      </c>
      <c r="CW17" s="192">
        <v>4620.0</v>
      </c>
      <c r="CX17" s="146">
        <f t="shared" ref="CX17:CX24" si="66">sum(CL17:CW17)</f>
        <v>55440</v>
      </c>
      <c r="CY17" s="192">
        <v>4500.0</v>
      </c>
      <c r="CZ17" s="192">
        <v>4500.0</v>
      </c>
    </row>
    <row r="18">
      <c r="A18" s="149"/>
      <c r="B18" s="144" t="s">
        <v>211</v>
      </c>
      <c r="C18" s="137"/>
      <c r="D18" s="137"/>
      <c r="E18" s="137"/>
      <c r="F18" s="137"/>
      <c r="G18" s="137"/>
      <c r="H18" s="175"/>
      <c r="I18" s="137">
        <v>100.0</v>
      </c>
      <c r="J18" s="137">
        <v>35.0</v>
      </c>
      <c r="K18" s="137">
        <v>90.0</v>
      </c>
      <c r="L18" s="137">
        <f>90</f>
        <v>90</v>
      </c>
      <c r="M18" s="137">
        <v>20.0</v>
      </c>
      <c r="N18" s="137">
        <v>90.0</v>
      </c>
      <c r="O18" s="137">
        <v>90.0</v>
      </c>
      <c r="P18" s="137">
        <v>90.0</v>
      </c>
      <c r="Q18" s="137">
        <v>90.0</v>
      </c>
      <c r="R18" s="137">
        <v>90.0</v>
      </c>
      <c r="S18" s="137">
        <v>90.0</v>
      </c>
      <c r="T18" s="137">
        <v>90.0</v>
      </c>
      <c r="U18" s="191">
        <v>0.0</v>
      </c>
      <c r="V18" s="191">
        <v>0.0</v>
      </c>
      <c r="W18" s="145">
        <v>0.0</v>
      </c>
      <c r="X18" s="145">
        <v>0.0</v>
      </c>
      <c r="Y18" s="137">
        <v>90.0</v>
      </c>
      <c r="Z18" s="137">
        <v>90.0</v>
      </c>
      <c r="AA18" s="137">
        <v>90.0</v>
      </c>
      <c r="AB18" s="137">
        <v>90.0</v>
      </c>
      <c r="AC18" s="137">
        <v>90.0</v>
      </c>
      <c r="AD18" s="137">
        <v>90.0</v>
      </c>
      <c r="AE18" s="137">
        <v>90.0</v>
      </c>
      <c r="AF18" s="137">
        <v>90.0</v>
      </c>
      <c r="AG18" s="137">
        <v>90.0</v>
      </c>
      <c r="AH18" s="175">
        <v>90.0</v>
      </c>
      <c r="AI18" s="137">
        <v>90.0</v>
      </c>
      <c r="AJ18" s="137">
        <v>90.0</v>
      </c>
      <c r="AK18" s="137">
        <v>90.0</v>
      </c>
      <c r="AL18" s="137">
        <v>90.0</v>
      </c>
      <c r="AM18" s="137">
        <v>90.0</v>
      </c>
      <c r="AN18" s="137">
        <v>90.0</v>
      </c>
      <c r="AO18" s="137">
        <v>90.0</v>
      </c>
      <c r="AP18" s="137">
        <v>90.0</v>
      </c>
      <c r="AQ18" s="137">
        <v>90.0</v>
      </c>
      <c r="AR18" s="137">
        <v>90.0</v>
      </c>
      <c r="AS18" s="137">
        <v>90.0</v>
      </c>
      <c r="AT18" s="137">
        <v>90.0</v>
      </c>
      <c r="AU18" s="137">
        <v>90.0</v>
      </c>
      <c r="AV18" s="137">
        <v>90.0</v>
      </c>
      <c r="AW18" s="137">
        <v>90.0</v>
      </c>
      <c r="AX18" s="137">
        <v>90.0</v>
      </c>
      <c r="AY18" s="137">
        <v>90.0</v>
      </c>
      <c r="AZ18" s="137">
        <v>90.0</v>
      </c>
      <c r="BA18" s="137">
        <v>-90.0</v>
      </c>
      <c r="BB18" s="137">
        <v>-90.0</v>
      </c>
      <c r="BC18" s="137">
        <v>-90.0</v>
      </c>
      <c r="BD18" s="137">
        <v>-90.0</v>
      </c>
      <c r="BE18" s="137">
        <v>-90.0</v>
      </c>
      <c r="BF18" s="137">
        <v>-90.0</v>
      </c>
      <c r="BG18" s="137">
        <v>-90.0</v>
      </c>
      <c r="BH18" s="137">
        <v>-90.0</v>
      </c>
      <c r="BI18" s="137">
        <v>-90.0</v>
      </c>
      <c r="BJ18" s="137">
        <v>-90.0</v>
      </c>
      <c r="BK18" s="175"/>
      <c r="BL18" s="137">
        <v>90.0</v>
      </c>
      <c r="BM18" s="137">
        <v>90.0</v>
      </c>
      <c r="BN18" s="137">
        <v>90.0</v>
      </c>
      <c r="BO18" s="137">
        <v>90.0</v>
      </c>
      <c r="BP18" s="137">
        <v>90.0</v>
      </c>
      <c r="BQ18" s="137">
        <v>90.0</v>
      </c>
      <c r="BR18" s="137">
        <v>90.0</v>
      </c>
      <c r="BS18" s="137">
        <v>90.0</v>
      </c>
      <c r="BT18" s="137">
        <v>90.0</v>
      </c>
      <c r="BU18" s="137">
        <v>120.0</v>
      </c>
      <c r="BV18" s="137">
        <v>120.0</v>
      </c>
      <c r="BW18" s="137">
        <v>120.0</v>
      </c>
      <c r="BX18" s="146">
        <f t="shared" si="64"/>
        <v>1170</v>
      </c>
      <c r="BY18" s="137">
        <v>120.0</v>
      </c>
      <c r="BZ18" s="137">
        <v>120.0</v>
      </c>
      <c r="CA18" s="137">
        <v>120.0</v>
      </c>
      <c r="CB18" s="137">
        <v>120.0</v>
      </c>
      <c r="CC18" s="137">
        <v>120.0</v>
      </c>
      <c r="CD18" s="137">
        <v>120.0</v>
      </c>
      <c r="CE18" s="137">
        <v>120.0</v>
      </c>
      <c r="CF18" s="137">
        <v>120.0</v>
      </c>
      <c r="CG18" s="137">
        <v>120.0</v>
      </c>
      <c r="CH18" s="137">
        <v>120.0</v>
      </c>
      <c r="CI18" s="137">
        <v>120.0</v>
      </c>
      <c r="CJ18" s="137">
        <v>120.0</v>
      </c>
      <c r="CK18" s="146">
        <f t="shared" si="65"/>
        <v>1440</v>
      </c>
      <c r="CL18" s="137">
        <v>120.0</v>
      </c>
      <c r="CM18" s="137">
        <v>120.0</v>
      </c>
      <c r="CN18" s="137">
        <v>120.0</v>
      </c>
      <c r="CO18" s="137">
        <v>120.0</v>
      </c>
      <c r="CP18" s="137">
        <v>120.0</v>
      </c>
      <c r="CQ18" s="137">
        <v>120.0</v>
      </c>
      <c r="CR18" s="137">
        <v>120.0</v>
      </c>
      <c r="CS18" s="137">
        <v>120.0</v>
      </c>
      <c r="CT18" s="137">
        <v>120.0</v>
      </c>
      <c r="CU18" s="137">
        <v>120.0</v>
      </c>
      <c r="CV18" s="137">
        <v>120.0</v>
      </c>
      <c r="CW18" s="137">
        <v>120.0</v>
      </c>
      <c r="CX18" s="146">
        <f t="shared" si="66"/>
        <v>1440</v>
      </c>
      <c r="CY18" s="137">
        <v>90.0</v>
      </c>
      <c r="CZ18" s="137">
        <v>90.0</v>
      </c>
    </row>
    <row r="19">
      <c r="A19" s="149"/>
      <c r="B19" s="144" t="s">
        <v>212</v>
      </c>
      <c r="C19" s="145">
        <f t="shared" ref="C19:T19" si="67">62.95/2</f>
        <v>31.475</v>
      </c>
      <c r="D19" s="145">
        <f t="shared" si="67"/>
        <v>31.475</v>
      </c>
      <c r="E19" s="145">
        <f t="shared" si="67"/>
        <v>31.475</v>
      </c>
      <c r="F19" s="145">
        <f t="shared" si="67"/>
        <v>31.475</v>
      </c>
      <c r="G19" s="145">
        <f t="shared" si="67"/>
        <v>31.475</v>
      </c>
      <c r="H19" s="146">
        <f t="shared" si="67"/>
        <v>31.475</v>
      </c>
      <c r="I19" s="145">
        <f t="shared" si="67"/>
        <v>31.475</v>
      </c>
      <c r="J19" s="145">
        <f t="shared" si="67"/>
        <v>31.475</v>
      </c>
      <c r="K19" s="145">
        <f t="shared" si="67"/>
        <v>31.475</v>
      </c>
      <c r="L19" s="145">
        <f t="shared" si="67"/>
        <v>31.475</v>
      </c>
      <c r="M19" s="145">
        <f t="shared" si="67"/>
        <v>31.475</v>
      </c>
      <c r="N19" s="145">
        <f t="shared" si="67"/>
        <v>31.475</v>
      </c>
      <c r="O19" s="145">
        <f t="shared" si="67"/>
        <v>31.475</v>
      </c>
      <c r="P19" s="145">
        <f t="shared" si="67"/>
        <v>31.475</v>
      </c>
      <c r="Q19" s="145">
        <f t="shared" si="67"/>
        <v>31.475</v>
      </c>
      <c r="R19" s="145">
        <f t="shared" si="67"/>
        <v>31.475</v>
      </c>
      <c r="S19" s="145">
        <f t="shared" si="67"/>
        <v>31.475</v>
      </c>
      <c r="T19" s="145">
        <f t="shared" si="67"/>
        <v>31.475</v>
      </c>
      <c r="U19" s="145">
        <v>0.0</v>
      </c>
      <c r="V19" s="145">
        <v>0.0</v>
      </c>
      <c r="W19" s="145">
        <v>0.0</v>
      </c>
      <c r="X19" s="145">
        <v>0.0</v>
      </c>
      <c r="Y19" s="145">
        <f>62.95/2</f>
        <v>31.475</v>
      </c>
      <c r="Z19" s="145">
        <f>91/2</f>
        <v>45.5</v>
      </c>
      <c r="AA19" s="145">
        <f t="shared" ref="AA19:AG19" si="68">62.95/2</f>
        <v>31.475</v>
      </c>
      <c r="AB19" s="145">
        <f t="shared" si="68"/>
        <v>31.475</v>
      </c>
      <c r="AC19" s="145">
        <f t="shared" si="68"/>
        <v>31.475</v>
      </c>
      <c r="AD19" s="145">
        <f t="shared" si="68"/>
        <v>31.475</v>
      </c>
      <c r="AE19" s="145">
        <f t="shared" si="68"/>
        <v>31.475</v>
      </c>
      <c r="AF19" s="145">
        <f t="shared" si="68"/>
        <v>31.475</v>
      </c>
      <c r="AG19" s="145">
        <f t="shared" si="68"/>
        <v>31.475</v>
      </c>
      <c r="AH19" s="146">
        <f>0</f>
        <v>0</v>
      </c>
      <c r="AI19" s="145">
        <f t="shared" ref="AI19:AZ19" si="69">100/2</f>
        <v>50</v>
      </c>
      <c r="AJ19" s="145">
        <f t="shared" si="69"/>
        <v>50</v>
      </c>
      <c r="AK19" s="145">
        <f t="shared" si="69"/>
        <v>50</v>
      </c>
      <c r="AL19" s="145">
        <f t="shared" si="69"/>
        <v>50</v>
      </c>
      <c r="AM19" s="145">
        <f t="shared" si="69"/>
        <v>50</v>
      </c>
      <c r="AN19" s="145">
        <f t="shared" si="69"/>
        <v>50</v>
      </c>
      <c r="AO19" s="145">
        <f t="shared" si="69"/>
        <v>50</v>
      </c>
      <c r="AP19" s="145">
        <f t="shared" si="69"/>
        <v>50</v>
      </c>
      <c r="AQ19" s="145">
        <f t="shared" si="69"/>
        <v>50</v>
      </c>
      <c r="AR19" s="145">
        <f t="shared" si="69"/>
        <v>50</v>
      </c>
      <c r="AS19" s="145">
        <f t="shared" si="69"/>
        <v>50</v>
      </c>
      <c r="AT19" s="145">
        <f t="shared" si="69"/>
        <v>50</v>
      </c>
      <c r="AU19" s="145">
        <f t="shared" si="69"/>
        <v>50</v>
      </c>
      <c r="AV19" s="145">
        <f t="shared" si="69"/>
        <v>50</v>
      </c>
      <c r="AW19" s="145">
        <f t="shared" si="69"/>
        <v>50</v>
      </c>
      <c r="AX19" s="145">
        <f t="shared" si="69"/>
        <v>50</v>
      </c>
      <c r="AY19" s="145">
        <f t="shared" si="69"/>
        <v>50</v>
      </c>
      <c r="AZ19" s="145">
        <f t="shared" si="69"/>
        <v>50</v>
      </c>
      <c r="BA19" s="145">
        <f t="shared" ref="BA19:BJ19" si="70">-100/2</f>
        <v>-50</v>
      </c>
      <c r="BB19" s="145">
        <f t="shared" si="70"/>
        <v>-50</v>
      </c>
      <c r="BC19" s="145">
        <f t="shared" si="70"/>
        <v>-50</v>
      </c>
      <c r="BD19" s="145">
        <f t="shared" si="70"/>
        <v>-50</v>
      </c>
      <c r="BE19" s="145">
        <f t="shared" si="70"/>
        <v>-50</v>
      </c>
      <c r="BF19" s="145">
        <f t="shared" si="70"/>
        <v>-50</v>
      </c>
      <c r="BG19" s="145">
        <f t="shared" si="70"/>
        <v>-50</v>
      </c>
      <c r="BH19" s="145">
        <f t="shared" si="70"/>
        <v>-50</v>
      </c>
      <c r="BI19" s="145">
        <f t="shared" si="70"/>
        <v>-50</v>
      </c>
      <c r="BJ19" s="145">
        <f t="shared" si="70"/>
        <v>-50</v>
      </c>
      <c r="BK19" s="146"/>
      <c r="BL19" s="145">
        <v>60.0</v>
      </c>
      <c r="BM19" s="145">
        <v>60.0</v>
      </c>
      <c r="BN19" s="145">
        <v>60.0</v>
      </c>
      <c r="BO19" s="145">
        <v>60.0</v>
      </c>
      <c r="BP19" s="145">
        <v>60.0</v>
      </c>
      <c r="BQ19" s="145">
        <v>60.0</v>
      </c>
      <c r="BR19" s="145">
        <v>60.0</v>
      </c>
      <c r="BS19" s="145">
        <v>60.0</v>
      </c>
      <c r="BT19" s="145">
        <v>60.0</v>
      </c>
      <c r="BU19" s="145">
        <v>120.0</v>
      </c>
      <c r="BV19" s="145">
        <v>120.0</v>
      </c>
      <c r="BW19" s="145">
        <v>120.0</v>
      </c>
      <c r="BX19" s="146">
        <f t="shared" si="64"/>
        <v>900</v>
      </c>
      <c r="BY19" s="137">
        <v>120.0</v>
      </c>
      <c r="BZ19" s="137">
        <v>120.0</v>
      </c>
      <c r="CA19" s="137">
        <v>120.0</v>
      </c>
      <c r="CB19" s="137">
        <v>120.0</v>
      </c>
      <c r="CC19" s="137">
        <v>120.0</v>
      </c>
      <c r="CD19" s="137">
        <v>120.0</v>
      </c>
      <c r="CE19" s="137">
        <v>120.0</v>
      </c>
      <c r="CF19" s="137">
        <v>120.0</v>
      </c>
      <c r="CG19" s="137">
        <v>120.0</v>
      </c>
      <c r="CH19" s="137">
        <v>120.0</v>
      </c>
      <c r="CI19" s="137">
        <v>120.0</v>
      </c>
      <c r="CJ19" s="137">
        <v>120.0</v>
      </c>
      <c r="CK19" s="146">
        <f t="shared" si="65"/>
        <v>1440</v>
      </c>
      <c r="CL19" s="137">
        <v>120.0</v>
      </c>
      <c r="CM19" s="137">
        <v>120.0</v>
      </c>
      <c r="CN19" s="137">
        <v>120.0</v>
      </c>
      <c r="CO19" s="137">
        <v>120.0</v>
      </c>
      <c r="CP19" s="137">
        <v>120.0</v>
      </c>
      <c r="CQ19" s="137">
        <v>120.0</v>
      </c>
      <c r="CR19" s="137">
        <v>120.0</v>
      </c>
      <c r="CS19" s="137">
        <v>120.0</v>
      </c>
      <c r="CT19" s="137">
        <v>120.0</v>
      </c>
      <c r="CU19" s="137">
        <v>120.0</v>
      </c>
      <c r="CV19" s="137">
        <v>120.0</v>
      </c>
      <c r="CW19" s="137">
        <v>120.0</v>
      </c>
      <c r="CX19" s="146">
        <f t="shared" si="66"/>
        <v>1440</v>
      </c>
      <c r="CY19" s="145">
        <v>60.0</v>
      </c>
      <c r="CZ19" s="145">
        <v>60.0</v>
      </c>
    </row>
    <row r="20">
      <c r="A20" s="149"/>
      <c r="B20" s="144" t="s">
        <v>22</v>
      </c>
      <c r="C20" s="137"/>
      <c r="D20" s="137"/>
      <c r="E20" s="137"/>
      <c r="F20" s="137"/>
      <c r="G20" s="137"/>
      <c r="H20" s="175"/>
      <c r="I20" s="137">
        <v>400.0</v>
      </c>
      <c r="J20" s="137">
        <f>75*4</f>
        <v>300</v>
      </c>
      <c r="K20" s="137">
        <f>50*4</f>
        <v>200</v>
      </c>
      <c r="L20" s="137">
        <f t="shared" ref="L20:O20" si="71">55*4</f>
        <v>220</v>
      </c>
      <c r="M20" s="137">
        <f t="shared" si="71"/>
        <v>220</v>
      </c>
      <c r="N20" s="137">
        <f t="shared" si="71"/>
        <v>220</v>
      </c>
      <c r="O20" s="137">
        <f t="shared" si="71"/>
        <v>220</v>
      </c>
      <c r="P20" s="137">
        <f>60*4</f>
        <v>240</v>
      </c>
      <c r="Q20" s="137">
        <f>200+150+250</f>
        <v>600</v>
      </c>
      <c r="R20" s="137">
        <f>195+200+150</f>
        <v>545</v>
      </c>
      <c r="S20" s="137">
        <f>100*4</f>
        <v>400</v>
      </c>
      <c r="T20" s="137">
        <f t="shared" ref="T20:AJ20" si="72">60*4</f>
        <v>240</v>
      </c>
      <c r="U20" s="137">
        <f t="shared" si="72"/>
        <v>240</v>
      </c>
      <c r="V20" s="137">
        <f t="shared" si="72"/>
        <v>240</v>
      </c>
      <c r="W20" s="137">
        <f t="shared" si="72"/>
        <v>240</v>
      </c>
      <c r="X20" s="137">
        <f t="shared" si="72"/>
        <v>240</v>
      </c>
      <c r="Y20" s="137">
        <f t="shared" si="72"/>
        <v>240</v>
      </c>
      <c r="Z20" s="137">
        <f t="shared" si="72"/>
        <v>240</v>
      </c>
      <c r="AA20" s="137">
        <f t="shared" si="72"/>
        <v>240</v>
      </c>
      <c r="AB20" s="137">
        <f t="shared" si="72"/>
        <v>240</v>
      </c>
      <c r="AC20" s="137">
        <f t="shared" si="72"/>
        <v>240</v>
      </c>
      <c r="AD20" s="137">
        <f t="shared" si="72"/>
        <v>240</v>
      </c>
      <c r="AE20" s="137">
        <f t="shared" si="72"/>
        <v>240</v>
      </c>
      <c r="AF20" s="137">
        <f t="shared" si="72"/>
        <v>240</v>
      </c>
      <c r="AG20" s="137">
        <f t="shared" si="72"/>
        <v>240</v>
      </c>
      <c r="AH20" s="175">
        <f t="shared" si="72"/>
        <v>240</v>
      </c>
      <c r="AI20" s="137">
        <f t="shared" si="72"/>
        <v>240</v>
      </c>
      <c r="AJ20" s="137">
        <f t="shared" si="72"/>
        <v>240</v>
      </c>
      <c r="AK20" s="137">
        <f t="shared" ref="AK20:AZ20" si="73">100*4</f>
        <v>400</v>
      </c>
      <c r="AL20" s="137">
        <f t="shared" si="73"/>
        <v>400</v>
      </c>
      <c r="AM20" s="137">
        <f t="shared" si="73"/>
        <v>400</v>
      </c>
      <c r="AN20" s="137">
        <f t="shared" si="73"/>
        <v>400</v>
      </c>
      <c r="AO20" s="137">
        <f t="shared" si="73"/>
        <v>400</v>
      </c>
      <c r="AP20" s="137">
        <f t="shared" si="73"/>
        <v>400</v>
      </c>
      <c r="AQ20" s="137">
        <f t="shared" si="73"/>
        <v>400</v>
      </c>
      <c r="AR20" s="137">
        <f t="shared" si="73"/>
        <v>400</v>
      </c>
      <c r="AS20" s="137">
        <f t="shared" si="73"/>
        <v>400</v>
      </c>
      <c r="AT20" s="137">
        <f t="shared" si="73"/>
        <v>400</v>
      </c>
      <c r="AU20" s="137">
        <f t="shared" si="73"/>
        <v>400</v>
      </c>
      <c r="AV20" s="137">
        <f t="shared" si="73"/>
        <v>400</v>
      </c>
      <c r="AW20" s="137">
        <f t="shared" si="73"/>
        <v>400</v>
      </c>
      <c r="AX20" s="137">
        <f t="shared" si="73"/>
        <v>400</v>
      </c>
      <c r="AY20" s="137">
        <f t="shared" si="73"/>
        <v>400</v>
      </c>
      <c r="AZ20" s="137">
        <f t="shared" si="73"/>
        <v>400</v>
      </c>
      <c r="BA20" s="137">
        <f t="shared" ref="BA20:BJ20" si="74">-100*4</f>
        <v>-400</v>
      </c>
      <c r="BB20" s="137">
        <f t="shared" si="74"/>
        <v>-400</v>
      </c>
      <c r="BC20" s="137">
        <f t="shared" si="74"/>
        <v>-400</v>
      </c>
      <c r="BD20" s="137">
        <f t="shared" si="74"/>
        <v>-400</v>
      </c>
      <c r="BE20" s="137">
        <f t="shared" si="74"/>
        <v>-400</v>
      </c>
      <c r="BF20" s="137">
        <f t="shared" si="74"/>
        <v>-400</v>
      </c>
      <c r="BG20" s="137">
        <f t="shared" si="74"/>
        <v>-400</v>
      </c>
      <c r="BH20" s="137">
        <f t="shared" si="74"/>
        <v>-400</v>
      </c>
      <c r="BI20" s="137">
        <f t="shared" si="74"/>
        <v>-400</v>
      </c>
      <c r="BJ20" s="137">
        <f t="shared" si="74"/>
        <v>-400</v>
      </c>
      <c r="BK20" s="175"/>
      <c r="BL20" s="137">
        <v>500.0</v>
      </c>
      <c r="BM20" s="137">
        <v>500.0</v>
      </c>
      <c r="BN20" s="137">
        <v>500.0</v>
      </c>
      <c r="BO20" s="137">
        <v>500.0</v>
      </c>
      <c r="BP20" s="137">
        <v>500.0</v>
      </c>
      <c r="BQ20" s="137">
        <v>500.0</v>
      </c>
      <c r="BR20" s="137">
        <v>500.0</v>
      </c>
      <c r="BS20" s="137">
        <v>500.0</v>
      </c>
      <c r="BT20" s="137">
        <v>500.0</v>
      </c>
      <c r="BU20" s="137">
        <v>500.0</v>
      </c>
      <c r="BV20" s="137">
        <v>500.0</v>
      </c>
      <c r="BW20" s="137">
        <v>500.0</v>
      </c>
      <c r="BX20" s="146">
        <f t="shared" si="64"/>
        <v>6000</v>
      </c>
      <c r="BY20" s="137">
        <v>500.0</v>
      </c>
      <c r="BZ20" s="137">
        <v>500.0</v>
      </c>
      <c r="CA20" s="137">
        <v>500.0</v>
      </c>
      <c r="CB20" s="137">
        <v>500.0</v>
      </c>
      <c r="CC20" s="137">
        <v>500.0</v>
      </c>
      <c r="CD20" s="137">
        <v>500.0</v>
      </c>
      <c r="CE20" s="137">
        <v>500.0</v>
      </c>
      <c r="CF20" s="137">
        <v>500.0</v>
      </c>
      <c r="CG20" s="137">
        <v>500.0</v>
      </c>
      <c r="CH20" s="137">
        <v>500.0</v>
      </c>
      <c r="CI20" s="137">
        <v>500.0</v>
      </c>
      <c r="CJ20" s="137">
        <v>500.0</v>
      </c>
      <c r="CK20" s="146">
        <f t="shared" si="65"/>
        <v>6000</v>
      </c>
      <c r="CL20" s="137">
        <v>500.0</v>
      </c>
      <c r="CM20" s="137">
        <v>500.0</v>
      </c>
      <c r="CN20" s="137">
        <v>500.0</v>
      </c>
      <c r="CO20" s="137">
        <v>500.0</v>
      </c>
      <c r="CP20" s="137">
        <v>500.0</v>
      </c>
      <c r="CQ20" s="137">
        <v>500.0</v>
      </c>
      <c r="CR20" s="137">
        <v>500.0</v>
      </c>
      <c r="CS20" s="137">
        <v>500.0</v>
      </c>
      <c r="CT20" s="137">
        <v>500.0</v>
      </c>
      <c r="CU20" s="137">
        <v>500.0</v>
      </c>
      <c r="CV20" s="137">
        <v>500.0</v>
      </c>
      <c r="CW20" s="137">
        <v>500.0</v>
      </c>
      <c r="CX20" s="146">
        <f t="shared" si="66"/>
        <v>6000</v>
      </c>
      <c r="CY20" s="137">
        <v>500.0</v>
      </c>
      <c r="CZ20" s="137">
        <v>500.0</v>
      </c>
    </row>
    <row r="21">
      <c r="A21" s="188" t="s">
        <v>213</v>
      </c>
      <c r="B21" s="144" t="s">
        <v>214</v>
      </c>
      <c r="C21" s="145"/>
      <c r="D21" s="145"/>
      <c r="E21" s="145">
        <v>100.0</v>
      </c>
      <c r="F21" s="145">
        <v>128.79</v>
      </c>
      <c r="G21" s="145">
        <v>120.0</v>
      </c>
      <c r="H21" s="146">
        <f>120+500</f>
        <v>620</v>
      </c>
      <c r="I21" s="145">
        <v>120.64</v>
      </c>
      <c r="J21" s="145">
        <v>120.64</v>
      </c>
      <c r="K21" s="145">
        <v>120.64</v>
      </c>
      <c r="L21" s="145">
        <v>150.0</v>
      </c>
      <c r="M21" s="145">
        <v>120.64</v>
      </c>
      <c r="N21" s="145">
        <v>120.64</v>
      </c>
      <c r="O21" s="145">
        <v>120.0</v>
      </c>
      <c r="P21" s="145">
        <v>120.0</v>
      </c>
      <c r="Q21" s="145">
        <v>120.0</v>
      </c>
      <c r="R21" s="145">
        <v>120.0</v>
      </c>
      <c r="S21" s="145">
        <v>120.0</v>
      </c>
      <c r="T21" s="145">
        <v>120.0</v>
      </c>
      <c r="U21" s="145">
        <v>120.0</v>
      </c>
      <c r="V21" s="145">
        <v>120.0</v>
      </c>
      <c r="W21" s="145">
        <v>120.0</v>
      </c>
      <c r="X21" s="145">
        <v>120.0</v>
      </c>
      <c r="Y21" s="145">
        <v>150.0</v>
      </c>
      <c r="Z21" s="145">
        <v>185.09</v>
      </c>
      <c r="AA21" s="145">
        <v>185.09</v>
      </c>
      <c r="AB21" s="145">
        <v>185.09</v>
      </c>
      <c r="AC21" s="145">
        <v>185.09</v>
      </c>
      <c r="AD21" s="145">
        <v>185.09</v>
      </c>
      <c r="AE21" s="145">
        <v>185.09</v>
      </c>
      <c r="AF21" s="145">
        <v>185.09</v>
      </c>
      <c r="AG21" s="145">
        <v>185.09</v>
      </c>
      <c r="AH21" s="146">
        <v>185.09</v>
      </c>
      <c r="AI21" s="145">
        <v>185.09</v>
      </c>
      <c r="AJ21" s="145">
        <v>185.09</v>
      </c>
      <c r="AK21" s="145">
        <v>0.0</v>
      </c>
      <c r="AL21" s="145">
        <v>0.0</v>
      </c>
      <c r="AM21" s="145">
        <v>0.0</v>
      </c>
      <c r="AN21" s="145">
        <v>0.0</v>
      </c>
      <c r="AO21" s="145">
        <v>0.0</v>
      </c>
      <c r="AP21" s="145">
        <v>0.0</v>
      </c>
      <c r="AQ21" s="145">
        <v>0.0</v>
      </c>
      <c r="AR21" s="145">
        <v>0.0</v>
      </c>
      <c r="AS21" s="145">
        <v>0.0</v>
      </c>
      <c r="AT21" s="145">
        <v>0.0</v>
      </c>
      <c r="AU21" s="145">
        <v>0.0</v>
      </c>
      <c r="AV21" s="145">
        <v>0.0</v>
      </c>
      <c r="AW21" s="145">
        <v>150.0</v>
      </c>
      <c r="AX21" s="145">
        <v>150.0</v>
      </c>
      <c r="AY21" s="145">
        <v>150.0</v>
      </c>
      <c r="AZ21" s="145">
        <v>150.0</v>
      </c>
      <c r="BA21" s="145">
        <v>-150.0</v>
      </c>
      <c r="BB21" s="145">
        <v>-150.0</v>
      </c>
      <c r="BC21" s="145">
        <v>-150.0</v>
      </c>
      <c r="BD21" s="145">
        <v>-150.0</v>
      </c>
      <c r="BE21" s="145">
        <v>-150.0</v>
      </c>
      <c r="BF21" s="145">
        <v>-150.0</v>
      </c>
      <c r="BG21" s="145">
        <v>-150.0</v>
      </c>
      <c r="BH21" s="145">
        <v>-150.0</v>
      </c>
      <c r="BI21" s="145">
        <v>-150.0</v>
      </c>
      <c r="BJ21" s="145">
        <v>-150.0</v>
      </c>
      <c r="BK21" s="146"/>
      <c r="BL21" s="145">
        <v>150.0</v>
      </c>
      <c r="BM21" s="145">
        <v>150.0</v>
      </c>
      <c r="BN21" s="145">
        <v>150.0</v>
      </c>
      <c r="BO21" s="145">
        <v>150.0</v>
      </c>
      <c r="BP21" s="145">
        <v>150.0</v>
      </c>
      <c r="BQ21" s="145">
        <v>150.0</v>
      </c>
      <c r="BR21" s="145">
        <v>150.0</v>
      </c>
      <c r="BS21" s="145">
        <v>150.0</v>
      </c>
      <c r="BT21" s="145">
        <v>150.0</v>
      </c>
      <c r="BU21" s="145">
        <v>300.0</v>
      </c>
      <c r="BV21" s="145">
        <v>300.0</v>
      </c>
      <c r="BW21" s="145">
        <v>300.0</v>
      </c>
      <c r="BX21" s="146">
        <f t="shared" si="64"/>
        <v>2250</v>
      </c>
      <c r="BY21" s="145">
        <v>150.0</v>
      </c>
      <c r="BZ21" s="145">
        <v>150.0</v>
      </c>
      <c r="CA21" s="145">
        <v>150.0</v>
      </c>
      <c r="CB21" s="145">
        <v>150.0</v>
      </c>
      <c r="CC21" s="145">
        <v>150.0</v>
      </c>
      <c r="CD21" s="145">
        <v>150.0</v>
      </c>
      <c r="CE21" s="145">
        <v>150.0</v>
      </c>
      <c r="CF21" s="145">
        <v>150.0</v>
      </c>
      <c r="CG21" s="145">
        <v>150.0</v>
      </c>
      <c r="CH21" s="145">
        <v>150.0</v>
      </c>
      <c r="CI21" s="145">
        <v>150.0</v>
      </c>
      <c r="CJ21" s="145">
        <v>150.0</v>
      </c>
      <c r="CK21" s="146">
        <f t="shared" si="65"/>
        <v>1800</v>
      </c>
      <c r="CL21" s="145">
        <v>150.0</v>
      </c>
      <c r="CM21" s="145">
        <v>150.0</v>
      </c>
      <c r="CN21" s="145">
        <v>150.0</v>
      </c>
      <c r="CO21" s="145">
        <v>150.0</v>
      </c>
      <c r="CP21" s="145">
        <v>150.0</v>
      </c>
      <c r="CQ21" s="145">
        <v>150.0</v>
      </c>
      <c r="CR21" s="145">
        <v>150.0</v>
      </c>
      <c r="CS21" s="145">
        <v>150.0</v>
      </c>
      <c r="CT21" s="145">
        <v>150.0</v>
      </c>
      <c r="CU21" s="145">
        <v>150.0</v>
      </c>
      <c r="CV21" s="145">
        <v>150.0</v>
      </c>
      <c r="CW21" s="145">
        <v>150.0</v>
      </c>
      <c r="CX21" s="146">
        <f t="shared" si="66"/>
        <v>1800</v>
      </c>
      <c r="CY21" s="145">
        <v>0.0</v>
      </c>
      <c r="CZ21" s="145">
        <v>0.0</v>
      </c>
    </row>
    <row r="22">
      <c r="A22" s="188" t="s">
        <v>215</v>
      </c>
      <c r="B22" s="144" t="s">
        <v>215</v>
      </c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>
        <v>0.0</v>
      </c>
      <c r="O22" s="137">
        <v>0.0</v>
      </c>
      <c r="P22" s="137">
        <v>0.0</v>
      </c>
      <c r="Q22" s="137">
        <v>0.0</v>
      </c>
      <c r="R22" s="137">
        <v>0.0</v>
      </c>
      <c r="S22" s="189">
        <v>0.0</v>
      </c>
      <c r="T22" s="193">
        <v>200.0</v>
      </c>
      <c r="U22" s="189">
        <v>0.0</v>
      </c>
      <c r="V22" s="137">
        <f>sum(116,60,300,300)</f>
        <v>776</v>
      </c>
      <c r="W22" s="137">
        <f>sum(343,60,75)</f>
        <v>478</v>
      </c>
      <c r="X22" s="137">
        <f>sum(343,180,150)</f>
        <v>673</v>
      </c>
      <c r="Y22" s="137">
        <f t="shared" ref="Y22:AH22" si="75">sum(343,180,100)</f>
        <v>623</v>
      </c>
      <c r="Z22" s="137">
        <f t="shared" si="75"/>
        <v>623</v>
      </c>
      <c r="AA22" s="137">
        <f t="shared" si="75"/>
        <v>623</v>
      </c>
      <c r="AB22" s="137">
        <f t="shared" si="75"/>
        <v>623</v>
      </c>
      <c r="AC22" s="137">
        <f t="shared" si="75"/>
        <v>623</v>
      </c>
      <c r="AD22" s="137">
        <f t="shared" si="75"/>
        <v>623</v>
      </c>
      <c r="AE22" s="137">
        <f t="shared" si="75"/>
        <v>623</v>
      </c>
      <c r="AF22" s="194">
        <f t="shared" si="75"/>
        <v>623</v>
      </c>
      <c r="AG22" s="194">
        <f t="shared" si="75"/>
        <v>623</v>
      </c>
      <c r="AH22" s="195">
        <f t="shared" si="75"/>
        <v>623</v>
      </c>
      <c r="AI22" s="137">
        <v>400.0</v>
      </c>
      <c r="AJ22" s="137">
        <v>0.0</v>
      </c>
      <c r="AK22" s="137">
        <v>0.0</v>
      </c>
      <c r="AL22" s="137">
        <v>175.0</v>
      </c>
      <c r="AM22" s="137">
        <v>0.0</v>
      </c>
      <c r="AN22" s="137">
        <v>0.0</v>
      </c>
      <c r="AO22" s="137">
        <v>0.0</v>
      </c>
      <c r="AP22" s="137">
        <v>0.0</v>
      </c>
      <c r="AQ22" s="137">
        <v>0.0</v>
      </c>
      <c r="AR22" s="137">
        <v>0.0</v>
      </c>
      <c r="AS22" s="137">
        <v>0.0</v>
      </c>
      <c r="AT22" s="137">
        <v>0.0</v>
      </c>
      <c r="AU22" s="137">
        <v>0.0</v>
      </c>
      <c r="AV22" s="137">
        <v>0.0</v>
      </c>
      <c r="AW22" s="137">
        <v>0.0</v>
      </c>
      <c r="AX22" s="137">
        <v>0.0</v>
      </c>
      <c r="AY22" s="137">
        <v>0.0</v>
      </c>
      <c r="AZ22" s="137">
        <v>0.0</v>
      </c>
      <c r="BA22" s="137">
        <v>0.0</v>
      </c>
      <c r="BB22" s="137">
        <v>0.0</v>
      </c>
      <c r="BC22" s="137">
        <v>0.0</v>
      </c>
      <c r="BD22" s="137">
        <v>0.0</v>
      </c>
      <c r="BE22" s="137">
        <v>0.0</v>
      </c>
      <c r="BF22" s="137">
        <v>0.0</v>
      </c>
      <c r="BG22" s="137">
        <v>0.0</v>
      </c>
      <c r="BH22" s="137">
        <v>0.0</v>
      </c>
      <c r="BI22" s="137">
        <v>-150.0</v>
      </c>
      <c r="BJ22" s="137">
        <v>-300.0</v>
      </c>
      <c r="BK22" s="175"/>
      <c r="BL22" s="137">
        <v>0.0</v>
      </c>
      <c r="BM22" s="137">
        <v>0.0</v>
      </c>
      <c r="BN22" s="137">
        <v>0.0</v>
      </c>
      <c r="BO22" s="137">
        <v>0.0</v>
      </c>
      <c r="BP22" s="137">
        <v>0.0</v>
      </c>
      <c r="BQ22" s="137">
        <v>0.0</v>
      </c>
      <c r="BR22" s="137">
        <v>0.0</v>
      </c>
      <c r="BS22" s="137">
        <v>0.0</v>
      </c>
      <c r="BT22" s="137">
        <v>0.0</v>
      </c>
      <c r="BU22" s="137">
        <v>0.0</v>
      </c>
      <c r="BV22" s="137">
        <v>0.0</v>
      </c>
      <c r="BW22" s="137">
        <v>0.0</v>
      </c>
      <c r="BX22" s="146">
        <f t="shared" si="64"/>
        <v>0</v>
      </c>
      <c r="BY22" s="137">
        <v>0.0</v>
      </c>
      <c r="BZ22" s="137">
        <v>0.0</v>
      </c>
      <c r="CA22" s="137">
        <v>0.0</v>
      </c>
      <c r="CB22" s="137">
        <v>0.0</v>
      </c>
      <c r="CC22" s="137">
        <v>0.0</v>
      </c>
      <c r="CD22" s="137">
        <v>0.0</v>
      </c>
      <c r="CE22" s="137">
        <v>0.0</v>
      </c>
      <c r="CF22" s="137">
        <v>0.0</v>
      </c>
      <c r="CG22" s="137">
        <v>0.0</v>
      </c>
      <c r="CH22" s="137">
        <v>0.0</v>
      </c>
      <c r="CI22" s="137">
        <v>0.0</v>
      </c>
      <c r="CJ22" s="137">
        <v>0.0</v>
      </c>
      <c r="CK22" s="146">
        <f t="shared" si="65"/>
        <v>0</v>
      </c>
      <c r="CL22" s="137">
        <v>0.0</v>
      </c>
      <c r="CM22" s="137">
        <v>0.0</v>
      </c>
      <c r="CN22" s="137">
        <v>0.0</v>
      </c>
      <c r="CO22" s="137">
        <v>0.0</v>
      </c>
      <c r="CP22" s="137">
        <v>0.0</v>
      </c>
      <c r="CQ22" s="137">
        <v>0.0</v>
      </c>
      <c r="CR22" s="137">
        <v>0.0</v>
      </c>
      <c r="CS22" s="137">
        <v>0.0</v>
      </c>
      <c r="CT22" s="137">
        <v>0.0</v>
      </c>
      <c r="CU22" s="137">
        <v>0.0</v>
      </c>
      <c r="CV22" s="137">
        <v>0.0</v>
      </c>
      <c r="CW22" s="137">
        <v>0.0</v>
      </c>
      <c r="CX22" s="146">
        <f t="shared" si="66"/>
        <v>0</v>
      </c>
      <c r="CY22" s="137">
        <v>0.0</v>
      </c>
      <c r="CZ22" s="137">
        <v>0.0</v>
      </c>
    </row>
    <row r="23">
      <c r="A23" s="188" t="s">
        <v>216</v>
      </c>
      <c r="B23" s="144" t="s">
        <v>217</v>
      </c>
      <c r="C23" s="137"/>
      <c r="D23" s="137"/>
      <c r="E23" s="137"/>
      <c r="F23" s="137"/>
      <c r="G23" s="137"/>
      <c r="H23" s="137"/>
      <c r="I23" s="137"/>
      <c r="J23" s="137">
        <f>170*4-20</f>
        <v>660</v>
      </c>
      <c r="K23" s="137">
        <f t="shared" ref="K23:L23" si="76">22*7*4</f>
        <v>616</v>
      </c>
      <c r="L23" s="137">
        <f t="shared" si="76"/>
        <v>616</v>
      </c>
      <c r="M23" s="137">
        <f t="shared" ref="M23:N23" si="77">20*4*4</f>
        <v>320</v>
      </c>
      <c r="N23" s="137">
        <f t="shared" si="77"/>
        <v>320</v>
      </c>
      <c r="O23" s="137">
        <f>15*7*4</f>
        <v>420</v>
      </c>
      <c r="P23" s="137">
        <f>15*30</f>
        <v>450</v>
      </c>
      <c r="Q23" s="137">
        <f>15*5</f>
        <v>75</v>
      </c>
      <c r="R23" s="137">
        <f t="shared" ref="R23:S23" si="78">10*4</f>
        <v>40</v>
      </c>
      <c r="S23" s="137">
        <f t="shared" si="78"/>
        <v>40</v>
      </c>
      <c r="T23" s="137">
        <f>10*20</f>
        <v>200</v>
      </c>
      <c r="U23" s="137">
        <f>10*10</f>
        <v>100</v>
      </c>
      <c r="V23" s="137">
        <v>0.0</v>
      </c>
      <c r="W23" s="137">
        <v>0.0</v>
      </c>
      <c r="X23" s="137">
        <v>25.0</v>
      </c>
      <c r="Y23" s="137">
        <v>25.0</v>
      </c>
      <c r="Z23" s="137">
        <v>25.0</v>
      </c>
      <c r="AA23" s="137">
        <v>25.0</v>
      </c>
      <c r="AB23" s="137">
        <v>25.0</v>
      </c>
      <c r="AC23" s="137">
        <v>25.0</v>
      </c>
      <c r="AD23" s="137">
        <v>25.0</v>
      </c>
      <c r="AE23" s="137">
        <v>25.0</v>
      </c>
      <c r="AF23" s="137">
        <v>25.0</v>
      </c>
      <c r="AG23" s="137">
        <v>25.0</v>
      </c>
      <c r="AH23" s="175">
        <v>100.0</v>
      </c>
      <c r="AI23" s="137">
        <v>200.0</v>
      </c>
      <c r="AJ23" s="137">
        <v>100.0</v>
      </c>
      <c r="AK23" s="137">
        <v>100.0</v>
      </c>
      <c r="AL23" s="137">
        <v>100.0</v>
      </c>
      <c r="AM23" s="137">
        <v>100.0</v>
      </c>
      <c r="AN23" s="137">
        <v>100.0</v>
      </c>
      <c r="AO23" s="137">
        <v>100.0</v>
      </c>
      <c r="AP23" s="137">
        <v>100.0</v>
      </c>
      <c r="AQ23" s="137">
        <v>100.0</v>
      </c>
      <c r="AR23" s="137">
        <v>100.0</v>
      </c>
      <c r="AS23" s="137">
        <v>100.0</v>
      </c>
      <c r="AT23" s="137">
        <v>100.0</v>
      </c>
      <c r="AU23" s="137">
        <v>100.0</v>
      </c>
      <c r="AV23" s="137">
        <v>100.0</v>
      </c>
      <c r="AW23" s="137">
        <v>100.0</v>
      </c>
      <c r="AX23" s="137">
        <v>100.0</v>
      </c>
      <c r="AY23" s="137">
        <v>100.0</v>
      </c>
      <c r="AZ23" s="137">
        <v>100.0</v>
      </c>
      <c r="BA23" s="137">
        <v>-100.0</v>
      </c>
      <c r="BB23" s="137">
        <v>-100.0</v>
      </c>
      <c r="BC23" s="137">
        <v>-100.0</v>
      </c>
      <c r="BD23" s="137">
        <v>-100.0</v>
      </c>
      <c r="BE23" s="137">
        <v>-200.0</v>
      </c>
      <c r="BF23" s="137">
        <v>-200.0</v>
      </c>
      <c r="BG23" s="137">
        <v>-200.0</v>
      </c>
      <c r="BH23" s="137">
        <v>-200.0</v>
      </c>
      <c r="BI23" s="137">
        <v>-200.0</v>
      </c>
      <c r="BJ23" s="137">
        <v>-200.0</v>
      </c>
      <c r="BK23" s="175"/>
      <c r="BL23" s="137">
        <f t="shared" ref="BL23:BW23" si="79">sum(20*3*4)</f>
        <v>240</v>
      </c>
      <c r="BM23" s="137">
        <f t="shared" si="79"/>
        <v>240</v>
      </c>
      <c r="BN23" s="137">
        <f t="shared" si="79"/>
        <v>240</v>
      </c>
      <c r="BO23" s="137">
        <f t="shared" si="79"/>
        <v>240</v>
      </c>
      <c r="BP23" s="137">
        <f t="shared" si="79"/>
        <v>240</v>
      </c>
      <c r="BQ23" s="137">
        <f t="shared" si="79"/>
        <v>240</v>
      </c>
      <c r="BR23" s="137">
        <f t="shared" si="79"/>
        <v>240</v>
      </c>
      <c r="BS23" s="137">
        <f t="shared" si="79"/>
        <v>240</v>
      </c>
      <c r="BT23" s="137">
        <f t="shared" si="79"/>
        <v>240</v>
      </c>
      <c r="BU23" s="137">
        <f t="shared" si="79"/>
        <v>240</v>
      </c>
      <c r="BV23" s="137">
        <f t="shared" si="79"/>
        <v>240</v>
      </c>
      <c r="BW23" s="137">
        <f t="shared" si="79"/>
        <v>240</v>
      </c>
      <c r="BX23" s="146">
        <f t="shared" si="64"/>
        <v>2880</v>
      </c>
      <c r="BY23" s="137">
        <f t="shared" ref="BY23:CJ23" si="80">sum(20*3*4)</f>
        <v>240</v>
      </c>
      <c r="BZ23" s="137">
        <f t="shared" si="80"/>
        <v>240</v>
      </c>
      <c r="CA23" s="137">
        <f t="shared" si="80"/>
        <v>240</v>
      </c>
      <c r="CB23" s="137">
        <f t="shared" si="80"/>
        <v>240</v>
      </c>
      <c r="CC23" s="137">
        <f t="shared" si="80"/>
        <v>240</v>
      </c>
      <c r="CD23" s="137">
        <f t="shared" si="80"/>
        <v>240</v>
      </c>
      <c r="CE23" s="137">
        <f t="shared" si="80"/>
        <v>240</v>
      </c>
      <c r="CF23" s="137">
        <f t="shared" si="80"/>
        <v>240</v>
      </c>
      <c r="CG23" s="137">
        <f t="shared" si="80"/>
        <v>240</v>
      </c>
      <c r="CH23" s="137">
        <f t="shared" si="80"/>
        <v>240</v>
      </c>
      <c r="CI23" s="137">
        <f t="shared" si="80"/>
        <v>240</v>
      </c>
      <c r="CJ23" s="137">
        <f t="shared" si="80"/>
        <v>240</v>
      </c>
      <c r="CK23" s="146">
        <f t="shared" si="65"/>
        <v>2880</v>
      </c>
      <c r="CL23" s="137">
        <f t="shared" ref="CL23:CW23" si="81">sum(20*3*4)</f>
        <v>240</v>
      </c>
      <c r="CM23" s="137">
        <f t="shared" si="81"/>
        <v>240</v>
      </c>
      <c r="CN23" s="137">
        <f t="shared" si="81"/>
        <v>240</v>
      </c>
      <c r="CO23" s="137">
        <f t="shared" si="81"/>
        <v>240</v>
      </c>
      <c r="CP23" s="137">
        <f t="shared" si="81"/>
        <v>240</v>
      </c>
      <c r="CQ23" s="137">
        <f t="shared" si="81"/>
        <v>240</v>
      </c>
      <c r="CR23" s="137">
        <f t="shared" si="81"/>
        <v>240</v>
      </c>
      <c r="CS23" s="137">
        <f t="shared" si="81"/>
        <v>240</v>
      </c>
      <c r="CT23" s="137">
        <f t="shared" si="81"/>
        <v>240</v>
      </c>
      <c r="CU23" s="137">
        <f t="shared" si="81"/>
        <v>240</v>
      </c>
      <c r="CV23" s="137">
        <f t="shared" si="81"/>
        <v>240</v>
      </c>
      <c r="CW23" s="137">
        <f t="shared" si="81"/>
        <v>240</v>
      </c>
      <c r="CX23" s="146">
        <f t="shared" si="66"/>
        <v>2880</v>
      </c>
      <c r="CY23" s="137">
        <f t="shared" ref="CY23:CZ23" si="82">sum(20*3*4)</f>
        <v>240</v>
      </c>
      <c r="CZ23" s="137">
        <f t="shared" si="82"/>
        <v>240</v>
      </c>
    </row>
    <row r="24">
      <c r="A24" s="149"/>
      <c r="B24" s="144" t="s">
        <v>218</v>
      </c>
      <c r="C24" s="137">
        <v>200.0</v>
      </c>
      <c r="D24" s="137">
        <v>200.0</v>
      </c>
      <c r="E24" s="137">
        <v>100.0</v>
      </c>
      <c r="F24" s="137">
        <v>200.0</v>
      </c>
      <c r="G24" s="137">
        <v>200.0</v>
      </c>
      <c r="H24" s="175">
        <v>200.0</v>
      </c>
      <c r="I24" s="137">
        <f>8*4*4+20*4</f>
        <v>208</v>
      </c>
      <c r="J24" s="137">
        <f>8*7*4</f>
        <v>224</v>
      </c>
      <c r="K24" s="137">
        <f>8*4*4</f>
        <v>128</v>
      </c>
      <c r="L24" s="137">
        <f>8*7*4</f>
        <v>224</v>
      </c>
      <c r="M24" s="137">
        <f>8*4*4</f>
        <v>128</v>
      </c>
      <c r="N24" s="137">
        <f>8*5*4</f>
        <v>160</v>
      </c>
      <c r="O24" s="137">
        <f>8*7*4</f>
        <v>224</v>
      </c>
      <c r="P24" s="137">
        <f>8*5*4</f>
        <v>160</v>
      </c>
      <c r="Q24" s="137">
        <f>40</f>
        <v>40</v>
      </c>
      <c r="R24" s="137">
        <f t="shared" ref="R24:S24" si="83">0</f>
        <v>0</v>
      </c>
      <c r="S24" s="137">
        <f t="shared" si="83"/>
        <v>0</v>
      </c>
      <c r="T24" s="137">
        <v>0.0</v>
      </c>
      <c r="U24" s="137">
        <v>0.0</v>
      </c>
      <c r="V24" s="137">
        <v>0.0</v>
      </c>
      <c r="W24" s="137">
        <v>0.0</v>
      </c>
      <c r="X24" s="137">
        <v>0.0</v>
      </c>
      <c r="Y24" s="137">
        <v>0.0</v>
      </c>
      <c r="Z24" s="137">
        <v>0.0</v>
      </c>
      <c r="AA24" s="137">
        <v>0.0</v>
      </c>
      <c r="AB24" s="137">
        <v>0.0</v>
      </c>
      <c r="AC24" s="137">
        <v>0.0</v>
      </c>
      <c r="AD24" s="137">
        <v>0.0</v>
      </c>
      <c r="AE24" s="137">
        <v>0.0</v>
      </c>
      <c r="AF24" s="137">
        <v>0.0</v>
      </c>
      <c r="AG24" s="137">
        <v>0.0</v>
      </c>
      <c r="AH24" s="175">
        <v>50.0</v>
      </c>
      <c r="AI24" s="137">
        <v>50.0</v>
      </c>
      <c r="AJ24" s="137">
        <v>50.0</v>
      </c>
      <c r="AK24" s="137">
        <v>50.0</v>
      </c>
      <c r="AL24" s="137">
        <v>50.0</v>
      </c>
      <c r="AM24" s="137">
        <v>25.0</v>
      </c>
      <c r="AN24" s="137">
        <v>25.0</v>
      </c>
      <c r="AO24" s="137">
        <v>25.0</v>
      </c>
      <c r="AP24" s="137">
        <v>50.0</v>
      </c>
      <c r="AQ24" s="137">
        <v>50.0</v>
      </c>
      <c r="AR24" s="137">
        <v>50.0</v>
      </c>
      <c r="AS24" s="137">
        <v>50.0</v>
      </c>
      <c r="AT24" s="137">
        <v>50.0</v>
      </c>
      <c r="AU24" s="137">
        <v>50.0</v>
      </c>
      <c r="AV24" s="137">
        <v>50.0</v>
      </c>
      <c r="AW24" s="137">
        <v>50.0</v>
      </c>
      <c r="AX24" s="137">
        <v>50.0</v>
      </c>
      <c r="AY24" s="137">
        <v>50.0</v>
      </c>
      <c r="AZ24" s="137">
        <v>50.0</v>
      </c>
      <c r="BA24" s="137">
        <v>-50.0</v>
      </c>
      <c r="BB24" s="137">
        <v>-50.0</v>
      </c>
      <c r="BC24" s="137">
        <v>-50.0</v>
      </c>
      <c r="BD24" s="137">
        <v>-50.0</v>
      </c>
      <c r="BE24" s="137">
        <v>-50.0</v>
      </c>
      <c r="BF24" s="137">
        <v>-50.0</v>
      </c>
      <c r="BG24" s="137">
        <v>-50.0</v>
      </c>
      <c r="BH24" s="137">
        <v>-50.0</v>
      </c>
      <c r="BI24" s="137">
        <v>-50.0</v>
      </c>
      <c r="BJ24" s="137">
        <v>-50.0</v>
      </c>
      <c r="BK24" s="175"/>
      <c r="BL24" s="137">
        <f t="shared" ref="BL24:BW24" si="84">sum(3*8*4)</f>
        <v>96</v>
      </c>
      <c r="BM24" s="137">
        <f t="shared" si="84"/>
        <v>96</v>
      </c>
      <c r="BN24" s="137">
        <f t="shared" si="84"/>
        <v>96</v>
      </c>
      <c r="BO24" s="137">
        <f t="shared" si="84"/>
        <v>96</v>
      </c>
      <c r="BP24" s="137">
        <f t="shared" si="84"/>
        <v>96</v>
      </c>
      <c r="BQ24" s="137">
        <f t="shared" si="84"/>
        <v>96</v>
      </c>
      <c r="BR24" s="137">
        <f t="shared" si="84"/>
        <v>96</v>
      </c>
      <c r="BS24" s="137">
        <f t="shared" si="84"/>
        <v>96</v>
      </c>
      <c r="BT24" s="137">
        <f t="shared" si="84"/>
        <v>96</v>
      </c>
      <c r="BU24" s="137">
        <f t="shared" si="84"/>
        <v>96</v>
      </c>
      <c r="BV24" s="137">
        <f t="shared" si="84"/>
        <v>96</v>
      </c>
      <c r="BW24" s="137">
        <f t="shared" si="84"/>
        <v>96</v>
      </c>
      <c r="BX24" s="146">
        <f t="shared" si="64"/>
        <v>1152</v>
      </c>
      <c r="BY24" s="137">
        <f t="shared" ref="BY24:CJ24" si="85">sum(3*8*4)</f>
        <v>96</v>
      </c>
      <c r="BZ24" s="137">
        <f t="shared" si="85"/>
        <v>96</v>
      </c>
      <c r="CA24" s="137">
        <f t="shared" si="85"/>
        <v>96</v>
      </c>
      <c r="CB24" s="137">
        <f t="shared" si="85"/>
        <v>96</v>
      </c>
      <c r="CC24" s="137">
        <f t="shared" si="85"/>
        <v>96</v>
      </c>
      <c r="CD24" s="137">
        <f t="shared" si="85"/>
        <v>96</v>
      </c>
      <c r="CE24" s="137">
        <f t="shared" si="85"/>
        <v>96</v>
      </c>
      <c r="CF24" s="137">
        <f t="shared" si="85"/>
        <v>96</v>
      </c>
      <c r="CG24" s="137">
        <f t="shared" si="85"/>
        <v>96</v>
      </c>
      <c r="CH24" s="137">
        <f t="shared" si="85"/>
        <v>96</v>
      </c>
      <c r="CI24" s="137">
        <f t="shared" si="85"/>
        <v>96</v>
      </c>
      <c r="CJ24" s="137">
        <f t="shared" si="85"/>
        <v>96</v>
      </c>
      <c r="CK24" s="146">
        <f t="shared" si="65"/>
        <v>1152</v>
      </c>
      <c r="CL24" s="137">
        <f t="shared" ref="CL24:CW24" si="86">sum(3*8*4)</f>
        <v>96</v>
      </c>
      <c r="CM24" s="137">
        <f t="shared" si="86"/>
        <v>96</v>
      </c>
      <c r="CN24" s="137">
        <f t="shared" si="86"/>
        <v>96</v>
      </c>
      <c r="CO24" s="137">
        <f t="shared" si="86"/>
        <v>96</v>
      </c>
      <c r="CP24" s="137">
        <f t="shared" si="86"/>
        <v>96</v>
      </c>
      <c r="CQ24" s="137">
        <f t="shared" si="86"/>
        <v>96</v>
      </c>
      <c r="CR24" s="137">
        <f t="shared" si="86"/>
        <v>96</v>
      </c>
      <c r="CS24" s="137">
        <f t="shared" si="86"/>
        <v>96</v>
      </c>
      <c r="CT24" s="137">
        <f t="shared" si="86"/>
        <v>96</v>
      </c>
      <c r="CU24" s="137">
        <f t="shared" si="86"/>
        <v>96</v>
      </c>
      <c r="CV24" s="137">
        <f t="shared" si="86"/>
        <v>96</v>
      </c>
      <c r="CW24" s="137">
        <f t="shared" si="86"/>
        <v>96</v>
      </c>
      <c r="CX24" s="146">
        <f t="shared" si="66"/>
        <v>1152</v>
      </c>
      <c r="CY24" s="137">
        <f t="shared" ref="CY24:CZ24" si="87">sum(3*8*4)</f>
        <v>96</v>
      </c>
      <c r="CZ24" s="137">
        <f t="shared" si="87"/>
        <v>96</v>
      </c>
    </row>
    <row r="25">
      <c r="A25" s="188"/>
      <c r="B25" s="136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96">
        <f t="shared" ref="P25:AZ25" si="88">sum(P17:P24)/P13</f>
        <v>0.2519561189</v>
      </c>
      <c r="Q25" s="196">
        <f t="shared" si="88"/>
        <v>0.4153966407</v>
      </c>
      <c r="R25" s="196">
        <f t="shared" si="88"/>
        <v>0.412688697</v>
      </c>
      <c r="S25" s="196">
        <f t="shared" si="88"/>
        <v>0.2640096373</v>
      </c>
      <c r="T25" s="196">
        <f t="shared" si="88"/>
        <v>0.4339876113</v>
      </c>
      <c r="U25" s="196">
        <f t="shared" si="88"/>
        <v>0.08981804104</v>
      </c>
      <c r="V25" s="196">
        <f t="shared" si="88"/>
        <v>0.2894561598</v>
      </c>
      <c r="W25" s="196">
        <f t="shared" si="88"/>
        <v>0.2567557104</v>
      </c>
      <c r="X25" s="196">
        <f t="shared" si="88"/>
        <v>0.485327139</v>
      </c>
      <c r="Y25" s="196">
        <f t="shared" si="88"/>
        <v>0.2404706614</v>
      </c>
      <c r="Z25" s="196">
        <f t="shared" si="88"/>
        <v>0.3159420455</v>
      </c>
      <c r="AA25" s="196">
        <f t="shared" si="88"/>
        <v>0.3334732955</v>
      </c>
      <c r="AB25" s="196">
        <f t="shared" si="88"/>
        <v>0.3334732955</v>
      </c>
      <c r="AC25" s="196">
        <f t="shared" si="88"/>
        <v>0.3201343636</v>
      </c>
      <c r="AD25" s="196">
        <f t="shared" si="88"/>
        <v>0.3355066692</v>
      </c>
      <c r="AE25" s="196">
        <f t="shared" si="88"/>
        <v>0.1486106516</v>
      </c>
      <c r="AF25" s="196">
        <f t="shared" si="88"/>
        <v>0.2905509901</v>
      </c>
      <c r="AG25" s="196">
        <f t="shared" si="88"/>
        <v>0.2620147321</v>
      </c>
      <c r="AH25" s="197">
        <f t="shared" si="88"/>
        <v>0.2708562016</v>
      </c>
      <c r="AI25" s="196">
        <f t="shared" si="88"/>
        <v>0.3797350394</v>
      </c>
      <c r="AJ25" s="196">
        <f t="shared" si="88"/>
        <v>0.4033570866</v>
      </c>
      <c r="AK25" s="196">
        <f t="shared" si="88"/>
        <v>0.1805592543</v>
      </c>
      <c r="AL25" s="196">
        <f t="shared" si="88"/>
        <v>0.3086580087</v>
      </c>
      <c r="AM25" s="196">
        <f t="shared" si="88"/>
        <v>0.2913419913</v>
      </c>
      <c r="AN25" s="196">
        <f t="shared" si="88"/>
        <v>0.1561484919</v>
      </c>
      <c r="AO25" s="196">
        <f t="shared" si="88"/>
        <v>0.26812749</v>
      </c>
      <c r="AP25" s="196">
        <f t="shared" si="88"/>
        <v>0.1041474654</v>
      </c>
      <c r="AQ25" s="196">
        <f t="shared" si="88"/>
        <v>0.2935064935</v>
      </c>
      <c r="AR25" s="196">
        <f t="shared" si="88"/>
        <v>0.2935064935</v>
      </c>
      <c r="AS25" s="196">
        <f t="shared" si="88"/>
        <v>0.2935064935</v>
      </c>
      <c r="AT25" s="196">
        <f t="shared" si="88"/>
        <v>0.2079612983</v>
      </c>
      <c r="AU25" s="196">
        <f t="shared" si="88"/>
        <v>0.1257657658</v>
      </c>
      <c r="AV25" s="196">
        <f t="shared" si="88"/>
        <v>0.3021645022</v>
      </c>
      <c r="AW25" s="196">
        <f t="shared" si="88"/>
        <v>0.3151515152</v>
      </c>
      <c r="AX25" s="196">
        <f t="shared" si="88"/>
        <v>0.2443937156</v>
      </c>
      <c r="AY25" s="196">
        <f t="shared" si="88"/>
        <v>0.2536585366</v>
      </c>
      <c r="AZ25" s="196">
        <f t="shared" si="88"/>
        <v>0.132123412</v>
      </c>
      <c r="BA25" s="196"/>
      <c r="BB25" s="196"/>
      <c r="BC25" s="196"/>
      <c r="BD25" s="196"/>
      <c r="BE25" s="196"/>
      <c r="BF25" s="196"/>
      <c r="BG25" s="196"/>
      <c r="BH25" s="196"/>
      <c r="BI25" s="196"/>
      <c r="BJ25" s="196"/>
      <c r="BK25" s="197"/>
      <c r="BL25" s="196"/>
      <c r="BM25" s="196"/>
      <c r="BN25" s="196"/>
      <c r="BO25" s="196"/>
      <c r="BP25" s="196"/>
      <c r="BQ25" s="196"/>
      <c r="BR25" s="196"/>
      <c r="BS25" s="196"/>
      <c r="BT25" s="196"/>
      <c r="BU25" s="196"/>
      <c r="BV25" s="196"/>
      <c r="BW25" s="196"/>
      <c r="BX25" s="198"/>
      <c r="BY25" s="196"/>
      <c r="BZ25" s="196"/>
      <c r="CA25" s="196"/>
      <c r="CB25" s="196"/>
      <c r="CC25" s="196"/>
      <c r="CD25" s="196"/>
      <c r="CE25" s="196"/>
      <c r="CF25" s="196"/>
      <c r="CG25" s="196"/>
      <c r="CH25" s="196"/>
      <c r="CI25" s="196"/>
      <c r="CJ25" s="196"/>
      <c r="CK25" s="198"/>
      <c r="CL25" s="196"/>
      <c r="CM25" s="196"/>
      <c r="CN25" s="196"/>
      <c r="CO25" s="196"/>
      <c r="CP25" s="196"/>
      <c r="CQ25" s="196"/>
      <c r="CR25" s="196"/>
      <c r="CS25" s="196"/>
      <c r="CT25" s="196"/>
      <c r="CU25" s="196"/>
      <c r="CV25" s="196"/>
      <c r="CW25" s="196"/>
      <c r="CX25" s="198"/>
      <c r="CY25" s="196"/>
      <c r="CZ25" s="196"/>
    </row>
    <row r="26">
      <c r="A26" s="135" t="s">
        <v>219</v>
      </c>
      <c r="C26" s="137"/>
      <c r="D26" s="137"/>
      <c r="E26" s="137"/>
      <c r="F26" s="137"/>
      <c r="G26" s="137"/>
      <c r="H26" s="137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40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40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40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40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40"/>
      <c r="CY26" s="138"/>
      <c r="CZ26" s="138"/>
    </row>
    <row r="27">
      <c r="A27" s="188" t="s">
        <v>220</v>
      </c>
      <c r="B27" s="144" t="s">
        <v>221</v>
      </c>
      <c r="C27" s="137">
        <v>1150.0</v>
      </c>
      <c r="D27" s="137">
        <v>1000.0</v>
      </c>
      <c r="E27" s="137">
        <v>1000.0</v>
      </c>
      <c r="F27" s="137">
        <v>1120.0</v>
      </c>
      <c r="G27" s="137">
        <v>1000.0</v>
      </c>
      <c r="H27" s="175">
        <v>500.0</v>
      </c>
      <c r="I27" s="137">
        <f>160*4</f>
        <v>640</v>
      </c>
      <c r="J27" s="137">
        <f>125*4</f>
        <v>500</v>
      </c>
      <c r="K27" s="137">
        <f>25*7*4</f>
        <v>700</v>
      </c>
      <c r="L27" s="137">
        <f>50*7*4</f>
        <v>1400</v>
      </c>
      <c r="M27" s="137">
        <f>25*7*4</f>
        <v>700</v>
      </c>
      <c r="N27" s="137">
        <v>1500.0</v>
      </c>
      <c r="O27" s="137">
        <f>30*5*4</f>
        <v>600</v>
      </c>
      <c r="P27" s="137">
        <f>30*20</f>
        <v>600</v>
      </c>
      <c r="Q27" s="137">
        <f>20*10</f>
        <v>200</v>
      </c>
      <c r="R27" s="137">
        <f>10*20</f>
        <v>200</v>
      </c>
      <c r="S27" s="137">
        <f>5*20</f>
        <v>100</v>
      </c>
      <c r="T27" s="137">
        <f>20*20</f>
        <v>400</v>
      </c>
      <c r="U27" s="137">
        <f t="shared" ref="U27:X27" si="89">15*20</f>
        <v>300</v>
      </c>
      <c r="V27" s="137">
        <f t="shared" si="89"/>
        <v>300</v>
      </c>
      <c r="W27" s="137">
        <f t="shared" si="89"/>
        <v>300</v>
      </c>
      <c r="X27" s="137">
        <f t="shared" si="89"/>
        <v>300</v>
      </c>
      <c r="Y27" s="137">
        <f>50*20</f>
        <v>1000</v>
      </c>
      <c r="Z27" s="137">
        <f>45*20</f>
        <v>900</v>
      </c>
      <c r="AA27" s="137">
        <f t="shared" ref="AA27:AB27" si="90">25*20</f>
        <v>500</v>
      </c>
      <c r="AB27" s="137">
        <f t="shared" si="90"/>
        <v>500</v>
      </c>
      <c r="AC27" s="137">
        <f>45*20</f>
        <v>900</v>
      </c>
      <c r="AD27" s="137">
        <f t="shared" ref="AD27:AH27" si="91">25*20</f>
        <v>500</v>
      </c>
      <c r="AE27" s="137">
        <f t="shared" si="91"/>
        <v>500</v>
      </c>
      <c r="AF27" s="137">
        <f t="shared" si="91"/>
        <v>500</v>
      </c>
      <c r="AG27" s="137">
        <f t="shared" si="91"/>
        <v>500</v>
      </c>
      <c r="AH27" s="175">
        <f t="shared" si="91"/>
        <v>500</v>
      </c>
      <c r="AI27" s="137">
        <f t="shared" ref="AI27:AK27" si="92">45*20</f>
        <v>900</v>
      </c>
      <c r="AJ27" s="137">
        <f t="shared" si="92"/>
        <v>900</v>
      </c>
      <c r="AK27" s="137">
        <f t="shared" si="92"/>
        <v>900</v>
      </c>
      <c r="AL27" s="137">
        <f t="shared" ref="AL27:AO27" si="93">75*20</f>
        <v>1500</v>
      </c>
      <c r="AM27" s="137">
        <f t="shared" si="93"/>
        <v>1500</v>
      </c>
      <c r="AN27" s="137">
        <f t="shared" si="93"/>
        <v>1500</v>
      </c>
      <c r="AO27" s="137">
        <f t="shared" si="93"/>
        <v>1500</v>
      </c>
      <c r="AP27" s="137">
        <f>150*20</f>
        <v>3000</v>
      </c>
      <c r="AQ27" s="137">
        <f t="shared" ref="AQ27:AZ27" si="94">75*20</f>
        <v>1500</v>
      </c>
      <c r="AR27" s="137">
        <f t="shared" si="94"/>
        <v>1500</v>
      </c>
      <c r="AS27" s="137">
        <f t="shared" si="94"/>
        <v>1500</v>
      </c>
      <c r="AT27" s="137">
        <f t="shared" si="94"/>
        <v>1500</v>
      </c>
      <c r="AU27" s="137">
        <f t="shared" si="94"/>
        <v>1500</v>
      </c>
      <c r="AV27" s="137">
        <f t="shared" si="94"/>
        <v>1500</v>
      </c>
      <c r="AW27" s="137">
        <f t="shared" si="94"/>
        <v>1500</v>
      </c>
      <c r="AX27" s="137">
        <f t="shared" si="94"/>
        <v>1500</v>
      </c>
      <c r="AY27" s="137">
        <f t="shared" si="94"/>
        <v>1500</v>
      </c>
      <c r="AZ27" s="137">
        <f t="shared" si="94"/>
        <v>1500</v>
      </c>
      <c r="BA27" s="137">
        <f t="shared" ref="BA27:BJ27" si="95">-75*20</f>
        <v>-1500</v>
      </c>
      <c r="BB27" s="137">
        <f t="shared" si="95"/>
        <v>-1500</v>
      </c>
      <c r="BC27" s="137">
        <f t="shared" si="95"/>
        <v>-1500</v>
      </c>
      <c r="BD27" s="137">
        <f t="shared" si="95"/>
        <v>-1500</v>
      </c>
      <c r="BE27" s="137">
        <f t="shared" si="95"/>
        <v>-1500</v>
      </c>
      <c r="BF27" s="137">
        <f t="shared" si="95"/>
        <v>-1500</v>
      </c>
      <c r="BG27" s="137">
        <f t="shared" si="95"/>
        <v>-1500</v>
      </c>
      <c r="BH27" s="137">
        <f t="shared" si="95"/>
        <v>-1500</v>
      </c>
      <c r="BI27" s="137">
        <f t="shared" si="95"/>
        <v>-1500</v>
      </c>
      <c r="BJ27" s="137">
        <f t="shared" si="95"/>
        <v>-1500</v>
      </c>
      <c r="BK27" s="175"/>
      <c r="BL27" s="137">
        <f t="shared" ref="BL27:BT27" si="96">125*20</f>
        <v>2500</v>
      </c>
      <c r="BM27" s="137">
        <f t="shared" si="96"/>
        <v>2500</v>
      </c>
      <c r="BN27" s="137">
        <f t="shared" si="96"/>
        <v>2500</v>
      </c>
      <c r="BO27" s="137">
        <f t="shared" si="96"/>
        <v>2500</v>
      </c>
      <c r="BP27" s="137">
        <f t="shared" si="96"/>
        <v>2500</v>
      </c>
      <c r="BQ27" s="137">
        <f t="shared" si="96"/>
        <v>2500</v>
      </c>
      <c r="BR27" s="137">
        <f t="shared" si="96"/>
        <v>2500</v>
      </c>
      <c r="BS27" s="137">
        <f t="shared" si="96"/>
        <v>2500</v>
      </c>
      <c r="BT27" s="137">
        <f t="shared" si="96"/>
        <v>2500</v>
      </c>
      <c r="BU27" s="137">
        <f t="shared" ref="BU27:BV27" si="97">75*20</f>
        <v>1500</v>
      </c>
      <c r="BV27" s="137">
        <f t="shared" si="97"/>
        <v>1500</v>
      </c>
      <c r="BW27" s="137">
        <f>125*20</f>
        <v>2500</v>
      </c>
      <c r="BX27" s="146">
        <f t="shared" ref="BX27:BX42" si="111">sum(BL27:BW27)</f>
        <v>28000</v>
      </c>
      <c r="BY27" s="137">
        <f t="shared" ref="BY27:CJ27" si="98">125*20</f>
        <v>2500</v>
      </c>
      <c r="BZ27" s="137">
        <f t="shared" si="98"/>
        <v>2500</v>
      </c>
      <c r="CA27" s="137">
        <f t="shared" si="98"/>
        <v>2500</v>
      </c>
      <c r="CB27" s="137">
        <f t="shared" si="98"/>
        <v>2500</v>
      </c>
      <c r="CC27" s="137">
        <f t="shared" si="98"/>
        <v>2500</v>
      </c>
      <c r="CD27" s="137">
        <f t="shared" si="98"/>
        <v>2500</v>
      </c>
      <c r="CE27" s="137">
        <f t="shared" si="98"/>
        <v>2500</v>
      </c>
      <c r="CF27" s="137">
        <f t="shared" si="98"/>
        <v>2500</v>
      </c>
      <c r="CG27" s="137">
        <f t="shared" si="98"/>
        <v>2500</v>
      </c>
      <c r="CH27" s="137">
        <f t="shared" si="98"/>
        <v>2500</v>
      </c>
      <c r="CI27" s="137">
        <f t="shared" si="98"/>
        <v>2500</v>
      </c>
      <c r="CJ27" s="137">
        <f t="shared" si="98"/>
        <v>2500</v>
      </c>
      <c r="CK27" s="146">
        <f t="shared" ref="CK27:CK42" si="113">sum(BY27:CJ27)</f>
        <v>30000</v>
      </c>
      <c r="CL27" s="137">
        <f t="shared" ref="CL27:CW27" si="99">125*20</f>
        <v>2500</v>
      </c>
      <c r="CM27" s="137">
        <f t="shared" si="99"/>
        <v>2500</v>
      </c>
      <c r="CN27" s="137">
        <f t="shared" si="99"/>
        <v>2500</v>
      </c>
      <c r="CO27" s="137">
        <f t="shared" si="99"/>
        <v>2500</v>
      </c>
      <c r="CP27" s="137">
        <f t="shared" si="99"/>
        <v>2500</v>
      </c>
      <c r="CQ27" s="137">
        <f t="shared" si="99"/>
        <v>2500</v>
      </c>
      <c r="CR27" s="137">
        <f t="shared" si="99"/>
        <v>2500</v>
      </c>
      <c r="CS27" s="137">
        <f t="shared" si="99"/>
        <v>2500</v>
      </c>
      <c r="CT27" s="137">
        <f t="shared" si="99"/>
        <v>2500</v>
      </c>
      <c r="CU27" s="137">
        <f t="shared" si="99"/>
        <v>2500</v>
      </c>
      <c r="CV27" s="137">
        <f t="shared" si="99"/>
        <v>2500</v>
      </c>
      <c r="CW27" s="137">
        <f t="shared" si="99"/>
        <v>2500</v>
      </c>
      <c r="CX27" s="146">
        <f t="shared" ref="CX27:CX42" si="115">sum(CL27:CW27)</f>
        <v>30000</v>
      </c>
      <c r="CY27" s="137">
        <f t="shared" ref="CY27:CZ27" si="100">125*20</f>
        <v>2500</v>
      </c>
      <c r="CZ27" s="137">
        <f t="shared" si="100"/>
        <v>2500</v>
      </c>
    </row>
    <row r="28">
      <c r="A28" s="149"/>
      <c r="B28" s="144" t="s">
        <v>222</v>
      </c>
      <c r="C28" s="137"/>
      <c r="D28" s="137"/>
      <c r="E28" s="137"/>
      <c r="F28" s="137"/>
      <c r="G28" s="137"/>
      <c r="H28" s="175"/>
      <c r="I28" s="137">
        <f>100*4</f>
        <v>400</v>
      </c>
      <c r="J28" s="137">
        <f>200*4</f>
        <v>800</v>
      </c>
      <c r="K28" s="137">
        <f t="shared" ref="K28:L28" si="101">50*2*2*4</f>
        <v>800</v>
      </c>
      <c r="L28" s="137">
        <f t="shared" si="101"/>
        <v>800</v>
      </c>
      <c r="M28" s="137">
        <f>40*2*4</f>
        <v>320</v>
      </c>
      <c r="N28" s="137">
        <f t="shared" ref="N28:O28" si="102">50*2*4</f>
        <v>400</v>
      </c>
      <c r="O28" s="137">
        <f t="shared" si="102"/>
        <v>400</v>
      </c>
      <c r="P28" s="137">
        <f>100*4</f>
        <v>400</v>
      </c>
      <c r="Q28" s="137">
        <f>45*2</f>
        <v>90</v>
      </c>
      <c r="R28" s="137">
        <f>20*8</f>
        <v>160</v>
      </c>
      <c r="S28" s="137">
        <f>30*8</f>
        <v>240</v>
      </c>
      <c r="T28" s="137">
        <f>45*8</f>
        <v>360</v>
      </c>
      <c r="U28" s="137">
        <f>20*8</f>
        <v>160</v>
      </c>
      <c r="V28" s="137">
        <f>45*8</f>
        <v>360</v>
      </c>
      <c r="W28" s="137">
        <f t="shared" ref="W28:X28" si="103">40*8</f>
        <v>320</v>
      </c>
      <c r="X28" s="137">
        <f t="shared" si="103"/>
        <v>320</v>
      </c>
      <c r="Y28" s="137">
        <f t="shared" ref="Y28:AA28" si="104">100*8</f>
        <v>800</v>
      </c>
      <c r="Z28" s="137">
        <f t="shared" si="104"/>
        <v>800</v>
      </c>
      <c r="AA28" s="137">
        <f t="shared" si="104"/>
        <v>800</v>
      </c>
      <c r="AB28" s="137">
        <f>100*8+300</f>
        <v>1100</v>
      </c>
      <c r="AC28" s="137">
        <f>100*8</f>
        <v>800</v>
      </c>
      <c r="AD28" s="137">
        <f t="shared" ref="AD28:AH28" si="105">75*8</f>
        <v>600</v>
      </c>
      <c r="AE28" s="137">
        <f t="shared" si="105"/>
        <v>600</v>
      </c>
      <c r="AF28" s="137">
        <f t="shared" si="105"/>
        <v>600</v>
      </c>
      <c r="AG28" s="137">
        <f t="shared" si="105"/>
        <v>600</v>
      </c>
      <c r="AH28" s="175">
        <f t="shared" si="105"/>
        <v>600</v>
      </c>
      <c r="AI28" s="137">
        <f>100*10</f>
        <v>1000</v>
      </c>
      <c r="AJ28" s="137">
        <f t="shared" ref="AJ28:AO28" si="106">100*8</f>
        <v>800</v>
      </c>
      <c r="AK28" s="137">
        <f t="shared" si="106"/>
        <v>800</v>
      </c>
      <c r="AL28" s="137">
        <f t="shared" si="106"/>
        <v>800</v>
      </c>
      <c r="AM28" s="137">
        <f t="shared" si="106"/>
        <v>800</v>
      </c>
      <c r="AN28" s="137">
        <f t="shared" si="106"/>
        <v>800</v>
      </c>
      <c r="AO28" s="137">
        <f t="shared" si="106"/>
        <v>800</v>
      </c>
      <c r="AP28" s="137">
        <f>150*8</f>
        <v>1200</v>
      </c>
      <c r="AQ28" s="137">
        <f t="shared" ref="AQ28:AZ28" si="107">100*8</f>
        <v>800</v>
      </c>
      <c r="AR28" s="137">
        <f t="shared" si="107"/>
        <v>800</v>
      </c>
      <c r="AS28" s="137">
        <f t="shared" si="107"/>
        <v>800</v>
      </c>
      <c r="AT28" s="137">
        <f t="shared" si="107"/>
        <v>800</v>
      </c>
      <c r="AU28" s="137">
        <f t="shared" si="107"/>
        <v>800</v>
      </c>
      <c r="AV28" s="137">
        <f t="shared" si="107"/>
        <v>800</v>
      </c>
      <c r="AW28" s="137">
        <f t="shared" si="107"/>
        <v>800</v>
      </c>
      <c r="AX28" s="137">
        <f t="shared" si="107"/>
        <v>800</v>
      </c>
      <c r="AY28" s="137">
        <f t="shared" si="107"/>
        <v>800</v>
      </c>
      <c r="AZ28" s="137">
        <f t="shared" si="107"/>
        <v>800</v>
      </c>
      <c r="BA28" s="137">
        <f t="shared" ref="BA28:BJ28" si="108">-100*8</f>
        <v>-800</v>
      </c>
      <c r="BB28" s="137">
        <f t="shared" si="108"/>
        <v>-800</v>
      </c>
      <c r="BC28" s="137">
        <f t="shared" si="108"/>
        <v>-800</v>
      </c>
      <c r="BD28" s="137">
        <f t="shared" si="108"/>
        <v>-800</v>
      </c>
      <c r="BE28" s="137">
        <f t="shared" si="108"/>
        <v>-800</v>
      </c>
      <c r="BF28" s="137">
        <f t="shared" si="108"/>
        <v>-800</v>
      </c>
      <c r="BG28" s="137">
        <f t="shared" si="108"/>
        <v>-800</v>
      </c>
      <c r="BH28" s="137">
        <f t="shared" si="108"/>
        <v>-800</v>
      </c>
      <c r="BI28" s="137">
        <f t="shared" si="108"/>
        <v>-800</v>
      </c>
      <c r="BJ28" s="137">
        <f t="shared" si="108"/>
        <v>-800</v>
      </c>
      <c r="BK28" s="175"/>
      <c r="BL28" s="137">
        <f t="shared" ref="BL28:BT28" si="109">200*8</f>
        <v>1600</v>
      </c>
      <c r="BM28" s="137">
        <f t="shared" si="109"/>
        <v>1600</v>
      </c>
      <c r="BN28" s="137">
        <f t="shared" si="109"/>
        <v>1600</v>
      </c>
      <c r="BO28" s="137">
        <f t="shared" si="109"/>
        <v>1600</v>
      </c>
      <c r="BP28" s="137">
        <f t="shared" si="109"/>
        <v>1600</v>
      </c>
      <c r="BQ28" s="137">
        <f t="shared" si="109"/>
        <v>1600</v>
      </c>
      <c r="BR28" s="137">
        <f t="shared" si="109"/>
        <v>1600</v>
      </c>
      <c r="BS28" s="137">
        <f t="shared" si="109"/>
        <v>1600</v>
      </c>
      <c r="BT28" s="137">
        <f t="shared" si="109"/>
        <v>1600</v>
      </c>
      <c r="BU28" s="137">
        <f t="shared" ref="BU28:BV28" si="110">100*8</f>
        <v>800</v>
      </c>
      <c r="BV28" s="137">
        <f t="shared" si="110"/>
        <v>800</v>
      </c>
      <c r="BW28" s="137">
        <f>200*8</f>
        <v>1600</v>
      </c>
      <c r="BX28" s="146">
        <f t="shared" si="111"/>
        <v>17600</v>
      </c>
      <c r="BY28" s="137">
        <f t="shared" ref="BY28:CJ28" si="112">200*8</f>
        <v>1600</v>
      </c>
      <c r="BZ28" s="137">
        <f t="shared" si="112"/>
        <v>1600</v>
      </c>
      <c r="CA28" s="137">
        <f t="shared" si="112"/>
        <v>1600</v>
      </c>
      <c r="CB28" s="137">
        <f t="shared" si="112"/>
        <v>1600</v>
      </c>
      <c r="CC28" s="137">
        <f t="shared" si="112"/>
        <v>1600</v>
      </c>
      <c r="CD28" s="137">
        <f t="shared" si="112"/>
        <v>1600</v>
      </c>
      <c r="CE28" s="137">
        <f t="shared" si="112"/>
        <v>1600</v>
      </c>
      <c r="CF28" s="137">
        <f t="shared" si="112"/>
        <v>1600</v>
      </c>
      <c r="CG28" s="137">
        <f t="shared" si="112"/>
        <v>1600</v>
      </c>
      <c r="CH28" s="137">
        <f t="shared" si="112"/>
        <v>1600</v>
      </c>
      <c r="CI28" s="137">
        <f t="shared" si="112"/>
        <v>1600</v>
      </c>
      <c r="CJ28" s="137">
        <f t="shared" si="112"/>
        <v>1600</v>
      </c>
      <c r="CK28" s="146">
        <f t="shared" si="113"/>
        <v>19200</v>
      </c>
      <c r="CL28" s="137">
        <f t="shared" ref="CL28:CW28" si="114">200*8</f>
        <v>1600</v>
      </c>
      <c r="CM28" s="137">
        <f t="shared" si="114"/>
        <v>1600</v>
      </c>
      <c r="CN28" s="137">
        <f t="shared" si="114"/>
        <v>1600</v>
      </c>
      <c r="CO28" s="137">
        <f t="shared" si="114"/>
        <v>1600</v>
      </c>
      <c r="CP28" s="137">
        <f t="shared" si="114"/>
        <v>1600</v>
      </c>
      <c r="CQ28" s="137">
        <f t="shared" si="114"/>
        <v>1600</v>
      </c>
      <c r="CR28" s="137">
        <f t="shared" si="114"/>
        <v>1600</v>
      </c>
      <c r="CS28" s="137">
        <f t="shared" si="114"/>
        <v>1600</v>
      </c>
      <c r="CT28" s="137">
        <f t="shared" si="114"/>
        <v>1600</v>
      </c>
      <c r="CU28" s="137">
        <f t="shared" si="114"/>
        <v>1600</v>
      </c>
      <c r="CV28" s="137">
        <f t="shared" si="114"/>
        <v>1600</v>
      </c>
      <c r="CW28" s="137">
        <f t="shared" si="114"/>
        <v>1600</v>
      </c>
      <c r="CX28" s="146">
        <f t="shared" si="115"/>
        <v>19200</v>
      </c>
      <c r="CY28" s="137">
        <f t="shared" ref="CY28:CZ28" si="116">200*8</f>
        <v>1600</v>
      </c>
      <c r="CZ28" s="137">
        <f t="shared" si="116"/>
        <v>1600</v>
      </c>
    </row>
    <row r="29">
      <c r="A29" s="199"/>
      <c r="B29" s="144" t="s">
        <v>223</v>
      </c>
      <c r="C29" s="137">
        <v>0.0</v>
      </c>
      <c r="D29" s="137">
        <v>0.0</v>
      </c>
      <c r="E29" s="137">
        <v>0.0</v>
      </c>
      <c r="F29" s="137">
        <v>0.0</v>
      </c>
      <c r="G29" s="137">
        <v>0.0</v>
      </c>
      <c r="H29" s="175">
        <v>0.0</v>
      </c>
      <c r="I29" s="137">
        <v>0.0</v>
      </c>
      <c r="J29" s="137">
        <v>0.0</v>
      </c>
      <c r="K29" s="137">
        <v>0.0</v>
      </c>
      <c r="L29" s="137">
        <v>0.0</v>
      </c>
      <c r="M29" s="137">
        <v>0.0</v>
      </c>
      <c r="N29" s="194">
        <v>200.0</v>
      </c>
      <c r="O29" s="194">
        <v>400.0</v>
      </c>
      <c r="P29" s="113">
        <v>0.0</v>
      </c>
      <c r="Q29" s="137">
        <v>0.0</v>
      </c>
      <c r="R29" s="137">
        <v>0.0</v>
      </c>
      <c r="S29" s="137">
        <v>0.0</v>
      </c>
      <c r="T29" s="137">
        <v>0.0</v>
      </c>
      <c r="U29" s="137">
        <v>0.0</v>
      </c>
      <c r="V29" s="137">
        <v>0.0</v>
      </c>
      <c r="W29" s="137">
        <v>0.0</v>
      </c>
      <c r="X29" s="137">
        <v>0.0</v>
      </c>
      <c r="Y29" s="137">
        <v>0.0</v>
      </c>
      <c r="Z29" s="137">
        <v>0.0</v>
      </c>
      <c r="AA29" s="137">
        <v>0.0</v>
      </c>
      <c r="AB29" s="137">
        <v>0.0</v>
      </c>
      <c r="AC29" s="137">
        <v>0.0</v>
      </c>
      <c r="AD29" s="137">
        <v>0.0</v>
      </c>
      <c r="AE29" s="137">
        <v>0.0</v>
      </c>
      <c r="AF29" s="137">
        <v>0.0</v>
      </c>
      <c r="AG29" s="137">
        <v>0.0</v>
      </c>
      <c r="AH29" s="175">
        <v>0.0</v>
      </c>
      <c r="AI29" s="137">
        <v>0.0</v>
      </c>
      <c r="AJ29" s="137">
        <v>0.0</v>
      </c>
      <c r="AK29" s="137">
        <v>0.0</v>
      </c>
      <c r="AL29" s="137">
        <v>0.0</v>
      </c>
      <c r="AM29" s="137">
        <v>0.0</v>
      </c>
      <c r="AN29" s="137">
        <v>0.0</v>
      </c>
      <c r="AO29" s="137">
        <v>0.0</v>
      </c>
      <c r="AP29" s="137">
        <v>0.0</v>
      </c>
      <c r="AQ29" s="137">
        <v>0.0</v>
      </c>
      <c r="AR29" s="137">
        <v>0.0</v>
      </c>
      <c r="AS29" s="137">
        <v>0.0</v>
      </c>
      <c r="AT29" s="137">
        <v>0.0</v>
      </c>
      <c r="AU29" s="137">
        <v>0.0</v>
      </c>
      <c r="AV29" s="137">
        <v>0.0</v>
      </c>
      <c r="AW29" s="137">
        <v>200.0</v>
      </c>
      <c r="AX29" s="137">
        <v>200.0</v>
      </c>
      <c r="AY29" s="137">
        <v>200.0</v>
      </c>
      <c r="AZ29" s="137">
        <v>200.0</v>
      </c>
      <c r="BA29" s="137">
        <v>-200.0</v>
      </c>
      <c r="BB29" s="137">
        <v>-200.0</v>
      </c>
      <c r="BC29" s="137">
        <v>-200.0</v>
      </c>
      <c r="BD29" s="137">
        <v>-200.0</v>
      </c>
      <c r="BE29" s="137">
        <v>-200.0</v>
      </c>
      <c r="BF29" s="137">
        <v>-200.0</v>
      </c>
      <c r="BG29" s="137">
        <v>-200.0</v>
      </c>
      <c r="BH29" s="137">
        <v>-200.0</v>
      </c>
      <c r="BI29" s="137">
        <v>-200.0</v>
      </c>
      <c r="BJ29" s="137">
        <v>-200.0</v>
      </c>
      <c r="BK29" s="175"/>
      <c r="BL29" s="137">
        <v>200.0</v>
      </c>
      <c r="BM29" s="137">
        <v>200.0</v>
      </c>
      <c r="BN29" s="137">
        <f>sum(200,4000)</f>
        <v>4200</v>
      </c>
      <c r="BO29" s="137">
        <v>200.0</v>
      </c>
      <c r="BP29" s="137">
        <v>200.0</v>
      </c>
      <c r="BQ29" s="137">
        <f>sum(200,2000)</f>
        <v>2200</v>
      </c>
      <c r="BR29" s="137">
        <v>200.0</v>
      </c>
      <c r="BS29" s="137">
        <v>200.0</v>
      </c>
      <c r="BT29" s="137">
        <v>200.0</v>
      </c>
      <c r="BU29" s="137">
        <v>200.0</v>
      </c>
      <c r="BV29" s="137">
        <v>200.0</v>
      </c>
      <c r="BW29" s="137">
        <v>200.0</v>
      </c>
      <c r="BX29" s="146">
        <f t="shared" si="111"/>
        <v>8400</v>
      </c>
      <c r="BY29" s="137">
        <v>200.0</v>
      </c>
      <c r="BZ29" s="137">
        <v>200.0</v>
      </c>
      <c r="CA29" s="137">
        <v>200.0</v>
      </c>
      <c r="CB29" s="137">
        <v>200.0</v>
      </c>
      <c r="CC29" s="137">
        <v>200.0</v>
      </c>
      <c r="CD29" s="137">
        <v>200.0</v>
      </c>
      <c r="CE29" s="137">
        <v>200.0</v>
      </c>
      <c r="CF29" s="137">
        <v>200.0</v>
      </c>
      <c r="CG29" s="137">
        <v>200.0</v>
      </c>
      <c r="CH29" s="137">
        <v>200.0</v>
      </c>
      <c r="CI29" s="137">
        <v>200.0</v>
      </c>
      <c r="CJ29" s="137">
        <v>200.0</v>
      </c>
      <c r="CK29" s="146">
        <f t="shared" si="113"/>
        <v>2400</v>
      </c>
      <c r="CL29" s="137">
        <v>200.0</v>
      </c>
      <c r="CM29" s="137">
        <v>200.0</v>
      </c>
      <c r="CN29" s="137">
        <v>200.0</v>
      </c>
      <c r="CO29" s="137">
        <v>200.0</v>
      </c>
      <c r="CP29" s="137">
        <v>200.0</v>
      </c>
      <c r="CQ29" s="137">
        <v>200.0</v>
      </c>
      <c r="CR29" s="137">
        <v>200.0</v>
      </c>
      <c r="CS29" s="137">
        <v>200.0</v>
      </c>
      <c r="CT29" s="137">
        <v>200.0</v>
      </c>
      <c r="CU29" s="137">
        <v>200.0</v>
      </c>
      <c r="CV29" s="137">
        <v>200.0</v>
      </c>
      <c r="CW29" s="137">
        <v>200.0</v>
      </c>
      <c r="CX29" s="146">
        <f t="shared" si="115"/>
        <v>2400</v>
      </c>
      <c r="CY29" s="137">
        <v>200.0</v>
      </c>
      <c r="CZ29" s="137">
        <v>200.0</v>
      </c>
    </row>
    <row r="30">
      <c r="A30" s="199"/>
      <c r="B30" s="144" t="s">
        <v>224</v>
      </c>
      <c r="C30" s="137">
        <v>10.0</v>
      </c>
      <c r="D30" s="137">
        <v>10.0</v>
      </c>
      <c r="E30" s="137">
        <v>10.0</v>
      </c>
      <c r="F30" s="137">
        <v>10.0</v>
      </c>
      <c r="G30" s="137">
        <f t="shared" ref="G30:H30" si="117">10+5+20</f>
        <v>35</v>
      </c>
      <c r="H30" s="137">
        <f t="shared" si="117"/>
        <v>35</v>
      </c>
      <c r="I30" s="137">
        <f>10+20+60</f>
        <v>90</v>
      </c>
      <c r="J30" s="137">
        <f>10+20+30+15</f>
        <v>75</v>
      </c>
      <c r="K30" s="137">
        <f>10+5+20+30</f>
        <v>65</v>
      </c>
      <c r="L30" s="137">
        <f t="shared" ref="L30:O30" si="118">10+5+20+60</f>
        <v>95</v>
      </c>
      <c r="M30" s="137">
        <f t="shared" si="118"/>
        <v>95</v>
      </c>
      <c r="N30" s="137">
        <f t="shared" si="118"/>
        <v>95</v>
      </c>
      <c r="O30" s="137">
        <f t="shared" si="118"/>
        <v>95</v>
      </c>
      <c r="P30" s="137">
        <f>10+5+20+60+4+4</f>
        <v>103</v>
      </c>
      <c r="Q30" s="137">
        <f>10+5+20+60+35.68</f>
        <v>130.68</v>
      </c>
      <c r="R30" s="137">
        <f>10+5+20+60</f>
        <v>95</v>
      </c>
      <c r="S30" s="137">
        <f t="shared" ref="S30:U30" si="119">10+13+20+60</f>
        <v>103</v>
      </c>
      <c r="T30" s="137">
        <f t="shared" si="119"/>
        <v>103</v>
      </c>
      <c r="U30" s="137">
        <f t="shared" si="119"/>
        <v>103</v>
      </c>
      <c r="V30" s="137">
        <f>sum(10,13,20,60,4,15,20)</f>
        <v>142</v>
      </c>
      <c r="W30" s="137">
        <f>sum(10,13,20,60,4,15,70)</f>
        <v>192</v>
      </c>
      <c r="X30" s="137">
        <f t="shared" ref="X30:Y30" si="120">sum(10,13,20,60,4,15,0)</f>
        <v>122</v>
      </c>
      <c r="Y30" s="137">
        <f t="shared" si="120"/>
        <v>122</v>
      </c>
      <c r="Z30" s="137">
        <f t="shared" ref="Z30:AZ30" si="121">sum(10,13,60,4,15,0)</f>
        <v>102</v>
      </c>
      <c r="AA30" s="137">
        <f t="shared" si="121"/>
        <v>102</v>
      </c>
      <c r="AB30" s="137">
        <f t="shared" si="121"/>
        <v>102</v>
      </c>
      <c r="AC30" s="137">
        <f t="shared" si="121"/>
        <v>102</v>
      </c>
      <c r="AD30" s="137">
        <f t="shared" si="121"/>
        <v>102</v>
      </c>
      <c r="AE30" s="137">
        <f t="shared" si="121"/>
        <v>102</v>
      </c>
      <c r="AF30" s="137">
        <f t="shared" si="121"/>
        <v>102</v>
      </c>
      <c r="AG30" s="137">
        <f t="shared" si="121"/>
        <v>102</v>
      </c>
      <c r="AH30" s="175">
        <f t="shared" si="121"/>
        <v>102</v>
      </c>
      <c r="AI30" s="137">
        <f t="shared" si="121"/>
        <v>102</v>
      </c>
      <c r="AJ30" s="137">
        <f t="shared" si="121"/>
        <v>102</v>
      </c>
      <c r="AK30" s="137">
        <f t="shared" si="121"/>
        <v>102</v>
      </c>
      <c r="AL30" s="137">
        <f t="shared" si="121"/>
        <v>102</v>
      </c>
      <c r="AM30" s="137">
        <f t="shared" si="121"/>
        <v>102</v>
      </c>
      <c r="AN30" s="137">
        <f t="shared" si="121"/>
        <v>102</v>
      </c>
      <c r="AO30" s="137">
        <f t="shared" si="121"/>
        <v>102</v>
      </c>
      <c r="AP30" s="137">
        <f t="shared" si="121"/>
        <v>102</v>
      </c>
      <c r="AQ30" s="137">
        <f t="shared" si="121"/>
        <v>102</v>
      </c>
      <c r="AR30" s="137">
        <f t="shared" si="121"/>
        <v>102</v>
      </c>
      <c r="AS30" s="137">
        <f t="shared" si="121"/>
        <v>102</v>
      </c>
      <c r="AT30" s="137">
        <f t="shared" si="121"/>
        <v>102</v>
      </c>
      <c r="AU30" s="137">
        <f t="shared" si="121"/>
        <v>102</v>
      </c>
      <c r="AV30" s="137">
        <f t="shared" si="121"/>
        <v>102</v>
      </c>
      <c r="AW30" s="137">
        <f t="shared" si="121"/>
        <v>102</v>
      </c>
      <c r="AX30" s="137">
        <f t="shared" si="121"/>
        <v>102</v>
      </c>
      <c r="AY30" s="137">
        <f t="shared" si="121"/>
        <v>102</v>
      </c>
      <c r="AZ30" s="137">
        <f t="shared" si="121"/>
        <v>102</v>
      </c>
      <c r="BA30" s="137">
        <f t="shared" ref="BA30:BJ30" si="122">-sum(10,13,60,4,15,0)</f>
        <v>-102</v>
      </c>
      <c r="BB30" s="137">
        <f t="shared" si="122"/>
        <v>-102</v>
      </c>
      <c r="BC30" s="137">
        <f t="shared" si="122"/>
        <v>-102</v>
      </c>
      <c r="BD30" s="137">
        <f t="shared" si="122"/>
        <v>-102</v>
      </c>
      <c r="BE30" s="137">
        <f t="shared" si="122"/>
        <v>-102</v>
      </c>
      <c r="BF30" s="137">
        <f t="shared" si="122"/>
        <v>-102</v>
      </c>
      <c r="BG30" s="137">
        <f t="shared" si="122"/>
        <v>-102</v>
      </c>
      <c r="BH30" s="137">
        <f t="shared" si="122"/>
        <v>-102</v>
      </c>
      <c r="BI30" s="137">
        <f t="shared" si="122"/>
        <v>-102</v>
      </c>
      <c r="BJ30" s="137">
        <f t="shared" si="122"/>
        <v>-102</v>
      </c>
      <c r="BK30" s="175"/>
      <c r="BL30" s="137">
        <f t="shared" ref="BL30:BW30" si="123">sum(10,13,60,4,15,0)</f>
        <v>102</v>
      </c>
      <c r="BM30" s="137">
        <f t="shared" si="123"/>
        <v>102</v>
      </c>
      <c r="BN30" s="137">
        <f t="shared" si="123"/>
        <v>102</v>
      </c>
      <c r="BO30" s="137">
        <f t="shared" si="123"/>
        <v>102</v>
      </c>
      <c r="BP30" s="137">
        <f t="shared" si="123"/>
        <v>102</v>
      </c>
      <c r="BQ30" s="137">
        <f t="shared" si="123"/>
        <v>102</v>
      </c>
      <c r="BR30" s="137">
        <f t="shared" si="123"/>
        <v>102</v>
      </c>
      <c r="BS30" s="137">
        <f t="shared" si="123"/>
        <v>102</v>
      </c>
      <c r="BT30" s="137">
        <f t="shared" si="123"/>
        <v>102</v>
      </c>
      <c r="BU30" s="137">
        <f t="shared" si="123"/>
        <v>102</v>
      </c>
      <c r="BV30" s="137">
        <f t="shared" si="123"/>
        <v>102</v>
      </c>
      <c r="BW30" s="137">
        <f t="shared" si="123"/>
        <v>102</v>
      </c>
      <c r="BX30" s="146">
        <f t="shared" si="111"/>
        <v>1224</v>
      </c>
      <c r="BY30" s="137">
        <f t="shared" ref="BY30:CJ30" si="124">sum(10,13,60,4,15,0)</f>
        <v>102</v>
      </c>
      <c r="BZ30" s="137">
        <f t="shared" si="124"/>
        <v>102</v>
      </c>
      <c r="CA30" s="137">
        <f t="shared" si="124"/>
        <v>102</v>
      </c>
      <c r="CB30" s="137">
        <f t="shared" si="124"/>
        <v>102</v>
      </c>
      <c r="CC30" s="137">
        <f t="shared" si="124"/>
        <v>102</v>
      </c>
      <c r="CD30" s="137">
        <f t="shared" si="124"/>
        <v>102</v>
      </c>
      <c r="CE30" s="137">
        <f t="shared" si="124"/>
        <v>102</v>
      </c>
      <c r="CF30" s="137">
        <f t="shared" si="124"/>
        <v>102</v>
      </c>
      <c r="CG30" s="137">
        <f t="shared" si="124"/>
        <v>102</v>
      </c>
      <c r="CH30" s="137">
        <f t="shared" si="124"/>
        <v>102</v>
      </c>
      <c r="CI30" s="137">
        <f t="shared" si="124"/>
        <v>102</v>
      </c>
      <c r="CJ30" s="137">
        <f t="shared" si="124"/>
        <v>102</v>
      </c>
      <c r="CK30" s="146">
        <f t="shared" si="113"/>
        <v>1224</v>
      </c>
      <c r="CL30" s="137">
        <f t="shared" ref="CL30:CW30" si="125">sum(10,13,60,4,15,0)</f>
        <v>102</v>
      </c>
      <c r="CM30" s="137">
        <f t="shared" si="125"/>
        <v>102</v>
      </c>
      <c r="CN30" s="137">
        <f t="shared" si="125"/>
        <v>102</v>
      </c>
      <c r="CO30" s="137">
        <f t="shared" si="125"/>
        <v>102</v>
      </c>
      <c r="CP30" s="137">
        <f t="shared" si="125"/>
        <v>102</v>
      </c>
      <c r="CQ30" s="137">
        <f t="shared" si="125"/>
        <v>102</v>
      </c>
      <c r="CR30" s="137">
        <f t="shared" si="125"/>
        <v>102</v>
      </c>
      <c r="CS30" s="137">
        <f t="shared" si="125"/>
        <v>102</v>
      </c>
      <c r="CT30" s="137">
        <f t="shared" si="125"/>
        <v>102</v>
      </c>
      <c r="CU30" s="137">
        <f t="shared" si="125"/>
        <v>102</v>
      </c>
      <c r="CV30" s="137">
        <f t="shared" si="125"/>
        <v>102</v>
      </c>
      <c r="CW30" s="137">
        <f t="shared" si="125"/>
        <v>102</v>
      </c>
      <c r="CX30" s="146">
        <f t="shared" si="115"/>
        <v>1224</v>
      </c>
      <c r="CY30" s="137">
        <f t="shared" ref="CY30:CZ30" si="126">sum(10,13,60,4,15,0)</f>
        <v>102</v>
      </c>
      <c r="CZ30" s="137">
        <f t="shared" si="126"/>
        <v>102</v>
      </c>
    </row>
    <row r="31">
      <c r="A31" s="199"/>
      <c r="B31" s="144" t="s">
        <v>225</v>
      </c>
      <c r="C31" s="137">
        <v>0.0</v>
      </c>
      <c r="D31" s="137">
        <v>0.0</v>
      </c>
      <c r="E31" s="137">
        <v>500.0</v>
      </c>
      <c r="F31" s="137">
        <v>500.0</v>
      </c>
      <c r="G31" s="137">
        <v>0.0</v>
      </c>
      <c r="H31" s="175">
        <v>0.0</v>
      </c>
      <c r="I31" s="137">
        <v>0.0</v>
      </c>
      <c r="J31" s="194">
        <v>500.0</v>
      </c>
      <c r="K31" s="194">
        <v>450.0</v>
      </c>
      <c r="L31" s="194">
        <v>300.0</v>
      </c>
      <c r="M31" s="194">
        <v>200.0</v>
      </c>
      <c r="N31" s="194">
        <v>100.0</v>
      </c>
      <c r="O31" s="137">
        <v>0.0</v>
      </c>
      <c r="P31" s="194">
        <f>250+179</f>
        <v>429</v>
      </c>
      <c r="Q31" s="200">
        <v>0.0</v>
      </c>
      <c r="R31" s="189">
        <f>260*2</f>
        <v>520</v>
      </c>
      <c r="S31" s="189">
        <v>0.0</v>
      </c>
      <c r="T31" s="189">
        <f>sum(500/2,185,25,84,257)</f>
        <v>801</v>
      </c>
      <c r="U31" s="189">
        <f>sum(270,250)</f>
        <v>520</v>
      </c>
      <c r="V31" s="193">
        <f>sum(300,600,240)</f>
        <v>1140</v>
      </c>
      <c r="W31" s="194">
        <f>375+74</f>
        <v>449</v>
      </c>
      <c r="X31" s="193">
        <v>0.0</v>
      </c>
      <c r="Y31" s="137">
        <v>0.0</v>
      </c>
      <c r="Z31" s="201">
        <f>sum(548.5,400,55.1,92.1,169.66,100)</f>
        <v>1365.36</v>
      </c>
      <c r="AA31" s="201">
        <f>'Travel Expenses - Tulum'!C32-Z31</f>
        <v>2256.425</v>
      </c>
      <c r="AB31" s="137">
        <v>90.0</v>
      </c>
      <c r="AC31" s="201">
        <v>1200.0</v>
      </c>
      <c r="AD31" s="137">
        <v>0.0</v>
      </c>
      <c r="AE31" s="202">
        <v>500.0</v>
      </c>
      <c r="AF31" s="137">
        <v>0.0</v>
      </c>
      <c r="AG31" s="137">
        <v>0.0</v>
      </c>
      <c r="AH31" s="175">
        <v>0.0</v>
      </c>
      <c r="AI31" s="137">
        <v>0.0</v>
      </c>
      <c r="AJ31" s="137">
        <v>0.0</v>
      </c>
      <c r="AK31" s="137">
        <v>0.0</v>
      </c>
      <c r="AL31" s="137">
        <f>1500+600</f>
        <v>2100</v>
      </c>
      <c r="AM31" s="137">
        <v>0.0</v>
      </c>
      <c r="AN31" s="137">
        <v>0.0</v>
      </c>
      <c r="AO31" s="137">
        <v>0.0</v>
      </c>
      <c r="AP31" s="137">
        <v>0.0</v>
      </c>
      <c r="AQ31" s="137">
        <v>0.0</v>
      </c>
      <c r="AR31" s="137">
        <v>0.0</v>
      </c>
      <c r="AS31" s="137">
        <v>0.0</v>
      </c>
      <c r="AT31" s="137">
        <v>0.0</v>
      </c>
      <c r="AU31" s="137">
        <v>0.0</v>
      </c>
      <c r="AV31" s="137">
        <v>0.0</v>
      </c>
      <c r="AW31" s="137">
        <v>0.0</v>
      </c>
      <c r="AX31" s="137">
        <v>0.0</v>
      </c>
      <c r="AY31" s="137">
        <v>0.0</v>
      </c>
      <c r="AZ31" s="137">
        <f>sum(650,375,300)</f>
        <v>1325</v>
      </c>
      <c r="BA31" s="137">
        <v>0.0</v>
      </c>
      <c r="BB31" s="137">
        <v>0.0</v>
      </c>
      <c r="BC31" s="203">
        <f>-1700</f>
        <v>-1700</v>
      </c>
      <c r="BD31" s="203">
        <f>-sum(3000,4396)</f>
        <v>-7396</v>
      </c>
      <c r="BE31" s="137">
        <v>0.0</v>
      </c>
      <c r="BF31" s="194">
        <v>300.0</v>
      </c>
      <c r="BG31" s="137">
        <v>0.0</v>
      </c>
      <c r="BH31" s="137">
        <v>0.0</v>
      </c>
      <c r="BI31" s="137">
        <v>0.0</v>
      </c>
      <c r="BJ31" s="194">
        <v>-1000.0</v>
      </c>
      <c r="BK31" s="175"/>
      <c r="BL31" s="192">
        <v>20000.0</v>
      </c>
      <c r="BM31" s="137">
        <v>0.0</v>
      </c>
      <c r="BN31" s="137">
        <f>sum(3000,1200)</f>
        <v>4200</v>
      </c>
      <c r="BO31" s="137">
        <v>0.0</v>
      </c>
      <c r="BP31" s="137">
        <v>0.0</v>
      </c>
      <c r="BQ31" s="192">
        <f>sum(4000,600)</f>
        <v>4600</v>
      </c>
      <c r="BR31" s="137">
        <v>0.0</v>
      </c>
      <c r="BS31" s="137">
        <f>sum(2000,6200,2500)</f>
        <v>10700</v>
      </c>
      <c r="BT31" s="137">
        <f>sum(1000)</f>
        <v>1000</v>
      </c>
      <c r="BU31" s="137">
        <v>0.0</v>
      </c>
      <c r="BV31" s="137">
        <v>0.0</v>
      </c>
      <c r="BW31" s="194">
        <v>2000.0</v>
      </c>
      <c r="BX31" s="146">
        <f t="shared" si="111"/>
        <v>42500</v>
      </c>
      <c r="BY31" s="192">
        <v>5000.0</v>
      </c>
      <c r="BZ31" s="137">
        <v>0.0</v>
      </c>
      <c r="CA31" s="137">
        <v>0.0</v>
      </c>
      <c r="CB31" s="137">
        <v>0.0</v>
      </c>
      <c r="CC31" s="137">
        <v>0.0</v>
      </c>
      <c r="CD31" s="192">
        <v>5000.0</v>
      </c>
      <c r="CE31" s="137">
        <v>0.0</v>
      </c>
      <c r="CF31" s="137">
        <v>0.0</v>
      </c>
      <c r="CG31" s="137">
        <v>0.0</v>
      </c>
      <c r="CH31" s="137">
        <v>0.0</v>
      </c>
      <c r="CI31" s="137">
        <v>0.0</v>
      </c>
      <c r="CJ31" s="137">
        <v>0.0</v>
      </c>
      <c r="CK31" s="146">
        <f t="shared" si="113"/>
        <v>10000</v>
      </c>
      <c r="CL31" s="192">
        <v>5000.0</v>
      </c>
      <c r="CM31" s="137">
        <v>0.0</v>
      </c>
      <c r="CN31" s="137">
        <v>0.0</v>
      </c>
      <c r="CO31" s="137">
        <v>0.0</v>
      </c>
      <c r="CP31" s="137">
        <v>0.0</v>
      </c>
      <c r="CQ31" s="192">
        <v>5000.0</v>
      </c>
      <c r="CR31" s="137">
        <v>0.0</v>
      </c>
      <c r="CS31" s="137">
        <v>0.0</v>
      </c>
      <c r="CT31" s="137">
        <v>0.0</v>
      </c>
      <c r="CU31" s="137">
        <v>0.0</v>
      </c>
      <c r="CV31" s="137">
        <v>0.0</v>
      </c>
      <c r="CW31" s="137">
        <v>0.0</v>
      </c>
      <c r="CX31" s="146">
        <f t="shared" si="115"/>
        <v>10000</v>
      </c>
      <c r="CY31" s="137">
        <v>0.0</v>
      </c>
      <c r="CZ31" s="137">
        <v>0.0</v>
      </c>
    </row>
    <row r="32">
      <c r="A32" s="188" t="s">
        <v>209</v>
      </c>
      <c r="B32" s="144" t="s">
        <v>226</v>
      </c>
      <c r="C32" s="137"/>
      <c r="D32" s="137"/>
      <c r="E32" s="137"/>
      <c r="F32" s="137"/>
      <c r="G32" s="137"/>
      <c r="H32" s="137"/>
      <c r="I32" s="137">
        <v>600.0</v>
      </c>
      <c r="J32" s="137">
        <v>0.0</v>
      </c>
      <c r="K32" s="137">
        <v>0.0</v>
      </c>
      <c r="L32" s="137">
        <v>0.0</v>
      </c>
      <c r="M32" s="137">
        <v>0.0</v>
      </c>
      <c r="N32" s="137">
        <v>0.0</v>
      </c>
      <c r="O32" s="137">
        <v>0.0</v>
      </c>
      <c r="P32" s="137">
        <f>43+83</f>
        <v>126</v>
      </c>
      <c r="Q32" s="137">
        <f>90+266+80</f>
        <v>436</v>
      </c>
      <c r="R32" s="137">
        <v>0.0</v>
      </c>
      <c r="S32" s="137">
        <v>0.0</v>
      </c>
      <c r="T32" s="137">
        <v>0.0</v>
      </c>
      <c r="U32" s="137">
        <v>0.0</v>
      </c>
      <c r="V32" s="137">
        <v>0.0</v>
      </c>
      <c r="W32" s="137">
        <v>0.0</v>
      </c>
      <c r="X32" s="137">
        <v>1000.0</v>
      </c>
      <c r="Y32" s="137">
        <v>0.0</v>
      </c>
      <c r="Z32" s="137">
        <f>sum(250,100,250)</f>
        <v>600</v>
      </c>
      <c r="AA32" s="137">
        <v>0.0</v>
      </c>
      <c r="AB32" s="137">
        <v>0.0</v>
      </c>
      <c r="AC32" s="137">
        <v>0.0</v>
      </c>
      <c r="AD32" s="137">
        <v>0.0</v>
      </c>
      <c r="AE32" s="137">
        <v>0.0</v>
      </c>
      <c r="AF32" s="137">
        <v>0.0</v>
      </c>
      <c r="AG32" s="137">
        <v>0.0</v>
      </c>
      <c r="AH32" s="175">
        <v>2000.0</v>
      </c>
      <c r="AI32" s="137">
        <v>0.0</v>
      </c>
      <c r="AJ32" s="137">
        <v>0.0</v>
      </c>
      <c r="AK32" s="137">
        <v>0.0</v>
      </c>
      <c r="AL32" s="137">
        <v>25.0</v>
      </c>
      <c r="AM32" s="137">
        <v>0.0</v>
      </c>
      <c r="AN32" s="137">
        <v>0.0</v>
      </c>
      <c r="AO32" s="137">
        <v>0.0</v>
      </c>
      <c r="AP32" s="137">
        <v>0.0</v>
      </c>
      <c r="AQ32" s="137">
        <v>0.0</v>
      </c>
      <c r="AR32" s="137">
        <v>0.0</v>
      </c>
      <c r="AS32" s="137">
        <v>0.0</v>
      </c>
      <c r="AT32" s="137">
        <v>0.0</v>
      </c>
      <c r="AU32" s="137">
        <v>0.0</v>
      </c>
      <c r="AV32" s="137">
        <v>0.0</v>
      </c>
      <c r="AW32" s="137">
        <v>50.0</v>
      </c>
      <c r="AX32" s="137">
        <v>50.0</v>
      </c>
      <c r="AY32" s="137">
        <v>50.0</v>
      </c>
      <c r="AZ32" s="137">
        <v>50.0</v>
      </c>
      <c r="BA32" s="137">
        <v>-50.0</v>
      </c>
      <c r="BB32" s="137">
        <v>-50.0</v>
      </c>
      <c r="BC32" s="137">
        <v>-50.0</v>
      </c>
      <c r="BD32" s="110">
        <v>0.0</v>
      </c>
      <c r="BE32" s="137">
        <v>0.0</v>
      </c>
      <c r="BF32" s="137">
        <v>-50.0</v>
      </c>
      <c r="BG32" s="137">
        <f>sum(-50,-500)</f>
        <v>-550</v>
      </c>
      <c r="BH32" s="137">
        <v>-50.0</v>
      </c>
      <c r="BI32" s="137">
        <v>-50.0</v>
      </c>
      <c r="BJ32" s="137">
        <v>-50.0</v>
      </c>
      <c r="BK32" s="175"/>
      <c r="BL32" s="137">
        <v>500.0</v>
      </c>
      <c r="BM32" s="204">
        <v>0.0</v>
      </c>
      <c r="BN32" s="137">
        <v>1000.0</v>
      </c>
      <c r="BO32" s="137">
        <v>500.0</v>
      </c>
      <c r="BP32" s="137">
        <v>500.0</v>
      </c>
      <c r="BQ32" s="137">
        <v>500.0</v>
      </c>
      <c r="BR32" s="137">
        <v>1000.0</v>
      </c>
      <c r="BS32" s="137">
        <f>sum(2500,2000,1000)</f>
        <v>5500</v>
      </c>
      <c r="BT32" s="137">
        <f>1200</f>
        <v>1200</v>
      </c>
      <c r="BU32" s="137">
        <v>100.0</v>
      </c>
      <c r="BV32" s="137">
        <v>100.0</v>
      </c>
      <c r="BW32" s="137">
        <v>100.0</v>
      </c>
      <c r="BX32" s="146">
        <f t="shared" si="111"/>
        <v>11000</v>
      </c>
      <c r="BY32" s="137">
        <v>250.0</v>
      </c>
      <c r="BZ32" s="137">
        <v>250.0</v>
      </c>
      <c r="CA32" s="137">
        <v>250.0</v>
      </c>
      <c r="CB32" s="137">
        <v>250.0</v>
      </c>
      <c r="CC32" s="137">
        <v>250.0</v>
      </c>
      <c r="CD32" s="137">
        <v>250.0</v>
      </c>
      <c r="CE32" s="137">
        <v>250.0</v>
      </c>
      <c r="CF32" s="137">
        <v>250.0</v>
      </c>
      <c r="CG32" s="137">
        <v>250.0</v>
      </c>
      <c r="CH32" s="137">
        <v>250.0</v>
      </c>
      <c r="CI32" s="137">
        <v>250.0</v>
      </c>
      <c r="CJ32" s="137">
        <v>250.0</v>
      </c>
      <c r="CK32" s="146">
        <f t="shared" si="113"/>
        <v>3000</v>
      </c>
      <c r="CL32" s="137">
        <v>250.0</v>
      </c>
      <c r="CM32" s="137">
        <v>250.0</v>
      </c>
      <c r="CN32" s="137">
        <v>250.0</v>
      </c>
      <c r="CO32" s="137">
        <v>250.0</v>
      </c>
      <c r="CP32" s="137">
        <v>250.0</v>
      </c>
      <c r="CQ32" s="137">
        <v>250.0</v>
      </c>
      <c r="CR32" s="137">
        <v>250.0</v>
      </c>
      <c r="CS32" s="137">
        <v>250.0</v>
      </c>
      <c r="CT32" s="137">
        <v>250.0</v>
      </c>
      <c r="CU32" s="137">
        <v>250.0</v>
      </c>
      <c r="CV32" s="137">
        <v>250.0</v>
      </c>
      <c r="CW32" s="137">
        <v>250.0</v>
      </c>
      <c r="CX32" s="146">
        <f t="shared" si="115"/>
        <v>3000</v>
      </c>
      <c r="CY32" s="137">
        <v>250.0</v>
      </c>
      <c r="CZ32" s="137">
        <v>250.0</v>
      </c>
    </row>
    <row r="33" ht="15.75" customHeight="1">
      <c r="A33" s="149"/>
      <c r="B33" s="144" t="s">
        <v>227</v>
      </c>
      <c r="C33" s="137"/>
      <c r="D33" s="137"/>
      <c r="E33" s="137"/>
      <c r="F33" s="137"/>
      <c r="G33" s="137"/>
      <c r="H33" s="137"/>
      <c r="I33" s="137">
        <v>10.0</v>
      </c>
      <c r="J33" s="137">
        <v>0.0</v>
      </c>
      <c r="K33" s="137">
        <f>12*2</f>
        <v>24</v>
      </c>
      <c r="L33" s="137">
        <v>0.0</v>
      </c>
      <c r="M33" s="137">
        <v>0.0</v>
      </c>
      <c r="N33" s="137">
        <f t="shared" ref="N33:O33" si="127">12*1</f>
        <v>12</v>
      </c>
      <c r="O33" s="137">
        <f t="shared" si="127"/>
        <v>12</v>
      </c>
      <c r="P33" s="137">
        <f>13</f>
        <v>13</v>
      </c>
      <c r="Q33" s="137">
        <v>0.0</v>
      </c>
      <c r="R33" s="137">
        <f t="shared" ref="R33:AJ33" si="128">12*1</f>
        <v>12</v>
      </c>
      <c r="S33" s="137">
        <f t="shared" si="128"/>
        <v>12</v>
      </c>
      <c r="T33" s="137">
        <f t="shared" si="128"/>
        <v>12</v>
      </c>
      <c r="U33" s="137">
        <f t="shared" si="128"/>
        <v>12</v>
      </c>
      <c r="V33" s="137">
        <f t="shared" si="128"/>
        <v>12</v>
      </c>
      <c r="W33" s="137">
        <f t="shared" si="128"/>
        <v>12</v>
      </c>
      <c r="X33" s="137">
        <f t="shared" si="128"/>
        <v>12</v>
      </c>
      <c r="Y33" s="137">
        <f t="shared" si="128"/>
        <v>12</v>
      </c>
      <c r="Z33" s="137">
        <f t="shared" si="128"/>
        <v>12</v>
      </c>
      <c r="AA33" s="137">
        <f t="shared" si="128"/>
        <v>12</v>
      </c>
      <c r="AB33" s="137">
        <f t="shared" si="128"/>
        <v>12</v>
      </c>
      <c r="AC33" s="137">
        <f t="shared" si="128"/>
        <v>12</v>
      </c>
      <c r="AD33" s="137">
        <f t="shared" si="128"/>
        <v>12</v>
      </c>
      <c r="AE33" s="137">
        <f t="shared" si="128"/>
        <v>12</v>
      </c>
      <c r="AF33" s="137">
        <f t="shared" si="128"/>
        <v>12</v>
      </c>
      <c r="AG33" s="137">
        <f t="shared" si="128"/>
        <v>12</v>
      </c>
      <c r="AH33" s="175">
        <f t="shared" si="128"/>
        <v>12</v>
      </c>
      <c r="AI33" s="137">
        <f t="shared" si="128"/>
        <v>12</v>
      </c>
      <c r="AJ33" s="137">
        <f t="shared" si="128"/>
        <v>12</v>
      </c>
      <c r="AK33" s="137">
        <v>0.0</v>
      </c>
      <c r="AL33" s="137">
        <v>0.0</v>
      </c>
      <c r="AM33" s="137">
        <f t="shared" ref="AM33:AR33" si="129">12*1</f>
        <v>12</v>
      </c>
      <c r="AN33" s="137">
        <f t="shared" si="129"/>
        <v>12</v>
      </c>
      <c r="AO33" s="137">
        <f t="shared" si="129"/>
        <v>12</v>
      </c>
      <c r="AP33" s="137">
        <f t="shared" si="129"/>
        <v>12</v>
      </c>
      <c r="AQ33" s="137">
        <f t="shared" si="129"/>
        <v>12</v>
      </c>
      <c r="AR33" s="137">
        <f t="shared" si="129"/>
        <v>12</v>
      </c>
      <c r="AS33" s="137">
        <v>50.0</v>
      </c>
      <c r="AT33" s="137">
        <f t="shared" ref="AT33:AZ33" si="130">12*1</f>
        <v>12</v>
      </c>
      <c r="AU33" s="137">
        <f t="shared" si="130"/>
        <v>12</v>
      </c>
      <c r="AV33" s="137">
        <f t="shared" si="130"/>
        <v>12</v>
      </c>
      <c r="AW33" s="137">
        <f t="shared" si="130"/>
        <v>12</v>
      </c>
      <c r="AX33" s="137">
        <f t="shared" si="130"/>
        <v>12</v>
      </c>
      <c r="AY33" s="137">
        <f t="shared" si="130"/>
        <v>12</v>
      </c>
      <c r="AZ33" s="137">
        <f t="shared" si="130"/>
        <v>12</v>
      </c>
      <c r="BA33" s="137">
        <f t="shared" ref="BA33:BJ33" si="131">-20*1</f>
        <v>-20</v>
      </c>
      <c r="BB33" s="137">
        <f t="shared" si="131"/>
        <v>-20</v>
      </c>
      <c r="BC33" s="137">
        <f t="shared" si="131"/>
        <v>-20</v>
      </c>
      <c r="BD33" s="137">
        <f t="shared" si="131"/>
        <v>-20</v>
      </c>
      <c r="BE33" s="137">
        <f t="shared" si="131"/>
        <v>-20</v>
      </c>
      <c r="BF33" s="137">
        <f t="shared" si="131"/>
        <v>-20</v>
      </c>
      <c r="BG33" s="137">
        <f t="shared" si="131"/>
        <v>-20</v>
      </c>
      <c r="BH33" s="137">
        <f t="shared" si="131"/>
        <v>-20</v>
      </c>
      <c r="BI33" s="137">
        <f t="shared" si="131"/>
        <v>-20</v>
      </c>
      <c r="BJ33" s="137">
        <f t="shared" si="131"/>
        <v>-20</v>
      </c>
      <c r="BK33" s="175"/>
      <c r="BL33" s="137">
        <v>20.0</v>
      </c>
      <c r="BM33" s="137">
        <v>20.0</v>
      </c>
      <c r="BN33" s="137">
        <v>20.0</v>
      </c>
      <c r="BO33" s="137">
        <v>20.0</v>
      </c>
      <c r="BP33" s="137">
        <v>20.0</v>
      </c>
      <c r="BQ33" s="137">
        <v>20.0</v>
      </c>
      <c r="BR33" s="137">
        <v>20.0</v>
      </c>
      <c r="BS33" s="137">
        <v>20.0</v>
      </c>
      <c r="BT33" s="137">
        <v>20.0</v>
      </c>
      <c r="BU33" s="137">
        <v>20.0</v>
      </c>
      <c r="BV33" s="137">
        <v>20.0</v>
      </c>
      <c r="BW33" s="137">
        <v>20.0</v>
      </c>
      <c r="BX33" s="146">
        <f t="shared" si="111"/>
        <v>240</v>
      </c>
      <c r="BY33" s="137">
        <v>20.0</v>
      </c>
      <c r="BZ33" s="137">
        <v>20.0</v>
      </c>
      <c r="CA33" s="137">
        <v>20.0</v>
      </c>
      <c r="CB33" s="137">
        <v>20.0</v>
      </c>
      <c r="CC33" s="137">
        <v>20.0</v>
      </c>
      <c r="CD33" s="137">
        <v>20.0</v>
      </c>
      <c r="CE33" s="137">
        <v>20.0</v>
      </c>
      <c r="CF33" s="137">
        <v>20.0</v>
      </c>
      <c r="CG33" s="137">
        <v>20.0</v>
      </c>
      <c r="CH33" s="137">
        <v>20.0</v>
      </c>
      <c r="CI33" s="137">
        <v>20.0</v>
      </c>
      <c r="CJ33" s="137">
        <v>20.0</v>
      </c>
      <c r="CK33" s="146">
        <f t="shared" si="113"/>
        <v>240</v>
      </c>
      <c r="CL33" s="137">
        <v>20.0</v>
      </c>
      <c r="CM33" s="137">
        <v>20.0</v>
      </c>
      <c r="CN33" s="137">
        <v>20.0</v>
      </c>
      <c r="CO33" s="137">
        <v>20.0</v>
      </c>
      <c r="CP33" s="137">
        <v>20.0</v>
      </c>
      <c r="CQ33" s="137">
        <v>20.0</v>
      </c>
      <c r="CR33" s="137">
        <v>20.0</v>
      </c>
      <c r="CS33" s="137">
        <v>20.0</v>
      </c>
      <c r="CT33" s="137">
        <v>20.0</v>
      </c>
      <c r="CU33" s="137">
        <v>20.0</v>
      </c>
      <c r="CV33" s="137">
        <v>20.0</v>
      </c>
      <c r="CW33" s="137">
        <v>20.0</v>
      </c>
      <c r="CX33" s="146">
        <f t="shared" si="115"/>
        <v>240</v>
      </c>
      <c r="CY33" s="137">
        <v>20.0</v>
      </c>
      <c r="CZ33" s="137">
        <v>20.0</v>
      </c>
    </row>
    <row r="34">
      <c r="A34" s="149"/>
      <c r="B34" s="144" t="s">
        <v>29</v>
      </c>
      <c r="C34" s="137"/>
      <c r="D34" s="137"/>
      <c r="E34" s="137"/>
      <c r="F34" s="137"/>
      <c r="G34" s="137"/>
      <c r="H34" s="137"/>
      <c r="I34" s="137">
        <v>100.0</v>
      </c>
      <c r="J34" s="137">
        <v>60.0</v>
      </c>
      <c r="K34" s="137">
        <v>250.0</v>
      </c>
      <c r="L34" s="137">
        <v>0.0</v>
      </c>
      <c r="M34" s="137">
        <v>50.0</v>
      </c>
      <c r="N34" s="137">
        <v>0.0</v>
      </c>
      <c r="O34" s="137">
        <v>100.0</v>
      </c>
      <c r="P34" s="137">
        <v>0.0</v>
      </c>
      <c r="Q34" s="137">
        <v>0.0</v>
      </c>
      <c r="R34" s="137">
        <v>0.0</v>
      </c>
      <c r="S34" s="137">
        <v>0.0</v>
      </c>
      <c r="T34" s="137">
        <v>300.0</v>
      </c>
      <c r="U34" s="137">
        <v>100.0</v>
      </c>
      <c r="V34" s="137">
        <v>100.0</v>
      </c>
      <c r="W34" s="137">
        <v>100.0</v>
      </c>
      <c r="X34" s="137">
        <v>100.0</v>
      </c>
      <c r="Y34" s="137">
        <v>100.0</v>
      </c>
      <c r="Z34" s="137">
        <v>100.0</v>
      </c>
      <c r="AA34" s="137">
        <v>100.0</v>
      </c>
      <c r="AB34" s="137">
        <v>100.0</v>
      </c>
      <c r="AC34" s="137">
        <v>100.0</v>
      </c>
      <c r="AD34" s="137">
        <v>100.0</v>
      </c>
      <c r="AE34" s="137">
        <v>100.0</v>
      </c>
      <c r="AF34" s="137">
        <v>100.0</v>
      </c>
      <c r="AG34" s="137">
        <v>100.0</v>
      </c>
      <c r="AH34" s="175">
        <v>100.0</v>
      </c>
      <c r="AI34" s="137">
        <v>100.0</v>
      </c>
      <c r="AJ34" s="137">
        <v>100.0</v>
      </c>
      <c r="AK34" s="137">
        <v>100.0</v>
      </c>
      <c r="AL34" s="137">
        <v>300.0</v>
      </c>
      <c r="AM34" s="137">
        <v>300.0</v>
      </c>
      <c r="AN34" s="137">
        <v>300.0</v>
      </c>
      <c r="AO34" s="137">
        <v>300.0</v>
      </c>
      <c r="AP34" s="137">
        <v>300.0</v>
      </c>
      <c r="AQ34" s="137">
        <v>300.0</v>
      </c>
      <c r="AR34" s="137">
        <v>300.0</v>
      </c>
      <c r="AS34" s="137">
        <v>300.0</v>
      </c>
      <c r="AT34" s="137">
        <v>300.0</v>
      </c>
      <c r="AU34" s="137">
        <v>300.0</v>
      </c>
      <c r="AV34" s="137">
        <v>300.0</v>
      </c>
      <c r="AW34" s="137">
        <v>300.0</v>
      </c>
      <c r="AX34" s="137">
        <v>300.0</v>
      </c>
      <c r="AY34" s="137">
        <v>300.0</v>
      </c>
      <c r="AZ34" s="137">
        <v>300.0</v>
      </c>
      <c r="BA34" s="137">
        <v>-500.0</v>
      </c>
      <c r="BB34" s="137">
        <v>-500.0</v>
      </c>
      <c r="BC34" s="137">
        <v>-500.0</v>
      </c>
      <c r="BD34" s="137">
        <v>-500.0</v>
      </c>
      <c r="BE34" s="137">
        <v>-500.0</v>
      </c>
      <c r="BF34" s="137">
        <v>-200.0</v>
      </c>
      <c r="BG34" s="137">
        <v>-500.0</v>
      </c>
      <c r="BH34" s="137">
        <v>-500.0</v>
      </c>
      <c r="BI34" s="137">
        <v>-500.0</v>
      </c>
      <c r="BJ34" s="137">
        <v>-500.0</v>
      </c>
      <c r="BK34" s="175"/>
      <c r="BL34" s="137">
        <v>750.0</v>
      </c>
      <c r="BM34" s="137">
        <v>500.0</v>
      </c>
      <c r="BN34" s="137">
        <v>1000.0</v>
      </c>
      <c r="BO34" s="137">
        <v>700.0</v>
      </c>
      <c r="BP34" s="137">
        <v>2000.0</v>
      </c>
      <c r="BQ34" s="137">
        <v>500.0</v>
      </c>
      <c r="BR34" s="137">
        <v>500.0</v>
      </c>
      <c r="BS34" s="137">
        <v>3000.0</v>
      </c>
      <c r="BT34" s="137">
        <v>500.0</v>
      </c>
      <c r="BU34" s="137">
        <v>100.0</v>
      </c>
      <c r="BV34" s="137">
        <v>100.0</v>
      </c>
      <c r="BW34" s="137">
        <v>500.0</v>
      </c>
      <c r="BX34" s="146">
        <f t="shared" si="111"/>
        <v>10150</v>
      </c>
      <c r="BY34" s="137">
        <v>500.0</v>
      </c>
      <c r="BZ34" s="137">
        <v>500.0</v>
      </c>
      <c r="CA34" s="205">
        <v>5000.0</v>
      </c>
      <c r="CB34" s="137">
        <v>500.0</v>
      </c>
      <c r="CC34" s="137">
        <v>500.0</v>
      </c>
      <c r="CD34" s="137">
        <v>500.0</v>
      </c>
      <c r="CE34" s="137">
        <v>500.0</v>
      </c>
      <c r="CF34" s="137">
        <v>500.0</v>
      </c>
      <c r="CG34" s="137">
        <v>500.0</v>
      </c>
      <c r="CH34" s="137">
        <v>500.0</v>
      </c>
      <c r="CI34" s="137">
        <v>500.0</v>
      </c>
      <c r="CJ34" s="137">
        <v>500.0</v>
      </c>
      <c r="CK34" s="146">
        <f t="shared" si="113"/>
        <v>10500</v>
      </c>
      <c r="CL34" s="137">
        <v>500.0</v>
      </c>
      <c r="CM34" s="137">
        <v>500.0</v>
      </c>
      <c r="CN34" s="137">
        <v>500.0</v>
      </c>
      <c r="CO34" s="137">
        <v>500.0</v>
      </c>
      <c r="CP34" s="137">
        <v>500.0</v>
      </c>
      <c r="CQ34" s="137">
        <v>500.0</v>
      </c>
      <c r="CR34" s="137">
        <v>500.0</v>
      </c>
      <c r="CS34" s="137">
        <v>500.0</v>
      </c>
      <c r="CT34" s="137">
        <v>500.0</v>
      </c>
      <c r="CU34" s="137">
        <v>500.0</v>
      </c>
      <c r="CV34" s="137">
        <v>500.0</v>
      </c>
      <c r="CW34" s="137">
        <v>500.0</v>
      </c>
      <c r="CX34" s="146">
        <f t="shared" si="115"/>
        <v>6000</v>
      </c>
      <c r="CY34" s="137">
        <v>500.0</v>
      </c>
      <c r="CZ34" s="137">
        <v>500.0</v>
      </c>
    </row>
    <row r="35">
      <c r="A35" s="206" t="s">
        <v>228</v>
      </c>
      <c r="B35" s="144" t="s">
        <v>229</v>
      </c>
      <c r="C35" s="137">
        <v>0.0</v>
      </c>
      <c r="D35" s="137">
        <v>0.0</v>
      </c>
      <c r="E35" s="137">
        <v>0.0</v>
      </c>
      <c r="F35" s="137">
        <v>0.0</v>
      </c>
      <c r="G35" s="137">
        <v>0.0</v>
      </c>
      <c r="H35" s="175">
        <v>0.0</v>
      </c>
      <c r="I35" s="137">
        <v>25.0</v>
      </c>
      <c r="J35" s="137">
        <v>0.0</v>
      </c>
      <c r="K35" s="137">
        <v>0.0</v>
      </c>
      <c r="L35" s="137">
        <v>0.0</v>
      </c>
      <c r="M35" s="137">
        <v>0.0</v>
      </c>
      <c r="N35" s="137">
        <v>0.0</v>
      </c>
      <c r="O35" s="137">
        <v>0.0</v>
      </c>
      <c r="P35" s="137">
        <v>0.0</v>
      </c>
      <c r="Q35" s="137">
        <v>0.0</v>
      </c>
      <c r="R35" s="137">
        <v>0.0</v>
      </c>
      <c r="S35" s="137">
        <v>0.0</v>
      </c>
      <c r="T35" s="137">
        <v>0.0</v>
      </c>
      <c r="U35" s="137">
        <v>0.0</v>
      </c>
      <c r="V35" s="137">
        <v>0.0</v>
      </c>
      <c r="W35" s="137">
        <v>0.0</v>
      </c>
      <c r="X35" s="137">
        <v>0.0</v>
      </c>
      <c r="Y35" s="137">
        <v>0.0</v>
      </c>
      <c r="Z35" s="137">
        <v>0.0</v>
      </c>
      <c r="AA35" s="137">
        <v>0.0</v>
      </c>
      <c r="AB35" s="137">
        <v>0.0</v>
      </c>
      <c r="AC35" s="137">
        <v>0.0</v>
      </c>
      <c r="AD35" s="137">
        <v>0.0</v>
      </c>
      <c r="AE35" s="137">
        <v>0.0</v>
      </c>
      <c r="AF35" s="137">
        <v>0.0</v>
      </c>
      <c r="AG35" s="137">
        <v>0.0</v>
      </c>
      <c r="AH35" s="175">
        <v>0.0</v>
      </c>
      <c r="AI35" s="137">
        <v>0.0</v>
      </c>
      <c r="AJ35" s="137">
        <v>0.0</v>
      </c>
      <c r="AK35" s="137">
        <v>0.0</v>
      </c>
      <c r="AL35" s="137">
        <v>0.0</v>
      </c>
      <c r="AM35" s="137">
        <v>0.0</v>
      </c>
      <c r="AN35" s="137">
        <v>0.0</v>
      </c>
      <c r="AO35" s="137">
        <v>0.0</v>
      </c>
      <c r="AP35" s="137">
        <v>0.0</v>
      </c>
      <c r="AQ35" s="137">
        <v>0.0</v>
      </c>
      <c r="AR35" s="137">
        <v>0.0</v>
      </c>
      <c r="AS35" s="137">
        <v>0.0</v>
      </c>
      <c r="AT35" s="137">
        <v>0.0</v>
      </c>
      <c r="AU35" s="137">
        <v>0.0</v>
      </c>
      <c r="AV35" s="137">
        <v>0.0</v>
      </c>
      <c r="AW35" s="137">
        <v>0.0</v>
      </c>
      <c r="AX35" s="137">
        <v>0.0</v>
      </c>
      <c r="AY35" s="137">
        <v>0.0</v>
      </c>
      <c r="AZ35" s="137">
        <v>0.0</v>
      </c>
      <c r="BA35" s="137">
        <v>0.0</v>
      </c>
      <c r="BB35" s="137">
        <v>0.0</v>
      </c>
      <c r="BC35" s="137">
        <v>0.0</v>
      </c>
      <c r="BD35" s="137">
        <v>0.0</v>
      </c>
      <c r="BE35" s="137">
        <v>0.0</v>
      </c>
      <c r="BF35" s="137">
        <v>0.0</v>
      </c>
      <c r="BG35" s="137">
        <v>0.0</v>
      </c>
      <c r="BH35" s="137">
        <v>0.0</v>
      </c>
      <c r="BI35" s="137">
        <v>0.0</v>
      </c>
      <c r="BJ35" s="137">
        <v>0.0</v>
      </c>
      <c r="BK35" s="175"/>
      <c r="BL35" s="137">
        <v>0.0</v>
      </c>
      <c r="BM35" s="192">
        <v>0.0</v>
      </c>
      <c r="BN35" s="137">
        <v>1000.0</v>
      </c>
      <c r="BO35" s="137">
        <v>2000.0</v>
      </c>
      <c r="BP35" s="137">
        <v>0.0</v>
      </c>
      <c r="BQ35" s="137">
        <v>0.0</v>
      </c>
      <c r="BR35" s="137">
        <v>0.0</v>
      </c>
      <c r="BS35" s="137">
        <v>0.0</v>
      </c>
      <c r="BT35" s="137">
        <v>0.0</v>
      </c>
      <c r="BU35" s="137">
        <v>0.0</v>
      </c>
      <c r="BV35" s="137">
        <v>0.0</v>
      </c>
      <c r="BW35" s="137">
        <v>0.0</v>
      </c>
      <c r="BX35" s="146">
        <f t="shared" si="111"/>
        <v>3000</v>
      </c>
      <c r="BY35" s="137">
        <v>0.0</v>
      </c>
      <c r="BZ35" s="192">
        <v>0.0</v>
      </c>
      <c r="CA35" s="137">
        <v>200.0</v>
      </c>
      <c r="CB35" s="137">
        <v>200.0</v>
      </c>
      <c r="CC35" s="137">
        <v>200.0</v>
      </c>
      <c r="CD35" s="137">
        <v>200.0</v>
      </c>
      <c r="CE35" s="137">
        <v>200.0</v>
      </c>
      <c r="CF35" s="137">
        <v>200.0</v>
      </c>
      <c r="CG35" s="137">
        <v>200.0</v>
      </c>
      <c r="CH35" s="137">
        <v>200.0</v>
      </c>
      <c r="CI35" s="137">
        <v>0.0</v>
      </c>
      <c r="CJ35" s="137">
        <v>0.0</v>
      </c>
      <c r="CK35" s="146">
        <f t="shared" si="113"/>
        <v>1600</v>
      </c>
      <c r="CL35" s="137">
        <v>0.0</v>
      </c>
      <c r="CM35" s="192">
        <v>0.0</v>
      </c>
      <c r="CN35" s="137">
        <v>1000.0</v>
      </c>
      <c r="CO35" s="137">
        <v>2000.0</v>
      </c>
      <c r="CP35" s="137">
        <v>0.0</v>
      </c>
      <c r="CQ35" s="137">
        <v>0.0</v>
      </c>
      <c r="CR35" s="137">
        <v>0.0</v>
      </c>
      <c r="CS35" s="137">
        <v>0.0</v>
      </c>
      <c r="CT35" s="137">
        <v>0.0</v>
      </c>
      <c r="CU35" s="137">
        <v>0.0</v>
      </c>
      <c r="CV35" s="137">
        <v>0.0</v>
      </c>
      <c r="CW35" s="137">
        <v>0.0</v>
      </c>
      <c r="CX35" s="146">
        <f t="shared" si="115"/>
        <v>3000</v>
      </c>
      <c r="CY35" s="137">
        <v>0.0</v>
      </c>
      <c r="CZ35" s="137">
        <v>0.0</v>
      </c>
    </row>
    <row r="36">
      <c r="A36" s="199"/>
      <c r="B36" s="144" t="s">
        <v>30</v>
      </c>
      <c r="C36" s="137"/>
      <c r="D36" s="137"/>
      <c r="E36" s="137"/>
      <c r="F36" s="137"/>
      <c r="G36" s="137"/>
      <c r="H36" s="175"/>
      <c r="I36" s="137"/>
      <c r="J36" s="137">
        <v>0.0</v>
      </c>
      <c r="K36" s="137">
        <v>0.0</v>
      </c>
      <c r="L36" s="137">
        <v>0.0</v>
      </c>
      <c r="M36" s="137">
        <v>0.0</v>
      </c>
      <c r="N36" s="137">
        <v>0.0</v>
      </c>
      <c r="O36" s="137">
        <v>0.0</v>
      </c>
      <c r="P36" s="137">
        <v>0.0</v>
      </c>
      <c r="Q36" s="137">
        <v>0.0</v>
      </c>
      <c r="R36" s="137">
        <v>0.0</v>
      </c>
      <c r="S36" s="137">
        <v>0.0</v>
      </c>
      <c r="T36" s="137">
        <v>0.0</v>
      </c>
      <c r="U36" s="192">
        <v>0.0</v>
      </c>
      <c r="V36" s="194">
        <f>490</f>
        <v>490</v>
      </c>
      <c r="W36" s="137">
        <v>0.0</v>
      </c>
      <c r="X36" s="137">
        <v>0.0</v>
      </c>
      <c r="Y36" s="137">
        <v>0.0</v>
      </c>
      <c r="Z36" s="137">
        <v>0.0</v>
      </c>
      <c r="AA36" s="137">
        <v>0.0</v>
      </c>
      <c r="AB36" s="137">
        <v>0.0</v>
      </c>
      <c r="AC36" s="137">
        <v>0.0</v>
      </c>
      <c r="AD36" s="137">
        <v>0.0</v>
      </c>
      <c r="AE36" s="137">
        <v>0.0</v>
      </c>
      <c r="AF36" s="137">
        <v>0.0</v>
      </c>
      <c r="AG36" s="137">
        <v>0.0</v>
      </c>
      <c r="AH36" s="175">
        <v>0.0</v>
      </c>
      <c r="AI36" s="137">
        <v>0.0</v>
      </c>
      <c r="AJ36" s="137">
        <v>0.0</v>
      </c>
      <c r="AK36" s="137">
        <v>250.0</v>
      </c>
      <c r="AL36" s="137">
        <v>0.0</v>
      </c>
      <c r="AM36" s="137">
        <v>0.0</v>
      </c>
      <c r="AN36" s="137">
        <v>0.0</v>
      </c>
      <c r="AO36" s="137">
        <v>0.0</v>
      </c>
      <c r="AP36" s="137">
        <v>0.0</v>
      </c>
      <c r="AQ36" s="137">
        <v>0.0</v>
      </c>
      <c r="AR36" s="137">
        <v>0.0</v>
      </c>
      <c r="AS36" s="137">
        <v>0.0</v>
      </c>
      <c r="AT36" s="137">
        <v>0.0</v>
      </c>
      <c r="AU36" s="137">
        <v>0.0</v>
      </c>
      <c r="AV36" s="137">
        <v>0.0</v>
      </c>
      <c r="AW36" s="137">
        <v>0.0</v>
      </c>
      <c r="AX36" s="137">
        <v>0.0</v>
      </c>
      <c r="AY36" s="137">
        <v>0.0</v>
      </c>
      <c r="AZ36" s="137">
        <v>0.0</v>
      </c>
      <c r="BA36" s="137">
        <v>0.0</v>
      </c>
      <c r="BB36" s="137">
        <v>0.0</v>
      </c>
      <c r="BC36" s="137">
        <v>0.0</v>
      </c>
      <c r="BD36" s="137">
        <v>0.0</v>
      </c>
      <c r="BE36" s="137">
        <v>0.0</v>
      </c>
      <c r="BF36" s="137">
        <v>0.0</v>
      </c>
      <c r="BG36" s="137">
        <v>0.0</v>
      </c>
      <c r="BH36" s="137">
        <v>0.0</v>
      </c>
      <c r="BI36" s="137">
        <v>0.0</v>
      </c>
      <c r="BJ36" s="137">
        <v>0.0</v>
      </c>
      <c r="BK36" s="175"/>
      <c r="BL36" s="137">
        <v>0.0</v>
      </c>
      <c r="BM36" s="137">
        <v>0.0</v>
      </c>
      <c r="BN36" s="137">
        <v>0.0</v>
      </c>
      <c r="BO36" s="137">
        <v>0.0</v>
      </c>
      <c r="BP36" s="137">
        <v>0.0</v>
      </c>
      <c r="BQ36" s="137">
        <v>0.0</v>
      </c>
      <c r="BR36" s="137">
        <v>0.0</v>
      </c>
      <c r="BS36" s="137">
        <v>0.0</v>
      </c>
      <c r="BT36" s="137">
        <v>0.0</v>
      </c>
      <c r="BU36" s="137">
        <v>0.0</v>
      </c>
      <c r="BV36" s="137">
        <v>0.0</v>
      </c>
      <c r="BW36" s="137">
        <v>0.0</v>
      </c>
      <c r="BX36" s="146">
        <f t="shared" si="111"/>
        <v>0</v>
      </c>
      <c r="BY36" s="137">
        <v>0.0</v>
      </c>
      <c r="BZ36" s="137">
        <v>0.0</v>
      </c>
      <c r="CA36" s="137">
        <v>0.0</v>
      </c>
      <c r="CB36" s="137">
        <v>0.0</v>
      </c>
      <c r="CC36" s="137">
        <v>0.0</v>
      </c>
      <c r="CD36" s="137">
        <v>0.0</v>
      </c>
      <c r="CE36" s="137">
        <v>0.0</v>
      </c>
      <c r="CF36" s="137">
        <v>0.0</v>
      </c>
      <c r="CG36" s="137">
        <v>0.0</v>
      </c>
      <c r="CH36" s="137">
        <v>0.0</v>
      </c>
      <c r="CI36" s="137">
        <v>0.0</v>
      </c>
      <c r="CJ36" s="137">
        <v>0.0</v>
      </c>
      <c r="CK36" s="146">
        <f t="shared" si="113"/>
        <v>0</v>
      </c>
      <c r="CL36" s="137">
        <v>0.0</v>
      </c>
      <c r="CM36" s="137">
        <v>0.0</v>
      </c>
      <c r="CN36" s="137">
        <v>0.0</v>
      </c>
      <c r="CO36" s="137">
        <v>0.0</v>
      </c>
      <c r="CP36" s="137">
        <v>0.0</v>
      </c>
      <c r="CQ36" s="137">
        <v>0.0</v>
      </c>
      <c r="CR36" s="137">
        <v>0.0</v>
      </c>
      <c r="CS36" s="137">
        <v>0.0</v>
      </c>
      <c r="CT36" s="137">
        <v>0.0</v>
      </c>
      <c r="CU36" s="137">
        <v>0.0</v>
      </c>
      <c r="CV36" s="137">
        <v>0.0</v>
      </c>
      <c r="CW36" s="137">
        <v>0.0</v>
      </c>
      <c r="CX36" s="146">
        <f t="shared" si="115"/>
        <v>0</v>
      </c>
      <c r="CY36" s="137">
        <v>0.0</v>
      </c>
      <c r="CZ36" s="137">
        <v>0.0</v>
      </c>
    </row>
    <row r="37">
      <c r="A37" s="149"/>
      <c r="B37" s="144" t="s">
        <v>230</v>
      </c>
      <c r="C37" s="137"/>
      <c r="D37" s="137"/>
      <c r="E37" s="137"/>
      <c r="F37" s="137"/>
      <c r="G37" s="137"/>
      <c r="H37" s="137"/>
      <c r="I37" s="137">
        <v>100.0</v>
      </c>
      <c r="J37" s="137">
        <f>60+20+350</f>
        <v>430</v>
      </c>
      <c r="K37" s="137">
        <v>50.0</v>
      </c>
      <c r="L37" s="137">
        <v>60.0</v>
      </c>
      <c r="M37" s="137">
        <v>60.0</v>
      </c>
      <c r="N37" s="137">
        <v>95.0</v>
      </c>
      <c r="O37" s="137">
        <v>100.0</v>
      </c>
      <c r="P37" s="137">
        <v>100.0</v>
      </c>
      <c r="Q37" s="137">
        <v>60.0</v>
      </c>
      <c r="R37" s="137">
        <v>0.0</v>
      </c>
      <c r="S37" s="137">
        <v>0.0</v>
      </c>
      <c r="T37" s="137">
        <v>100.0</v>
      </c>
      <c r="U37" s="137">
        <v>50.0</v>
      </c>
      <c r="V37" s="137">
        <v>100.0</v>
      </c>
      <c r="W37" s="137">
        <v>100.0</v>
      </c>
      <c r="X37" s="137">
        <v>100.0</v>
      </c>
      <c r="Y37" s="137">
        <v>100.0</v>
      </c>
      <c r="Z37" s="137">
        <v>100.0</v>
      </c>
      <c r="AA37" s="137">
        <v>100.0</v>
      </c>
      <c r="AB37" s="137">
        <v>100.0</v>
      </c>
      <c r="AC37" s="137">
        <v>100.0</v>
      </c>
      <c r="AD37" s="137">
        <v>100.0</v>
      </c>
      <c r="AE37" s="137">
        <v>100.0</v>
      </c>
      <c r="AF37" s="137">
        <v>100.0</v>
      </c>
      <c r="AG37" s="137">
        <v>100.0</v>
      </c>
      <c r="AH37" s="175">
        <v>100.0</v>
      </c>
      <c r="AI37" s="137">
        <v>100.0</v>
      </c>
      <c r="AJ37" s="137">
        <v>100.0</v>
      </c>
      <c r="AK37" s="137">
        <v>100.0</v>
      </c>
      <c r="AL37" s="137">
        <v>100.0</v>
      </c>
      <c r="AM37" s="137">
        <v>100.0</v>
      </c>
      <c r="AN37" s="137">
        <v>100.0</v>
      </c>
      <c r="AO37" s="137">
        <v>100.0</v>
      </c>
      <c r="AP37" s="137">
        <v>100.0</v>
      </c>
      <c r="AQ37" s="137">
        <v>100.0</v>
      </c>
      <c r="AR37" s="137">
        <v>100.0</v>
      </c>
      <c r="AS37" s="137">
        <v>100.0</v>
      </c>
      <c r="AT37" s="137">
        <v>100.0</v>
      </c>
      <c r="AU37" s="137">
        <v>100.0</v>
      </c>
      <c r="AV37" s="137">
        <v>100.0</v>
      </c>
      <c r="AW37" s="137">
        <v>100.0</v>
      </c>
      <c r="AX37" s="137">
        <v>100.0</v>
      </c>
      <c r="AY37" s="137">
        <v>100.0</v>
      </c>
      <c r="AZ37" s="137">
        <v>100.0</v>
      </c>
      <c r="BA37" s="137">
        <v>-100.0</v>
      </c>
      <c r="BB37" s="137">
        <v>-100.0</v>
      </c>
      <c r="BC37" s="137">
        <v>-100.0</v>
      </c>
      <c r="BD37" s="137">
        <v>-100.0</v>
      </c>
      <c r="BE37" s="137">
        <v>-100.0</v>
      </c>
      <c r="BF37" s="137">
        <v>-100.0</v>
      </c>
      <c r="BG37" s="137">
        <v>-100.0</v>
      </c>
      <c r="BH37" s="137">
        <v>-100.0</v>
      </c>
      <c r="BI37" s="137">
        <v>-100.0</v>
      </c>
      <c r="BJ37" s="137">
        <v>-100.0</v>
      </c>
      <c r="BK37" s="175"/>
      <c r="BL37" s="137">
        <v>200.0</v>
      </c>
      <c r="BM37" s="137">
        <v>200.0</v>
      </c>
      <c r="BN37" s="137">
        <v>500.0</v>
      </c>
      <c r="BO37" s="137">
        <v>500.0</v>
      </c>
      <c r="BP37" s="137">
        <v>500.0</v>
      </c>
      <c r="BQ37" s="137">
        <v>500.0</v>
      </c>
      <c r="BR37" s="137">
        <v>500.0</v>
      </c>
      <c r="BS37" s="137">
        <v>500.0</v>
      </c>
      <c r="BT37" s="137">
        <v>500.0</v>
      </c>
      <c r="BU37" s="137">
        <f>sum(300,300*2)</f>
        <v>900</v>
      </c>
      <c r="BV37" s="137">
        <f>sum(300,300*4)</f>
        <v>1500</v>
      </c>
      <c r="BW37" s="137">
        <f>sum(300,300*2)</f>
        <v>900</v>
      </c>
      <c r="BX37" s="146">
        <f t="shared" si="111"/>
        <v>7200</v>
      </c>
      <c r="BY37" s="205">
        <f>sum(300,400,400,2700)</f>
        <v>3800</v>
      </c>
      <c r="BZ37" s="205">
        <f t="shared" ref="BZ37:CJ37" si="132">sum(300,400,400)</f>
        <v>1100</v>
      </c>
      <c r="CA37" s="205">
        <f t="shared" si="132"/>
        <v>1100</v>
      </c>
      <c r="CB37" s="205">
        <f t="shared" si="132"/>
        <v>1100</v>
      </c>
      <c r="CC37" s="137">
        <f t="shared" si="132"/>
        <v>1100</v>
      </c>
      <c r="CD37" s="137">
        <f t="shared" si="132"/>
        <v>1100</v>
      </c>
      <c r="CE37" s="137">
        <f t="shared" si="132"/>
        <v>1100</v>
      </c>
      <c r="CF37" s="137">
        <f t="shared" si="132"/>
        <v>1100</v>
      </c>
      <c r="CG37" s="137">
        <f t="shared" si="132"/>
        <v>1100</v>
      </c>
      <c r="CH37" s="137">
        <f t="shared" si="132"/>
        <v>1100</v>
      </c>
      <c r="CI37" s="137">
        <f t="shared" si="132"/>
        <v>1100</v>
      </c>
      <c r="CJ37" s="137">
        <f t="shared" si="132"/>
        <v>1100</v>
      </c>
      <c r="CK37" s="146">
        <f t="shared" si="113"/>
        <v>15900</v>
      </c>
      <c r="CL37" s="137">
        <f t="shared" ref="CL37:CW37" si="133">sum(300,400,400)</f>
        <v>1100</v>
      </c>
      <c r="CM37" s="137">
        <f t="shared" si="133"/>
        <v>1100</v>
      </c>
      <c r="CN37" s="137">
        <f t="shared" si="133"/>
        <v>1100</v>
      </c>
      <c r="CO37" s="137">
        <f t="shared" si="133"/>
        <v>1100</v>
      </c>
      <c r="CP37" s="137">
        <f t="shared" si="133"/>
        <v>1100</v>
      </c>
      <c r="CQ37" s="137">
        <f t="shared" si="133"/>
        <v>1100</v>
      </c>
      <c r="CR37" s="137">
        <f t="shared" si="133"/>
        <v>1100</v>
      </c>
      <c r="CS37" s="137">
        <f t="shared" si="133"/>
        <v>1100</v>
      </c>
      <c r="CT37" s="137">
        <f t="shared" si="133"/>
        <v>1100</v>
      </c>
      <c r="CU37" s="137">
        <f t="shared" si="133"/>
        <v>1100</v>
      </c>
      <c r="CV37" s="137">
        <f t="shared" si="133"/>
        <v>1100</v>
      </c>
      <c r="CW37" s="137">
        <f t="shared" si="133"/>
        <v>1100</v>
      </c>
      <c r="CX37" s="146">
        <f t="shared" si="115"/>
        <v>13200</v>
      </c>
      <c r="CY37" s="137">
        <v>500.0</v>
      </c>
      <c r="CZ37" s="137">
        <v>500.0</v>
      </c>
    </row>
    <row r="38">
      <c r="A38" s="199"/>
      <c r="B38" s="144" t="s">
        <v>231</v>
      </c>
      <c r="C38" s="137">
        <v>0.0</v>
      </c>
      <c r="D38" s="137">
        <v>0.0</v>
      </c>
      <c r="E38" s="137">
        <v>0.0</v>
      </c>
      <c r="F38" s="137">
        <v>0.0</v>
      </c>
      <c r="G38" s="137">
        <v>0.0</v>
      </c>
      <c r="H38" s="175">
        <v>0.0</v>
      </c>
      <c r="I38" s="137">
        <v>0.0</v>
      </c>
      <c r="J38" s="137">
        <v>0.0</v>
      </c>
      <c r="K38" s="137">
        <v>0.0</v>
      </c>
      <c r="L38" s="137">
        <v>0.0</v>
      </c>
      <c r="M38" s="137">
        <v>0.0</v>
      </c>
      <c r="N38" s="137">
        <v>0.0</v>
      </c>
      <c r="O38" s="137">
        <v>0.0</v>
      </c>
      <c r="P38" s="137">
        <v>0.0</v>
      </c>
      <c r="Q38" s="137">
        <v>0.0</v>
      </c>
      <c r="R38" s="137">
        <v>0.0</v>
      </c>
      <c r="S38" s="137">
        <v>0.0</v>
      </c>
      <c r="T38" s="137">
        <v>0.0</v>
      </c>
      <c r="U38" s="137">
        <v>0.0</v>
      </c>
      <c r="V38" s="137">
        <v>0.0</v>
      </c>
      <c r="W38" s="137">
        <v>0.0</v>
      </c>
      <c r="X38" s="137">
        <v>0.0</v>
      </c>
      <c r="Y38" s="137">
        <v>0.0</v>
      </c>
      <c r="Z38" s="137">
        <v>0.0</v>
      </c>
      <c r="AA38" s="137">
        <v>0.0</v>
      </c>
      <c r="AB38" s="137">
        <v>0.0</v>
      </c>
      <c r="AC38" s="137">
        <v>0.0</v>
      </c>
      <c r="AD38" s="137">
        <v>0.0</v>
      </c>
      <c r="AE38" s="137">
        <v>0.0</v>
      </c>
      <c r="AF38" s="137">
        <v>0.0</v>
      </c>
      <c r="AG38" s="137">
        <v>0.0</v>
      </c>
      <c r="AH38" s="175">
        <v>100.0</v>
      </c>
      <c r="AI38" s="137">
        <v>300.0</v>
      </c>
      <c r="AJ38" s="137">
        <v>100.0</v>
      </c>
      <c r="AK38" s="137">
        <v>175.0</v>
      </c>
      <c r="AL38" s="137">
        <v>175.0</v>
      </c>
      <c r="AM38" s="137">
        <v>175.0</v>
      </c>
      <c r="AN38" s="137">
        <v>175.0</v>
      </c>
      <c r="AO38" s="137">
        <v>175.0</v>
      </c>
      <c r="AP38" s="137">
        <v>175.0</v>
      </c>
      <c r="AQ38" s="137">
        <v>175.0</v>
      </c>
      <c r="AR38" s="137">
        <v>175.0</v>
      </c>
      <c r="AS38" s="137">
        <v>175.0</v>
      </c>
      <c r="AT38" s="137">
        <v>175.0</v>
      </c>
      <c r="AU38" s="137">
        <v>175.0</v>
      </c>
      <c r="AV38" s="137">
        <v>175.0</v>
      </c>
      <c r="AW38" s="137">
        <v>175.0</v>
      </c>
      <c r="AX38" s="137">
        <v>175.0</v>
      </c>
      <c r="AY38" s="137">
        <v>175.0</v>
      </c>
      <c r="AZ38" s="137">
        <v>175.0</v>
      </c>
      <c r="BA38" s="137">
        <v>-175.0</v>
      </c>
      <c r="BB38" s="137">
        <v>-175.0</v>
      </c>
      <c r="BC38" s="137">
        <v>-175.0</v>
      </c>
      <c r="BD38" s="137">
        <v>-175.0</v>
      </c>
      <c r="BE38" s="191">
        <f>sum(-175,-1200)</f>
        <v>-1375</v>
      </c>
      <c r="BF38" s="194">
        <f>sum(-175)</f>
        <v>-175</v>
      </c>
      <c r="BG38" s="194">
        <f>sum(-175,-185)</f>
        <v>-360</v>
      </c>
      <c r="BH38" s="137">
        <f t="shared" ref="BH38:BI38" si="134">sum(-175)</f>
        <v>-175</v>
      </c>
      <c r="BI38" s="137">
        <f t="shared" si="134"/>
        <v>-175</v>
      </c>
      <c r="BJ38" s="194">
        <f>sum(-175,-800/2)</f>
        <v>-575</v>
      </c>
      <c r="BK38" s="195"/>
      <c r="BL38" s="137">
        <v>175.0</v>
      </c>
      <c r="BM38" s="192">
        <f>sum(175,1600)</f>
        <v>1775</v>
      </c>
      <c r="BN38" s="137">
        <v>175.0</v>
      </c>
      <c r="BO38" s="137">
        <v>175.0</v>
      </c>
      <c r="BP38" s="137">
        <v>175.0</v>
      </c>
      <c r="BQ38" s="137">
        <f>sum(400,600)</f>
        <v>1000</v>
      </c>
      <c r="BR38" s="137">
        <f t="shared" ref="BR38:BV38" si="135">sum(600,600)</f>
        <v>1200</v>
      </c>
      <c r="BS38" s="137">
        <f t="shared" si="135"/>
        <v>1200</v>
      </c>
      <c r="BT38" s="137">
        <f t="shared" si="135"/>
        <v>1200</v>
      </c>
      <c r="BU38" s="137">
        <f t="shared" si="135"/>
        <v>1200</v>
      </c>
      <c r="BV38" s="137">
        <f t="shared" si="135"/>
        <v>1200</v>
      </c>
      <c r="BW38" s="137">
        <f>sum(600,300)</f>
        <v>900</v>
      </c>
      <c r="BX38" s="146">
        <f t="shared" si="111"/>
        <v>10375</v>
      </c>
      <c r="BY38" s="205">
        <f t="shared" ref="BY38:CJ38" si="136">sum(600,600)</f>
        <v>1200</v>
      </c>
      <c r="BZ38" s="205">
        <f t="shared" si="136"/>
        <v>1200</v>
      </c>
      <c r="CA38" s="205">
        <f t="shared" si="136"/>
        <v>1200</v>
      </c>
      <c r="CB38" s="205">
        <f t="shared" si="136"/>
        <v>1200</v>
      </c>
      <c r="CC38" s="137">
        <f t="shared" si="136"/>
        <v>1200</v>
      </c>
      <c r="CD38" s="137">
        <f t="shared" si="136"/>
        <v>1200</v>
      </c>
      <c r="CE38" s="137">
        <f t="shared" si="136"/>
        <v>1200</v>
      </c>
      <c r="CF38" s="137">
        <f t="shared" si="136"/>
        <v>1200</v>
      </c>
      <c r="CG38" s="137">
        <f t="shared" si="136"/>
        <v>1200</v>
      </c>
      <c r="CH38" s="137">
        <f t="shared" si="136"/>
        <v>1200</v>
      </c>
      <c r="CI38" s="137">
        <f t="shared" si="136"/>
        <v>1200</v>
      </c>
      <c r="CJ38" s="137">
        <f t="shared" si="136"/>
        <v>1200</v>
      </c>
      <c r="CK38" s="146">
        <f t="shared" si="113"/>
        <v>14400</v>
      </c>
      <c r="CL38" s="137">
        <f t="shared" ref="CL38:CW38" si="137">sum(600,600)</f>
        <v>1200</v>
      </c>
      <c r="CM38" s="137">
        <f t="shared" si="137"/>
        <v>1200</v>
      </c>
      <c r="CN38" s="137">
        <f t="shared" si="137"/>
        <v>1200</v>
      </c>
      <c r="CO38" s="137">
        <f t="shared" si="137"/>
        <v>1200</v>
      </c>
      <c r="CP38" s="137">
        <f t="shared" si="137"/>
        <v>1200</v>
      </c>
      <c r="CQ38" s="137">
        <f t="shared" si="137"/>
        <v>1200</v>
      </c>
      <c r="CR38" s="137">
        <f t="shared" si="137"/>
        <v>1200</v>
      </c>
      <c r="CS38" s="137">
        <f t="shared" si="137"/>
        <v>1200</v>
      </c>
      <c r="CT38" s="137">
        <f t="shared" si="137"/>
        <v>1200</v>
      </c>
      <c r="CU38" s="137">
        <f t="shared" si="137"/>
        <v>1200</v>
      </c>
      <c r="CV38" s="137">
        <f t="shared" si="137"/>
        <v>1200</v>
      </c>
      <c r="CW38" s="137">
        <f t="shared" si="137"/>
        <v>1200</v>
      </c>
      <c r="CX38" s="146">
        <f t="shared" si="115"/>
        <v>14400</v>
      </c>
      <c r="CY38" s="137">
        <v>175.0</v>
      </c>
      <c r="CZ38" s="137">
        <v>175.0</v>
      </c>
    </row>
    <row r="39">
      <c r="A39" s="188" t="s">
        <v>232</v>
      </c>
      <c r="B39" s="144" t="s">
        <v>233</v>
      </c>
      <c r="C39" s="137"/>
      <c r="D39" s="137"/>
      <c r="E39" s="137">
        <v>50.0</v>
      </c>
      <c r="F39" s="137">
        <v>50.0</v>
      </c>
      <c r="G39" s="137">
        <v>50.0</v>
      </c>
      <c r="H39" s="137">
        <v>50.0</v>
      </c>
      <c r="I39" s="137">
        <v>100.0</v>
      </c>
      <c r="J39" s="137">
        <f>30+40</f>
        <v>70</v>
      </c>
      <c r="K39" s="137">
        <v>0.0</v>
      </c>
      <c r="L39" s="137">
        <v>50.0</v>
      </c>
      <c r="M39" s="137">
        <v>50.0</v>
      </c>
      <c r="N39" s="137">
        <v>20.0</v>
      </c>
      <c r="O39" s="137">
        <v>0.0</v>
      </c>
      <c r="P39" s="137">
        <v>50.0</v>
      </c>
      <c r="Q39" s="137">
        <v>30.0</v>
      </c>
      <c r="R39" s="137">
        <f>15+35</f>
        <v>50</v>
      </c>
      <c r="S39" s="137">
        <v>10.0</v>
      </c>
      <c r="T39" s="137">
        <v>40.0</v>
      </c>
      <c r="U39" s="137">
        <v>30.0</v>
      </c>
      <c r="V39" s="137">
        <f>sum(30,100)</f>
        <v>130</v>
      </c>
      <c r="W39" s="137">
        <v>30.0</v>
      </c>
      <c r="X39" s="137">
        <v>30.0</v>
      </c>
      <c r="Y39" s="137">
        <v>30.0</v>
      </c>
      <c r="Z39" s="137">
        <v>10.0</v>
      </c>
      <c r="AA39" s="137">
        <v>10.0</v>
      </c>
      <c r="AB39" s="137">
        <v>10.0</v>
      </c>
      <c r="AC39" s="137">
        <v>10.0</v>
      </c>
      <c r="AD39" s="137">
        <v>10.0</v>
      </c>
      <c r="AE39" s="137">
        <v>10.0</v>
      </c>
      <c r="AF39" s="137">
        <v>10.0</v>
      </c>
      <c r="AG39" s="137">
        <v>10.0</v>
      </c>
      <c r="AH39" s="175">
        <v>10.0</v>
      </c>
      <c r="AI39" s="137">
        <v>10.0</v>
      </c>
      <c r="AJ39" s="137">
        <v>10.0</v>
      </c>
      <c r="AK39" s="137">
        <v>10.0</v>
      </c>
      <c r="AL39" s="137">
        <v>10.0</v>
      </c>
      <c r="AM39" s="137">
        <v>10.0</v>
      </c>
      <c r="AN39" s="137">
        <v>10.0</v>
      </c>
      <c r="AO39" s="137">
        <v>10.0</v>
      </c>
      <c r="AP39" s="137">
        <v>10.0</v>
      </c>
      <c r="AQ39" s="137">
        <v>10.0</v>
      </c>
      <c r="AR39" s="137">
        <v>10.0</v>
      </c>
      <c r="AS39" s="137">
        <v>0.0</v>
      </c>
      <c r="AT39" s="137">
        <v>10.0</v>
      </c>
      <c r="AU39" s="137">
        <v>10.0</v>
      </c>
      <c r="AV39" s="137">
        <v>10.0</v>
      </c>
      <c r="AW39" s="137">
        <v>30.0</v>
      </c>
      <c r="AX39" s="137">
        <v>30.0</v>
      </c>
      <c r="AY39" s="137">
        <v>30.0</v>
      </c>
      <c r="AZ39" s="137">
        <v>30.0</v>
      </c>
      <c r="BA39" s="137">
        <v>-30.0</v>
      </c>
      <c r="BB39" s="137">
        <v>-30.0</v>
      </c>
      <c r="BC39" s="137">
        <v>-30.0</v>
      </c>
      <c r="BD39" s="137">
        <f t="shared" ref="BD39:BJ39" si="138">sum(-30,-50)</f>
        <v>-80</v>
      </c>
      <c r="BE39" s="137">
        <f t="shared" si="138"/>
        <v>-80</v>
      </c>
      <c r="BF39" s="137">
        <f t="shared" si="138"/>
        <v>-80</v>
      </c>
      <c r="BG39" s="137">
        <f t="shared" si="138"/>
        <v>-80</v>
      </c>
      <c r="BH39" s="137">
        <f t="shared" si="138"/>
        <v>-80</v>
      </c>
      <c r="BI39" s="137">
        <f t="shared" si="138"/>
        <v>-80</v>
      </c>
      <c r="BJ39" s="137">
        <f t="shared" si="138"/>
        <v>-80</v>
      </c>
      <c r="BK39" s="175"/>
      <c r="BL39" s="137">
        <v>100.0</v>
      </c>
      <c r="BM39" s="137">
        <v>100.0</v>
      </c>
      <c r="BN39" s="137">
        <v>100.0</v>
      </c>
      <c r="BO39" s="137">
        <v>100.0</v>
      </c>
      <c r="BP39" s="137">
        <v>100.0</v>
      </c>
      <c r="BQ39" s="137">
        <f>sum(500,100)</f>
        <v>600</v>
      </c>
      <c r="BR39" s="137">
        <v>100.0</v>
      </c>
      <c r="BS39" s="137">
        <v>100.0</v>
      </c>
      <c r="BT39" s="137">
        <v>100.0</v>
      </c>
      <c r="BU39" s="137">
        <v>100.0</v>
      </c>
      <c r="BV39" s="137">
        <v>100.0</v>
      </c>
      <c r="BW39" s="137">
        <v>100.0</v>
      </c>
      <c r="BX39" s="146">
        <f t="shared" si="111"/>
        <v>1700</v>
      </c>
      <c r="BY39" s="137">
        <v>100.0</v>
      </c>
      <c r="BZ39" s="137">
        <v>100.0</v>
      </c>
      <c r="CA39" s="137">
        <v>100.0</v>
      </c>
      <c r="CB39" s="137">
        <v>100.0</v>
      </c>
      <c r="CC39" s="137">
        <v>100.0</v>
      </c>
      <c r="CD39" s="137">
        <f>sum(500,100)</f>
        <v>600</v>
      </c>
      <c r="CE39" s="137">
        <v>100.0</v>
      </c>
      <c r="CF39" s="137">
        <v>100.0</v>
      </c>
      <c r="CG39" s="137">
        <v>100.0</v>
      </c>
      <c r="CH39" s="137">
        <v>100.0</v>
      </c>
      <c r="CI39" s="137">
        <v>100.0</v>
      </c>
      <c r="CJ39" s="137">
        <v>100.0</v>
      </c>
      <c r="CK39" s="146">
        <f t="shared" si="113"/>
        <v>1700</v>
      </c>
      <c r="CL39" s="137">
        <v>100.0</v>
      </c>
      <c r="CM39" s="137">
        <v>100.0</v>
      </c>
      <c r="CN39" s="137">
        <v>100.0</v>
      </c>
      <c r="CO39" s="137">
        <v>100.0</v>
      </c>
      <c r="CP39" s="137">
        <v>100.0</v>
      </c>
      <c r="CQ39" s="137">
        <f>sum(500,100)</f>
        <v>600</v>
      </c>
      <c r="CR39" s="137">
        <v>100.0</v>
      </c>
      <c r="CS39" s="137">
        <v>100.0</v>
      </c>
      <c r="CT39" s="137">
        <v>100.0</v>
      </c>
      <c r="CU39" s="137">
        <v>100.0</v>
      </c>
      <c r="CV39" s="137">
        <v>100.0</v>
      </c>
      <c r="CW39" s="137">
        <v>100.0</v>
      </c>
      <c r="CX39" s="146">
        <f t="shared" si="115"/>
        <v>1700</v>
      </c>
      <c r="CY39" s="137">
        <v>100.0</v>
      </c>
      <c r="CZ39" s="137">
        <v>100.0</v>
      </c>
    </row>
    <row r="40">
      <c r="A40" s="199"/>
      <c r="B40" s="144" t="s">
        <v>234</v>
      </c>
      <c r="C40" s="137"/>
      <c r="D40" s="137"/>
      <c r="E40" s="137"/>
      <c r="F40" s="137"/>
      <c r="G40" s="137"/>
      <c r="H40" s="175"/>
      <c r="I40" s="137"/>
      <c r="J40" s="137"/>
      <c r="K40" s="137">
        <v>0.0</v>
      </c>
      <c r="L40" s="137">
        <v>0.0</v>
      </c>
      <c r="M40" s="137">
        <v>0.0</v>
      </c>
      <c r="N40" s="194">
        <v>250.0</v>
      </c>
      <c r="O40" s="137">
        <v>0.0</v>
      </c>
      <c r="P40" s="194">
        <v>200.0</v>
      </c>
      <c r="Q40" s="189">
        <v>0.0</v>
      </c>
      <c r="R40" s="137">
        <v>0.0</v>
      </c>
      <c r="S40" s="193">
        <f>0</f>
        <v>0</v>
      </c>
      <c r="T40" s="193">
        <f>840+450</f>
        <v>1290</v>
      </c>
      <c r="U40" s="137">
        <v>0.0</v>
      </c>
      <c r="V40" s="137">
        <v>0.0</v>
      </c>
      <c r="W40" s="137">
        <v>0.0</v>
      </c>
      <c r="X40" s="137">
        <v>0.0</v>
      </c>
      <c r="Y40" s="137">
        <v>0.0</v>
      </c>
      <c r="Z40" s="137">
        <v>0.0</v>
      </c>
      <c r="AA40" s="137">
        <v>0.0</v>
      </c>
      <c r="AB40" s="137">
        <v>0.0</v>
      </c>
      <c r="AC40" s="137">
        <v>0.0</v>
      </c>
      <c r="AD40" s="137">
        <v>0.0</v>
      </c>
      <c r="AE40" s="137">
        <v>0.0</v>
      </c>
      <c r="AF40" s="137">
        <v>0.0</v>
      </c>
      <c r="AG40" s="137">
        <v>0.0</v>
      </c>
      <c r="AH40" s="175">
        <v>0.0</v>
      </c>
      <c r="AI40" s="137">
        <v>0.0</v>
      </c>
      <c r="AJ40" s="137">
        <v>0.0</v>
      </c>
      <c r="AK40" s="137">
        <v>0.0</v>
      </c>
      <c r="AL40" s="137">
        <v>0.0</v>
      </c>
      <c r="AM40" s="137">
        <v>0.0</v>
      </c>
      <c r="AN40" s="137">
        <v>0.0</v>
      </c>
      <c r="AO40" s="137">
        <v>0.0</v>
      </c>
      <c r="AP40" s="137">
        <v>0.0</v>
      </c>
      <c r="AQ40" s="137">
        <v>0.0</v>
      </c>
      <c r="AR40" s="137">
        <v>0.0</v>
      </c>
      <c r="AS40" s="137">
        <v>0.0</v>
      </c>
      <c r="AT40" s="137">
        <v>0.0</v>
      </c>
      <c r="AU40" s="137">
        <v>0.0</v>
      </c>
      <c r="AV40" s="137">
        <v>0.0</v>
      </c>
      <c r="AW40" s="137">
        <v>0.0</v>
      </c>
      <c r="AX40" s="137">
        <v>0.0</v>
      </c>
      <c r="AY40" s="137">
        <v>0.0</v>
      </c>
      <c r="AZ40" s="137">
        <v>0.0</v>
      </c>
      <c r="BA40" s="137">
        <v>0.0</v>
      </c>
      <c r="BB40" s="137">
        <v>0.0</v>
      </c>
      <c r="BC40" s="137">
        <v>0.0</v>
      </c>
      <c r="BD40" s="137">
        <v>0.0</v>
      </c>
      <c r="BE40" s="137">
        <v>0.0</v>
      </c>
      <c r="BF40" s="137">
        <v>0.0</v>
      </c>
      <c r="BG40" s="137">
        <v>0.0</v>
      </c>
      <c r="BH40" s="137">
        <v>0.0</v>
      </c>
      <c r="BI40" s="137">
        <v>0.0</v>
      </c>
      <c r="BJ40" s="137">
        <v>0.0</v>
      </c>
      <c r="BK40" s="175"/>
      <c r="BL40" s="137">
        <v>0.0</v>
      </c>
      <c r="BM40" s="137">
        <v>0.0</v>
      </c>
      <c r="BN40" s="137">
        <v>0.0</v>
      </c>
      <c r="BO40" s="137">
        <v>0.0</v>
      </c>
      <c r="BP40" s="137">
        <v>0.0</v>
      </c>
      <c r="BQ40" s="137">
        <v>0.0</v>
      </c>
      <c r="BR40" s="137">
        <v>0.0</v>
      </c>
      <c r="BS40" s="137">
        <v>0.0</v>
      </c>
      <c r="BT40" s="137">
        <v>0.0</v>
      </c>
      <c r="BU40" s="137">
        <v>0.0</v>
      </c>
      <c r="BV40" s="137">
        <v>0.0</v>
      </c>
      <c r="BW40" s="137">
        <v>0.0</v>
      </c>
      <c r="BX40" s="146">
        <f t="shared" si="111"/>
        <v>0</v>
      </c>
      <c r="BY40" s="137">
        <v>0.0</v>
      </c>
      <c r="BZ40" s="137">
        <v>0.0</v>
      </c>
      <c r="CA40" s="137">
        <v>0.0</v>
      </c>
      <c r="CB40" s="137">
        <v>0.0</v>
      </c>
      <c r="CC40" s="137">
        <v>0.0</v>
      </c>
      <c r="CD40" s="137">
        <v>0.0</v>
      </c>
      <c r="CE40" s="137">
        <v>0.0</v>
      </c>
      <c r="CF40" s="137">
        <v>0.0</v>
      </c>
      <c r="CG40" s="137">
        <v>0.0</v>
      </c>
      <c r="CH40" s="137">
        <v>0.0</v>
      </c>
      <c r="CI40" s="137">
        <v>0.0</v>
      </c>
      <c r="CJ40" s="137">
        <v>0.0</v>
      </c>
      <c r="CK40" s="146">
        <f t="shared" si="113"/>
        <v>0</v>
      </c>
      <c r="CL40" s="137">
        <v>0.0</v>
      </c>
      <c r="CM40" s="137">
        <v>0.0</v>
      </c>
      <c r="CN40" s="137">
        <v>0.0</v>
      </c>
      <c r="CO40" s="137">
        <v>0.0</v>
      </c>
      <c r="CP40" s="137">
        <v>0.0</v>
      </c>
      <c r="CQ40" s="137">
        <v>0.0</v>
      </c>
      <c r="CR40" s="137">
        <v>0.0</v>
      </c>
      <c r="CS40" s="137">
        <v>0.0</v>
      </c>
      <c r="CT40" s="137">
        <v>0.0</v>
      </c>
      <c r="CU40" s="137">
        <v>0.0</v>
      </c>
      <c r="CV40" s="137">
        <v>0.0</v>
      </c>
      <c r="CW40" s="137">
        <v>0.0</v>
      </c>
      <c r="CX40" s="146">
        <f t="shared" si="115"/>
        <v>0</v>
      </c>
      <c r="CY40" s="137">
        <v>0.0</v>
      </c>
      <c r="CZ40" s="137">
        <v>0.0</v>
      </c>
    </row>
    <row r="41">
      <c r="A41" s="199"/>
      <c r="B41" s="144" t="s">
        <v>235</v>
      </c>
      <c r="C41" s="137"/>
      <c r="D41" s="137"/>
      <c r="E41" s="137"/>
      <c r="F41" s="137"/>
      <c r="G41" s="137"/>
      <c r="H41" s="175"/>
      <c r="I41" s="137"/>
      <c r="J41" s="137"/>
      <c r="K41" s="137"/>
      <c r="L41" s="137"/>
      <c r="M41" s="137"/>
      <c r="N41" s="194"/>
      <c r="O41" s="137"/>
      <c r="P41" s="194"/>
      <c r="Q41" s="189"/>
      <c r="R41" s="137"/>
      <c r="S41" s="193"/>
      <c r="T41" s="193"/>
      <c r="U41" s="137"/>
      <c r="V41" s="137"/>
      <c r="W41" s="137"/>
      <c r="X41" s="194">
        <f>272+375</f>
        <v>647</v>
      </c>
      <c r="Y41" s="137">
        <v>0.0</v>
      </c>
      <c r="Z41" s="137">
        <v>0.0</v>
      </c>
      <c r="AA41" s="137">
        <v>0.0</v>
      </c>
      <c r="AB41" s="137">
        <v>0.0</v>
      </c>
      <c r="AC41" s="137">
        <v>0.0</v>
      </c>
      <c r="AD41" s="137">
        <v>0.0</v>
      </c>
      <c r="AE41" s="137">
        <v>0.0</v>
      </c>
      <c r="AF41" s="137">
        <v>0.0</v>
      </c>
      <c r="AG41" s="137">
        <v>0.0</v>
      </c>
      <c r="AH41" s="175">
        <v>0.0</v>
      </c>
      <c r="AI41" s="137">
        <v>0.0</v>
      </c>
      <c r="AJ41" s="137">
        <v>0.0</v>
      </c>
      <c r="AK41" s="137">
        <v>0.0</v>
      </c>
      <c r="AL41" s="137">
        <v>0.0</v>
      </c>
      <c r="AM41" s="137">
        <v>0.0</v>
      </c>
      <c r="AN41" s="137">
        <v>0.0</v>
      </c>
      <c r="AO41" s="137">
        <v>0.0</v>
      </c>
      <c r="AP41" s="137">
        <v>0.0</v>
      </c>
      <c r="AQ41" s="137">
        <v>0.0</v>
      </c>
      <c r="AR41" s="137">
        <v>0.0</v>
      </c>
      <c r="AS41" s="137">
        <v>0.0</v>
      </c>
      <c r="AT41" s="137">
        <v>0.0</v>
      </c>
      <c r="AU41" s="137">
        <v>0.0</v>
      </c>
      <c r="AV41" s="137">
        <v>0.0</v>
      </c>
      <c r="AW41" s="137">
        <v>0.0</v>
      </c>
      <c r="AX41" s="137">
        <v>0.0</v>
      </c>
      <c r="AY41" s="137">
        <v>0.0</v>
      </c>
      <c r="AZ41" s="137">
        <v>0.0</v>
      </c>
      <c r="BA41" s="137">
        <v>0.0</v>
      </c>
      <c r="BB41" s="137">
        <v>0.0</v>
      </c>
      <c r="BC41" s="137">
        <v>0.0</v>
      </c>
      <c r="BD41" s="137">
        <v>0.0</v>
      </c>
      <c r="BE41" s="137">
        <v>0.0</v>
      </c>
      <c r="BF41" s="137">
        <v>0.0</v>
      </c>
      <c r="BG41" s="137">
        <v>0.0</v>
      </c>
      <c r="BH41" s="137">
        <v>0.0</v>
      </c>
      <c r="BI41" s="137">
        <v>0.0</v>
      </c>
      <c r="BJ41" s="137">
        <v>0.0</v>
      </c>
      <c r="BK41" s="175"/>
      <c r="BL41" s="137">
        <v>0.0</v>
      </c>
      <c r="BM41" s="137">
        <v>0.0</v>
      </c>
      <c r="BN41" s="137">
        <v>0.0</v>
      </c>
      <c r="BO41" s="137">
        <v>0.0</v>
      </c>
      <c r="BP41" s="137">
        <v>0.0</v>
      </c>
      <c r="BQ41" s="137">
        <v>0.0</v>
      </c>
      <c r="BR41" s="137">
        <v>0.0</v>
      </c>
      <c r="BS41" s="137">
        <v>0.0</v>
      </c>
      <c r="BT41" s="137">
        <v>0.0</v>
      </c>
      <c r="BU41" s="137">
        <v>0.0</v>
      </c>
      <c r="BV41" s="137">
        <v>0.0</v>
      </c>
      <c r="BW41" s="137">
        <v>0.0</v>
      </c>
      <c r="BX41" s="146">
        <f t="shared" si="111"/>
        <v>0</v>
      </c>
      <c r="BY41" s="137">
        <v>0.0</v>
      </c>
      <c r="BZ41" s="137">
        <v>0.0</v>
      </c>
      <c r="CA41" s="137">
        <v>0.0</v>
      </c>
      <c r="CB41" s="137">
        <v>0.0</v>
      </c>
      <c r="CC41" s="137">
        <v>0.0</v>
      </c>
      <c r="CD41" s="137">
        <v>0.0</v>
      </c>
      <c r="CE41" s="137">
        <v>0.0</v>
      </c>
      <c r="CF41" s="137">
        <v>0.0</v>
      </c>
      <c r="CG41" s="137">
        <v>0.0</v>
      </c>
      <c r="CH41" s="137">
        <v>0.0</v>
      </c>
      <c r="CI41" s="137">
        <v>0.0</v>
      </c>
      <c r="CJ41" s="137">
        <v>0.0</v>
      </c>
      <c r="CK41" s="146">
        <f t="shared" si="113"/>
        <v>0</v>
      </c>
      <c r="CL41" s="137">
        <v>0.0</v>
      </c>
      <c r="CM41" s="137">
        <v>0.0</v>
      </c>
      <c r="CN41" s="137">
        <v>0.0</v>
      </c>
      <c r="CO41" s="137">
        <v>0.0</v>
      </c>
      <c r="CP41" s="137">
        <v>0.0</v>
      </c>
      <c r="CQ41" s="137">
        <v>0.0</v>
      </c>
      <c r="CR41" s="137">
        <v>0.0</v>
      </c>
      <c r="CS41" s="137">
        <v>0.0</v>
      </c>
      <c r="CT41" s="137">
        <v>0.0</v>
      </c>
      <c r="CU41" s="137">
        <v>0.0</v>
      </c>
      <c r="CV41" s="137">
        <v>0.0</v>
      </c>
      <c r="CW41" s="137">
        <v>0.0</v>
      </c>
      <c r="CX41" s="146">
        <f t="shared" si="115"/>
        <v>0</v>
      </c>
      <c r="CY41" s="137">
        <v>0.0</v>
      </c>
      <c r="CZ41" s="137">
        <v>0.0</v>
      </c>
    </row>
    <row r="42">
      <c r="A42" s="199"/>
      <c r="B42" s="144" t="s">
        <v>31</v>
      </c>
      <c r="C42" s="137"/>
      <c r="D42" s="137"/>
      <c r="E42" s="137"/>
      <c r="F42" s="137"/>
      <c r="G42" s="137"/>
      <c r="H42" s="175"/>
      <c r="I42" s="137"/>
      <c r="J42" s="137"/>
      <c r="K42" s="137"/>
      <c r="L42" s="137"/>
      <c r="M42" s="137"/>
      <c r="N42" s="194"/>
      <c r="O42" s="137"/>
      <c r="P42" s="194"/>
      <c r="Q42" s="189"/>
      <c r="R42" s="137"/>
      <c r="S42" s="193"/>
      <c r="T42" s="194">
        <v>0.0</v>
      </c>
      <c r="U42" s="192">
        <v>0.0</v>
      </c>
      <c r="V42" s="137">
        <v>0.0</v>
      </c>
      <c r="W42" s="137">
        <v>0.0</v>
      </c>
      <c r="X42" s="194">
        <f>sum(700/2,50,500)</f>
        <v>900</v>
      </c>
      <c r="Y42" s="137">
        <v>0.0</v>
      </c>
      <c r="Z42" s="137">
        <v>0.0</v>
      </c>
      <c r="AA42" s="137">
        <v>0.0</v>
      </c>
      <c r="AB42" s="137">
        <v>0.0</v>
      </c>
      <c r="AC42" s="137">
        <v>0.0</v>
      </c>
      <c r="AD42" s="137">
        <v>0.0</v>
      </c>
      <c r="AE42" s="137">
        <v>0.0</v>
      </c>
      <c r="AF42" s="137">
        <v>0.0</v>
      </c>
      <c r="AG42" s="137">
        <v>0.0</v>
      </c>
      <c r="AH42" s="175">
        <v>0.0</v>
      </c>
      <c r="AI42" s="137">
        <v>0.0</v>
      </c>
      <c r="AJ42" s="137">
        <v>0.0</v>
      </c>
      <c r="AK42" s="137">
        <v>0.0</v>
      </c>
      <c r="AL42" s="137">
        <v>1500.0</v>
      </c>
      <c r="AM42" s="137">
        <v>0.0</v>
      </c>
      <c r="AN42" s="137">
        <v>0.0</v>
      </c>
      <c r="AO42" s="137">
        <v>0.0</v>
      </c>
      <c r="AP42" s="137">
        <v>0.0</v>
      </c>
      <c r="AQ42" s="137">
        <v>0.0</v>
      </c>
      <c r="AR42" s="137">
        <v>0.0</v>
      </c>
      <c r="AS42" s="137">
        <v>0.0</v>
      </c>
      <c r="AT42" s="137">
        <v>0.0</v>
      </c>
      <c r="AU42" s="137">
        <v>0.0</v>
      </c>
      <c r="AV42" s="137">
        <v>0.0</v>
      </c>
      <c r="AW42" s="137">
        <v>0.0</v>
      </c>
      <c r="AX42" s="194">
        <v>500.0</v>
      </c>
      <c r="AY42" s="137">
        <v>0.0</v>
      </c>
      <c r="AZ42" s="137">
        <v>0.0</v>
      </c>
      <c r="BA42" s="137">
        <v>0.0</v>
      </c>
      <c r="BB42" s="137">
        <v>0.0</v>
      </c>
      <c r="BC42" s="137">
        <v>0.0</v>
      </c>
      <c r="BD42" s="137">
        <v>0.0</v>
      </c>
      <c r="BE42" s="137">
        <v>0.0</v>
      </c>
      <c r="BF42" s="137">
        <v>0.0</v>
      </c>
      <c r="BG42" s="137">
        <v>0.0</v>
      </c>
      <c r="BH42" s="137">
        <v>0.0</v>
      </c>
      <c r="BI42" s="137">
        <v>0.0</v>
      </c>
      <c r="BJ42" s="194">
        <v>-3500.0</v>
      </c>
      <c r="BK42" s="175"/>
      <c r="BL42" s="192">
        <v>3500.0</v>
      </c>
      <c r="BM42" s="137">
        <v>2000.0</v>
      </c>
      <c r="BN42" s="137">
        <f>2000</f>
        <v>2000</v>
      </c>
      <c r="BO42" s="137">
        <v>700.0</v>
      </c>
      <c r="BP42" s="137">
        <v>0.0</v>
      </c>
      <c r="BQ42" s="137">
        <v>0.0</v>
      </c>
      <c r="BR42" s="137">
        <v>0.0</v>
      </c>
      <c r="BS42" s="137">
        <f>sum(3500,1850,1000,200)</f>
        <v>6550</v>
      </c>
      <c r="BT42" s="137">
        <v>0.0</v>
      </c>
      <c r="BU42" s="137">
        <v>1000.0</v>
      </c>
      <c r="BV42" s="137">
        <v>0.0</v>
      </c>
      <c r="BW42" s="194">
        <v>1500.0</v>
      </c>
      <c r="BX42" s="146">
        <f t="shared" si="111"/>
        <v>17250</v>
      </c>
      <c r="BY42" s="137">
        <v>0.0</v>
      </c>
      <c r="BZ42" s="137">
        <v>0.0</v>
      </c>
      <c r="CA42" s="205">
        <f>sum(7500,5000)</f>
        <v>12500</v>
      </c>
      <c r="CB42" s="137">
        <v>2500.0</v>
      </c>
      <c r="CC42" s="137">
        <v>0.0</v>
      </c>
      <c r="CD42" s="205">
        <f>sum(30000,2500)</f>
        <v>32500</v>
      </c>
      <c r="CE42" s="137">
        <v>0.0</v>
      </c>
      <c r="CF42" s="137">
        <v>0.0</v>
      </c>
      <c r="CG42" s="137">
        <v>0.0</v>
      </c>
      <c r="CH42" s="137">
        <v>0.0</v>
      </c>
      <c r="CI42" s="137">
        <v>0.0</v>
      </c>
      <c r="CJ42" s="137">
        <v>0.0</v>
      </c>
      <c r="CK42" s="146">
        <f t="shared" si="113"/>
        <v>47500</v>
      </c>
      <c r="CL42" s="137">
        <v>0.0</v>
      </c>
      <c r="CM42" s="137">
        <v>0.0</v>
      </c>
      <c r="CN42" s="137">
        <v>0.0</v>
      </c>
      <c r="CO42" s="207">
        <v>30000.0</v>
      </c>
      <c r="CP42" s="137">
        <v>0.0</v>
      </c>
      <c r="CQ42" s="137">
        <v>0.0</v>
      </c>
      <c r="CR42" s="137">
        <v>0.0</v>
      </c>
      <c r="CS42" s="137">
        <v>0.0</v>
      </c>
      <c r="CT42" s="137">
        <v>0.0</v>
      </c>
      <c r="CU42" s="137">
        <v>0.0</v>
      </c>
      <c r="CV42" s="137">
        <v>0.0</v>
      </c>
      <c r="CW42" s="137">
        <v>0.0</v>
      </c>
      <c r="CX42" s="146">
        <f t="shared" si="115"/>
        <v>30000</v>
      </c>
      <c r="CY42" s="137">
        <v>0.0</v>
      </c>
      <c r="CZ42" s="137">
        <v>0.0</v>
      </c>
    </row>
    <row r="43">
      <c r="A43" s="208"/>
      <c r="B43" s="209"/>
      <c r="C43" s="168"/>
      <c r="D43" s="210"/>
      <c r="E43" s="210"/>
      <c r="F43" s="210"/>
      <c r="G43" s="210"/>
      <c r="H43" s="211"/>
      <c r="I43" s="210"/>
      <c r="J43" s="210"/>
      <c r="K43" s="210"/>
      <c r="L43" s="210"/>
      <c r="M43" s="210"/>
      <c r="N43" s="210"/>
      <c r="O43" s="210"/>
      <c r="P43" s="212">
        <f>sum(P17:P40)/P13</f>
        <v>0.4221954819</v>
      </c>
      <c r="Q43" s="212">
        <f t="shared" ref="Q43:S43" si="139">sum(Q27:Q40)/Q13</f>
        <v>0.1376688722</v>
      </c>
      <c r="R43" s="212">
        <f t="shared" si="139"/>
        <v>0.1557641757</v>
      </c>
      <c r="S43" s="212">
        <f t="shared" si="139"/>
        <v>0.04717220391</v>
      </c>
      <c r="T43" s="212">
        <f t="shared" ref="T43:AZ43" si="140">sum(T27:T42)/T13</f>
        <v>0.5274487031</v>
      </c>
      <c r="U43" s="212">
        <f t="shared" si="140"/>
        <v>0.1974448316</v>
      </c>
      <c r="V43" s="212">
        <f t="shared" si="140"/>
        <v>0.4105068442</v>
      </c>
      <c r="W43" s="212">
        <f t="shared" si="140"/>
        <v>0.2327526132</v>
      </c>
      <c r="X43" s="212">
        <f t="shared" si="140"/>
        <v>0.5468060395</v>
      </c>
      <c r="Y43" s="212">
        <f t="shared" si="140"/>
        <v>0.1794733568</v>
      </c>
      <c r="Z43" s="212">
        <f t="shared" si="140"/>
        <v>0.4533363636</v>
      </c>
      <c r="AA43" s="212">
        <f t="shared" si="140"/>
        <v>0.4409573864</v>
      </c>
      <c r="AB43" s="212">
        <f t="shared" si="140"/>
        <v>0.2288636364</v>
      </c>
      <c r="AC43" s="212">
        <f t="shared" si="140"/>
        <v>0.3517090909</v>
      </c>
      <c r="AD43" s="212">
        <f t="shared" si="140"/>
        <v>0.162804878</v>
      </c>
      <c r="AE43" s="212">
        <f t="shared" si="140"/>
        <v>0.0974341661</v>
      </c>
      <c r="AF43" s="212">
        <f t="shared" si="140"/>
        <v>0.140990099</v>
      </c>
      <c r="AG43" s="212">
        <f t="shared" si="140"/>
        <v>0.1271428571</v>
      </c>
      <c r="AH43" s="213">
        <f t="shared" si="140"/>
        <v>0.1365891473</v>
      </c>
      <c r="AI43" s="212">
        <f t="shared" si="140"/>
        <v>0.2981102362</v>
      </c>
      <c r="AJ43" s="212">
        <f t="shared" si="140"/>
        <v>0.2508661417</v>
      </c>
      <c r="AK43" s="212">
        <f t="shared" si="140"/>
        <v>0.1298002663</v>
      </c>
      <c r="AL43" s="212">
        <f t="shared" si="140"/>
        <v>0.5724675325</v>
      </c>
      <c r="AM43" s="212">
        <f t="shared" si="140"/>
        <v>0.2596536797</v>
      </c>
      <c r="AN43" s="212">
        <f t="shared" si="140"/>
        <v>0.1391647332</v>
      </c>
      <c r="AO43" s="212">
        <f t="shared" si="140"/>
        <v>0.2389641434</v>
      </c>
      <c r="AP43" s="212">
        <f t="shared" si="140"/>
        <v>0.1505069124</v>
      </c>
      <c r="AQ43" s="212">
        <f t="shared" si="140"/>
        <v>0.2596536797</v>
      </c>
      <c r="AR43" s="212">
        <f t="shared" si="140"/>
        <v>0.2596536797</v>
      </c>
      <c r="AS43" s="212">
        <f t="shared" si="140"/>
        <v>0.2620779221</v>
      </c>
      <c r="AT43" s="212">
        <f t="shared" si="140"/>
        <v>0.1839752017</v>
      </c>
      <c r="AU43" s="212">
        <f t="shared" si="140"/>
        <v>0.1080720721</v>
      </c>
      <c r="AV43" s="212">
        <f t="shared" si="140"/>
        <v>0.2596536797</v>
      </c>
      <c r="AW43" s="212">
        <f t="shared" si="140"/>
        <v>0.283030303</v>
      </c>
      <c r="AX43" s="212">
        <f t="shared" si="140"/>
        <v>0.2530549214</v>
      </c>
      <c r="AY43" s="212">
        <f t="shared" si="140"/>
        <v>0.227804878</v>
      </c>
      <c r="AZ43" s="212">
        <f t="shared" si="140"/>
        <v>0.1667513612</v>
      </c>
      <c r="BA43" s="212"/>
      <c r="BB43" s="212"/>
      <c r="BC43" s="212"/>
      <c r="BD43" s="212"/>
      <c r="BE43" s="212"/>
      <c r="BF43" s="212"/>
      <c r="BG43" s="212"/>
      <c r="BH43" s="212"/>
      <c r="BI43" s="212"/>
      <c r="BJ43" s="212"/>
      <c r="BK43" s="213"/>
      <c r="BL43" s="212"/>
      <c r="BM43" s="212"/>
      <c r="BN43" s="212"/>
      <c r="BO43" s="212"/>
      <c r="BP43" s="212"/>
      <c r="BQ43" s="212"/>
      <c r="BR43" s="212"/>
      <c r="BS43" s="212"/>
      <c r="BT43" s="212"/>
      <c r="BU43" s="212"/>
      <c r="BV43" s="212"/>
      <c r="BW43" s="212"/>
      <c r="BX43" s="214"/>
      <c r="BY43" s="212"/>
      <c r="BZ43" s="212"/>
      <c r="CA43" s="212"/>
      <c r="CB43" s="212"/>
      <c r="CC43" s="212"/>
      <c r="CD43" s="212"/>
      <c r="CE43" s="212"/>
      <c r="CF43" s="212"/>
      <c r="CG43" s="212"/>
      <c r="CH43" s="212"/>
      <c r="CI43" s="212"/>
      <c r="CJ43" s="212"/>
      <c r="CK43" s="214"/>
      <c r="CL43" s="212"/>
      <c r="CM43" s="212"/>
      <c r="CN43" s="212"/>
      <c r="CO43" s="212"/>
      <c r="CP43" s="212"/>
      <c r="CQ43" s="212"/>
      <c r="CR43" s="212"/>
      <c r="CS43" s="212"/>
      <c r="CT43" s="212"/>
      <c r="CU43" s="212"/>
      <c r="CV43" s="212"/>
      <c r="CW43" s="212"/>
      <c r="CX43" s="214"/>
      <c r="CY43" s="212"/>
      <c r="CZ43" s="212"/>
    </row>
    <row r="44">
      <c r="A44" s="171" t="s">
        <v>236</v>
      </c>
      <c r="B44" s="172"/>
      <c r="C44" s="137">
        <f t="shared" ref="C44:G44" si="141">sum(C17:C39)</f>
        <v>2841.475</v>
      </c>
      <c r="D44" s="137">
        <f t="shared" si="141"/>
        <v>2691.475</v>
      </c>
      <c r="E44" s="137">
        <f t="shared" si="141"/>
        <v>3241.475</v>
      </c>
      <c r="F44" s="137">
        <f t="shared" si="141"/>
        <v>3490.265</v>
      </c>
      <c r="G44" s="137">
        <f t="shared" si="141"/>
        <v>2886.475</v>
      </c>
      <c r="H44" s="175">
        <f t="shared" ref="H44:M44" si="142">sum(H22:H39)</f>
        <v>785</v>
      </c>
      <c r="I44" s="137">
        <f t="shared" si="142"/>
        <v>2273</v>
      </c>
      <c r="J44" s="137">
        <f t="shared" si="142"/>
        <v>3319</v>
      </c>
      <c r="K44" s="137">
        <f t="shared" si="142"/>
        <v>3083</v>
      </c>
      <c r="L44" s="137">
        <f t="shared" si="142"/>
        <v>3545</v>
      </c>
      <c r="M44" s="137">
        <f t="shared" si="142"/>
        <v>1923</v>
      </c>
      <c r="N44" s="137">
        <f t="shared" ref="N44:O44" si="143">sum(N22:N40)</f>
        <v>3152</v>
      </c>
      <c r="O44" s="137">
        <f t="shared" si="143"/>
        <v>2351</v>
      </c>
      <c r="P44" s="137">
        <f t="shared" ref="P44:S44" si="144">sum(P17:P40)</f>
        <v>5012.726956</v>
      </c>
      <c r="Q44" s="137">
        <f t="shared" si="144"/>
        <v>3803.570397</v>
      </c>
      <c r="R44" s="137">
        <f t="shared" si="144"/>
        <v>3784.887689</v>
      </c>
      <c r="S44" s="137">
        <f t="shared" si="144"/>
        <v>3067.73901</v>
      </c>
      <c r="T44" s="137">
        <f t="shared" ref="T44:X44" si="145">sum(T17:T42)</f>
        <v>6208.908988</v>
      </c>
      <c r="U44" s="137">
        <f t="shared" si="145"/>
        <v>1855.089818</v>
      </c>
      <c r="V44" s="137">
        <f t="shared" si="145"/>
        <v>4730.289456</v>
      </c>
      <c r="W44" s="137">
        <f t="shared" si="145"/>
        <v>3161.256756</v>
      </c>
      <c r="X44" s="137">
        <f t="shared" si="145"/>
        <v>6665.485327</v>
      </c>
      <c r="Y44" s="137">
        <f t="shared" ref="Y44:BJ44" si="146">sum(Y17:Y24,Y27:Y42)</f>
        <v>5063.475</v>
      </c>
      <c r="Z44" s="137">
        <f t="shared" si="146"/>
        <v>6769.65</v>
      </c>
      <c r="AA44" s="137">
        <f t="shared" si="146"/>
        <v>6814.99</v>
      </c>
      <c r="AB44" s="137">
        <f t="shared" si="146"/>
        <v>4948.565</v>
      </c>
      <c r="AC44" s="137">
        <f t="shared" si="146"/>
        <v>6158.565</v>
      </c>
      <c r="AD44" s="137">
        <f t="shared" si="146"/>
        <v>4358.565</v>
      </c>
      <c r="AE44" s="137">
        <f t="shared" si="146"/>
        <v>4858.565</v>
      </c>
      <c r="AF44" s="137">
        <f t="shared" si="146"/>
        <v>4358.565</v>
      </c>
      <c r="AG44" s="137">
        <f t="shared" si="146"/>
        <v>4358.565</v>
      </c>
      <c r="AH44" s="175">
        <f t="shared" si="146"/>
        <v>10512.09</v>
      </c>
      <c r="AI44" s="137">
        <f t="shared" si="146"/>
        <v>5739.09</v>
      </c>
      <c r="AJ44" s="137">
        <f t="shared" si="146"/>
        <v>5539.09</v>
      </c>
      <c r="AK44" s="137">
        <f t="shared" si="146"/>
        <v>5827</v>
      </c>
      <c r="AL44" s="137">
        <f t="shared" si="146"/>
        <v>10177</v>
      </c>
      <c r="AM44" s="137">
        <f t="shared" si="146"/>
        <v>6364</v>
      </c>
      <c r="AN44" s="137">
        <f t="shared" si="146"/>
        <v>6364</v>
      </c>
      <c r="AO44" s="137">
        <f t="shared" si="146"/>
        <v>6364</v>
      </c>
      <c r="AP44" s="137">
        <f t="shared" si="146"/>
        <v>8289</v>
      </c>
      <c r="AQ44" s="137">
        <f t="shared" si="146"/>
        <v>6389</v>
      </c>
      <c r="AR44" s="137">
        <f t="shared" si="146"/>
        <v>6389</v>
      </c>
      <c r="AS44" s="137">
        <f t="shared" si="146"/>
        <v>6417</v>
      </c>
      <c r="AT44" s="137">
        <f t="shared" si="146"/>
        <v>6389</v>
      </c>
      <c r="AU44" s="137">
        <f t="shared" si="146"/>
        <v>6489</v>
      </c>
      <c r="AV44" s="137">
        <f t="shared" si="146"/>
        <v>6489</v>
      </c>
      <c r="AW44" s="137">
        <f t="shared" si="146"/>
        <v>6909</v>
      </c>
      <c r="AX44" s="137">
        <f t="shared" si="146"/>
        <v>7409</v>
      </c>
      <c r="AY44" s="137">
        <f t="shared" si="146"/>
        <v>6909</v>
      </c>
      <c r="AZ44" s="137">
        <f t="shared" si="146"/>
        <v>8234</v>
      </c>
      <c r="BA44" s="137">
        <f t="shared" si="146"/>
        <v>-7117</v>
      </c>
      <c r="BB44" s="137">
        <f t="shared" si="146"/>
        <v>-7117</v>
      </c>
      <c r="BC44" s="137">
        <f t="shared" si="146"/>
        <v>-8817</v>
      </c>
      <c r="BD44" s="137">
        <f t="shared" si="146"/>
        <v>-14513</v>
      </c>
      <c r="BE44" s="137">
        <f t="shared" si="146"/>
        <v>-8417</v>
      </c>
      <c r="BF44" s="137">
        <f t="shared" si="146"/>
        <v>-6667</v>
      </c>
      <c r="BG44" s="137">
        <f t="shared" si="146"/>
        <v>-7952</v>
      </c>
      <c r="BH44" s="137">
        <f t="shared" si="146"/>
        <v>-7267</v>
      </c>
      <c r="BI44" s="137">
        <f t="shared" si="146"/>
        <v>-7417</v>
      </c>
      <c r="BJ44" s="137">
        <f t="shared" si="146"/>
        <v>-12467</v>
      </c>
      <c r="BK44" s="175"/>
      <c r="BL44" s="137">
        <f t="shared" ref="BL44:BW44" si="147">sum(BL17:BL24,BL27:BL42)</f>
        <v>33583</v>
      </c>
      <c r="BM44" s="137">
        <f t="shared" si="147"/>
        <v>12933</v>
      </c>
      <c r="BN44" s="137">
        <f t="shared" si="147"/>
        <v>22333</v>
      </c>
      <c r="BO44" s="137">
        <f t="shared" si="147"/>
        <v>13033</v>
      </c>
      <c r="BP44" s="137">
        <f t="shared" si="147"/>
        <v>11633</v>
      </c>
      <c r="BQ44" s="137">
        <f t="shared" si="147"/>
        <v>18058</v>
      </c>
      <c r="BR44" s="137">
        <f t="shared" si="147"/>
        <v>11758</v>
      </c>
      <c r="BS44" s="137">
        <f t="shared" si="147"/>
        <v>45248</v>
      </c>
      <c r="BT44" s="137">
        <f t="shared" si="147"/>
        <v>14678</v>
      </c>
      <c r="BU44" s="137">
        <f t="shared" si="147"/>
        <v>12018</v>
      </c>
      <c r="BV44" s="137">
        <f t="shared" si="147"/>
        <v>11618</v>
      </c>
      <c r="BW44" s="137">
        <f t="shared" si="147"/>
        <v>16418</v>
      </c>
      <c r="BX44" s="146">
        <f>sum(BL44:BW44)</f>
        <v>223311</v>
      </c>
      <c r="BY44" s="137">
        <f t="shared" ref="BY44:CJ44" si="148">sum(BY17:BY24,BY27:BY42)</f>
        <v>21118</v>
      </c>
      <c r="BZ44" s="137">
        <f t="shared" si="148"/>
        <v>13418</v>
      </c>
      <c r="CA44" s="137">
        <f t="shared" si="148"/>
        <v>30618</v>
      </c>
      <c r="CB44" s="137">
        <f t="shared" si="148"/>
        <v>16118</v>
      </c>
      <c r="CC44" s="137">
        <f t="shared" si="148"/>
        <v>13618</v>
      </c>
      <c r="CD44" s="137">
        <f t="shared" si="148"/>
        <v>51618</v>
      </c>
      <c r="CE44" s="137">
        <f t="shared" si="148"/>
        <v>13618</v>
      </c>
      <c r="CF44" s="137">
        <f t="shared" si="148"/>
        <v>13618</v>
      </c>
      <c r="CG44" s="137">
        <f t="shared" si="148"/>
        <v>13618</v>
      </c>
      <c r="CH44" s="137">
        <f t="shared" si="148"/>
        <v>13618</v>
      </c>
      <c r="CI44" s="137">
        <f t="shared" si="148"/>
        <v>13418</v>
      </c>
      <c r="CJ44" s="137">
        <f t="shared" si="148"/>
        <v>13418</v>
      </c>
      <c r="CK44" s="146">
        <f>sum(BY44:CJ44)</f>
        <v>227816</v>
      </c>
      <c r="CL44" s="137">
        <f t="shared" ref="CL44:CW44" si="149">sum(CL17:CL24,CL27:CL42)</f>
        <v>18418</v>
      </c>
      <c r="CM44" s="137">
        <f t="shared" si="149"/>
        <v>13418</v>
      </c>
      <c r="CN44" s="137">
        <f t="shared" si="149"/>
        <v>14418</v>
      </c>
      <c r="CO44" s="137">
        <f t="shared" si="149"/>
        <v>45418</v>
      </c>
      <c r="CP44" s="137">
        <f t="shared" si="149"/>
        <v>13418</v>
      </c>
      <c r="CQ44" s="137">
        <f t="shared" si="149"/>
        <v>18918</v>
      </c>
      <c r="CR44" s="137">
        <f t="shared" si="149"/>
        <v>13418</v>
      </c>
      <c r="CS44" s="137">
        <f t="shared" si="149"/>
        <v>13418</v>
      </c>
      <c r="CT44" s="137">
        <f t="shared" si="149"/>
        <v>13418</v>
      </c>
      <c r="CU44" s="137">
        <f t="shared" si="149"/>
        <v>13418</v>
      </c>
      <c r="CV44" s="137">
        <f t="shared" si="149"/>
        <v>13418</v>
      </c>
      <c r="CW44" s="137">
        <f t="shared" si="149"/>
        <v>13418</v>
      </c>
      <c r="CX44" s="146">
        <f>sum(CL44:CW44)</f>
        <v>204516</v>
      </c>
      <c r="CY44" s="137">
        <f t="shared" ref="CY44:CZ44" si="150">sum(CY17:CY24,CY27:CY42)</f>
        <v>11433</v>
      </c>
      <c r="CZ44" s="137">
        <f t="shared" si="150"/>
        <v>11433</v>
      </c>
    </row>
    <row r="45">
      <c r="A45" s="215"/>
      <c r="B45" s="183"/>
      <c r="C45" s="183"/>
      <c r="D45" s="183"/>
      <c r="E45" s="183"/>
      <c r="F45" s="183"/>
      <c r="G45" s="183"/>
      <c r="H45" s="184"/>
      <c r="I45" s="183"/>
      <c r="J45" s="183"/>
      <c r="K45" s="183"/>
      <c r="L45" s="183"/>
      <c r="M45" s="183"/>
      <c r="N45" s="183"/>
      <c r="O45" s="183"/>
      <c r="P45" s="183"/>
      <c r="Q45" s="216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4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  <c r="AY45" s="183"/>
      <c r="AZ45" s="183"/>
      <c r="BA45" s="183"/>
      <c r="BB45" s="183"/>
      <c r="BC45" s="183"/>
      <c r="BD45" s="183"/>
      <c r="BE45" s="183"/>
      <c r="BF45" s="183"/>
      <c r="BG45" s="183"/>
      <c r="BH45" s="183"/>
      <c r="BI45" s="183"/>
      <c r="BJ45" s="183"/>
      <c r="BK45" s="184"/>
      <c r="BL45" s="183"/>
      <c r="BM45" s="183"/>
      <c r="BN45" s="183"/>
      <c r="BO45" s="183"/>
      <c r="BP45" s="183"/>
      <c r="BQ45" s="183"/>
      <c r="BR45" s="183"/>
      <c r="BS45" s="183"/>
      <c r="BT45" s="183"/>
      <c r="BU45" s="183"/>
      <c r="BV45" s="183"/>
      <c r="BW45" s="183"/>
      <c r="BX45" s="185"/>
      <c r="BY45" s="183"/>
      <c r="BZ45" s="183"/>
      <c r="CA45" s="183"/>
      <c r="CB45" s="183"/>
      <c r="CC45" s="183"/>
      <c r="CD45" s="183"/>
      <c r="CE45" s="183"/>
      <c r="CF45" s="183"/>
      <c r="CG45" s="183"/>
      <c r="CH45" s="183"/>
      <c r="CI45" s="183"/>
      <c r="CJ45" s="183"/>
      <c r="CK45" s="185"/>
      <c r="CL45" s="183"/>
      <c r="CM45" s="183"/>
      <c r="CN45" s="183"/>
      <c r="CO45" s="183"/>
      <c r="CP45" s="183"/>
      <c r="CQ45" s="183"/>
      <c r="CR45" s="183"/>
      <c r="CS45" s="183"/>
      <c r="CT45" s="183"/>
      <c r="CU45" s="183"/>
      <c r="CV45" s="183"/>
      <c r="CW45" s="183"/>
      <c r="CX45" s="185"/>
      <c r="CY45" s="183"/>
      <c r="CZ45" s="183"/>
    </row>
    <row r="46">
      <c r="A46" s="186" t="s">
        <v>237</v>
      </c>
      <c r="B46" s="187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4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4"/>
      <c r="BL46" s="133"/>
      <c r="BM46" s="133"/>
      <c r="BN46" s="133"/>
      <c r="BO46" s="133"/>
      <c r="BP46" s="133"/>
      <c r="BQ46" s="133"/>
      <c r="BR46" s="133"/>
      <c r="BS46" s="133"/>
      <c r="BT46" s="133"/>
      <c r="BU46" s="133"/>
      <c r="BV46" s="133"/>
      <c r="BW46" s="133"/>
      <c r="BX46" s="134"/>
      <c r="BY46" s="133"/>
      <c r="BZ46" s="133"/>
      <c r="CA46" s="133"/>
      <c r="CB46" s="133"/>
      <c r="CC46" s="133"/>
      <c r="CD46" s="133"/>
      <c r="CE46" s="133"/>
      <c r="CF46" s="133"/>
      <c r="CG46" s="133"/>
      <c r="CH46" s="133"/>
      <c r="CI46" s="133"/>
      <c r="CJ46" s="133"/>
      <c r="CK46" s="134"/>
      <c r="CL46" s="133"/>
      <c r="CM46" s="133"/>
      <c r="CN46" s="133"/>
      <c r="CO46" s="133"/>
      <c r="CP46" s="133"/>
      <c r="CQ46" s="133"/>
      <c r="CR46" s="133"/>
      <c r="CS46" s="133"/>
      <c r="CT46" s="133"/>
      <c r="CU46" s="133"/>
      <c r="CV46" s="133"/>
      <c r="CW46" s="133"/>
      <c r="CX46" s="134"/>
      <c r="CY46" s="133"/>
      <c r="CZ46" s="133"/>
    </row>
    <row r="47">
      <c r="A47" s="135" t="s">
        <v>238</v>
      </c>
      <c r="B47" s="136"/>
      <c r="C47" s="137"/>
      <c r="D47" s="137"/>
      <c r="E47" s="137"/>
      <c r="F47" s="137"/>
      <c r="G47" s="137"/>
      <c r="H47" s="137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40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40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40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40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40"/>
      <c r="CY47" s="138"/>
      <c r="CZ47" s="138"/>
    </row>
    <row r="48">
      <c r="A48" s="199"/>
      <c r="B48" s="144" t="s">
        <v>239</v>
      </c>
      <c r="C48" s="137">
        <v>2500.0</v>
      </c>
      <c r="D48" s="137">
        <v>4500.0</v>
      </c>
      <c r="E48" s="137">
        <v>2800.0</v>
      </c>
      <c r="F48" s="137">
        <v>2800.0</v>
      </c>
      <c r="G48" s="137">
        <v>2000.0</v>
      </c>
      <c r="H48" s="175">
        <v>3093.0</v>
      </c>
      <c r="I48" s="137">
        <v>1600.0</v>
      </c>
      <c r="J48" s="137">
        <f>'PAYMENT SCHEDULE'!C13+'PAYMENT SCHEDULE'!C29</f>
        <v>3200</v>
      </c>
      <c r="K48" s="194">
        <f>LIABILITIES!E26</f>
        <v>1000</v>
      </c>
      <c r="L48" s="194">
        <f>LIABILITIES!E26</f>
        <v>1000</v>
      </c>
      <c r="M48" s="217" t="str">
        <f>'PAYMENT SCHEDULE'!C33</f>
        <v/>
      </c>
      <c r="N48" s="194">
        <f>N13*0.25</f>
        <v>1732.5</v>
      </c>
      <c r="O48" s="194">
        <f>O13*0.35</f>
        <v>2520</v>
      </c>
      <c r="P48" s="194">
        <v>5956.0</v>
      </c>
      <c r="Q48" s="194">
        <v>2008.0</v>
      </c>
      <c r="R48" s="194">
        <f>R13*0.4</f>
        <v>2663</v>
      </c>
      <c r="S48" s="194">
        <v>5600.0</v>
      </c>
      <c r="T48" s="194">
        <f>T13*0.25</f>
        <v>1614.375</v>
      </c>
      <c r="U48" s="194">
        <f>U13*0.4</f>
        <v>2583</v>
      </c>
      <c r="V48" s="194">
        <f>3397</f>
        <v>3397</v>
      </c>
      <c r="W48" s="194">
        <f>W13*0.3</f>
        <v>1937.25</v>
      </c>
      <c r="X48" s="137">
        <f>X$13*0.11</f>
        <v>710.325</v>
      </c>
      <c r="Y48" s="137">
        <f t="shared" ref="Y48:Z48" si="151">Y$13*0.1</f>
        <v>1205.75</v>
      </c>
      <c r="Z48" s="137">
        <f t="shared" si="151"/>
        <v>880</v>
      </c>
      <c r="AA48" s="202">
        <f>AA$13*0.33</f>
        <v>2904</v>
      </c>
      <c r="AB48" s="203">
        <f t="shared" ref="AB48:AC48" si="152">AB$13*0.2</f>
        <v>1760</v>
      </c>
      <c r="AC48" s="203">
        <f t="shared" si="152"/>
        <v>1833.333333</v>
      </c>
      <c r="AD48" s="203">
        <f>AD$13*0.25</f>
        <v>2186.666667</v>
      </c>
      <c r="AE48" s="203">
        <f>AE$13*0.7</f>
        <v>13822.66667</v>
      </c>
      <c r="AF48" s="137">
        <f>AF$13*0.25</f>
        <v>2525</v>
      </c>
      <c r="AG48" s="137">
        <f t="shared" ref="AG48:AH48" si="153">AG$13*0.15</f>
        <v>1680</v>
      </c>
      <c r="AH48" s="175">
        <f t="shared" si="153"/>
        <v>3870</v>
      </c>
      <c r="AI48" s="137">
        <f t="shared" ref="AI48:AK48" si="154">AI$13*0.18</f>
        <v>1524</v>
      </c>
      <c r="AJ48" s="137">
        <f t="shared" si="154"/>
        <v>1524</v>
      </c>
      <c r="AK48" s="137">
        <f t="shared" si="154"/>
        <v>3379.5</v>
      </c>
      <c r="AL48" s="137">
        <f>AL$13*0.05</f>
        <v>577.5</v>
      </c>
      <c r="AM48" s="137">
        <f>AM$13*0.1</f>
        <v>1155</v>
      </c>
      <c r="AN48" s="137">
        <f>AN$13*0.4</f>
        <v>8620</v>
      </c>
      <c r="AO48" s="137">
        <f>AO$13*0.1</f>
        <v>1255</v>
      </c>
      <c r="AP48" s="137">
        <f>17000</f>
        <v>17000</v>
      </c>
      <c r="AQ48" s="137">
        <f>AQ$13*0.1</f>
        <v>1155</v>
      </c>
      <c r="AR48" s="137">
        <f t="shared" ref="AR48:AS48" si="155">AR$13*0.3</f>
        <v>3465</v>
      </c>
      <c r="AS48" s="137">
        <f t="shared" si="155"/>
        <v>3465</v>
      </c>
      <c r="AT48" s="137">
        <f>AT$13*0.5</f>
        <v>8150.555</v>
      </c>
      <c r="AU48" s="137">
        <f>AU$13*0.2</f>
        <v>5550</v>
      </c>
      <c r="AV48" s="137">
        <f>AV$13*0.1</f>
        <v>1155</v>
      </c>
      <c r="AW48" s="137">
        <f>AW$13*0.1+2530</f>
        <v>3685</v>
      </c>
      <c r="AX48" s="194">
        <f>AX$13*0.1+2000</f>
        <v>3489.4</v>
      </c>
      <c r="AY48" s="137">
        <f>AY$13*0.1</f>
        <v>1435</v>
      </c>
      <c r="AZ48" s="218">
        <v>16000.0</v>
      </c>
      <c r="BA48" s="137">
        <v>-15000.0</v>
      </c>
      <c r="BB48" s="137">
        <v>-2400.0</v>
      </c>
      <c r="BC48" s="137">
        <v>-5000.0</v>
      </c>
      <c r="BD48" s="137">
        <v>-2400.0</v>
      </c>
      <c r="BE48" s="137">
        <v>-2400.0</v>
      </c>
      <c r="BF48" s="137">
        <v>-5000.0</v>
      </c>
      <c r="BG48" s="137">
        <f>-4500</f>
        <v>-4500</v>
      </c>
      <c r="BH48" s="194">
        <f>sum(-2500)</f>
        <v>-2500</v>
      </c>
      <c r="BI48" s="194">
        <f>sum(-4500)</f>
        <v>-4500</v>
      </c>
      <c r="BJ48" s="194">
        <f>sum(-8000)</f>
        <v>-8000</v>
      </c>
      <c r="BK48" s="175"/>
      <c r="BL48" s="137">
        <v>0.0</v>
      </c>
      <c r="BM48" s="137">
        <v>10000.0</v>
      </c>
      <c r="BN48" s="137">
        <v>8000.0</v>
      </c>
      <c r="BO48" s="137">
        <v>20000.0</v>
      </c>
      <c r="BP48" s="137">
        <v>0.0</v>
      </c>
      <c r="BQ48" s="137">
        <v>5000.0</v>
      </c>
      <c r="BR48" s="137">
        <f>45000</f>
        <v>45000</v>
      </c>
      <c r="BS48" s="137">
        <v>0.0</v>
      </c>
      <c r="BT48" s="137">
        <v>0.0</v>
      </c>
      <c r="BU48" s="137">
        <v>0.0</v>
      </c>
      <c r="BV48" s="137">
        <v>0.0</v>
      </c>
      <c r="BW48" s="137">
        <v>0.0</v>
      </c>
      <c r="BX48" s="146">
        <f>sum(BL48:BW48)</f>
        <v>88000</v>
      </c>
      <c r="BY48" s="137">
        <v>0.0</v>
      </c>
      <c r="BZ48" s="137">
        <v>0.0</v>
      </c>
      <c r="CA48" s="137">
        <v>50000.0</v>
      </c>
      <c r="CB48" s="137">
        <v>0.0</v>
      </c>
      <c r="CC48" s="137">
        <v>0.0</v>
      </c>
      <c r="CD48" s="137">
        <v>0.0</v>
      </c>
      <c r="CE48" s="137">
        <v>0.0</v>
      </c>
      <c r="CF48" s="137">
        <v>0.0</v>
      </c>
      <c r="CG48" s="137">
        <v>0.0</v>
      </c>
      <c r="CH48" s="137">
        <v>0.0</v>
      </c>
      <c r="CI48" s="137">
        <v>0.0</v>
      </c>
      <c r="CJ48" s="137">
        <v>0.0</v>
      </c>
      <c r="CK48" s="146">
        <f>sum(BY48:CJ48)</f>
        <v>50000</v>
      </c>
      <c r="CL48" s="137">
        <v>50000.0</v>
      </c>
      <c r="CM48" s="137">
        <v>10000.0</v>
      </c>
      <c r="CN48" s="137">
        <v>8000.0</v>
      </c>
      <c r="CO48" s="137">
        <v>20000.0</v>
      </c>
      <c r="CP48" s="137">
        <v>0.0</v>
      </c>
      <c r="CQ48" s="137">
        <v>5000.0</v>
      </c>
      <c r="CR48" s="137">
        <f>45000</f>
        <v>45000</v>
      </c>
      <c r="CS48" s="137">
        <v>0.0</v>
      </c>
      <c r="CT48" s="137">
        <v>0.0</v>
      </c>
      <c r="CU48" s="137">
        <v>25000.0</v>
      </c>
      <c r="CV48" s="137">
        <v>0.0</v>
      </c>
      <c r="CW48" s="137">
        <v>0.0</v>
      </c>
      <c r="CX48" s="146">
        <f>sum(CL48:CW48)</f>
        <v>163000</v>
      </c>
      <c r="CY48" s="137">
        <v>0.0</v>
      </c>
      <c r="CZ48" s="137">
        <v>0.0</v>
      </c>
    </row>
    <row r="49">
      <c r="A49" s="135" t="s">
        <v>240</v>
      </c>
      <c r="B49" s="136"/>
      <c r="C49" s="137"/>
      <c r="D49" s="137"/>
      <c r="E49" s="137"/>
      <c r="F49" s="137"/>
      <c r="G49" s="137"/>
      <c r="H49" s="137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40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40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40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40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40"/>
      <c r="CY49" s="138"/>
      <c r="CZ49" s="138"/>
    </row>
    <row r="50">
      <c r="A50" s="219"/>
      <c r="B50" s="220" t="s">
        <v>241</v>
      </c>
      <c r="C50" s="137"/>
      <c r="D50" s="137"/>
      <c r="E50" s="137"/>
      <c r="F50" s="137"/>
      <c r="G50" s="137"/>
      <c r="H50" s="175"/>
      <c r="I50" s="137">
        <v>0.0</v>
      </c>
      <c r="J50" s="137">
        <v>0.0</v>
      </c>
      <c r="K50" s="137">
        <f t="shared" ref="K50:L50" si="156">K13*0</f>
        <v>0</v>
      </c>
      <c r="L50" s="137">
        <f t="shared" si="156"/>
        <v>0</v>
      </c>
      <c r="M50" s="137">
        <v>0.0</v>
      </c>
      <c r="N50" s="137">
        <v>25.0</v>
      </c>
      <c r="O50" s="137">
        <v>25.0</v>
      </c>
      <c r="P50" s="137">
        <v>20.0</v>
      </c>
      <c r="Q50" s="137">
        <v>25.0</v>
      </c>
      <c r="R50" s="137">
        <v>0.0</v>
      </c>
      <c r="S50" s="137">
        <v>0.0</v>
      </c>
      <c r="T50" s="137">
        <v>0.0</v>
      </c>
      <c r="U50" s="137">
        <v>0.0</v>
      </c>
      <c r="V50" s="137">
        <v>0.0</v>
      </c>
      <c r="W50" s="137">
        <v>0.0</v>
      </c>
      <c r="X50" s="137">
        <f t="shared" ref="X50:Y50" si="157">$X$13*0.03</f>
        <v>193.725</v>
      </c>
      <c r="Y50" s="137">
        <f t="shared" si="157"/>
        <v>193.725</v>
      </c>
      <c r="Z50" s="137">
        <f t="shared" ref="Z50:Z51" si="165">$X$13*0.1</f>
        <v>645.75</v>
      </c>
      <c r="AA50" s="137">
        <f t="shared" ref="AA50:AC50" si="158">$X$13*0.03</f>
        <v>193.725</v>
      </c>
      <c r="AB50" s="137">
        <f t="shared" si="158"/>
        <v>193.725</v>
      </c>
      <c r="AC50" s="137">
        <f t="shared" si="158"/>
        <v>193.725</v>
      </c>
      <c r="AD50" s="137">
        <f t="shared" ref="AD50:AH50" si="159">$X$13*0</f>
        <v>0</v>
      </c>
      <c r="AE50" s="137">
        <f t="shared" si="159"/>
        <v>0</v>
      </c>
      <c r="AF50" s="137">
        <f t="shared" si="159"/>
        <v>0</v>
      </c>
      <c r="AG50" s="137">
        <f t="shared" si="159"/>
        <v>0</v>
      </c>
      <c r="AH50" s="175">
        <f t="shared" si="159"/>
        <v>0</v>
      </c>
      <c r="AI50" s="137">
        <f t="shared" ref="AI50:AJ50" si="160">$X$13*0.03</f>
        <v>193.725</v>
      </c>
      <c r="AJ50" s="137">
        <f t="shared" si="160"/>
        <v>193.725</v>
      </c>
      <c r="AK50" s="137">
        <f t="shared" ref="AK50:AM50" si="161">$X$13*0.032</f>
        <v>206.64</v>
      </c>
      <c r="AL50" s="137">
        <f t="shared" si="161"/>
        <v>206.64</v>
      </c>
      <c r="AM50" s="137">
        <f t="shared" si="161"/>
        <v>206.64</v>
      </c>
      <c r="AN50" s="137">
        <f t="shared" ref="AN50:AR50" si="162">$X$13*0.05</f>
        <v>322.875</v>
      </c>
      <c r="AO50" s="137">
        <f t="shared" si="162"/>
        <v>322.875</v>
      </c>
      <c r="AP50" s="137">
        <f t="shared" si="162"/>
        <v>322.875</v>
      </c>
      <c r="AQ50" s="137">
        <f t="shared" si="162"/>
        <v>322.875</v>
      </c>
      <c r="AR50" s="137">
        <f t="shared" si="162"/>
        <v>322.875</v>
      </c>
      <c r="AS50" s="137">
        <f>$X$13*0</f>
        <v>0</v>
      </c>
      <c r="AT50" s="137">
        <f t="shared" ref="AT50:AV50" si="163">$X$13*0.05</f>
        <v>322.875</v>
      </c>
      <c r="AU50" s="137">
        <f t="shared" si="163"/>
        <v>322.875</v>
      </c>
      <c r="AV50" s="137">
        <f t="shared" si="163"/>
        <v>322.875</v>
      </c>
      <c r="AW50" s="137">
        <v>0.0</v>
      </c>
      <c r="AX50" s="137">
        <v>0.0</v>
      </c>
      <c r="AY50" s="137">
        <v>0.0</v>
      </c>
      <c r="AZ50" s="137">
        <v>0.0</v>
      </c>
      <c r="BA50" s="137">
        <v>0.0</v>
      </c>
      <c r="BB50" s="137">
        <v>0.0</v>
      </c>
      <c r="BC50" s="137">
        <v>0.0</v>
      </c>
      <c r="BD50" s="137">
        <v>0.0</v>
      </c>
      <c r="BE50" s="137">
        <v>0.0</v>
      </c>
      <c r="BF50" s="137">
        <v>0.0</v>
      </c>
      <c r="BG50" s="137">
        <v>0.0</v>
      </c>
      <c r="BH50" s="137">
        <v>0.0</v>
      </c>
      <c r="BI50" s="137">
        <v>0.0</v>
      </c>
      <c r="BJ50" s="137">
        <v>0.0</v>
      </c>
      <c r="BK50" s="175"/>
      <c r="BL50" s="137">
        <v>0.0</v>
      </c>
      <c r="BM50" s="137">
        <v>0.0</v>
      </c>
      <c r="BN50" s="137">
        <v>0.0</v>
      </c>
      <c r="BO50" s="137">
        <v>500.0</v>
      </c>
      <c r="BP50" s="137">
        <v>500.0</v>
      </c>
      <c r="BQ50" s="137">
        <v>0.0</v>
      </c>
      <c r="BR50" s="137">
        <v>0.0</v>
      </c>
      <c r="BS50" s="137">
        <v>0.0</v>
      </c>
      <c r="BT50" s="137">
        <v>0.0</v>
      </c>
      <c r="BU50" s="137">
        <v>0.0</v>
      </c>
      <c r="BV50" s="137">
        <v>0.0</v>
      </c>
      <c r="BW50" s="137">
        <v>0.0</v>
      </c>
      <c r="BX50" s="146">
        <f t="shared" ref="BX50:BX52" si="171">sum(BL50:BW50)</f>
        <v>1000</v>
      </c>
      <c r="BY50" s="137">
        <v>0.0</v>
      </c>
      <c r="BZ50" s="137">
        <v>0.0</v>
      </c>
      <c r="CA50" s="137">
        <v>0.0</v>
      </c>
      <c r="CB50" s="137">
        <v>0.0</v>
      </c>
      <c r="CC50" s="137">
        <v>0.0</v>
      </c>
      <c r="CD50" s="137">
        <v>500.0</v>
      </c>
      <c r="CE50" s="137">
        <v>0.0</v>
      </c>
      <c r="CF50" s="137">
        <v>0.0</v>
      </c>
      <c r="CG50" s="137">
        <v>0.0</v>
      </c>
      <c r="CH50" s="137">
        <v>500.0</v>
      </c>
      <c r="CI50" s="137">
        <v>500.0</v>
      </c>
      <c r="CJ50" s="137">
        <v>500.0</v>
      </c>
      <c r="CK50" s="146">
        <f t="shared" ref="CK50:CK51" si="172">sum(BY50:CJ50)</f>
        <v>2000</v>
      </c>
      <c r="CL50" s="137">
        <v>500.0</v>
      </c>
      <c r="CM50" s="137">
        <v>0.0</v>
      </c>
      <c r="CN50" s="137">
        <v>0.0</v>
      </c>
      <c r="CO50" s="137">
        <v>500.0</v>
      </c>
      <c r="CP50" s="137">
        <v>500.0</v>
      </c>
      <c r="CQ50" s="137">
        <v>0.0</v>
      </c>
      <c r="CR50" s="137">
        <v>0.0</v>
      </c>
      <c r="CS50" s="137">
        <v>0.0</v>
      </c>
      <c r="CT50" s="137">
        <v>0.0</v>
      </c>
      <c r="CU50" s="137">
        <v>500.0</v>
      </c>
      <c r="CV50" s="137">
        <v>500.0</v>
      </c>
      <c r="CW50" s="137">
        <v>500.0</v>
      </c>
      <c r="CX50" s="146">
        <f t="shared" ref="CX50:CX51" si="173">sum(CL50:CW50)</f>
        <v>3000</v>
      </c>
      <c r="CY50" s="137">
        <v>500.0</v>
      </c>
      <c r="CZ50" s="137">
        <v>500.0</v>
      </c>
    </row>
    <row r="51">
      <c r="A51" s="219"/>
      <c r="B51" s="221" t="s">
        <v>242</v>
      </c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>
        <v>0.0</v>
      </c>
      <c r="S51" s="137">
        <v>500.0</v>
      </c>
      <c r="T51" s="137">
        <f>T13*0.02</f>
        <v>129.15</v>
      </c>
      <c r="U51" s="137">
        <f>U13*0.0387</f>
        <v>249.90525</v>
      </c>
      <c r="V51" s="137">
        <v>200.0</v>
      </c>
      <c r="W51" s="137">
        <v>200.0</v>
      </c>
      <c r="X51" s="137">
        <f t="shared" ref="X51:Y51" si="164">$X$13*0.04</f>
        <v>258.3</v>
      </c>
      <c r="Y51" s="137">
        <f t="shared" si="164"/>
        <v>258.3</v>
      </c>
      <c r="Z51" s="137">
        <f t="shared" si="165"/>
        <v>645.75</v>
      </c>
      <c r="AA51" s="137">
        <f>$X$13*0.047</f>
        <v>303.5025</v>
      </c>
      <c r="AB51" s="137">
        <f t="shared" ref="AB51:AC51" si="166">$X$13*0.04</f>
        <v>258.3</v>
      </c>
      <c r="AC51" s="137">
        <f t="shared" si="166"/>
        <v>258.3</v>
      </c>
      <c r="AD51" s="137">
        <f>$X$13*0.05</f>
        <v>322.875</v>
      </c>
      <c r="AE51" s="137">
        <f>$X$13*0.063</f>
        <v>406.8225</v>
      </c>
      <c r="AF51" s="137">
        <f t="shared" ref="AF51:AG51" si="167">$X$13*0.2</f>
        <v>1291.5</v>
      </c>
      <c r="AG51" s="137">
        <f t="shared" si="167"/>
        <v>1291.5</v>
      </c>
      <c r="AH51" s="175">
        <f>$X$13*0</f>
        <v>0</v>
      </c>
      <c r="AI51" s="137">
        <f t="shared" ref="AI51:AM51" si="168">$X$13*0.04</f>
        <v>258.3</v>
      </c>
      <c r="AJ51" s="137">
        <f t="shared" si="168"/>
        <v>258.3</v>
      </c>
      <c r="AK51" s="137">
        <f t="shared" si="168"/>
        <v>258.3</v>
      </c>
      <c r="AL51" s="137">
        <f t="shared" si="168"/>
        <v>258.3</v>
      </c>
      <c r="AM51" s="137">
        <f t="shared" si="168"/>
        <v>258.3</v>
      </c>
      <c r="AN51" s="137">
        <f t="shared" ref="AN51:AW51" si="169">$X$13*0.05</f>
        <v>322.875</v>
      </c>
      <c r="AO51" s="137">
        <f t="shared" si="169"/>
        <v>322.875</v>
      </c>
      <c r="AP51" s="137">
        <f t="shared" si="169"/>
        <v>322.875</v>
      </c>
      <c r="AQ51" s="137">
        <f t="shared" si="169"/>
        <v>322.875</v>
      </c>
      <c r="AR51" s="137">
        <f t="shared" si="169"/>
        <v>322.875</v>
      </c>
      <c r="AS51" s="137">
        <f t="shared" si="169"/>
        <v>322.875</v>
      </c>
      <c r="AT51" s="137">
        <f t="shared" si="169"/>
        <v>322.875</v>
      </c>
      <c r="AU51" s="137">
        <f t="shared" si="169"/>
        <v>322.875</v>
      </c>
      <c r="AV51" s="137">
        <f t="shared" si="169"/>
        <v>322.875</v>
      </c>
      <c r="AW51" s="137">
        <f t="shared" si="169"/>
        <v>322.875</v>
      </c>
      <c r="AX51" s="137">
        <f t="shared" ref="AX51:AY51" si="170">$X$13*0</f>
        <v>0</v>
      </c>
      <c r="AY51" s="137">
        <f t="shared" si="170"/>
        <v>0</v>
      </c>
      <c r="AZ51" s="137">
        <f>$X$13*0.05</f>
        <v>322.875</v>
      </c>
      <c r="BA51" s="137">
        <v>0.0</v>
      </c>
      <c r="BB51" s="137">
        <v>0.0</v>
      </c>
      <c r="BC51" s="137">
        <v>-100.0</v>
      </c>
      <c r="BD51" s="137">
        <v>-100.0</v>
      </c>
      <c r="BE51" s="137">
        <v>-100.0</v>
      </c>
      <c r="BF51" s="137">
        <v>-100.0</v>
      </c>
      <c r="BG51" s="137">
        <v>-100.0</v>
      </c>
      <c r="BH51" s="137">
        <v>-100.0</v>
      </c>
      <c r="BI51" s="137">
        <v>-100.0</v>
      </c>
      <c r="BJ51" s="137">
        <v>-100.0</v>
      </c>
      <c r="BK51" s="175"/>
      <c r="BL51" s="137">
        <v>0.0</v>
      </c>
      <c r="BM51" s="137">
        <v>0.0</v>
      </c>
      <c r="BN51" s="137">
        <v>0.0</v>
      </c>
      <c r="BO51" s="137">
        <v>2000.0</v>
      </c>
      <c r="BP51" s="137">
        <v>500.0</v>
      </c>
      <c r="BQ51" s="137">
        <v>5000.0</v>
      </c>
      <c r="BR51" s="222">
        <v>2000.0</v>
      </c>
      <c r="BS51" s="137">
        <v>0.0</v>
      </c>
      <c r="BT51" s="137">
        <v>500.0</v>
      </c>
      <c r="BU51" s="137">
        <v>0.0</v>
      </c>
      <c r="BV51" s="137">
        <v>0.0</v>
      </c>
      <c r="BW51" s="137">
        <v>0.0</v>
      </c>
      <c r="BX51" s="146">
        <f t="shared" si="171"/>
        <v>10000</v>
      </c>
      <c r="BY51" s="137">
        <v>0.0</v>
      </c>
      <c r="BZ51" s="137">
        <v>0.0</v>
      </c>
      <c r="CA51" s="137">
        <v>0.0</v>
      </c>
      <c r="CB51" s="137">
        <v>0.0</v>
      </c>
      <c r="CC51" s="137">
        <v>0.0</v>
      </c>
      <c r="CD51" s="137">
        <v>2000.0</v>
      </c>
      <c r="CE51" s="137">
        <v>2000.0</v>
      </c>
      <c r="CF51" s="137">
        <v>0.0</v>
      </c>
      <c r="CG51" s="137">
        <v>500.0</v>
      </c>
      <c r="CH51" s="137">
        <v>500.0</v>
      </c>
      <c r="CI51" s="137">
        <v>500.0</v>
      </c>
      <c r="CJ51" s="137">
        <v>500.0</v>
      </c>
      <c r="CK51" s="146">
        <f t="shared" si="172"/>
        <v>6000</v>
      </c>
      <c r="CL51" s="137">
        <v>500.0</v>
      </c>
      <c r="CM51" s="137">
        <v>0.0</v>
      </c>
      <c r="CN51" s="137">
        <v>0.0</v>
      </c>
      <c r="CO51" s="137">
        <v>2000.0</v>
      </c>
      <c r="CP51" s="137">
        <v>500.0</v>
      </c>
      <c r="CQ51" s="137">
        <v>5000.0</v>
      </c>
      <c r="CR51" s="222">
        <v>2000.0</v>
      </c>
      <c r="CS51" s="137">
        <v>0.0</v>
      </c>
      <c r="CT51" s="137">
        <v>500.0</v>
      </c>
      <c r="CU51" s="137">
        <v>500.0</v>
      </c>
      <c r="CV51" s="137">
        <v>500.0</v>
      </c>
      <c r="CW51" s="137">
        <v>500.0</v>
      </c>
      <c r="CX51" s="146">
        <f t="shared" si="173"/>
        <v>12000</v>
      </c>
      <c r="CY51" s="137">
        <v>500.0</v>
      </c>
      <c r="CZ51" s="137">
        <v>500.0</v>
      </c>
    </row>
    <row r="52">
      <c r="A52" s="219"/>
      <c r="B52" s="221" t="s">
        <v>243</v>
      </c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75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75"/>
      <c r="BL52" s="137"/>
      <c r="BM52" s="137"/>
      <c r="BN52" s="137"/>
      <c r="BO52" s="137"/>
      <c r="BP52" s="137"/>
      <c r="BQ52" s="137"/>
      <c r="BR52" s="222"/>
      <c r="BS52" s="137"/>
      <c r="BT52" s="137"/>
      <c r="BU52" s="137">
        <v>0.0</v>
      </c>
      <c r="BV52" s="137">
        <v>0.0</v>
      </c>
      <c r="BW52" s="137">
        <v>0.0</v>
      </c>
      <c r="BX52" s="146">
        <f t="shared" si="171"/>
        <v>0</v>
      </c>
      <c r="BY52" s="137">
        <v>0.0</v>
      </c>
      <c r="BZ52" s="137">
        <v>0.0</v>
      </c>
      <c r="CA52" s="137">
        <v>0.0</v>
      </c>
      <c r="CB52" s="137">
        <v>0.0</v>
      </c>
      <c r="CC52" s="137">
        <v>0.0</v>
      </c>
      <c r="CD52" s="137">
        <v>50000.0</v>
      </c>
      <c r="CE52" s="137">
        <v>0.0</v>
      </c>
      <c r="CF52" s="137">
        <v>0.0</v>
      </c>
      <c r="CG52" s="137">
        <v>0.0</v>
      </c>
      <c r="CH52" s="137">
        <v>0.0</v>
      </c>
      <c r="CI52" s="137">
        <v>0.0</v>
      </c>
      <c r="CJ52" s="137">
        <v>0.0</v>
      </c>
      <c r="CK52" s="146"/>
      <c r="CL52" s="137">
        <v>0.0</v>
      </c>
      <c r="CM52" s="137">
        <v>0.0</v>
      </c>
      <c r="CN52" s="137">
        <v>0.0</v>
      </c>
      <c r="CO52" s="137">
        <v>200000.0</v>
      </c>
      <c r="CP52" s="137">
        <v>0.0</v>
      </c>
      <c r="CQ52" s="137">
        <v>0.0</v>
      </c>
      <c r="CR52" s="137">
        <v>0.0</v>
      </c>
      <c r="CS52" s="137">
        <v>0.0</v>
      </c>
      <c r="CT52" s="137">
        <v>0.0</v>
      </c>
      <c r="CU52" s="137">
        <v>0.0</v>
      </c>
      <c r="CV52" s="137">
        <v>0.0</v>
      </c>
      <c r="CW52" s="137">
        <v>0.0</v>
      </c>
      <c r="CX52" s="146"/>
      <c r="CY52" s="137"/>
      <c r="CZ52" s="137"/>
    </row>
    <row r="53">
      <c r="A53" s="135" t="s">
        <v>244</v>
      </c>
      <c r="B53" s="136"/>
      <c r="C53" s="137"/>
      <c r="D53" s="137"/>
      <c r="E53" s="137"/>
      <c r="F53" s="137"/>
      <c r="G53" s="137"/>
      <c r="H53" s="137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40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40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40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40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40"/>
      <c r="CY53" s="138"/>
      <c r="CZ53" s="138"/>
    </row>
    <row r="54">
      <c r="A54" s="219"/>
      <c r="B54" s="223" t="s">
        <v>245</v>
      </c>
      <c r="C54" s="137"/>
      <c r="D54" s="137"/>
      <c r="E54" s="137"/>
      <c r="F54" s="137"/>
      <c r="G54" s="137"/>
      <c r="H54" s="137"/>
      <c r="I54" s="137"/>
      <c r="J54" s="137"/>
      <c r="K54" s="137">
        <v>0.0</v>
      </c>
      <c r="L54" s="137">
        <f>150+345</f>
        <v>495</v>
      </c>
      <c r="M54" s="137">
        <v>0.0</v>
      </c>
      <c r="N54" s="137">
        <v>0.0</v>
      </c>
      <c r="O54" s="137">
        <f>O13*0</f>
        <v>0</v>
      </c>
      <c r="P54" s="137">
        <v>78.0</v>
      </c>
      <c r="Q54" s="137">
        <v>0.0</v>
      </c>
      <c r="R54" s="137">
        <v>0.0</v>
      </c>
      <c r="S54" s="137">
        <v>50.0</v>
      </c>
      <c r="T54" s="137">
        <f t="shared" ref="T54:W54" si="174">$Q13*0</f>
        <v>0</v>
      </c>
      <c r="U54" s="137">
        <f t="shared" si="174"/>
        <v>0</v>
      </c>
      <c r="V54" s="137">
        <f t="shared" si="174"/>
        <v>0</v>
      </c>
      <c r="W54" s="137">
        <f t="shared" si="174"/>
        <v>0</v>
      </c>
      <c r="X54" s="137">
        <f t="shared" ref="X54:AA54" si="175">$X$13*0.01</f>
        <v>64.575</v>
      </c>
      <c r="Y54" s="137">
        <f t="shared" si="175"/>
        <v>64.575</v>
      </c>
      <c r="Z54" s="137">
        <f t="shared" si="175"/>
        <v>64.575</v>
      </c>
      <c r="AA54" s="137">
        <f t="shared" si="175"/>
        <v>64.575</v>
      </c>
      <c r="AB54" s="194">
        <f t="shared" ref="AB54:AF54" si="176">$X$13*0</f>
        <v>0</v>
      </c>
      <c r="AC54" s="137">
        <f t="shared" si="176"/>
        <v>0</v>
      </c>
      <c r="AD54" s="137">
        <f t="shared" si="176"/>
        <v>0</v>
      </c>
      <c r="AE54" s="137">
        <f t="shared" si="176"/>
        <v>0</v>
      </c>
      <c r="AF54" s="137">
        <f t="shared" si="176"/>
        <v>0</v>
      </c>
      <c r="AG54" s="224">
        <f>sum(2500,1200)</f>
        <v>3700</v>
      </c>
      <c r="AH54" s="224">
        <f>sum(2500,500,5000)</f>
        <v>8000</v>
      </c>
      <c r="AI54" s="137">
        <f>2000</f>
        <v>2000</v>
      </c>
      <c r="AJ54" s="137">
        <f t="shared" ref="AJ54:AK54" si="177">$X$13*0</f>
        <v>0</v>
      </c>
      <c r="AK54" s="137">
        <f t="shared" si="177"/>
        <v>0</v>
      </c>
      <c r="AL54" s="137">
        <f>7000</f>
        <v>7000</v>
      </c>
      <c r="AM54" s="194">
        <v>3600.0</v>
      </c>
      <c r="AN54" s="194">
        <v>3500.0</v>
      </c>
      <c r="AO54" s="137">
        <f>$X$13*0</f>
        <v>0</v>
      </c>
      <c r="AP54" s="137">
        <f>6000</f>
        <v>6000</v>
      </c>
      <c r="AQ54" s="137">
        <f>$X$13*0</f>
        <v>0</v>
      </c>
      <c r="AR54" s="137">
        <f>$X$13*1</f>
        <v>6457.5</v>
      </c>
      <c r="AS54" s="137">
        <f t="shared" ref="AS54:AT54" si="178">$X$13*0</f>
        <v>0</v>
      </c>
      <c r="AT54" s="137">
        <f t="shared" si="178"/>
        <v>0</v>
      </c>
      <c r="AU54" s="137">
        <v>10000.0</v>
      </c>
      <c r="AV54" s="137">
        <v>0.0</v>
      </c>
      <c r="AW54" s="137">
        <f>$X$13*0</f>
        <v>0</v>
      </c>
      <c r="AX54" s="137">
        <v>1000.0</v>
      </c>
      <c r="AY54" s="194">
        <v>900.0</v>
      </c>
      <c r="AZ54" s="194">
        <v>900.0</v>
      </c>
      <c r="BA54" s="137">
        <f>-sum(3509,1490,500)</f>
        <v>-5499</v>
      </c>
      <c r="BB54" s="137">
        <f>-800</f>
        <v>-800</v>
      </c>
      <c r="BC54" s="137">
        <f>sum(-800,-1200)</f>
        <v>-2000</v>
      </c>
      <c r="BD54" s="137">
        <f>sum(-800)</f>
        <v>-800</v>
      </c>
      <c r="BE54" s="137">
        <f>sum(-6200,-800)</f>
        <v>-7000</v>
      </c>
      <c r="BF54" s="203">
        <f>sum(-400,-7400,-25000)</f>
        <v>-32800</v>
      </c>
      <c r="BG54" s="203">
        <f>sum(-800,-5000)</f>
        <v>-5800</v>
      </c>
      <c r="BH54" s="137">
        <f>sum(-400,-400,-12000)</f>
        <v>-12800</v>
      </c>
      <c r="BI54" s="137">
        <f t="shared" ref="BI54:BJ54" si="179">sum(0)</f>
        <v>0</v>
      </c>
      <c r="BJ54" s="137">
        <f t="shared" si="179"/>
        <v>0</v>
      </c>
      <c r="BK54" s="175"/>
      <c r="BL54" s="137">
        <v>0.0</v>
      </c>
      <c r="BM54" s="137">
        <v>0.0</v>
      </c>
      <c r="BN54" s="137">
        <v>0.0</v>
      </c>
      <c r="BO54" s="137">
        <v>0.0</v>
      </c>
      <c r="BP54" s="137">
        <f>sum(1500)</f>
        <v>1500</v>
      </c>
      <c r="BQ54" s="137">
        <v>0.0</v>
      </c>
      <c r="BR54" s="137">
        <v>0.0</v>
      </c>
      <c r="BS54" s="137">
        <v>0.0</v>
      </c>
      <c r="BT54" s="137">
        <v>0.0</v>
      </c>
      <c r="BU54" s="137">
        <v>0.0</v>
      </c>
      <c r="BV54" s="137">
        <v>0.0</v>
      </c>
      <c r="BW54" s="137">
        <v>0.0</v>
      </c>
      <c r="BX54" s="146">
        <f t="shared" ref="BX54:BX58" si="185">sum(BL54:BW54)</f>
        <v>1500</v>
      </c>
      <c r="BY54" s="137">
        <v>0.0</v>
      </c>
      <c r="BZ54" s="137">
        <v>0.0</v>
      </c>
      <c r="CA54" s="137">
        <v>0.0</v>
      </c>
      <c r="CB54" s="137">
        <v>0.0</v>
      </c>
      <c r="CC54" s="137">
        <v>0.0</v>
      </c>
      <c r="CD54" s="225">
        <f>sum(30000,15000)</f>
        <v>45000</v>
      </c>
      <c r="CE54" s="137">
        <v>1000.0</v>
      </c>
      <c r="CF54" s="137">
        <v>1000.0</v>
      </c>
      <c r="CG54" s="137">
        <v>1000.0</v>
      </c>
      <c r="CH54" s="137">
        <v>1000.0</v>
      </c>
      <c r="CI54" s="137">
        <v>1000.0</v>
      </c>
      <c r="CJ54" s="137">
        <v>1000.0</v>
      </c>
      <c r="CK54" s="146">
        <f t="shared" ref="CK54:CK58" si="186">sum(BY54:CJ54)</f>
        <v>51000</v>
      </c>
      <c r="CL54" s="137">
        <v>30000.0</v>
      </c>
      <c r="CM54" s="137">
        <v>1000.0</v>
      </c>
      <c r="CN54" s="137">
        <v>1000.0</v>
      </c>
      <c r="CO54" s="137">
        <v>1000.0</v>
      </c>
      <c r="CP54" s="137">
        <v>1000.0</v>
      </c>
      <c r="CQ54" s="137">
        <v>1000.0</v>
      </c>
      <c r="CR54" s="137">
        <v>1000.0</v>
      </c>
      <c r="CS54" s="137">
        <v>1000.0</v>
      </c>
      <c r="CT54" s="137">
        <v>1000.0</v>
      </c>
      <c r="CU54" s="137">
        <v>1000.0</v>
      </c>
      <c r="CV54" s="137">
        <v>1000.0</v>
      </c>
      <c r="CW54" s="137">
        <v>1000.0</v>
      </c>
      <c r="CX54" s="146">
        <f t="shared" ref="CX54:CX58" si="187">sum(CL54:CW54)</f>
        <v>41000</v>
      </c>
      <c r="CY54" s="137">
        <v>0.0</v>
      </c>
      <c r="CZ54" s="137">
        <v>0.0</v>
      </c>
    </row>
    <row r="55">
      <c r="A55" s="219"/>
      <c r="B55" s="223" t="s">
        <v>246</v>
      </c>
      <c r="C55" s="137"/>
      <c r="D55" s="137"/>
      <c r="E55" s="137"/>
      <c r="F55" s="137"/>
      <c r="G55" s="137"/>
      <c r="H55" s="137"/>
      <c r="I55" s="137"/>
      <c r="J55" s="137">
        <v>0.0</v>
      </c>
      <c r="K55" s="137">
        <v>0.0</v>
      </c>
      <c r="L55" s="137">
        <v>0.0</v>
      </c>
      <c r="M55" s="137">
        <f>M13*0</f>
        <v>0</v>
      </c>
      <c r="N55" s="137">
        <v>0.0</v>
      </c>
      <c r="O55" s="137">
        <f>O10*0</f>
        <v>0</v>
      </c>
      <c r="P55" s="137">
        <v>0.0</v>
      </c>
      <c r="Q55" s="137">
        <f>175+100</f>
        <v>275</v>
      </c>
      <c r="R55" s="137">
        <f>R13*0.0063</f>
        <v>41.94225</v>
      </c>
      <c r="S55" s="137">
        <v>300.0</v>
      </c>
      <c r="T55" s="137">
        <f>T13*0.02</f>
        <v>129.15</v>
      </c>
      <c r="U55" s="137">
        <v>120.0</v>
      </c>
      <c r="V55" s="137">
        <v>100.0</v>
      </c>
      <c r="W55" s="222">
        <f>sum(100,-790)</f>
        <v>-690</v>
      </c>
      <c r="X55" s="137">
        <f t="shared" ref="X55:Y55" si="180">$X$13*0.02</f>
        <v>129.15</v>
      </c>
      <c r="Y55" s="137">
        <f t="shared" si="180"/>
        <v>129.15</v>
      </c>
      <c r="Z55" s="137">
        <f>$X$13*0.05</f>
        <v>322.875</v>
      </c>
      <c r="AA55" s="137">
        <f t="shared" ref="AA55:AF55" si="181">$X$13*0.02</f>
        <v>129.15</v>
      </c>
      <c r="AB55" s="137">
        <f t="shared" si="181"/>
        <v>129.15</v>
      </c>
      <c r="AC55" s="137">
        <f t="shared" si="181"/>
        <v>129.15</v>
      </c>
      <c r="AD55" s="137">
        <f t="shared" si="181"/>
        <v>129.15</v>
      </c>
      <c r="AE55" s="137">
        <f t="shared" si="181"/>
        <v>129.15</v>
      </c>
      <c r="AF55" s="137">
        <f t="shared" si="181"/>
        <v>129.15</v>
      </c>
      <c r="AG55" s="137">
        <f t="shared" ref="AG55:AH55" si="182">$X$13*0</f>
        <v>0</v>
      </c>
      <c r="AH55" s="175">
        <f t="shared" si="182"/>
        <v>0</v>
      </c>
      <c r="AI55" s="137">
        <f t="shared" ref="AI55:AR55" si="183">$X$13*0.02</f>
        <v>129.15</v>
      </c>
      <c r="AJ55" s="137">
        <f t="shared" si="183"/>
        <v>129.15</v>
      </c>
      <c r="AK55" s="137">
        <f t="shared" si="183"/>
        <v>129.15</v>
      </c>
      <c r="AL55" s="137">
        <f t="shared" si="183"/>
        <v>129.15</v>
      </c>
      <c r="AM55" s="137">
        <f t="shared" si="183"/>
        <v>129.15</v>
      </c>
      <c r="AN55" s="137">
        <f t="shared" si="183"/>
        <v>129.15</v>
      </c>
      <c r="AO55" s="137">
        <f t="shared" si="183"/>
        <v>129.15</v>
      </c>
      <c r="AP55" s="137">
        <f t="shared" si="183"/>
        <v>129.15</v>
      </c>
      <c r="AQ55" s="137">
        <f t="shared" si="183"/>
        <v>129.15</v>
      </c>
      <c r="AR55" s="137">
        <f t="shared" si="183"/>
        <v>129.15</v>
      </c>
      <c r="AS55" s="137">
        <v>0.0</v>
      </c>
      <c r="AT55" s="137">
        <f t="shared" ref="AT55:AW55" si="184">$X$13*0.02</f>
        <v>129.15</v>
      </c>
      <c r="AU55" s="137">
        <f t="shared" si="184"/>
        <v>129.15</v>
      </c>
      <c r="AV55" s="137">
        <f t="shared" si="184"/>
        <v>129.15</v>
      </c>
      <c r="AW55" s="137">
        <f t="shared" si="184"/>
        <v>129.15</v>
      </c>
      <c r="AX55" s="137">
        <v>0.0</v>
      </c>
      <c r="AY55" s="137">
        <v>0.0</v>
      </c>
      <c r="AZ55" s="137">
        <f>$X$13*0.02</f>
        <v>129.15</v>
      </c>
      <c r="BA55" s="137">
        <v>-400.0</v>
      </c>
      <c r="BB55" s="137">
        <v>-400.0</v>
      </c>
      <c r="BC55" s="137">
        <v>0.0</v>
      </c>
      <c r="BD55" s="137">
        <v>0.0</v>
      </c>
      <c r="BE55" s="137">
        <v>0.0</v>
      </c>
      <c r="BF55" s="137">
        <v>0.0</v>
      </c>
      <c r="BG55" s="137">
        <v>0.0</v>
      </c>
      <c r="BH55" s="137">
        <v>0.0</v>
      </c>
      <c r="BI55" s="137">
        <v>0.0</v>
      </c>
      <c r="BJ55" s="137">
        <v>0.0</v>
      </c>
      <c r="BK55" s="175"/>
      <c r="BL55" s="137">
        <v>0.0</v>
      </c>
      <c r="BM55" s="192">
        <v>0.0</v>
      </c>
      <c r="BN55" s="192">
        <v>0.0</v>
      </c>
      <c r="BO55" s="192">
        <v>0.0</v>
      </c>
      <c r="BP55" s="192">
        <v>0.0</v>
      </c>
      <c r="BQ55" s="192">
        <v>0.0</v>
      </c>
      <c r="BR55" s="192">
        <v>0.0</v>
      </c>
      <c r="BS55" s="192">
        <v>0.0</v>
      </c>
      <c r="BT55" s="192">
        <v>0.0</v>
      </c>
      <c r="BU55" s="192">
        <v>0.0</v>
      </c>
      <c r="BV55" s="137">
        <v>0.0</v>
      </c>
      <c r="BW55" s="192">
        <v>0.0</v>
      </c>
      <c r="BX55" s="146">
        <f t="shared" si="185"/>
        <v>0</v>
      </c>
      <c r="BY55" s="137">
        <v>0.0</v>
      </c>
      <c r="BZ55" s="137">
        <v>0.0</v>
      </c>
      <c r="CA55" s="137">
        <v>0.0</v>
      </c>
      <c r="CB55" s="226">
        <v>82631.0</v>
      </c>
      <c r="CC55" s="137">
        <v>0.0</v>
      </c>
      <c r="CD55" s="227">
        <v>0.0</v>
      </c>
      <c r="CE55" s="137">
        <v>1000.0</v>
      </c>
      <c r="CF55" s="137">
        <v>1000.0</v>
      </c>
      <c r="CG55" s="137">
        <v>1000.0</v>
      </c>
      <c r="CH55" s="137">
        <v>1000.0</v>
      </c>
      <c r="CI55" s="137">
        <v>1000.0</v>
      </c>
      <c r="CJ55" s="137">
        <v>1000.0</v>
      </c>
      <c r="CK55" s="146">
        <f t="shared" si="186"/>
        <v>88631</v>
      </c>
      <c r="CL55" s="137">
        <v>7000.0</v>
      </c>
      <c r="CM55" s="137">
        <v>1000.0</v>
      </c>
      <c r="CN55" s="137">
        <v>1000.0</v>
      </c>
      <c r="CO55" s="137">
        <v>1000.0</v>
      </c>
      <c r="CP55" s="137">
        <v>1000.0</v>
      </c>
      <c r="CQ55" s="137">
        <v>1000.0</v>
      </c>
      <c r="CR55" s="137">
        <v>1000.0</v>
      </c>
      <c r="CS55" s="137">
        <v>1000.0</v>
      </c>
      <c r="CT55" s="137">
        <v>1000.0</v>
      </c>
      <c r="CU55" s="137">
        <v>1000.0</v>
      </c>
      <c r="CV55" s="137">
        <v>1000.0</v>
      </c>
      <c r="CW55" s="137">
        <v>1000.0</v>
      </c>
      <c r="CX55" s="146">
        <f t="shared" si="187"/>
        <v>18000</v>
      </c>
      <c r="CY55" s="192">
        <v>500.0</v>
      </c>
      <c r="CZ55" s="192">
        <v>500.0</v>
      </c>
    </row>
    <row r="56">
      <c r="A56" s="219"/>
      <c r="B56" s="223" t="s">
        <v>247</v>
      </c>
      <c r="C56" s="137"/>
      <c r="D56" s="137"/>
      <c r="E56" s="137"/>
      <c r="F56" s="137"/>
      <c r="G56" s="137"/>
      <c r="H56" s="137"/>
      <c r="I56" s="137"/>
      <c r="J56" s="137">
        <v>0.0</v>
      </c>
      <c r="K56" s="137">
        <v>0.0</v>
      </c>
      <c r="L56" s="137">
        <v>0.0</v>
      </c>
      <c r="M56" s="137">
        <v>0.0</v>
      </c>
      <c r="N56" s="137">
        <v>0.0</v>
      </c>
      <c r="O56" s="137">
        <f>O13*0</f>
        <v>0</v>
      </c>
      <c r="P56" s="137">
        <v>500.0</v>
      </c>
      <c r="Q56" s="137">
        <f>25+100+100+450</f>
        <v>675</v>
      </c>
      <c r="R56" s="137">
        <f>R13*0.065</f>
        <v>432.7375</v>
      </c>
      <c r="S56" s="137">
        <v>225.0</v>
      </c>
      <c r="T56" s="137">
        <f>T13*0.02</f>
        <v>129.15</v>
      </c>
      <c r="U56" s="137">
        <v>0.0</v>
      </c>
      <c r="V56" s="137">
        <v>200.0</v>
      </c>
      <c r="W56" s="137">
        <v>100.0</v>
      </c>
      <c r="X56" s="137">
        <f t="shared" ref="X56:Y56" si="188">$X$13*0.06</f>
        <v>387.45</v>
      </c>
      <c r="Y56" s="137">
        <f t="shared" si="188"/>
        <v>387.45</v>
      </c>
      <c r="Z56" s="137">
        <f>$X$13*0.1</f>
        <v>645.75</v>
      </c>
      <c r="AA56" s="194">
        <f>AA13*0.1</f>
        <v>880</v>
      </c>
      <c r="AB56" s="137">
        <f>$X$13*0.07</f>
        <v>452.025</v>
      </c>
      <c r="AC56" s="137">
        <f>$X$13*0.06</f>
        <v>387.45</v>
      </c>
      <c r="AD56" s="137">
        <f>$X$13*0.08</f>
        <v>516.6</v>
      </c>
      <c r="AE56" s="137">
        <f t="shared" ref="AE56:AF56" si="189">$X$13*0.06</f>
        <v>387.45</v>
      </c>
      <c r="AF56" s="137">
        <f t="shared" si="189"/>
        <v>387.45</v>
      </c>
      <c r="AG56" s="137">
        <f t="shared" ref="AG56:AH56" si="190">$X$13*0</f>
        <v>0</v>
      </c>
      <c r="AH56" s="175">
        <f t="shared" si="190"/>
        <v>0</v>
      </c>
      <c r="AI56" s="137">
        <f t="shared" ref="AI56:AO56" si="191">$X$13*0.078</f>
        <v>503.685</v>
      </c>
      <c r="AJ56" s="137">
        <f t="shared" si="191"/>
        <v>503.685</v>
      </c>
      <c r="AK56" s="137">
        <f t="shared" si="191"/>
        <v>503.685</v>
      </c>
      <c r="AL56" s="137">
        <f t="shared" si="191"/>
        <v>503.685</v>
      </c>
      <c r="AM56" s="137">
        <f t="shared" si="191"/>
        <v>503.685</v>
      </c>
      <c r="AN56" s="137">
        <f t="shared" si="191"/>
        <v>503.685</v>
      </c>
      <c r="AO56" s="137">
        <f t="shared" si="191"/>
        <v>503.685</v>
      </c>
      <c r="AP56" s="137">
        <f>$X$13*0.5</f>
        <v>3228.75</v>
      </c>
      <c r="AQ56" s="137">
        <f t="shared" ref="AQ56:AW56" si="192">$X$13*0.078</f>
        <v>503.685</v>
      </c>
      <c r="AR56" s="137">
        <f t="shared" si="192"/>
        <v>503.685</v>
      </c>
      <c r="AS56" s="137">
        <f t="shared" si="192"/>
        <v>503.685</v>
      </c>
      <c r="AT56" s="137">
        <f t="shared" si="192"/>
        <v>503.685</v>
      </c>
      <c r="AU56" s="137">
        <f t="shared" si="192"/>
        <v>503.685</v>
      </c>
      <c r="AV56" s="137">
        <f t="shared" si="192"/>
        <v>503.685</v>
      </c>
      <c r="AW56" s="137">
        <f t="shared" si="192"/>
        <v>503.685</v>
      </c>
      <c r="AX56" s="137">
        <v>0.0</v>
      </c>
      <c r="AY56" s="137">
        <v>0.0</v>
      </c>
      <c r="AZ56" s="137">
        <f>$X$13*0.078</f>
        <v>503.685</v>
      </c>
      <c r="BA56" s="137">
        <v>-500.0</v>
      </c>
      <c r="BB56" s="137">
        <v>-500.0</v>
      </c>
      <c r="BC56" s="137">
        <v>0.0</v>
      </c>
      <c r="BD56" s="137">
        <v>0.0</v>
      </c>
      <c r="BE56" s="137">
        <v>0.0</v>
      </c>
      <c r="BF56" s="137">
        <v>0.0</v>
      </c>
      <c r="BG56" s="137">
        <v>0.0</v>
      </c>
      <c r="BH56" s="137">
        <v>0.0</v>
      </c>
      <c r="BI56" s="137">
        <v>-500.0</v>
      </c>
      <c r="BJ56" s="137">
        <v>-500.0</v>
      </c>
      <c r="BK56" s="175"/>
      <c r="BL56" s="137">
        <v>0.0</v>
      </c>
      <c r="BM56" s="192">
        <v>0.0</v>
      </c>
      <c r="BN56" s="192">
        <v>500.0</v>
      </c>
      <c r="BO56" s="192">
        <v>1500.0</v>
      </c>
      <c r="BP56" s="192">
        <v>0.0</v>
      </c>
      <c r="BQ56" s="192">
        <v>0.0</v>
      </c>
      <c r="BR56" s="192">
        <v>0.0</v>
      </c>
      <c r="BS56" s="192">
        <v>0.0</v>
      </c>
      <c r="BT56" s="192">
        <v>0.0</v>
      </c>
      <c r="BU56" s="192">
        <v>0.0</v>
      </c>
      <c r="BV56" s="192">
        <v>0.0</v>
      </c>
      <c r="BW56" s="192">
        <v>0.0</v>
      </c>
      <c r="BX56" s="146">
        <f t="shared" si="185"/>
        <v>2000</v>
      </c>
      <c r="BY56" s="192">
        <v>0.0</v>
      </c>
      <c r="BZ56" s="192">
        <v>0.0</v>
      </c>
      <c r="CA56" s="226">
        <v>4000.0</v>
      </c>
      <c r="CB56" s="192">
        <v>0.0</v>
      </c>
      <c r="CC56" s="192">
        <v>0.0</v>
      </c>
      <c r="CD56" s="227">
        <v>25000.0</v>
      </c>
      <c r="CE56" s="192">
        <v>0.0</v>
      </c>
      <c r="CF56" s="192">
        <v>0.0</v>
      </c>
      <c r="CG56" s="192">
        <v>0.0</v>
      </c>
      <c r="CH56" s="192">
        <v>1000.0</v>
      </c>
      <c r="CI56" s="192">
        <v>1000.0</v>
      </c>
      <c r="CJ56" s="192">
        <v>1000.0</v>
      </c>
      <c r="CK56" s="146">
        <f t="shared" si="186"/>
        <v>32000</v>
      </c>
      <c r="CL56" s="137">
        <v>20000.0</v>
      </c>
      <c r="CM56" s="192">
        <v>0.0</v>
      </c>
      <c r="CN56" s="192">
        <v>500.0</v>
      </c>
      <c r="CO56" s="192">
        <v>1500.0</v>
      </c>
      <c r="CP56" s="192">
        <v>0.0</v>
      </c>
      <c r="CQ56" s="192">
        <v>0.0</v>
      </c>
      <c r="CR56" s="192">
        <v>0.0</v>
      </c>
      <c r="CS56" s="192">
        <v>0.0</v>
      </c>
      <c r="CT56" s="192">
        <v>0.0</v>
      </c>
      <c r="CU56" s="192">
        <v>1000.0</v>
      </c>
      <c r="CV56" s="192">
        <v>1000.0</v>
      </c>
      <c r="CW56" s="192">
        <v>1000.0</v>
      </c>
      <c r="CX56" s="146">
        <f t="shared" si="187"/>
        <v>25000</v>
      </c>
      <c r="CY56" s="192">
        <v>1000.0</v>
      </c>
      <c r="CZ56" s="192">
        <v>1000.0</v>
      </c>
    </row>
    <row r="57">
      <c r="A57" s="228"/>
      <c r="B57" s="229" t="s">
        <v>248</v>
      </c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>
        <f t="shared" ref="M57:N57" si="193">M4*0.03</f>
        <v>300</v>
      </c>
      <c r="N57" s="222">
        <f t="shared" si="193"/>
        <v>300</v>
      </c>
      <c r="O57" s="222">
        <f t="shared" ref="O57:BB57" si="194">O12</f>
        <v>400</v>
      </c>
      <c r="P57" s="222">
        <f t="shared" si="194"/>
        <v>400</v>
      </c>
      <c r="Q57" s="222">
        <f t="shared" si="194"/>
        <v>307.5</v>
      </c>
      <c r="R57" s="222">
        <f t="shared" si="194"/>
        <v>307.5</v>
      </c>
      <c r="S57" s="222">
        <f t="shared" si="194"/>
        <v>307.5</v>
      </c>
      <c r="T57" s="222">
        <f t="shared" si="194"/>
        <v>307.5</v>
      </c>
      <c r="U57" s="222">
        <f t="shared" si="194"/>
        <v>307.5</v>
      </c>
      <c r="V57" s="222">
        <f t="shared" si="194"/>
        <v>307.5</v>
      </c>
      <c r="W57" s="222">
        <f t="shared" si="194"/>
        <v>307.5</v>
      </c>
      <c r="X57" s="222">
        <f t="shared" si="194"/>
        <v>307.5</v>
      </c>
      <c r="Y57" s="222">
        <f t="shared" si="194"/>
        <v>307.5</v>
      </c>
      <c r="Z57" s="222">
        <f t="shared" si="194"/>
        <v>0</v>
      </c>
      <c r="AA57" s="222">
        <f t="shared" si="194"/>
        <v>0</v>
      </c>
      <c r="AB57" s="222">
        <f t="shared" si="194"/>
        <v>0</v>
      </c>
      <c r="AC57" s="222">
        <f t="shared" si="194"/>
        <v>333.3333333</v>
      </c>
      <c r="AD57" s="222">
        <f t="shared" si="194"/>
        <v>53.33333333</v>
      </c>
      <c r="AE57" s="222">
        <f t="shared" si="194"/>
        <v>53.33333333</v>
      </c>
      <c r="AF57" s="222">
        <f t="shared" si="194"/>
        <v>0</v>
      </c>
      <c r="AG57" s="222">
        <f t="shared" si="194"/>
        <v>0</v>
      </c>
      <c r="AH57" s="230">
        <f t="shared" si="194"/>
        <v>0</v>
      </c>
      <c r="AI57" s="222">
        <f t="shared" si="194"/>
        <v>333.3333333</v>
      </c>
      <c r="AJ57" s="222">
        <f t="shared" si="194"/>
        <v>333.3333333</v>
      </c>
      <c r="AK57" s="222">
        <f t="shared" si="194"/>
        <v>0</v>
      </c>
      <c r="AL57" s="222">
        <f t="shared" si="194"/>
        <v>0</v>
      </c>
      <c r="AM57" s="222">
        <f t="shared" si="194"/>
        <v>0</v>
      </c>
      <c r="AN57" s="222">
        <f t="shared" si="194"/>
        <v>0</v>
      </c>
      <c r="AO57" s="222">
        <f t="shared" si="194"/>
        <v>0</v>
      </c>
      <c r="AP57" s="222">
        <f t="shared" si="194"/>
        <v>0</v>
      </c>
      <c r="AQ57" s="222">
        <f t="shared" si="194"/>
        <v>0</v>
      </c>
      <c r="AR57" s="222">
        <f t="shared" si="194"/>
        <v>0</v>
      </c>
      <c r="AS57" s="222">
        <f t="shared" si="194"/>
        <v>0</v>
      </c>
      <c r="AT57" s="222">
        <f t="shared" si="194"/>
        <v>0</v>
      </c>
      <c r="AU57" s="222">
        <f t="shared" si="194"/>
        <v>0</v>
      </c>
      <c r="AV57" s="222">
        <f t="shared" si="194"/>
        <v>0</v>
      </c>
      <c r="AW57" s="222">
        <f t="shared" si="194"/>
        <v>0</v>
      </c>
      <c r="AX57" s="222">
        <f t="shared" si="194"/>
        <v>0</v>
      </c>
      <c r="AY57" s="222">
        <f t="shared" si="194"/>
        <v>0</v>
      </c>
      <c r="AZ57" s="222">
        <f t="shared" si="194"/>
        <v>0</v>
      </c>
      <c r="BA57" s="137">
        <f t="shared" si="194"/>
        <v>0</v>
      </c>
      <c r="BB57" s="137">
        <f t="shared" si="194"/>
        <v>0</v>
      </c>
      <c r="BC57" s="137">
        <v>0.0</v>
      </c>
      <c r="BD57" s="137">
        <v>0.0</v>
      </c>
      <c r="BE57" s="137">
        <v>0.0</v>
      </c>
      <c r="BF57" s="137">
        <v>0.0</v>
      </c>
      <c r="BG57" s="137">
        <f t="shared" ref="BG57:BH57" si="195">-0</f>
        <v>0</v>
      </c>
      <c r="BH57" s="137">
        <f t="shared" si="195"/>
        <v>0</v>
      </c>
      <c r="BI57" s="137">
        <f t="shared" ref="BI57:BJ57" si="196">0</f>
        <v>0</v>
      </c>
      <c r="BJ57" s="137">
        <f t="shared" si="196"/>
        <v>0</v>
      </c>
      <c r="BK57" s="175"/>
      <c r="BL57" s="137">
        <v>0.0</v>
      </c>
      <c r="BM57" s="192">
        <v>0.0</v>
      </c>
      <c r="BN57" s="192">
        <v>0.0</v>
      </c>
      <c r="BO57" s="192">
        <v>500.0</v>
      </c>
      <c r="BP57" s="192">
        <v>0.0</v>
      </c>
      <c r="BQ57" s="192">
        <v>0.0</v>
      </c>
      <c r="BR57" s="192">
        <v>0.0</v>
      </c>
      <c r="BS57" s="192">
        <v>0.0</v>
      </c>
      <c r="BT57" s="192">
        <v>0.0</v>
      </c>
      <c r="BU57" s="192">
        <v>0.0</v>
      </c>
      <c r="BV57" s="192">
        <v>0.0</v>
      </c>
      <c r="BW57" s="192">
        <v>0.0</v>
      </c>
      <c r="BX57" s="146">
        <f t="shared" si="185"/>
        <v>500</v>
      </c>
      <c r="BY57" s="192">
        <v>0.0</v>
      </c>
      <c r="BZ57" s="192">
        <v>0.0</v>
      </c>
      <c r="CA57" s="192">
        <v>0.0</v>
      </c>
      <c r="CB57" s="192">
        <v>0.0</v>
      </c>
      <c r="CC57" s="192">
        <v>0.0</v>
      </c>
      <c r="CD57" s="231">
        <v>10000.0</v>
      </c>
      <c r="CE57" s="192">
        <v>0.0</v>
      </c>
      <c r="CF57" s="192">
        <v>0.0</v>
      </c>
      <c r="CG57" s="192">
        <v>0.0</v>
      </c>
      <c r="CH57" s="192">
        <v>500.0</v>
      </c>
      <c r="CI57" s="192">
        <v>500.0</v>
      </c>
      <c r="CJ57" s="192">
        <v>500.0</v>
      </c>
      <c r="CK57" s="146">
        <f t="shared" si="186"/>
        <v>11500</v>
      </c>
      <c r="CL57" s="137">
        <v>10000.0</v>
      </c>
      <c r="CM57" s="192">
        <v>0.0</v>
      </c>
      <c r="CN57" s="192">
        <v>0.0</v>
      </c>
      <c r="CO57" s="192">
        <v>500.0</v>
      </c>
      <c r="CP57" s="192">
        <v>0.0</v>
      </c>
      <c r="CQ57" s="192">
        <v>0.0</v>
      </c>
      <c r="CR57" s="192">
        <v>0.0</v>
      </c>
      <c r="CS57" s="192">
        <v>0.0</v>
      </c>
      <c r="CT57" s="192">
        <v>0.0</v>
      </c>
      <c r="CU57" s="192">
        <v>500.0</v>
      </c>
      <c r="CV57" s="192">
        <v>500.0</v>
      </c>
      <c r="CW57" s="192">
        <v>500.0</v>
      </c>
      <c r="CX57" s="146">
        <f t="shared" si="187"/>
        <v>12000</v>
      </c>
      <c r="CY57" s="192">
        <v>500.0</v>
      </c>
      <c r="CZ57" s="192">
        <v>500.0</v>
      </c>
    </row>
    <row r="58">
      <c r="A58" s="228"/>
      <c r="B58" s="229" t="s">
        <v>249</v>
      </c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  <c r="Z58" s="222"/>
      <c r="AA58" s="222"/>
      <c r="AB58" s="222"/>
      <c r="AC58" s="222"/>
      <c r="AD58" s="222"/>
      <c r="AE58" s="222"/>
      <c r="AF58" s="222"/>
      <c r="AG58" s="222"/>
      <c r="AH58" s="230"/>
      <c r="AI58" s="222"/>
      <c r="AJ58" s="222"/>
      <c r="AK58" s="222"/>
      <c r="AL58" s="222"/>
      <c r="AM58" s="222"/>
      <c r="AN58" s="222"/>
      <c r="AO58" s="222"/>
      <c r="AP58" s="222"/>
      <c r="AQ58" s="222"/>
      <c r="AR58" s="222"/>
      <c r="AS58" s="222"/>
      <c r="AT58" s="222"/>
      <c r="AU58" s="222"/>
      <c r="AV58" s="222"/>
      <c r="AW58" s="222"/>
      <c r="AX58" s="222"/>
      <c r="AY58" s="222"/>
      <c r="AZ58" s="222"/>
      <c r="BA58" s="137"/>
      <c r="BB58" s="137"/>
      <c r="BC58" s="137"/>
      <c r="BD58" s="137"/>
      <c r="BE58" s="137"/>
      <c r="BF58" s="137"/>
      <c r="BG58" s="137"/>
      <c r="BH58" s="137">
        <v>0.0</v>
      </c>
      <c r="BI58" s="137">
        <v>0.0</v>
      </c>
      <c r="BJ58" s="137">
        <v>0.0</v>
      </c>
      <c r="BK58" s="175"/>
      <c r="BL58" s="137">
        <v>0.0</v>
      </c>
      <c r="BM58" s="192">
        <v>0.0</v>
      </c>
      <c r="BN58" s="192">
        <v>0.0</v>
      </c>
      <c r="BO58" s="192">
        <v>0.0</v>
      </c>
      <c r="BP58" s="192">
        <v>0.0</v>
      </c>
      <c r="BQ58" s="192">
        <v>0.0</v>
      </c>
      <c r="BR58" s="192">
        <v>0.0</v>
      </c>
      <c r="BS58" s="192">
        <v>0.0</v>
      </c>
      <c r="BT58" s="192">
        <v>0.0</v>
      </c>
      <c r="BU58" s="192">
        <v>0.0</v>
      </c>
      <c r="BV58" s="192">
        <v>0.0</v>
      </c>
      <c r="BW58" s="192">
        <v>0.0</v>
      </c>
      <c r="BX58" s="146">
        <f t="shared" si="185"/>
        <v>0</v>
      </c>
      <c r="BY58" s="192">
        <v>0.0</v>
      </c>
      <c r="BZ58" s="192">
        <v>0.0</v>
      </c>
      <c r="CA58" s="192">
        <v>0.0</v>
      </c>
      <c r="CB58" s="192">
        <v>0.0</v>
      </c>
      <c r="CC58" s="192">
        <v>0.0</v>
      </c>
      <c r="CD58" s="231">
        <v>0.0</v>
      </c>
      <c r="CE58" s="192">
        <v>0.0</v>
      </c>
      <c r="CF58" s="192">
        <v>0.0</v>
      </c>
      <c r="CG58" s="192">
        <v>0.0</v>
      </c>
      <c r="CH58" s="192">
        <v>0.0</v>
      </c>
      <c r="CI58" s="192">
        <v>0.0</v>
      </c>
      <c r="CJ58" s="192">
        <v>0.0</v>
      </c>
      <c r="CK58" s="146">
        <f t="shared" si="186"/>
        <v>0</v>
      </c>
      <c r="CL58" s="137">
        <v>0.0</v>
      </c>
      <c r="CM58" s="192">
        <v>0.0</v>
      </c>
      <c r="CN58" s="192">
        <v>0.0</v>
      </c>
      <c r="CO58" s="192">
        <v>0.0</v>
      </c>
      <c r="CP58" s="192">
        <v>0.0</v>
      </c>
      <c r="CQ58" s="192">
        <v>0.0</v>
      </c>
      <c r="CR58" s="192">
        <v>0.0</v>
      </c>
      <c r="CS58" s="192">
        <v>0.0</v>
      </c>
      <c r="CT58" s="192">
        <v>0.0</v>
      </c>
      <c r="CU58" s="192">
        <v>0.0</v>
      </c>
      <c r="CV58" s="192">
        <v>0.0</v>
      </c>
      <c r="CW58" s="192">
        <v>0.0</v>
      </c>
      <c r="CX58" s="146">
        <f t="shared" si="187"/>
        <v>0</v>
      </c>
      <c r="CY58" s="192">
        <v>0.0</v>
      </c>
      <c r="CZ58" s="192">
        <v>0.0</v>
      </c>
    </row>
    <row r="59">
      <c r="A59" s="171" t="s">
        <v>250</v>
      </c>
      <c r="B59" s="176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75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75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46"/>
      <c r="BY59" s="137"/>
      <c r="BZ59" s="137"/>
      <c r="CA59" s="137"/>
      <c r="CB59" s="137"/>
      <c r="CC59" s="137"/>
      <c r="CD59" s="137"/>
      <c r="CE59" s="137"/>
      <c r="CF59" s="137"/>
      <c r="CG59" s="137"/>
      <c r="CH59" s="137"/>
      <c r="CI59" s="137"/>
      <c r="CJ59" s="137"/>
      <c r="CK59" s="146"/>
      <c r="CL59" s="137"/>
      <c r="CM59" s="137"/>
      <c r="CN59" s="137"/>
      <c r="CO59" s="137"/>
      <c r="CP59" s="137"/>
      <c r="CQ59" s="137"/>
      <c r="CR59" s="137"/>
      <c r="CS59" s="137"/>
      <c r="CT59" s="137"/>
      <c r="CU59" s="137"/>
      <c r="CV59" s="137"/>
      <c r="CW59" s="137"/>
      <c r="CX59" s="146"/>
      <c r="CY59" s="137"/>
      <c r="CZ59" s="137"/>
    </row>
    <row r="60">
      <c r="A60" s="199"/>
      <c r="B60" s="137" t="s">
        <v>251</v>
      </c>
      <c r="C60" s="137"/>
      <c r="D60" s="137"/>
      <c r="E60" s="137"/>
      <c r="F60" s="137"/>
      <c r="G60" s="137"/>
      <c r="H60" s="175"/>
      <c r="I60" s="137">
        <v>0.0</v>
      </c>
      <c r="J60" s="137">
        <v>0.0</v>
      </c>
      <c r="K60" s="137">
        <f t="shared" ref="K60:L60" si="197">K14*0</f>
        <v>0</v>
      </c>
      <c r="L60" s="137">
        <f t="shared" si="197"/>
        <v>0</v>
      </c>
      <c r="M60" s="137">
        <v>0.0</v>
      </c>
      <c r="N60" s="137">
        <v>0.0</v>
      </c>
      <c r="O60" s="137">
        <f>O13*0.01</f>
        <v>72</v>
      </c>
      <c r="P60" s="137">
        <v>0.0</v>
      </c>
      <c r="Q60" s="137">
        <f>70+20+20</f>
        <v>110</v>
      </c>
      <c r="R60" s="137">
        <v>0.0</v>
      </c>
      <c r="S60" s="137">
        <v>0.0</v>
      </c>
      <c r="T60" s="137">
        <v>125.0</v>
      </c>
      <c r="U60" s="137">
        <v>0.0</v>
      </c>
      <c r="V60" s="137">
        <f t="shared" ref="V60:W60" si="198">V13*0.01</f>
        <v>67.575</v>
      </c>
      <c r="W60" s="137">
        <f t="shared" si="198"/>
        <v>64.575</v>
      </c>
      <c r="X60" s="137">
        <f t="shared" ref="X60:Z60" si="199">X13*0.02</f>
        <v>129.15</v>
      </c>
      <c r="Y60" s="137">
        <f t="shared" si="199"/>
        <v>241.15</v>
      </c>
      <c r="Z60" s="137">
        <f t="shared" si="199"/>
        <v>176</v>
      </c>
      <c r="AA60" s="137">
        <f>AA13*0</f>
        <v>0</v>
      </c>
      <c r="AB60" s="137">
        <f>AB13*0.02</f>
        <v>176</v>
      </c>
      <c r="AC60" s="137">
        <f t="shared" ref="AC60:AE60" si="200">AC13*0.01</f>
        <v>91.66666667</v>
      </c>
      <c r="AD60" s="137">
        <f t="shared" si="200"/>
        <v>87.46666667</v>
      </c>
      <c r="AE60" s="137">
        <f t="shared" si="200"/>
        <v>197.4666667</v>
      </c>
      <c r="AF60" s="137">
        <f t="shared" ref="AF60:AH60" si="201">AF13*0</f>
        <v>0</v>
      </c>
      <c r="AG60" s="137">
        <f t="shared" si="201"/>
        <v>0</v>
      </c>
      <c r="AH60" s="175">
        <f t="shared" si="201"/>
        <v>0</v>
      </c>
      <c r="AI60" s="137">
        <f t="shared" ref="AI60:AN60" si="202">AI13*0.01</f>
        <v>84.66666667</v>
      </c>
      <c r="AJ60" s="137">
        <f t="shared" si="202"/>
        <v>84.66666667</v>
      </c>
      <c r="AK60" s="137">
        <f t="shared" si="202"/>
        <v>187.75</v>
      </c>
      <c r="AL60" s="137">
        <f t="shared" si="202"/>
        <v>115.5</v>
      </c>
      <c r="AM60" s="137">
        <f t="shared" si="202"/>
        <v>115.5</v>
      </c>
      <c r="AN60" s="137">
        <f t="shared" si="202"/>
        <v>215.5</v>
      </c>
      <c r="AO60" s="137">
        <f>AO13*0</f>
        <v>0</v>
      </c>
      <c r="AP60" s="137">
        <f>1000</f>
        <v>1000</v>
      </c>
      <c r="AQ60" s="137">
        <f t="shared" ref="AQ60:AR60" si="203">AQ13*0.01</f>
        <v>115.5</v>
      </c>
      <c r="AR60" s="137">
        <f t="shared" si="203"/>
        <v>115.5</v>
      </c>
      <c r="AS60" s="137">
        <v>400.0</v>
      </c>
      <c r="AT60" s="137">
        <v>0.0</v>
      </c>
      <c r="AU60" s="137">
        <f t="shared" ref="AU60:AX60" si="204">AU13*0.01</f>
        <v>277.5</v>
      </c>
      <c r="AV60" s="137">
        <f t="shared" si="204"/>
        <v>115.5</v>
      </c>
      <c r="AW60" s="137">
        <f t="shared" si="204"/>
        <v>115.5</v>
      </c>
      <c r="AX60" s="137">
        <f t="shared" si="204"/>
        <v>148.94</v>
      </c>
      <c r="AY60" s="137">
        <f t="shared" ref="AY60:BA60" si="205">AY13*0</f>
        <v>0</v>
      </c>
      <c r="AZ60" s="137">
        <f t="shared" si="205"/>
        <v>0</v>
      </c>
      <c r="BA60" s="137">
        <f t="shared" si="205"/>
        <v>0</v>
      </c>
      <c r="BB60" s="137">
        <f t="shared" ref="BB60:BE60" si="206">-100</f>
        <v>-100</v>
      </c>
      <c r="BC60" s="137">
        <f t="shared" si="206"/>
        <v>-100</v>
      </c>
      <c r="BD60" s="137">
        <f t="shared" si="206"/>
        <v>-100</v>
      </c>
      <c r="BE60" s="137">
        <f t="shared" si="206"/>
        <v>-100</v>
      </c>
      <c r="BF60" s="137">
        <f t="shared" ref="BF60:BH60" si="207">-50</f>
        <v>-50</v>
      </c>
      <c r="BG60" s="137">
        <f t="shared" si="207"/>
        <v>-50</v>
      </c>
      <c r="BH60" s="137">
        <f t="shared" si="207"/>
        <v>-50</v>
      </c>
      <c r="BI60" s="137">
        <f t="shared" ref="BI60:BJ60" si="208">-100</f>
        <v>-100</v>
      </c>
      <c r="BJ60" s="137">
        <f t="shared" si="208"/>
        <v>-100</v>
      </c>
      <c r="BK60" s="175"/>
      <c r="BL60" s="137">
        <v>0.0</v>
      </c>
      <c r="BM60" s="137">
        <v>100.0</v>
      </c>
      <c r="BN60" s="137">
        <v>100.0</v>
      </c>
      <c r="BO60" s="137">
        <v>100.0</v>
      </c>
      <c r="BP60" s="137">
        <v>100.0</v>
      </c>
      <c r="BQ60" s="232">
        <v>100.0</v>
      </c>
      <c r="BR60" s="137">
        <v>50.0</v>
      </c>
      <c r="BS60" s="137">
        <v>50.0</v>
      </c>
      <c r="BT60" s="137">
        <v>100.0</v>
      </c>
      <c r="BU60" s="137">
        <v>0.0</v>
      </c>
      <c r="BV60" s="137">
        <v>0.0</v>
      </c>
      <c r="BW60" s="137">
        <f>BW13*0.01</f>
        <v>221</v>
      </c>
      <c r="BX60" s="233">
        <f t="shared" ref="BX60:BX61" si="218">sum(BL60:BW60)</f>
        <v>921</v>
      </c>
      <c r="BY60" s="137">
        <f t="shared" ref="BY60:CJ60" si="209">BY13*0.005</f>
        <v>110.5</v>
      </c>
      <c r="BZ60" s="137">
        <f t="shared" si="209"/>
        <v>110.5</v>
      </c>
      <c r="CA60" s="137">
        <f t="shared" si="209"/>
        <v>485.5</v>
      </c>
      <c r="CB60" s="137">
        <f t="shared" si="209"/>
        <v>528</v>
      </c>
      <c r="CC60" s="137">
        <f t="shared" si="209"/>
        <v>99</v>
      </c>
      <c r="CD60" s="137">
        <f t="shared" si="209"/>
        <v>1349</v>
      </c>
      <c r="CE60" s="137">
        <f t="shared" si="209"/>
        <v>16599</v>
      </c>
      <c r="CF60" s="137">
        <f t="shared" si="209"/>
        <v>16599</v>
      </c>
      <c r="CG60" s="137">
        <f t="shared" si="209"/>
        <v>16599</v>
      </c>
      <c r="CH60" s="137">
        <f t="shared" si="209"/>
        <v>16599</v>
      </c>
      <c r="CI60" s="137">
        <f t="shared" si="209"/>
        <v>99</v>
      </c>
      <c r="CJ60" s="137">
        <f t="shared" si="209"/>
        <v>99</v>
      </c>
      <c r="CK60" s="233">
        <f t="shared" ref="CK60:CK61" si="220">sum(BY60:CJ60)</f>
        <v>69276.5</v>
      </c>
      <c r="CL60" s="137">
        <f t="shared" ref="CL60:CW60" si="210">CL13*0.01</f>
        <v>221</v>
      </c>
      <c r="CM60" s="137">
        <f t="shared" si="210"/>
        <v>221</v>
      </c>
      <c r="CN60" s="137">
        <f t="shared" si="210"/>
        <v>406</v>
      </c>
      <c r="CO60" s="137">
        <f t="shared" si="210"/>
        <v>2198</v>
      </c>
      <c r="CP60" s="137">
        <f t="shared" si="210"/>
        <v>198</v>
      </c>
      <c r="CQ60" s="137">
        <f t="shared" si="210"/>
        <v>198</v>
      </c>
      <c r="CR60" s="137">
        <f t="shared" si="210"/>
        <v>198</v>
      </c>
      <c r="CS60" s="137">
        <f t="shared" si="210"/>
        <v>198</v>
      </c>
      <c r="CT60" s="137">
        <f t="shared" si="210"/>
        <v>198</v>
      </c>
      <c r="CU60" s="137">
        <f t="shared" si="210"/>
        <v>198</v>
      </c>
      <c r="CV60" s="137">
        <f t="shared" si="210"/>
        <v>198</v>
      </c>
      <c r="CW60" s="137">
        <f t="shared" si="210"/>
        <v>198</v>
      </c>
      <c r="CX60" s="233">
        <f t="shared" ref="CX60:CX61" si="222">sum(CL60:CW60)</f>
        <v>4630</v>
      </c>
      <c r="CY60" s="137">
        <v>100.0</v>
      </c>
      <c r="CZ60" s="137">
        <v>100.0</v>
      </c>
    </row>
    <row r="61">
      <c r="A61" s="234" t="s">
        <v>252</v>
      </c>
      <c r="B61" s="235"/>
      <c r="C61" s="236" t="str">
        <f>C13-C44-#REF!-C48+'BUDGET 2018 (Archive)'!O35</f>
        <v>#REF!</v>
      </c>
      <c r="D61" s="236" t="str">
        <f>D13-D44-#REF!-D48+'BUDGET 2018 (Archive)'!P35</f>
        <v>#REF!</v>
      </c>
      <c r="E61" s="236" t="str">
        <f>E13-E44-#REF!-E48+'BUDGET 2018 (Archive)'!Q35</f>
        <v>#REF!</v>
      </c>
      <c r="F61" s="236" t="str">
        <f>F13-F44-#REF!-F48+'BUDGET 2018 (Archive)'!R35</f>
        <v>#REF!</v>
      </c>
      <c r="G61" s="236" t="str">
        <f>G13-G44-#REF!-G48+'BUDGET 2018 (Archive)'!S35</f>
        <v>#REF!</v>
      </c>
      <c r="H61" s="237" t="str">
        <f>H13-H44-#REF!-H48+'BUDGET 2018 (Archive)'!T35</f>
        <v>#REF!</v>
      </c>
      <c r="I61" s="236" t="str">
        <f>H61+I13-I44-#REF!-#REF!-I48</f>
        <v>#REF!</v>
      </c>
      <c r="J61" s="236">
        <f t="shared" ref="J61:L61" si="211">sum(J48:J60)</f>
        <v>3200</v>
      </c>
      <c r="K61" s="236">
        <f t="shared" si="211"/>
        <v>1000</v>
      </c>
      <c r="L61" s="236">
        <f t="shared" si="211"/>
        <v>1495</v>
      </c>
      <c r="M61" s="236">
        <f t="shared" ref="M61:O61" si="212">sum(M48:M56)+M60</f>
        <v>0</v>
      </c>
      <c r="N61" s="236">
        <f t="shared" si="212"/>
        <v>1757.5</v>
      </c>
      <c r="O61" s="236">
        <f t="shared" si="212"/>
        <v>2617</v>
      </c>
      <c r="P61" s="236">
        <f>sum(P48:P60)</f>
        <v>6954</v>
      </c>
      <c r="Q61" s="236">
        <f t="shared" ref="Q61:W61" si="213">sum(Q48:Q56)+Q60</f>
        <v>3093</v>
      </c>
      <c r="R61" s="236">
        <f t="shared" si="213"/>
        <v>3137.67975</v>
      </c>
      <c r="S61" s="236">
        <f t="shared" si="213"/>
        <v>6675</v>
      </c>
      <c r="T61" s="236">
        <f t="shared" si="213"/>
        <v>2126.825</v>
      </c>
      <c r="U61" s="236">
        <f t="shared" si="213"/>
        <v>2952.90525</v>
      </c>
      <c r="V61" s="236">
        <f t="shared" si="213"/>
        <v>3964.575</v>
      </c>
      <c r="W61" s="236">
        <f t="shared" si="213"/>
        <v>1611.825</v>
      </c>
      <c r="X61" s="236">
        <f t="shared" ref="X61:AO61" si="214">sum(X48:X57)</f>
        <v>2051.025</v>
      </c>
      <c r="Y61" s="236">
        <f t="shared" si="214"/>
        <v>2546.45</v>
      </c>
      <c r="Z61" s="236">
        <f t="shared" si="214"/>
        <v>3204.7</v>
      </c>
      <c r="AA61" s="236">
        <f t="shared" si="214"/>
        <v>4474.9525</v>
      </c>
      <c r="AB61" s="236">
        <f t="shared" si="214"/>
        <v>2793.2</v>
      </c>
      <c r="AC61" s="236">
        <f t="shared" si="214"/>
        <v>3135.291667</v>
      </c>
      <c r="AD61" s="236">
        <f t="shared" si="214"/>
        <v>3208.625</v>
      </c>
      <c r="AE61" s="236">
        <f t="shared" si="214"/>
        <v>14799.4225</v>
      </c>
      <c r="AF61" s="236">
        <f t="shared" si="214"/>
        <v>4333.1</v>
      </c>
      <c r="AG61" s="236">
        <f t="shared" si="214"/>
        <v>6671.5</v>
      </c>
      <c r="AH61" s="237">
        <f t="shared" si="214"/>
        <v>11870</v>
      </c>
      <c r="AI61" s="236">
        <f t="shared" si="214"/>
        <v>4942.193333</v>
      </c>
      <c r="AJ61" s="236">
        <f t="shared" si="214"/>
        <v>2942.193333</v>
      </c>
      <c r="AK61" s="236">
        <f t="shared" si="214"/>
        <v>4477.275</v>
      </c>
      <c r="AL61" s="236">
        <f t="shared" si="214"/>
        <v>8675.275</v>
      </c>
      <c r="AM61" s="236">
        <f t="shared" si="214"/>
        <v>5852.775</v>
      </c>
      <c r="AN61" s="236">
        <f t="shared" si="214"/>
        <v>13398.585</v>
      </c>
      <c r="AO61" s="236">
        <f t="shared" si="214"/>
        <v>2533.585</v>
      </c>
      <c r="AP61" s="236">
        <f>sum(AP48:AP60)</f>
        <v>28003.65</v>
      </c>
      <c r="AQ61" s="236">
        <f t="shared" ref="AQ61:AZ61" si="215">sum(AQ48:AQ57)</f>
        <v>2433.585</v>
      </c>
      <c r="AR61" s="236">
        <f t="shared" si="215"/>
        <v>11201.085</v>
      </c>
      <c r="AS61" s="236">
        <f t="shared" si="215"/>
        <v>4291.56</v>
      </c>
      <c r="AT61" s="236">
        <f t="shared" si="215"/>
        <v>9429.14</v>
      </c>
      <c r="AU61" s="236">
        <f t="shared" si="215"/>
        <v>16828.585</v>
      </c>
      <c r="AV61" s="236">
        <f t="shared" si="215"/>
        <v>2433.585</v>
      </c>
      <c r="AW61" s="236">
        <f t="shared" si="215"/>
        <v>4640.71</v>
      </c>
      <c r="AX61" s="236">
        <f t="shared" si="215"/>
        <v>4489.4</v>
      </c>
      <c r="AY61" s="236">
        <f t="shared" si="215"/>
        <v>2335</v>
      </c>
      <c r="AZ61" s="236">
        <f t="shared" si="215"/>
        <v>17855.71</v>
      </c>
      <c r="BA61" s="238">
        <f t="shared" ref="BA61:BJ61" si="216">sum(BA48:BA60)</f>
        <v>-21399</v>
      </c>
      <c r="BB61" s="238">
        <f t="shared" si="216"/>
        <v>-4200</v>
      </c>
      <c r="BC61" s="238">
        <f t="shared" si="216"/>
        <v>-7200</v>
      </c>
      <c r="BD61" s="238">
        <f t="shared" si="216"/>
        <v>-3400</v>
      </c>
      <c r="BE61" s="238">
        <f t="shared" si="216"/>
        <v>-9600</v>
      </c>
      <c r="BF61" s="238">
        <f t="shared" si="216"/>
        <v>-37950</v>
      </c>
      <c r="BG61" s="238">
        <f t="shared" si="216"/>
        <v>-10450</v>
      </c>
      <c r="BH61" s="238">
        <f t="shared" si="216"/>
        <v>-15450</v>
      </c>
      <c r="BI61" s="238">
        <f t="shared" si="216"/>
        <v>-5200</v>
      </c>
      <c r="BJ61" s="238">
        <f t="shared" si="216"/>
        <v>-8700</v>
      </c>
      <c r="BK61" s="239"/>
      <c r="BL61" s="238">
        <f t="shared" ref="BL61:BW61" si="217">sum(BL48:BL60)</f>
        <v>0</v>
      </c>
      <c r="BM61" s="238">
        <f t="shared" si="217"/>
        <v>10100</v>
      </c>
      <c r="BN61" s="238">
        <f t="shared" si="217"/>
        <v>8600</v>
      </c>
      <c r="BO61" s="238">
        <f t="shared" si="217"/>
        <v>24600</v>
      </c>
      <c r="BP61" s="238">
        <f t="shared" si="217"/>
        <v>2600</v>
      </c>
      <c r="BQ61" s="183">
        <f t="shared" si="217"/>
        <v>10100</v>
      </c>
      <c r="BR61" s="238">
        <f t="shared" si="217"/>
        <v>47050</v>
      </c>
      <c r="BS61" s="238">
        <f t="shared" si="217"/>
        <v>50</v>
      </c>
      <c r="BT61" s="238">
        <f t="shared" si="217"/>
        <v>600</v>
      </c>
      <c r="BU61" s="238">
        <f t="shared" si="217"/>
        <v>0</v>
      </c>
      <c r="BV61" s="238">
        <f t="shared" si="217"/>
        <v>0</v>
      </c>
      <c r="BW61" s="238">
        <f t="shared" si="217"/>
        <v>221</v>
      </c>
      <c r="BX61" s="146">
        <f t="shared" si="218"/>
        <v>103921</v>
      </c>
      <c r="BY61" s="238">
        <f t="shared" ref="BY61:CJ61" si="219">sum(BY48:BY60)</f>
        <v>110.5</v>
      </c>
      <c r="BZ61" s="238">
        <f t="shared" si="219"/>
        <v>110.5</v>
      </c>
      <c r="CA61" s="238">
        <f t="shared" si="219"/>
        <v>54485.5</v>
      </c>
      <c r="CB61" s="238">
        <f t="shared" si="219"/>
        <v>83159</v>
      </c>
      <c r="CC61" s="238">
        <f t="shared" si="219"/>
        <v>99</v>
      </c>
      <c r="CD61" s="238">
        <f t="shared" si="219"/>
        <v>133849</v>
      </c>
      <c r="CE61" s="238">
        <f t="shared" si="219"/>
        <v>20599</v>
      </c>
      <c r="CF61" s="238">
        <f t="shared" si="219"/>
        <v>18599</v>
      </c>
      <c r="CG61" s="238">
        <f t="shared" si="219"/>
        <v>19099</v>
      </c>
      <c r="CH61" s="238">
        <f t="shared" si="219"/>
        <v>21099</v>
      </c>
      <c r="CI61" s="238">
        <f t="shared" si="219"/>
        <v>4599</v>
      </c>
      <c r="CJ61" s="238">
        <f t="shared" si="219"/>
        <v>4599</v>
      </c>
      <c r="CK61" s="146">
        <f t="shared" si="220"/>
        <v>360407.5</v>
      </c>
      <c r="CL61" s="238">
        <f t="shared" ref="CL61:CW61" si="221">sum(CL48:CL60)</f>
        <v>118221</v>
      </c>
      <c r="CM61" s="238">
        <f t="shared" si="221"/>
        <v>12221</v>
      </c>
      <c r="CN61" s="238">
        <f t="shared" si="221"/>
        <v>10906</v>
      </c>
      <c r="CO61" s="238">
        <f t="shared" si="221"/>
        <v>228698</v>
      </c>
      <c r="CP61" s="238">
        <f t="shared" si="221"/>
        <v>3198</v>
      </c>
      <c r="CQ61" s="238">
        <f t="shared" si="221"/>
        <v>12198</v>
      </c>
      <c r="CR61" s="238">
        <f t="shared" si="221"/>
        <v>49198</v>
      </c>
      <c r="CS61" s="238">
        <f t="shared" si="221"/>
        <v>2198</v>
      </c>
      <c r="CT61" s="238">
        <f t="shared" si="221"/>
        <v>2698</v>
      </c>
      <c r="CU61" s="238">
        <f t="shared" si="221"/>
        <v>29698</v>
      </c>
      <c r="CV61" s="238">
        <f t="shared" si="221"/>
        <v>4698</v>
      </c>
      <c r="CW61" s="238">
        <f t="shared" si="221"/>
        <v>4698</v>
      </c>
      <c r="CX61" s="146">
        <f t="shared" si="222"/>
        <v>478630</v>
      </c>
      <c r="CY61" s="238">
        <f t="shared" ref="CY61:CZ61" si="223">sum(CY48:CY60)</f>
        <v>3100</v>
      </c>
      <c r="CZ61" s="238">
        <f t="shared" si="223"/>
        <v>3100</v>
      </c>
    </row>
    <row r="62">
      <c r="A62" s="240"/>
      <c r="B62" s="241"/>
      <c r="C62" s="177"/>
      <c r="D62" s="177"/>
      <c r="E62" s="177"/>
      <c r="F62" s="177"/>
      <c r="G62" s="177"/>
      <c r="H62" s="178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78"/>
      <c r="AI62" s="177"/>
      <c r="AJ62" s="177"/>
      <c r="AK62" s="177"/>
      <c r="AL62" s="177"/>
      <c r="AM62" s="177"/>
      <c r="AN62" s="177"/>
      <c r="AO62" s="177"/>
      <c r="AP62" s="177"/>
      <c r="AQ62" s="177"/>
      <c r="AR62" s="177"/>
      <c r="AS62" s="177"/>
      <c r="AT62" s="177"/>
      <c r="AU62" s="177"/>
      <c r="AV62" s="177"/>
      <c r="AW62" s="177"/>
      <c r="AX62" s="177"/>
      <c r="AY62" s="177"/>
      <c r="AZ62" s="177"/>
      <c r="BA62" s="177"/>
      <c r="BB62" s="177"/>
      <c r="BC62" s="177"/>
      <c r="BD62" s="177"/>
      <c r="BE62" s="177"/>
      <c r="BF62" s="177"/>
      <c r="BG62" s="177"/>
      <c r="BH62" s="177"/>
      <c r="BI62" s="177"/>
      <c r="BJ62" s="177"/>
      <c r="BK62" s="178"/>
      <c r="BL62" s="177"/>
      <c r="BM62" s="177"/>
      <c r="BN62" s="177"/>
      <c r="BO62" s="177"/>
      <c r="BP62" s="177"/>
      <c r="BQ62" s="177"/>
      <c r="BR62" s="177"/>
      <c r="BS62" s="177"/>
      <c r="BT62" s="177"/>
      <c r="BU62" s="177"/>
      <c r="BV62" s="177"/>
      <c r="BW62" s="177"/>
      <c r="BX62" s="242"/>
      <c r="BY62" s="177"/>
      <c r="BZ62" s="177"/>
      <c r="CA62" s="177"/>
      <c r="CB62" s="177"/>
      <c r="CC62" s="177"/>
      <c r="CD62" s="177"/>
      <c r="CE62" s="177"/>
      <c r="CF62" s="177"/>
      <c r="CG62" s="177"/>
      <c r="CH62" s="177"/>
      <c r="CI62" s="177"/>
      <c r="CJ62" s="177"/>
      <c r="CK62" s="242"/>
      <c r="CL62" s="177"/>
      <c r="CM62" s="177"/>
      <c r="CN62" s="177"/>
      <c r="CO62" s="177"/>
      <c r="CP62" s="177"/>
      <c r="CQ62" s="177"/>
      <c r="CR62" s="177"/>
      <c r="CS62" s="177"/>
      <c r="CT62" s="177"/>
      <c r="CU62" s="177"/>
      <c r="CV62" s="177"/>
      <c r="CW62" s="177"/>
      <c r="CX62" s="242"/>
      <c r="CY62" s="177"/>
      <c r="CZ62" s="177"/>
    </row>
    <row r="63">
      <c r="A63" s="243"/>
      <c r="B63" s="244"/>
      <c r="C63" s="245"/>
      <c r="D63" s="245"/>
      <c r="E63" s="245"/>
      <c r="F63" s="245"/>
      <c r="G63" s="245"/>
      <c r="H63" s="246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  <c r="AB63" s="245"/>
      <c r="AC63" s="245"/>
      <c r="AD63" s="245"/>
      <c r="AE63" s="245"/>
      <c r="AF63" s="245"/>
      <c r="AG63" s="245"/>
      <c r="AH63" s="246"/>
      <c r="AI63" s="245"/>
      <c r="AJ63" s="245"/>
      <c r="AK63" s="245"/>
      <c r="AL63" s="245"/>
      <c r="AM63" s="245"/>
      <c r="AN63" s="245"/>
      <c r="AO63" s="245"/>
      <c r="AP63" s="245"/>
      <c r="AQ63" s="245"/>
      <c r="AR63" s="245"/>
      <c r="AS63" s="245"/>
      <c r="AT63" s="245"/>
      <c r="AU63" s="245"/>
      <c r="AV63" s="245"/>
      <c r="AW63" s="245"/>
      <c r="AX63" s="245"/>
      <c r="AY63" s="245"/>
      <c r="AZ63" s="245"/>
      <c r="BA63" s="245"/>
      <c r="BB63" s="245"/>
      <c r="BC63" s="245"/>
      <c r="BD63" s="245"/>
      <c r="BE63" s="245"/>
      <c r="BF63" s="245"/>
      <c r="BG63" s="245"/>
      <c r="BH63" s="245"/>
      <c r="BI63" s="245"/>
      <c r="BJ63" s="245"/>
      <c r="BK63" s="246"/>
      <c r="BL63" s="245"/>
      <c r="BM63" s="245"/>
      <c r="BN63" s="245"/>
      <c r="BO63" s="245"/>
      <c r="BP63" s="245"/>
      <c r="BQ63" s="247"/>
      <c r="BR63" s="245"/>
      <c r="BS63" s="245"/>
      <c r="BT63" s="245"/>
      <c r="BU63" s="245"/>
      <c r="BV63" s="245"/>
      <c r="BW63" s="245"/>
      <c r="BX63" s="248"/>
      <c r="BY63" s="245"/>
      <c r="BZ63" s="245"/>
      <c r="CA63" s="245"/>
      <c r="CB63" s="245"/>
      <c r="CC63" s="245"/>
      <c r="CD63" s="247"/>
      <c r="CE63" s="245"/>
      <c r="CF63" s="245"/>
      <c r="CG63" s="245"/>
      <c r="CH63" s="245"/>
      <c r="CI63" s="245"/>
      <c r="CJ63" s="245"/>
      <c r="CK63" s="248"/>
      <c r="CL63" s="245"/>
      <c r="CM63" s="245"/>
      <c r="CN63" s="245"/>
      <c r="CO63" s="245"/>
      <c r="CP63" s="245"/>
      <c r="CQ63" s="247"/>
      <c r="CR63" s="245"/>
      <c r="CS63" s="245"/>
      <c r="CT63" s="245"/>
      <c r="CU63" s="245"/>
      <c r="CV63" s="245"/>
      <c r="CW63" s="245"/>
      <c r="CX63" s="248"/>
      <c r="CY63" s="245"/>
      <c r="CZ63" s="245"/>
    </row>
    <row r="64">
      <c r="A64" s="249" t="s">
        <v>253</v>
      </c>
      <c r="B64" s="250"/>
      <c r="C64" s="177"/>
      <c r="D64" s="177"/>
      <c r="E64" s="177"/>
      <c r="F64" s="177"/>
      <c r="G64" s="177"/>
      <c r="H64" s="178"/>
      <c r="I64" s="177"/>
      <c r="J64" s="177" t="str">
        <f t="shared" ref="J64:K64" si="224">J13-#REF!-J44-J61</f>
        <v>#REF!</v>
      </c>
      <c r="K64" s="177" t="str">
        <f t="shared" si="224"/>
        <v>#REF!</v>
      </c>
      <c r="L64" s="177" t="str">
        <f t="shared" ref="L64:M64" si="225">L13-#REF!-L44-L61+K64</f>
        <v>#REF!</v>
      </c>
      <c r="M64" s="177" t="str">
        <f t="shared" si="225"/>
        <v>#REF!</v>
      </c>
      <c r="N64" s="177">
        <f>N13-N44-N61</f>
        <v>2020.5</v>
      </c>
      <c r="O64" s="177">
        <f>N64+O13-O44-O61</f>
        <v>4252.5</v>
      </c>
      <c r="P64" s="177">
        <f>P13-P44-P61+P57</f>
        <v>306.2730439</v>
      </c>
      <c r="Q64" s="177">
        <f t="shared" ref="Q64:R64" si="226">Q13-Q44-Q61+Q57+P64</f>
        <v>593.7026472</v>
      </c>
      <c r="R64" s="177">
        <f t="shared" si="226"/>
        <v>636.1352085</v>
      </c>
      <c r="S64" s="177">
        <f>S13-S44-S61+S57+100</f>
        <v>522.2609904</v>
      </c>
      <c r="T64" s="177">
        <f t="shared" ref="T64:W64" si="227">T13-T44-T61+T57+S64</f>
        <v>-1048.472997</v>
      </c>
      <c r="U64" s="177">
        <f t="shared" si="227"/>
        <v>908.5319347</v>
      </c>
      <c r="V64" s="177">
        <f t="shared" si="227"/>
        <v>-721.3325214</v>
      </c>
      <c r="W64" s="177">
        <f t="shared" si="227"/>
        <v>1270.585723</v>
      </c>
      <c r="X64" s="177">
        <f>X13-X44-X61+X57</f>
        <v>-1951.510327</v>
      </c>
      <c r="Y64" s="177">
        <f t="shared" ref="Y64:AH64" si="228">Y13-Y44-Y61+Y57+X64</f>
        <v>2803.564673</v>
      </c>
      <c r="Z64" s="177">
        <f t="shared" si="228"/>
        <v>1629.214673</v>
      </c>
      <c r="AA64" s="177">
        <f t="shared" si="228"/>
        <v>-860.7278271</v>
      </c>
      <c r="AB64" s="177">
        <f t="shared" si="228"/>
        <v>197.5071729</v>
      </c>
      <c r="AC64" s="177">
        <f t="shared" si="228"/>
        <v>403.6505062</v>
      </c>
      <c r="AD64" s="177">
        <f t="shared" si="228"/>
        <v>1636.460506</v>
      </c>
      <c r="AE64" s="177">
        <f t="shared" si="228"/>
        <v>1778.473006</v>
      </c>
      <c r="AF64" s="177">
        <f t="shared" si="228"/>
        <v>3186.808006</v>
      </c>
      <c r="AG64" s="177">
        <f t="shared" si="228"/>
        <v>3356.743006</v>
      </c>
      <c r="AH64" s="178">
        <f t="shared" si="228"/>
        <v>6774.653006</v>
      </c>
      <c r="AI64" s="177">
        <f>AI13-AI44-AI61+AI57+AG64</f>
        <v>1475.459673</v>
      </c>
      <c r="AJ64" s="177">
        <f t="shared" ref="AJ64:AK64" si="229">AJ13-AJ44-AJ61+AJ57</f>
        <v>318.7166667</v>
      </c>
      <c r="AK64" s="177">
        <f t="shared" si="229"/>
        <v>8470.725</v>
      </c>
      <c r="AL64" s="177">
        <f t="shared" ref="AL64:AU64" si="230">AL13-AL44-AL61+AL57+AK64</f>
        <v>1168.45</v>
      </c>
      <c r="AM64" s="177">
        <f t="shared" si="230"/>
        <v>501.675</v>
      </c>
      <c r="AN64" s="177">
        <f t="shared" si="230"/>
        <v>2289.09</v>
      </c>
      <c r="AO64" s="177">
        <f t="shared" si="230"/>
        <v>5941.505</v>
      </c>
      <c r="AP64" s="177">
        <f t="shared" si="230"/>
        <v>2198.855</v>
      </c>
      <c r="AQ64" s="177">
        <f t="shared" si="230"/>
        <v>4926.27</v>
      </c>
      <c r="AR64" s="177">
        <f t="shared" si="230"/>
        <v>-1113.815</v>
      </c>
      <c r="AS64" s="177">
        <f t="shared" si="230"/>
        <v>-272.375</v>
      </c>
      <c r="AT64" s="177">
        <f t="shared" si="230"/>
        <v>210.595</v>
      </c>
      <c r="AU64" s="177">
        <f t="shared" si="230"/>
        <v>4643.01</v>
      </c>
      <c r="AV64" s="177">
        <f>0</f>
        <v>0</v>
      </c>
      <c r="AW64" s="177">
        <f t="shared" ref="AW64:AY64" si="231">AW13-AW44-AW61+AW57</f>
        <v>0.29</v>
      </c>
      <c r="AX64" s="177">
        <f t="shared" si="231"/>
        <v>2995.6</v>
      </c>
      <c r="AY64" s="177">
        <f t="shared" si="231"/>
        <v>5106</v>
      </c>
      <c r="AZ64" s="177">
        <f>AZ13-AZ44-AZ61+AZ57+AY64</f>
        <v>6566.29</v>
      </c>
      <c r="BA64" s="177">
        <f>sum(BA13,BA44,BA61)</f>
        <v>2484</v>
      </c>
      <c r="BB64" s="177">
        <f t="shared" ref="BB64:BE64" si="232">sum(BB13,BB44,BB61,BA64)</f>
        <v>2167</v>
      </c>
      <c r="BC64" s="177">
        <f t="shared" si="232"/>
        <v>-350</v>
      </c>
      <c r="BD64" s="177">
        <f t="shared" si="232"/>
        <v>-7263</v>
      </c>
      <c r="BE64" s="177">
        <f t="shared" si="232"/>
        <v>-14280</v>
      </c>
      <c r="BF64" s="177">
        <f>sum(BF13,BF44,BF61)</f>
        <v>883</v>
      </c>
      <c r="BG64" s="177">
        <f t="shared" ref="BG64:BJ64" si="233">sum(BG13,BG44,BG61,BF64)</f>
        <v>1581</v>
      </c>
      <c r="BH64" s="177">
        <f t="shared" si="233"/>
        <v>1964</v>
      </c>
      <c r="BI64" s="177">
        <f t="shared" si="233"/>
        <v>1447</v>
      </c>
      <c r="BJ64" s="177">
        <f t="shared" si="233"/>
        <v>-7620</v>
      </c>
      <c r="BK64" s="178"/>
      <c r="BL64" s="177">
        <f t="shared" ref="BL64:BM64" si="234">BL13-BL44-BL61</f>
        <v>8517</v>
      </c>
      <c r="BM64" s="177">
        <f t="shared" si="234"/>
        <v>-933</v>
      </c>
      <c r="BN64" s="177">
        <f t="shared" ref="BN64:BW64" si="235">BM64+BN13-BN44-BN61</f>
        <v>5234</v>
      </c>
      <c r="BO64" s="177">
        <f t="shared" si="235"/>
        <v>3701</v>
      </c>
      <c r="BP64" s="177">
        <f t="shared" si="235"/>
        <v>3568</v>
      </c>
      <c r="BQ64" s="177">
        <f t="shared" si="235"/>
        <v>7510</v>
      </c>
      <c r="BR64" s="177">
        <f t="shared" si="235"/>
        <v>10802</v>
      </c>
      <c r="BS64" s="177">
        <f t="shared" si="235"/>
        <v>-13596</v>
      </c>
      <c r="BT64" s="177">
        <f t="shared" si="235"/>
        <v>-6774</v>
      </c>
      <c r="BU64" s="177">
        <f t="shared" si="235"/>
        <v>-6692</v>
      </c>
      <c r="BV64" s="177">
        <f t="shared" si="235"/>
        <v>-6210</v>
      </c>
      <c r="BW64" s="177">
        <f t="shared" si="235"/>
        <v>-749</v>
      </c>
      <c r="BX64" s="146">
        <f>BW64</f>
        <v>-749</v>
      </c>
      <c r="BY64" s="177">
        <f t="shared" ref="BY64:CJ64" si="236">sum(BX64,BY13,-BY44,-BY61)</f>
        <v>122.5</v>
      </c>
      <c r="BZ64" s="177">
        <f t="shared" si="236"/>
        <v>8694</v>
      </c>
      <c r="CA64" s="177">
        <f t="shared" si="236"/>
        <v>20690.5</v>
      </c>
      <c r="CB64" s="177">
        <f t="shared" si="236"/>
        <v>27013.5</v>
      </c>
      <c r="CC64" s="177">
        <f t="shared" si="236"/>
        <v>33096.5</v>
      </c>
      <c r="CD64" s="177">
        <f t="shared" si="236"/>
        <v>117429.5</v>
      </c>
      <c r="CE64" s="177">
        <f t="shared" si="236"/>
        <v>3403012.5</v>
      </c>
      <c r="CF64" s="177">
        <f t="shared" si="236"/>
        <v>6690595.5</v>
      </c>
      <c r="CG64" s="177">
        <f t="shared" si="236"/>
        <v>9977678.5</v>
      </c>
      <c r="CH64" s="177">
        <f t="shared" si="236"/>
        <v>13262761.5</v>
      </c>
      <c r="CI64" s="177">
        <f t="shared" si="236"/>
        <v>13264544.5</v>
      </c>
      <c r="CJ64" s="177">
        <f t="shared" si="236"/>
        <v>13266327.5</v>
      </c>
      <c r="CK64" s="146">
        <f>CJ64</f>
        <v>13266327.5</v>
      </c>
      <c r="CL64" s="177">
        <f t="shared" ref="CL64:CW64" si="237">sum(CK64,CL13,-CL44,-CL61)</f>
        <v>13151788.5</v>
      </c>
      <c r="CM64" s="177">
        <f t="shared" si="237"/>
        <v>13148249.5</v>
      </c>
      <c r="CN64" s="177">
        <f t="shared" si="237"/>
        <v>13163525.5</v>
      </c>
      <c r="CO64" s="177">
        <f t="shared" si="237"/>
        <v>13109209.5</v>
      </c>
      <c r="CP64" s="177">
        <f t="shared" si="237"/>
        <v>13112393.5</v>
      </c>
      <c r="CQ64" s="177">
        <f t="shared" si="237"/>
        <v>13101077.5</v>
      </c>
      <c r="CR64" s="177">
        <f t="shared" si="237"/>
        <v>13058261.5</v>
      </c>
      <c r="CS64" s="177">
        <f t="shared" si="237"/>
        <v>13062445.5</v>
      </c>
      <c r="CT64" s="177">
        <f t="shared" si="237"/>
        <v>13066129.5</v>
      </c>
      <c r="CU64" s="177">
        <f t="shared" si="237"/>
        <v>13042813.5</v>
      </c>
      <c r="CV64" s="177">
        <f t="shared" si="237"/>
        <v>13044497.5</v>
      </c>
      <c r="CW64" s="177">
        <f t="shared" si="237"/>
        <v>13046181.5</v>
      </c>
      <c r="CX64" s="146">
        <f>CW64</f>
        <v>13046181.5</v>
      </c>
      <c r="CY64" s="177">
        <f t="shared" ref="CY64:CZ64" si="238">CJ64+CY13-CY44-CY61</f>
        <v>13273794.5</v>
      </c>
      <c r="CZ64" s="177">
        <f t="shared" si="238"/>
        <v>13273794.5</v>
      </c>
    </row>
    <row r="65">
      <c r="A65" s="251"/>
      <c r="B65" s="252"/>
      <c r="C65" s="177"/>
      <c r="D65" s="177"/>
      <c r="E65" s="177"/>
      <c r="F65" s="177"/>
      <c r="G65" s="177"/>
      <c r="H65" s="178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8"/>
      <c r="AI65" s="177"/>
      <c r="AJ65" s="177"/>
      <c r="AK65" s="177"/>
      <c r="AL65" s="177"/>
      <c r="AM65" s="177"/>
      <c r="AN65" s="177"/>
      <c r="AO65" s="177"/>
      <c r="AP65" s="177"/>
      <c r="AQ65" s="177"/>
      <c r="AR65" s="177"/>
      <c r="AS65" s="177"/>
      <c r="AT65" s="177"/>
      <c r="AU65" s="177"/>
      <c r="AV65" s="177"/>
      <c r="AW65" s="177"/>
      <c r="AX65" s="177"/>
      <c r="AY65" s="177"/>
      <c r="AZ65" s="177"/>
      <c r="BA65" s="177"/>
      <c r="BB65" s="177"/>
      <c r="BC65" s="177"/>
      <c r="BD65" s="177"/>
      <c r="BE65" s="177"/>
      <c r="BF65" s="177"/>
      <c r="BG65" s="177"/>
      <c r="BH65" s="177"/>
      <c r="BI65" s="177"/>
      <c r="BJ65" s="177"/>
      <c r="BK65" s="178"/>
      <c r="BL65" s="177"/>
      <c r="BM65" s="177"/>
      <c r="BN65" s="177"/>
      <c r="BO65" s="177"/>
      <c r="BP65" s="177"/>
      <c r="BQ65" s="177"/>
      <c r="BR65" s="177"/>
      <c r="BS65" s="177"/>
      <c r="BT65" s="177"/>
      <c r="BU65" s="177"/>
      <c r="BV65" s="177"/>
      <c r="BW65" s="177"/>
      <c r="BX65" s="242"/>
      <c r="BY65" s="177"/>
      <c r="BZ65" s="177"/>
      <c r="CA65" s="177"/>
      <c r="CB65" s="177"/>
      <c r="CC65" s="177"/>
      <c r="CD65" s="177"/>
      <c r="CE65" s="177"/>
      <c r="CF65" s="177"/>
      <c r="CG65" s="177"/>
      <c r="CH65" s="177"/>
      <c r="CI65" s="177"/>
      <c r="CJ65" s="177"/>
      <c r="CK65" s="242"/>
      <c r="CL65" s="177"/>
      <c r="CM65" s="177"/>
      <c r="CN65" s="177"/>
      <c r="CO65" s="177"/>
      <c r="CP65" s="177"/>
      <c r="CQ65" s="177"/>
      <c r="CR65" s="177"/>
      <c r="CS65" s="177"/>
      <c r="CT65" s="177"/>
      <c r="CU65" s="177"/>
      <c r="CV65" s="177"/>
      <c r="CW65" s="177"/>
      <c r="CX65" s="242"/>
      <c r="CY65" s="177"/>
      <c r="CZ65" s="177"/>
    </row>
    <row r="66">
      <c r="A66" s="251"/>
      <c r="B66" s="252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177"/>
      <c r="AZ66" s="177"/>
      <c r="BA66" s="177"/>
      <c r="BB66" s="177"/>
      <c r="BC66" s="177"/>
      <c r="BD66" s="179"/>
      <c r="BF66" s="177"/>
      <c r="BG66" s="177"/>
      <c r="BH66" s="177"/>
      <c r="BI66" s="177"/>
      <c r="BJ66" s="177"/>
      <c r="BK66" s="178"/>
      <c r="BL66" s="177"/>
      <c r="BM66" s="177"/>
      <c r="BN66" s="177"/>
      <c r="BO66" s="177"/>
      <c r="BP66" s="177"/>
      <c r="BQ66" s="177"/>
      <c r="BR66" s="177"/>
      <c r="BS66" s="177"/>
      <c r="BT66" s="177"/>
      <c r="BU66" s="177"/>
      <c r="BV66" s="177"/>
      <c r="BX66" s="242"/>
      <c r="BY66" s="177"/>
      <c r="BZ66" s="177"/>
      <c r="CA66" s="177"/>
      <c r="CB66" s="177"/>
      <c r="CC66" s="177"/>
      <c r="CD66" s="177"/>
      <c r="CE66" s="177"/>
      <c r="CF66" s="177"/>
      <c r="CG66" s="177"/>
      <c r="CH66" s="177"/>
      <c r="CI66" s="177"/>
      <c r="CJ66" s="177"/>
      <c r="CK66" s="242"/>
      <c r="CL66" s="177"/>
      <c r="CM66" s="177"/>
      <c r="CN66" s="177"/>
      <c r="CO66" s="177"/>
      <c r="CP66" s="177"/>
      <c r="CQ66" s="177"/>
      <c r="CR66" s="177"/>
      <c r="CS66" s="177"/>
      <c r="CT66" s="177"/>
      <c r="CU66" s="177"/>
      <c r="CV66" s="177"/>
      <c r="CW66" s="177"/>
      <c r="CX66" s="242"/>
      <c r="CY66" s="177"/>
      <c r="CZ66" s="177"/>
    </row>
    <row r="67">
      <c r="A67" s="251"/>
      <c r="B67" s="252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  <c r="AJ67" s="177"/>
      <c r="AK67" s="177"/>
      <c r="AL67" s="177"/>
      <c r="AM67" s="177"/>
      <c r="AN67" s="177"/>
      <c r="AO67" s="177"/>
      <c r="AP67" s="177"/>
      <c r="AQ67" s="177"/>
      <c r="AR67" s="177"/>
      <c r="AS67" s="177"/>
      <c r="AT67" s="177"/>
      <c r="AU67" s="177"/>
      <c r="AV67" s="177"/>
      <c r="AW67" s="177"/>
      <c r="AX67" s="177"/>
      <c r="AY67" s="177"/>
      <c r="AZ67" s="177"/>
      <c r="BA67" s="177"/>
      <c r="BB67" s="177"/>
      <c r="BC67" s="177"/>
      <c r="BD67" s="177"/>
      <c r="BE67" s="179"/>
      <c r="BF67" s="177"/>
      <c r="BG67" s="177"/>
      <c r="BH67" s="177"/>
      <c r="BI67" s="177"/>
      <c r="BJ67" s="177"/>
      <c r="BK67" s="246"/>
      <c r="BL67" s="177"/>
      <c r="BM67" s="177"/>
      <c r="BN67" s="177"/>
      <c r="BO67" s="177"/>
      <c r="BP67" s="177"/>
      <c r="BQ67" s="177"/>
      <c r="BR67" s="177"/>
      <c r="BS67" s="177"/>
      <c r="BT67" s="177"/>
      <c r="BU67" s="177"/>
      <c r="BV67" s="177"/>
      <c r="BW67" s="177"/>
      <c r="BX67" s="248"/>
      <c r="BY67" s="177"/>
      <c r="BZ67" s="177"/>
      <c r="CA67" s="177"/>
      <c r="CB67" s="177"/>
      <c r="CC67" s="177"/>
      <c r="CD67" s="177"/>
      <c r="CE67" s="177"/>
      <c r="CF67" s="177"/>
      <c r="CG67" s="177"/>
      <c r="CH67" s="177"/>
      <c r="CI67" s="177"/>
      <c r="CJ67" s="177"/>
      <c r="CK67" s="248"/>
      <c r="CL67" s="177"/>
      <c r="CM67" s="177"/>
      <c r="CN67" s="177"/>
      <c r="CO67" s="177"/>
      <c r="CP67" s="177"/>
      <c r="CQ67" s="177"/>
      <c r="CR67" s="177"/>
      <c r="CS67" s="177"/>
      <c r="CT67" s="177"/>
      <c r="CU67" s="177"/>
      <c r="CV67" s="177"/>
      <c r="CW67" s="177"/>
      <c r="CX67" s="248"/>
      <c r="CY67" s="177"/>
      <c r="CZ67" s="177"/>
    </row>
  </sheetData>
  <conditionalFormatting sqref="J64:BW64 BY64:CZ64">
    <cfRule type="cellIs" dxfId="0" priority="1" operator="greaterThan">
      <formula>0</formula>
    </cfRule>
  </conditionalFormatting>
  <conditionalFormatting sqref="J64:BW64 BY64:CZ64">
    <cfRule type="cellIs" dxfId="1" priority="2" operator="lessThan">
      <formula>0</formula>
    </cfRule>
  </conditionalFormatting>
  <conditionalFormatting sqref="Q25:CZ25">
    <cfRule type="cellIs" dxfId="2" priority="3" operator="lessThanOrEqual">
      <formula>"50%"</formula>
    </cfRule>
  </conditionalFormatting>
  <conditionalFormatting sqref="Q25:CZ25">
    <cfRule type="cellIs" dxfId="3" priority="4" operator="greaterThanOrEqual">
      <formula>"50%"</formula>
    </cfRule>
  </conditionalFormatting>
  <conditionalFormatting sqref="Q43:CZ43">
    <cfRule type="cellIs" dxfId="2" priority="5" operator="lessThanOrEqual">
      <formula>"30%"</formula>
    </cfRule>
  </conditionalFormatting>
  <conditionalFormatting sqref="Q43:CZ43">
    <cfRule type="cellIs" dxfId="3" priority="6" operator="greaterThanOrEqual">
      <formula>"30%"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</cols>
  <sheetData>
    <row r="1">
      <c r="A1" s="253" t="s">
        <v>254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</row>
    <row r="2">
      <c r="A2" s="255" t="s">
        <v>255</v>
      </c>
      <c r="B2" s="254"/>
      <c r="C2" s="254"/>
      <c r="D2" s="254"/>
      <c r="E2" s="254"/>
      <c r="F2" s="254"/>
      <c r="G2" s="254"/>
      <c r="H2" s="254"/>
      <c r="I2" s="256"/>
      <c r="J2" s="256"/>
      <c r="K2" s="256"/>
      <c r="L2" s="254"/>
    </row>
    <row r="3">
      <c r="A3" s="254"/>
      <c r="B3" s="257"/>
      <c r="C3" s="257"/>
      <c r="D3" s="257"/>
      <c r="E3" s="257"/>
      <c r="F3" s="257"/>
      <c r="G3" s="257"/>
      <c r="H3" s="258"/>
      <c r="I3" s="259">
        <v>2023.0</v>
      </c>
      <c r="J3" s="259">
        <v>2024.0</v>
      </c>
      <c r="K3" s="259">
        <v>2025.0</v>
      </c>
      <c r="L3" s="260" t="s">
        <v>256</v>
      </c>
    </row>
    <row r="4">
      <c r="A4" s="261"/>
      <c r="B4" s="262">
        <v>2024.0</v>
      </c>
      <c r="C4" s="262">
        <v>2025.0</v>
      </c>
      <c r="D4" s="262">
        <v>2026.0</v>
      </c>
      <c r="E4" s="262">
        <v>2027.0</v>
      </c>
      <c r="F4" s="262">
        <v>2028.0</v>
      </c>
      <c r="G4" s="262">
        <v>2029.0</v>
      </c>
      <c r="H4" s="262">
        <v>2030.0</v>
      </c>
      <c r="I4" s="263" t="s">
        <v>257</v>
      </c>
      <c r="J4" s="263" t="s">
        <v>257</v>
      </c>
      <c r="K4" s="263" t="s">
        <v>257</v>
      </c>
      <c r="L4" s="264" t="s">
        <v>258</v>
      </c>
    </row>
    <row r="5">
      <c r="A5" s="265" t="s">
        <v>259</v>
      </c>
      <c r="B5" s="266"/>
      <c r="C5" s="266"/>
      <c r="D5" s="266"/>
      <c r="E5" s="266"/>
      <c r="F5" s="266"/>
      <c r="G5" s="266"/>
      <c r="H5" s="267"/>
      <c r="I5" s="263"/>
      <c r="J5" s="263"/>
      <c r="K5" s="263"/>
      <c r="L5" s="264"/>
    </row>
    <row r="6">
      <c r="A6" s="268" t="s">
        <v>260</v>
      </c>
      <c r="B6" s="269">
        <f>212000/2</f>
        <v>106000</v>
      </c>
      <c r="C6" s="269">
        <f>220000/2</f>
        <v>110000</v>
      </c>
      <c r="D6" s="269">
        <f t="shared" ref="D6:G6" si="1">sum(500000/12*6)</f>
        <v>250000</v>
      </c>
      <c r="E6" s="269">
        <f t="shared" si="1"/>
        <v>250000</v>
      </c>
      <c r="F6" s="269">
        <f t="shared" si="1"/>
        <v>250000</v>
      </c>
      <c r="G6" s="269">
        <f t="shared" si="1"/>
        <v>250000</v>
      </c>
      <c r="H6" s="270"/>
      <c r="I6" s="271">
        <f t="shared" ref="I6:I9" si="3">sum(C6*2)</f>
        <v>220000</v>
      </c>
      <c r="J6" s="271">
        <f t="shared" ref="J6:J9" si="4">sum(D6:E6)</f>
        <v>500000</v>
      </c>
      <c r="K6" s="271">
        <f t="shared" ref="K6:K9" si="5">sum(F6:G6)</f>
        <v>500000</v>
      </c>
      <c r="L6" s="269" t="str">
        <f>#REF!+I6</f>
        <v>#REF!</v>
      </c>
    </row>
    <row r="7">
      <c r="A7" s="268" t="s">
        <v>261</v>
      </c>
      <c r="B7" s="269">
        <v>0.0</v>
      </c>
      <c r="C7" s="269">
        <f t="shared" ref="C7:G7" si="2">sum(500000/12*6)</f>
        <v>250000</v>
      </c>
      <c r="D7" s="269">
        <f t="shared" si="2"/>
        <v>250000</v>
      </c>
      <c r="E7" s="269">
        <f t="shared" si="2"/>
        <v>250000</v>
      </c>
      <c r="F7" s="269">
        <f t="shared" si="2"/>
        <v>250000</v>
      </c>
      <c r="G7" s="269">
        <f t="shared" si="2"/>
        <v>250000</v>
      </c>
      <c r="H7" s="270"/>
      <c r="I7" s="271">
        <f t="shared" si="3"/>
        <v>500000</v>
      </c>
      <c r="J7" s="271">
        <f t="shared" si="4"/>
        <v>500000</v>
      </c>
      <c r="K7" s="271">
        <f t="shared" si="5"/>
        <v>500000</v>
      </c>
      <c r="L7" s="269"/>
    </row>
    <row r="8">
      <c r="A8" s="268" t="s">
        <v>262</v>
      </c>
      <c r="B8" s="269">
        <v>0.0</v>
      </c>
      <c r="C8" s="269">
        <v>0.0</v>
      </c>
      <c r="D8" s="269">
        <f>sum(250000/12*6)</f>
        <v>125000</v>
      </c>
      <c r="E8" s="269">
        <f t="shared" ref="E8:G8" si="6">sum(250000/12*6*3)</f>
        <v>375000</v>
      </c>
      <c r="F8" s="269">
        <f t="shared" si="6"/>
        <v>375000</v>
      </c>
      <c r="G8" s="269">
        <f t="shared" si="6"/>
        <v>375000</v>
      </c>
      <c r="H8" s="270"/>
      <c r="I8" s="271">
        <f t="shared" si="3"/>
        <v>0</v>
      </c>
      <c r="J8" s="271">
        <f t="shared" si="4"/>
        <v>500000</v>
      </c>
      <c r="K8" s="271">
        <f t="shared" si="5"/>
        <v>750000</v>
      </c>
      <c r="L8" s="269"/>
    </row>
    <row r="9">
      <c r="A9" s="272"/>
      <c r="B9" s="269">
        <v>0.0</v>
      </c>
      <c r="C9" s="269">
        <v>0.0</v>
      </c>
      <c r="D9" s="269">
        <f t="shared" ref="D9:G9" si="7">sum(20000*6)</f>
        <v>120000</v>
      </c>
      <c r="E9" s="269">
        <f t="shared" si="7"/>
        <v>120000</v>
      </c>
      <c r="F9" s="269">
        <f t="shared" si="7"/>
        <v>120000</v>
      </c>
      <c r="G9" s="269">
        <f t="shared" si="7"/>
        <v>120000</v>
      </c>
      <c r="H9" s="270"/>
      <c r="I9" s="271">
        <f t="shared" si="3"/>
        <v>0</v>
      </c>
      <c r="J9" s="271">
        <f t="shared" si="4"/>
        <v>240000</v>
      </c>
      <c r="K9" s="271">
        <f t="shared" si="5"/>
        <v>240000</v>
      </c>
      <c r="L9" s="269"/>
    </row>
    <row r="10">
      <c r="A10" s="273" t="s">
        <v>263</v>
      </c>
      <c r="B10" s="274"/>
      <c r="C10" s="274"/>
      <c r="D10" s="274"/>
      <c r="E10" s="274"/>
      <c r="F10" s="274"/>
      <c r="G10" s="274"/>
      <c r="H10" s="275"/>
      <c r="I10" s="276"/>
      <c r="J10" s="276"/>
      <c r="K10" s="276"/>
      <c r="L10" s="274"/>
    </row>
    <row r="11">
      <c r="A11" s="277" t="s">
        <v>264</v>
      </c>
      <c r="B11" s="269">
        <f t="shared" ref="B11:G11" si="8">sum(B6:B10)</f>
        <v>106000</v>
      </c>
      <c r="C11" s="269">
        <f t="shared" si="8"/>
        <v>360000</v>
      </c>
      <c r="D11" s="269">
        <f t="shared" si="8"/>
        <v>745000</v>
      </c>
      <c r="E11" s="269">
        <f t="shared" si="8"/>
        <v>995000</v>
      </c>
      <c r="F11" s="269">
        <f t="shared" si="8"/>
        <v>995000</v>
      </c>
      <c r="G11" s="269">
        <f t="shared" si="8"/>
        <v>995000</v>
      </c>
      <c r="H11" s="270"/>
      <c r="I11" s="271">
        <f t="shared" ref="I11:K11" si="9">sum(I6:I10)</f>
        <v>720000</v>
      </c>
      <c r="J11" s="271">
        <f t="shared" si="9"/>
        <v>1740000</v>
      </c>
      <c r="K11" s="271">
        <f t="shared" si="9"/>
        <v>1990000</v>
      </c>
      <c r="L11" s="269"/>
    </row>
    <row r="12">
      <c r="A12" s="272"/>
      <c r="B12" s="278"/>
      <c r="C12" s="278"/>
      <c r="D12" s="278"/>
      <c r="E12" s="278"/>
      <c r="F12" s="278"/>
      <c r="G12" s="278"/>
      <c r="H12" s="279"/>
      <c r="I12" s="279"/>
      <c r="J12" s="279"/>
      <c r="K12" s="279"/>
      <c r="L12" s="278"/>
    </row>
    <row r="13">
      <c r="A13" s="280" t="s">
        <v>265</v>
      </c>
      <c r="B13" s="281"/>
      <c r="C13" s="281"/>
      <c r="D13" s="281"/>
      <c r="E13" s="281"/>
      <c r="F13" s="281"/>
      <c r="G13" s="281"/>
      <c r="H13" s="282"/>
      <c r="I13" s="282"/>
      <c r="J13" s="282"/>
      <c r="K13" s="282"/>
      <c r="L13" s="281"/>
    </row>
    <row r="14">
      <c r="A14" s="277" t="s">
        <v>266</v>
      </c>
      <c r="B14" s="269" t="str">
        <f t="shared" ref="B14:B26" si="11">sum('BUDGET FY''23'!B16:G16)</f>
        <v>#REF!</v>
      </c>
      <c r="C14" s="269" t="str">
        <f t="shared" ref="C14:C26" si="12">sum('BUDGET FY''23'!H16:M16)</f>
        <v>#REF!</v>
      </c>
      <c r="D14" s="269">
        <f t="shared" ref="D14:G14" si="10">sum(-200000/2,-200000/2,-165000/2)</f>
        <v>-282500</v>
      </c>
      <c r="E14" s="269">
        <f t="shared" si="10"/>
        <v>-282500</v>
      </c>
      <c r="F14" s="269">
        <f t="shared" si="10"/>
        <v>-282500</v>
      </c>
      <c r="G14" s="269">
        <f t="shared" si="10"/>
        <v>-282500</v>
      </c>
      <c r="H14" s="271"/>
      <c r="I14" s="271" t="str">
        <f t="shared" ref="I14:I26" si="14">sum(C14*2)</f>
        <v>#REF!</v>
      </c>
      <c r="J14" s="271">
        <f t="shared" ref="J14:J26" si="15">sum(D14:E14)</f>
        <v>-565000</v>
      </c>
      <c r="K14" s="271">
        <f t="shared" ref="K14:K26" si="16">sum(F14:G14)</f>
        <v>-565000</v>
      </c>
      <c r="L14" s="269"/>
    </row>
    <row r="15">
      <c r="A15" s="277" t="s">
        <v>267</v>
      </c>
      <c r="B15" s="269" t="str">
        <f t="shared" si="11"/>
        <v>#REF!</v>
      </c>
      <c r="C15" s="269" t="str">
        <f t="shared" si="12"/>
        <v>#REF!</v>
      </c>
      <c r="D15" s="269">
        <f t="shared" ref="D15:G15" si="13">sum(-10000*2,-5000*2)</f>
        <v>-30000</v>
      </c>
      <c r="E15" s="269">
        <f t="shared" si="13"/>
        <v>-30000</v>
      </c>
      <c r="F15" s="269">
        <f t="shared" si="13"/>
        <v>-30000</v>
      </c>
      <c r="G15" s="269">
        <f t="shared" si="13"/>
        <v>-30000</v>
      </c>
      <c r="H15" s="270"/>
      <c r="I15" s="271" t="str">
        <f t="shared" si="14"/>
        <v>#REF!</v>
      </c>
      <c r="J15" s="271">
        <f t="shared" si="15"/>
        <v>-60000</v>
      </c>
      <c r="K15" s="271">
        <f t="shared" si="16"/>
        <v>-60000</v>
      </c>
      <c r="L15" s="269"/>
    </row>
    <row r="16">
      <c r="A16" s="277" t="s">
        <v>268</v>
      </c>
      <c r="B16" s="269" t="str">
        <f t="shared" si="11"/>
        <v>#REF!</v>
      </c>
      <c r="C16" s="269" t="str">
        <f t="shared" si="12"/>
        <v>#REF!</v>
      </c>
      <c r="D16" s="269">
        <f t="shared" ref="D16:G16" si="17">-50000</f>
        <v>-50000</v>
      </c>
      <c r="E16" s="269">
        <f t="shared" si="17"/>
        <v>-50000</v>
      </c>
      <c r="F16" s="269">
        <f t="shared" si="17"/>
        <v>-50000</v>
      </c>
      <c r="G16" s="269">
        <f t="shared" si="17"/>
        <v>-50000</v>
      </c>
      <c r="H16" s="271"/>
      <c r="I16" s="271" t="str">
        <f t="shared" si="14"/>
        <v>#REF!</v>
      </c>
      <c r="J16" s="271">
        <f t="shared" si="15"/>
        <v>-100000</v>
      </c>
      <c r="K16" s="271">
        <f t="shared" si="16"/>
        <v>-100000</v>
      </c>
      <c r="L16" s="269" t="str">
        <f t="shared" ref="L16:L26" si="18">#REF!+I16</f>
        <v>#REF!</v>
      </c>
    </row>
    <row r="17">
      <c r="A17" s="277" t="s">
        <v>269</v>
      </c>
      <c r="B17" s="269" t="str">
        <f t="shared" si="11"/>
        <v>#REF!</v>
      </c>
      <c r="C17" s="269" t="str">
        <f t="shared" si="12"/>
        <v>#REF!</v>
      </c>
      <c r="D17" s="269">
        <v>0.0</v>
      </c>
      <c r="E17" s="269">
        <v>0.0</v>
      </c>
      <c r="F17" s="269">
        <v>0.0</v>
      </c>
      <c r="G17" s="269">
        <v>0.0</v>
      </c>
      <c r="H17" s="270"/>
      <c r="I17" s="271" t="str">
        <f t="shared" si="14"/>
        <v>#REF!</v>
      </c>
      <c r="J17" s="271">
        <f t="shared" si="15"/>
        <v>0</v>
      </c>
      <c r="K17" s="271">
        <f t="shared" si="16"/>
        <v>0</v>
      </c>
      <c r="L17" s="269" t="str">
        <f t="shared" si="18"/>
        <v>#REF!</v>
      </c>
    </row>
    <row r="18">
      <c r="A18" s="277" t="s">
        <v>270</v>
      </c>
      <c r="B18" s="269" t="str">
        <f t="shared" si="11"/>
        <v>#REF!</v>
      </c>
      <c r="C18" s="269" t="str">
        <f t="shared" si="12"/>
        <v>#REF!</v>
      </c>
      <c r="D18" s="269">
        <f t="shared" ref="D18:G18" si="19">sum(-1400*6)</f>
        <v>-8400</v>
      </c>
      <c r="E18" s="269">
        <f t="shared" si="19"/>
        <v>-8400</v>
      </c>
      <c r="F18" s="269">
        <f t="shared" si="19"/>
        <v>-8400</v>
      </c>
      <c r="G18" s="269">
        <f t="shared" si="19"/>
        <v>-8400</v>
      </c>
      <c r="H18" s="270"/>
      <c r="I18" s="271" t="str">
        <f t="shared" si="14"/>
        <v>#REF!</v>
      </c>
      <c r="J18" s="271">
        <f t="shared" si="15"/>
        <v>-16800</v>
      </c>
      <c r="K18" s="271">
        <f t="shared" si="16"/>
        <v>-16800</v>
      </c>
      <c r="L18" s="269" t="str">
        <f t="shared" si="18"/>
        <v>#REF!</v>
      </c>
    </row>
    <row r="19">
      <c r="A19" s="277" t="s">
        <v>271</v>
      </c>
      <c r="B19" s="269" t="str">
        <f t="shared" si="11"/>
        <v>#REF!</v>
      </c>
      <c r="C19" s="269" t="str">
        <f t="shared" si="12"/>
        <v>#REF!</v>
      </c>
      <c r="D19" s="269">
        <f t="shared" ref="D19:G19" si="20">sum(-1000*6)</f>
        <v>-6000</v>
      </c>
      <c r="E19" s="269">
        <f t="shared" si="20"/>
        <v>-6000</v>
      </c>
      <c r="F19" s="269">
        <f t="shared" si="20"/>
        <v>-6000</v>
      </c>
      <c r="G19" s="269">
        <f t="shared" si="20"/>
        <v>-6000</v>
      </c>
      <c r="H19" s="270"/>
      <c r="I19" s="271" t="str">
        <f t="shared" si="14"/>
        <v>#REF!</v>
      </c>
      <c r="J19" s="271">
        <f t="shared" si="15"/>
        <v>-12000</v>
      </c>
      <c r="K19" s="271">
        <f t="shared" si="16"/>
        <v>-12000</v>
      </c>
      <c r="L19" s="269" t="str">
        <f t="shared" si="18"/>
        <v>#REF!</v>
      </c>
    </row>
    <row r="20">
      <c r="A20" s="277" t="s">
        <v>272</v>
      </c>
      <c r="B20" s="269" t="str">
        <f t="shared" si="11"/>
        <v>#REF!</v>
      </c>
      <c r="C20" s="269" t="str">
        <f t="shared" si="12"/>
        <v>#REF!</v>
      </c>
      <c r="D20" s="269">
        <f t="shared" ref="D20:G20" si="21">sum(-500*6)</f>
        <v>-3000</v>
      </c>
      <c r="E20" s="269">
        <f t="shared" si="21"/>
        <v>-3000</v>
      </c>
      <c r="F20" s="269">
        <f t="shared" si="21"/>
        <v>-3000</v>
      </c>
      <c r="G20" s="269">
        <f t="shared" si="21"/>
        <v>-3000</v>
      </c>
      <c r="H20" s="270"/>
      <c r="I20" s="271" t="str">
        <f t="shared" si="14"/>
        <v>#REF!</v>
      </c>
      <c r="J20" s="271">
        <f t="shared" si="15"/>
        <v>-6000</v>
      </c>
      <c r="K20" s="271">
        <f t="shared" si="16"/>
        <v>-6000</v>
      </c>
      <c r="L20" s="269" t="str">
        <f t="shared" si="18"/>
        <v>#REF!</v>
      </c>
    </row>
    <row r="21">
      <c r="A21" s="277" t="s">
        <v>273</v>
      </c>
      <c r="B21" s="269" t="str">
        <f t="shared" si="11"/>
        <v>#REF!</v>
      </c>
      <c r="C21" s="269" t="str">
        <f t="shared" si="12"/>
        <v>#REF!</v>
      </c>
      <c r="D21" s="269">
        <f t="shared" ref="D21:G21" si="22">sum(-5000*6)</f>
        <v>-30000</v>
      </c>
      <c r="E21" s="269">
        <f t="shared" si="22"/>
        <v>-30000</v>
      </c>
      <c r="F21" s="269">
        <f t="shared" si="22"/>
        <v>-30000</v>
      </c>
      <c r="G21" s="269">
        <f t="shared" si="22"/>
        <v>-30000</v>
      </c>
      <c r="H21" s="270"/>
      <c r="I21" s="271" t="str">
        <f t="shared" si="14"/>
        <v>#REF!</v>
      </c>
      <c r="J21" s="271">
        <f t="shared" si="15"/>
        <v>-60000</v>
      </c>
      <c r="K21" s="271">
        <f t="shared" si="16"/>
        <v>-60000</v>
      </c>
      <c r="L21" s="269" t="str">
        <f t="shared" si="18"/>
        <v>#REF!</v>
      </c>
    </row>
    <row r="22">
      <c r="A22" s="277" t="s">
        <v>274</v>
      </c>
      <c r="B22" s="269" t="str">
        <f t="shared" si="11"/>
        <v>#REF!</v>
      </c>
      <c r="C22" s="269" t="str">
        <f t="shared" si="12"/>
        <v>#REF!</v>
      </c>
      <c r="D22" s="269">
        <f t="shared" ref="D22:G22" si="23">sum(-5000*6)</f>
        <v>-30000</v>
      </c>
      <c r="E22" s="269">
        <f t="shared" si="23"/>
        <v>-30000</v>
      </c>
      <c r="F22" s="269">
        <f t="shared" si="23"/>
        <v>-30000</v>
      </c>
      <c r="G22" s="269">
        <f t="shared" si="23"/>
        <v>-30000</v>
      </c>
      <c r="H22" s="270"/>
      <c r="I22" s="271" t="str">
        <f t="shared" si="14"/>
        <v>#REF!</v>
      </c>
      <c r="J22" s="271">
        <f t="shared" si="15"/>
        <v>-60000</v>
      </c>
      <c r="K22" s="271">
        <f t="shared" si="16"/>
        <v>-60000</v>
      </c>
      <c r="L22" s="269" t="str">
        <f t="shared" si="18"/>
        <v>#REF!</v>
      </c>
    </row>
    <row r="23">
      <c r="A23" s="277" t="s">
        <v>275</v>
      </c>
      <c r="B23" s="269" t="str">
        <f t="shared" si="11"/>
        <v>#REF!</v>
      </c>
      <c r="C23" s="269" t="str">
        <f t="shared" si="12"/>
        <v>#REF!</v>
      </c>
      <c r="D23" s="269">
        <f t="shared" ref="D23:G23" si="24">sum(-10000*6)</f>
        <v>-60000</v>
      </c>
      <c r="E23" s="269">
        <f t="shared" si="24"/>
        <v>-60000</v>
      </c>
      <c r="F23" s="269">
        <f t="shared" si="24"/>
        <v>-60000</v>
      </c>
      <c r="G23" s="269">
        <f t="shared" si="24"/>
        <v>-60000</v>
      </c>
      <c r="H23" s="270"/>
      <c r="I23" s="271" t="str">
        <f t="shared" si="14"/>
        <v>#REF!</v>
      </c>
      <c r="J23" s="271">
        <f t="shared" si="15"/>
        <v>-120000</v>
      </c>
      <c r="K23" s="271">
        <f t="shared" si="16"/>
        <v>-120000</v>
      </c>
      <c r="L23" s="269" t="str">
        <f t="shared" si="18"/>
        <v>#REF!</v>
      </c>
    </row>
    <row r="24">
      <c r="A24" s="277" t="s">
        <v>276</v>
      </c>
      <c r="B24" s="269" t="str">
        <f t="shared" si="11"/>
        <v>#REF!</v>
      </c>
      <c r="C24" s="269" t="str">
        <f t="shared" si="12"/>
        <v>#REF!</v>
      </c>
      <c r="D24" s="269">
        <v>0.0</v>
      </c>
      <c r="E24" s="269">
        <v>0.0</v>
      </c>
      <c r="F24" s="269">
        <v>0.0</v>
      </c>
      <c r="G24" s="269">
        <v>0.0</v>
      </c>
      <c r="H24" s="270"/>
      <c r="I24" s="271" t="str">
        <f t="shared" si="14"/>
        <v>#REF!</v>
      </c>
      <c r="J24" s="271">
        <f t="shared" si="15"/>
        <v>0</v>
      </c>
      <c r="K24" s="271">
        <f t="shared" si="16"/>
        <v>0</v>
      </c>
      <c r="L24" s="269" t="str">
        <f t="shared" si="18"/>
        <v>#REF!</v>
      </c>
    </row>
    <row r="25">
      <c r="A25" s="277" t="s">
        <v>277</v>
      </c>
      <c r="B25" s="269" t="str">
        <f t="shared" si="11"/>
        <v>#REF!</v>
      </c>
      <c r="C25" s="269" t="str">
        <f t="shared" si="12"/>
        <v>#REF!</v>
      </c>
      <c r="D25" s="269">
        <v>0.0</v>
      </c>
      <c r="E25" s="269">
        <v>0.0</v>
      </c>
      <c r="F25" s="269">
        <v>0.0</v>
      </c>
      <c r="G25" s="269">
        <v>0.0</v>
      </c>
      <c r="H25" s="270"/>
      <c r="I25" s="271" t="str">
        <f t="shared" si="14"/>
        <v>#REF!</v>
      </c>
      <c r="J25" s="271">
        <f t="shared" si="15"/>
        <v>0</v>
      </c>
      <c r="K25" s="271">
        <f t="shared" si="16"/>
        <v>0</v>
      </c>
      <c r="L25" s="269" t="str">
        <f t="shared" si="18"/>
        <v>#REF!</v>
      </c>
    </row>
    <row r="26">
      <c r="A26" s="277" t="s">
        <v>278</v>
      </c>
      <c r="B26" s="269" t="str">
        <f t="shared" si="11"/>
        <v>#REF!</v>
      </c>
      <c r="C26" s="269" t="str">
        <f t="shared" si="12"/>
        <v>#REF!</v>
      </c>
      <c r="D26" s="269">
        <v>0.0</v>
      </c>
      <c r="E26" s="269">
        <v>0.0</v>
      </c>
      <c r="F26" s="269">
        <v>0.0</v>
      </c>
      <c r="G26" s="269">
        <v>0.0</v>
      </c>
      <c r="H26" s="270"/>
      <c r="I26" s="271" t="str">
        <f t="shared" si="14"/>
        <v>#REF!</v>
      </c>
      <c r="J26" s="271">
        <f t="shared" si="15"/>
        <v>0</v>
      </c>
      <c r="K26" s="271">
        <f t="shared" si="16"/>
        <v>0</v>
      </c>
      <c r="L26" s="269" t="str">
        <f t="shared" si="18"/>
        <v>#REF!</v>
      </c>
    </row>
    <row r="27">
      <c r="A27" s="273" t="s">
        <v>263</v>
      </c>
      <c r="B27" s="274"/>
      <c r="C27" s="274"/>
      <c r="D27" s="274"/>
      <c r="E27" s="274"/>
      <c r="F27" s="274"/>
      <c r="G27" s="274"/>
      <c r="H27" s="275"/>
      <c r="I27" s="276"/>
      <c r="J27" s="276"/>
      <c r="K27" s="276"/>
      <c r="L27" s="283"/>
    </row>
    <row r="28">
      <c r="A28" s="277" t="s">
        <v>279</v>
      </c>
      <c r="B28" s="269" t="str">
        <f t="shared" ref="B28:G28" si="25">sum(B14:B27)</f>
        <v>#REF!</v>
      </c>
      <c r="C28" s="269" t="str">
        <f t="shared" si="25"/>
        <v>#REF!</v>
      </c>
      <c r="D28" s="269">
        <f t="shared" si="25"/>
        <v>-499900</v>
      </c>
      <c r="E28" s="269">
        <f t="shared" si="25"/>
        <v>-499900</v>
      </c>
      <c r="F28" s="269">
        <f t="shared" si="25"/>
        <v>-499900</v>
      </c>
      <c r="G28" s="269">
        <f t="shared" si="25"/>
        <v>-499900</v>
      </c>
      <c r="H28" s="270"/>
      <c r="I28" s="271" t="str">
        <f t="shared" ref="I28:K28" si="26">sum(C28:G28)</f>
        <v>#REF!</v>
      </c>
      <c r="J28" s="271">
        <f t="shared" si="26"/>
        <v>-1999600</v>
      </c>
      <c r="K28" s="271" t="str">
        <f t="shared" si="26"/>
        <v>#REF!</v>
      </c>
      <c r="L28" s="269" t="str">
        <f>sum(L16:L27)</f>
        <v>#REF!</v>
      </c>
    </row>
    <row r="29">
      <c r="A29" s="274"/>
      <c r="B29" s="274"/>
      <c r="C29" s="274"/>
      <c r="D29" s="274"/>
      <c r="E29" s="274"/>
      <c r="F29" s="274"/>
      <c r="G29" s="274"/>
      <c r="H29" s="275"/>
      <c r="I29" s="276"/>
      <c r="J29" s="276"/>
      <c r="K29" s="276"/>
      <c r="L29" s="269"/>
    </row>
    <row r="30">
      <c r="A30" s="284" t="s">
        <v>280</v>
      </c>
      <c r="B30" s="285" t="str">
        <f t="shared" ref="B30:G30" si="27">B11+B28</f>
        <v>#REF!</v>
      </c>
      <c r="C30" s="285" t="str">
        <f t="shared" si="27"/>
        <v>#REF!</v>
      </c>
      <c r="D30" s="285">
        <f t="shared" si="27"/>
        <v>245100</v>
      </c>
      <c r="E30" s="285">
        <f t="shared" si="27"/>
        <v>495100</v>
      </c>
      <c r="F30" s="285">
        <f t="shared" si="27"/>
        <v>495100</v>
      </c>
      <c r="G30" s="285">
        <f t="shared" si="27"/>
        <v>495100</v>
      </c>
      <c r="H30" s="275"/>
      <c r="I30" s="286" t="str">
        <f t="shared" ref="I30:K30" si="28">sum(C30:G30)</f>
        <v>#REF!</v>
      </c>
      <c r="J30" s="286">
        <f t="shared" si="28"/>
        <v>1730400</v>
      </c>
      <c r="K30" s="286" t="str">
        <f t="shared" si="28"/>
        <v>#REF!</v>
      </c>
      <c r="L30" s="269"/>
    </row>
    <row r="31">
      <c r="A31" s="287"/>
      <c r="B31" s="287"/>
      <c r="C31" s="287"/>
      <c r="D31" s="287"/>
      <c r="E31" s="287"/>
      <c r="F31" s="287"/>
      <c r="G31" s="287"/>
      <c r="H31" s="270"/>
      <c r="I31" s="271"/>
      <c r="J31" s="271"/>
      <c r="K31" s="271"/>
      <c r="L31" s="269"/>
    </row>
    <row r="32">
      <c r="A32" s="288" t="s">
        <v>281</v>
      </c>
      <c r="B32" s="289"/>
      <c r="C32" s="289"/>
      <c r="D32" s="289"/>
      <c r="E32" s="289"/>
      <c r="F32" s="289"/>
      <c r="G32" s="289"/>
      <c r="H32" s="290"/>
      <c r="I32" s="290"/>
      <c r="J32" s="290"/>
      <c r="K32" s="290"/>
      <c r="L32" s="269"/>
    </row>
    <row r="33">
      <c r="A33" s="291" t="s">
        <v>282</v>
      </c>
      <c r="B33" s="292">
        <f t="shared" ref="B33:G33" si="29">sum(0)</f>
        <v>0</v>
      </c>
      <c r="C33" s="292">
        <f t="shared" si="29"/>
        <v>0</v>
      </c>
      <c r="D33" s="292">
        <f t="shared" si="29"/>
        <v>0</v>
      </c>
      <c r="E33" s="292">
        <f t="shared" si="29"/>
        <v>0</v>
      </c>
      <c r="F33" s="292">
        <f t="shared" si="29"/>
        <v>0</v>
      </c>
      <c r="G33" s="292">
        <f t="shared" si="29"/>
        <v>0</v>
      </c>
      <c r="H33" s="293"/>
      <c r="I33" s="294">
        <f t="shared" ref="I33:K33" si="30">sum(C33:G33)</f>
        <v>0</v>
      </c>
      <c r="J33" s="294">
        <f t="shared" si="30"/>
        <v>0</v>
      </c>
      <c r="K33" s="294">
        <f t="shared" si="30"/>
        <v>0</v>
      </c>
      <c r="L33" s="269" t="str">
        <f t="shared" ref="L33:L34" si="33">#REF!+I33</f>
        <v>#REF!</v>
      </c>
    </row>
    <row r="34">
      <c r="A34" s="291" t="s">
        <v>283</v>
      </c>
      <c r="B34" s="292">
        <f t="shared" ref="B34:C34" si="31">sum(-3400*6)</f>
        <v>-20400</v>
      </c>
      <c r="C34" s="292">
        <f t="shared" si="31"/>
        <v>-20400</v>
      </c>
      <c r="D34" s="292">
        <v>0.0</v>
      </c>
      <c r="E34" s="292">
        <v>0.0</v>
      </c>
      <c r="F34" s="292">
        <v>0.0</v>
      </c>
      <c r="G34" s="292">
        <v>0.0</v>
      </c>
      <c r="H34" s="293"/>
      <c r="I34" s="294">
        <f t="shared" ref="I34:K34" si="32">sum(C34:G34)</f>
        <v>-20400</v>
      </c>
      <c r="J34" s="294">
        <f t="shared" si="32"/>
        <v>0</v>
      </c>
      <c r="K34" s="294">
        <f t="shared" si="32"/>
        <v>-20400</v>
      </c>
      <c r="L34" s="269" t="str">
        <f t="shared" si="33"/>
        <v>#REF!</v>
      </c>
    </row>
    <row r="35">
      <c r="A35" s="289"/>
      <c r="B35" s="289"/>
      <c r="C35" s="289"/>
      <c r="D35" s="289"/>
      <c r="E35" s="289"/>
      <c r="F35" s="289"/>
      <c r="G35" s="289"/>
      <c r="H35" s="290"/>
      <c r="I35" s="295"/>
      <c r="J35" s="295"/>
      <c r="K35" s="295"/>
      <c r="L35" s="296"/>
    </row>
    <row r="36">
      <c r="A36" s="291" t="s">
        <v>284</v>
      </c>
      <c r="B36" s="297">
        <f t="shared" ref="B36:G36" si="34">sum(B33:B35)</f>
        <v>-20400</v>
      </c>
      <c r="C36" s="297">
        <f t="shared" si="34"/>
        <v>-20400</v>
      </c>
      <c r="D36" s="297">
        <f t="shared" si="34"/>
        <v>0</v>
      </c>
      <c r="E36" s="297">
        <f t="shared" si="34"/>
        <v>0</v>
      </c>
      <c r="F36" s="297">
        <f t="shared" si="34"/>
        <v>0</v>
      </c>
      <c r="G36" s="297">
        <f t="shared" si="34"/>
        <v>0</v>
      </c>
      <c r="H36" s="293"/>
      <c r="I36" s="298">
        <f t="shared" ref="I36:K36" si="35">sum(I32:I35)</f>
        <v>-20400</v>
      </c>
      <c r="J36" s="298">
        <f t="shared" si="35"/>
        <v>0</v>
      </c>
      <c r="K36" s="298">
        <f t="shared" si="35"/>
        <v>-20400</v>
      </c>
      <c r="L36" s="299" t="str">
        <f>sum(L28:L35)</f>
        <v>#REF!</v>
      </c>
    </row>
    <row r="37">
      <c r="A37" s="300"/>
      <c r="B37" s="300"/>
      <c r="C37" s="300"/>
      <c r="D37" s="300"/>
      <c r="E37" s="300"/>
      <c r="F37" s="300"/>
      <c r="G37" s="300"/>
      <c r="H37" s="293"/>
      <c r="I37" s="293"/>
      <c r="J37" s="293"/>
      <c r="K37" s="293"/>
      <c r="L37" s="287"/>
    </row>
    <row r="38">
      <c r="A38" s="288" t="s">
        <v>285</v>
      </c>
      <c r="B38" s="289"/>
      <c r="C38" s="289"/>
      <c r="D38" s="289"/>
      <c r="E38" s="289"/>
      <c r="F38" s="289"/>
      <c r="G38" s="289"/>
      <c r="H38" s="290"/>
      <c r="I38" s="290"/>
      <c r="J38" s="290"/>
      <c r="K38" s="290"/>
      <c r="L38" s="281"/>
    </row>
    <row r="39">
      <c r="A39" s="291" t="s">
        <v>286</v>
      </c>
      <c r="B39" s="292">
        <v>0.0</v>
      </c>
      <c r="C39" s="301">
        <f>3500000</f>
        <v>3500000</v>
      </c>
      <c r="D39" s="292">
        <v>0.0</v>
      </c>
      <c r="E39" s="292">
        <v>0.0</v>
      </c>
      <c r="F39" s="292">
        <v>0.0</v>
      </c>
      <c r="G39" s="292">
        <v>0.0</v>
      </c>
      <c r="H39" s="293"/>
      <c r="I39" s="294">
        <f t="shared" ref="I39:K39" si="36">sum(C39:G39)</f>
        <v>3500000</v>
      </c>
      <c r="J39" s="294">
        <f t="shared" si="36"/>
        <v>0</v>
      </c>
      <c r="K39" s="294">
        <f t="shared" si="36"/>
        <v>3500000</v>
      </c>
      <c r="L39" s="269"/>
    </row>
    <row r="40">
      <c r="A40" s="291" t="s">
        <v>287</v>
      </c>
      <c r="B40" s="292">
        <v>0.0</v>
      </c>
      <c r="C40" s="292">
        <f>sum(-350000)</f>
        <v>-350000</v>
      </c>
      <c r="D40" s="292">
        <v>0.0</v>
      </c>
      <c r="E40" s="292">
        <v>0.0</v>
      </c>
      <c r="F40" s="292">
        <v>0.0</v>
      </c>
      <c r="G40" s="292">
        <v>0.0</v>
      </c>
      <c r="H40" s="293"/>
      <c r="I40" s="294">
        <f t="shared" ref="I40:K40" si="37">sum(C40:G40)</f>
        <v>-350000</v>
      </c>
      <c r="J40" s="294">
        <f t="shared" si="37"/>
        <v>0</v>
      </c>
      <c r="K40" s="294">
        <f t="shared" si="37"/>
        <v>-350000</v>
      </c>
      <c r="L40" s="269"/>
    </row>
    <row r="41">
      <c r="A41" s="291" t="s">
        <v>288</v>
      </c>
      <c r="B41" s="292">
        <v>0.0</v>
      </c>
      <c r="C41" s="292">
        <v>-250000.0</v>
      </c>
      <c r="D41" s="292">
        <v>0.0</v>
      </c>
      <c r="E41" s="292">
        <v>0.0</v>
      </c>
      <c r="F41" s="292">
        <v>0.0</v>
      </c>
      <c r="G41" s="292">
        <v>0.0</v>
      </c>
      <c r="H41" s="293"/>
      <c r="I41" s="294">
        <f t="shared" ref="I41:K41" si="38">sum(C41:G41)</f>
        <v>-250000</v>
      </c>
      <c r="J41" s="294">
        <f t="shared" si="38"/>
        <v>0</v>
      </c>
      <c r="K41" s="294">
        <f t="shared" si="38"/>
        <v>-250000</v>
      </c>
      <c r="L41" s="269"/>
    </row>
    <row r="42">
      <c r="A42" s="291" t="s">
        <v>289</v>
      </c>
      <c r="B42" s="292">
        <v>0.0</v>
      </c>
      <c r="C42" s="292">
        <v>0.0</v>
      </c>
      <c r="D42" s="292">
        <v>-250000.0</v>
      </c>
      <c r="E42" s="292">
        <v>0.0</v>
      </c>
      <c r="F42" s="292">
        <v>0.0</v>
      </c>
      <c r="G42" s="292">
        <v>0.0</v>
      </c>
      <c r="H42" s="293"/>
      <c r="I42" s="294">
        <f t="shared" ref="I42:K42" si="39">sum(C42:G42)</f>
        <v>-250000</v>
      </c>
      <c r="J42" s="294">
        <f t="shared" si="39"/>
        <v>-250000</v>
      </c>
      <c r="K42" s="294">
        <f t="shared" si="39"/>
        <v>-250000</v>
      </c>
      <c r="L42" s="269"/>
    </row>
    <row r="43">
      <c r="A43" s="291" t="s">
        <v>290</v>
      </c>
      <c r="B43" s="292">
        <v>0.0</v>
      </c>
      <c r="C43" s="292">
        <f>-2500000</f>
        <v>-2500000</v>
      </c>
      <c r="D43" s="292">
        <v>0.0</v>
      </c>
      <c r="E43" s="292">
        <v>0.0</v>
      </c>
      <c r="F43" s="292">
        <v>0.0</v>
      </c>
      <c r="G43" s="292">
        <v>0.0</v>
      </c>
      <c r="H43" s="293"/>
      <c r="I43" s="294">
        <f t="shared" ref="I43:K43" si="40">sum(C43:G43)</f>
        <v>-2500000</v>
      </c>
      <c r="J43" s="294">
        <f t="shared" si="40"/>
        <v>0</v>
      </c>
      <c r="K43" s="294">
        <f t="shared" si="40"/>
        <v>-2500000</v>
      </c>
      <c r="L43" s="269"/>
    </row>
    <row r="44">
      <c r="A44" s="288" t="s">
        <v>291</v>
      </c>
      <c r="B44" s="302">
        <v>0.0</v>
      </c>
      <c r="C44" s="302" t="str">
        <f>sum(-'CAPITAL ACCOUNT'!AL10/2)</f>
        <v>#REF!</v>
      </c>
      <c r="D44" s="302" t="str">
        <f>sum(-'CAPITAL ACCOUNT'!AL10/2)</f>
        <v>#REF!</v>
      </c>
      <c r="E44" s="302">
        <v>0.0</v>
      </c>
      <c r="F44" s="302" t="str">
        <f>sum(-'CAPITAL ACCOUNT'!AO10/2)</f>
        <v>#REF!</v>
      </c>
      <c r="G44" s="302">
        <v>0.0</v>
      </c>
      <c r="H44" s="290"/>
      <c r="I44" s="295" t="str">
        <f t="shared" ref="I44:K44" si="41">sum(C44:G44)</f>
        <v>#REF!</v>
      </c>
      <c r="J44" s="295" t="str">
        <f t="shared" si="41"/>
        <v>#REF!</v>
      </c>
      <c r="K44" s="295" t="str">
        <f t="shared" si="41"/>
        <v>#REF!</v>
      </c>
      <c r="L44" s="283"/>
    </row>
    <row r="45">
      <c r="A45" s="291" t="s">
        <v>292</v>
      </c>
      <c r="B45" s="300">
        <f t="shared" ref="B45:G45" si="42">sum(B39:B44)</f>
        <v>0</v>
      </c>
      <c r="C45" s="300" t="str">
        <f t="shared" si="42"/>
        <v>#REF!</v>
      </c>
      <c r="D45" s="300" t="str">
        <f t="shared" si="42"/>
        <v>#REF!</v>
      </c>
      <c r="E45" s="300">
        <f t="shared" si="42"/>
        <v>0</v>
      </c>
      <c r="F45" s="300" t="str">
        <f t="shared" si="42"/>
        <v>#REF!</v>
      </c>
      <c r="G45" s="300">
        <f t="shared" si="42"/>
        <v>0</v>
      </c>
      <c r="H45" s="293"/>
      <c r="I45" s="293" t="str">
        <f t="shared" ref="I45:K45" si="43">sum(C45:G45)</f>
        <v>#REF!</v>
      </c>
      <c r="J45" s="293" t="str">
        <f t="shared" si="43"/>
        <v>#REF!</v>
      </c>
      <c r="K45" s="293" t="str">
        <f t="shared" si="43"/>
        <v>#REF!</v>
      </c>
      <c r="L45" s="299">
        <f>sum(L38:L42)</f>
        <v>0</v>
      </c>
    </row>
    <row r="46">
      <c r="A46" s="303"/>
      <c r="B46" s="303"/>
      <c r="C46" s="303"/>
      <c r="D46" s="303"/>
      <c r="E46" s="303"/>
      <c r="F46" s="303"/>
      <c r="G46" s="303"/>
      <c r="H46" s="304"/>
      <c r="I46" s="304"/>
      <c r="J46" s="304"/>
      <c r="K46" s="304"/>
      <c r="L46" s="274"/>
    </row>
    <row r="47">
      <c r="A47" s="305" t="s">
        <v>293</v>
      </c>
      <c r="B47" s="306">
        <f t="shared" ref="B47:G47" si="44">B36+B45</f>
        <v>-20400</v>
      </c>
      <c r="C47" s="306" t="str">
        <f t="shared" si="44"/>
        <v>#REF!</v>
      </c>
      <c r="D47" s="306" t="str">
        <f t="shared" si="44"/>
        <v>#REF!</v>
      </c>
      <c r="E47" s="306">
        <f t="shared" si="44"/>
        <v>0</v>
      </c>
      <c r="F47" s="306" t="str">
        <f t="shared" si="44"/>
        <v>#REF!</v>
      </c>
      <c r="G47" s="306">
        <f t="shared" si="44"/>
        <v>0</v>
      </c>
      <c r="H47" s="307"/>
      <c r="I47" s="308" t="str">
        <f t="shared" ref="I47:L47" si="45">I36+I45</f>
        <v>#REF!</v>
      </c>
      <c r="J47" s="308" t="str">
        <f t="shared" si="45"/>
        <v>#REF!</v>
      </c>
      <c r="K47" s="308" t="str">
        <f t="shared" si="45"/>
        <v>#REF!</v>
      </c>
      <c r="L47" s="299" t="str">
        <f t="shared" si="45"/>
        <v>#REF!</v>
      </c>
    </row>
    <row r="48">
      <c r="A48" s="309"/>
      <c r="B48" s="310"/>
      <c r="C48" s="310"/>
      <c r="D48" s="310"/>
      <c r="E48" s="310"/>
      <c r="F48" s="310"/>
      <c r="G48" s="310"/>
      <c r="H48" s="311"/>
      <c r="I48" s="307"/>
      <c r="J48" s="307"/>
      <c r="K48" s="307"/>
      <c r="L48" s="287"/>
    </row>
    <row r="49">
      <c r="A49" s="312" t="s">
        <v>294</v>
      </c>
      <c r="B49" s="313" t="str">
        <f t="shared" ref="B49:C49" si="46">sum(B11,B28,B36,B45)</f>
        <v>#REF!</v>
      </c>
      <c r="C49" s="314" t="str">
        <f t="shared" si="46"/>
        <v>#REF!</v>
      </c>
      <c r="D49" s="314" t="str">
        <f t="shared" ref="D49:G49" si="47">sum(D11,D28,D36,D45,C49)</f>
        <v>#REF!</v>
      </c>
      <c r="E49" s="314" t="str">
        <f t="shared" si="47"/>
        <v>#REF!</v>
      </c>
      <c r="F49" s="314" t="str">
        <f t="shared" si="47"/>
        <v>#REF!</v>
      </c>
      <c r="G49" s="315" t="str">
        <f t="shared" si="47"/>
        <v>#REF!</v>
      </c>
      <c r="H49" s="311"/>
      <c r="I49" s="316"/>
      <c r="J49" s="316"/>
      <c r="K49" s="316"/>
      <c r="L49" s="287"/>
    </row>
    <row r="50">
      <c r="A50" s="254"/>
      <c r="B50" s="254"/>
      <c r="C50" s="254"/>
      <c r="D50" s="254"/>
      <c r="E50" s="254"/>
      <c r="F50" s="254"/>
      <c r="G50" s="254"/>
      <c r="H50" s="254"/>
      <c r="I50" s="254"/>
      <c r="J50" s="254"/>
      <c r="K50" s="254"/>
      <c r="L50" s="254"/>
    </row>
    <row r="51">
      <c r="A51" s="254"/>
      <c r="B51" s="254"/>
      <c r="C51" s="254"/>
      <c r="D51" s="254"/>
      <c r="E51" s="254"/>
      <c r="F51" s="254"/>
      <c r="G51" s="254"/>
      <c r="H51" s="254"/>
      <c r="I51" s="254"/>
      <c r="J51" s="254"/>
      <c r="K51" s="254"/>
      <c r="L51" s="254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5.25"/>
    <col customWidth="1" min="2" max="2" width="32.5"/>
    <col customWidth="1" min="3" max="3" width="13.88"/>
    <col customWidth="1" min="4" max="4" width="14.13"/>
    <col customWidth="1" min="5" max="5" width="19.5"/>
    <col customWidth="1" min="6" max="6" width="15.88"/>
    <col customWidth="1" min="7" max="7" width="21.75"/>
    <col customWidth="1" min="8" max="8" width="14.63"/>
    <col customWidth="1" min="9" max="9" width="14.88"/>
    <col customWidth="1" min="10" max="10" width="12.13"/>
    <col customWidth="1" min="11" max="26" width="9.38"/>
  </cols>
  <sheetData>
    <row r="1" ht="12.75" customHeight="1">
      <c r="A1" s="317"/>
      <c r="B1" s="318" t="s">
        <v>295</v>
      </c>
      <c r="C1" s="317"/>
      <c r="D1" s="317"/>
      <c r="E1" s="319" t="s">
        <v>296</v>
      </c>
      <c r="F1" s="319"/>
      <c r="G1" s="320"/>
      <c r="H1" s="321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</row>
    <row r="2" ht="12.75" customHeight="1">
      <c r="A2" s="322"/>
      <c r="B2" s="322"/>
      <c r="C2" s="323"/>
      <c r="D2" s="324"/>
      <c r="E2" s="323"/>
      <c r="F2" s="324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T2" s="322"/>
      <c r="U2" s="322"/>
      <c r="V2" s="322"/>
      <c r="W2" s="322"/>
      <c r="X2" s="322"/>
      <c r="Y2" s="322"/>
      <c r="Z2" s="322"/>
    </row>
    <row r="3" ht="12.75" customHeight="1">
      <c r="A3" s="323"/>
      <c r="B3" s="325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</row>
    <row r="4" ht="12.75" customHeight="1">
      <c r="A4" s="323"/>
      <c r="B4" s="323" t="s">
        <v>297</v>
      </c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</row>
    <row r="5" ht="12.75" customHeight="1">
      <c r="A5" s="323"/>
      <c r="B5" s="323" t="s">
        <v>298</v>
      </c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</row>
    <row r="6" ht="12.75" customHeight="1">
      <c r="A6" s="322"/>
      <c r="B6" s="322"/>
      <c r="C6" s="323"/>
      <c r="D6" s="324"/>
      <c r="E6" s="323"/>
      <c r="F6" s="324"/>
      <c r="G6" s="322"/>
      <c r="H6" s="322"/>
      <c r="I6" s="322"/>
      <c r="J6" s="322"/>
      <c r="K6" s="322"/>
      <c r="L6" s="322"/>
      <c r="M6" s="322"/>
      <c r="N6" s="322"/>
      <c r="O6" s="322"/>
      <c r="P6" s="322"/>
      <c r="Q6" s="322"/>
      <c r="R6" s="322"/>
      <c r="S6" s="322"/>
      <c r="T6" s="322"/>
      <c r="U6" s="322"/>
      <c r="V6" s="322"/>
      <c r="W6" s="322"/>
      <c r="X6" s="322"/>
      <c r="Y6" s="322"/>
      <c r="Z6" s="322"/>
    </row>
    <row r="7" ht="12.75" customHeight="1">
      <c r="A7" s="326"/>
      <c r="B7" s="327" t="s">
        <v>299</v>
      </c>
      <c r="C7" s="328" t="s">
        <v>300</v>
      </c>
      <c r="D7" s="329" t="s">
        <v>301</v>
      </c>
      <c r="E7" s="328" t="s">
        <v>302</v>
      </c>
      <c r="F7" s="329" t="s">
        <v>303</v>
      </c>
      <c r="G7" s="330" t="s">
        <v>304</v>
      </c>
      <c r="H7" s="326"/>
      <c r="I7" s="331"/>
      <c r="J7" s="332"/>
      <c r="K7" s="333"/>
      <c r="L7" s="334"/>
      <c r="M7" s="335"/>
      <c r="N7" s="326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</row>
    <row r="8" ht="12.75" customHeight="1">
      <c r="A8" s="336"/>
      <c r="B8" s="337" t="s">
        <v>305</v>
      </c>
      <c r="C8" s="338">
        <v>4763.0</v>
      </c>
      <c r="D8" s="339">
        <v>0.044</v>
      </c>
      <c r="E8" s="340">
        <v>0.0</v>
      </c>
      <c r="F8" s="341">
        <f t="shared" ref="F8:F9" si="1">IF(C8&gt;0,C8/SUM($C$8:$C$25), "")</f>
        <v>0.1875076521</v>
      </c>
      <c r="G8" s="342" t="s">
        <v>306</v>
      </c>
      <c r="H8" s="322"/>
      <c r="I8" s="343"/>
      <c r="J8" s="344"/>
      <c r="K8" s="345"/>
      <c r="L8" s="346"/>
      <c r="M8" s="347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22"/>
    </row>
    <row r="9" ht="12.75" customHeight="1">
      <c r="A9" s="348"/>
      <c r="B9" s="349" t="s">
        <v>307</v>
      </c>
      <c r="C9" s="338">
        <f>16584.63-1500-1500-1200</f>
        <v>12384.63</v>
      </c>
      <c r="D9" s="339">
        <v>0.0</v>
      </c>
      <c r="E9" s="350">
        <v>1000.0</v>
      </c>
      <c r="F9" s="341">
        <f t="shared" si="1"/>
        <v>0.4875525704</v>
      </c>
      <c r="G9" s="342" t="s">
        <v>306</v>
      </c>
      <c r="H9" s="322"/>
      <c r="I9" s="351"/>
      <c r="J9" s="352"/>
      <c r="K9" s="345"/>
      <c r="L9" s="346"/>
      <c r="M9" s="347"/>
      <c r="N9" s="322"/>
      <c r="O9" s="322"/>
      <c r="P9" s="322"/>
      <c r="Q9" s="322"/>
      <c r="R9" s="322"/>
      <c r="S9" s="322"/>
      <c r="T9" s="322"/>
      <c r="U9" s="322"/>
      <c r="V9" s="322"/>
      <c r="W9" s="322"/>
      <c r="X9" s="322"/>
      <c r="Y9" s="322"/>
      <c r="Z9" s="322"/>
    </row>
    <row r="10" ht="12.75" customHeight="1">
      <c r="A10" s="353"/>
      <c r="B10" s="354" t="s">
        <v>308</v>
      </c>
      <c r="C10" s="338">
        <v>4500.0</v>
      </c>
      <c r="D10" s="339"/>
      <c r="E10" s="350"/>
      <c r="F10" s="341"/>
      <c r="G10" s="342"/>
      <c r="H10" s="355"/>
      <c r="I10" s="335"/>
      <c r="J10" s="356"/>
      <c r="K10" s="357"/>
      <c r="L10" s="358"/>
      <c r="M10" s="359"/>
      <c r="N10" s="355"/>
      <c r="O10" s="355"/>
      <c r="P10" s="355"/>
      <c r="Q10" s="355"/>
      <c r="R10" s="355"/>
      <c r="S10" s="355"/>
      <c r="T10" s="355"/>
      <c r="U10" s="355"/>
      <c r="V10" s="355"/>
      <c r="W10" s="355"/>
      <c r="X10" s="355"/>
      <c r="Y10" s="355"/>
      <c r="Z10" s="355"/>
    </row>
    <row r="11" ht="12.75" customHeight="1">
      <c r="A11" s="353"/>
      <c r="B11" s="354" t="s">
        <v>309</v>
      </c>
      <c r="C11" s="338">
        <v>3754.0</v>
      </c>
      <c r="D11" s="339"/>
      <c r="E11" s="350"/>
      <c r="F11" s="341"/>
      <c r="G11" s="342"/>
      <c r="H11" s="355"/>
      <c r="I11" s="335"/>
      <c r="J11" s="356"/>
      <c r="K11" s="357"/>
      <c r="L11" s="358"/>
      <c r="M11" s="359"/>
      <c r="N11" s="355"/>
      <c r="O11" s="355"/>
      <c r="P11" s="355"/>
      <c r="Q11" s="355"/>
      <c r="R11" s="355"/>
      <c r="S11" s="355"/>
      <c r="T11" s="355"/>
      <c r="U11" s="355"/>
      <c r="V11" s="355"/>
      <c r="W11" s="355"/>
      <c r="X11" s="355"/>
      <c r="Y11" s="355"/>
      <c r="Z11" s="355"/>
    </row>
    <row r="12" ht="12.75" hidden="1" customHeight="1">
      <c r="A12" s="360"/>
      <c r="B12" s="348" t="s">
        <v>310</v>
      </c>
      <c r="C12" s="338"/>
      <c r="D12" s="339"/>
      <c r="E12" s="340"/>
      <c r="F12" s="341" t="str">
        <f t="shared" ref="F12:F13" si="2">IF(C12&gt;0,C12/SUM($C$8:$C$25), "")</f>
        <v/>
      </c>
      <c r="G12" s="342"/>
      <c r="H12" s="322"/>
      <c r="I12" s="343"/>
      <c r="J12" s="361"/>
      <c r="K12" s="362"/>
      <c r="L12" s="340"/>
      <c r="M12" s="343"/>
      <c r="N12" s="322"/>
      <c r="O12" s="322"/>
      <c r="P12" s="322"/>
      <c r="Q12" s="322"/>
      <c r="R12" s="322"/>
      <c r="S12" s="322"/>
      <c r="T12" s="322"/>
      <c r="U12" s="322"/>
      <c r="V12" s="322"/>
      <c r="W12" s="322"/>
      <c r="X12" s="322"/>
      <c r="Y12" s="322"/>
      <c r="Z12" s="322"/>
    </row>
    <row r="13" ht="12.75" hidden="1" customHeight="1">
      <c r="A13" s="360"/>
      <c r="B13" s="337" t="s">
        <v>311</v>
      </c>
      <c r="C13" s="363"/>
      <c r="D13" s="339"/>
      <c r="E13" s="350"/>
      <c r="F13" s="341" t="str">
        <f t="shared" si="2"/>
        <v/>
      </c>
      <c r="G13" s="342"/>
      <c r="H13" s="322"/>
      <c r="I13" s="335"/>
      <c r="J13" s="352"/>
      <c r="K13" s="345"/>
      <c r="L13" s="346"/>
      <c r="M13" s="347"/>
      <c r="N13" s="322"/>
      <c r="O13" s="322"/>
      <c r="P13" s="322"/>
      <c r="Q13" s="322"/>
      <c r="R13" s="322"/>
      <c r="S13" s="322"/>
      <c r="T13" s="322"/>
      <c r="U13" s="322"/>
      <c r="V13" s="322"/>
      <c r="W13" s="322"/>
      <c r="X13" s="322"/>
      <c r="Y13" s="322"/>
      <c r="Z13" s="322"/>
    </row>
    <row r="14" ht="12.75" hidden="1" customHeight="1">
      <c r="A14" s="353"/>
      <c r="B14" s="364" t="s">
        <v>312</v>
      </c>
      <c r="C14" s="365"/>
      <c r="D14" s="366"/>
      <c r="E14" s="367"/>
      <c r="F14" s="368"/>
      <c r="G14" s="369"/>
      <c r="H14" s="370"/>
      <c r="I14" s="371"/>
      <c r="J14" s="372"/>
      <c r="K14" s="373"/>
      <c r="L14" s="367"/>
      <c r="M14" s="374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</row>
    <row r="15" ht="12.75" hidden="1" customHeight="1">
      <c r="A15" s="353"/>
      <c r="B15" s="353" t="s">
        <v>313</v>
      </c>
      <c r="C15" s="365"/>
      <c r="D15" s="366"/>
      <c r="E15" s="367"/>
      <c r="F15" s="368"/>
      <c r="G15" s="369"/>
      <c r="H15" s="370"/>
      <c r="I15" s="371"/>
      <c r="J15" s="375"/>
      <c r="K15" s="376"/>
      <c r="L15" s="367"/>
      <c r="M15" s="371"/>
      <c r="N15" s="370"/>
      <c r="O15" s="370"/>
      <c r="P15" s="370"/>
      <c r="Q15" s="370"/>
      <c r="R15" s="370"/>
      <c r="S15" s="370"/>
      <c r="T15" s="370"/>
      <c r="U15" s="370"/>
      <c r="V15" s="370"/>
      <c r="W15" s="370"/>
      <c r="X15" s="370"/>
      <c r="Y15" s="370"/>
      <c r="Z15" s="370"/>
    </row>
    <row r="16" ht="12.75" hidden="1" customHeight="1">
      <c r="A16" s="353"/>
      <c r="B16" s="353" t="s">
        <v>314</v>
      </c>
      <c r="C16" s="374"/>
      <c r="D16" s="366"/>
      <c r="E16" s="377"/>
      <c r="F16" s="368"/>
      <c r="G16" s="369"/>
      <c r="H16" s="370"/>
      <c r="I16" s="371"/>
      <c r="J16" s="375"/>
      <c r="K16" s="376"/>
      <c r="L16" s="367"/>
      <c r="M16" s="371"/>
      <c r="N16" s="370"/>
      <c r="O16" s="370"/>
      <c r="P16" s="370"/>
      <c r="Q16" s="370"/>
      <c r="R16" s="370"/>
      <c r="S16" s="370"/>
      <c r="T16" s="370"/>
      <c r="U16" s="370"/>
      <c r="V16" s="370"/>
      <c r="W16" s="370"/>
      <c r="X16" s="370"/>
      <c r="Y16" s="370"/>
      <c r="Z16" s="370"/>
    </row>
    <row r="17" ht="12.75" hidden="1" customHeight="1">
      <c r="A17" s="353"/>
      <c r="B17" s="353" t="s">
        <v>315</v>
      </c>
      <c r="C17" s="374"/>
      <c r="D17" s="366"/>
      <c r="E17" s="377"/>
      <c r="F17" s="368"/>
      <c r="G17" s="369"/>
      <c r="H17" s="370"/>
      <c r="I17" s="371"/>
      <c r="J17" s="375"/>
      <c r="K17" s="376"/>
      <c r="L17" s="367"/>
      <c r="M17" s="371"/>
      <c r="N17" s="370"/>
      <c r="O17" s="370"/>
      <c r="P17" s="370"/>
      <c r="Q17" s="370"/>
      <c r="R17" s="370"/>
      <c r="S17" s="370"/>
      <c r="T17" s="370"/>
      <c r="U17" s="370"/>
      <c r="V17" s="370"/>
      <c r="W17" s="370"/>
      <c r="X17" s="370"/>
      <c r="Y17" s="370"/>
      <c r="Z17" s="370"/>
    </row>
    <row r="18" ht="12.75" hidden="1" customHeight="1">
      <c r="A18" s="353"/>
      <c r="B18" s="353" t="s">
        <v>316</v>
      </c>
      <c r="C18" s="365"/>
      <c r="D18" s="366"/>
      <c r="E18" s="377"/>
      <c r="F18" s="368"/>
      <c r="G18" s="369"/>
      <c r="H18" s="370"/>
      <c r="I18" s="378"/>
      <c r="J18" s="375"/>
      <c r="K18" s="376"/>
      <c r="L18" s="367"/>
      <c r="M18" s="371"/>
      <c r="N18" s="370"/>
      <c r="O18" s="370"/>
      <c r="P18" s="370"/>
      <c r="Q18" s="370"/>
      <c r="R18" s="370"/>
      <c r="S18" s="370"/>
      <c r="T18" s="370"/>
      <c r="U18" s="370"/>
      <c r="V18" s="370"/>
      <c r="W18" s="370"/>
      <c r="X18" s="370"/>
      <c r="Y18" s="370"/>
      <c r="Z18" s="370"/>
    </row>
    <row r="19" ht="12.75" hidden="1" customHeight="1">
      <c r="A19" s="353"/>
      <c r="B19" s="353" t="s">
        <v>317</v>
      </c>
      <c r="C19" s="365"/>
      <c r="D19" s="366"/>
      <c r="E19" s="377"/>
      <c r="F19" s="368"/>
      <c r="G19" s="369"/>
      <c r="H19" s="370"/>
      <c r="I19" s="378"/>
      <c r="J19" s="375"/>
      <c r="K19" s="376"/>
      <c r="L19" s="367"/>
      <c r="M19" s="371"/>
      <c r="N19" s="370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</row>
    <row r="20" ht="12.75" hidden="1" customHeight="1">
      <c r="A20" s="353"/>
      <c r="B20" s="364" t="s">
        <v>318</v>
      </c>
      <c r="C20" s="374"/>
      <c r="D20" s="373"/>
      <c r="E20" s="377"/>
      <c r="F20" s="368"/>
      <c r="G20" s="369"/>
      <c r="H20" s="370"/>
      <c r="I20" s="378"/>
      <c r="J20" s="375"/>
      <c r="K20" s="373"/>
      <c r="L20" s="367"/>
      <c r="M20" s="374"/>
      <c r="N20" s="370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</row>
    <row r="21" ht="12.75" hidden="1" customHeight="1">
      <c r="A21" s="353"/>
      <c r="B21" s="379" t="s">
        <v>319</v>
      </c>
      <c r="C21" s="365"/>
      <c r="D21" s="366"/>
      <c r="E21" s="377"/>
      <c r="F21" s="368"/>
      <c r="G21" s="369"/>
      <c r="H21" s="370"/>
      <c r="I21" s="378"/>
      <c r="J21" s="375"/>
      <c r="K21" s="380"/>
      <c r="L21" s="367"/>
      <c r="M21" s="374"/>
      <c r="N21" s="370"/>
      <c r="O21" s="370"/>
      <c r="P21" s="370"/>
      <c r="Q21" s="370"/>
      <c r="R21" s="370"/>
      <c r="S21" s="370"/>
      <c r="T21" s="370"/>
      <c r="U21" s="370"/>
      <c r="V21" s="370"/>
      <c r="W21" s="370"/>
      <c r="X21" s="370"/>
      <c r="Y21" s="370"/>
      <c r="Z21" s="370"/>
    </row>
    <row r="22" ht="12.75" hidden="1" customHeight="1">
      <c r="A22" s="353"/>
      <c r="B22" s="379" t="s">
        <v>320</v>
      </c>
      <c r="C22" s="365"/>
      <c r="D22" s="366"/>
      <c r="E22" s="367"/>
      <c r="F22" s="368"/>
      <c r="G22" s="369"/>
      <c r="H22" s="370"/>
      <c r="I22" s="378"/>
      <c r="J22" s="375"/>
      <c r="K22" s="380"/>
      <c r="L22" s="367"/>
      <c r="M22" s="374"/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</row>
    <row r="23" ht="12.75" hidden="1" customHeight="1">
      <c r="A23" s="353"/>
      <c r="B23" s="353" t="s">
        <v>321</v>
      </c>
      <c r="C23" s="374"/>
      <c r="D23" s="366"/>
      <c r="E23" s="377"/>
      <c r="F23" s="368"/>
      <c r="G23" s="369"/>
      <c r="H23" s="370"/>
      <c r="I23" s="371"/>
      <c r="J23" s="375"/>
      <c r="K23" s="376"/>
      <c r="L23" s="367"/>
      <c r="M23" s="371"/>
      <c r="N23" s="370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  <c r="Z23" s="370"/>
    </row>
    <row r="24" ht="12.75" hidden="1" customHeight="1">
      <c r="A24" s="353"/>
      <c r="B24" s="379" t="s">
        <v>66</v>
      </c>
      <c r="C24" s="374"/>
      <c r="D24" s="366"/>
      <c r="E24" s="367"/>
      <c r="F24" s="368"/>
      <c r="G24" s="369"/>
      <c r="H24" s="370"/>
      <c r="I24" s="371"/>
      <c r="J24" s="375"/>
      <c r="K24" s="366"/>
      <c r="L24" s="367"/>
      <c r="M24" s="374"/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</row>
    <row r="25" ht="12.75" hidden="1" customHeight="1">
      <c r="A25" s="353"/>
      <c r="B25" s="379" t="s">
        <v>58</v>
      </c>
      <c r="C25" s="374"/>
      <c r="D25" s="366"/>
      <c r="E25" s="367"/>
      <c r="F25" s="368" t="str">
        <f>IF(C25&gt;0,C25/SUM($C$8:$C$25), "")</f>
        <v/>
      </c>
      <c r="G25" s="369"/>
      <c r="H25" s="370"/>
      <c r="I25" s="374"/>
      <c r="J25" s="375"/>
      <c r="K25" s="380"/>
      <c r="L25" s="367"/>
      <c r="M25" s="374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</row>
    <row r="26" ht="12.75" customHeight="1">
      <c r="A26" s="381"/>
      <c r="B26" s="381" t="s">
        <v>322</v>
      </c>
      <c r="C26" s="382">
        <f>SUBTOTAL(109,LIABILITIES!$C$8:$C$25)</f>
        <v>25401.63</v>
      </c>
      <c r="D26" s="383">
        <f>SUMPRODUCT(LIABILITIES!$C$8:$C$25,LIABILITIES!$D$8:$D$25)/SUM(LIABILITIES!$C$8:$C$25)</f>
        <v>0.008250336691</v>
      </c>
      <c r="E26" s="382">
        <f>SUBTOTAL(109,LIABILITIES!$E$8:$E$25)</f>
        <v>1000</v>
      </c>
      <c r="F26" s="383">
        <f>SUBTOTAL(109,LIABILITIES!$F$8:$F$24)</f>
        <v>0.6750602225</v>
      </c>
      <c r="G26" s="384"/>
      <c r="H26" s="381"/>
      <c r="I26" s="385"/>
      <c r="J26" s="352"/>
      <c r="K26" s="386"/>
      <c r="L26" s="387"/>
      <c r="M26" s="385"/>
      <c r="N26" s="381"/>
      <c r="O26" s="381"/>
      <c r="P26" s="381"/>
      <c r="Q26" s="381"/>
      <c r="R26" s="381"/>
      <c r="S26" s="381"/>
      <c r="T26" s="381"/>
      <c r="U26" s="381"/>
      <c r="V26" s="381"/>
      <c r="W26" s="381"/>
      <c r="X26" s="381"/>
      <c r="Y26" s="381"/>
      <c r="Z26" s="381"/>
    </row>
    <row r="27" ht="24.0" customHeight="1">
      <c r="A27" s="322"/>
      <c r="B27" s="322"/>
      <c r="C27" s="323"/>
      <c r="D27" s="324"/>
      <c r="E27" s="323"/>
      <c r="F27" s="324"/>
      <c r="G27" s="322"/>
      <c r="H27" s="322"/>
      <c r="I27" s="347"/>
      <c r="J27" s="361"/>
      <c r="K27" s="339"/>
      <c r="L27" s="340"/>
      <c r="M27" s="351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Y27" s="322"/>
      <c r="Z27" s="322"/>
    </row>
    <row r="28" ht="18.0" customHeight="1">
      <c r="A28" s="323"/>
      <c r="B28" s="388" t="s">
        <v>323</v>
      </c>
      <c r="C28" s="323"/>
      <c r="D28" s="323"/>
      <c r="E28" s="323"/>
      <c r="F28" s="323"/>
      <c r="G28" s="389"/>
      <c r="H28" s="323"/>
      <c r="I28" s="351"/>
      <c r="J28" s="323"/>
      <c r="K28" s="323"/>
      <c r="L28" s="323"/>
      <c r="M28" s="323"/>
      <c r="N28" s="323"/>
      <c r="O28" s="323"/>
      <c r="P28" s="323"/>
      <c r="Q28" s="323"/>
      <c r="R28" s="323"/>
      <c r="S28" s="390"/>
      <c r="T28" s="323"/>
      <c r="U28" s="323"/>
      <c r="V28" s="323"/>
      <c r="W28" s="323"/>
      <c r="X28" s="323"/>
      <c r="Y28" s="323"/>
      <c r="Z28" s="323"/>
    </row>
    <row r="29" ht="12.75" customHeight="1">
      <c r="A29" s="323"/>
      <c r="B29" s="323" t="s">
        <v>324</v>
      </c>
      <c r="C29" s="323"/>
      <c r="D29" s="323"/>
      <c r="E29" s="323"/>
      <c r="F29" s="323"/>
      <c r="G29" s="391"/>
      <c r="H29" s="390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92"/>
      <c r="T29" s="323"/>
      <c r="U29" s="323"/>
      <c r="V29" s="323"/>
      <c r="W29" s="323"/>
      <c r="X29" s="323"/>
      <c r="Y29" s="323"/>
      <c r="Z29" s="323"/>
    </row>
    <row r="30" ht="12.75" customHeight="1">
      <c r="A30" s="323"/>
      <c r="B30" s="323" t="s">
        <v>325</v>
      </c>
      <c r="C30" s="323"/>
      <c r="D30" s="323"/>
      <c r="E30" s="323"/>
      <c r="F30" s="324"/>
      <c r="G30" s="391"/>
      <c r="H30" s="393"/>
      <c r="I30" s="394"/>
      <c r="J30" s="395"/>
      <c r="K30" s="395"/>
      <c r="L30" s="395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</row>
    <row r="31" ht="12.75" customHeight="1">
      <c r="A31" s="322"/>
      <c r="B31" s="322"/>
      <c r="C31" s="323"/>
      <c r="D31" s="324"/>
      <c r="E31" s="323"/>
      <c r="F31" s="324"/>
      <c r="G31" s="391"/>
      <c r="H31" s="393"/>
      <c r="I31" s="395"/>
      <c r="J31" s="395"/>
      <c r="K31" s="395"/>
      <c r="L31" s="395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Y31" s="322"/>
      <c r="Z31" s="322"/>
    </row>
    <row r="32" ht="12.75" customHeight="1">
      <c r="A32" s="322"/>
      <c r="B32" s="396" t="s">
        <v>326</v>
      </c>
      <c r="C32" s="397" t="s">
        <v>327</v>
      </c>
      <c r="D32" s="324"/>
      <c r="E32" s="324"/>
      <c r="F32" s="392"/>
      <c r="G32" s="391"/>
      <c r="H32" s="393"/>
      <c r="I32" s="395"/>
      <c r="J32" s="395"/>
      <c r="K32" s="395"/>
      <c r="L32" s="395"/>
      <c r="M32" s="322"/>
      <c r="N32" s="322"/>
      <c r="O32" s="322"/>
      <c r="P32" s="322"/>
      <c r="Q32" s="322"/>
      <c r="R32" s="336"/>
      <c r="S32" s="322"/>
      <c r="T32" s="322"/>
      <c r="U32" s="322"/>
      <c r="V32" s="322"/>
      <c r="W32" s="322"/>
      <c r="X32" s="322"/>
      <c r="Y32" s="322"/>
      <c r="Z32" s="322"/>
    </row>
    <row r="33" ht="12.75" customHeight="1">
      <c r="A33" s="322"/>
      <c r="B33" s="322" t="s">
        <v>328</v>
      </c>
      <c r="C33" s="398">
        <v>1800.0</v>
      </c>
      <c r="D33" s="324"/>
      <c r="E33" s="323"/>
      <c r="F33" s="392"/>
      <c r="G33" s="391"/>
      <c r="H33" s="393"/>
      <c r="I33" s="395"/>
      <c r="J33" s="395"/>
      <c r="K33" s="395"/>
      <c r="L33" s="395"/>
      <c r="M33" s="322"/>
      <c r="N33" s="322"/>
      <c r="O33" s="322"/>
      <c r="P33" s="322"/>
      <c r="Q33" s="322"/>
      <c r="R33" s="322"/>
      <c r="S33" s="322"/>
      <c r="T33" s="322"/>
      <c r="U33" s="322"/>
      <c r="V33" s="322"/>
      <c r="W33" s="322"/>
      <c r="X33" s="322"/>
      <c r="Y33" s="322"/>
      <c r="Z33" s="322"/>
    </row>
    <row r="34" ht="12.75" customHeight="1">
      <c r="A34" s="322"/>
      <c r="B34" s="399" t="s">
        <v>329</v>
      </c>
      <c r="C34" s="400">
        <f>sum(C18,C19,C17,C21,C23,C15)</f>
        <v>0</v>
      </c>
      <c r="D34" s="324"/>
      <c r="E34" s="323"/>
      <c r="F34" s="392"/>
      <c r="G34" s="391"/>
      <c r="H34" s="393"/>
      <c r="I34" s="395"/>
      <c r="J34" s="395"/>
      <c r="K34" s="395"/>
      <c r="L34" s="395"/>
      <c r="M34" s="322"/>
      <c r="N34" s="322"/>
      <c r="O34" s="322"/>
      <c r="P34" s="322"/>
      <c r="Q34" s="322"/>
      <c r="R34" s="322"/>
      <c r="S34" s="322"/>
      <c r="T34" s="322"/>
      <c r="U34" s="322"/>
      <c r="V34" s="322"/>
      <c r="W34" s="322"/>
      <c r="X34" s="322"/>
      <c r="Y34" s="322"/>
      <c r="Z34" s="322"/>
    </row>
    <row r="35" ht="24.0" customHeight="1">
      <c r="A35" s="322"/>
      <c r="B35" s="322"/>
      <c r="C35" s="323"/>
      <c r="D35" s="324"/>
      <c r="E35" s="323"/>
      <c r="F35" s="324" t="str">
        <f>IF(C39&gt;0, C39/SUM($C$8:$C$39), "")</f>
        <v/>
      </c>
      <c r="G35" s="391"/>
      <c r="H35" s="393"/>
      <c r="I35" s="395"/>
      <c r="J35" s="395"/>
      <c r="K35" s="395"/>
      <c r="L35" s="395"/>
      <c r="M35" s="322"/>
      <c r="N35" s="322"/>
      <c r="O35" s="322"/>
      <c r="P35" s="322"/>
      <c r="Q35" s="322"/>
      <c r="R35" s="322"/>
      <c r="S35" s="322"/>
      <c r="T35" s="322"/>
      <c r="U35" s="322"/>
      <c r="V35" s="322"/>
      <c r="W35" s="322"/>
      <c r="X35" s="322"/>
      <c r="Y35" s="322"/>
      <c r="Z35" s="322"/>
    </row>
    <row r="36" ht="12.75" customHeight="1">
      <c r="A36" s="323"/>
      <c r="B36" s="325" t="s">
        <v>330</v>
      </c>
      <c r="C36" s="323"/>
      <c r="D36" s="323"/>
      <c r="E36" s="323"/>
      <c r="F36" s="323"/>
      <c r="G36" s="391"/>
      <c r="H36" s="393"/>
      <c r="I36" s="395"/>
      <c r="J36" s="395"/>
      <c r="K36" s="395"/>
      <c r="L36" s="395"/>
      <c r="M36" s="323"/>
      <c r="N36" s="323"/>
      <c r="O36" s="323"/>
      <c r="P36" s="323"/>
      <c r="Q36" s="323"/>
      <c r="R36" s="323"/>
      <c r="S36" s="323"/>
      <c r="T36" s="323"/>
      <c r="U36" s="323"/>
      <c r="V36" s="323"/>
      <c r="W36" s="323"/>
      <c r="X36" s="323"/>
      <c r="Y36" s="323"/>
      <c r="Z36" s="323"/>
    </row>
    <row r="37" ht="12.75" customHeight="1">
      <c r="A37" s="323"/>
      <c r="B37" s="323" t="s">
        <v>331</v>
      </c>
      <c r="C37" s="323"/>
      <c r="D37" s="323"/>
      <c r="E37" s="323"/>
      <c r="F37" s="323"/>
      <c r="G37" s="391"/>
      <c r="H37" s="393"/>
      <c r="I37" s="395"/>
      <c r="J37" s="395"/>
      <c r="K37" s="395"/>
      <c r="L37" s="395"/>
      <c r="M37" s="323"/>
      <c r="N37" s="323"/>
      <c r="O37" s="323"/>
      <c r="P37" s="323"/>
      <c r="Q37" s="323"/>
      <c r="R37" s="323"/>
      <c r="S37" s="323"/>
      <c r="T37" s="323"/>
      <c r="U37" s="323"/>
      <c r="V37" s="323"/>
      <c r="W37" s="323"/>
      <c r="X37" s="323"/>
      <c r="Y37" s="323"/>
      <c r="Z37" s="323"/>
    </row>
    <row r="38" ht="12.75" customHeight="1">
      <c r="A38" s="323"/>
      <c r="B38" s="323" t="s">
        <v>332</v>
      </c>
      <c r="C38" s="323"/>
      <c r="D38" s="323"/>
      <c r="E38" s="323"/>
      <c r="F38" s="323"/>
      <c r="G38" s="391"/>
      <c r="H38" s="393"/>
      <c r="I38" s="395"/>
      <c r="J38" s="395"/>
      <c r="K38" s="395"/>
      <c r="L38" s="395"/>
      <c r="M38" s="323"/>
      <c r="N38" s="323"/>
      <c r="O38" s="323"/>
      <c r="P38" s="323"/>
      <c r="Q38" s="323"/>
      <c r="R38" s="323"/>
      <c r="S38" s="323"/>
      <c r="T38" s="323"/>
      <c r="U38" s="323"/>
      <c r="V38" s="323"/>
      <c r="W38" s="323"/>
      <c r="X38" s="323"/>
      <c r="Y38" s="323"/>
      <c r="Z38" s="323"/>
    </row>
    <row r="39" ht="12.75" customHeight="1">
      <c r="A39" s="322"/>
      <c r="B39" s="322"/>
      <c r="C39" s="323"/>
      <c r="D39" s="324"/>
      <c r="E39" s="323"/>
      <c r="F39" s="324"/>
      <c r="G39" s="391"/>
      <c r="H39" s="395"/>
      <c r="I39" s="395"/>
      <c r="J39" s="395"/>
      <c r="K39" s="395"/>
      <c r="L39" s="395"/>
      <c r="M39" s="322"/>
      <c r="N39" s="322"/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2"/>
      <c r="Z39" s="322"/>
    </row>
    <row r="40" ht="12.75" customHeight="1">
      <c r="A40" s="381"/>
      <c r="B40" s="401" t="s">
        <v>326</v>
      </c>
      <c r="C40" s="397" t="s">
        <v>327</v>
      </c>
      <c r="D40" s="383"/>
      <c r="E40" s="382"/>
      <c r="F40" s="383"/>
      <c r="G40" s="391"/>
      <c r="H40" s="395"/>
      <c r="I40" s="395"/>
      <c r="J40" s="395"/>
      <c r="K40" s="395"/>
      <c r="L40" s="395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  <c r="Y40" s="381"/>
      <c r="Z40" s="381"/>
    </row>
    <row r="41" ht="12.75" customHeight="1">
      <c r="A41" s="381"/>
      <c r="B41" s="381" t="s">
        <v>333</v>
      </c>
      <c r="C41" s="382">
        <f>LIABILITIES!$C$26</f>
        <v>25401.63</v>
      </c>
      <c r="D41" s="383"/>
      <c r="E41" s="382"/>
      <c r="F41" s="383"/>
      <c r="G41" s="39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  <c r="Y41" s="381"/>
      <c r="Z41" s="381"/>
    </row>
    <row r="42" ht="12.75" customHeight="1">
      <c r="A42" s="381"/>
      <c r="B42" s="402" t="s">
        <v>334</v>
      </c>
      <c r="C42" s="403">
        <f>sum(C13,C18,C21)</f>
        <v>0</v>
      </c>
      <c r="D42" s="383"/>
      <c r="E42" s="382"/>
      <c r="F42" s="383"/>
      <c r="G42" s="391"/>
      <c r="M42" s="381"/>
      <c r="N42" s="381"/>
      <c r="O42" s="381"/>
      <c r="P42" s="381"/>
      <c r="Q42" s="381"/>
      <c r="R42" s="381"/>
      <c r="S42" s="381"/>
      <c r="T42" s="381"/>
      <c r="U42" s="381"/>
      <c r="V42" s="381"/>
      <c r="W42" s="381"/>
      <c r="X42" s="381"/>
      <c r="Y42" s="381"/>
      <c r="Z42" s="381"/>
    </row>
    <row r="43" ht="12.75" customHeight="1">
      <c r="A43" s="381"/>
      <c r="B43" s="404" t="s">
        <v>335</v>
      </c>
      <c r="C43" s="405">
        <f>sum(0)</f>
        <v>0</v>
      </c>
      <c r="D43" s="383"/>
      <c r="E43" s="406" t="s">
        <v>336</v>
      </c>
      <c r="F43" s="383"/>
      <c r="G43" s="108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  <c r="Y43" s="381"/>
      <c r="Z43" s="381"/>
    </row>
    <row r="44" ht="12.75" customHeight="1">
      <c r="A44" s="381"/>
      <c r="B44" s="407" t="s">
        <v>337</v>
      </c>
      <c r="C44" s="408">
        <f>sum(C12,C8)</f>
        <v>4763</v>
      </c>
      <c r="D44" s="383"/>
      <c r="E44" s="406" t="s">
        <v>338</v>
      </c>
      <c r="F44" s="383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  <c r="Y44" s="381"/>
      <c r="Z44" s="381"/>
    </row>
    <row r="45" ht="12.75" customHeight="1">
      <c r="A45" s="381"/>
      <c r="B45" s="381" t="s">
        <v>339</v>
      </c>
      <c r="C45" s="383">
        <f>LIABILITIES!$D$26</f>
        <v>0.008250336691</v>
      </c>
      <c r="D45" s="383"/>
      <c r="E45" s="406" t="s">
        <v>340</v>
      </c>
      <c r="F45" s="383"/>
      <c r="G45" s="409"/>
      <c r="H45" s="410"/>
      <c r="I45" s="381"/>
      <c r="J45" s="381"/>
      <c r="K45" s="381"/>
      <c r="L45" s="381"/>
      <c r="M45" s="381"/>
      <c r="N45" s="381"/>
      <c r="O45" s="381"/>
      <c r="P45" s="381"/>
      <c r="Q45" s="381"/>
      <c r="R45" s="381"/>
      <c r="S45" s="381"/>
      <c r="T45" s="381"/>
      <c r="U45" s="381"/>
      <c r="V45" s="381"/>
      <c r="W45" s="381"/>
      <c r="X45" s="381"/>
      <c r="Y45" s="381"/>
      <c r="Z45" s="381"/>
    </row>
    <row r="46" ht="12.75" customHeight="1">
      <c r="A46" s="322"/>
      <c r="B46" s="381" t="s">
        <v>341</v>
      </c>
      <c r="C46" s="382">
        <f>C41*C45/12</f>
        <v>17.46433333</v>
      </c>
      <c r="D46" s="383"/>
      <c r="E46" s="382"/>
      <c r="F46" s="383"/>
      <c r="G46" s="409"/>
      <c r="H46" s="411"/>
      <c r="I46" s="322"/>
      <c r="J46" s="322"/>
      <c r="K46" s="322"/>
      <c r="L46" s="322"/>
      <c r="M46" s="322"/>
      <c r="N46" s="322"/>
      <c r="O46" s="322"/>
      <c r="P46" s="322"/>
      <c r="Q46" s="322"/>
      <c r="R46" s="322"/>
      <c r="S46" s="322"/>
      <c r="T46" s="322"/>
      <c r="U46" s="322"/>
      <c r="V46" s="322"/>
      <c r="W46" s="322"/>
      <c r="X46" s="322"/>
      <c r="Y46" s="322"/>
      <c r="Z46" s="322"/>
    </row>
    <row r="47" ht="12.75" customHeight="1">
      <c r="A47" s="322"/>
      <c r="B47" s="381"/>
      <c r="C47" s="382"/>
      <c r="D47" s="324"/>
      <c r="E47" s="323"/>
      <c r="F47" s="324"/>
      <c r="G47" s="322"/>
      <c r="H47" s="322"/>
      <c r="I47" s="322"/>
      <c r="J47" s="322"/>
      <c r="K47" s="412"/>
      <c r="L47" s="413"/>
      <c r="M47" s="322"/>
      <c r="N47" s="322"/>
      <c r="O47" s="322"/>
      <c r="P47" s="322"/>
      <c r="Q47" s="322"/>
      <c r="R47" s="322"/>
      <c r="S47" s="322"/>
      <c r="T47" s="322"/>
      <c r="U47" s="322"/>
      <c r="V47" s="322"/>
      <c r="W47" s="322"/>
      <c r="X47" s="322"/>
      <c r="Y47" s="322"/>
      <c r="Z47" s="322"/>
    </row>
    <row r="48" ht="12.75" customHeight="1">
      <c r="A48" s="322"/>
      <c r="B48" s="381" t="s">
        <v>342</v>
      </c>
      <c r="C48" s="382">
        <f>LIABILITIES!$E$26</f>
        <v>1000</v>
      </c>
      <c r="D48" s="324"/>
      <c r="E48" s="323"/>
      <c r="F48" s="324"/>
      <c r="G48" s="336"/>
      <c r="H48" s="414"/>
      <c r="I48" s="415"/>
      <c r="J48" s="416"/>
      <c r="K48" s="336"/>
      <c r="L48" s="322"/>
      <c r="M48" s="322"/>
      <c r="N48" s="322"/>
      <c r="O48" s="322"/>
      <c r="P48" s="322"/>
      <c r="Q48" s="322"/>
      <c r="R48" s="322"/>
      <c r="S48" s="322"/>
      <c r="T48" s="322"/>
      <c r="U48" s="322"/>
      <c r="V48" s="322"/>
      <c r="W48" s="322"/>
      <c r="X48" s="322"/>
      <c r="Y48" s="322"/>
      <c r="Z48" s="322"/>
    </row>
    <row r="49" ht="12.75" customHeight="1">
      <c r="A49" s="322"/>
      <c r="B49" s="381" t="s">
        <v>343</v>
      </c>
      <c r="C49" s="382">
        <f>LIABILITIES!$C$33</f>
        <v>1800</v>
      </c>
      <c r="D49" s="324"/>
      <c r="E49" s="323"/>
      <c r="F49" s="324"/>
      <c r="G49" s="336"/>
      <c r="H49" s="417"/>
      <c r="I49" s="415"/>
      <c r="J49" s="416"/>
      <c r="K49" s="322"/>
      <c r="L49" s="322"/>
      <c r="M49" s="322"/>
      <c r="N49" s="322"/>
      <c r="O49" s="322"/>
      <c r="P49" s="322"/>
      <c r="Q49" s="322"/>
      <c r="R49" s="322"/>
      <c r="S49" s="322"/>
      <c r="T49" s="322"/>
      <c r="U49" s="322"/>
      <c r="V49" s="322"/>
      <c r="W49" s="322"/>
      <c r="X49" s="322"/>
      <c r="Y49" s="322"/>
      <c r="Z49" s="322"/>
    </row>
    <row r="50" ht="12.75" customHeight="1">
      <c r="A50" s="322"/>
      <c r="B50" s="381"/>
      <c r="C50" s="382"/>
      <c r="D50" s="324"/>
      <c r="E50" s="323"/>
      <c r="F50" s="324"/>
      <c r="G50" s="322"/>
      <c r="H50" s="322"/>
      <c r="I50" s="415"/>
      <c r="J50" s="322"/>
      <c r="K50" s="322"/>
      <c r="L50" s="322"/>
      <c r="M50" s="322"/>
      <c r="N50" s="322"/>
      <c r="O50" s="322"/>
      <c r="P50" s="322"/>
      <c r="Q50" s="322"/>
      <c r="R50" s="322"/>
      <c r="S50" s="322"/>
      <c r="T50" s="322"/>
      <c r="U50" s="322"/>
      <c r="V50" s="322"/>
      <c r="W50" s="322"/>
      <c r="X50" s="322"/>
      <c r="Y50" s="322"/>
      <c r="Z50" s="322"/>
    </row>
    <row r="51" ht="12.75" customHeight="1">
      <c r="A51" s="322"/>
      <c r="B51" s="381" t="s">
        <v>344</v>
      </c>
      <c r="C51" s="382">
        <f>C49-C48</f>
        <v>800</v>
      </c>
      <c r="D51" s="324"/>
      <c r="E51" s="323"/>
      <c r="F51" s="324"/>
      <c r="G51" s="336"/>
      <c r="H51" s="414"/>
      <c r="I51" s="415"/>
      <c r="J51" s="418"/>
      <c r="K51" s="322"/>
      <c r="L51" s="322"/>
      <c r="M51" s="322"/>
      <c r="N51" s="322"/>
      <c r="O51" s="322"/>
      <c r="P51" s="322"/>
      <c r="Q51" s="322"/>
      <c r="R51" s="322"/>
      <c r="S51" s="322"/>
      <c r="T51" s="322"/>
      <c r="U51" s="322"/>
      <c r="V51" s="322"/>
      <c r="W51" s="322"/>
      <c r="X51" s="322"/>
      <c r="Y51" s="322"/>
      <c r="Z51" s="322"/>
    </row>
    <row r="52" ht="12.75" customHeight="1">
      <c r="A52" s="322"/>
      <c r="B52" s="322"/>
      <c r="C52" s="323"/>
      <c r="D52" s="324"/>
      <c r="E52" s="323"/>
      <c r="F52" s="324"/>
      <c r="G52" s="322"/>
      <c r="H52" s="322"/>
      <c r="I52" s="322"/>
      <c r="J52" s="322"/>
      <c r="K52" s="322"/>
      <c r="L52" s="322"/>
      <c r="M52" s="322"/>
      <c r="N52" s="322"/>
      <c r="O52" s="322"/>
      <c r="P52" s="322"/>
      <c r="Q52" s="322"/>
      <c r="R52" s="322"/>
      <c r="S52" s="322"/>
      <c r="T52" s="322"/>
      <c r="U52" s="322"/>
      <c r="V52" s="322"/>
      <c r="W52" s="322"/>
      <c r="X52" s="322"/>
      <c r="Y52" s="322"/>
      <c r="Z52" s="322"/>
    </row>
    <row r="53" ht="12.75" customHeight="1">
      <c r="A53" s="322"/>
      <c r="B53" s="322"/>
      <c r="C53" s="323"/>
      <c r="D53" s="324"/>
      <c r="E53" s="323"/>
      <c r="F53" s="324"/>
      <c r="G53" s="322"/>
      <c r="H53" s="322"/>
      <c r="I53" s="322"/>
      <c r="J53" s="322"/>
      <c r="K53" s="322"/>
      <c r="L53" s="322"/>
      <c r="M53" s="322"/>
      <c r="N53" s="322"/>
      <c r="O53" s="322"/>
      <c r="P53" s="322"/>
      <c r="Q53" s="322"/>
      <c r="R53" s="322"/>
      <c r="S53" s="322"/>
      <c r="T53" s="322"/>
      <c r="U53" s="322"/>
      <c r="V53" s="322"/>
      <c r="W53" s="322"/>
      <c r="X53" s="322"/>
      <c r="Y53" s="322"/>
      <c r="Z53" s="322"/>
    </row>
    <row r="54" ht="12.75" customHeight="1">
      <c r="A54" s="322"/>
      <c r="B54" s="322"/>
      <c r="C54" s="419"/>
      <c r="D54" s="324"/>
      <c r="E54" s="323"/>
      <c r="F54" s="324"/>
      <c r="G54" s="322"/>
      <c r="H54" s="409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T54" s="322"/>
      <c r="U54" s="322"/>
      <c r="V54" s="322"/>
      <c r="W54" s="322"/>
      <c r="X54" s="322"/>
      <c r="Y54" s="322"/>
      <c r="Z54" s="322"/>
    </row>
    <row r="55" ht="12.75" customHeight="1">
      <c r="A55" s="322"/>
      <c r="B55" s="325" t="s">
        <v>345</v>
      </c>
      <c r="C55" s="323"/>
      <c r="D55" s="323"/>
      <c r="E55" s="323"/>
      <c r="F55" s="323"/>
      <c r="G55" s="323"/>
      <c r="H55" s="395"/>
      <c r="I55" s="395"/>
      <c r="J55" s="395"/>
      <c r="K55" s="395"/>
      <c r="L55" s="395"/>
      <c r="M55" s="395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2"/>
      <c r="Y55" s="322"/>
      <c r="Z55" s="322"/>
    </row>
    <row r="56" ht="12.75" customHeight="1">
      <c r="A56" s="322"/>
      <c r="B56" s="323" t="s">
        <v>346</v>
      </c>
      <c r="C56" s="323"/>
      <c r="D56" s="323"/>
      <c r="E56" s="323"/>
      <c r="F56" s="323"/>
      <c r="G56" s="323"/>
      <c r="H56" s="395"/>
      <c r="I56" s="395"/>
      <c r="J56" s="395"/>
      <c r="K56" s="395"/>
      <c r="L56" s="395"/>
      <c r="M56" s="395"/>
      <c r="N56" s="322"/>
      <c r="O56" s="322"/>
      <c r="P56" s="322"/>
      <c r="Q56" s="322"/>
      <c r="R56" s="322"/>
      <c r="S56" s="322"/>
      <c r="T56" s="322"/>
      <c r="U56" s="322"/>
      <c r="V56" s="322"/>
      <c r="W56" s="322"/>
      <c r="X56" s="322"/>
      <c r="Y56" s="322"/>
      <c r="Z56" s="322"/>
    </row>
    <row r="57" ht="12.75" customHeight="1">
      <c r="A57" s="322"/>
      <c r="E57" s="323"/>
      <c r="F57" s="324"/>
      <c r="G57" s="322"/>
      <c r="H57" s="395"/>
      <c r="I57" s="395"/>
      <c r="J57" s="395"/>
      <c r="K57" s="395"/>
      <c r="L57" s="395"/>
      <c r="M57" s="395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</row>
    <row r="58" ht="12.75" customHeight="1">
      <c r="A58" s="322"/>
      <c r="B58" s="381" t="s">
        <v>347</v>
      </c>
      <c r="E58" s="323"/>
      <c r="F58" s="324"/>
      <c r="G58" s="322"/>
      <c r="H58" s="395"/>
      <c r="I58" s="395"/>
      <c r="J58" s="395"/>
      <c r="K58" s="395"/>
      <c r="L58" s="395"/>
      <c r="M58" s="395"/>
      <c r="N58" s="322"/>
      <c r="O58" s="322"/>
      <c r="P58" s="322"/>
      <c r="Q58" s="322"/>
      <c r="R58" s="322"/>
      <c r="S58" s="322"/>
      <c r="T58" s="322"/>
      <c r="U58" s="322"/>
      <c r="V58" s="322"/>
      <c r="W58" s="322"/>
      <c r="X58" s="322"/>
      <c r="Y58" s="322"/>
      <c r="Z58" s="322"/>
    </row>
    <row r="59" ht="12.75" customHeight="1">
      <c r="A59" s="322"/>
      <c r="E59" s="323"/>
      <c r="F59" s="324"/>
      <c r="G59" s="322"/>
      <c r="H59" s="395"/>
      <c r="I59" s="395"/>
      <c r="J59" s="395"/>
      <c r="K59" s="395"/>
      <c r="L59" s="395"/>
      <c r="M59" s="395"/>
      <c r="N59" s="322"/>
      <c r="O59" s="322"/>
      <c r="P59" s="322"/>
      <c r="Q59" s="322"/>
      <c r="R59" s="322"/>
      <c r="S59" s="322"/>
      <c r="T59" s="322"/>
      <c r="U59" s="322"/>
      <c r="V59" s="322"/>
      <c r="W59" s="322"/>
      <c r="X59" s="322"/>
      <c r="Y59" s="322"/>
      <c r="Z59" s="322"/>
    </row>
    <row r="60" ht="12.75" customHeight="1">
      <c r="A60" s="322"/>
      <c r="B60" s="326" t="s">
        <v>299</v>
      </c>
      <c r="C60" s="397" t="s">
        <v>300</v>
      </c>
      <c r="D60" s="420" t="s">
        <v>301</v>
      </c>
      <c r="E60" s="397" t="s">
        <v>302</v>
      </c>
      <c r="F60" s="397" t="s">
        <v>348</v>
      </c>
      <c r="G60" s="322"/>
      <c r="H60" s="395"/>
      <c r="I60" s="395"/>
      <c r="J60" s="395"/>
      <c r="K60" s="395"/>
      <c r="L60" s="395"/>
      <c r="M60" s="395"/>
      <c r="N60" s="322"/>
      <c r="O60" s="322"/>
      <c r="P60" s="322"/>
      <c r="Q60" s="322"/>
      <c r="R60" s="322"/>
      <c r="S60" s="322"/>
      <c r="T60" s="322"/>
      <c r="U60" s="322"/>
      <c r="V60" s="322"/>
      <c r="W60" s="322"/>
      <c r="X60" s="322"/>
      <c r="Y60" s="322"/>
      <c r="Z60" s="322"/>
    </row>
    <row r="61" ht="12.75" customHeight="1">
      <c r="A61" s="322"/>
      <c r="B61" s="326" t="str">
        <f t="array" ref="B61">INDEX(LIABILITIES!$B$8:$E$25, MATCH(MAX(LIABILITIES!$D$8:$D$25),LIABILITIES!$D$8:$D$25, 0), 1)</f>
        <v>Nelnet</v>
      </c>
      <c r="C61" s="397">
        <f t="array" ref="C61">INDEX(LIABILITIES!$B$8:$E$25, MATCH(MAX(LIABILITIES!$D$8:$D$25),LIABILITIES!$D$8:$D$25, 0), 2)</f>
        <v>4763</v>
      </c>
      <c r="D61" s="420">
        <f t="array" ref="D61">INDEX(LIABILITIES!$B$8:$E$25, MATCH(MAX(LIABILITIES!$D$8:$D$25),LIABILITIES!$D$8:$D$25, 0), 3)</f>
        <v>0.044</v>
      </c>
      <c r="E61" s="421">
        <f t="array" ref="E61">INDEX(LIABILITIES!$B$8:$E$25, MATCH(MAX(LIABILITIES!$D$8:$D$25),LIABILITIES!$D$8:$D$25, 0), 4)</f>
        <v>0</v>
      </c>
      <c r="F61" s="397">
        <f t="array" ref="F61">INDEX(LIABILITIES!$B$8:$E$25,MATCH(MAX(LIABILITIES!$D$8:$D$25),LIABILITIES!$D$8:$D$25,0),4)+$C$51</f>
        <v>800</v>
      </c>
      <c r="G61" s="420"/>
      <c r="H61" s="395"/>
      <c r="I61" s="395"/>
      <c r="J61" s="395"/>
      <c r="K61" s="395"/>
      <c r="L61" s="395"/>
      <c r="M61" s="395"/>
      <c r="N61" s="322"/>
      <c r="O61" s="322"/>
      <c r="P61" s="322"/>
      <c r="Q61" s="322"/>
      <c r="R61" s="322"/>
      <c r="S61" s="322"/>
      <c r="T61" s="322"/>
      <c r="U61" s="322"/>
      <c r="V61" s="322"/>
      <c r="W61" s="322"/>
      <c r="X61" s="322"/>
      <c r="Y61" s="322"/>
      <c r="Z61" s="322"/>
    </row>
    <row r="62" ht="12.75" customHeight="1">
      <c r="A62" s="322"/>
      <c r="B62" s="326"/>
      <c r="C62" s="397"/>
      <c r="D62" s="420"/>
      <c r="E62" s="397"/>
      <c r="F62" s="397"/>
      <c r="G62" s="322"/>
      <c r="H62" s="395"/>
      <c r="I62" s="395"/>
      <c r="J62" s="395"/>
      <c r="K62" s="395"/>
      <c r="L62" s="395"/>
      <c r="M62" s="395"/>
      <c r="N62" s="322"/>
      <c r="O62" s="322"/>
      <c r="P62" s="322"/>
      <c r="Q62" s="322"/>
      <c r="R62" s="322"/>
      <c r="S62" s="322"/>
      <c r="T62" s="322"/>
      <c r="U62" s="322"/>
      <c r="V62" s="322"/>
      <c r="W62" s="322"/>
      <c r="X62" s="322"/>
      <c r="Y62" s="322"/>
      <c r="Z62" s="322"/>
    </row>
    <row r="63" ht="12.75" customHeight="1">
      <c r="A63" s="322"/>
      <c r="B63" s="381" t="s">
        <v>349</v>
      </c>
      <c r="C63" s="422"/>
      <c r="D63" s="422"/>
      <c r="E63" s="397"/>
      <c r="F63" s="420"/>
      <c r="G63" s="322"/>
      <c r="H63" s="322"/>
      <c r="I63" s="322"/>
      <c r="J63" s="322"/>
      <c r="K63" s="322"/>
      <c r="L63" s="322"/>
      <c r="M63" s="322"/>
      <c r="N63" s="322"/>
      <c r="O63" s="322"/>
      <c r="P63" s="322"/>
      <c r="Q63" s="322"/>
      <c r="R63" s="322"/>
      <c r="S63" s="322"/>
      <c r="T63" s="322"/>
      <c r="U63" s="322"/>
      <c r="V63" s="322"/>
      <c r="W63" s="322"/>
      <c r="X63" s="322"/>
      <c r="Y63" s="322"/>
      <c r="Z63" s="322"/>
    </row>
    <row r="64" ht="12.75" customHeight="1">
      <c r="A64" s="322"/>
      <c r="C64" s="422"/>
      <c r="D64" s="422"/>
      <c r="E64" s="397"/>
      <c r="F64" s="420"/>
      <c r="G64" s="322"/>
      <c r="H64" s="322"/>
      <c r="I64" s="322"/>
      <c r="J64" s="322"/>
      <c r="K64" s="322"/>
      <c r="L64" s="322"/>
      <c r="M64" s="322"/>
      <c r="N64" s="322"/>
      <c r="O64" s="322"/>
      <c r="P64" s="322"/>
      <c r="Q64" s="322"/>
      <c r="R64" s="322"/>
      <c r="S64" s="322"/>
      <c r="T64" s="322"/>
      <c r="U64" s="322"/>
      <c r="V64" s="322"/>
      <c r="W64" s="322"/>
      <c r="X64" s="322"/>
      <c r="Y64" s="322"/>
      <c r="Z64" s="322"/>
    </row>
    <row r="65" ht="12.75" customHeight="1">
      <c r="A65" s="322"/>
      <c r="B65" s="326" t="s">
        <v>299</v>
      </c>
      <c r="C65" s="397" t="s">
        <v>300</v>
      </c>
      <c r="D65" s="420" t="s">
        <v>301</v>
      </c>
      <c r="E65" s="397" t="s">
        <v>302</v>
      </c>
      <c r="F65" s="397" t="s">
        <v>348</v>
      </c>
      <c r="G65" s="322"/>
      <c r="H65" s="322"/>
      <c r="I65" s="322"/>
      <c r="J65" s="322"/>
      <c r="K65" s="322"/>
      <c r="L65" s="322"/>
      <c r="M65" s="322"/>
      <c r="N65" s="322"/>
      <c r="O65" s="322"/>
      <c r="P65" s="322"/>
      <c r="Q65" s="322"/>
      <c r="R65" s="322"/>
      <c r="S65" s="322"/>
      <c r="T65" s="322"/>
      <c r="U65" s="322"/>
      <c r="V65" s="322"/>
      <c r="W65" s="322"/>
      <c r="X65" s="322"/>
      <c r="Y65" s="322"/>
      <c r="Z65" s="322"/>
    </row>
    <row r="66" ht="12.75" customHeight="1">
      <c r="A66" s="322"/>
      <c r="B66" s="326" t="str">
        <f t="array" ref="B66">INDEX(LIABILITIES!$B$8:$E$25, MATCH(MAX(LIABILITIES!$C$8:$C$25),LIABILITIES!$C$8:$C$25, 0), 1)</f>
        <v>Parents</v>
      </c>
      <c r="C66" s="397">
        <f t="array" ref="C66">INDEX(LIABILITIES!$B$8:$E$25, MATCH(MAX(LIABILITIES!$C$8:$C$25),LIABILITIES!$C$8:$C$25, 0), 2)</f>
        <v>12384.63</v>
      </c>
      <c r="D66" s="420">
        <f t="array" ref="D66">INDEX(LIABILITIES!$B$8:$E$25, MATCH(MAX(LIABILITIES!$C$8:$C$25),LIABILITIES!$C$8:$C$25, 0), 3)</f>
        <v>0</v>
      </c>
      <c r="E66" s="397">
        <f t="array" ref="E66">INDEX(LIABILITIES!$B$8:$E$25, MATCH(MAX(LIABILITIES!$C$8:$C$25),LIABILITIES!$C$8:$C$25, 0), 4)</f>
        <v>1000</v>
      </c>
      <c r="F66" s="397">
        <f t="array" ref="F66">INDEX(LIABILITIES!$B$8:$E$25, MATCH(MAX(LIABILITIES!$C$8:$C$25),LIABILITIES!$C$8:$C$25, 0), 4) + $C$51</f>
        <v>1800</v>
      </c>
      <c r="G66" s="322"/>
      <c r="H66" s="322"/>
      <c r="I66" s="322"/>
      <c r="J66" s="322"/>
      <c r="K66" s="322"/>
      <c r="L66" s="322"/>
      <c r="M66" s="322"/>
      <c r="N66" s="322"/>
      <c r="O66" s="322"/>
      <c r="P66" s="322"/>
      <c r="Q66" s="322"/>
      <c r="R66" s="322"/>
      <c r="S66" s="322"/>
      <c r="T66" s="322"/>
      <c r="U66" s="322"/>
      <c r="V66" s="322"/>
      <c r="W66" s="322"/>
      <c r="X66" s="322"/>
      <c r="Y66" s="322"/>
      <c r="Z66" s="322"/>
    </row>
    <row r="67" ht="12.75" customHeight="1">
      <c r="A67" s="322"/>
      <c r="B67" s="322"/>
      <c r="C67" s="323"/>
      <c r="D67" s="324"/>
      <c r="E67" s="323"/>
      <c r="F67" s="324"/>
      <c r="G67" s="322"/>
      <c r="H67" s="322"/>
      <c r="I67" s="322"/>
      <c r="J67" s="322"/>
      <c r="K67" s="322"/>
      <c r="L67" s="322"/>
      <c r="M67" s="322"/>
      <c r="N67" s="322"/>
      <c r="O67" s="322"/>
      <c r="P67" s="322"/>
      <c r="Q67" s="322"/>
      <c r="R67" s="322"/>
      <c r="S67" s="322"/>
      <c r="T67" s="322"/>
      <c r="U67" s="322"/>
      <c r="V67" s="322"/>
      <c r="W67" s="322"/>
      <c r="X67" s="322"/>
      <c r="Y67" s="322"/>
      <c r="Z67" s="322"/>
    </row>
    <row r="68" ht="12.75" customHeight="1">
      <c r="A68" s="322"/>
      <c r="B68" s="322"/>
      <c r="C68" s="323"/>
      <c r="D68" s="324"/>
      <c r="E68" s="323"/>
      <c r="F68" s="324"/>
      <c r="G68" s="322"/>
      <c r="H68" s="322"/>
      <c r="I68" s="322"/>
      <c r="J68" s="322"/>
      <c r="K68" s="322"/>
      <c r="L68" s="322"/>
      <c r="M68" s="322"/>
      <c r="N68" s="322"/>
      <c r="O68" s="322"/>
      <c r="P68" s="322"/>
      <c r="Q68" s="322"/>
      <c r="R68" s="322"/>
      <c r="S68" s="322"/>
      <c r="T68" s="322"/>
      <c r="U68" s="322"/>
      <c r="V68" s="322"/>
      <c r="W68" s="322"/>
      <c r="X68" s="322"/>
      <c r="Y68" s="322"/>
      <c r="Z68" s="322"/>
    </row>
    <row r="69" ht="12.75" customHeight="1">
      <c r="A69" s="322"/>
      <c r="B69" s="322"/>
      <c r="C69" s="323"/>
      <c r="D69" s="324"/>
      <c r="E69" s="323"/>
      <c r="F69" s="324"/>
      <c r="G69" s="322"/>
      <c r="H69" s="322"/>
      <c r="I69" s="322"/>
      <c r="J69" s="322"/>
      <c r="K69" s="322"/>
      <c r="L69" s="322"/>
      <c r="M69" s="322"/>
      <c r="N69" s="322"/>
      <c r="O69" s="322"/>
      <c r="P69" s="322"/>
      <c r="Q69" s="322"/>
      <c r="R69" s="322"/>
      <c r="S69" s="322"/>
      <c r="T69" s="322"/>
      <c r="U69" s="322"/>
      <c r="V69" s="322"/>
      <c r="W69" s="322"/>
      <c r="X69" s="322"/>
      <c r="Y69" s="322"/>
      <c r="Z69" s="322"/>
    </row>
  </sheetData>
  <conditionalFormatting sqref="C51">
    <cfRule type="cellIs" dxfId="4" priority="1" operator="lessThan">
      <formula>0</formula>
    </cfRule>
  </conditionalFormatting>
  <dataValidations>
    <dataValidation type="list" allowBlank="1" sqref="G8:G25">
      <formula1>"Yes,No"</formula1>
    </dataValidation>
  </dataValidations>
  <hyperlinks>
    <hyperlink r:id="rId2" location="gid=0" ref="E43"/>
    <hyperlink r:id="rId3" location="gid=0" ref="E44"/>
    <hyperlink r:id="rId4" location="gid=1750677864" ref="E45"/>
  </hyperlinks>
  <printOptions/>
  <pageMargins bottom="0.75" footer="0.0" header="0.0" left="0.7" right="0.7" top="0.75"/>
  <pageSetup orientation="landscape"/>
  <drawing r:id="rId5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0"/>
    <col customWidth="1" min="2" max="2" width="19.0"/>
    <col customWidth="1" min="3" max="3" width="23.38"/>
    <col customWidth="1" min="4" max="4" width="22.75"/>
    <col customWidth="1" min="5" max="7" width="18.5"/>
    <col customWidth="1" min="8" max="8" width="35.88"/>
    <col customWidth="1" min="9" max="9" width="18.5"/>
  </cols>
  <sheetData>
    <row r="1">
      <c r="A1" s="423" t="s">
        <v>350</v>
      </c>
      <c r="B1" s="423"/>
      <c r="C1" s="423"/>
      <c r="D1" s="423"/>
      <c r="E1" s="423"/>
      <c r="F1" s="424"/>
      <c r="G1" s="423"/>
      <c r="H1" s="423"/>
      <c r="I1" s="423"/>
    </row>
    <row r="2">
      <c r="A2" s="425" t="s">
        <v>351</v>
      </c>
      <c r="B2" s="425" t="s">
        <v>352</v>
      </c>
      <c r="C2" s="425" t="s">
        <v>302</v>
      </c>
      <c r="D2" s="425" t="s">
        <v>353</v>
      </c>
      <c r="E2" s="425" t="s">
        <v>354</v>
      </c>
      <c r="F2" s="425" t="s">
        <v>355</v>
      </c>
      <c r="G2" s="425" t="s">
        <v>1</v>
      </c>
      <c r="H2" s="425" t="s">
        <v>356</v>
      </c>
      <c r="I2" s="425"/>
    </row>
    <row r="3">
      <c r="A3" s="426" t="s">
        <v>357</v>
      </c>
      <c r="B3" s="427"/>
      <c r="C3" s="428"/>
      <c r="H3" s="428"/>
      <c r="I3" s="428"/>
    </row>
    <row r="4" ht="15.0" customHeight="1">
      <c r="A4" s="354" t="s">
        <v>210</v>
      </c>
      <c r="B4" s="429" t="s">
        <v>358</v>
      </c>
      <c r="C4" s="340">
        <v>4700.0</v>
      </c>
      <c r="D4" s="340" t="s">
        <v>359</v>
      </c>
      <c r="E4" s="430" t="s">
        <v>360</v>
      </c>
      <c r="F4" s="429" t="s">
        <v>361</v>
      </c>
      <c r="G4" s="429" t="s">
        <v>362</v>
      </c>
      <c r="H4" s="431" t="s">
        <v>57</v>
      </c>
      <c r="I4" s="431"/>
    </row>
    <row r="5">
      <c r="A5" s="432" t="s">
        <v>363</v>
      </c>
      <c r="B5" s="429" t="s">
        <v>364</v>
      </c>
      <c r="C5" s="433">
        <v>150.0</v>
      </c>
      <c r="D5" s="340" t="s">
        <v>359</v>
      </c>
      <c r="E5" s="430" t="s">
        <v>360</v>
      </c>
      <c r="F5" s="429" t="s">
        <v>361</v>
      </c>
      <c r="G5" s="429" t="s">
        <v>362</v>
      </c>
      <c r="H5" s="431" t="s">
        <v>57</v>
      </c>
      <c r="I5" s="431"/>
    </row>
    <row r="6">
      <c r="A6" s="434" t="s">
        <v>365</v>
      </c>
      <c r="B6" s="429" t="s">
        <v>366</v>
      </c>
      <c r="C6" s="433">
        <v>200.0</v>
      </c>
      <c r="D6" s="340" t="s">
        <v>367</v>
      </c>
      <c r="E6" s="430" t="s">
        <v>360</v>
      </c>
      <c r="F6" s="429" t="s">
        <v>93</v>
      </c>
      <c r="G6" s="429" t="s">
        <v>362</v>
      </c>
      <c r="H6" s="431" t="s">
        <v>57</v>
      </c>
      <c r="I6" s="431"/>
    </row>
    <row r="7">
      <c r="A7" s="337" t="s">
        <v>311</v>
      </c>
      <c r="B7" s="429" t="s">
        <v>358</v>
      </c>
      <c r="C7" s="435">
        <v>3000.0</v>
      </c>
      <c r="D7" s="340" t="s">
        <v>367</v>
      </c>
      <c r="E7" s="430" t="s">
        <v>368</v>
      </c>
      <c r="F7" s="429" t="s">
        <v>369</v>
      </c>
      <c r="G7" s="429" t="s">
        <v>362</v>
      </c>
      <c r="H7" s="431" t="s">
        <v>57</v>
      </c>
      <c r="I7" s="431"/>
    </row>
    <row r="8">
      <c r="A8" s="348" t="s">
        <v>316</v>
      </c>
      <c r="B8" s="429" t="s">
        <v>364</v>
      </c>
      <c r="C8" s="436">
        <v>200.0</v>
      </c>
      <c r="D8" s="340" t="s">
        <v>367</v>
      </c>
      <c r="E8" s="430" t="s">
        <v>368</v>
      </c>
      <c r="F8" s="429" t="s">
        <v>369</v>
      </c>
      <c r="G8" s="429" t="s">
        <v>362</v>
      </c>
      <c r="H8" s="431" t="s">
        <v>57</v>
      </c>
      <c r="I8" s="431"/>
    </row>
    <row r="9">
      <c r="A9" s="348" t="s">
        <v>310</v>
      </c>
      <c r="B9" s="429" t="s">
        <v>364</v>
      </c>
      <c r="C9" s="437">
        <f t="shared" ref="C9:C10" si="1">200</f>
        <v>200</v>
      </c>
      <c r="D9" s="340" t="s">
        <v>367</v>
      </c>
      <c r="E9" s="430" t="s">
        <v>368</v>
      </c>
      <c r="F9" s="429" t="s">
        <v>370</v>
      </c>
      <c r="G9" s="429" t="s">
        <v>362</v>
      </c>
      <c r="H9" s="431" t="s">
        <v>57</v>
      </c>
      <c r="I9" s="431"/>
    </row>
    <row r="10">
      <c r="A10" s="337" t="s">
        <v>60</v>
      </c>
      <c r="B10" s="429" t="s">
        <v>364</v>
      </c>
      <c r="C10" s="437">
        <f t="shared" si="1"/>
        <v>200</v>
      </c>
      <c r="D10" s="340" t="s">
        <v>367</v>
      </c>
      <c r="E10" s="430" t="s">
        <v>368</v>
      </c>
      <c r="F10" s="429" t="s">
        <v>370</v>
      </c>
      <c r="G10" s="429" t="s">
        <v>362</v>
      </c>
      <c r="H10" s="431" t="s">
        <v>57</v>
      </c>
      <c r="I10" s="431"/>
    </row>
    <row r="11">
      <c r="A11" s="337" t="s">
        <v>312</v>
      </c>
      <c r="B11" s="429" t="s">
        <v>358</v>
      </c>
      <c r="C11" s="437">
        <f>900</f>
        <v>900</v>
      </c>
      <c r="D11" s="340" t="s">
        <v>367</v>
      </c>
      <c r="E11" s="430" t="s">
        <v>368</v>
      </c>
      <c r="F11" s="429" t="s">
        <v>370</v>
      </c>
      <c r="G11" s="429" t="s">
        <v>362</v>
      </c>
      <c r="H11" s="431" t="s">
        <v>57</v>
      </c>
      <c r="I11" s="431"/>
    </row>
    <row r="12">
      <c r="A12" s="438" t="s">
        <v>313</v>
      </c>
      <c r="B12" s="429" t="s">
        <v>358</v>
      </c>
      <c r="C12" s="439">
        <f>500</f>
        <v>500</v>
      </c>
      <c r="D12" s="440" t="s">
        <v>367</v>
      </c>
      <c r="E12" s="441" t="s">
        <v>368</v>
      </c>
      <c r="F12" s="442" t="s">
        <v>370</v>
      </c>
      <c r="G12" s="442" t="s">
        <v>362</v>
      </c>
      <c r="H12" s="443" t="s">
        <v>57</v>
      </c>
      <c r="I12" s="443"/>
    </row>
    <row r="13">
      <c r="A13" s="444" t="s">
        <v>369</v>
      </c>
      <c r="B13" s="445"/>
      <c r="C13" s="446">
        <f>sumif($F$4:$F$12,"Credit Card",$C$4:$C$12)</f>
        <v>3200</v>
      </c>
      <c r="D13" s="447"/>
      <c r="E13" s="445"/>
      <c r="F13" s="445"/>
      <c r="G13" s="445"/>
      <c r="H13" s="445"/>
      <c r="I13" s="448"/>
    </row>
    <row r="14">
      <c r="A14" s="449" t="s">
        <v>371</v>
      </c>
      <c r="B14" s="448"/>
      <c r="C14" s="446">
        <f>sumif($F$4:$F$12,"Bill",$C$4:$C$12)</f>
        <v>4850</v>
      </c>
      <c r="E14" s="449"/>
      <c r="F14" s="448"/>
      <c r="G14" s="448"/>
      <c r="H14" s="448"/>
      <c r="I14" s="448"/>
    </row>
    <row r="15">
      <c r="A15" s="449" t="s">
        <v>351</v>
      </c>
      <c r="B15" s="448"/>
      <c r="C15" s="446">
        <f>sumif($F$4:$F$12,"Investment",$C$4:$C$12)</f>
        <v>0</v>
      </c>
      <c r="E15" s="450"/>
      <c r="F15" s="448"/>
      <c r="G15" s="448"/>
      <c r="H15" s="448"/>
      <c r="I15" s="448"/>
    </row>
    <row r="16">
      <c r="A16" s="449" t="s">
        <v>370</v>
      </c>
      <c r="B16" s="448"/>
      <c r="C16" s="446">
        <f>sumif($F$4:$F$12,"Loan",$C$4:$C$12)</f>
        <v>1800</v>
      </c>
      <c r="E16" s="450"/>
      <c r="F16" s="448"/>
      <c r="G16" s="448"/>
      <c r="H16" s="448"/>
      <c r="I16" s="448"/>
    </row>
    <row r="17">
      <c r="A17" s="449" t="s">
        <v>372</v>
      </c>
      <c r="B17" s="448"/>
      <c r="C17" s="446">
        <f>sum(5500)</f>
        <v>5500</v>
      </c>
      <c r="D17" s="451"/>
      <c r="E17" s="432"/>
      <c r="F17" s="448"/>
      <c r="G17" s="448"/>
      <c r="H17" s="448"/>
      <c r="I17" s="448"/>
    </row>
    <row r="18">
      <c r="A18" s="449" t="s">
        <v>322</v>
      </c>
      <c r="B18" s="448"/>
      <c r="C18" s="452">
        <f>sum(C4:C12)</f>
        <v>10050</v>
      </c>
      <c r="D18" s="451"/>
      <c r="E18" s="432"/>
      <c r="F18" s="448"/>
      <c r="G18" s="448"/>
      <c r="H18" s="448"/>
      <c r="I18" s="448"/>
    </row>
    <row r="19">
      <c r="A19" s="449" t="s">
        <v>373</v>
      </c>
      <c r="B19" s="448"/>
      <c r="C19" s="453">
        <f>BUDGET!BU13-C18</f>
        <v>2050</v>
      </c>
      <c r="D19" s="451"/>
      <c r="E19" s="432"/>
      <c r="F19" s="448"/>
      <c r="G19" s="448"/>
      <c r="H19" s="448"/>
      <c r="I19" s="448"/>
    </row>
    <row r="20">
      <c r="A20" s="449"/>
      <c r="B20" s="432"/>
      <c r="C20" s="432"/>
      <c r="D20" s="434"/>
      <c r="E20" s="432"/>
      <c r="F20" s="448"/>
      <c r="G20" s="432"/>
      <c r="H20" s="432"/>
      <c r="I20" s="432"/>
    </row>
    <row r="21">
      <c r="A21" s="426" t="s">
        <v>374</v>
      </c>
      <c r="B21" s="427"/>
      <c r="C21" s="428"/>
      <c r="H21" s="428"/>
      <c r="I21" s="428"/>
    </row>
    <row r="22" ht="15.0" customHeight="1">
      <c r="A22" s="354" t="s">
        <v>313</v>
      </c>
      <c r="B22" s="429" t="s">
        <v>364</v>
      </c>
      <c r="C22" s="340">
        <f>370</f>
        <v>370</v>
      </c>
      <c r="D22" s="340" t="str">
        <f>LIABILITIES!C15</f>
        <v/>
      </c>
      <c r="E22" s="430" t="s">
        <v>368</v>
      </c>
      <c r="F22" s="429" t="s">
        <v>370</v>
      </c>
      <c r="G22" s="429" t="s">
        <v>375</v>
      </c>
      <c r="H22" s="431" t="s">
        <v>59</v>
      </c>
      <c r="I22" s="431"/>
    </row>
    <row r="23">
      <c r="A23" s="434" t="s">
        <v>365</v>
      </c>
      <c r="B23" s="429" t="s">
        <v>364</v>
      </c>
      <c r="C23" s="433">
        <v>0.0</v>
      </c>
      <c r="D23" s="340"/>
      <c r="E23" s="430" t="s">
        <v>360</v>
      </c>
      <c r="F23" s="429" t="s">
        <v>93</v>
      </c>
      <c r="G23" s="429" t="s">
        <v>362</v>
      </c>
      <c r="H23" s="431" t="s">
        <v>57</v>
      </c>
      <c r="I23" s="431"/>
    </row>
    <row r="24" ht="15.0" customHeight="1">
      <c r="A24" s="354" t="s">
        <v>376</v>
      </c>
      <c r="B24" s="429" t="s">
        <v>364</v>
      </c>
      <c r="C24" s="340">
        <v>1500.0</v>
      </c>
      <c r="D24" s="340" t="str">
        <f>LIABILITIES!C13</f>
        <v/>
      </c>
      <c r="E24" s="430" t="s">
        <v>368</v>
      </c>
      <c r="F24" s="429" t="s">
        <v>369</v>
      </c>
      <c r="G24" s="429" t="s">
        <v>375</v>
      </c>
      <c r="H24" s="431" t="s">
        <v>59</v>
      </c>
      <c r="I24" s="431"/>
    </row>
    <row r="25">
      <c r="A25" s="454" t="s">
        <v>312</v>
      </c>
      <c r="B25" s="429" t="s">
        <v>364</v>
      </c>
      <c r="C25" s="455">
        <v>960.0</v>
      </c>
      <c r="D25" s="440" t="str">
        <f>LIABILITIES!C14</f>
        <v/>
      </c>
      <c r="E25" s="441" t="s">
        <v>368</v>
      </c>
      <c r="F25" s="442" t="s">
        <v>370</v>
      </c>
      <c r="G25" s="442" t="s">
        <v>362</v>
      </c>
      <c r="H25" s="443" t="s">
        <v>57</v>
      </c>
      <c r="I25" s="443"/>
    </row>
    <row r="26">
      <c r="A26" s="456" t="s">
        <v>377</v>
      </c>
      <c r="B26" s="445"/>
      <c r="C26" s="457">
        <f>sum(C24)</f>
        <v>1500</v>
      </c>
      <c r="D26" s="447"/>
      <c r="E26" s="445"/>
      <c r="F26" s="445"/>
      <c r="G26" s="445"/>
      <c r="H26" s="445"/>
      <c r="I26" s="448"/>
    </row>
    <row r="27">
      <c r="A27" s="458" t="s">
        <v>371</v>
      </c>
      <c r="B27" s="448"/>
      <c r="C27" s="446"/>
      <c r="D27" s="451"/>
      <c r="E27" s="448"/>
      <c r="F27" s="448"/>
      <c r="G27" s="448"/>
      <c r="H27" s="448"/>
      <c r="I27" s="448"/>
    </row>
    <row r="28">
      <c r="A28" s="458" t="s">
        <v>351</v>
      </c>
      <c r="B28" s="448"/>
      <c r="C28" s="446"/>
      <c r="D28" s="451"/>
      <c r="E28" s="448"/>
      <c r="F28" s="448"/>
      <c r="G28" s="448"/>
      <c r="H28" s="448"/>
      <c r="I28" s="448"/>
    </row>
    <row r="29">
      <c r="A29" s="458" t="s">
        <v>378</v>
      </c>
      <c r="B29" s="448"/>
      <c r="C29" s="459">
        <v>0.0</v>
      </c>
      <c r="D29" s="451"/>
      <c r="E29" s="460"/>
      <c r="F29" s="448"/>
      <c r="G29" s="448"/>
      <c r="H29" s="448"/>
      <c r="I29" s="448"/>
    </row>
    <row r="30">
      <c r="A30" s="449" t="s">
        <v>322</v>
      </c>
      <c r="B30" s="448"/>
      <c r="C30" s="446">
        <f>sum(C22:C25)</f>
        <v>2830</v>
      </c>
      <c r="D30" s="451"/>
      <c r="E30" s="461"/>
      <c r="F30" s="459"/>
      <c r="G30" s="448"/>
      <c r="H30" s="448"/>
      <c r="I30" s="448"/>
    </row>
    <row r="31">
      <c r="A31" s="108" t="s">
        <v>195</v>
      </c>
      <c r="C31" s="120">
        <f>BUDGET!BR13/2</f>
        <v>31050</v>
      </c>
      <c r="D31" s="462"/>
      <c r="E31" s="463"/>
      <c r="F31" s="464"/>
    </row>
    <row r="32">
      <c r="A32" s="108" t="s">
        <v>379</v>
      </c>
      <c r="C32" s="120">
        <f>C31-C30</f>
        <v>28220</v>
      </c>
      <c r="D32" s="462"/>
      <c r="E32" s="463"/>
      <c r="F32" s="464"/>
    </row>
    <row r="33">
      <c r="A33" s="111"/>
      <c r="D33" s="462"/>
      <c r="E33" s="463"/>
      <c r="F33" s="465"/>
    </row>
    <row r="34">
      <c r="A34" s="108"/>
      <c r="D34" s="462"/>
      <c r="E34" s="466"/>
      <c r="F34" s="467"/>
    </row>
    <row r="35">
      <c r="A35" s="108"/>
      <c r="D35" s="462"/>
      <c r="E35" s="468"/>
      <c r="F35" s="469"/>
    </row>
    <row r="36">
      <c r="A36" s="108"/>
      <c r="D36" s="462"/>
      <c r="E36" s="470"/>
      <c r="F36" s="469"/>
    </row>
    <row r="37">
      <c r="A37" s="108"/>
      <c r="D37" s="462"/>
      <c r="E37" s="470"/>
      <c r="F37" s="469"/>
    </row>
    <row r="38">
      <c r="A38" s="426" t="s">
        <v>380</v>
      </c>
      <c r="B38" s="427"/>
      <c r="C38" s="428"/>
      <c r="H38" s="428"/>
      <c r="I38" s="428"/>
    </row>
    <row r="39">
      <c r="A39" s="471" t="s">
        <v>381</v>
      </c>
      <c r="B39" s="429" t="s">
        <v>366</v>
      </c>
      <c r="C39" s="433">
        <v>5000.0</v>
      </c>
      <c r="D39" s="471" t="s">
        <v>382</v>
      </c>
      <c r="E39" s="470"/>
      <c r="F39" s="469"/>
    </row>
    <row r="40">
      <c r="A40" s="471" t="s">
        <v>383</v>
      </c>
      <c r="B40" s="429" t="s">
        <v>366</v>
      </c>
      <c r="C40" s="472">
        <f>sum(16584,15000)</f>
        <v>31584</v>
      </c>
      <c r="D40" s="471" t="s">
        <v>384</v>
      </c>
      <c r="E40" s="470"/>
      <c r="F40" s="469"/>
    </row>
    <row r="41">
      <c r="A41" s="471" t="s">
        <v>385</v>
      </c>
      <c r="B41" s="429" t="s">
        <v>366</v>
      </c>
      <c r="C41" s="472">
        <f>sum(2500,2000)</f>
        <v>4500</v>
      </c>
      <c r="D41" s="471" t="s">
        <v>386</v>
      </c>
      <c r="E41" s="470"/>
      <c r="F41" s="469"/>
    </row>
    <row r="42">
      <c r="A42" s="471" t="s">
        <v>387</v>
      </c>
      <c r="B42" s="429" t="s">
        <v>366</v>
      </c>
      <c r="C42" s="433">
        <v>13576.0</v>
      </c>
      <c r="D42" s="471" t="s">
        <v>384</v>
      </c>
      <c r="E42" s="470"/>
      <c r="F42" s="469"/>
    </row>
    <row r="43">
      <c r="A43" s="471" t="s">
        <v>388</v>
      </c>
      <c r="B43" s="429" t="s">
        <v>366</v>
      </c>
      <c r="C43" s="433">
        <v>7789.0</v>
      </c>
      <c r="D43" s="471" t="s">
        <v>389</v>
      </c>
      <c r="E43" s="470"/>
      <c r="F43" s="469"/>
    </row>
    <row r="44">
      <c r="A44" s="471" t="s">
        <v>390</v>
      </c>
      <c r="B44" s="429" t="s">
        <v>366</v>
      </c>
      <c r="C44" s="433">
        <v>20000.0</v>
      </c>
      <c r="D44" s="471" t="s">
        <v>384</v>
      </c>
      <c r="E44" s="470"/>
      <c r="F44" s="469"/>
    </row>
    <row r="45">
      <c r="A45" s="108"/>
      <c r="D45" s="462"/>
      <c r="E45" s="470"/>
      <c r="F45" s="469"/>
    </row>
    <row r="46">
      <c r="A46" s="449" t="s">
        <v>322</v>
      </c>
      <c r="B46" s="448"/>
      <c r="C46" s="446">
        <f>sum(C39:C45)</f>
        <v>82449</v>
      </c>
      <c r="D46" s="462"/>
      <c r="E46" s="473"/>
      <c r="F46" s="474"/>
    </row>
    <row r="47">
      <c r="A47" s="108" t="s">
        <v>373</v>
      </c>
      <c r="C47" s="475">
        <f>100000-C46</f>
        <v>17551</v>
      </c>
      <c r="D47" s="462"/>
      <c r="E47" s="476"/>
      <c r="F47" s="469"/>
      <c r="G47" s="113"/>
    </row>
    <row r="48">
      <c r="A48" s="108"/>
      <c r="D48" s="462"/>
      <c r="E48" s="476"/>
      <c r="F48" s="469"/>
    </row>
    <row r="49">
      <c r="A49" s="108"/>
      <c r="D49" s="462"/>
      <c r="E49" s="470"/>
      <c r="F49" s="469"/>
    </row>
    <row r="50">
      <c r="A50" s="108"/>
      <c r="D50" s="462"/>
      <c r="E50" s="470" t="s">
        <v>391</v>
      </c>
      <c r="F50" s="469"/>
    </row>
    <row r="51">
      <c r="A51" s="108"/>
      <c r="D51" s="462"/>
      <c r="E51" s="476">
        <v>4000.0</v>
      </c>
      <c r="F51" s="469" t="s">
        <v>392</v>
      </c>
    </row>
    <row r="52">
      <c r="A52" s="108"/>
      <c r="D52" s="462"/>
      <c r="E52" s="476">
        <v>5000.0</v>
      </c>
      <c r="F52" s="469" t="s">
        <v>393</v>
      </c>
    </row>
    <row r="53">
      <c r="A53" s="108"/>
      <c r="D53" s="462"/>
      <c r="E53" s="476"/>
      <c r="F53" s="469"/>
    </row>
    <row r="54">
      <c r="A54" s="108"/>
      <c r="D54" s="462"/>
      <c r="E54" s="470"/>
      <c r="F54" s="469"/>
    </row>
    <row r="55">
      <c r="A55" s="108"/>
      <c r="D55" s="462"/>
      <c r="E55" s="470"/>
      <c r="F55" s="469"/>
    </row>
    <row r="56">
      <c r="A56" s="108"/>
      <c r="D56" s="462"/>
      <c r="E56" s="476">
        <f>sum(E51:E52)</f>
        <v>9000</v>
      </c>
      <c r="F56" s="469"/>
    </row>
    <row r="57">
      <c r="A57" s="108"/>
      <c r="D57" s="477">
        <v>16000.0</v>
      </c>
      <c r="E57" s="476">
        <f>D57-E56</f>
        <v>7000</v>
      </c>
      <c r="F57" s="469"/>
    </row>
    <row r="58">
      <c r="A58" s="108"/>
      <c r="D58" s="462"/>
      <c r="E58" s="470"/>
      <c r="F58" s="469"/>
    </row>
    <row r="59">
      <c r="A59" s="108"/>
      <c r="D59" s="462"/>
      <c r="E59" s="470"/>
      <c r="F59" s="469"/>
    </row>
  </sheetData>
  <mergeCells count="3">
    <mergeCell ref="C3:G3"/>
    <mergeCell ref="C21:G21"/>
    <mergeCell ref="C38:G38"/>
  </mergeCells>
  <conditionalFormatting sqref="E4:E12 E22:E25">
    <cfRule type="cellIs" dxfId="5" priority="1" operator="equal">
      <formula>"Automated"</formula>
    </cfRule>
  </conditionalFormatting>
  <conditionalFormatting sqref="E4:E12 E22:E25">
    <cfRule type="cellIs" dxfId="6" priority="2" operator="equal">
      <formula>"Manual"</formula>
    </cfRule>
  </conditionalFormatting>
  <conditionalFormatting sqref="C32">
    <cfRule type="cellIs" dxfId="7" priority="3" operator="greaterThan">
      <formula>0</formula>
    </cfRule>
  </conditionalFormatting>
  <dataValidations>
    <dataValidation type="list" allowBlank="1" sqref="E4:E12 E22:E25">
      <formula1>"Manual,Automated"</formula1>
    </dataValidation>
    <dataValidation type="list" allowBlank="1" sqref="F4:F12 F22:F25">
      <formula1>"Bill,Loan,Cash,Investment,Savings,Credit Card"</formula1>
    </dataValidation>
    <dataValidation type="list" allowBlank="1" sqref="G4:G12 G22:G25">
      <formula1>"Week 1-2,Week 2-4"</formula1>
    </dataValidation>
    <dataValidation type="list" allowBlank="1" sqref="B4:B12 B22:B25 B39:B44">
      <formula1>"Scheduled,Paused,Paid,Attention"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88"/>
    <col customWidth="1" min="2" max="2" width="16.13"/>
    <col customWidth="1" min="3" max="3" width="19.88"/>
    <col customWidth="1" min="4" max="4" width="16.13"/>
    <col customWidth="1" min="5" max="5" width="13.25"/>
    <col customWidth="1" min="6" max="6" width="14.25"/>
    <col customWidth="1" min="7" max="7" width="16.63"/>
    <col customWidth="1" min="8" max="8" width="15.88"/>
    <col customWidth="1" min="9" max="9" width="18.13"/>
    <col customWidth="1" min="10" max="10" width="16.38"/>
    <col customWidth="1" min="11" max="11" width="13.88"/>
    <col customWidth="1" min="12" max="12" width="34.88"/>
  </cols>
  <sheetData>
    <row r="1" ht="12.75" customHeight="1">
      <c r="A1" s="478" t="s">
        <v>394</v>
      </c>
      <c r="B1" s="479"/>
      <c r="C1" s="479"/>
      <c r="D1" s="479"/>
      <c r="E1" s="479"/>
      <c r="F1" s="479"/>
      <c r="G1" s="480"/>
      <c r="H1" s="481"/>
      <c r="I1" s="481"/>
      <c r="J1" s="481"/>
      <c r="K1" s="481"/>
      <c r="L1" s="482"/>
    </row>
    <row r="2">
      <c r="A2" s="483" t="s">
        <v>395</v>
      </c>
      <c r="B2" s="483" t="s">
        <v>355</v>
      </c>
      <c r="C2" s="483" t="s">
        <v>395</v>
      </c>
      <c r="D2" s="483" t="s">
        <v>396</v>
      </c>
      <c r="E2" s="483" t="s">
        <v>397</v>
      </c>
      <c r="F2" s="483" t="s">
        <v>398</v>
      </c>
      <c r="G2" s="483" t="s">
        <v>399</v>
      </c>
      <c r="H2" s="483" t="s">
        <v>400</v>
      </c>
      <c r="I2" s="483" t="s">
        <v>401</v>
      </c>
      <c r="J2" s="483" t="s">
        <v>402</v>
      </c>
      <c r="K2" s="483" t="s">
        <v>403</v>
      </c>
      <c r="L2" s="483" t="s">
        <v>404</v>
      </c>
    </row>
    <row r="3" ht="16.5" customHeight="1">
      <c r="A3" s="484" t="s">
        <v>405</v>
      </c>
      <c r="B3" s="485"/>
      <c r="C3" s="486"/>
      <c r="D3" s="486"/>
      <c r="E3" s="485"/>
      <c r="F3" s="487"/>
      <c r="G3" s="488"/>
      <c r="H3" s="489"/>
      <c r="I3" s="488"/>
      <c r="J3" s="488"/>
      <c r="K3" s="489"/>
      <c r="L3" s="490"/>
    </row>
    <row r="4">
      <c r="A4" s="491" t="s">
        <v>406</v>
      </c>
      <c r="B4" s="492"/>
      <c r="C4" s="492" t="s">
        <v>407</v>
      </c>
      <c r="D4" s="492" t="s">
        <v>408</v>
      </c>
      <c r="E4" s="493" t="s">
        <v>359</v>
      </c>
      <c r="F4" s="494">
        <v>0.0</v>
      </c>
      <c r="G4" s="495">
        <v>50.0</v>
      </c>
      <c r="H4" s="496">
        <f t="shared" ref="H4:H6" si="1">IF(G4&gt;0,G4/SUM($G$4:$G$6), "")</f>
        <v>0.03846153846</v>
      </c>
      <c r="I4" s="497">
        <v>10000.0</v>
      </c>
      <c r="J4" s="498"/>
      <c r="K4" s="499"/>
      <c r="L4" s="500"/>
    </row>
    <row r="5">
      <c r="A5" s="491" t="s">
        <v>409</v>
      </c>
      <c r="B5" s="492"/>
      <c r="C5" s="492" t="s">
        <v>410</v>
      </c>
      <c r="D5" s="492" t="s">
        <v>408</v>
      </c>
      <c r="E5" s="493" t="s">
        <v>359</v>
      </c>
      <c r="F5" s="494">
        <v>0.0</v>
      </c>
      <c r="G5" s="495">
        <v>50.0</v>
      </c>
      <c r="H5" s="496">
        <f t="shared" si="1"/>
        <v>0.03846153846</v>
      </c>
      <c r="I5" s="497">
        <v>30000.0</v>
      </c>
      <c r="J5" s="498"/>
      <c r="K5" s="499"/>
      <c r="L5" s="500"/>
    </row>
    <row r="6">
      <c r="A6" s="491" t="s">
        <v>411</v>
      </c>
      <c r="B6" s="493"/>
      <c r="C6" s="501" t="s">
        <v>412</v>
      </c>
      <c r="D6" s="492" t="s">
        <v>408</v>
      </c>
      <c r="E6" s="493" t="s">
        <v>359</v>
      </c>
      <c r="F6" s="494">
        <v>1200.0</v>
      </c>
      <c r="G6" s="495">
        <f>F6</f>
        <v>1200</v>
      </c>
      <c r="H6" s="496">
        <f t="shared" si="1"/>
        <v>0.9230769231</v>
      </c>
      <c r="I6" s="497">
        <v>20000.0</v>
      </c>
      <c r="J6" s="498"/>
      <c r="K6" s="499"/>
      <c r="L6" s="500"/>
    </row>
    <row r="7">
      <c r="A7" s="502"/>
      <c r="B7" s="503"/>
      <c r="C7" s="503"/>
      <c r="D7" s="503"/>
      <c r="E7" s="503"/>
      <c r="F7" s="504">
        <f t="shared" ref="F7:G7" si="2">SUM(F4:F6)</f>
        <v>1200</v>
      </c>
      <c r="G7" s="504">
        <f t="shared" si="2"/>
        <v>1300</v>
      </c>
      <c r="H7" s="505">
        <f>SUBTOTAL(109,H$4:H$6)</f>
        <v>1</v>
      </c>
      <c r="I7" s="506">
        <f>sum(I4:I6 )</f>
        <v>60000</v>
      </c>
      <c r="J7" s="504"/>
      <c r="K7" s="507"/>
      <c r="L7" s="508"/>
    </row>
    <row r="8" ht="15.0" customHeight="1">
      <c r="A8" s="509" t="s">
        <v>413</v>
      </c>
      <c r="B8" s="510"/>
      <c r="C8" s="510"/>
      <c r="D8" s="510"/>
      <c r="E8" s="510"/>
      <c r="F8" s="511"/>
      <c r="G8" s="511"/>
      <c r="H8" s="512"/>
      <c r="I8" s="511"/>
      <c r="J8" s="511"/>
      <c r="K8" s="512"/>
      <c r="L8" s="513"/>
    </row>
    <row r="9" ht="15.0" customHeight="1">
      <c r="A9" s="514" t="s">
        <v>414</v>
      </c>
      <c r="B9" s="515" t="s">
        <v>415</v>
      </c>
      <c r="C9" s="516" t="s">
        <v>416</v>
      </c>
      <c r="D9" s="516" t="s">
        <v>254</v>
      </c>
      <c r="E9" s="516">
        <v>0.0</v>
      </c>
      <c r="F9" s="498">
        <f>sum(50000,65000,10000,6000,70000,100000)</f>
        <v>301000</v>
      </c>
      <c r="G9" s="498">
        <f>35000000*0.34</f>
        <v>11900000</v>
      </c>
      <c r="H9" s="517">
        <f t="shared" ref="H9:H17" si="3">if(G9&gt;0,G9/sum($G$9:$G$17),"")</f>
        <v>0.9720629119</v>
      </c>
      <c r="I9" s="518">
        <f t="shared" ref="I9:I10" si="4">G9</f>
        <v>11900000</v>
      </c>
      <c r="J9" s="519"/>
      <c r="K9" s="496"/>
      <c r="L9" s="520"/>
    </row>
    <row r="10" ht="15.0" customHeight="1">
      <c r="A10" s="514" t="s">
        <v>417</v>
      </c>
      <c r="B10" s="521" t="s">
        <v>415</v>
      </c>
      <c r="C10" s="516" t="s">
        <v>416</v>
      </c>
      <c r="D10" s="516" t="s">
        <v>254</v>
      </c>
      <c r="E10" s="516">
        <v>10000.0</v>
      </c>
      <c r="F10" s="519">
        <f>E10*34</f>
        <v>340000</v>
      </c>
      <c r="G10" s="519">
        <f>F10</f>
        <v>340000</v>
      </c>
      <c r="H10" s="517">
        <f t="shared" si="3"/>
        <v>0.02777322605</v>
      </c>
      <c r="I10" s="518">
        <f t="shared" si="4"/>
        <v>340000</v>
      </c>
      <c r="J10" s="519"/>
      <c r="K10" s="496"/>
      <c r="L10" s="520"/>
    </row>
    <row r="11" ht="15.0" customHeight="1">
      <c r="A11" s="522" t="s">
        <v>418</v>
      </c>
      <c r="B11" s="521" t="s">
        <v>415</v>
      </c>
      <c r="C11" s="516" t="s">
        <v>416</v>
      </c>
      <c r="D11" s="516" t="s">
        <v>419</v>
      </c>
      <c r="E11" s="516">
        <v>34.0</v>
      </c>
      <c r="F11" s="519">
        <f>E11*100</f>
        <v>3400</v>
      </c>
      <c r="G11" s="519">
        <v>1.0</v>
      </c>
      <c r="H11" s="517">
        <f t="shared" si="3"/>
        <v>0.00000008168595898</v>
      </c>
      <c r="I11" s="518">
        <v>50000.0</v>
      </c>
      <c r="J11" s="519"/>
      <c r="K11" s="496"/>
      <c r="L11" s="520"/>
    </row>
    <row r="12">
      <c r="A12" s="349" t="s">
        <v>420</v>
      </c>
      <c r="B12" s="521" t="s">
        <v>421</v>
      </c>
      <c r="C12" s="516" t="s">
        <v>416</v>
      </c>
      <c r="D12" s="516" t="s">
        <v>419</v>
      </c>
      <c r="E12" s="523">
        <v>0.0</v>
      </c>
      <c r="F12" s="519">
        <v>2000.0</v>
      </c>
      <c r="G12" s="519">
        <v>1.0</v>
      </c>
      <c r="H12" s="517">
        <f t="shared" si="3"/>
        <v>0.00000008168595898</v>
      </c>
      <c r="I12" s="518">
        <v>100000.0</v>
      </c>
      <c r="J12" s="524"/>
      <c r="K12" s="525"/>
      <c r="L12" s="526"/>
    </row>
    <row r="13" ht="15.0" customHeight="1">
      <c r="A13" s="514" t="s">
        <v>422</v>
      </c>
      <c r="B13" s="521" t="s">
        <v>415</v>
      </c>
      <c r="C13" s="516" t="s">
        <v>416</v>
      </c>
      <c r="D13" s="516" t="s">
        <v>419</v>
      </c>
      <c r="E13" s="523">
        <v>0.0</v>
      </c>
      <c r="F13" s="519">
        <f>sum(10000,10000,5000,500)</f>
        <v>25500</v>
      </c>
      <c r="G13" s="519">
        <v>2000.0</v>
      </c>
      <c r="H13" s="517">
        <f t="shared" si="3"/>
        <v>0.000163371918</v>
      </c>
      <c r="I13" s="518">
        <v>100000.0</v>
      </c>
      <c r="J13" s="519"/>
      <c r="K13" s="496"/>
      <c r="L13" s="520"/>
    </row>
    <row r="14" ht="15.0" customHeight="1">
      <c r="A14" s="527" t="s">
        <v>423</v>
      </c>
      <c r="B14" s="521" t="s">
        <v>415</v>
      </c>
      <c r="C14" s="516" t="s">
        <v>416</v>
      </c>
      <c r="D14" s="516" t="s">
        <v>424</v>
      </c>
      <c r="E14" s="523">
        <v>0.0</v>
      </c>
      <c r="F14" s="528">
        <v>10000.0</v>
      </c>
      <c r="G14" s="519">
        <v>1.0</v>
      </c>
      <c r="H14" s="517">
        <f t="shared" si="3"/>
        <v>0.00000008168595898</v>
      </c>
      <c r="I14" s="519">
        <f t="shared" ref="I14:I17" si="5">F14*2.5</f>
        <v>25000</v>
      </c>
      <c r="J14" s="519"/>
      <c r="K14" s="496"/>
      <c r="L14" s="520"/>
    </row>
    <row r="15">
      <c r="A15" s="527" t="s">
        <v>425</v>
      </c>
      <c r="B15" s="521" t="s">
        <v>415</v>
      </c>
      <c r="C15" s="516" t="s">
        <v>416</v>
      </c>
      <c r="D15" s="516" t="s">
        <v>424</v>
      </c>
      <c r="E15" s="523">
        <v>0.0</v>
      </c>
      <c r="F15" s="528">
        <v>5000.0</v>
      </c>
      <c r="G15" s="519">
        <v>1.0</v>
      </c>
      <c r="H15" s="517">
        <f t="shared" si="3"/>
        <v>0.00000008168595898</v>
      </c>
      <c r="I15" s="519">
        <f t="shared" si="5"/>
        <v>12500</v>
      </c>
      <c r="J15" s="519"/>
      <c r="K15" s="496"/>
      <c r="L15" s="520"/>
    </row>
    <row r="16">
      <c r="A16" s="527" t="s">
        <v>426</v>
      </c>
      <c r="B16" s="521" t="s">
        <v>415</v>
      </c>
      <c r="C16" s="516" t="s">
        <v>416</v>
      </c>
      <c r="D16" s="516" t="s">
        <v>424</v>
      </c>
      <c r="E16" s="523">
        <v>0.0</v>
      </c>
      <c r="F16" s="528">
        <v>5000.0</v>
      </c>
      <c r="G16" s="519">
        <v>1.0</v>
      </c>
      <c r="H16" s="517">
        <f t="shared" si="3"/>
        <v>0.00000008168595898</v>
      </c>
      <c r="I16" s="519">
        <f t="shared" si="5"/>
        <v>12500</v>
      </c>
      <c r="J16" s="519"/>
      <c r="K16" s="496"/>
      <c r="L16" s="520"/>
    </row>
    <row r="17">
      <c r="A17" s="527" t="s">
        <v>427</v>
      </c>
      <c r="B17" s="521" t="s">
        <v>415</v>
      </c>
      <c r="C17" s="516" t="s">
        <v>416</v>
      </c>
      <c r="D17" s="516" t="s">
        <v>424</v>
      </c>
      <c r="E17" s="523">
        <v>0.0</v>
      </c>
      <c r="F17" s="528">
        <v>10000.0</v>
      </c>
      <c r="G17" s="519">
        <v>1.0</v>
      </c>
      <c r="H17" s="517">
        <f t="shared" si="3"/>
        <v>0.00000008168595898</v>
      </c>
      <c r="I17" s="519">
        <f t="shared" si="5"/>
        <v>25000</v>
      </c>
      <c r="J17" s="519"/>
      <c r="K17" s="496"/>
      <c r="L17" s="520"/>
    </row>
    <row r="18">
      <c r="A18" s="502"/>
      <c r="B18" s="503"/>
      <c r="C18" s="503"/>
      <c r="D18" s="503"/>
      <c r="E18" s="503"/>
      <c r="F18" s="506">
        <f t="shared" ref="F18:I18" si="6">sum(F9:F17 )</f>
        <v>701900</v>
      </c>
      <c r="G18" s="506">
        <f t="shared" si="6"/>
        <v>12242006</v>
      </c>
      <c r="H18" s="505">
        <f t="shared" si="6"/>
        <v>1</v>
      </c>
      <c r="I18" s="506">
        <f t="shared" si="6"/>
        <v>12565000</v>
      </c>
      <c r="J18" s="504"/>
      <c r="K18" s="507"/>
      <c r="L18" s="508"/>
    </row>
    <row r="19">
      <c r="A19" s="529" t="s">
        <v>428</v>
      </c>
      <c r="B19" s="530"/>
      <c r="C19" s="530"/>
      <c r="D19" s="530"/>
      <c r="E19" s="530"/>
      <c r="F19" s="531"/>
      <c r="G19" s="531"/>
      <c r="H19" s="532"/>
      <c r="I19" s="531" t="str">
        <f>G19</f>
        <v/>
      </c>
      <c r="J19" s="531"/>
      <c r="K19" s="532"/>
      <c r="L19" s="533"/>
    </row>
    <row r="20">
      <c r="A20" s="349" t="s">
        <v>429</v>
      </c>
      <c r="B20" s="516"/>
      <c r="C20" s="516"/>
      <c r="D20" s="516"/>
      <c r="E20" s="516"/>
      <c r="F20" s="519"/>
      <c r="G20" s="519">
        <v>1.0</v>
      </c>
      <c r="H20" s="517">
        <f t="shared" ref="H20:H25" si="7">if(G20&gt;0,G20/sum($G$20:$G$25),"")</f>
        <v>0.1666666667</v>
      </c>
      <c r="I20" s="518">
        <v>1.0E7</v>
      </c>
      <c r="J20" s="519"/>
      <c r="K20" s="496"/>
      <c r="L20" s="520"/>
    </row>
    <row r="21">
      <c r="A21" s="349" t="s">
        <v>430</v>
      </c>
      <c r="B21" s="516"/>
      <c r="C21" s="516"/>
      <c r="D21" s="516"/>
      <c r="E21" s="516"/>
      <c r="F21" s="519"/>
      <c r="G21" s="519">
        <v>1.0</v>
      </c>
      <c r="H21" s="517">
        <f t="shared" si="7"/>
        <v>0.1666666667</v>
      </c>
      <c r="I21" s="518">
        <v>5000000.0</v>
      </c>
      <c r="J21" s="519"/>
      <c r="K21" s="496"/>
      <c r="L21" s="520"/>
    </row>
    <row r="22">
      <c r="A22" s="349" t="s">
        <v>37</v>
      </c>
      <c r="B22" s="516"/>
      <c r="D22" s="516"/>
      <c r="E22" s="516"/>
      <c r="F22" s="519"/>
      <c r="G22" s="519">
        <v>1.0</v>
      </c>
      <c r="H22" s="517">
        <f t="shared" si="7"/>
        <v>0.1666666667</v>
      </c>
      <c r="I22" s="518">
        <v>5000000.0</v>
      </c>
      <c r="J22" s="519"/>
      <c r="K22" s="496"/>
      <c r="L22" s="520"/>
    </row>
    <row r="23">
      <c r="A23" s="349" t="s">
        <v>431</v>
      </c>
      <c r="B23" s="516"/>
      <c r="C23" s="516"/>
      <c r="D23" s="516"/>
      <c r="E23" s="516"/>
      <c r="F23" s="519"/>
      <c r="G23" s="519">
        <v>1.0</v>
      </c>
      <c r="H23" s="517">
        <f t="shared" si="7"/>
        <v>0.1666666667</v>
      </c>
      <c r="I23" s="518">
        <v>500000.0</v>
      </c>
      <c r="J23" s="519"/>
      <c r="K23" s="496"/>
      <c r="L23" s="520"/>
    </row>
    <row r="24">
      <c r="A24" s="349" t="s">
        <v>432</v>
      </c>
      <c r="B24" s="516"/>
      <c r="C24" s="516"/>
      <c r="D24" s="516"/>
      <c r="E24" s="516"/>
      <c r="F24" s="519"/>
      <c r="G24" s="519">
        <v>1.0</v>
      </c>
      <c r="H24" s="517">
        <f t="shared" si="7"/>
        <v>0.1666666667</v>
      </c>
      <c r="I24" s="518">
        <v>500000.0</v>
      </c>
      <c r="J24" s="519"/>
      <c r="K24" s="496"/>
      <c r="L24" s="520"/>
    </row>
    <row r="25">
      <c r="A25" s="349" t="s">
        <v>433</v>
      </c>
      <c r="B25" s="516"/>
      <c r="C25" s="516"/>
      <c r="D25" s="516"/>
      <c r="E25" s="516"/>
      <c r="F25" s="519"/>
      <c r="G25" s="519">
        <v>1.0</v>
      </c>
      <c r="H25" s="517">
        <f t="shared" si="7"/>
        <v>0.1666666667</v>
      </c>
      <c r="I25" s="518">
        <v>1000000.0</v>
      </c>
      <c r="J25" s="519"/>
      <c r="K25" s="496"/>
      <c r="L25" s="520"/>
    </row>
    <row r="26">
      <c r="A26" s="534"/>
      <c r="B26" s="535"/>
      <c r="C26" s="535"/>
      <c r="D26" s="535"/>
      <c r="E26" s="535"/>
      <c r="F26" s="506">
        <v>0.0</v>
      </c>
      <c r="G26" s="506">
        <v>0.0</v>
      </c>
      <c r="H26" s="505">
        <f>sum(H19:H25 )</f>
        <v>1</v>
      </c>
      <c r="I26" s="506">
        <f>sum(I20:I25 )</f>
        <v>22000000</v>
      </c>
      <c r="J26" s="506"/>
      <c r="K26" s="505"/>
      <c r="L26" s="508"/>
    </row>
    <row r="27">
      <c r="A27" s="509" t="s">
        <v>434</v>
      </c>
      <c r="B27" s="510"/>
      <c r="C27" s="510"/>
      <c r="D27" s="510"/>
      <c r="E27" s="510"/>
      <c r="F27" s="511"/>
      <c r="G27" s="511"/>
      <c r="H27" s="512"/>
      <c r="I27" s="511"/>
      <c r="J27" s="511"/>
      <c r="K27" s="512"/>
      <c r="L27" s="513"/>
    </row>
    <row r="28">
      <c r="A28" s="461" t="s">
        <v>435</v>
      </c>
      <c r="B28" s="516"/>
      <c r="C28" s="516"/>
      <c r="D28" s="516"/>
      <c r="E28" s="536"/>
      <c r="F28" s="519"/>
      <c r="G28" s="519"/>
      <c r="H28" s="517"/>
      <c r="I28" s="519">
        <v>10000.0</v>
      </c>
      <c r="J28" s="519"/>
      <c r="K28" s="496"/>
      <c r="L28" s="537"/>
    </row>
    <row r="29">
      <c r="A29" s="538" t="s">
        <v>436</v>
      </c>
      <c r="B29" s="516"/>
      <c r="C29" s="516"/>
      <c r="D29" s="516"/>
      <c r="E29" s="536"/>
      <c r="F29" s="519"/>
      <c r="G29" s="519"/>
      <c r="H29" s="517"/>
      <c r="I29" s="519">
        <v>10000.0</v>
      </c>
      <c r="J29" s="519"/>
      <c r="K29" s="496"/>
      <c r="L29" s="537"/>
    </row>
    <row r="30">
      <c r="A30" s="502"/>
      <c r="B30" s="503"/>
      <c r="C30" s="503"/>
      <c r="D30" s="503"/>
      <c r="E30" s="503"/>
      <c r="F30" s="506">
        <f t="shared" ref="F30:G30" si="8">sum(F28:F29 )</f>
        <v>0</v>
      </c>
      <c r="G30" s="506">
        <f t="shared" si="8"/>
        <v>0</v>
      </c>
      <c r="H30" s="539">
        <f>SUBTOTAL(109,H$28:H$29)</f>
        <v>0</v>
      </c>
      <c r="I30" s="506">
        <f>sum(I28:I29 )</f>
        <v>20000</v>
      </c>
      <c r="J30" s="504"/>
      <c r="K30" s="507"/>
      <c r="L30" s="508"/>
    </row>
    <row r="31">
      <c r="A31" s="509" t="s">
        <v>437</v>
      </c>
      <c r="B31" s="510"/>
      <c r="C31" s="510"/>
      <c r="D31" s="510"/>
      <c r="E31" s="510"/>
      <c r="F31" s="511"/>
      <c r="G31" s="511"/>
      <c r="H31" s="512"/>
      <c r="I31" s="511"/>
      <c r="J31" s="511"/>
      <c r="K31" s="512"/>
      <c r="L31" s="513"/>
    </row>
    <row r="32">
      <c r="A32" s="349" t="s">
        <v>438</v>
      </c>
      <c r="B32" s="516" t="s">
        <v>439</v>
      </c>
      <c r="C32" s="516" t="s">
        <v>436</v>
      </c>
      <c r="D32" s="516"/>
      <c r="E32" s="516">
        <v>0.0</v>
      </c>
      <c r="F32" s="519">
        <v>1200.0</v>
      </c>
      <c r="G32" s="519">
        <v>1200.0</v>
      </c>
      <c r="H32" s="496">
        <f t="shared" ref="H32:H33" si="9">IF(G32&gt;0,G32/SUM($G$32:$G$33), "")</f>
        <v>1</v>
      </c>
      <c r="I32" s="519">
        <v>20000.0</v>
      </c>
      <c r="J32" s="519"/>
      <c r="K32" s="496"/>
      <c r="L32" s="520"/>
    </row>
    <row r="33">
      <c r="A33" s="349" t="s">
        <v>36</v>
      </c>
      <c r="B33" s="516" t="s">
        <v>439</v>
      </c>
      <c r="C33" s="516" t="s">
        <v>436</v>
      </c>
      <c r="D33" s="516"/>
      <c r="E33" s="516">
        <v>0.0</v>
      </c>
      <c r="F33" s="519">
        <v>0.0</v>
      </c>
      <c r="G33" s="519">
        <v>0.0</v>
      </c>
      <c r="H33" s="496" t="str">
        <f t="shared" si="9"/>
        <v/>
      </c>
      <c r="I33" s="519">
        <v>0.0</v>
      </c>
      <c r="J33" s="519"/>
      <c r="K33" s="496"/>
      <c r="L33" s="520"/>
    </row>
    <row r="34">
      <c r="A34" s="502"/>
      <c r="B34" s="503"/>
      <c r="C34" s="503"/>
      <c r="D34" s="503"/>
      <c r="E34" s="503"/>
      <c r="F34" s="504">
        <f t="shared" ref="F34:G34" si="10">sum(F32:F33 )</f>
        <v>1200</v>
      </c>
      <c r="G34" s="506">
        <f t="shared" si="10"/>
        <v>1200</v>
      </c>
      <c r="H34" s="505">
        <f>SUBTOTAL(109,H$32:H$33)</f>
        <v>1</v>
      </c>
      <c r="I34" s="506">
        <f>sum(I32:I33 )</f>
        <v>20000</v>
      </c>
      <c r="J34" s="504"/>
      <c r="K34" s="507"/>
      <c r="L34" s="508"/>
    </row>
    <row r="35">
      <c r="A35" s="484" t="s">
        <v>249</v>
      </c>
      <c r="B35" s="485"/>
      <c r="C35" s="486"/>
      <c r="D35" s="486"/>
      <c r="E35" s="485"/>
      <c r="F35" s="487"/>
      <c r="G35" s="488"/>
      <c r="H35" s="489"/>
      <c r="I35" s="488"/>
      <c r="J35" s="488"/>
      <c r="K35" s="489"/>
      <c r="L35" s="490"/>
    </row>
    <row r="36">
      <c r="A36" s="491" t="s">
        <v>440</v>
      </c>
      <c r="B36" s="492"/>
      <c r="C36" s="492"/>
      <c r="D36" s="492"/>
      <c r="E36" s="493"/>
      <c r="F36" s="494">
        <v>0.0</v>
      </c>
      <c r="G36" s="495">
        <f>F36</f>
        <v>0</v>
      </c>
      <c r="H36" s="496" t="str">
        <f>IF(G36&gt;0,G36/SUM($G$4:$G$6), "")</f>
        <v/>
      </c>
      <c r="I36" s="497">
        <v>2000000.0</v>
      </c>
      <c r="J36" s="498"/>
      <c r="K36" s="499"/>
      <c r="L36" s="500"/>
    </row>
    <row r="37">
      <c r="A37" s="502"/>
      <c r="B37" s="503"/>
      <c r="C37" s="503"/>
      <c r="D37" s="503"/>
      <c r="E37" s="503"/>
      <c r="F37" s="504">
        <f t="shared" ref="F37:G37" si="11">sum(F35:F36 )</f>
        <v>0</v>
      </c>
      <c r="G37" s="506">
        <f t="shared" si="11"/>
        <v>0</v>
      </c>
      <c r="H37" s="505">
        <f>SUBTOTAL(109,H$32:H$33)</f>
        <v>1</v>
      </c>
      <c r="I37" s="506">
        <f>sum(I36 )</f>
        <v>2000000</v>
      </c>
      <c r="J37" s="504"/>
      <c r="K37" s="507"/>
      <c r="L37" s="508"/>
    </row>
    <row r="38">
      <c r="A38" s="484" t="s">
        <v>441</v>
      </c>
      <c r="B38" s="485"/>
      <c r="C38" s="486"/>
      <c r="D38" s="486"/>
      <c r="E38" s="485"/>
      <c r="F38" s="487"/>
      <c r="G38" s="488"/>
      <c r="H38" s="489"/>
      <c r="I38" s="488"/>
      <c r="J38" s="488"/>
      <c r="K38" s="489"/>
      <c r="L38" s="490"/>
    </row>
    <row r="39">
      <c r="A39" s="491" t="s">
        <v>442</v>
      </c>
      <c r="B39" s="493"/>
      <c r="C39" s="501" t="s">
        <v>443</v>
      </c>
      <c r="D39" s="501"/>
      <c r="E39" s="493" t="s">
        <v>359</v>
      </c>
      <c r="F39" s="519">
        <v>1300.0</v>
      </c>
      <c r="G39" s="519">
        <f>1500-200</f>
        <v>1300</v>
      </c>
      <c r="H39" s="517">
        <f t="shared" ref="H39:H41" si="12">if(G39&gt;0,G39/sum($G$39:$G$41),"")</f>
        <v>0.1930215293</v>
      </c>
      <c r="I39" s="498">
        <v>0.0</v>
      </c>
      <c r="J39" s="540"/>
      <c r="K39" s="499"/>
      <c r="L39" s="500"/>
    </row>
    <row r="40">
      <c r="A40" s="491" t="s">
        <v>444</v>
      </c>
      <c r="B40" s="493"/>
      <c r="C40" s="501" t="s">
        <v>445</v>
      </c>
      <c r="D40" s="501"/>
      <c r="E40" s="493"/>
      <c r="F40" s="519">
        <f>sum(1025,2400,1500,6515,1500,2095)-10300</f>
        <v>4735</v>
      </c>
      <c r="G40" s="519">
        <v>4735.0</v>
      </c>
      <c r="H40" s="517">
        <f t="shared" si="12"/>
        <v>0.703043801</v>
      </c>
      <c r="I40" s="498">
        <v>0.0</v>
      </c>
      <c r="J40" s="540"/>
      <c r="K40" s="499"/>
      <c r="L40" s="500"/>
    </row>
    <row r="41">
      <c r="A41" s="491" t="s">
        <v>446</v>
      </c>
      <c r="B41" s="493"/>
      <c r="C41" s="501"/>
      <c r="D41" s="501"/>
      <c r="E41" s="493"/>
      <c r="F41" s="519">
        <v>700.0</v>
      </c>
      <c r="G41" s="519">
        <f>F41</f>
        <v>700</v>
      </c>
      <c r="H41" s="517">
        <f t="shared" si="12"/>
        <v>0.1039346696</v>
      </c>
      <c r="I41" s="498">
        <v>0.0</v>
      </c>
      <c r="J41" s="540"/>
      <c r="K41" s="499"/>
      <c r="L41" s="500"/>
    </row>
    <row r="42">
      <c r="A42" s="502"/>
      <c r="B42" s="503"/>
      <c r="C42" s="503"/>
      <c r="D42" s="503"/>
      <c r="E42" s="503"/>
      <c r="F42" s="504">
        <f t="shared" ref="F42:G42" si="13">sum(F39:F41 )</f>
        <v>6735</v>
      </c>
      <c r="G42" s="504">
        <f t="shared" si="13"/>
        <v>6735</v>
      </c>
      <c r="H42" s="505">
        <f>SUBTOTAL(109,H39:H41)</f>
        <v>1</v>
      </c>
      <c r="I42" s="506">
        <f>sum(I39:I41 )</f>
        <v>0</v>
      </c>
      <c r="J42" s="506"/>
      <c r="K42" s="507"/>
      <c r="L42" s="508"/>
    </row>
    <row r="43">
      <c r="A43" s="541"/>
      <c r="B43" s="542"/>
      <c r="C43" s="543"/>
      <c r="D43" s="543"/>
      <c r="E43" s="542"/>
      <c r="F43" s="544"/>
      <c r="G43" s="540"/>
      <c r="H43" s="545"/>
      <c r="I43" s="540"/>
      <c r="J43" s="540"/>
      <c r="K43" s="545"/>
      <c r="L43" s="546"/>
    </row>
    <row r="44">
      <c r="A44" s="547" t="s">
        <v>354</v>
      </c>
      <c r="B44" s="548"/>
      <c r="C44" s="548" t="s">
        <v>447</v>
      </c>
      <c r="D44" s="549" t="s">
        <v>448</v>
      </c>
      <c r="E44" s="549" t="s">
        <v>449</v>
      </c>
      <c r="F44" s="550" t="s">
        <v>450</v>
      </c>
      <c r="G44" s="540"/>
      <c r="H44" s="545"/>
      <c r="I44" s="540"/>
      <c r="J44" s="540"/>
      <c r="K44" s="545"/>
      <c r="L44" s="551"/>
    </row>
    <row r="45">
      <c r="A45" s="552" t="str">
        <f>A3</f>
        <v>Cash, Savings</v>
      </c>
      <c r="B45" s="543"/>
      <c r="C45" s="553">
        <f>G7</f>
        <v>1300</v>
      </c>
      <c r="D45" s="554">
        <f>F7</f>
        <v>1200</v>
      </c>
      <c r="E45" s="120">
        <f>I7</f>
        <v>60000</v>
      </c>
      <c r="F45" s="555">
        <f t="shared" ref="F45:F51" si="14">IF(C45&gt;0,C45/SUM($C$45:$C$51), "")</f>
        <v>0.0001061116732</v>
      </c>
      <c r="G45" s="540"/>
      <c r="H45" s="545"/>
      <c r="I45" s="540"/>
      <c r="J45" s="540"/>
      <c r="K45" s="541"/>
      <c r="L45" s="546"/>
    </row>
    <row r="46">
      <c r="A46" s="552" t="str">
        <f>A31</f>
        <v>Retirement Accts (5%)</v>
      </c>
      <c r="B46" s="543"/>
      <c r="C46" s="466">
        <f>G34</f>
        <v>1200</v>
      </c>
      <c r="D46" s="554">
        <f>F34</f>
        <v>1200</v>
      </c>
      <c r="E46" s="120">
        <f>I34</f>
        <v>20000</v>
      </c>
      <c r="F46" s="555">
        <f t="shared" si="14"/>
        <v>0.00009794923683</v>
      </c>
      <c r="G46" s="556"/>
      <c r="H46" s="499"/>
      <c r="I46" s="556"/>
      <c r="J46" s="556"/>
      <c r="K46" s="499"/>
      <c r="L46" s="557"/>
    </row>
    <row r="47">
      <c r="A47" s="552" t="str">
        <f>A19</f>
        <v>Crypto Assets (10%)</v>
      </c>
      <c r="B47" s="543"/>
      <c r="C47" s="466">
        <v>1.0</v>
      </c>
      <c r="D47" s="519">
        <v>1.0</v>
      </c>
      <c r="E47" s="120">
        <f>I26</f>
        <v>22000000</v>
      </c>
      <c r="F47" s="555">
        <f t="shared" si="14"/>
        <v>0.00000008162436402</v>
      </c>
      <c r="G47" s="540"/>
      <c r="H47" s="545"/>
      <c r="I47" s="540"/>
      <c r="J47" s="540"/>
      <c r="K47" s="545"/>
      <c r="L47" s="558"/>
    </row>
    <row r="48">
      <c r="A48" s="552" t="str">
        <f>A27</f>
        <v>Stocks, Bonds, ETFS, CDs</v>
      </c>
      <c r="B48" s="543"/>
      <c r="C48" s="466">
        <v>1.0</v>
      </c>
      <c r="D48" s="519">
        <v>1.0</v>
      </c>
      <c r="E48" s="120">
        <f>I30</f>
        <v>20000</v>
      </c>
      <c r="F48" s="555">
        <f t="shared" si="14"/>
        <v>0.00000008162436402</v>
      </c>
      <c r="G48" s="540"/>
      <c r="H48" s="545"/>
      <c r="I48" s="540"/>
      <c r="J48" s="540"/>
      <c r="K48" s="545"/>
      <c r="L48" s="546"/>
    </row>
    <row r="49">
      <c r="A49" s="552" t="str">
        <f>A35</f>
        <v>Real Estate</v>
      </c>
      <c r="B49" s="543"/>
      <c r="C49" s="466">
        <v>1.0</v>
      </c>
      <c r="D49" s="519">
        <v>1.0</v>
      </c>
      <c r="E49" s="120">
        <f>I37</f>
        <v>2000000</v>
      </c>
      <c r="F49" s="555">
        <f t="shared" si="14"/>
        <v>0.00000008162436402</v>
      </c>
      <c r="G49" s="540"/>
      <c r="H49" s="545"/>
      <c r="I49" s="540"/>
      <c r="J49" s="540"/>
      <c r="K49" s="545"/>
      <c r="L49" s="546"/>
    </row>
    <row r="50">
      <c r="A50" s="552" t="str">
        <f>A8</f>
        <v>Private Equity</v>
      </c>
      <c r="B50" s="543"/>
      <c r="C50" s="553">
        <f>G18</f>
        <v>12242006</v>
      </c>
      <c r="D50" s="554">
        <f>F18</f>
        <v>701900</v>
      </c>
      <c r="E50" s="120">
        <f>I18</f>
        <v>12565000</v>
      </c>
      <c r="F50" s="555">
        <f t="shared" si="14"/>
        <v>0.9992459541</v>
      </c>
      <c r="G50" s="540"/>
      <c r="H50" s="545"/>
      <c r="I50" s="540"/>
      <c r="J50" s="540"/>
      <c r="K50" s="545"/>
      <c r="L50" s="546"/>
    </row>
    <row r="51">
      <c r="A51" s="552" t="str">
        <f>A38</f>
        <v>Loans Distributed</v>
      </c>
      <c r="B51" s="543"/>
      <c r="C51" s="553">
        <f>G42</f>
        <v>6735</v>
      </c>
      <c r="D51" s="554">
        <f>F42</f>
        <v>6735</v>
      </c>
      <c r="E51" s="120">
        <f>I42</f>
        <v>0</v>
      </c>
      <c r="F51" s="555">
        <f t="shared" si="14"/>
        <v>0.0005497400917</v>
      </c>
      <c r="G51" s="540"/>
      <c r="H51" s="545"/>
      <c r="I51" s="540"/>
      <c r="J51" s="540"/>
      <c r="K51" s="545"/>
      <c r="L51" s="546"/>
    </row>
    <row r="52">
      <c r="A52" s="559" t="s">
        <v>322</v>
      </c>
      <c r="B52" s="560"/>
      <c r="C52" s="561">
        <f t="shared" ref="C52:F52" si="15">sum(C45:C51 )</f>
        <v>12251244</v>
      </c>
      <c r="D52" s="561">
        <f t="shared" si="15"/>
        <v>711038</v>
      </c>
      <c r="E52" s="561">
        <f t="shared" si="15"/>
        <v>36665000</v>
      </c>
      <c r="F52" s="562">
        <f t="shared" si="15"/>
        <v>1</v>
      </c>
      <c r="G52" s="556"/>
      <c r="H52" s="499"/>
      <c r="I52" s="563"/>
      <c r="J52" s="556"/>
      <c r="K52" s="499"/>
      <c r="L52" s="557"/>
    </row>
    <row r="53">
      <c r="A53" s="564"/>
      <c r="B53" s="542"/>
      <c r="C53" s="543"/>
      <c r="D53" s="543"/>
      <c r="E53" s="541"/>
      <c r="F53" s="540"/>
      <c r="G53" s="540"/>
      <c r="H53" s="545"/>
      <c r="I53" s="540"/>
      <c r="J53" s="540"/>
      <c r="K53" s="545"/>
      <c r="L53" s="546"/>
    </row>
    <row r="54">
      <c r="A54" s="541"/>
      <c r="B54" s="538"/>
      <c r="C54" s="565"/>
      <c r="D54" s="565"/>
      <c r="E54" s="542"/>
      <c r="F54" s="545"/>
      <c r="G54" s="540"/>
      <c r="H54" s="545"/>
      <c r="I54" s="540"/>
      <c r="J54" s="540"/>
      <c r="K54" s="545"/>
      <c r="L54" s="546"/>
    </row>
    <row r="55">
      <c r="A55" s="541"/>
      <c r="B55" s="538"/>
      <c r="C55" s="565"/>
      <c r="D55" s="565"/>
      <c r="E55" s="542"/>
      <c r="F55" s="545"/>
      <c r="G55" s="540"/>
      <c r="H55" s="545"/>
      <c r="I55" s="540"/>
      <c r="J55" s="540"/>
      <c r="K55" s="545"/>
      <c r="L55" s="546"/>
    </row>
    <row r="56">
      <c r="A56" s="541"/>
      <c r="B56" s="542"/>
      <c r="C56" s="565"/>
      <c r="D56" s="565"/>
      <c r="E56" s="542"/>
      <c r="F56" s="545"/>
      <c r="G56" s="540"/>
      <c r="H56" s="545"/>
      <c r="I56" s="540"/>
      <c r="J56" s="540"/>
      <c r="K56" s="545"/>
      <c r="L56" s="546"/>
    </row>
  </sheetData>
  <autoFilter ref="$A$2:$L$34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88"/>
    <col customWidth="1" min="2" max="2" width="16.13"/>
    <col customWidth="1" min="3" max="3" width="19.88"/>
    <col customWidth="1" min="4" max="4" width="16.25"/>
    <col customWidth="1" min="5" max="5" width="15.13"/>
    <col customWidth="1" min="6" max="6" width="17.5"/>
    <col customWidth="1" min="7" max="7" width="15.88"/>
    <col customWidth="1" min="8" max="8" width="13.88"/>
    <col customWidth="1" min="9" max="9" width="24.0"/>
    <col customWidth="1" min="10" max="10" width="22.0"/>
    <col customWidth="1" min="11" max="26" width="34.88"/>
  </cols>
  <sheetData>
    <row r="1" ht="12.75" customHeight="1">
      <c r="A1" s="318" t="s">
        <v>394</v>
      </c>
      <c r="B1" s="566"/>
      <c r="C1" s="318"/>
      <c r="D1" s="318"/>
      <c r="E1" s="318"/>
      <c r="F1" s="567"/>
      <c r="G1" s="568"/>
      <c r="H1" s="568"/>
      <c r="I1" s="568"/>
      <c r="J1" s="568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</row>
    <row r="2">
      <c r="A2" s="569" t="s">
        <v>395</v>
      </c>
      <c r="B2" s="569" t="s">
        <v>355</v>
      </c>
      <c r="C2" s="569" t="s">
        <v>395</v>
      </c>
      <c r="D2" s="569" t="s">
        <v>397</v>
      </c>
      <c r="E2" s="569" t="s">
        <v>398</v>
      </c>
      <c r="F2" s="569" t="s">
        <v>399</v>
      </c>
      <c r="G2" s="569" t="s">
        <v>400</v>
      </c>
      <c r="H2" s="569" t="s">
        <v>403</v>
      </c>
      <c r="I2" s="569" t="s">
        <v>451</v>
      </c>
      <c r="J2" s="569" t="s">
        <v>452</v>
      </c>
      <c r="K2" s="569" t="s">
        <v>404</v>
      </c>
      <c r="L2" s="570"/>
      <c r="M2" s="570"/>
      <c r="N2" s="570"/>
      <c r="O2" s="570"/>
      <c r="P2" s="570"/>
      <c r="Q2" s="570"/>
      <c r="R2" s="570"/>
      <c r="S2" s="570"/>
      <c r="T2" s="570"/>
      <c r="U2" s="570"/>
      <c r="V2" s="570"/>
      <c r="W2" s="570"/>
      <c r="X2" s="570"/>
      <c r="Y2" s="570"/>
      <c r="Z2" s="570"/>
    </row>
    <row r="3" ht="16.5" customHeight="1">
      <c r="A3" s="571" t="s">
        <v>405</v>
      </c>
      <c r="B3" s="572"/>
      <c r="C3" s="573"/>
      <c r="D3" s="572"/>
      <c r="E3" s="574"/>
      <c r="F3" s="575"/>
      <c r="G3" s="576"/>
      <c r="H3" s="576"/>
      <c r="I3" s="575"/>
      <c r="J3" s="575"/>
      <c r="K3" s="577"/>
      <c r="L3" s="578"/>
      <c r="M3" s="578"/>
      <c r="N3" s="578"/>
      <c r="O3" s="578"/>
      <c r="P3" s="578"/>
      <c r="Q3" s="578"/>
      <c r="R3" s="578"/>
      <c r="S3" s="578"/>
      <c r="T3" s="578"/>
      <c r="U3" s="578"/>
      <c r="V3" s="578"/>
      <c r="W3" s="578"/>
      <c r="X3" s="578"/>
      <c r="Y3" s="578"/>
      <c r="Z3" s="578"/>
    </row>
    <row r="4">
      <c r="A4" s="115" t="s">
        <v>406</v>
      </c>
      <c r="B4" s="109"/>
      <c r="C4" s="109" t="s">
        <v>407</v>
      </c>
      <c r="D4" s="579" t="s">
        <v>359</v>
      </c>
      <c r="E4" s="580">
        <v>5000.0</v>
      </c>
      <c r="F4" s="581">
        <f t="shared" ref="F4:F6" si="1">E4</f>
        <v>5000</v>
      </c>
      <c r="G4" s="582">
        <f t="shared" ref="G4:G6" si="2">IF(F4&gt;0,F4/SUM($F$4:$F$6), "")</f>
        <v>0.5711022273</v>
      </c>
      <c r="H4" s="583"/>
      <c r="I4" s="584"/>
      <c r="J4" s="584"/>
      <c r="K4" s="578"/>
      <c r="L4" s="578"/>
      <c r="M4" s="578"/>
      <c r="N4" s="578"/>
      <c r="O4" s="578"/>
      <c r="P4" s="578"/>
      <c r="Q4" s="578"/>
      <c r="R4" s="578"/>
      <c r="S4" s="578"/>
      <c r="T4" s="578"/>
      <c r="U4" s="578"/>
      <c r="V4" s="578"/>
      <c r="W4" s="578"/>
      <c r="X4" s="578"/>
      <c r="Y4" s="578"/>
      <c r="Z4" s="578"/>
    </row>
    <row r="5">
      <c r="A5" s="115" t="s">
        <v>453</v>
      </c>
      <c r="B5" s="109"/>
      <c r="C5" s="109" t="s">
        <v>410</v>
      </c>
      <c r="D5" s="579" t="s">
        <v>359</v>
      </c>
      <c r="E5" s="580">
        <v>2000.0</v>
      </c>
      <c r="F5" s="581">
        <f t="shared" si="1"/>
        <v>2000</v>
      </c>
      <c r="G5" s="582">
        <f t="shared" si="2"/>
        <v>0.2284408909</v>
      </c>
      <c r="H5" s="583"/>
      <c r="I5" s="584"/>
      <c r="J5" s="584"/>
      <c r="K5" s="578"/>
      <c r="L5" s="578"/>
      <c r="M5" s="578"/>
      <c r="N5" s="578"/>
      <c r="O5" s="578"/>
      <c r="P5" s="578"/>
      <c r="Q5" s="578"/>
      <c r="R5" s="578"/>
      <c r="S5" s="578"/>
      <c r="T5" s="578"/>
      <c r="U5" s="578"/>
      <c r="V5" s="578"/>
      <c r="W5" s="578"/>
      <c r="X5" s="578"/>
      <c r="Y5" s="578"/>
      <c r="Z5" s="578"/>
    </row>
    <row r="6">
      <c r="A6" s="115" t="s">
        <v>454</v>
      </c>
      <c r="B6" s="579"/>
      <c r="C6" s="585" t="s">
        <v>412</v>
      </c>
      <c r="D6" s="579" t="s">
        <v>359</v>
      </c>
      <c r="E6" s="580">
        <v>1755.0</v>
      </c>
      <c r="F6" s="581">
        <f t="shared" si="1"/>
        <v>1755</v>
      </c>
      <c r="G6" s="582">
        <f t="shared" si="2"/>
        <v>0.2004568818</v>
      </c>
      <c r="H6" s="583"/>
      <c r="I6" s="584"/>
      <c r="J6" s="584"/>
      <c r="K6" s="578"/>
      <c r="L6" s="578"/>
      <c r="M6" s="578"/>
      <c r="N6" s="578"/>
      <c r="O6" s="578"/>
      <c r="P6" s="578"/>
      <c r="Q6" s="578"/>
      <c r="R6" s="578"/>
      <c r="S6" s="578"/>
      <c r="T6" s="578"/>
      <c r="U6" s="578"/>
      <c r="V6" s="578"/>
      <c r="W6" s="578"/>
      <c r="X6" s="578"/>
      <c r="Y6" s="578"/>
      <c r="Z6" s="578"/>
    </row>
    <row r="7">
      <c r="A7" s="586"/>
      <c r="B7" s="587"/>
      <c r="C7" s="587"/>
      <c r="D7" s="587"/>
      <c r="E7" s="588">
        <f t="shared" ref="E7:F7" si="3">SUM(E4:E6)</f>
        <v>8755</v>
      </c>
      <c r="F7" s="588">
        <f t="shared" si="3"/>
        <v>8755</v>
      </c>
      <c r="G7" s="589">
        <f>SUBTOTAL(109,G$4:G$6)</f>
        <v>1</v>
      </c>
      <c r="H7" s="590"/>
      <c r="I7" s="591"/>
      <c r="J7" s="591"/>
      <c r="K7" s="592"/>
      <c r="L7" s="592"/>
      <c r="M7" s="592"/>
      <c r="N7" s="592"/>
      <c r="O7" s="592"/>
      <c r="P7" s="592"/>
      <c r="Q7" s="592"/>
      <c r="R7" s="592"/>
      <c r="S7" s="592"/>
      <c r="T7" s="592"/>
      <c r="U7" s="592"/>
      <c r="V7" s="592"/>
      <c r="W7" s="592"/>
      <c r="X7" s="592"/>
      <c r="Y7" s="592"/>
      <c r="Z7" s="592"/>
    </row>
    <row r="8">
      <c r="A8" s="354"/>
      <c r="B8" s="593"/>
      <c r="C8" s="593"/>
      <c r="D8" s="593"/>
      <c r="E8" s="594"/>
      <c r="F8" s="594"/>
      <c r="G8" s="595"/>
      <c r="H8" s="582"/>
      <c r="I8" s="340"/>
      <c r="J8" s="340"/>
      <c r="K8" s="596"/>
      <c r="L8" s="596"/>
      <c r="M8" s="596"/>
      <c r="N8" s="596"/>
      <c r="O8" s="596"/>
      <c r="P8" s="596"/>
      <c r="Q8" s="596"/>
      <c r="R8" s="596"/>
      <c r="S8" s="596"/>
      <c r="T8" s="596"/>
      <c r="U8" s="596"/>
      <c r="V8" s="596"/>
      <c r="W8" s="596"/>
      <c r="X8" s="596"/>
      <c r="Y8" s="596"/>
      <c r="Z8" s="596"/>
    </row>
    <row r="9">
      <c r="A9" s="597" t="s">
        <v>455</v>
      </c>
      <c r="B9" s="598"/>
      <c r="C9" s="598"/>
      <c r="D9" s="598"/>
      <c r="E9" s="599"/>
      <c r="F9" s="599"/>
      <c r="G9" s="600"/>
      <c r="H9" s="600"/>
      <c r="I9" s="599"/>
      <c r="J9" s="599"/>
      <c r="K9" s="601"/>
      <c r="L9" s="596"/>
      <c r="M9" s="596"/>
      <c r="N9" s="596"/>
      <c r="O9" s="596"/>
      <c r="P9" s="596"/>
      <c r="Q9" s="596"/>
      <c r="R9" s="596"/>
      <c r="S9" s="596"/>
      <c r="T9" s="596"/>
      <c r="U9" s="596"/>
      <c r="V9" s="596"/>
      <c r="W9" s="596"/>
      <c r="X9" s="596"/>
      <c r="Y9" s="596"/>
      <c r="Z9" s="596"/>
    </row>
    <row r="10">
      <c r="A10" s="349" t="s">
        <v>430</v>
      </c>
      <c r="B10" s="593" t="s">
        <v>456</v>
      </c>
      <c r="C10" s="602" t="s">
        <v>457</v>
      </c>
      <c r="D10" s="603">
        <v>0.008</v>
      </c>
      <c r="E10" s="340">
        <f>D10*17000</f>
        <v>136</v>
      </c>
      <c r="F10" s="351">
        <f>D10*55000</f>
        <v>440</v>
      </c>
      <c r="G10" s="604">
        <f t="shared" ref="G10:G54" si="4">IF(F10&gt;0,F10/SUM($F$10:$F$54), "")</f>
        <v>0.01228517597</v>
      </c>
      <c r="H10" s="605"/>
      <c r="I10" s="606">
        <v>0.1</v>
      </c>
      <c r="J10" s="584">
        <f>I10*1000000</f>
        <v>100000</v>
      </c>
      <c r="K10" s="596"/>
      <c r="L10" s="596"/>
      <c r="M10" s="596"/>
      <c r="N10" s="596"/>
      <c r="O10" s="596"/>
      <c r="P10" s="596"/>
      <c r="Q10" s="596"/>
      <c r="R10" s="596"/>
      <c r="S10" s="596"/>
      <c r="T10" s="596"/>
      <c r="U10" s="596"/>
      <c r="V10" s="596"/>
      <c r="W10" s="596"/>
      <c r="X10" s="596"/>
      <c r="Y10" s="596"/>
      <c r="Z10" s="596"/>
    </row>
    <row r="11">
      <c r="A11" s="349" t="s">
        <v>458</v>
      </c>
      <c r="B11" s="593" t="s">
        <v>456</v>
      </c>
      <c r="C11" s="593" t="s">
        <v>459</v>
      </c>
      <c r="D11" s="603">
        <v>3.714</v>
      </c>
      <c r="E11" s="340">
        <f>D11*1900</f>
        <v>7056.6</v>
      </c>
      <c r="F11" s="351">
        <f>D11*1975</f>
        <v>7335.15</v>
      </c>
      <c r="G11" s="604">
        <f t="shared" si="4"/>
        <v>0.2048036557</v>
      </c>
      <c r="H11" s="605"/>
      <c r="I11" s="607">
        <v>50.0</v>
      </c>
      <c r="J11" s="584">
        <f t="shared" ref="J11:J12" si="5">I11*5000</f>
        <v>250000</v>
      </c>
      <c r="K11" s="596"/>
      <c r="L11" s="596"/>
      <c r="M11" s="596"/>
      <c r="N11" s="596"/>
      <c r="O11" s="596"/>
      <c r="P11" s="596"/>
      <c r="Q11" s="596"/>
      <c r="R11" s="596"/>
      <c r="S11" s="596"/>
      <c r="T11" s="596"/>
      <c r="U11" s="596"/>
      <c r="V11" s="596"/>
      <c r="W11" s="596"/>
      <c r="X11" s="596"/>
      <c r="Y11" s="596"/>
      <c r="Z11" s="596"/>
    </row>
    <row r="12">
      <c r="A12" s="349" t="s">
        <v>460</v>
      </c>
      <c r="B12" s="593" t="s">
        <v>456</v>
      </c>
      <c r="C12" s="593" t="s">
        <v>459</v>
      </c>
      <c r="D12" s="603">
        <v>0.011</v>
      </c>
      <c r="E12" s="340">
        <v>0.0</v>
      </c>
      <c r="F12" s="351">
        <f>D12*1800</f>
        <v>19.8</v>
      </c>
      <c r="G12" s="604">
        <f t="shared" si="4"/>
        <v>0.0005528329185</v>
      </c>
      <c r="H12" s="605"/>
      <c r="I12" s="608">
        <v>20.0</v>
      </c>
      <c r="J12" s="584">
        <f t="shared" si="5"/>
        <v>100000</v>
      </c>
      <c r="K12" s="596"/>
      <c r="L12" s="596"/>
      <c r="M12" s="596"/>
      <c r="N12" s="596"/>
      <c r="O12" s="596"/>
      <c r="P12" s="596"/>
      <c r="Q12" s="596"/>
      <c r="R12" s="596"/>
      <c r="S12" s="596"/>
      <c r="T12" s="596"/>
      <c r="U12" s="596"/>
      <c r="V12" s="596"/>
      <c r="W12" s="596"/>
      <c r="X12" s="596"/>
      <c r="Y12" s="596"/>
      <c r="Z12" s="596"/>
    </row>
    <row r="13">
      <c r="A13" s="349" t="s">
        <v>461</v>
      </c>
      <c r="B13" s="593" t="s">
        <v>456</v>
      </c>
      <c r="C13" s="593" t="s">
        <v>459</v>
      </c>
      <c r="D13" s="593">
        <v>11.0</v>
      </c>
      <c r="E13" s="340">
        <v>0.0</v>
      </c>
      <c r="F13" s="351">
        <f>D13*1</f>
        <v>11</v>
      </c>
      <c r="G13" s="604">
        <f t="shared" si="4"/>
        <v>0.0003071293992</v>
      </c>
      <c r="H13" s="605"/>
      <c r="I13" s="608">
        <v>1000.0</v>
      </c>
      <c r="J13" s="584">
        <f>I13*1</f>
        <v>1000</v>
      </c>
      <c r="K13" s="596"/>
      <c r="L13" s="596"/>
      <c r="M13" s="596"/>
      <c r="N13" s="596"/>
      <c r="O13" s="596"/>
      <c r="P13" s="596"/>
      <c r="Q13" s="596"/>
      <c r="R13" s="596"/>
      <c r="S13" s="596"/>
      <c r="T13" s="596"/>
      <c r="U13" s="596"/>
      <c r="V13" s="596"/>
      <c r="W13" s="596"/>
      <c r="X13" s="596"/>
      <c r="Y13" s="596"/>
      <c r="Z13" s="596"/>
    </row>
    <row r="14">
      <c r="A14" s="349" t="s">
        <v>462</v>
      </c>
      <c r="B14" s="593" t="s">
        <v>456</v>
      </c>
      <c r="C14" s="593" t="s">
        <v>459</v>
      </c>
      <c r="D14" s="609">
        <v>150.0</v>
      </c>
      <c r="E14" s="340">
        <v>0.0</v>
      </c>
      <c r="F14" s="351">
        <f>D14*5.04</f>
        <v>756</v>
      </c>
      <c r="G14" s="604">
        <f t="shared" si="4"/>
        <v>0.02110816598</v>
      </c>
      <c r="H14" s="605"/>
      <c r="I14" s="608">
        <v>150.0</v>
      </c>
      <c r="J14" s="584">
        <f>I14*10</f>
        <v>1500</v>
      </c>
      <c r="K14" s="596"/>
      <c r="L14" s="596"/>
      <c r="M14" s="596"/>
      <c r="N14" s="596"/>
      <c r="O14" s="596"/>
      <c r="P14" s="596"/>
      <c r="Q14" s="596"/>
      <c r="R14" s="596"/>
      <c r="S14" s="596"/>
      <c r="T14" s="596"/>
      <c r="U14" s="596"/>
      <c r="V14" s="596"/>
      <c r="W14" s="596"/>
      <c r="X14" s="596"/>
      <c r="Y14" s="596"/>
      <c r="Z14" s="596"/>
    </row>
    <row r="15">
      <c r="A15" s="349" t="s">
        <v>463</v>
      </c>
      <c r="B15" s="593" t="s">
        <v>456</v>
      </c>
      <c r="C15" s="593" t="s">
        <v>459</v>
      </c>
      <c r="D15" s="609">
        <v>126.2</v>
      </c>
      <c r="E15" s="340">
        <f>D15*19</f>
        <v>2397.8</v>
      </c>
      <c r="F15" s="351">
        <f>D15*22</f>
        <v>2776.4</v>
      </c>
      <c r="G15" s="604">
        <f t="shared" si="4"/>
        <v>0.07751946035</v>
      </c>
      <c r="H15" s="605"/>
      <c r="I15" s="608">
        <v>126.0</v>
      </c>
      <c r="J15" s="584">
        <f>I15*30</f>
        <v>3780</v>
      </c>
      <c r="K15" s="596"/>
      <c r="L15" s="596"/>
      <c r="M15" s="596"/>
      <c r="N15" s="596"/>
      <c r="O15" s="596"/>
      <c r="P15" s="596"/>
      <c r="Q15" s="596"/>
      <c r="R15" s="596"/>
      <c r="S15" s="596"/>
      <c r="T15" s="596"/>
      <c r="U15" s="596"/>
      <c r="V15" s="596"/>
      <c r="W15" s="596"/>
      <c r="X15" s="596"/>
      <c r="Y15" s="596"/>
      <c r="Z15" s="596"/>
    </row>
    <row r="16">
      <c r="A16" s="349" t="s">
        <v>464</v>
      </c>
      <c r="B16" s="593" t="s">
        <v>456</v>
      </c>
      <c r="C16" s="593" t="s">
        <v>459</v>
      </c>
      <c r="D16" s="609">
        <v>10.0</v>
      </c>
      <c r="E16" s="340">
        <f>D16*19.78</f>
        <v>197.8</v>
      </c>
      <c r="F16" s="351">
        <f>D16*40</f>
        <v>400</v>
      </c>
      <c r="G16" s="604">
        <f t="shared" si="4"/>
        <v>0.01116834179</v>
      </c>
      <c r="H16" s="605"/>
      <c r="I16" s="608">
        <v>500.0</v>
      </c>
      <c r="J16" s="584">
        <f>I16*50</f>
        <v>25000</v>
      </c>
      <c r="K16" s="596"/>
      <c r="L16" s="596"/>
      <c r="M16" s="596"/>
      <c r="N16" s="596"/>
      <c r="O16" s="596"/>
      <c r="P16" s="596"/>
      <c r="Q16" s="596"/>
      <c r="R16" s="596"/>
      <c r="S16" s="596"/>
      <c r="T16" s="596"/>
      <c r="U16" s="596"/>
      <c r="V16" s="596"/>
      <c r="W16" s="596"/>
      <c r="X16" s="596"/>
      <c r="Y16" s="596"/>
      <c r="Z16" s="596"/>
    </row>
    <row r="17">
      <c r="A17" s="349" t="s">
        <v>465</v>
      </c>
      <c r="B17" s="593" t="s">
        <v>456</v>
      </c>
      <c r="C17" s="593" t="s">
        <v>459</v>
      </c>
      <c r="D17" s="603">
        <v>39.96</v>
      </c>
      <c r="E17" s="340">
        <v>300.0</v>
      </c>
      <c r="F17" s="351">
        <f>D17*13.52</f>
        <v>540.2592</v>
      </c>
      <c r="G17" s="604">
        <f t="shared" si="4"/>
        <v>0.0150844985</v>
      </c>
      <c r="H17" s="605"/>
      <c r="I17" s="608">
        <v>100.0</v>
      </c>
      <c r="J17" s="584">
        <f>I17*20</f>
        <v>2000</v>
      </c>
      <c r="K17" s="596"/>
      <c r="L17" s="596"/>
      <c r="M17" s="596"/>
      <c r="N17" s="596"/>
      <c r="O17" s="596"/>
      <c r="P17" s="596"/>
      <c r="Q17" s="596"/>
      <c r="R17" s="596"/>
      <c r="S17" s="596"/>
      <c r="T17" s="596"/>
      <c r="U17" s="596"/>
      <c r="V17" s="596"/>
      <c r="W17" s="596"/>
      <c r="X17" s="596"/>
      <c r="Y17" s="596"/>
      <c r="Z17" s="596"/>
    </row>
    <row r="18">
      <c r="A18" s="349" t="s">
        <v>466</v>
      </c>
      <c r="B18" s="593" t="s">
        <v>456</v>
      </c>
      <c r="C18" s="593" t="s">
        <v>459</v>
      </c>
      <c r="D18" s="593">
        <v>9.32</v>
      </c>
      <c r="E18" s="340">
        <f>D18*450</f>
        <v>4194</v>
      </c>
      <c r="F18" s="351">
        <f>D18*510</f>
        <v>4753.2</v>
      </c>
      <c r="G18" s="604">
        <f t="shared" si="4"/>
        <v>0.1327134055</v>
      </c>
      <c r="H18" s="605"/>
      <c r="I18" s="608">
        <v>10.0</v>
      </c>
      <c r="J18" s="584">
        <f>I18*800</f>
        <v>8000</v>
      </c>
      <c r="K18" s="596"/>
      <c r="L18" s="596"/>
      <c r="M18" s="596"/>
      <c r="N18" s="596"/>
      <c r="O18" s="596"/>
      <c r="P18" s="596"/>
      <c r="Q18" s="596"/>
      <c r="R18" s="596"/>
      <c r="S18" s="596"/>
      <c r="T18" s="596"/>
      <c r="U18" s="596"/>
      <c r="V18" s="596"/>
      <c r="W18" s="596"/>
      <c r="X18" s="596"/>
      <c r="Y18" s="596"/>
      <c r="Z18" s="596"/>
    </row>
    <row r="19">
      <c r="A19" s="349" t="s">
        <v>467</v>
      </c>
      <c r="B19" s="593" t="s">
        <v>468</v>
      </c>
      <c r="C19" s="593" t="s">
        <v>459</v>
      </c>
      <c r="D19" s="603">
        <v>0.00226404155052945</v>
      </c>
      <c r="E19" s="340">
        <v>80.0</v>
      </c>
      <c r="F19" s="351">
        <f>D19*40936</f>
        <v>92.68080491</v>
      </c>
      <c r="G19" s="604">
        <f t="shared" si="4"/>
        <v>0.002587727266</v>
      </c>
      <c r="H19" s="605"/>
      <c r="I19" s="608">
        <v>3.0</v>
      </c>
      <c r="J19" s="584"/>
      <c r="K19" s="596"/>
      <c r="L19" s="596"/>
      <c r="M19" s="596"/>
      <c r="N19" s="596"/>
      <c r="O19" s="596"/>
      <c r="P19" s="596"/>
      <c r="Q19" s="596"/>
      <c r="R19" s="596"/>
      <c r="S19" s="596"/>
      <c r="T19" s="596"/>
      <c r="U19" s="596"/>
      <c r="V19" s="596"/>
      <c r="W19" s="596"/>
      <c r="X19" s="596"/>
      <c r="Y19" s="596"/>
      <c r="Z19" s="596"/>
    </row>
    <row r="20">
      <c r="A20" s="349" t="s">
        <v>469</v>
      </c>
      <c r="B20" s="593" t="s">
        <v>468</v>
      </c>
      <c r="C20" s="593" t="s">
        <v>459</v>
      </c>
      <c r="D20" s="603">
        <v>16.0</v>
      </c>
      <c r="E20" s="340">
        <v>80.0</v>
      </c>
      <c r="F20" s="351">
        <f>D20*26</f>
        <v>416</v>
      </c>
      <c r="G20" s="604">
        <f t="shared" si="4"/>
        <v>0.01161507546</v>
      </c>
      <c r="H20" s="605"/>
      <c r="I20" s="608">
        <v>50.0</v>
      </c>
      <c r="J20" s="584">
        <f>I20*30</f>
        <v>1500</v>
      </c>
      <c r="K20" s="596"/>
      <c r="L20" s="596"/>
      <c r="M20" s="596"/>
      <c r="N20" s="596"/>
      <c r="O20" s="596"/>
      <c r="P20" s="596"/>
      <c r="Q20" s="596"/>
      <c r="R20" s="596"/>
      <c r="S20" s="596"/>
      <c r="T20" s="596"/>
      <c r="U20" s="596"/>
      <c r="V20" s="596"/>
      <c r="W20" s="596"/>
      <c r="X20" s="596"/>
      <c r="Y20" s="596"/>
      <c r="Z20" s="596"/>
    </row>
    <row r="21">
      <c r="A21" s="349" t="s">
        <v>470</v>
      </c>
      <c r="B21" s="593" t="s">
        <v>468</v>
      </c>
      <c r="C21" s="593" t="s">
        <v>459</v>
      </c>
      <c r="D21" s="603">
        <v>1.106</v>
      </c>
      <c r="E21" s="340">
        <v>300.0</v>
      </c>
      <c r="F21" s="351">
        <f>D21*150</f>
        <v>165.9</v>
      </c>
      <c r="G21" s="604">
        <f t="shared" si="4"/>
        <v>0.004632069757</v>
      </c>
      <c r="H21" s="605"/>
      <c r="I21" s="608">
        <v>10.0</v>
      </c>
      <c r="J21" s="584">
        <f>I21*300</f>
        <v>3000</v>
      </c>
      <c r="K21" s="596"/>
      <c r="L21" s="596"/>
      <c r="M21" s="596"/>
      <c r="N21" s="596"/>
      <c r="O21" s="596"/>
      <c r="P21" s="596"/>
      <c r="Q21" s="596"/>
      <c r="R21" s="596"/>
      <c r="S21" s="596"/>
      <c r="T21" s="596"/>
      <c r="U21" s="596"/>
      <c r="V21" s="596"/>
      <c r="W21" s="596"/>
      <c r="X21" s="596"/>
      <c r="Y21" s="596"/>
      <c r="Z21" s="596"/>
    </row>
    <row r="22">
      <c r="A22" s="349" t="s">
        <v>471</v>
      </c>
      <c r="B22" s="593" t="s">
        <v>468</v>
      </c>
      <c r="C22" s="593" t="s">
        <v>459</v>
      </c>
      <c r="D22" s="593">
        <v>0.0</v>
      </c>
      <c r="E22" s="340">
        <v>0.008</v>
      </c>
      <c r="F22" s="351">
        <f>E22*743</f>
        <v>5.944</v>
      </c>
      <c r="G22" s="604">
        <f t="shared" si="4"/>
        <v>0.000165961559</v>
      </c>
      <c r="H22" s="605"/>
      <c r="I22" s="610">
        <v>5.0</v>
      </c>
      <c r="J22" s="340"/>
      <c r="K22" s="596"/>
      <c r="L22" s="596"/>
      <c r="M22" s="596"/>
      <c r="N22" s="596"/>
      <c r="O22" s="596"/>
      <c r="P22" s="596"/>
      <c r="Q22" s="596"/>
      <c r="R22" s="596"/>
      <c r="S22" s="596"/>
      <c r="T22" s="596"/>
      <c r="U22" s="596"/>
      <c r="V22" s="596"/>
      <c r="W22" s="596"/>
      <c r="X22" s="596"/>
      <c r="Y22" s="596"/>
      <c r="Z22" s="596"/>
    </row>
    <row r="23">
      <c r="A23" s="349" t="s">
        <v>472</v>
      </c>
      <c r="B23" s="593" t="s">
        <v>468</v>
      </c>
      <c r="C23" s="593" t="s">
        <v>459</v>
      </c>
      <c r="D23" s="603">
        <v>0.795039454882312</v>
      </c>
      <c r="E23" s="340">
        <v>145.0</v>
      </c>
      <c r="F23" s="351">
        <f>D23*211</f>
        <v>167.753325</v>
      </c>
      <c r="G23" s="604">
        <f t="shared" si="4"/>
        <v>0.004683816174</v>
      </c>
      <c r="H23" s="605"/>
      <c r="I23" s="608">
        <v>5.0</v>
      </c>
      <c r="J23" s="584"/>
      <c r="K23" s="596"/>
      <c r="L23" s="596"/>
      <c r="M23" s="596"/>
      <c r="N23" s="596"/>
      <c r="O23" s="596"/>
      <c r="P23" s="596"/>
      <c r="Q23" s="596"/>
      <c r="R23" s="596"/>
      <c r="S23" s="596"/>
      <c r="T23" s="596"/>
      <c r="U23" s="596"/>
      <c r="V23" s="596"/>
      <c r="W23" s="596"/>
      <c r="X23" s="596"/>
      <c r="Y23" s="596"/>
      <c r="Z23" s="596"/>
    </row>
    <row r="24">
      <c r="A24" s="611" t="s">
        <v>473</v>
      </c>
      <c r="B24" s="593" t="s">
        <v>456</v>
      </c>
      <c r="C24" s="612" t="s">
        <v>459</v>
      </c>
      <c r="D24" s="613">
        <v>108.0</v>
      </c>
      <c r="E24" s="614">
        <v>44.85</v>
      </c>
      <c r="F24" s="615">
        <f>D24*0.69</f>
        <v>74.52</v>
      </c>
      <c r="G24" s="604">
        <f t="shared" si="4"/>
        <v>0.002080662075</v>
      </c>
      <c r="H24" s="616"/>
      <c r="I24" s="617">
        <v>0.0</v>
      </c>
      <c r="J24" s="614"/>
      <c r="K24" s="618"/>
      <c r="L24" s="618"/>
      <c r="M24" s="618"/>
      <c r="N24" s="618"/>
      <c r="O24" s="618"/>
      <c r="P24" s="618"/>
      <c r="Q24" s="618"/>
      <c r="R24" s="618"/>
      <c r="S24" s="618"/>
      <c r="T24" s="618"/>
      <c r="U24" s="618"/>
      <c r="V24" s="618"/>
      <c r="W24" s="618"/>
      <c r="X24" s="618"/>
      <c r="Y24" s="618"/>
      <c r="Z24" s="618"/>
    </row>
    <row r="25">
      <c r="A25" s="611" t="s">
        <v>474</v>
      </c>
      <c r="B25" s="593" t="s">
        <v>456</v>
      </c>
      <c r="C25" s="612" t="s">
        <v>459</v>
      </c>
      <c r="D25" s="613">
        <v>2.0</v>
      </c>
      <c r="E25" s="614">
        <f>43.62</f>
        <v>43.62</v>
      </c>
      <c r="F25" s="615">
        <v>0.0</v>
      </c>
      <c r="G25" s="604" t="str">
        <f t="shared" si="4"/>
        <v/>
      </c>
      <c r="H25" s="616"/>
      <c r="I25" s="617">
        <v>0.0</v>
      </c>
      <c r="J25" s="614"/>
      <c r="K25" s="618"/>
      <c r="L25" s="618"/>
      <c r="M25" s="618"/>
      <c r="N25" s="618"/>
      <c r="O25" s="618"/>
      <c r="P25" s="618"/>
      <c r="Q25" s="618"/>
      <c r="R25" s="618"/>
      <c r="S25" s="618"/>
      <c r="T25" s="618"/>
      <c r="U25" s="618"/>
      <c r="V25" s="618"/>
      <c r="W25" s="618"/>
      <c r="X25" s="618"/>
      <c r="Y25" s="618"/>
      <c r="Z25" s="618"/>
    </row>
    <row r="26">
      <c r="A26" s="611" t="s">
        <v>475</v>
      </c>
      <c r="B26" s="593" t="s">
        <v>456</v>
      </c>
      <c r="C26" s="612" t="s">
        <v>459</v>
      </c>
      <c r="D26" s="613">
        <v>4.976</v>
      </c>
      <c r="E26" s="614">
        <v>20.0</v>
      </c>
      <c r="F26" s="615">
        <f>D26*5.77</f>
        <v>28.71152</v>
      </c>
      <c r="G26" s="604">
        <f t="shared" si="4"/>
        <v>0.0008016501715</v>
      </c>
      <c r="H26" s="616"/>
      <c r="I26" s="617">
        <v>0.0</v>
      </c>
      <c r="J26" s="614"/>
      <c r="K26" s="618"/>
      <c r="L26" s="618"/>
      <c r="M26" s="618"/>
      <c r="N26" s="618"/>
      <c r="O26" s="618"/>
      <c r="P26" s="618"/>
      <c r="Q26" s="618"/>
      <c r="R26" s="618"/>
      <c r="S26" s="618"/>
      <c r="T26" s="618"/>
      <c r="U26" s="618"/>
      <c r="V26" s="618"/>
      <c r="W26" s="618"/>
      <c r="X26" s="618"/>
      <c r="Y26" s="618"/>
      <c r="Z26" s="618"/>
    </row>
    <row r="27">
      <c r="A27" s="611" t="s">
        <v>476</v>
      </c>
      <c r="B27" s="593" t="s">
        <v>456</v>
      </c>
      <c r="C27" s="612" t="s">
        <v>459</v>
      </c>
      <c r="D27" s="612" t="s">
        <v>359</v>
      </c>
      <c r="E27" s="614">
        <v>50.0</v>
      </c>
      <c r="F27" s="615">
        <v>0.0</v>
      </c>
      <c r="G27" s="604" t="str">
        <f t="shared" si="4"/>
        <v/>
      </c>
      <c r="H27" s="616"/>
      <c r="I27" s="617">
        <v>0.0</v>
      </c>
      <c r="J27" s="614"/>
      <c r="K27" s="618"/>
      <c r="L27" s="618"/>
      <c r="M27" s="618"/>
      <c r="N27" s="618"/>
      <c r="O27" s="618"/>
      <c r="P27" s="618"/>
      <c r="Q27" s="618"/>
      <c r="R27" s="618"/>
      <c r="S27" s="618"/>
      <c r="T27" s="618"/>
      <c r="U27" s="618"/>
      <c r="V27" s="618"/>
      <c r="W27" s="618"/>
      <c r="X27" s="618"/>
      <c r="Y27" s="618"/>
      <c r="Z27" s="618"/>
    </row>
    <row r="28">
      <c r="A28" s="349" t="s">
        <v>477</v>
      </c>
      <c r="B28" s="593" t="s">
        <v>478</v>
      </c>
      <c r="C28" s="593" t="s">
        <v>459</v>
      </c>
      <c r="D28" s="603">
        <v>0.718</v>
      </c>
      <c r="E28" s="340">
        <v>100.0</v>
      </c>
      <c r="F28" s="351">
        <f>D28*759</f>
        <v>544.962</v>
      </c>
      <c r="G28" s="604">
        <f t="shared" si="4"/>
        <v>0.01521580469</v>
      </c>
      <c r="H28" s="605"/>
      <c r="I28" s="608">
        <v>2.0</v>
      </c>
      <c r="J28" s="584">
        <f>I28*1559</f>
        <v>3118</v>
      </c>
      <c r="K28" s="596"/>
      <c r="L28" s="596"/>
      <c r="M28" s="596"/>
      <c r="N28" s="596"/>
      <c r="O28" s="596"/>
      <c r="P28" s="596"/>
      <c r="Q28" s="596"/>
      <c r="R28" s="596"/>
      <c r="S28" s="596"/>
      <c r="T28" s="596"/>
      <c r="U28" s="596"/>
      <c r="V28" s="596"/>
      <c r="W28" s="596"/>
      <c r="X28" s="596"/>
      <c r="Y28" s="596"/>
      <c r="Z28" s="596"/>
    </row>
    <row r="29">
      <c r="A29" s="349" t="s">
        <v>479</v>
      </c>
      <c r="B29" s="593" t="s">
        <v>478</v>
      </c>
      <c r="C29" s="593" t="s">
        <v>459</v>
      </c>
      <c r="D29" s="603">
        <v>5.8E-9</v>
      </c>
      <c r="E29" s="340">
        <v>175.0</v>
      </c>
      <c r="F29" s="351">
        <f>D29*44054474896.37</f>
        <v>255.5159544</v>
      </c>
      <c r="G29" s="604">
        <f t="shared" si="4"/>
        <v>0.007134223778</v>
      </c>
      <c r="H29" s="605"/>
      <c r="I29" s="608">
        <v>2.0</v>
      </c>
      <c r="J29" s="346">
        <f>0.0000000058*44054474896.37</f>
        <v>255.5159544</v>
      </c>
      <c r="K29" s="596"/>
      <c r="L29" s="596"/>
      <c r="M29" s="596"/>
      <c r="N29" s="596"/>
      <c r="O29" s="596"/>
      <c r="P29" s="596"/>
      <c r="Q29" s="596"/>
      <c r="R29" s="596"/>
      <c r="S29" s="596"/>
      <c r="T29" s="596"/>
      <c r="U29" s="596"/>
      <c r="V29" s="596"/>
      <c r="W29" s="596"/>
      <c r="X29" s="596"/>
      <c r="Y29" s="596"/>
      <c r="Z29" s="596"/>
    </row>
    <row r="30">
      <c r="A30" s="349" t="s">
        <v>480</v>
      </c>
      <c r="B30" s="593" t="s">
        <v>478</v>
      </c>
      <c r="C30" s="593" t="s">
        <v>459</v>
      </c>
      <c r="D30" s="603">
        <v>0.0</v>
      </c>
      <c r="E30" s="340">
        <f>358</f>
        <v>358</v>
      </c>
      <c r="F30" s="351">
        <v>0.0</v>
      </c>
      <c r="G30" s="604" t="str">
        <f t="shared" si="4"/>
        <v/>
      </c>
      <c r="H30" s="605"/>
      <c r="I30" s="608">
        <v>2.0</v>
      </c>
      <c r="J30" s="584"/>
      <c r="K30" s="596"/>
      <c r="L30" s="596"/>
      <c r="M30" s="596"/>
      <c r="N30" s="596"/>
      <c r="O30" s="596"/>
      <c r="P30" s="596"/>
      <c r="Q30" s="596"/>
      <c r="R30" s="596"/>
      <c r="S30" s="596"/>
      <c r="T30" s="596"/>
      <c r="U30" s="596"/>
      <c r="V30" s="596"/>
      <c r="W30" s="596"/>
      <c r="X30" s="596"/>
      <c r="Y30" s="596"/>
      <c r="Z30" s="596"/>
    </row>
    <row r="31">
      <c r="A31" s="349" t="s">
        <v>481</v>
      </c>
      <c r="B31" s="593" t="s">
        <v>482</v>
      </c>
      <c r="C31" s="593" t="s">
        <v>459</v>
      </c>
      <c r="D31" s="603">
        <v>17.0</v>
      </c>
      <c r="E31" s="340">
        <v>17.0</v>
      </c>
      <c r="F31" s="351">
        <v>17.0</v>
      </c>
      <c r="G31" s="604">
        <f t="shared" si="4"/>
        <v>0.000474654526</v>
      </c>
      <c r="H31" s="605"/>
      <c r="I31" s="619">
        <v>17.0</v>
      </c>
      <c r="J31" s="584"/>
      <c r="K31" s="596"/>
      <c r="L31" s="596"/>
      <c r="M31" s="596"/>
      <c r="N31" s="596"/>
      <c r="O31" s="596"/>
      <c r="P31" s="596"/>
      <c r="Q31" s="596"/>
      <c r="R31" s="596"/>
      <c r="S31" s="596"/>
      <c r="T31" s="596"/>
      <c r="U31" s="596"/>
      <c r="V31" s="596"/>
      <c r="W31" s="596"/>
      <c r="X31" s="596"/>
      <c r="Y31" s="596"/>
      <c r="Z31" s="596"/>
    </row>
    <row r="32">
      <c r="A32" s="349" t="s">
        <v>483</v>
      </c>
      <c r="B32" s="593" t="s">
        <v>482</v>
      </c>
      <c r="C32" s="593" t="s">
        <v>459</v>
      </c>
      <c r="D32" s="603">
        <v>12.6</v>
      </c>
      <c r="E32" s="340">
        <v>10.0</v>
      </c>
      <c r="F32" s="351">
        <f>D32*1.01</f>
        <v>12.726</v>
      </c>
      <c r="G32" s="604">
        <f t="shared" si="4"/>
        <v>0.000355320794</v>
      </c>
      <c r="H32" s="605"/>
      <c r="I32" s="608">
        <v>200.0</v>
      </c>
      <c r="J32" s="584">
        <f t="shared" ref="J32:J34" si="6">I32*1</f>
        <v>200</v>
      </c>
      <c r="K32" s="596"/>
      <c r="L32" s="596"/>
      <c r="M32" s="596"/>
      <c r="N32" s="596"/>
      <c r="O32" s="596"/>
      <c r="P32" s="596"/>
      <c r="Q32" s="596"/>
      <c r="R32" s="596"/>
      <c r="S32" s="596"/>
      <c r="T32" s="596"/>
      <c r="U32" s="596"/>
      <c r="V32" s="596"/>
      <c r="W32" s="596"/>
      <c r="X32" s="596"/>
      <c r="Y32" s="596"/>
      <c r="Z32" s="596"/>
    </row>
    <row r="33">
      <c r="A33" s="349" t="s">
        <v>484</v>
      </c>
      <c r="B33" s="593" t="s">
        <v>482</v>
      </c>
      <c r="C33" s="593" t="s">
        <v>459</v>
      </c>
      <c r="D33" s="603">
        <v>1.0</v>
      </c>
      <c r="E33" s="340">
        <v>100.0</v>
      </c>
      <c r="F33" s="351">
        <v>102.0</v>
      </c>
      <c r="G33" s="604">
        <f t="shared" si="4"/>
        <v>0.002847927156</v>
      </c>
      <c r="H33" s="605"/>
      <c r="I33" s="608">
        <v>2000.0</v>
      </c>
      <c r="J33" s="584">
        <f t="shared" si="6"/>
        <v>2000</v>
      </c>
      <c r="K33" s="596"/>
      <c r="L33" s="596"/>
      <c r="M33" s="596"/>
      <c r="N33" s="596"/>
      <c r="O33" s="596"/>
      <c r="P33" s="596"/>
      <c r="Q33" s="596"/>
      <c r="R33" s="596"/>
      <c r="S33" s="596"/>
      <c r="T33" s="596"/>
      <c r="U33" s="596"/>
      <c r="V33" s="596"/>
      <c r="W33" s="596"/>
      <c r="X33" s="596"/>
      <c r="Y33" s="596"/>
      <c r="Z33" s="596"/>
    </row>
    <row r="34">
      <c r="A34" s="349" t="s">
        <v>485</v>
      </c>
      <c r="B34" s="593" t="s">
        <v>482</v>
      </c>
      <c r="C34" s="593" t="s">
        <v>459</v>
      </c>
      <c r="D34" s="603">
        <v>1766.0</v>
      </c>
      <c r="E34" s="340">
        <v>36.94</v>
      </c>
      <c r="F34" s="351">
        <v>0.0</v>
      </c>
      <c r="G34" s="604" t="str">
        <f t="shared" si="4"/>
        <v/>
      </c>
      <c r="H34" s="605"/>
      <c r="I34" s="608">
        <v>1000.0</v>
      </c>
      <c r="J34" s="584">
        <f t="shared" si="6"/>
        <v>1000</v>
      </c>
      <c r="K34" s="596"/>
      <c r="L34" s="596"/>
      <c r="M34" s="596"/>
      <c r="N34" s="596"/>
      <c r="O34" s="596"/>
      <c r="P34" s="596"/>
      <c r="Q34" s="596"/>
      <c r="R34" s="596"/>
      <c r="S34" s="596"/>
      <c r="T34" s="596"/>
      <c r="U34" s="596"/>
      <c r="V34" s="596"/>
      <c r="W34" s="596"/>
      <c r="X34" s="596"/>
      <c r="Y34" s="596"/>
      <c r="Z34" s="596"/>
    </row>
    <row r="35">
      <c r="A35" s="349" t="s">
        <v>486</v>
      </c>
      <c r="B35" s="593" t="s">
        <v>487</v>
      </c>
      <c r="C35" s="593" t="s">
        <v>459</v>
      </c>
      <c r="D35" s="593" t="s">
        <v>359</v>
      </c>
      <c r="E35" s="340">
        <v>116.0</v>
      </c>
      <c r="F35" s="351">
        <v>0.0</v>
      </c>
      <c r="G35" s="604" t="str">
        <f t="shared" si="4"/>
        <v/>
      </c>
      <c r="H35" s="605"/>
      <c r="I35" s="608">
        <v>500.0</v>
      </c>
      <c r="J35" s="584"/>
      <c r="K35" s="596"/>
      <c r="L35" s="596"/>
      <c r="M35" s="596"/>
      <c r="N35" s="596"/>
      <c r="O35" s="596"/>
      <c r="P35" s="596"/>
      <c r="Q35" s="596"/>
      <c r="R35" s="596"/>
      <c r="S35" s="596"/>
      <c r="T35" s="596"/>
      <c r="U35" s="596"/>
      <c r="V35" s="596"/>
      <c r="W35" s="596"/>
      <c r="X35" s="596"/>
      <c r="Y35" s="596"/>
      <c r="Z35" s="596"/>
    </row>
    <row r="36">
      <c r="A36" s="349" t="s">
        <v>488</v>
      </c>
      <c r="B36" s="593" t="s">
        <v>489</v>
      </c>
      <c r="C36" s="612"/>
      <c r="D36" s="612"/>
      <c r="E36" s="614"/>
      <c r="F36" s="615"/>
      <c r="G36" s="604" t="str">
        <f t="shared" si="4"/>
        <v/>
      </c>
      <c r="H36" s="616"/>
      <c r="I36" s="617"/>
      <c r="J36" s="614"/>
      <c r="K36" s="618"/>
      <c r="L36" s="618"/>
      <c r="M36" s="618"/>
      <c r="N36" s="618"/>
      <c r="O36" s="618"/>
      <c r="P36" s="618"/>
      <c r="Q36" s="618"/>
      <c r="R36" s="618"/>
      <c r="S36" s="618"/>
      <c r="T36" s="618"/>
      <c r="U36" s="618"/>
      <c r="V36" s="618"/>
      <c r="W36" s="618"/>
      <c r="X36" s="618"/>
      <c r="Y36" s="618"/>
      <c r="Z36" s="618"/>
    </row>
    <row r="37">
      <c r="A37" s="349" t="s">
        <v>490</v>
      </c>
      <c r="B37" s="593" t="s">
        <v>489</v>
      </c>
      <c r="C37" s="612"/>
      <c r="D37" s="612"/>
      <c r="E37" s="614"/>
      <c r="F37" s="615"/>
      <c r="G37" s="604" t="str">
        <f t="shared" si="4"/>
        <v/>
      </c>
      <c r="H37" s="616"/>
      <c r="I37" s="617"/>
      <c r="J37" s="614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</row>
    <row r="38">
      <c r="A38" s="349" t="s">
        <v>491</v>
      </c>
      <c r="B38" s="593" t="s">
        <v>489</v>
      </c>
      <c r="C38" s="612"/>
      <c r="D38" s="612"/>
      <c r="E38" s="614"/>
      <c r="F38" s="615"/>
      <c r="G38" s="604" t="str">
        <f t="shared" si="4"/>
        <v/>
      </c>
      <c r="H38" s="616"/>
      <c r="I38" s="617"/>
      <c r="J38" s="614"/>
      <c r="K38" s="618"/>
      <c r="L38" s="618"/>
      <c r="M38" s="618"/>
      <c r="N38" s="618"/>
      <c r="O38" s="618"/>
      <c r="P38" s="618"/>
      <c r="Q38" s="618"/>
      <c r="R38" s="618"/>
      <c r="S38" s="618"/>
      <c r="T38" s="618"/>
      <c r="U38" s="618"/>
      <c r="V38" s="618"/>
      <c r="W38" s="618"/>
      <c r="X38" s="618"/>
      <c r="Y38" s="618"/>
      <c r="Z38" s="618"/>
    </row>
    <row r="39">
      <c r="A39" s="349" t="s">
        <v>492</v>
      </c>
      <c r="B39" s="593" t="s">
        <v>489</v>
      </c>
      <c r="C39" s="612"/>
      <c r="D39" s="612"/>
      <c r="E39" s="614"/>
      <c r="F39" s="615"/>
      <c r="G39" s="604" t="str">
        <f t="shared" si="4"/>
        <v/>
      </c>
      <c r="H39" s="616"/>
      <c r="I39" s="617"/>
      <c r="J39" s="614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8"/>
      <c r="V39" s="618"/>
      <c r="W39" s="618"/>
      <c r="X39" s="618"/>
      <c r="Y39" s="618"/>
      <c r="Z39" s="618"/>
    </row>
    <row r="40">
      <c r="A40" s="349" t="s">
        <v>493</v>
      </c>
      <c r="B40" s="593" t="s">
        <v>489</v>
      </c>
      <c r="C40" s="612"/>
      <c r="D40" s="612"/>
      <c r="E40" s="614"/>
      <c r="F40" s="615"/>
      <c r="G40" s="604" t="str">
        <f t="shared" si="4"/>
        <v/>
      </c>
      <c r="H40" s="616"/>
      <c r="I40" s="617"/>
      <c r="J40" s="614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U40" s="618"/>
      <c r="V40" s="618"/>
      <c r="W40" s="618"/>
      <c r="X40" s="618"/>
      <c r="Y40" s="618"/>
      <c r="Z40" s="618"/>
    </row>
    <row r="41">
      <c r="A41" s="349" t="s">
        <v>494</v>
      </c>
      <c r="B41" s="593" t="s">
        <v>489</v>
      </c>
      <c r="C41" s="612"/>
      <c r="D41" s="612"/>
      <c r="E41" s="614"/>
      <c r="F41" s="615"/>
      <c r="G41" s="604" t="str">
        <f t="shared" si="4"/>
        <v/>
      </c>
      <c r="H41" s="616"/>
      <c r="I41" s="617"/>
      <c r="J41" s="614"/>
      <c r="K41" s="618"/>
      <c r="L41" s="618"/>
      <c r="M41" s="618"/>
      <c r="N41" s="618"/>
      <c r="O41" s="618"/>
      <c r="P41" s="618"/>
      <c r="Q41" s="618"/>
      <c r="R41" s="618"/>
      <c r="S41" s="618"/>
      <c r="T41" s="618"/>
      <c r="U41" s="618"/>
      <c r="V41" s="618"/>
      <c r="W41" s="618"/>
      <c r="X41" s="618"/>
      <c r="Y41" s="618"/>
      <c r="Z41" s="618"/>
    </row>
    <row r="42">
      <c r="A42" s="349" t="s">
        <v>495</v>
      </c>
      <c r="B42" s="593" t="s">
        <v>489</v>
      </c>
      <c r="C42" s="612"/>
      <c r="D42" s="612"/>
      <c r="E42" s="614"/>
      <c r="F42" s="615"/>
      <c r="G42" s="604" t="str">
        <f t="shared" si="4"/>
        <v/>
      </c>
      <c r="H42" s="616"/>
      <c r="I42" s="617"/>
      <c r="J42" s="614"/>
      <c r="K42" s="618"/>
      <c r="L42" s="618"/>
      <c r="M42" s="618"/>
      <c r="N42" s="618"/>
      <c r="O42" s="618"/>
      <c r="P42" s="618"/>
      <c r="Q42" s="618"/>
      <c r="R42" s="618"/>
      <c r="S42" s="618"/>
      <c r="T42" s="618"/>
      <c r="U42" s="618"/>
      <c r="V42" s="618"/>
      <c r="W42" s="618"/>
      <c r="X42" s="618"/>
      <c r="Y42" s="618"/>
      <c r="Z42" s="618"/>
    </row>
    <row r="43">
      <c r="A43" s="349" t="s">
        <v>422</v>
      </c>
      <c r="B43" s="593" t="s">
        <v>489</v>
      </c>
      <c r="C43" s="612"/>
      <c r="D43" s="612"/>
      <c r="E43" s="614">
        <f>sum(5000,500)</f>
        <v>5500</v>
      </c>
      <c r="F43" s="615"/>
      <c r="G43" s="604" t="str">
        <f t="shared" si="4"/>
        <v/>
      </c>
      <c r="H43" s="616"/>
      <c r="I43" s="617"/>
      <c r="J43" s="614"/>
      <c r="K43" s="618"/>
      <c r="L43" s="618"/>
      <c r="M43" s="618"/>
      <c r="N43" s="618"/>
      <c r="O43" s="618"/>
      <c r="P43" s="618"/>
      <c r="Q43" s="618"/>
      <c r="R43" s="618"/>
      <c r="S43" s="618"/>
      <c r="T43" s="618"/>
      <c r="U43" s="618"/>
      <c r="V43" s="618"/>
      <c r="W43" s="618"/>
      <c r="X43" s="618"/>
      <c r="Y43" s="618"/>
      <c r="Z43" s="618"/>
    </row>
    <row r="44">
      <c r="A44" s="349" t="s">
        <v>496</v>
      </c>
      <c r="B44" s="593" t="s">
        <v>497</v>
      </c>
      <c r="C44" s="612"/>
      <c r="D44" s="612"/>
      <c r="E44" s="614"/>
      <c r="F44" s="615"/>
      <c r="G44" s="604" t="str">
        <f t="shared" si="4"/>
        <v/>
      </c>
      <c r="H44" s="616"/>
      <c r="I44" s="617"/>
      <c r="J44" s="614"/>
      <c r="K44" s="618"/>
      <c r="L44" s="618"/>
      <c r="M44" s="618"/>
      <c r="N44" s="618"/>
      <c r="O44" s="618"/>
      <c r="P44" s="618"/>
      <c r="Q44" s="618"/>
      <c r="R44" s="618"/>
      <c r="S44" s="618"/>
      <c r="T44" s="618"/>
      <c r="U44" s="618"/>
      <c r="V44" s="618"/>
      <c r="W44" s="618"/>
      <c r="X44" s="618"/>
      <c r="Y44" s="618"/>
      <c r="Z44" s="618"/>
    </row>
    <row r="45">
      <c r="A45" s="349" t="s">
        <v>496</v>
      </c>
      <c r="B45" s="593" t="s">
        <v>497</v>
      </c>
      <c r="C45" s="612"/>
      <c r="D45" s="612"/>
      <c r="E45" s="614"/>
      <c r="F45" s="615"/>
      <c r="G45" s="604" t="str">
        <f t="shared" si="4"/>
        <v/>
      </c>
      <c r="H45" s="616"/>
      <c r="I45" s="617"/>
      <c r="J45" s="614"/>
      <c r="K45" s="618"/>
      <c r="L45" s="618"/>
      <c r="M45" s="618"/>
      <c r="N45" s="618"/>
      <c r="O45" s="618"/>
      <c r="P45" s="618"/>
      <c r="Q45" s="618"/>
      <c r="R45" s="618"/>
      <c r="S45" s="618"/>
      <c r="T45" s="618"/>
      <c r="U45" s="618"/>
      <c r="V45" s="618"/>
      <c r="W45" s="618"/>
      <c r="X45" s="618"/>
      <c r="Y45" s="618"/>
      <c r="Z45" s="618"/>
    </row>
    <row r="46">
      <c r="A46" s="349" t="s">
        <v>498</v>
      </c>
      <c r="B46" s="593" t="s">
        <v>499</v>
      </c>
      <c r="C46" s="620"/>
      <c r="D46" s="621">
        <v>0.0</v>
      </c>
      <c r="E46" s="594">
        <v>0.0</v>
      </c>
      <c r="F46" s="594">
        <v>0.0</v>
      </c>
      <c r="G46" s="604" t="str">
        <f t="shared" si="4"/>
        <v/>
      </c>
      <c r="H46" s="594"/>
      <c r="I46" s="584"/>
      <c r="J46" s="584"/>
      <c r="K46" s="596"/>
      <c r="L46" s="596"/>
      <c r="M46" s="596"/>
      <c r="N46" s="596"/>
      <c r="O46" s="596"/>
      <c r="P46" s="596"/>
      <c r="Q46" s="596"/>
      <c r="R46" s="596"/>
      <c r="S46" s="596"/>
      <c r="T46" s="596"/>
      <c r="U46" s="596"/>
      <c r="V46" s="596"/>
      <c r="W46" s="596"/>
      <c r="X46" s="596"/>
      <c r="Y46" s="596"/>
      <c r="Z46" s="596"/>
    </row>
    <row r="47">
      <c r="A47" s="349" t="s">
        <v>500</v>
      </c>
      <c r="B47" s="593" t="s">
        <v>499</v>
      </c>
      <c r="C47" s="620"/>
      <c r="D47" s="621">
        <v>2.0</v>
      </c>
      <c r="E47" s="594">
        <v>3000.0</v>
      </c>
      <c r="F47" s="340">
        <f>E47*2</f>
        <v>6000</v>
      </c>
      <c r="G47" s="604">
        <f t="shared" si="4"/>
        <v>0.1675251268</v>
      </c>
      <c r="H47" s="582"/>
      <c r="I47" s="584"/>
      <c r="J47" s="584"/>
      <c r="K47" s="596"/>
      <c r="L47" s="596"/>
      <c r="M47" s="596"/>
      <c r="N47" s="596"/>
      <c r="O47" s="596"/>
      <c r="P47" s="596"/>
      <c r="Q47" s="596"/>
      <c r="R47" s="596"/>
      <c r="S47" s="596"/>
      <c r="T47" s="596"/>
      <c r="U47" s="596"/>
      <c r="V47" s="596"/>
      <c r="W47" s="596"/>
      <c r="X47" s="596"/>
      <c r="Y47" s="596"/>
      <c r="Z47" s="596"/>
    </row>
    <row r="48">
      <c r="A48" s="349" t="s">
        <v>501</v>
      </c>
      <c r="B48" s="593" t="s">
        <v>499</v>
      </c>
      <c r="C48" s="620"/>
      <c r="D48" s="621">
        <v>2.0</v>
      </c>
      <c r="E48" s="594">
        <v>1000.0</v>
      </c>
      <c r="F48" s="340">
        <f t="shared" ref="F48:F50" si="7">E48</f>
        <v>1000</v>
      </c>
      <c r="G48" s="604">
        <f t="shared" si="4"/>
        <v>0.02792085447</v>
      </c>
      <c r="H48" s="582"/>
      <c r="I48" s="584"/>
      <c r="J48" s="584"/>
      <c r="K48" s="596"/>
      <c r="L48" s="596"/>
      <c r="M48" s="596"/>
      <c r="N48" s="596"/>
      <c r="O48" s="596"/>
      <c r="P48" s="596"/>
      <c r="Q48" s="596"/>
      <c r="R48" s="596"/>
      <c r="S48" s="596"/>
      <c r="T48" s="596"/>
      <c r="U48" s="596"/>
      <c r="V48" s="596"/>
      <c r="W48" s="596"/>
      <c r="X48" s="596"/>
      <c r="Y48" s="596"/>
      <c r="Z48" s="596"/>
    </row>
    <row r="49">
      <c r="A49" s="349" t="s">
        <v>502</v>
      </c>
      <c r="B49" s="593" t="s">
        <v>499</v>
      </c>
      <c r="C49" s="620"/>
      <c r="D49" s="621">
        <v>2.0</v>
      </c>
      <c r="E49" s="594">
        <v>1200.0</v>
      </c>
      <c r="F49" s="340">
        <f t="shared" si="7"/>
        <v>1200</v>
      </c>
      <c r="G49" s="604">
        <f t="shared" si="4"/>
        <v>0.03350502536</v>
      </c>
      <c r="H49" s="582"/>
      <c r="I49" s="584"/>
      <c r="J49" s="584"/>
      <c r="K49" s="596"/>
      <c r="L49" s="596"/>
      <c r="M49" s="596"/>
      <c r="N49" s="596"/>
      <c r="O49" s="596"/>
      <c r="P49" s="596"/>
      <c r="Q49" s="596"/>
      <c r="R49" s="596"/>
      <c r="S49" s="596"/>
      <c r="T49" s="596"/>
      <c r="U49" s="596"/>
      <c r="V49" s="596"/>
      <c r="W49" s="596"/>
      <c r="X49" s="596"/>
      <c r="Y49" s="596"/>
      <c r="Z49" s="596"/>
    </row>
    <row r="50">
      <c r="A50" s="349" t="s">
        <v>503</v>
      </c>
      <c r="B50" s="593" t="s">
        <v>499</v>
      </c>
      <c r="C50" s="620"/>
      <c r="D50" s="621">
        <v>3.0</v>
      </c>
      <c r="E50" s="594">
        <f>8000</f>
        <v>8000</v>
      </c>
      <c r="F50" s="340">
        <f t="shared" si="7"/>
        <v>8000</v>
      </c>
      <c r="G50" s="604">
        <f t="shared" si="4"/>
        <v>0.2233668358</v>
      </c>
      <c r="H50" s="582"/>
      <c r="I50" s="584"/>
      <c r="J50" s="584"/>
      <c r="K50" s="596"/>
      <c r="L50" s="596"/>
      <c r="M50" s="596"/>
      <c r="N50" s="596"/>
      <c r="O50" s="596"/>
      <c r="P50" s="596"/>
      <c r="Q50" s="596"/>
      <c r="R50" s="596"/>
      <c r="S50" s="596"/>
      <c r="T50" s="596"/>
      <c r="U50" s="596"/>
      <c r="V50" s="596"/>
      <c r="W50" s="596"/>
      <c r="X50" s="596"/>
      <c r="Y50" s="596"/>
      <c r="Z50" s="596"/>
    </row>
    <row r="51">
      <c r="A51" s="349" t="s">
        <v>504</v>
      </c>
      <c r="B51" s="593" t="s">
        <v>499</v>
      </c>
      <c r="C51" s="620"/>
      <c r="D51" s="621">
        <v>0.0</v>
      </c>
      <c r="E51" s="594">
        <v>0.0</v>
      </c>
      <c r="F51" s="594">
        <v>0.0</v>
      </c>
      <c r="G51" s="604" t="str">
        <f t="shared" si="4"/>
        <v/>
      </c>
      <c r="H51" s="582"/>
      <c r="I51" s="584"/>
      <c r="J51" s="584"/>
      <c r="K51" s="596"/>
      <c r="L51" s="596"/>
      <c r="M51" s="596"/>
      <c r="N51" s="596"/>
      <c r="O51" s="596"/>
      <c r="P51" s="596"/>
      <c r="Q51" s="596"/>
      <c r="R51" s="596"/>
      <c r="S51" s="596"/>
      <c r="T51" s="596"/>
      <c r="U51" s="596"/>
      <c r="V51" s="596"/>
      <c r="W51" s="596"/>
      <c r="X51" s="596"/>
      <c r="Y51" s="596"/>
      <c r="Z51" s="596"/>
    </row>
    <row r="52">
      <c r="A52" s="349" t="s">
        <v>505</v>
      </c>
      <c r="B52" s="593" t="s">
        <v>499</v>
      </c>
      <c r="C52" s="620"/>
      <c r="D52" s="621">
        <v>0.0</v>
      </c>
      <c r="E52" s="594">
        <v>0.0</v>
      </c>
      <c r="F52" s="594">
        <v>0.0</v>
      </c>
      <c r="G52" s="604" t="str">
        <f t="shared" si="4"/>
        <v/>
      </c>
      <c r="H52" s="582"/>
      <c r="I52" s="584"/>
      <c r="J52" s="584"/>
      <c r="K52" s="596"/>
      <c r="L52" s="596"/>
      <c r="M52" s="596"/>
      <c r="N52" s="596"/>
      <c r="O52" s="596"/>
      <c r="P52" s="596"/>
      <c r="Q52" s="596"/>
      <c r="R52" s="596"/>
      <c r="S52" s="596"/>
      <c r="T52" s="596"/>
      <c r="U52" s="596"/>
      <c r="V52" s="596"/>
      <c r="W52" s="596"/>
      <c r="X52" s="596"/>
      <c r="Y52" s="596"/>
      <c r="Z52" s="596"/>
    </row>
    <row r="53">
      <c r="A53" s="349" t="s">
        <v>506</v>
      </c>
      <c r="B53" s="593" t="s">
        <v>499</v>
      </c>
      <c r="C53" s="620"/>
      <c r="D53" s="621">
        <v>1.0</v>
      </c>
      <c r="E53" s="594">
        <v>300.0</v>
      </c>
      <c r="F53" s="340">
        <f t="shared" ref="F53:F54" si="8">E53</f>
        <v>300</v>
      </c>
      <c r="G53" s="604">
        <f t="shared" si="4"/>
        <v>0.008376256341</v>
      </c>
      <c r="H53" s="582"/>
      <c r="I53" s="584"/>
      <c r="J53" s="584"/>
      <c r="K53" s="596"/>
      <c r="L53" s="596"/>
      <c r="M53" s="596"/>
      <c r="N53" s="596"/>
      <c r="O53" s="596"/>
      <c r="P53" s="596"/>
      <c r="Q53" s="596"/>
      <c r="R53" s="596"/>
      <c r="S53" s="596"/>
      <c r="T53" s="596"/>
      <c r="U53" s="596"/>
      <c r="V53" s="596"/>
      <c r="W53" s="596"/>
      <c r="X53" s="596"/>
      <c r="Y53" s="596"/>
      <c r="Z53" s="596"/>
    </row>
    <row r="54">
      <c r="A54" s="349" t="s">
        <v>507</v>
      </c>
      <c r="B54" s="593" t="s">
        <v>499</v>
      </c>
      <c r="C54" s="620"/>
      <c r="D54" s="621">
        <v>1.0</v>
      </c>
      <c r="E54" s="594">
        <v>400.0</v>
      </c>
      <c r="F54" s="340">
        <f t="shared" si="8"/>
        <v>400</v>
      </c>
      <c r="G54" s="604">
        <f t="shared" si="4"/>
        <v>0.01116834179</v>
      </c>
      <c r="H54" s="582"/>
      <c r="I54" s="584"/>
      <c r="J54" s="584"/>
      <c r="K54" s="596"/>
      <c r="L54" s="596"/>
      <c r="M54" s="596"/>
      <c r="N54" s="596"/>
      <c r="O54" s="596"/>
      <c r="P54" s="596"/>
      <c r="Q54" s="596"/>
      <c r="R54" s="596"/>
      <c r="S54" s="596"/>
      <c r="T54" s="596"/>
      <c r="U54" s="596"/>
      <c r="V54" s="596"/>
      <c r="W54" s="596"/>
      <c r="X54" s="596"/>
      <c r="Y54" s="596"/>
      <c r="Z54" s="596"/>
    </row>
    <row r="55">
      <c r="A55" s="622"/>
      <c r="B55" s="623"/>
      <c r="C55" s="623"/>
      <c r="D55" s="623"/>
      <c r="E55" s="624">
        <v>0.0</v>
      </c>
      <c r="F55" s="624">
        <v>0.0</v>
      </c>
      <c r="G55" s="625">
        <f>sum(G10:G54 )</f>
        <v>1</v>
      </c>
      <c r="H55" s="625"/>
      <c r="I55" s="624">
        <f t="shared" ref="I55:J55" si="9">sum(I10:I54 )</f>
        <v>5752.1</v>
      </c>
      <c r="J55" s="624">
        <f t="shared" si="9"/>
        <v>502353.516</v>
      </c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Y55" s="592"/>
      <c r="Z55" s="592"/>
    </row>
    <row r="56">
      <c r="A56" s="626"/>
      <c r="B56" s="620"/>
      <c r="C56" s="620"/>
      <c r="D56" s="620"/>
      <c r="E56" s="594"/>
      <c r="F56" s="340"/>
      <c r="G56" s="582"/>
      <c r="H56" s="582"/>
      <c r="I56" s="594"/>
      <c r="J56" s="340"/>
      <c r="K56" s="627"/>
      <c r="L56" s="627"/>
      <c r="M56" s="627"/>
      <c r="N56" s="627"/>
      <c r="O56" s="627"/>
      <c r="P56" s="627"/>
      <c r="Q56" s="627"/>
      <c r="R56" s="627"/>
      <c r="S56" s="627"/>
      <c r="T56" s="627"/>
      <c r="U56" s="627"/>
      <c r="V56" s="627"/>
      <c r="W56" s="627"/>
      <c r="X56" s="627"/>
      <c r="Y56" s="627"/>
      <c r="Z56" s="627"/>
    </row>
    <row r="57">
      <c r="A57" s="597" t="s">
        <v>508</v>
      </c>
      <c r="B57" s="598"/>
      <c r="C57" s="598"/>
      <c r="D57" s="598"/>
      <c r="E57" s="628"/>
      <c r="F57" s="599"/>
      <c r="G57" s="629"/>
      <c r="H57" s="629"/>
      <c r="I57" s="599"/>
      <c r="J57" s="599"/>
      <c r="K57" s="601"/>
      <c r="L57" s="596"/>
      <c r="M57" s="596"/>
      <c r="N57" s="596"/>
      <c r="O57" s="596"/>
      <c r="P57" s="596"/>
      <c r="Q57" s="596"/>
      <c r="R57" s="596"/>
      <c r="S57" s="596"/>
      <c r="T57" s="596"/>
      <c r="U57" s="596"/>
      <c r="V57" s="596"/>
      <c r="W57" s="596"/>
      <c r="X57" s="596"/>
      <c r="Y57" s="596"/>
      <c r="Z57" s="596"/>
    </row>
    <row r="58">
      <c r="A58" s="110" t="s">
        <v>509</v>
      </c>
      <c r="B58" s="593" t="s">
        <v>510</v>
      </c>
      <c r="C58" s="593" t="s">
        <v>45</v>
      </c>
      <c r="D58" s="610">
        <v>1.0</v>
      </c>
      <c r="E58" s="594">
        <f>9*D58</f>
        <v>9</v>
      </c>
      <c r="F58" s="340">
        <f>D58*97.67</f>
        <v>97.67</v>
      </c>
      <c r="G58" s="630">
        <f t="shared" ref="G58:G73" si="10">if(F58&gt;0,F58/sum($F$58:$F$73),"")</f>
        <v>0.5235874343</v>
      </c>
      <c r="H58" s="582"/>
      <c r="I58" s="594"/>
      <c r="J58" s="594"/>
      <c r="K58" s="631"/>
      <c r="L58" s="631"/>
      <c r="M58" s="631"/>
      <c r="N58" s="631"/>
      <c r="O58" s="631"/>
      <c r="P58" s="631"/>
      <c r="Q58" s="631"/>
      <c r="R58" s="631"/>
      <c r="S58" s="631"/>
      <c r="T58" s="631"/>
      <c r="U58" s="631"/>
      <c r="V58" s="631"/>
      <c r="W58" s="631"/>
      <c r="X58" s="631"/>
      <c r="Y58" s="631"/>
      <c r="Z58" s="631"/>
    </row>
    <row r="59">
      <c r="A59" s="471" t="s">
        <v>511</v>
      </c>
      <c r="B59" s="593" t="s">
        <v>510</v>
      </c>
      <c r="C59" s="593" t="s">
        <v>45</v>
      </c>
      <c r="D59" s="610">
        <v>1.0</v>
      </c>
      <c r="E59" s="594">
        <v>0.0</v>
      </c>
      <c r="F59" s="594">
        <f>D59*28.5</f>
        <v>28.5</v>
      </c>
      <c r="G59" s="630">
        <f t="shared" si="10"/>
        <v>0.1527822451</v>
      </c>
      <c r="H59" s="582"/>
      <c r="I59" s="594"/>
      <c r="J59" s="594"/>
      <c r="K59" s="631"/>
      <c r="L59" s="631"/>
      <c r="M59" s="631"/>
      <c r="N59" s="631"/>
      <c r="O59" s="631"/>
      <c r="P59" s="631"/>
      <c r="Q59" s="631"/>
      <c r="R59" s="631"/>
      <c r="S59" s="631"/>
      <c r="T59" s="631"/>
      <c r="U59" s="631"/>
      <c r="V59" s="631"/>
      <c r="W59" s="631"/>
      <c r="X59" s="631"/>
      <c r="Y59" s="631"/>
      <c r="Z59" s="631"/>
    </row>
    <row r="60">
      <c r="A60" s="110" t="s">
        <v>512</v>
      </c>
      <c r="B60" s="593" t="s">
        <v>510</v>
      </c>
      <c r="C60" s="593" t="s">
        <v>45</v>
      </c>
      <c r="D60" s="610">
        <v>3.0</v>
      </c>
      <c r="E60" s="594">
        <f>9*D60</f>
        <v>27</v>
      </c>
      <c r="F60" s="340">
        <f>D60*11.79</f>
        <v>35.37</v>
      </c>
      <c r="G60" s="630">
        <f t="shared" si="10"/>
        <v>0.1896108073</v>
      </c>
      <c r="H60" s="582"/>
      <c r="I60" s="594"/>
      <c r="J60" s="594"/>
      <c r="K60" s="631"/>
      <c r="L60" s="631"/>
      <c r="M60" s="631"/>
      <c r="N60" s="631"/>
      <c r="O60" s="631"/>
      <c r="P60" s="631"/>
      <c r="Q60" s="631"/>
      <c r="R60" s="631"/>
      <c r="S60" s="631"/>
      <c r="T60" s="631"/>
      <c r="U60" s="631"/>
      <c r="V60" s="631"/>
      <c r="W60" s="631"/>
      <c r="X60" s="631"/>
      <c r="Y60" s="631"/>
      <c r="Z60" s="631"/>
    </row>
    <row r="61">
      <c r="A61" s="110" t="s">
        <v>513</v>
      </c>
      <c r="B61" s="593" t="s">
        <v>510</v>
      </c>
      <c r="C61" s="593" t="s">
        <v>45</v>
      </c>
      <c r="D61" s="610">
        <v>0.0</v>
      </c>
      <c r="E61" s="594">
        <f>D61*330</f>
        <v>0</v>
      </c>
      <c r="F61" s="340">
        <f>D61*196</f>
        <v>0</v>
      </c>
      <c r="G61" s="630" t="str">
        <f t="shared" si="10"/>
        <v/>
      </c>
      <c r="H61" s="582"/>
      <c r="I61" s="594"/>
      <c r="J61" s="594"/>
      <c r="K61" s="631"/>
      <c r="L61" s="631"/>
      <c r="M61" s="631"/>
      <c r="N61" s="631"/>
      <c r="O61" s="631"/>
      <c r="P61" s="631"/>
      <c r="Q61" s="631"/>
      <c r="R61" s="631"/>
      <c r="S61" s="631"/>
      <c r="T61" s="631"/>
      <c r="U61" s="631"/>
      <c r="V61" s="631"/>
      <c r="W61" s="631"/>
      <c r="X61" s="631"/>
      <c r="Y61" s="631"/>
      <c r="Z61" s="631"/>
    </row>
    <row r="62">
      <c r="A62" s="110" t="s">
        <v>514</v>
      </c>
      <c r="B62" s="593" t="s">
        <v>510</v>
      </c>
      <c r="C62" s="593" t="s">
        <v>45</v>
      </c>
      <c r="D62" s="610">
        <v>0.0</v>
      </c>
      <c r="E62" s="594">
        <v>0.0</v>
      </c>
      <c r="F62" s="340">
        <f>D62*43.69</f>
        <v>0</v>
      </c>
      <c r="G62" s="630" t="str">
        <f t="shared" si="10"/>
        <v/>
      </c>
      <c r="H62" s="582"/>
      <c r="I62" s="594"/>
      <c r="J62" s="594"/>
      <c r="K62" s="631"/>
      <c r="L62" s="631"/>
      <c r="M62" s="631"/>
      <c r="N62" s="631"/>
      <c r="O62" s="631"/>
      <c r="P62" s="631"/>
      <c r="Q62" s="631"/>
      <c r="R62" s="631"/>
      <c r="S62" s="631"/>
      <c r="T62" s="631"/>
      <c r="U62" s="631"/>
      <c r="V62" s="631"/>
      <c r="W62" s="631"/>
      <c r="X62" s="631"/>
      <c r="Y62" s="631"/>
      <c r="Z62" s="631"/>
    </row>
    <row r="63">
      <c r="A63" s="110" t="s">
        <v>515</v>
      </c>
      <c r="B63" s="593" t="s">
        <v>510</v>
      </c>
      <c r="C63" s="593" t="s">
        <v>45</v>
      </c>
      <c r="D63" s="610">
        <v>0.0</v>
      </c>
      <c r="E63" s="594">
        <f>D63*13.04</f>
        <v>0</v>
      </c>
      <c r="F63" s="594">
        <f>$D$63*13.04</f>
        <v>0</v>
      </c>
      <c r="G63" s="630" t="str">
        <f t="shared" si="10"/>
        <v/>
      </c>
      <c r="H63" s="582"/>
      <c r="I63" s="594"/>
      <c r="J63" s="594"/>
      <c r="K63" s="631"/>
      <c r="L63" s="631"/>
      <c r="M63" s="631"/>
      <c r="N63" s="631"/>
      <c r="O63" s="631"/>
      <c r="P63" s="631"/>
      <c r="Q63" s="631"/>
      <c r="R63" s="631"/>
      <c r="S63" s="631"/>
      <c r="T63" s="631"/>
      <c r="U63" s="631"/>
      <c r="V63" s="631"/>
      <c r="W63" s="631"/>
      <c r="X63" s="631"/>
      <c r="Y63" s="631"/>
      <c r="Z63" s="631"/>
    </row>
    <row r="64">
      <c r="A64" s="471" t="s">
        <v>516</v>
      </c>
      <c r="B64" s="593" t="s">
        <v>510</v>
      </c>
      <c r="C64" s="593" t="s">
        <v>45</v>
      </c>
      <c r="D64" s="610">
        <v>0.0</v>
      </c>
      <c r="E64" s="594">
        <v>0.0</v>
      </c>
      <c r="F64" s="594">
        <f>D64*469.5</f>
        <v>0</v>
      </c>
      <c r="G64" s="630" t="str">
        <f t="shared" si="10"/>
        <v/>
      </c>
      <c r="H64" s="582"/>
      <c r="I64" s="594"/>
      <c r="J64" s="594"/>
      <c r="K64" s="631"/>
      <c r="L64" s="631"/>
      <c r="M64" s="631"/>
      <c r="N64" s="631"/>
      <c r="O64" s="631"/>
      <c r="P64" s="631"/>
      <c r="Q64" s="631"/>
      <c r="R64" s="631"/>
      <c r="S64" s="631"/>
      <c r="T64" s="631"/>
      <c r="U64" s="631"/>
      <c r="V64" s="631"/>
      <c r="W64" s="631"/>
      <c r="X64" s="631"/>
      <c r="Y64" s="631"/>
      <c r="Z64" s="631"/>
    </row>
    <row r="65">
      <c r="A65" s="110" t="s">
        <v>517</v>
      </c>
      <c r="B65" s="593" t="s">
        <v>510</v>
      </c>
      <c r="C65" s="593" t="s">
        <v>45</v>
      </c>
      <c r="D65" s="610">
        <v>0.0</v>
      </c>
      <c r="E65" s="594">
        <v>0.0</v>
      </c>
      <c r="F65" s="594">
        <f>D65*272.97</f>
        <v>0</v>
      </c>
      <c r="G65" s="630" t="str">
        <f t="shared" si="10"/>
        <v/>
      </c>
      <c r="H65" s="582"/>
      <c r="I65" s="594"/>
      <c r="J65" s="594"/>
      <c r="K65" s="631"/>
      <c r="L65" s="631"/>
      <c r="M65" s="631"/>
      <c r="N65" s="631"/>
      <c r="O65" s="631"/>
      <c r="P65" s="631"/>
      <c r="Q65" s="631"/>
      <c r="R65" s="631"/>
      <c r="S65" s="631"/>
      <c r="T65" s="631"/>
      <c r="U65" s="631"/>
      <c r="V65" s="631"/>
      <c r="W65" s="631"/>
      <c r="X65" s="631"/>
      <c r="Y65" s="631"/>
      <c r="Z65" s="631"/>
    </row>
    <row r="66">
      <c r="A66" s="110" t="s">
        <v>518</v>
      </c>
      <c r="B66" s="593" t="s">
        <v>510</v>
      </c>
      <c r="C66" s="593" t="s">
        <v>45</v>
      </c>
      <c r="D66" s="610">
        <v>0.0</v>
      </c>
      <c r="E66" s="594">
        <v>0.0</v>
      </c>
      <c r="F66" s="340">
        <v>25.0</v>
      </c>
      <c r="G66" s="630">
        <f t="shared" si="10"/>
        <v>0.1340195132</v>
      </c>
      <c r="H66" s="582"/>
      <c r="I66" s="594"/>
      <c r="J66" s="594"/>
      <c r="K66" s="631"/>
      <c r="L66" s="631"/>
      <c r="M66" s="631"/>
      <c r="N66" s="631"/>
      <c r="O66" s="631"/>
      <c r="P66" s="631"/>
      <c r="Q66" s="631"/>
      <c r="R66" s="631"/>
      <c r="S66" s="631"/>
      <c r="T66" s="631"/>
      <c r="U66" s="631"/>
      <c r="V66" s="631"/>
      <c r="W66" s="631"/>
      <c r="X66" s="631"/>
      <c r="Y66" s="631"/>
      <c r="Z66" s="631"/>
    </row>
    <row r="67">
      <c r="A67" s="110" t="s">
        <v>519</v>
      </c>
      <c r="B67" s="593" t="s">
        <v>510</v>
      </c>
      <c r="C67" s="593" t="s">
        <v>45</v>
      </c>
      <c r="D67" s="610">
        <v>0.0</v>
      </c>
      <c r="E67" s="594">
        <v>80.0</v>
      </c>
      <c r="F67" s="340">
        <f>D67</f>
        <v>0</v>
      </c>
      <c r="G67" s="630" t="str">
        <f t="shared" si="10"/>
        <v/>
      </c>
      <c r="H67" s="582"/>
      <c r="I67" s="594"/>
      <c r="J67" s="594"/>
      <c r="K67" s="631"/>
      <c r="L67" s="631"/>
      <c r="M67" s="631"/>
      <c r="N67" s="631"/>
      <c r="O67" s="631"/>
      <c r="P67" s="631"/>
      <c r="Q67" s="631"/>
      <c r="R67" s="631"/>
      <c r="S67" s="631"/>
      <c r="T67" s="631"/>
      <c r="U67" s="631"/>
      <c r="V67" s="631"/>
      <c r="W67" s="631"/>
      <c r="X67" s="631"/>
      <c r="Y67" s="631"/>
      <c r="Z67" s="631"/>
    </row>
    <row r="68">
      <c r="A68" s="110" t="s">
        <v>520</v>
      </c>
      <c r="B68" s="593" t="s">
        <v>510</v>
      </c>
      <c r="C68" s="593" t="s">
        <v>45</v>
      </c>
      <c r="D68" s="610">
        <v>0.0</v>
      </c>
      <c r="E68" s="594">
        <v>20.0</v>
      </c>
      <c r="F68" s="340">
        <f>D68*4.18</f>
        <v>0</v>
      </c>
      <c r="G68" s="630" t="str">
        <f t="shared" si="10"/>
        <v/>
      </c>
      <c r="H68" s="582"/>
      <c r="I68" s="594"/>
      <c r="J68" s="594"/>
      <c r="K68" s="631"/>
      <c r="L68" s="631"/>
      <c r="M68" s="631"/>
      <c r="N68" s="631"/>
      <c r="O68" s="631"/>
      <c r="P68" s="631"/>
      <c r="Q68" s="631"/>
      <c r="R68" s="631"/>
      <c r="S68" s="631"/>
      <c r="T68" s="631"/>
      <c r="U68" s="631"/>
      <c r="V68" s="631"/>
      <c r="W68" s="631"/>
      <c r="X68" s="631"/>
      <c r="Y68" s="631"/>
      <c r="Z68" s="631"/>
    </row>
    <row r="69">
      <c r="A69" s="471" t="s">
        <v>521</v>
      </c>
      <c r="B69" s="593" t="s">
        <v>510</v>
      </c>
      <c r="C69" s="593" t="s">
        <v>45</v>
      </c>
      <c r="D69" s="610">
        <v>0.0</v>
      </c>
      <c r="E69" s="594">
        <v>0.0</v>
      </c>
      <c r="F69" s="594">
        <v>0.0</v>
      </c>
      <c r="G69" s="630" t="str">
        <f t="shared" si="10"/>
        <v/>
      </c>
      <c r="H69" s="582"/>
      <c r="I69" s="594"/>
      <c r="J69" s="594"/>
      <c r="K69" s="631"/>
      <c r="L69" s="631"/>
      <c r="M69" s="631"/>
      <c r="N69" s="631"/>
      <c r="O69" s="631"/>
      <c r="P69" s="631"/>
      <c r="Q69" s="631"/>
      <c r="R69" s="631"/>
      <c r="S69" s="631"/>
      <c r="T69" s="631"/>
      <c r="U69" s="631"/>
      <c r="V69" s="631"/>
      <c r="W69" s="631"/>
      <c r="X69" s="631"/>
      <c r="Y69" s="631"/>
      <c r="Z69" s="631"/>
    </row>
    <row r="70">
      <c r="A70" s="110" t="s">
        <v>522</v>
      </c>
      <c r="B70" s="593" t="s">
        <v>510</v>
      </c>
      <c r="C70" s="593" t="s">
        <v>45</v>
      </c>
      <c r="D70" s="610">
        <v>0.0</v>
      </c>
      <c r="E70" s="594">
        <v>0.0</v>
      </c>
      <c r="F70" s="594">
        <v>0.0</v>
      </c>
      <c r="G70" s="630" t="str">
        <f t="shared" si="10"/>
        <v/>
      </c>
      <c r="H70" s="582"/>
      <c r="I70" s="594"/>
      <c r="J70" s="594"/>
      <c r="K70" s="631"/>
      <c r="L70" s="631"/>
      <c r="M70" s="631"/>
      <c r="N70" s="631"/>
      <c r="O70" s="631"/>
      <c r="P70" s="631"/>
      <c r="Q70" s="631"/>
      <c r="R70" s="631"/>
      <c r="S70" s="631"/>
      <c r="T70" s="631"/>
      <c r="U70" s="631"/>
      <c r="V70" s="631"/>
      <c r="W70" s="631"/>
      <c r="X70" s="631"/>
      <c r="Y70" s="631"/>
      <c r="Z70" s="631"/>
    </row>
    <row r="71">
      <c r="A71" s="110" t="s">
        <v>523</v>
      </c>
      <c r="B71" s="593" t="s">
        <v>510</v>
      </c>
      <c r="C71" s="593" t="s">
        <v>45</v>
      </c>
      <c r="D71" s="610">
        <v>0.0</v>
      </c>
      <c r="E71" s="594">
        <v>0.0</v>
      </c>
      <c r="F71" s="594">
        <v>0.0</v>
      </c>
      <c r="G71" s="630" t="str">
        <f t="shared" si="10"/>
        <v/>
      </c>
      <c r="H71" s="582"/>
      <c r="I71" s="594"/>
      <c r="J71" s="594"/>
      <c r="K71" s="631"/>
      <c r="L71" s="631"/>
      <c r="M71" s="631"/>
      <c r="N71" s="631"/>
      <c r="O71" s="631"/>
      <c r="P71" s="631"/>
      <c r="Q71" s="631"/>
      <c r="R71" s="631"/>
      <c r="S71" s="631"/>
      <c r="T71" s="631"/>
      <c r="U71" s="631"/>
      <c r="V71" s="631"/>
      <c r="W71" s="631"/>
      <c r="X71" s="631"/>
      <c r="Y71" s="631"/>
      <c r="Z71" s="631"/>
    </row>
    <row r="72">
      <c r="A72" s="110" t="s">
        <v>524</v>
      </c>
      <c r="B72" s="593" t="s">
        <v>510</v>
      </c>
      <c r="C72" s="593" t="s">
        <v>45</v>
      </c>
      <c r="D72" s="610">
        <v>0.0</v>
      </c>
      <c r="E72" s="594">
        <v>0.0</v>
      </c>
      <c r="F72" s="594">
        <v>0.0</v>
      </c>
      <c r="G72" s="630" t="str">
        <f t="shared" si="10"/>
        <v/>
      </c>
      <c r="H72" s="582"/>
      <c r="I72" s="594"/>
      <c r="J72" s="594"/>
      <c r="K72" s="631"/>
      <c r="L72" s="631"/>
      <c r="M72" s="631"/>
      <c r="N72" s="631"/>
      <c r="O72" s="631"/>
      <c r="P72" s="631"/>
      <c r="Q72" s="631"/>
      <c r="R72" s="631"/>
      <c r="S72" s="631"/>
      <c r="T72" s="631"/>
      <c r="U72" s="631"/>
      <c r="V72" s="631"/>
      <c r="W72" s="631"/>
      <c r="X72" s="631"/>
      <c r="Y72" s="631"/>
      <c r="Z72" s="631"/>
    </row>
    <row r="73" ht="18.0" customHeight="1">
      <c r="A73" s="471" t="s">
        <v>525</v>
      </c>
      <c r="B73" s="593" t="s">
        <v>510</v>
      </c>
      <c r="C73" s="593" t="s">
        <v>435</v>
      </c>
      <c r="D73" s="610">
        <v>0.0</v>
      </c>
      <c r="E73" s="594">
        <v>0.0</v>
      </c>
      <c r="F73" s="594">
        <v>0.0</v>
      </c>
      <c r="G73" s="630" t="str">
        <f t="shared" si="10"/>
        <v/>
      </c>
      <c r="H73" s="582"/>
      <c r="I73" s="594"/>
      <c r="J73" s="594"/>
      <c r="K73" s="631"/>
      <c r="L73" s="631"/>
      <c r="M73" s="631"/>
      <c r="N73" s="631"/>
      <c r="O73" s="631"/>
      <c r="P73" s="631"/>
      <c r="Q73" s="631"/>
      <c r="R73" s="631"/>
      <c r="S73" s="631"/>
      <c r="T73" s="631"/>
      <c r="U73" s="631"/>
      <c r="V73" s="631"/>
      <c r="W73" s="631"/>
      <c r="X73" s="631"/>
      <c r="Y73" s="631"/>
      <c r="Z73" s="631"/>
    </row>
    <row r="74" hidden="1">
      <c r="A74" s="632" t="s">
        <v>526</v>
      </c>
      <c r="B74" s="593"/>
      <c r="C74" s="633" t="s">
        <v>45</v>
      </c>
      <c r="D74" s="633">
        <v>0.0</v>
      </c>
      <c r="E74" s="634">
        <v>0.0</v>
      </c>
      <c r="F74" s="635">
        <v>0.0</v>
      </c>
      <c r="G74" s="636" t="str">
        <f t="shared" ref="G74:G80" si="11">IF(F74&gt;0,F74/SUM($F$60:$F$80), "")</f>
        <v/>
      </c>
      <c r="H74" s="637"/>
      <c r="I74" s="638">
        <v>0.0</v>
      </c>
      <c r="J74" s="638">
        <f t="shared" ref="J74:J80" si="12">I74*2</f>
        <v>0</v>
      </c>
      <c r="K74" s="639"/>
      <c r="L74" s="639"/>
      <c r="M74" s="639"/>
      <c r="N74" s="639"/>
      <c r="O74" s="639"/>
      <c r="P74" s="639"/>
      <c r="Q74" s="639"/>
      <c r="R74" s="639"/>
      <c r="S74" s="639"/>
      <c r="T74" s="639"/>
      <c r="U74" s="639"/>
      <c r="V74" s="639"/>
      <c r="W74" s="639"/>
      <c r="X74" s="639"/>
      <c r="Y74" s="639"/>
      <c r="Z74" s="639"/>
    </row>
    <row r="75" hidden="1">
      <c r="A75" s="632" t="s">
        <v>527</v>
      </c>
      <c r="B75" s="593"/>
      <c r="C75" s="633" t="s">
        <v>45</v>
      </c>
      <c r="D75" s="633">
        <v>0.0</v>
      </c>
      <c r="E75" s="634">
        <v>0.0</v>
      </c>
      <c r="F75" s="635">
        <v>0.0</v>
      </c>
      <c r="G75" s="636" t="str">
        <f t="shared" si="11"/>
        <v/>
      </c>
      <c r="H75" s="637"/>
      <c r="I75" s="638">
        <v>0.0</v>
      </c>
      <c r="J75" s="638">
        <f t="shared" si="12"/>
        <v>0</v>
      </c>
      <c r="K75" s="639"/>
      <c r="L75" s="639"/>
      <c r="M75" s="639"/>
      <c r="N75" s="639"/>
      <c r="O75" s="639"/>
      <c r="P75" s="639"/>
      <c r="Q75" s="639"/>
      <c r="R75" s="639"/>
      <c r="S75" s="639"/>
      <c r="T75" s="639"/>
      <c r="U75" s="639"/>
      <c r="V75" s="639"/>
      <c r="W75" s="639"/>
      <c r="X75" s="639"/>
      <c r="Y75" s="639"/>
      <c r="Z75" s="639"/>
    </row>
    <row r="76" hidden="1">
      <c r="A76" s="632" t="s">
        <v>528</v>
      </c>
      <c r="B76" s="593"/>
      <c r="C76" s="633" t="s">
        <v>45</v>
      </c>
      <c r="D76" s="633">
        <v>0.0</v>
      </c>
      <c r="E76" s="634">
        <v>0.0</v>
      </c>
      <c r="F76" s="635">
        <v>0.0</v>
      </c>
      <c r="G76" s="636" t="str">
        <f t="shared" si="11"/>
        <v/>
      </c>
      <c r="H76" s="637"/>
      <c r="I76" s="638">
        <v>0.0</v>
      </c>
      <c r="J76" s="638">
        <f t="shared" si="12"/>
        <v>0</v>
      </c>
      <c r="K76" s="639"/>
      <c r="L76" s="639"/>
      <c r="M76" s="639"/>
      <c r="N76" s="639"/>
      <c r="O76" s="639"/>
      <c r="P76" s="639"/>
      <c r="Q76" s="639"/>
      <c r="R76" s="639"/>
      <c r="S76" s="639"/>
      <c r="T76" s="639"/>
      <c r="U76" s="639"/>
      <c r="V76" s="639"/>
      <c r="W76" s="639"/>
      <c r="X76" s="639"/>
      <c r="Y76" s="639"/>
      <c r="Z76" s="639"/>
    </row>
    <row r="77" hidden="1">
      <c r="A77" s="632" t="s">
        <v>529</v>
      </c>
      <c r="B77" s="593"/>
      <c r="C77" s="633" t="s">
        <v>45</v>
      </c>
      <c r="D77" s="633">
        <v>0.0</v>
      </c>
      <c r="E77" s="638">
        <v>0.0</v>
      </c>
      <c r="F77" s="635">
        <v>0.0</v>
      </c>
      <c r="G77" s="636" t="str">
        <f t="shared" si="11"/>
        <v/>
      </c>
      <c r="H77" s="637"/>
      <c r="I77" s="638">
        <v>0.0</v>
      </c>
      <c r="J77" s="638">
        <f t="shared" si="12"/>
        <v>0</v>
      </c>
      <c r="K77" s="639"/>
      <c r="L77" s="639"/>
      <c r="M77" s="639"/>
      <c r="N77" s="639"/>
      <c r="O77" s="639"/>
      <c r="P77" s="639"/>
      <c r="Q77" s="639"/>
      <c r="R77" s="639"/>
      <c r="S77" s="639"/>
      <c r="T77" s="639"/>
      <c r="U77" s="639"/>
      <c r="V77" s="639"/>
      <c r="W77" s="639"/>
      <c r="X77" s="639"/>
      <c r="Y77" s="639"/>
      <c r="Z77" s="639"/>
    </row>
    <row r="78" hidden="1">
      <c r="A78" s="632" t="s">
        <v>530</v>
      </c>
      <c r="B78" s="593"/>
      <c r="C78" s="633" t="s">
        <v>45</v>
      </c>
      <c r="D78" s="633">
        <v>0.0</v>
      </c>
      <c r="E78" s="638">
        <v>0.0</v>
      </c>
      <c r="F78" s="635">
        <v>0.0</v>
      </c>
      <c r="G78" s="636" t="str">
        <f t="shared" si="11"/>
        <v/>
      </c>
      <c r="H78" s="637"/>
      <c r="I78" s="638">
        <v>0.0</v>
      </c>
      <c r="J78" s="638">
        <f t="shared" si="12"/>
        <v>0</v>
      </c>
      <c r="K78" s="639"/>
      <c r="L78" s="639"/>
      <c r="M78" s="639"/>
      <c r="N78" s="639"/>
      <c r="O78" s="639"/>
      <c r="P78" s="639"/>
      <c r="Q78" s="639"/>
      <c r="R78" s="639"/>
      <c r="S78" s="639"/>
      <c r="T78" s="639"/>
      <c r="U78" s="639"/>
      <c r="V78" s="639"/>
      <c r="W78" s="639"/>
      <c r="X78" s="639"/>
      <c r="Y78" s="639"/>
      <c r="Z78" s="639"/>
    </row>
    <row r="79" hidden="1">
      <c r="A79" s="632" t="s">
        <v>531</v>
      </c>
      <c r="B79" s="593"/>
      <c r="C79" s="633" t="s">
        <v>45</v>
      </c>
      <c r="D79" s="633">
        <v>0.0</v>
      </c>
      <c r="E79" s="638">
        <v>0.0</v>
      </c>
      <c r="F79" s="635">
        <v>0.0</v>
      </c>
      <c r="G79" s="636" t="str">
        <f t="shared" si="11"/>
        <v/>
      </c>
      <c r="H79" s="637"/>
      <c r="I79" s="638">
        <v>0.0</v>
      </c>
      <c r="J79" s="638">
        <f t="shared" si="12"/>
        <v>0</v>
      </c>
      <c r="K79" s="639"/>
      <c r="L79" s="639"/>
      <c r="M79" s="639"/>
      <c r="N79" s="639"/>
      <c r="O79" s="639"/>
      <c r="P79" s="639"/>
      <c r="Q79" s="639"/>
      <c r="R79" s="639"/>
      <c r="S79" s="639"/>
      <c r="T79" s="639"/>
      <c r="U79" s="639"/>
      <c r="V79" s="639"/>
      <c r="W79" s="639"/>
      <c r="X79" s="639"/>
      <c r="Y79" s="639"/>
      <c r="Z79" s="639"/>
    </row>
    <row r="80" hidden="1">
      <c r="A80" s="632" t="s">
        <v>532</v>
      </c>
      <c r="B80" s="593"/>
      <c r="C80" s="633" t="s">
        <v>45</v>
      </c>
      <c r="D80" s="633">
        <v>0.0</v>
      </c>
      <c r="E80" s="638">
        <v>0.0</v>
      </c>
      <c r="F80" s="635">
        <v>0.0</v>
      </c>
      <c r="G80" s="636" t="str">
        <f t="shared" si="11"/>
        <v/>
      </c>
      <c r="H80" s="637"/>
      <c r="I80" s="638">
        <v>0.0</v>
      </c>
      <c r="J80" s="638">
        <f t="shared" si="12"/>
        <v>0</v>
      </c>
      <c r="K80" s="639"/>
      <c r="L80" s="639"/>
      <c r="M80" s="639"/>
      <c r="N80" s="639"/>
      <c r="O80" s="639"/>
      <c r="P80" s="639"/>
      <c r="Q80" s="639"/>
      <c r="R80" s="639"/>
      <c r="S80" s="639"/>
      <c r="T80" s="639"/>
      <c r="U80" s="639"/>
      <c r="V80" s="639"/>
      <c r="W80" s="639"/>
      <c r="X80" s="639"/>
      <c r="Y80" s="639"/>
      <c r="Z80" s="639"/>
    </row>
    <row r="81">
      <c r="A81" s="586"/>
      <c r="B81" s="587"/>
      <c r="C81" s="587"/>
      <c r="D81" s="587"/>
      <c r="E81" s="624">
        <f t="shared" ref="E81:F81" si="13">sum(E58:E73 )</f>
        <v>136</v>
      </c>
      <c r="F81" s="624">
        <f t="shared" si="13"/>
        <v>186.54</v>
      </c>
      <c r="G81" s="640">
        <f>SUBTOTAL(109,G$58:G$80)</f>
        <v>1</v>
      </c>
      <c r="H81" s="590"/>
      <c r="I81" s="591"/>
      <c r="J81" s="591"/>
      <c r="K81" s="592"/>
      <c r="L81" s="592"/>
      <c r="M81" s="592"/>
      <c r="N81" s="592"/>
      <c r="O81" s="592"/>
      <c r="P81" s="592"/>
      <c r="Q81" s="592"/>
      <c r="R81" s="592"/>
      <c r="S81" s="592"/>
      <c r="T81" s="592"/>
      <c r="U81" s="592"/>
      <c r="V81" s="592"/>
      <c r="W81" s="592"/>
      <c r="X81" s="592"/>
      <c r="Y81" s="592"/>
      <c r="Z81" s="592"/>
    </row>
    <row r="82">
      <c r="A82" s="110"/>
      <c r="B82" s="593"/>
      <c r="C82" s="593"/>
      <c r="D82" s="593"/>
      <c r="E82" s="594"/>
      <c r="F82" s="340"/>
      <c r="G82" s="582"/>
      <c r="H82" s="582"/>
      <c r="I82" s="594"/>
      <c r="J82" s="594"/>
      <c r="K82" s="631"/>
      <c r="L82" s="631"/>
      <c r="M82" s="631"/>
      <c r="N82" s="631"/>
      <c r="O82" s="631"/>
      <c r="P82" s="631"/>
      <c r="Q82" s="631"/>
      <c r="R82" s="631"/>
      <c r="S82" s="631"/>
      <c r="T82" s="631"/>
      <c r="U82" s="631"/>
      <c r="V82" s="631"/>
      <c r="W82" s="631"/>
      <c r="X82" s="631"/>
      <c r="Y82" s="631"/>
      <c r="Z82" s="631"/>
    </row>
    <row r="83" hidden="1">
      <c r="A83" s="597" t="s">
        <v>533</v>
      </c>
      <c r="B83" s="598"/>
      <c r="C83" s="598"/>
      <c r="D83" s="598"/>
      <c r="E83" s="628"/>
      <c r="F83" s="599"/>
      <c r="G83" s="629"/>
      <c r="H83" s="629"/>
      <c r="I83" s="599"/>
      <c r="J83" s="599"/>
      <c r="K83" s="601"/>
      <c r="L83" s="596"/>
      <c r="M83" s="596"/>
      <c r="N83" s="596"/>
      <c r="O83" s="596"/>
      <c r="P83" s="596"/>
      <c r="Q83" s="596"/>
      <c r="R83" s="596"/>
      <c r="S83" s="596"/>
      <c r="T83" s="596"/>
      <c r="U83" s="596"/>
      <c r="V83" s="596"/>
      <c r="W83" s="596"/>
      <c r="X83" s="596"/>
      <c r="Y83" s="596"/>
      <c r="Z83" s="596"/>
    </row>
    <row r="84" hidden="1">
      <c r="A84" s="354"/>
      <c r="B84" s="593"/>
      <c r="C84" s="593"/>
      <c r="D84" s="593"/>
      <c r="E84" s="594"/>
      <c r="F84" s="340">
        <v>0.0</v>
      </c>
      <c r="G84" s="582" t="str">
        <f>IF(F84&gt;0,F84/SUM($F$84), "")</f>
        <v/>
      </c>
      <c r="H84" s="582"/>
      <c r="I84" s="340"/>
      <c r="J84" s="340"/>
      <c r="K84" s="596"/>
      <c r="L84" s="596"/>
      <c r="M84" s="596"/>
      <c r="N84" s="596"/>
      <c r="O84" s="596"/>
      <c r="P84" s="596"/>
      <c r="Q84" s="596"/>
      <c r="R84" s="596"/>
      <c r="S84" s="596"/>
      <c r="T84" s="596"/>
      <c r="U84" s="596"/>
      <c r="V84" s="596"/>
      <c r="W84" s="596"/>
      <c r="X84" s="596"/>
      <c r="Y84" s="596"/>
      <c r="Z84" s="596"/>
    </row>
    <row r="85" hidden="1">
      <c r="A85" s="586"/>
      <c r="B85" s="587"/>
      <c r="C85" s="587"/>
      <c r="D85" s="587"/>
      <c r="E85" s="588">
        <f t="shared" ref="E85:F85" si="14">sum(E84 )</f>
        <v>0</v>
      </c>
      <c r="F85" s="624">
        <f t="shared" si="14"/>
        <v>0</v>
      </c>
      <c r="G85" s="589">
        <f>SUBTOTAL(109,G$84)</f>
        <v>0</v>
      </c>
      <c r="H85" s="590"/>
      <c r="I85" s="591"/>
      <c r="J85" s="591"/>
      <c r="K85" s="592"/>
      <c r="L85" s="592"/>
      <c r="M85" s="592"/>
      <c r="N85" s="592"/>
      <c r="O85" s="592"/>
      <c r="P85" s="592"/>
      <c r="Q85" s="592"/>
      <c r="R85" s="592"/>
      <c r="S85" s="592"/>
      <c r="T85" s="592"/>
      <c r="U85" s="592"/>
      <c r="V85" s="592"/>
      <c r="W85" s="592"/>
      <c r="X85" s="592"/>
      <c r="Y85" s="592"/>
      <c r="Z85" s="592"/>
    </row>
    <row r="86" hidden="1">
      <c r="A86" s="354"/>
      <c r="B86" s="593"/>
      <c r="C86" s="593"/>
      <c r="D86" s="593"/>
      <c r="E86" s="594"/>
      <c r="F86" s="641"/>
      <c r="G86" s="582"/>
      <c r="H86" s="582"/>
      <c r="I86" s="340"/>
      <c r="J86" s="340"/>
      <c r="K86" s="596"/>
      <c r="L86" s="596"/>
      <c r="M86" s="596"/>
      <c r="N86" s="596"/>
      <c r="O86" s="596"/>
      <c r="P86" s="596"/>
      <c r="Q86" s="596"/>
      <c r="R86" s="596"/>
      <c r="S86" s="596"/>
      <c r="T86" s="596"/>
      <c r="U86" s="596"/>
      <c r="V86" s="596"/>
      <c r="W86" s="596"/>
      <c r="X86" s="596"/>
      <c r="Y86" s="596"/>
      <c r="Z86" s="596"/>
    </row>
    <row r="87" hidden="1">
      <c r="A87" s="597" t="s">
        <v>534</v>
      </c>
      <c r="B87" s="598"/>
      <c r="C87" s="598"/>
      <c r="D87" s="598"/>
      <c r="E87" s="628"/>
      <c r="F87" s="599"/>
      <c r="G87" s="629"/>
      <c r="H87" s="629"/>
      <c r="I87" s="599"/>
      <c r="J87" s="599"/>
      <c r="K87" s="601"/>
      <c r="L87" s="596"/>
      <c r="M87" s="596"/>
      <c r="N87" s="596"/>
      <c r="O87" s="596"/>
      <c r="P87" s="596"/>
      <c r="Q87" s="596"/>
      <c r="R87" s="596"/>
      <c r="S87" s="596"/>
      <c r="T87" s="596"/>
      <c r="U87" s="596"/>
      <c r="V87" s="596"/>
      <c r="W87" s="596"/>
      <c r="X87" s="596"/>
      <c r="Y87" s="596"/>
      <c r="Z87" s="596"/>
    </row>
    <row r="88" hidden="1">
      <c r="A88" s="354" t="s">
        <v>535</v>
      </c>
      <c r="B88" s="593"/>
      <c r="C88" s="593" t="s">
        <v>536</v>
      </c>
      <c r="D88" s="593"/>
      <c r="E88" s="594"/>
      <c r="F88" s="340">
        <v>0.0</v>
      </c>
      <c r="G88" s="582" t="str">
        <f t="shared" ref="G88:G89" si="15">IF(F88&gt;0,F88/SUM($F$89), "")</f>
        <v/>
      </c>
      <c r="H88" s="582"/>
      <c r="I88" s="340"/>
      <c r="J88" s="340"/>
      <c r="K88" s="596"/>
      <c r="L88" s="596"/>
      <c r="M88" s="596"/>
      <c r="N88" s="596"/>
      <c r="O88" s="596"/>
      <c r="P88" s="596"/>
      <c r="Q88" s="596"/>
      <c r="R88" s="596"/>
      <c r="S88" s="596"/>
      <c r="T88" s="596"/>
      <c r="U88" s="596"/>
      <c r="V88" s="596"/>
      <c r="W88" s="596"/>
      <c r="X88" s="596"/>
      <c r="Y88" s="596"/>
      <c r="Z88" s="596"/>
    </row>
    <row r="89" hidden="1">
      <c r="A89" s="354" t="s">
        <v>537</v>
      </c>
      <c r="B89" s="593"/>
      <c r="C89" s="593" t="s">
        <v>536</v>
      </c>
      <c r="D89" s="593"/>
      <c r="E89" s="594"/>
      <c r="F89" s="340">
        <v>0.0</v>
      </c>
      <c r="G89" s="582" t="str">
        <f t="shared" si="15"/>
        <v/>
      </c>
      <c r="H89" s="582"/>
      <c r="I89" s="340"/>
      <c r="J89" s="340"/>
      <c r="K89" s="596"/>
      <c r="L89" s="596"/>
      <c r="M89" s="596"/>
      <c r="N89" s="596"/>
      <c r="O89" s="596"/>
      <c r="P89" s="596"/>
      <c r="Q89" s="596"/>
      <c r="R89" s="596"/>
      <c r="S89" s="596"/>
      <c r="T89" s="596"/>
      <c r="U89" s="596"/>
      <c r="V89" s="596"/>
      <c r="W89" s="596"/>
      <c r="X89" s="596"/>
      <c r="Y89" s="596"/>
      <c r="Z89" s="596"/>
    </row>
    <row r="90" hidden="1">
      <c r="A90" s="586"/>
      <c r="B90" s="587"/>
      <c r="C90" s="587"/>
      <c r="D90" s="587"/>
      <c r="E90" s="588">
        <f t="shared" ref="E90:F90" si="16">sum(E88:E89 )</f>
        <v>0</v>
      </c>
      <c r="F90" s="624">
        <f t="shared" si="16"/>
        <v>0</v>
      </c>
      <c r="G90" s="589">
        <f>SUBTOTAL(109,G$88:G$89)</f>
        <v>0</v>
      </c>
      <c r="H90" s="590"/>
      <c r="I90" s="591"/>
      <c r="J90" s="591"/>
      <c r="K90" s="592"/>
      <c r="L90" s="592"/>
      <c r="M90" s="592"/>
      <c r="N90" s="592"/>
      <c r="O90" s="592"/>
      <c r="P90" s="592"/>
      <c r="Q90" s="592"/>
      <c r="R90" s="592"/>
      <c r="S90" s="592"/>
      <c r="T90" s="592"/>
      <c r="U90" s="592"/>
      <c r="V90" s="592"/>
      <c r="W90" s="592"/>
      <c r="X90" s="592"/>
      <c r="Y90" s="592"/>
      <c r="Z90" s="592"/>
    </row>
    <row r="91">
      <c r="A91" s="354"/>
      <c r="B91" s="593"/>
      <c r="C91" s="593"/>
      <c r="D91" s="593"/>
      <c r="E91" s="594"/>
      <c r="F91" s="641"/>
      <c r="G91" s="582"/>
      <c r="H91" s="582"/>
      <c r="I91" s="340"/>
      <c r="J91" s="340"/>
      <c r="K91" s="596"/>
      <c r="L91" s="596"/>
      <c r="M91" s="596"/>
      <c r="N91" s="596"/>
      <c r="O91" s="596"/>
      <c r="P91" s="596"/>
      <c r="Q91" s="596"/>
      <c r="R91" s="596"/>
      <c r="S91" s="596"/>
      <c r="T91" s="596"/>
      <c r="U91" s="596"/>
      <c r="V91" s="596"/>
      <c r="W91" s="596"/>
      <c r="X91" s="596"/>
      <c r="Y91" s="596"/>
      <c r="Z91" s="596"/>
    </row>
    <row r="92" ht="15.0" customHeight="1">
      <c r="A92" s="597" t="s">
        <v>413</v>
      </c>
      <c r="B92" s="598"/>
      <c r="C92" s="598"/>
      <c r="D92" s="598"/>
      <c r="E92" s="628"/>
      <c r="F92" s="599"/>
      <c r="G92" s="629"/>
      <c r="H92" s="629"/>
      <c r="I92" s="599"/>
      <c r="J92" s="599"/>
      <c r="K92" s="601"/>
      <c r="L92" s="596"/>
      <c r="M92" s="596"/>
      <c r="N92" s="596"/>
      <c r="O92" s="596"/>
      <c r="P92" s="596"/>
      <c r="Q92" s="596"/>
      <c r="R92" s="596"/>
      <c r="S92" s="596"/>
      <c r="T92" s="596"/>
      <c r="U92" s="596"/>
      <c r="V92" s="596"/>
      <c r="W92" s="596"/>
      <c r="X92" s="596"/>
      <c r="Y92" s="596"/>
      <c r="Z92" s="596"/>
    </row>
    <row r="93" ht="15.0" customHeight="1">
      <c r="A93" s="642" t="s">
        <v>538</v>
      </c>
      <c r="B93" s="593"/>
      <c r="C93" s="593" t="s">
        <v>415</v>
      </c>
      <c r="D93" s="593" t="s">
        <v>359</v>
      </c>
      <c r="E93" s="643">
        <f>sum(50000,65000,10000,6000,70000,100000)</f>
        <v>301000</v>
      </c>
      <c r="F93" s="346">
        <f>E93</f>
        <v>301000</v>
      </c>
      <c r="G93" s="630">
        <f>if(F93&gt;0,F93/sum($F$93:$F$99),"")</f>
        <v>0.4482515212</v>
      </c>
      <c r="H93" s="582"/>
      <c r="I93" s="340"/>
      <c r="J93" s="340"/>
      <c r="K93" s="596"/>
      <c r="L93" s="596"/>
      <c r="M93" s="596"/>
      <c r="N93" s="596"/>
      <c r="O93" s="596"/>
      <c r="P93" s="596"/>
      <c r="Q93" s="596"/>
      <c r="R93" s="596"/>
      <c r="S93" s="596"/>
      <c r="T93" s="596"/>
      <c r="U93" s="596"/>
      <c r="V93" s="596"/>
      <c r="W93" s="596"/>
      <c r="X93" s="596"/>
      <c r="Y93" s="596"/>
      <c r="Z93" s="596"/>
    </row>
    <row r="94" ht="15.0" customHeight="1">
      <c r="A94" s="642" t="s">
        <v>539</v>
      </c>
      <c r="B94" s="593"/>
      <c r="C94" s="593" t="s">
        <v>415</v>
      </c>
      <c r="D94" s="593" t="s">
        <v>359</v>
      </c>
      <c r="E94" s="643"/>
      <c r="F94" s="346"/>
      <c r="G94" s="630"/>
      <c r="H94" s="582"/>
      <c r="I94" s="340"/>
      <c r="J94" s="340"/>
      <c r="K94" s="596"/>
      <c r="L94" s="596"/>
      <c r="M94" s="596"/>
      <c r="N94" s="596"/>
      <c r="O94" s="596"/>
      <c r="P94" s="596"/>
      <c r="Q94" s="596"/>
      <c r="R94" s="596"/>
      <c r="S94" s="596"/>
      <c r="T94" s="596"/>
      <c r="U94" s="596"/>
      <c r="V94" s="596"/>
      <c r="W94" s="596"/>
      <c r="X94" s="596"/>
      <c r="Y94" s="596"/>
      <c r="Z94" s="596"/>
    </row>
    <row r="95" ht="15.0" customHeight="1">
      <c r="A95" s="642" t="s">
        <v>540</v>
      </c>
      <c r="B95" s="593"/>
      <c r="C95" s="593" t="s">
        <v>415</v>
      </c>
      <c r="D95" s="593">
        <v>10000.0</v>
      </c>
      <c r="E95" s="594">
        <f>D95*34</f>
        <v>340000</v>
      </c>
      <c r="F95" s="340">
        <f t="shared" ref="F95:F97" si="17">E95</f>
        <v>340000</v>
      </c>
      <c r="G95" s="630">
        <f t="shared" ref="G95:G97" si="18">if(F95&gt;0,F95/sum($F$93:$F$99),"")</f>
        <v>0.506330622</v>
      </c>
      <c r="H95" s="582"/>
      <c r="I95" s="340"/>
      <c r="J95" s="340"/>
      <c r="K95" s="596"/>
      <c r="L95" s="596"/>
      <c r="M95" s="596"/>
      <c r="N95" s="596"/>
      <c r="O95" s="596"/>
      <c r="P95" s="596"/>
      <c r="Q95" s="596"/>
      <c r="R95" s="596"/>
      <c r="S95" s="596"/>
      <c r="T95" s="596"/>
      <c r="U95" s="596"/>
      <c r="V95" s="596"/>
      <c r="W95" s="596"/>
      <c r="X95" s="596"/>
      <c r="Y95" s="596"/>
      <c r="Z95" s="596"/>
    </row>
    <row r="96" ht="15.0" customHeight="1">
      <c r="A96" s="644" t="s">
        <v>541</v>
      </c>
      <c r="B96" s="593"/>
      <c r="C96" s="593" t="s">
        <v>415</v>
      </c>
      <c r="D96" s="593">
        <v>1000000.0</v>
      </c>
      <c r="E96" s="643">
        <v>1598.0</v>
      </c>
      <c r="F96" s="346">
        <f t="shared" si="17"/>
        <v>1598</v>
      </c>
      <c r="G96" s="630">
        <f t="shared" si="18"/>
        <v>0.002379753923</v>
      </c>
      <c r="H96" s="582"/>
      <c r="I96" s="340"/>
      <c r="J96" s="340"/>
      <c r="K96" s="596"/>
      <c r="L96" s="596"/>
      <c r="M96" s="596"/>
      <c r="N96" s="596"/>
      <c r="O96" s="596"/>
      <c r="P96" s="596"/>
      <c r="Q96" s="596"/>
      <c r="R96" s="596"/>
      <c r="S96" s="596"/>
      <c r="T96" s="596"/>
      <c r="U96" s="596"/>
      <c r="V96" s="596"/>
      <c r="W96" s="596"/>
      <c r="X96" s="596"/>
      <c r="Y96" s="596"/>
      <c r="Z96" s="596"/>
    </row>
    <row r="97" ht="15.0" customHeight="1">
      <c r="A97" s="644" t="s">
        <v>418</v>
      </c>
      <c r="B97" s="593"/>
      <c r="C97" s="593" t="s">
        <v>415</v>
      </c>
      <c r="D97" s="593">
        <v>34.0</v>
      </c>
      <c r="E97" s="643">
        <f>D97*100</f>
        <v>3400</v>
      </c>
      <c r="F97" s="643">
        <f t="shared" si="17"/>
        <v>3400</v>
      </c>
      <c r="G97" s="630">
        <f t="shared" si="18"/>
        <v>0.00506330622</v>
      </c>
      <c r="H97" s="582"/>
      <c r="I97" s="340"/>
      <c r="J97" s="340"/>
      <c r="K97" s="596"/>
      <c r="L97" s="596"/>
      <c r="M97" s="596"/>
      <c r="N97" s="596"/>
      <c r="O97" s="596"/>
      <c r="P97" s="596"/>
      <c r="Q97" s="596"/>
      <c r="R97" s="596"/>
      <c r="S97" s="596"/>
      <c r="T97" s="596"/>
      <c r="U97" s="596"/>
      <c r="V97" s="596"/>
      <c r="W97" s="596"/>
      <c r="X97" s="596"/>
      <c r="Y97" s="596"/>
      <c r="Z97" s="596"/>
    </row>
    <row r="98">
      <c r="A98" s="349" t="s">
        <v>420</v>
      </c>
      <c r="B98" s="593"/>
      <c r="C98" s="593" t="s">
        <v>421</v>
      </c>
      <c r="D98" s="612"/>
      <c r="E98" s="614"/>
      <c r="F98" s="615"/>
      <c r="G98" s="604" t="str">
        <f>IF(F98&gt;0,F98/SUM($F$10:$F$54), "")</f>
        <v/>
      </c>
      <c r="H98" s="616"/>
      <c r="I98" s="617"/>
      <c r="J98" s="614"/>
      <c r="K98" s="618"/>
      <c r="L98" s="618"/>
      <c r="M98" s="618"/>
      <c r="N98" s="618"/>
      <c r="O98" s="618"/>
      <c r="P98" s="618"/>
      <c r="Q98" s="618"/>
      <c r="R98" s="618"/>
      <c r="S98" s="618"/>
      <c r="T98" s="618"/>
      <c r="U98" s="618"/>
      <c r="V98" s="618"/>
      <c r="W98" s="618"/>
      <c r="X98" s="618"/>
      <c r="Y98" s="618"/>
      <c r="Z98" s="618"/>
    </row>
    <row r="99" ht="15.0" customHeight="1">
      <c r="A99" s="642" t="s">
        <v>422</v>
      </c>
      <c r="B99" s="593"/>
      <c r="C99" s="593" t="s">
        <v>415</v>
      </c>
      <c r="D99" s="593" t="s">
        <v>359</v>
      </c>
      <c r="E99" s="643">
        <f>sum(10000,10000,5000,500)</f>
        <v>25500</v>
      </c>
      <c r="F99" s="346">
        <f>E99</f>
        <v>25500</v>
      </c>
      <c r="G99" s="630">
        <f>if(F99&gt;0,F99/sum($F$93:$F$99),"")</f>
        <v>0.03797479665</v>
      </c>
      <c r="H99" s="582"/>
      <c r="I99" s="340"/>
      <c r="J99" s="340"/>
      <c r="K99" s="596"/>
      <c r="L99" s="596"/>
      <c r="M99" s="596"/>
      <c r="N99" s="596"/>
      <c r="O99" s="596"/>
      <c r="P99" s="596"/>
      <c r="Q99" s="596"/>
      <c r="R99" s="596"/>
      <c r="S99" s="596"/>
      <c r="T99" s="596"/>
      <c r="U99" s="596"/>
      <c r="V99" s="596"/>
      <c r="W99" s="596"/>
      <c r="X99" s="596"/>
      <c r="Y99" s="596"/>
      <c r="Z99" s="596"/>
    </row>
    <row r="100" ht="15.0" customHeight="1">
      <c r="A100" s="642" t="s">
        <v>542</v>
      </c>
      <c r="B100" s="593"/>
      <c r="C100" s="593" t="s">
        <v>415</v>
      </c>
      <c r="D100" s="593"/>
      <c r="E100" s="643">
        <v>1000.0</v>
      </c>
      <c r="F100" s="346"/>
      <c r="G100" s="630"/>
      <c r="H100" s="582"/>
      <c r="I100" s="340"/>
      <c r="J100" s="340"/>
      <c r="K100" s="596"/>
      <c r="L100" s="596"/>
      <c r="M100" s="596"/>
      <c r="N100" s="596"/>
      <c r="O100" s="596"/>
      <c r="P100" s="596"/>
      <c r="Q100" s="596"/>
      <c r="R100" s="596"/>
      <c r="S100" s="596"/>
      <c r="T100" s="596"/>
      <c r="U100" s="596"/>
      <c r="V100" s="596"/>
      <c r="W100" s="596"/>
      <c r="X100" s="596"/>
      <c r="Y100" s="596"/>
      <c r="Z100" s="596"/>
    </row>
    <row r="101" ht="15.0" customHeight="1">
      <c r="A101" s="642" t="s">
        <v>543</v>
      </c>
      <c r="B101" s="593"/>
      <c r="C101" s="593" t="s">
        <v>415</v>
      </c>
      <c r="D101" s="593"/>
      <c r="E101" s="643">
        <v>1000.0</v>
      </c>
      <c r="F101" s="346"/>
      <c r="G101" s="630"/>
      <c r="H101" s="582"/>
      <c r="I101" s="340"/>
      <c r="J101" s="340"/>
      <c r="K101" s="596"/>
      <c r="L101" s="596"/>
      <c r="M101" s="596"/>
      <c r="N101" s="596"/>
      <c r="O101" s="596"/>
      <c r="P101" s="596"/>
      <c r="Q101" s="596"/>
      <c r="R101" s="596"/>
      <c r="S101" s="596"/>
      <c r="T101" s="596"/>
      <c r="U101" s="596"/>
      <c r="V101" s="596"/>
      <c r="W101" s="596"/>
      <c r="X101" s="596"/>
      <c r="Y101" s="596"/>
      <c r="Z101" s="596"/>
    </row>
    <row r="102">
      <c r="A102" s="586"/>
      <c r="B102" s="587"/>
      <c r="C102" s="587"/>
      <c r="D102" s="587"/>
      <c r="E102" s="624">
        <f t="shared" ref="E102:F102" si="19">sum(E93:E101 )</f>
        <v>673498</v>
      </c>
      <c r="F102" s="624">
        <f t="shared" si="19"/>
        <v>671498</v>
      </c>
      <c r="G102" s="589">
        <f>SUBTOTAL(109,G93:G99)</f>
        <v>1</v>
      </c>
      <c r="H102" s="590"/>
      <c r="I102" s="591"/>
      <c r="J102" s="591"/>
      <c r="K102" s="592"/>
      <c r="L102" s="592"/>
      <c r="M102" s="592"/>
      <c r="N102" s="592"/>
      <c r="O102" s="592"/>
      <c r="P102" s="592"/>
      <c r="Q102" s="592"/>
      <c r="R102" s="592"/>
      <c r="S102" s="592"/>
      <c r="T102" s="592"/>
      <c r="U102" s="592"/>
      <c r="V102" s="592"/>
      <c r="W102" s="592"/>
      <c r="X102" s="592"/>
      <c r="Y102" s="592"/>
      <c r="Z102" s="592"/>
    </row>
    <row r="103">
      <c r="A103" s="349"/>
      <c r="B103" s="620"/>
      <c r="C103" s="620"/>
      <c r="D103" s="593"/>
      <c r="E103" s="594"/>
      <c r="F103" s="340"/>
      <c r="G103" s="582"/>
      <c r="H103" s="582"/>
      <c r="I103" s="584"/>
      <c r="J103" s="584"/>
      <c r="K103" s="596"/>
      <c r="L103" s="596"/>
      <c r="M103" s="596"/>
      <c r="N103" s="596"/>
      <c r="O103" s="596"/>
      <c r="P103" s="596"/>
      <c r="Q103" s="596"/>
      <c r="R103" s="596"/>
      <c r="S103" s="596"/>
      <c r="T103" s="596"/>
      <c r="U103" s="596"/>
      <c r="V103" s="596"/>
      <c r="W103" s="596"/>
      <c r="X103" s="596"/>
      <c r="Y103" s="596"/>
      <c r="Z103" s="596"/>
    </row>
    <row r="104">
      <c r="A104" s="597" t="s">
        <v>544</v>
      </c>
      <c r="B104" s="598"/>
      <c r="C104" s="598"/>
      <c r="D104" s="598"/>
      <c r="E104" s="628"/>
      <c r="F104" s="599"/>
      <c r="G104" s="629"/>
      <c r="H104" s="629"/>
      <c r="I104" s="599"/>
      <c r="J104" s="599"/>
      <c r="K104" s="601"/>
      <c r="L104" s="596"/>
      <c r="M104" s="596"/>
      <c r="N104" s="596"/>
      <c r="O104" s="596"/>
      <c r="P104" s="596"/>
      <c r="Q104" s="596"/>
      <c r="R104" s="596"/>
      <c r="S104" s="596"/>
      <c r="T104" s="596"/>
      <c r="U104" s="596"/>
      <c r="V104" s="596"/>
      <c r="W104" s="596"/>
      <c r="X104" s="596"/>
      <c r="Y104" s="596"/>
      <c r="Z104" s="596"/>
    </row>
    <row r="105">
      <c r="A105" s="354" t="s">
        <v>438</v>
      </c>
      <c r="B105" s="593" t="s">
        <v>439</v>
      </c>
      <c r="C105" s="593" t="s">
        <v>436</v>
      </c>
      <c r="D105" s="593">
        <v>0.0</v>
      </c>
      <c r="E105" s="594">
        <v>1200.0</v>
      </c>
      <c r="F105" s="340">
        <v>1200.0</v>
      </c>
      <c r="G105" s="582">
        <f t="shared" ref="G105:G106" si="20">IF(F105&gt;0,F105/SUM($F$105:$F$106), "")</f>
        <v>1</v>
      </c>
      <c r="H105" s="582"/>
      <c r="I105" s="340">
        <v>10000.0</v>
      </c>
      <c r="J105" s="340">
        <f>I105*2</f>
        <v>20000</v>
      </c>
      <c r="K105" s="596"/>
      <c r="L105" s="596"/>
      <c r="M105" s="596"/>
      <c r="N105" s="596"/>
      <c r="O105" s="596"/>
      <c r="P105" s="596"/>
      <c r="Q105" s="596"/>
      <c r="R105" s="596"/>
      <c r="S105" s="596"/>
      <c r="T105" s="596"/>
      <c r="U105" s="596"/>
      <c r="V105" s="596"/>
      <c r="W105" s="596"/>
      <c r="X105" s="596"/>
      <c r="Y105" s="596"/>
      <c r="Z105" s="596"/>
    </row>
    <row r="106">
      <c r="A106" s="354" t="s">
        <v>36</v>
      </c>
      <c r="B106" s="593" t="s">
        <v>439</v>
      </c>
      <c r="C106" s="593" t="s">
        <v>436</v>
      </c>
      <c r="D106" s="593">
        <v>0.0</v>
      </c>
      <c r="E106" s="594">
        <v>0.0</v>
      </c>
      <c r="F106" s="340">
        <v>0.0</v>
      </c>
      <c r="G106" s="582" t="str">
        <f t="shared" si="20"/>
        <v/>
      </c>
      <c r="H106" s="582"/>
      <c r="I106" s="340">
        <v>5000.0</v>
      </c>
      <c r="J106" s="340">
        <v>0.0</v>
      </c>
      <c r="K106" s="596"/>
      <c r="L106" s="596"/>
      <c r="M106" s="596"/>
      <c r="N106" s="596"/>
      <c r="O106" s="596"/>
      <c r="P106" s="596"/>
      <c r="Q106" s="596"/>
      <c r="R106" s="596"/>
      <c r="S106" s="596"/>
      <c r="T106" s="596"/>
      <c r="U106" s="596"/>
      <c r="V106" s="596"/>
      <c r="W106" s="596"/>
      <c r="X106" s="596"/>
      <c r="Y106" s="596"/>
      <c r="Z106" s="596"/>
    </row>
    <row r="107">
      <c r="A107" s="586"/>
      <c r="B107" s="587"/>
      <c r="C107" s="587"/>
      <c r="D107" s="587"/>
      <c r="E107" s="588">
        <f t="shared" ref="E107:F107" si="21">sum(E105:E106 )</f>
        <v>1200</v>
      </c>
      <c r="F107" s="624">
        <f t="shared" si="21"/>
        <v>1200</v>
      </c>
      <c r="G107" s="589">
        <f>SUBTOTAL(109,G$105:G$106)</f>
        <v>1</v>
      </c>
      <c r="H107" s="590"/>
      <c r="I107" s="591"/>
      <c r="J107" s="591"/>
      <c r="K107" s="592"/>
      <c r="L107" s="592"/>
      <c r="M107" s="592"/>
      <c r="N107" s="592"/>
      <c r="O107" s="592"/>
      <c r="P107" s="592"/>
      <c r="Q107" s="592"/>
      <c r="R107" s="592"/>
      <c r="S107" s="592"/>
      <c r="T107" s="592"/>
      <c r="U107" s="592"/>
      <c r="V107" s="592"/>
      <c r="W107" s="592"/>
      <c r="X107" s="592"/>
      <c r="Y107" s="592"/>
      <c r="Z107" s="592"/>
    </row>
    <row r="108">
      <c r="A108" s="115"/>
      <c r="B108" s="645"/>
      <c r="C108" s="646"/>
      <c r="D108" s="645"/>
      <c r="E108" s="647"/>
      <c r="F108" s="648"/>
      <c r="G108" s="583"/>
      <c r="H108" s="583"/>
      <c r="I108" s="648"/>
      <c r="J108" s="648"/>
      <c r="K108" s="578"/>
      <c r="L108" s="578"/>
      <c r="M108" s="578"/>
      <c r="N108" s="578"/>
      <c r="O108" s="578"/>
      <c r="P108" s="578"/>
      <c r="Q108" s="578"/>
      <c r="R108" s="578"/>
      <c r="S108" s="578"/>
      <c r="T108" s="578"/>
      <c r="U108" s="578"/>
      <c r="V108" s="578"/>
      <c r="W108" s="578"/>
      <c r="X108" s="578"/>
      <c r="Y108" s="578"/>
      <c r="Z108" s="578"/>
    </row>
    <row r="109">
      <c r="A109" s="571" t="s">
        <v>249</v>
      </c>
      <c r="B109" s="572"/>
      <c r="C109" s="573"/>
      <c r="D109" s="572"/>
      <c r="E109" s="574"/>
      <c r="F109" s="575"/>
      <c r="G109" s="576"/>
      <c r="H109" s="576"/>
      <c r="I109" s="575"/>
      <c r="J109" s="575"/>
      <c r="K109" s="577"/>
      <c r="L109" s="578"/>
      <c r="M109" s="578"/>
      <c r="N109" s="578"/>
      <c r="O109" s="578"/>
      <c r="P109" s="578"/>
      <c r="Q109" s="578"/>
      <c r="R109" s="578"/>
      <c r="S109" s="578"/>
      <c r="T109" s="578"/>
      <c r="U109" s="578"/>
      <c r="V109" s="578"/>
      <c r="W109" s="578"/>
      <c r="X109" s="578"/>
      <c r="Y109" s="578"/>
      <c r="Z109" s="578"/>
    </row>
    <row r="110">
      <c r="A110" s="115" t="s">
        <v>545</v>
      </c>
      <c r="B110" s="109"/>
      <c r="C110" s="109"/>
      <c r="D110" s="579"/>
      <c r="E110" s="580">
        <v>0.0</v>
      </c>
      <c r="F110" s="581">
        <f>E110</f>
        <v>0</v>
      </c>
      <c r="G110" s="582" t="str">
        <f>IF(F110&gt;0,F110/SUM($F$4:$F$6), "")</f>
        <v/>
      </c>
      <c r="H110" s="583"/>
      <c r="I110" s="584"/>
      <c r="J110" s="584"/>
      <c r="K110" s="578"/>
      <c r="L110" s="578"/>
      <c r="M110" s="578"/>
      <c r="N110" s="578"/>
      <c r="O110" s="578"/>
      <c r="P110" s="578"/>
      <c r="Q110" s="578"/>
      <c r="R110" s="578"/>
      <c r="S110" s="578"/>
      <c r="T110" s="578"/>
      <c r="U110" s="578"/>
      <c r="V110" s="578"/>
      <c r="W110" s="578"/>
      <c r="X110" s="578"/>
      <c r="Y110" s="578"/>
      <c r="Z110" s="578"/>
    </row>
    <row r="111">
      <c r="A111" s="108"/>
      <c r="B111" s="645"/>
      <c r="C111" s="646"/>
      <c r="D111" s="645"/>
      <c r="E111" s="647"/>
      <c r="F111" s="648"/>
      <c r="G111" s="583"/>
      <c r="H111" s="583"/>
      <c r="I111" s="648"/>
      <c r="J111" s="648"/>
      <c r="K111" s="578"/>
      <c r="L111" s="578"/>
      <c r="M111" s="578"/>
      <c r="N111" s="578"/>
      <c r="O111" s="578"/>
      <c r="P111" s="578"/>
      <c r="Q111" s="578"/>
      <c r="R111" s="578"/>
      <c r="S111" s="578"/>
      <c r="T111" s="578"/>
      <c r="U111" s="578"/>
      <c r="V111" s="578"/>
      <c r="W111" s="578"/>
      <c r="X111" s="578"/>
      <c r="Y111" s="578"/>
      <c r="Z111" s="578"/>
    </row>
    <row r="112">
      <c r="A112" s="571" t="s">
        <v>441</v>
      </c>
      <c r="B112" s="572"/>
      <c r="C112" s="573"/>
      <c r="D112" s="572"/>
      <c r="E112" s="574"/>
      <c r="F112" s="575"/>
      <c r="G112" s="576"/>
      <c r="H112" s="576"/>
      <c r="I112" s="575"/>
      <c r="J112" s="575"/>
      <c r="K112" s="577"/>
      <c r="L112" s="578"/>
      <c r="M112" s="578"/>
      <c r="N112" s="578"/>
      <c r="O112" s="578"/>
      <c r="P112" s="578"/>
      <c r="Q112" s="578"/>
      <c r="R112" s="578"/>
      <c r="S112" s="578"/>
      <c r="T112" s="578"/>
      <c r="U112" s="578"/>
      <c r="V112" s="578"/>
      <c r="W112" s="578"/>
      <c r="X112" s="578"/>
      <c r="Y112" s="578"/>
      <c r="Z112" s="578"/>
    </row>
    <row r="113">
      <c r="A113" s="115" t="s">
        <v>442</v>
      </c>
      <c r="B113" s="579"/>
      <c r="C113" s="585" t="s">
        <v>443</v>
      </c>
      <c r="D113" s="579" t="s">
        <v>359</v>
      </c>
      <c r="E113" s="649">
        <v>1300.0</v>
      </c>
      <c r="F113" s="649">
        <f>1500-200</f>
        <v>1300</v>
      </c>
      <c r="G113" s="630">
        <f t="shared" ref="G113:G115" si="22">if(F113&gt;0,F113/sum($F$113:$F$115),"")</f>
        <v>0.1930215293</v>
      </c>
      <c r="H113" s="583"/>
      <c r="I113" s="650"/>
      <c r="J113" s="650"/>
      <c r="K113" s="578"/>
      <c r="L113" s="578"/>
      <c r="M113" s="578"/>
      <c r="N113" s="578"/>
      <c r="O113" s="578"/>
      <c r="P113" s="578"/>
      <c r="Q113" s="578"/>
      <c r="R113" s="578"/>
      <c r="S113" s="578"/>
      <c r="T113" s="578"/>
      <c r="U113" s="578"/>
      <c r="V113" s="578"/>
      <c r="W113" s="578"/>
      <c r="X113" s="578"/>
      <c r="Y113" s="578"/>
      <c r="Z113" s="578"/>
    </row>
    <row r="114">
      <c r="A114" s="115" t="s">
        <v>444</v>
      </c>
      <c r="B114" s="579"/>
      <c r="C114" s="585" t="s">
        <v>445</v>
      </c>
      <c r="D114" s="579"/>
      <c r="E114" s="651">
        <f>sum(1025,2400,1500,6515,1500,2095)-10300</f>
        <v>4735</v>
      </c>
      <c r="F114" s="649">
        <v>4735.0</v>
      </c>
      <c r="G114" s="630">
        <f t="shared" si="22"/>
        <v>0.703043801</v>
      </c>
      <c r="H114" s="583"/>
      <c r="I114" s="650"/>
      <c r="J114" s="650"/>
      <c r="K114" s="578"/>
      <c r="L114" s="578"/>
      <c r="M114" s="578"/>
      <c r="N114" s="578"/>
      <c r="O114" s="578"/>
      <c r="P114" s="578"/>
      <c r="Q114" s="578"/>
      <c r="R114" s="578"/>
      <c r="S114" s="578"/>
      <c r="T114" s="578"/>
      <c r="U114" s="578"/>
      <c r="V114" s="578"/>
      <c r="W114" s="578"/>
      <c r="X114" s="578"/>
      <c r="Y114" s="578"/>
      <c r="Z114" s="578"/>
    </row>
    <row r="115">
      <c r="A115" s="115" t="s">
        <v>446</v>
      </c>
      <c r="B115" s="579"/>
      <c r="C115" s="585"/>
      <c r="D115" s="579"/>
      <c r="E115" s="651">
        <v>700.0</v>
      </c>
      <c r="F115" s="651">
        <f>E115</f>
        <v>700</v>
      </c>
      <c r="G115" s="630">
        <f t="shared" si="22"/>
        <v>0.1039346696</v>
      </c>
      <c r="H115" s="583"/>
      <c r="I115" s="650"/>
      <c r="J115" s="650"/>
      <c r="K115" s="578"/>
      <c r="L115" s="578"/>
      <c r="M115" s="578"/>
      <c r="N115" s="578"/>
      <c r="O115" s="578"/>
      <c r="P115" s="578"/>
      <c r="Q115" s="578"/>
      <c r="R115" s="578"/>
      <c r="S115" s="578"/>
      <c r="T115" s="578"/>
      <c r="U115" s="578"/>
      <c r="V115" s="578"/>
      <c r="W115" s="578"/>
      <c r="X115" s="578"/>
      <c r="Y115" s="578"/>
      <c r="Z115" s="578"/>
    </row>
    <row r="116">
      <c r="A116" s="586"/>
      <c r="B116" s="587"/>
      <c r="C116" s="587"/>
      <c r="D116" s="587"/>
      <c r="E116" s="588">
        <f t="shared" ref="E116:F116" si="23">sum(E113:E115 )</f>
        <v>6735</v>
      </c>
      <c r="F116" s="588">
        <f t="shared" si="23"/>
        <v>6735</v>
      </c>
      <c r="G116" s="589">
        <f>SUBTOTAL(109,G113:G115)</f>
        <v>1</v>
      </c>
      <c r="H116" s="590"/>
      <c r="I116" s="624">
        <f>sum(I9:I113 )</f>
        <v>26504.2</v>
      </c>
      <c r="J116" s="624"/>
      <c r="K116" s="592"/>
      <c r="L116" s="592"/>
      <c r="M116" s="592"/>
      <c r="N116" s="592"/>
      <c r="O116" s="592"/>
      <c r="P116" s="592"/>
      <c r="Q116" s="592"/>
      <c r="R116" s="592"/>
      <c r="S116" s="592"/>
      <c r="T116" s="592"/>
      <c r="U116" s="592"/>
      <c r="V116" s="592"/>
      <c r="W116" s="592"/>
      <c r="X116" s="592"/>
      <c r="Y116" s="592"/>
      <c r="Z116" s="592"/>
    </row>
    <row r="117">
      <c r="B117" s="462"/>
      <c r="C117" s="652"/>
      <c r="D117" s="462"/>
      <c r="E117" s="653"/>
      <c r="F117" s="650"/>
      <c r="G117" s="654"/>
      <c r="H117" s="654"/>
      <c r="I117" s="650"/>
      <c r="J117" s="650"/>
      <c r="K117" s="655"/>
      <c r="L117" s="655"/>
      <c r="M117" s="655"/>
      <c r="N117" s="655"/>
      <c r="O117" s="655"/>
      <c r="P117" s="655"/>
      <c r="Q117" s="655"/>
      <c r="R117" s="655"/>
      <c r="S117" s="655"/>
      <c r="T117" s="655"/>
      <c r="U117" s="655"/>
      <c r="V117" s="655"/>
      <c r="W117" s="655"/>
      <c r="X117" s="655"/>
      <c r="Y117" s="655"/>
      <c r="Z117" s="655"/>
    </row>
    <row r="118">
      <c r="A118" s="656" t="s">
        <v>354</v>
      </c>
      <c r="B118" s="656"/>
      <c r="C118" s="656" t="s">
        <v>447</v>
      </c>
      <c r="D118" s="657" t="s">
        <v>448</v>
      </c>
      <c r="E118" s="658" t="s">
        <v>450</v>
      </c>
      <c r="F118" s="650"/>
      <c r="G118" s="654"/>
      <c r="H118" s="654"/>
      <c r="I118" s="650"/>
      <c r="J118" s="650"/>
      <c r="K118" s="659"/>
      <c r="L118" s="659"/>
      <c r="M118" s="659"/>
      <c r="N118" s="659"/>
      <c r="O118" s="659"/>
      <c r="P118" s="659"/>
      <c r="Q118" s="659"/>
      <c r="R118" s="659"/>
      <c r="S118" s="659"/>
      <c r="T118" s="659"/>
      <c r="U118" s="659"/>
      <c r="V118" s="659"/>
      <c r="W118" s="659"/>
      <c r="X118" s="659"/>
      <c r="Y118" s="659"/>
      <c r="Z118" s="659"/>
    </row>
    <row r="119">
      <c r="A119" s="462" t="str">
        <f>A3</f>
        <v>Cash, Savings</v>
      </c>
      <c r="B119" s="652"/>
      <c r="C119" s="660">
        <f>F7</f>
        <v>8755</v>
      </c>
      <c r="D119" s="661">
        <f>E7</f>
        <v>8755</v>
      </c>
      <c r="E119" s="662">
        <f t="shared" ref="E119:E125" si="24">IF(C119&gt;0,C119/SUM($C$119:$C$125), "")</f>
        <v>0.01271834848</v>
      </c>
      <c r="F119" s="650"/>
      <c r="G119" s="654"/>
      <c r="I119" s="650"/>
      <c r="J119" s="650"/>
      <c r="K119" s="655"/>
      <c r="L119" s="655"/>
      <c r="M119" s="655"/>
      <c r="N119" s="655"/>
      <c r="O119" s="655"/>
      <c r="P119" s="655"/>
      <c r="Q119" s="655"/>
      <c r="R119" s="655"/>
      <c r="S119" s="655"/>
      <c r="T119" s="655"/>
      <c r="U119" s="655"/>
      <c r="V119" s="655"/>
      <c r="W119" s="655"/>
      <c r="X119" s="655"/>
      <c r="Y119" s="655"/>
      <c r="Z119" s="655"/>
    </row>
    <row r="120">
      <c r="A120" s="462" t="str">
        <f>A104</f>
        <v>Retirement Accts (5%)</v>
      </c>
      <c r="B120" s="652"/>
      <c r="C120" s="663">
        <f>F107</f>
        <v>1200</v>
      </c>
      <c r="D120" s="661">
        <f>E107</f>
        <v>1200</v>
      </c>
      <c r="E120" s="662">
        <f t="shared" si="24"/>
        <v>0.001743234514</v>
      </c>
      <c r="F120" s="648"/>
      <c r="G120" s="583"/>
      <c r="H120" s="583"/>
      <c r="I120" s="648"/>
      <c r="J120" s="648"/>
      <c r="K120" s="664"/>
      <c r="L120" s="664"/>
      <c r="M120" s="664"/>
      <c r="N120" s="664"/>
      <c r="O120" s="664"/>
      <c r="P120" s="664"/>
      <c r="Q120" s="664"/>
      <c r="R120" s="664"/>
      <c r="S120" s="664"/>
      <c r="T120" s="664"/>
      <c r="U120" s="664"/>
      <c r="V120" s="664"/>
      <c r="W120" s="664"/>
      <c r="X120" s="664"/>
      <c r="Y120" s="664"/>
      <c r="Z120" s="664"/>
    </row>
    <row r="121">
      <c r="A121" s="462" t="str">
        <f>A9</f>
        <v>Crypto Assets (10%)</v>
      </c>
      <c r="B121" s="652"/>
      <c r="C121" s="660">
        <f>F55</f>
        <v>0</v>
      </c>
      <c r="D121" s="661">
        <f>E55</f>
        <v>0</v>
      </c>
      <c r="E121" s="662" t="str">
        <f t="shared" si="24"/>
        <v/>
      </c>
      <c r="F121" s="650"/>
      <c r="G121" s="654"/>
      <c r="H121" s="654"/>
      <c r="I121" s="650"/>
      <c r="J121" s="650"/>
      <c r="K121" s="665"/>
      <c r="L121" s="665"/>
      <c r="M121" s="665"/>
      <c r="N121" s="665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</row>
    <row r="122">
      <c r="A122" s="462" t="str">
        <f>A57</f>
        <v>Stocks, Bonds</v>
      </c>
      <c r="B122" s="652"/>
      <c r="C122" s="660">
        <f>F81</f>
        <v>186.54</v>
      </c>
      <c r="D122" s="661">
        <f>E81</f>
        <v>136</v>
      </c>
      <c r="E122" s="662">
        <f t="shared" si="24"/>
        <v>0.0002709858052</v>
      </c>
      <c r="F122" s="650"/>
      <c r="G122" s="654"/>
      <c r="H122" s="654"/>
      <c r="I122" s="650"/>
      <c r="J122" s="650"/>
      <c r="K122" s="655"/>
      <c r="L122" s="655"/>
      <c r="M122" s="655"/>
      <c r="N122" s="655"/>
      <c r="O122" s="655"/>
      <c r="P122" s="655"/>
      <c r="Q122" s="655"/>
      <c r="R122" s="655"/>
      <c r="S122" s="655"/>
      <c r="T122" s="655"/>
      <c r="U122" s="655"/>
      <c r="V122" s="655"/>
      <c r="W122" s="655"/>
      <c r="X122" s="655"/>
      <c r="Y122" s="655"/>
      <c r="Z122" s="655"/>
    </row>
    <row r="123">
      <c r="A123" s="462" t="str">
        <f>A109</f>
        <v>Real Estate</v>
      </c>
      <c r="B123" s="652"/>
      <c r="C123" s="663">
        <v>1.0</v>
      </c>
      <c r="D123" s="649">
        <v>1.0</v>
      </c>
      <c r="E123" s="662">
        <f t="shared" si="24"/>
        <v>0.000001452695428</v>
      </c>
      <c r="F123" s="650"/>
      <c r="G123" s="654"/>
      <c r="H123" s="654"/>
      <c r="I123" s="650"/>
      <c r="J123" s="650"/>
      <c r="K123" s="655"/>
      <c r="L123" s="655"/>
      <c r="M123" s="655"/>
      <c r="N123" s="655"/>
      <c r="O123" s="655"/>
      <c r="P123" s="655"/>
      <c r="Q123" s="655"/>
      <c r="R123" s="655"/>
      <c r="S123" s="655"/>
      <c r="T123" s="655"/>
      <c r="U123" s="655"/>
      <c r="V123" s="655"/>
      <c r="W123" s="655"/>
      <c r="X123" s="655"/>
      <c r="Y123" s="655"/>
      <c r="Z123" s="655"/>
    </row>
    <row r="124">
      <c r="A124" s="462" t="str">
        <f>A92</f>
        <v>Private Equity</v>
      </c>
      <c r="B124" s="652"/>
      <c r="C124" s="660">
        <f>F102</f>
        <v>671498</v>
      </c>
      <c r="D124" s="661">
        <f>E102</f>
        <v>673498</v>
      </c>
      <c r="E124" s="662">
        <f t="shared" si="24"/>
        <v>0.9754820748</v>
      </c>
      <c r="F124" s="650"/>
      <c r="G124" s="654"/>
      <c r="H124" s="654"/>
      <c r="I124" s="650"/>
      <c r="J124" s="650"/>
      <c r="K124" s="655"/>
      <c r="L124" s="655"/>
      <c r="M124" s="655"/>
      <c r="N124" s="655"/>
      <c r="O124" s="655"/>
      <c r="P124" s="655"/>
      <c r="Q124" s="655"/>
      <c r="R124" s="655"/>
      <c r="S124" s="655"/>
      <c r="T124" s="655"/>
      <c r="U124" s="655"/>
      <c r="V124" s="655"/>
      <c r="W124" s="655"/>
      <c r="X124" s="655"/>
      <c r="Y124" s="655"/>
      <c r="Z124" s="655"/>
    </row>
    <row r="125">
      <c r="A125" s="462" t="str">
        <f>A112</f>
        <v>Loans Distributed</v>
      </c>
      <c r="B125" s="652"/>
      <c r="C125" s="660">
        <f>F116</f>
        <v>6735</v>
      </c>
      <c r="D125" s="661">
        <f>E116</f>
        <v>6735</v>
      </c>
      <c r="E125" s="662">
        <f t="shared" si="24"/>
        <v>0.00978390371</v>
      </c>
      <c r="F125" s="650"/>
      <c r="G125" s="654"/>
      <c r="H125" s="654"/>
      <c r="I125" s="650"/>
      <c r="J125" s="650"/>
      <c r="K125" s="655"/>
      <c r="L125" s="655"/>
      <c r="M125" s="655"/>
      <c r="N125" s="655"/>
      <c r="O125" s="655"/>
      <c r="P125" s="655"/>
      <c r="Q125" s="655"/>
      <c r="R125" s="655"/>
      <c r="S125" s="655"/>
      <c r="T125" s="655"/>
      <c r="U125" s="655"/>
      <c r="V125" s="655"/>
      <c r="W125" s="655"/>
      <c r="X125" s="655"/>
      <c r="Y125" s="655"/>
      <c r="Z125" s="655"/>
    </row>
    <row r="126">
      <c r="A126" s="666" t="s">
        <v>322</v>
      </c>
      <c r="B126" s="667"/>
      <c r="C126" s="668">
        <f t="shared" ref="C126:E126" si="25">sum(C119:C125 )</f>
        <v>688375.54</v>
      </c>
      <c r="D126" s="668">
        <f t="shared" si="25"/>
        <v>690325</v>
      </c>
      <c r="E126" s="669">
        <f t="shared" si="25"/>
        <v>1</v>
      </c>
      <c r="F126" s="648"/>
      <c r="G126" s="583"/>
      <c r="H126" s="583"/>
      <c r="I126" s="112"/>
      <c r="J126" s="648"/>
      <c r="K126" s="664"/>
      <c r="L126" s="664"/>
      <c r="M126" s="664"/>
      <c r="N126" s="664"/>
      <c r="O126" s="664"/>
      <c r="P126" s="664"/>
      <c r="Q126" s="664"/>
      <c r="R126" s="664"/>
      <c r="S126" s="664"/>
      <c r="T126" s="664"/>
      <c r="U126" s="664"/>
      <c r="V126" s="664"/>
      <c r="W126" s="664"/>
      <c r="X126" s="664"/>
      <c r="Y126" s="664"/>
      <c r="Z126" s="664"/>
    </row>
    <row r="127">
      <c r="A127" s="670"/>
      <c r="B127" s="462"/>
      <c r="C127" s="652"/>
      <c r="E127" s="650"/>
      <c r="F127" s="650"/>
      <c r="G127" s="654"/>
      <c r="H127" s="654"/>
      <c r="I127" s="650"/>
      <c r="J127" s="650"/>
      <c r="K127" s="655"/>
      <c r="L127" s="655"/>
      <c r="M127" s="655"/>
      <c r="N127" s="655"/>
      <c r="O127" s="655"/>
      <c r="P127" s="655"/>
      <c r="Q127" s="655"/>
      <c r="R127" s="655"/>
      <c r="S127" s="655"/>
      <c r="T127" s="655"/>
      <c r="U127" s="655"/>
      <c r="V127" s="655"/>
      <c r="W127" s="655"/>
      <c r="X127" s="655"/>
      <c r="Y127" s="655"/>
      <c r="Z127" s="655"/>
    </row>
    <row r="128">
      <c r="B128" s="462"/>
      <c r="C128" s="671"/>
      <c r="E128" s="650"/>
      <c r="F128" s="650"/>
      <c r="G128" s="654"/>
      <c r="H128" s="654"/>
      <c r="I128" s="650"/>
      <c r="J128" s="650"/>
      <c r="K128" s="655"/>
      <c r="L128" s="655"/>
      <c r="M128" s="655"/>
      <c r="N128" s="655"/>
      <c r="O128" s="655"/>
      <c r="P128" s="655"/>
      <c r="Q128" s="655"/>
      <c r="R128" s="655"/>
      <c r="S128" s="655"/>
      <c r="T128" s="655"/>
      <c r="U128" s="655"/>
      <c r="V128" s="655"/>
      <c r="W128" s="655"/>
      <c r="X128" s="655"/>
      <c r="Y128" s="655"/>
      <c r="Z128" s="655"/>
    </row>
    <row r="129">
      <c r="A129" s="102"/>
      <c r="B129" s="462"/>
      <c r="C129" s="671"/>
      <c r="D129" s="462"/>
      <c r="E129" s="672"/>
      <c r="F129" s="650"/>
      <c r="G129" s="654"/>
      <c r="H129" s="654"/>
      <c r="I129" s="650"/>
      <c r="J129" s="650"/>
      <c r="K129" s="655"/>
      <c r="L129" s="655"/>
      <c r="M129" s="655"/>
      <c r="N129" s="655"/>
      <c r="O129" s="655"/>
      <c r="P129" s="655"/>
      <c r="Q129" s="655"/>
      <c r="R129" s="655"/>
      <c r="S129" s="655"/>
      <c r="T129" s="655"/>
      <c r="U129" s="655"/>
      <c r="V129" s="655"/>
      <c r="W129" s="655"/>
      <c r="X129" s="655"/>
      <c r="Y129" s="655"/>
      <c r="Z129" s="655"/>
    </row>
    <row r="130">
      <c r="A130" s="102"/>
      <c r="B130" s="462"/>
      <c r="C130" s="671"/>
      <c r="D130" s="462"/>
      <c r="E130" s="673"/>
      <c r="F130" s="650"/>
      <c r="G130" s="654"/>
      <c r="H130" s="654"/>
      <c r="I130" s="650"/>
      <c r="J130" s="650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</row>
    <row r="131">
      <c r="A131" s="102"/>
      <c r="B131" s="674"/>
      <c r="C131" s="671"/>
      <c r="D131" s="471"/>
      <c r="E131" s="654"/>
      <c r="G131" s="654"/>
      <c r="H131" s="654"/>
      <c r="I131" s="650"/>
      <c r="J131" s="650"/>
      <c r="K131" s="655"/>
      <c r="L131" s="655"/>
      <c r="M131" s="655"/>
      <c r="N131" s="655"/>
      <c r="O131" s="655"/>
      <c r="P131" s="655"/>
      <c r="Q131" s="655"/>
      <c r="R131" s="655"/>
      <c r="S131" s="655"/>
      <c r="T131" s="655"/>
      <c r="U131" s="655"/>
      <c r="V131" s="655"/>
      <c r="W131" s="655"/>
      <c r="X131" s="655"/>
      <c r="Y131" s="655"/>
      <c r="Z131" s="655"/>
    </row>
    <row r="132">
      <c r="A132" s="102"/>
      <c r="B132" s="674"/>
      <c r="C132" s="671"/>
      <c r="D132" s="462"/>
      <c r="E132" s="654"/>
      <c r="F132" s="650"/>
      <c r="G132" s="654"/>
      <c r="H132" s="672"/>
      <c r="I132" s="650"/>
      <c r="J132" s="650"/>
      <c r="K132" s="655"/>
      <c r="L132" s="655"/>
      <c r="M132" s="655"/>
      <c r="N132" s="655"/>
      <c r="O132" s="655"/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</row>
    <row r="133">
      <c r="A133" s="102"/>
      <c r="B133" s="652"/>
      <c r="C133" s="671"/>
      <c r="D133" s="462"/>
      <c r="E133" s="654"/>
      <c r="F133" s="650"/>
      <c r="G133" s="654"/>
      <c r="H133" s="654"/>
      <c r="I133" s="650"/>
      <c r="J133" s="650"/>
      <c r="K133" s="655"/>
      <c r="L133" s="655"/>
      <c r="M133" s="655"/>
      <c r="N133" s="655"/>
      <c r="O133" s="655"/>
      <c r="P133" s="655"/>
      <c r="Q133" s="655"/>
      <c r="R133" s="655"/>
      <c r="S133" s="655"/>
      <c r="T133" s="655"/>
      <c r="U133" s="655"/>
      <c r="V133" s="655"/>
      <c r="W133" s="655"/>
      <c r="X133" s="655"/>
      <c r="Y133" s="655"/>
      <c r="Z133" s="655"/>
    </row>
    <row r="134">
      <c r="A134" s="104"/>
      <c r="B134" s="675"/>
      <c r="C134" s="676"/>
      <c r="D134" s="675"/>
      <c r="E134" s="677"/>
      <c r="F134" s="678"/>
      <c r="G134" s="677"/>
      <c r="H134" s="654"/>
      <c r="I134" s="650"/>
      <c r="J134" s="650"/>
      <c r="K134" s="655"/>
      <c r="L134" s="655"/>
      <c r="M134" s="655"/>
      <c r="N134" s="655"/>
      <c r="O134" s="655"/>
      <c r="P134" s="655"/>
      <c r="Q134" s="655"/>
      <c r="R134" s="655"/>
      <c r="S134" s="655"/>
      <c r="T134" s="655"/>
      <c r="U134" s="655"/>
      <c r="V134" s="655"/>
      <c r="W134" s="655"/>
      <c r="X134" s="655"/>
      <c r="Y134" s="655"/>
      <c r="Z134" s="655"/>
    </row>
    <row r="135">
      <c r="B135" s="462"/>
      <c r="C135" s="671"/>
      <c r="D135" s="462"/>
      <c r="E135" s="654"/>
      <c r="F135" s="650"/>
      <c r="G135" s="654"/>
      <c r="H135" s="654"/>
      <c r="I135" s="650"/>
      <c r="J135" s="650"/>
      <c r="K135" s="655"/>
      <c r="L135" s="655"/>
      <c r="M135" s="655"/>
      <c r="N135" s="655"/>
      <c r="O135" s="655"/>
      <c r="P135" s="655"/>
      <c r="Q135" s="655"/>
      <c r="R135" s="655"/>
      <c r="S135" s="655"/>
      <c r="T135" s="655"/>
      <c r="U135" s="655"/>
      <c r="V135" s="655"/>
      <c r="W135" s="655"/>
      <c r="X135" s="655"/>
      <c r="Y135" s="655"/>
      <c r="Z135" s="655"/>
    </row>
    <row r="136">
      <c r="B136" s="462"/>
      <c r="C136" s="671"/>
      <c r="D136" s="462"/>
      <c r="E136" s="654"/>
      <c r="F136" s="650"/>
      <c r="G136" s="654"/>
      <c r="H136" s="654"/>
      <c r="I136" s="650"/>
      <c r="J136" s="650"/>
      <c r="K136" s="655"/>
      <c r="L136" s="655"/>
      <c r="M136" s="655"/>
      <c r="N136" s="655"/>
      <c r="O136" s="655"/>
      <c r="P136" s="655"/>
      <c r="Q136" s="655"/>
      <c r="R136" s="655"/>
      <c r="S136" s="655"/>
      <c r="T136" s="655"/>
      <c r="U136" s="655"/>
      <c r="V136" s="655"/>
      <c r="W136" s="655"/>
      <c r="X136" s="655"/>
      <c r="Y136" s="655"/>
      <c r="Z136" s="655"/>
    </row>
    <row r="137">
      <c r="B137" s="462"/>
      <c r="C137" s="671"/>
      <c r="D137" s="462"/>
      <c r="E137" s="654"/>
      <c r="F137" s="679"/>
      <c r="G137" s="654"/>
      <c r="H137" s="654"/>
      <c r="I137" s="650"/>
      <c r="J137" s="650"/>
      <c r="K137" s="655"/>
      <c r="L137" s="655"/>
      <c r="M137" s="655"/>
      <c r="N137" s="655"/>
      <c r="O137" s="655"/>
      <c r="P137" s="655"/>
      <c r="Q137" s="655"/>
      <c r="R137" s="655"/>
      <c r="S137" s="655"/>
      <c r="T137" s="655"/>
      <c r="U137" s="655"/>
      <c r="V137" s="655"/>
      <c r="W137" s="655"/>
      <c r="X137" s="655"/>
      <c r="Y137" s="655"/>
      <c r="Z137" s="655"/>
    </row>
    <row r="138">
      <c r="B138" s="462"/>
      <c r="C138" s="671"/>
      <c r="D138" s="462"/>
      <c r="E138" s="680"/>
      <c r="F138" s="109"/>
      <c r="G138" s="654"/>
      <c r="H138" s="654"/>
      <c r="I138" s="650"/>
      <c r="J138" s="650"/>
      <c r="K138" s="655"/>
      <c r="L138" s="655"/>
      <c r="M138" s="655"/>
      <c r="N138" s="655"/>
      <c r="O138" s="655"/>
      <c r="P138" s="655"/>
      <c r="Q138" s="655"/>
      <c r="R138" s="655"/>
      <c r="S138" s="655"/>
      <c r="T138" s="655"/>
      <c r="U138" s="655"/>
      <c r="V138" s="655"/>
      <c r="W138" s="655"/>
      <c r="X138" s="655"/>
      <c r="Y138" s="655"/>
      <c r="Z138" s="655"/>
    </row>
    <row r="139">
      <c r="A139" s="110" t="s">
        <v>546</v>
      </c>
      <c r="B139" s="681" t="s">
        <v>547</v>
      </c>
      <c r="C139" s="671"/>
      <c r="D139" s="462"/>
      <c r="E139" s="654"/>
      <c r="F139" s="109"/>
      <c r="G139" s="654"/>
      <c r="H139" s="654"/>
      <c r="I139" s="650"/>
      <c r="J139" s="650"/>
      <c r="K139" s="655"/>
      <c r="L139" s="655"/>
      <c r="M139" s="655"/>
      <c r="N139" s="655"/>
      <c r="O139" s="655"/>
      <c r="P139" s="655"/>
      <c r="Q139" s="655"/>
      <c r="R139" s="655"/>
      <c r="S139" s="655"/>
      <c r="T139" s="655"/>
      <c r="U139" s="655"/>
      <c r="V139" s="655"/>
      <c r="W139" s="655"/>
      <c r="X139" s="655"/>
      <c r="Y139" s="655"/>
      <c r="Z139" s="655"/>
    </row>
    <row r="140">
      <c r="B140" s="462"/>
      <c r="C140" s="671"/>
      <c r="D140" s="462"/>
      <c r="E140" s="654"/>
      <c r="F140" s="679"/>
      <c r="G140" s="654"/>
      <c r="H140" s="654"/>
      <c r="I140" s="650"/>
      <c r="J140" s="650"/>
      <c r="K140" s="655"/>
      <c r="L140" s="655"/>
      <c r="M140" s="655"/>
      <c r="N140" s="655"/>
      <c r="O140" s="655"/>
      <c r="P140" s="655"/>
      <c r="Q140" s="655"/>
      <c r="R140" s="655"/>
      <c r="S140" s="655"/>
      <c r="T140" s="655"/>
      <c r="U140" s="655"/>
      <c r="V140" s="655"/>
      <c r="W140" s="655"/>
      <c r="X140" s="655"/>
      <c r="Y140" s="655"/>
      <c r="Z140" s="655"/>
    </row>
    <row r="141">
      <c r="B141" s="462"/>
      <c r="C141" s="671"/>
      <c r="D141" s="462"/>
      <c r="E141" s="654"/>
      <c r="F141" s="671"/>
      <c r="G141" s="654"/>
      <c r="H141" s="654"/>
      <c r="I141" s="650"/>
      <c r="J141" s="650"/>
      <c r="K141" s="655"/>
      <c r="L141" s="655"/>
      <c r="M141" s="655"/>
      <c r="N141" s="655"/>
      <c r="O141" s="655"/>
      <c r="P141" s="655"/>
      <c r="Q141" s="655"/>
      <c r="R141" s="655"/>
      <c r="S141" s="655"/>
      <c r="T141" s="655"/>
      <c r="U141" s="655"/>
      <c r="V141" s="655"/>
      <c r="W141" s="655"/>
      <c r="X141" s="655"/>
      <c r="Y141" s="655"/>
      <c r="Z141" s="655"/>
    </row>
    <row r="142">
      <c r="B142" s="462"/>
      <c r="C142" s="671"/>
      <c r="D142" s="462"/>
      <c r="E142" s="654"/>
      <c r="F142" s="650"/>
      <c r="G142" s="654"/>
      <c r="H142" s="654"/>
      <c r="I142" s="650"/>
      <c r="J142" s="650"/>
      <c r="K142" s="655"/>
      <c r="L142" s="655"/>
      <c r="M142" s="655"/>
      <c r="N142" s="655"/>
      <c r="O142" s="655"/>
      <c r="P142" s="655"/>
      <c r="Q142" s="655"/>
      <c r="R142" s="655"/>
      <c r="S142" s="655"/>
      <c r="T142" s="655"/>
      <c r="U142" s="655"/>
      <c r="V142" s="655"/>
      <c r="W142" s="655"/>
      <c r="X142" s="655"/>
      <c r="Y142" s="655"/>
      <c r="Z142" s="655"/>
    </row>
    <row r="143">
      <c r="B143" s="462"/>
      <c r="C143" s="671"/>
      <c r="D143" s="462"/>
      <c r="E143" s="654"/>
      <c r="F143" s="650"/>
      <c r="G143" s="654"/>
      <c r="H143" s="654"/>
      <c r="I143" s="650"/>
      <c r="J143" s="650"/>
      <c r="K143" s="655"/>
      <c r="L143" s="655"/>
      <c r="M143" s="655"/>
      <c r="N143" s="655"/>
      <c r="O143" s="655"/>
      <c r="P143" s="655"/>
      <c r="Q143" s="655"/>
      <c r="R143" s="655"/>
      <c r="S143" s="655"/>
      <c r="T143" s="655"/>
      <c r="U143" s="655"/>
      <c r="V143" s="655"/>
      <c r="W143" s="655"/>
      <c r="X143" s="655"/>
      <c r="Y143" s="655"/>
      <c r="Z143" s="655"/>
    </row>
    <row r="144">
      <c r="B144" s="462"/>
      <c r="C144" s="671"/>
      <c r="D144" s="462"/>
      <c r="E144" s="654"/>
      <c r="F144" s="650"/>
      <c r="G144" s="654"/>
      <c r="H144" s="654"/>
      <c r="I144" s="650"/>
      <c r="J144" s="650"/>
      <c r="K144" s="655"/>
      <c r="L144" s="655"/>
      <c r="M144" s="655"/>
      <c r="N144" s="655"/>
      <c r="O144" s="655"/>
      <c r="P144" s="655"/>
      <c r="Q144" s="655"/>
      <c r="R144" s="655"/>
      <c r="S144" s="655"/>
      <c r="T144" s="655"/>
      <c r="U144" s="655"/>
      <c r="V144" s="655"/>
      <c r="W144" s="655"/>
      <c r="X144" s="655"/>
      <c r="Y144" s="655"/>
      <c r="Z144" s="655"/>
    </row>
    <row r="145">
      <c r="B145" s="462"/>
      <c r="C145" s="671"/>
      <c r="D145" s="462"/>
      <c r="E145" s="654"/>
      <c r="F145" s="650"/>
      <c r="G145" s="654"/>
      <c r="H145" s="654"/>
      <c r="I145" s="650"/>
      <c r="J145" s="650"/>
      <c r="K145" s="655"/>
      <c r="L145" s="655"/>
      <c r="M145" s="655"/>
      <c r="N145" s="655"/>
      <c r="O145" s="655"/>
      <c r="P145" s="655"/>
      <c r="Q145" s="655"/>
      <c r="R145" s="655"/>
      <c r="S145" s="655"/>
      <c r="T145" s="655"/>
      <c r="U145" s="655"/>
      <c r="V145" s="655"/>
      <c r="W145" s="655"/>
      <c r="X145" s="655"/>
      <c r="Y145" s="655"/>
      <c r="Z145" s="655"/>
    </row>
    <row r="146">
      <c r="B146" s="462"/>
      <c r="C146" s="671"/>
      <c r="D146" s="462"/>
      <c r="E146" s="654"/>
      <c r="F146" s="650"/>
      <c r="G146" s="654"/>
      <c r="H146" s="654"/>
      <c r="I146" s="650"/>
      <c r="J146" s="650"/>
      <c r="K146" s="655"/>
      <c r="L146" s="655"/>
      <c r="M146" s="655"/>
      <c r="N146" s="655"/>
      <c r="O146" s="655"/>
      <c r="P146" s="655"/>
      <c r="Q146" s="655"/>
      <c r="R146" s="655"/>
      <c r="S146" s="655"/>
      <c r="T146" s="655"/>
      <c r="U146" s="655"/>
      <c r="V146" s="655"/>
      <c r="W146" s="655"/>
      <c r="X146" s="655"/>
      <c r="Y146" s="655"/>
      <c r="Z146" s="655"/>
    </row>
    <row r="147">
      <c r="B147" s="471" t="s">
        <v>548</v>
      </c>
      <c r="C147" s="671"/>
      <c r="D147" s="462"/>
      <c r="E147" s="654"/>
      <c r="F147" s="650"/>
      <c r="G147" s="654"/>
      <c r="H147" s="654"/>
      <c r="I147" s="650"/>
      <c r="J147" s="650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</row>
    <row r="148">
      <c r="B148" s="471" t="s">
        <v>414</v>
      </c>
      <c r="C148" s="671"/>
      <c r="D148" s="462"/>
      <c r="E148" s="654"/>
      <c r="F148" s="650"/>
      <c r="G148" s="654"/>
      <c r="H148" s="654"/>
      <c r="I148" s="650"/>
      <c r="J148" s="650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</row>
    <row r="149">
      <c r="B149" s="462"/>
      <c r="C149" s="671"/>
      <c r="D149" s="462"/>
      <c r="E149" s="654"/>
      <c r="F149" s="650"/>
      <c r="G149" s="654"/>
      <c r="H149" s="654"/>
      <c r="I149" s="650"/>
      <c r="J149" s="650"/>
      <c r="K149" s="655"/>
      <c r="L149" s="655"/>
      <c r="M149" s="655"/>
      <c r="N149" s="655"/>
      <c r="O149" s="655"/>
      <c r="P149" s="655"/>
      <c r="Q149" s="655"/>
      <c r="R149" s="655"/>
      <c r="S149" s="655"/>
      <c r="T149" s="655"/>
      <c r="U149" s="655"/>
      <c r="V149" s="655"/>
      <c r="W149" s="655"/>
      <c r="X149" s="655"/>
      <c r="Y149" s="655"/>
      <c r="Z149" s="655"/>
    </row>
    <row r="150">
      <c r="B150" s="462"/>
      <c r="C150" s="671"/>
      <c r="D150" s="462"/>
      <c r="E150" s="654"/>
      <c r="F150" s="650"/>
      <c r="G150" s="654"/>
      <c r="H150" s="654"/>
      <c r="I150" s="650"/>
      <c r="J150" s="650"/>
      <c r="K150" s="655"/>
      <c r="L150" s="655"/>
      <c r="M150" s="655"/>
      <c r="N150" s="655"/>
      <c r="O150" s="655"/>
      <c r="P150" s="655"/>
      <c r="Q150" s="655"/>
      <c r="R150" s="655"/>
      <c r="S150" s="655"/>
      <c r="T150" s="655"/>
      <c r="U150" s="655"/>
      <c r="V150" s="655"/>
      <c r="W150" s="655"/>
      <c r="X150" s="655"/>
      <c r="Y150" s="655"/>
      <c r="Z150" s="655"/>
    </row>
    <row r="151">
      <c r="B151" s="462"/>
      <c r="C151" s="671"/>
      <c r="D151" s="462"/>
      <c r="E151" s="654"/>
      <c r="F151" s="650"/>
      <c r="G151" s="654"/>
      <c r="H151" s="654"/>
      <c r="I151" s="650"/>
      <c r="J151" s="650"/>
      <c r="K151" s="655"/>
      <c r="L151" s="655"/>
      <c r="M151" s="655"/>
      <c r="N151" s="655"/>
      <c r="O151" s="655"/>
      <c r="P151" s="655"/>
      <c r="Q151" s="655"/>
      <c r="R151" s="655"/>
      <c r="S151" s="655"/>
      <c r="T151" s="655"/>
      <c r="U151" s="655"/>
      <c r="V151" s="655"/>
      <c r="W151" s="655"/>
      <c r="X151" s="655"/>
      <c r="Y151" s="655"/>
      <c r="Z151" s="655"/>
    </row>
    <row r="152">
      <c r="B152" s="462"/>
      <c r="C152" s="671"/>
      <c r="D152" s="462"/>
      <c r="E152" s="654"/>
      <c r="F152" s="650"/>
      <c r="G152" s="654"/>
      <c r="H152" s="654"/>
      <c r="I152" s="650"/>
      <c r="J152" s="650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</row>
    <row r="153">
      <c r="B153" s="462"/>
      <c r="C153" s="671"/>
      <c r="D153" s="462"/>
      <c r="E153" s="654"/>
      <c r="F153" s="650"/>
      <c r="G153" s="654"/>
      <c r="H153" s="654"/>
      <c r="I153" s="650"/>
      <c r="J153" s="650"/>
      <c r="K153" s="655"/>
      <c r="L153" s="655"/>
      <c r="M153" s="655"/>
      <c r="N153" s="655"/>
      <c r="O153" s="655"/>
      <c r="P153" s="655"/>
      <c r="Q153" s="655"/>
      <c r="R153" s="655"/>
      <c r="S153" s="655"/>
      <c r="T153" s="655"/>
      <c r="U153" s="655"/>
      <c r="V153" s="655"/>
      <c r="W153" s="655"/>
      <c r="X153" s="655"/>
      <c r="Y153" s="655"/>
      <c r="Z153" s="655"/>
    </row>
    <row r="154">
      <c r="B154" s="471"/>
      <c r="C154" s="671"/>
      <c r="D154" s="462"/>
      <c r="E154" s="654"/>
      <c r="F154" s="650"/>
      <c r="G154" s="654"/>
      <c r="H154" s="654"/>
      <c r="I154" s="650"/>
      <c r="J154" s="650"/>
      <c r="K154" s="655"/>
      <c r="L154" s="655"/>
      <c r="M154" s="655"/>
      <c r="N154" s="655"/>
      <c r="O154" s="655"/>
      <c r="P154" s="655"/>
      <c r="Q154" s="655"/>
      <c r="R154" s="655"/>
      <c r="S154" s="655"/>
      <c r="T154" s="655"/>
      <c r="U154" s="655"/>
      <c r="V154" s="655"/>
      <c r="W154" s="655"/>
      <c r="X154" s="655"/>
      <c r="Y154" s="655"/>
      <c r="Z154" s="655"/>
    </row>
    <row r="155">
      <c r="B155" s="471"/>
      <c r="C155" s="671"/>
      <c r="D155" s="462"/>
      <c r="E155" s="654"/>
      <c r="F155" s="650"/>
      <c r="G155" s="654"/>
      <c r="H155" s="654"/>
      <c r="I155" s="650"/>
      <c r="J155" s="650"/>
      <c r="K155" s="655"/>
      <c r="L155" s="655"/>
      <c r="M155" s="655"/>
      <c r="N155" s="655"/>
      <c r="O155" s="655"/>
      <c r="P155" s="655"/>
      <c r="Q155" s="655"/>
      <c r="R155" s="655"/>
      <c r="S155" s="655"/>
      <c r="T155" s="655"/>
      <c r="U155" s="655"/>
      <c r="V155" s="655"/>
      <c r="W155" s="655"/>
      <c r="X155" s="655"/>
      <c r="Y155" s="655"/>
      <c r="Z155" s="655"/>
    </row>
    <row r="156">
      <c r="B156" s="471"/>
      <c r="C156" s="671"/>
      <c r="D156" s="462"/>
      <c r="E156" s="654"/>
      <c r="F156" s="650"/>
      <c r="G156" s="654"/>
      <c r="H156" s="654"/>
      <c r="I156" s="650"/>
      <c r="J156" s="650"/>
      <c r="K156" s="655"/>
      <c r="L156" s="655"/>
      <c r="M156" s="655"/>
      <c r="N156" s="655"/>
      <c r="O156" s="655"/>
      <c r="P156" s="655"/>
      <c r="Q156" s="655"/>
      <c r="R156" s="655"/>
      <c r="S156" s="655"/>
      <c r="T156" s="655"/>
      <c r="U156" s="655"/>
      <c r="V156" s="655"/>
      <c r="W156" s="655"/>
      <c r="X156" s="655"/>
      <c r="Y156" s="655"/>
      <c r="Z156" s="655"/>
    </row>
    <row r="157">
      <c r="B157" s="471"/>
      <c r="C157" s="671"/>
      <c r="D157" s="462"/>
      <c r="E157" s="654"/>
      <c r="F157" s="650"/>
      <c r="G157" s="654"/>
      <c r="H157" s="654"/>
      <c r="I157" s="650"/>
      <c r="J157" s="650"/>
      <c r="K157" s="655"/>
      <c r="L157" s="655"/>
      <c r="M157" s="655"/>
      <c r="N157" s="655"/>
      <c r="O157" s="655"/>
      <c r="P157" s="655"/>
      <c r="Q157" s="655"/>
      <c r="R157" s="655"/>
      <c r="S157" s="655"/>
      <c r="T157" s="655"/>
      <c r="U157" s="655"/>
      <c r="V157" s="655"/>
      <c r="W157" s="655"/>
      <c r="X157" s="655"/>
      <c r="Y157" s="655"/>
      <c r="Z157" s="655"/>
    </row>
    <row r="158">
      <c r="B158" s="471"/>
      <c r="C158" s="671"/>
      <c r="D158" s="462"/>
      <c r="E158" s="654"/>
      <c r="F158" s="650"/>
      <c r="G158" s="654"/>
      <c r="H158" s="654"/>
      <c r="I158" s="650"/>
      <c r="J158" s="650"/>
      <c r="K158" s="655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</row>
    <row r="159">
      <c r="B159" s="471"/>
      <c r="C159" s="671"/>
      <c r="D159" s="462"/>
      <c r="E159" s="654"/>
      <c r="F159" s="650"/>
      <c r="G159" s="654"/>
      <c r="H159" s="654"/>
      <c r="I159" s="650"/>
      <c r="J159" s="650"/>
      <c r="K159" s="655"/>
      <c r="L159" s="655"/>
      <c r="M159" s="655"/>
      <c r="N159" s="655"/>
      <c r="O159" s="655"/>
      <c r="P159" s="655"/>
      <c r="Q159" s="655"/>
      <c r="R159" s="655"/>
      <c r="S159" s="655"/>
      <c r="T159" s="655"/>
      <c r="U159" s="655"/>
      <c r="V159" s="655"/>
      <c r="W159" s="655"/>
      <c r="X159" s="655"/>
      <c r="Y159" s="655"/>
      <c r="Z159" s="655"/>
    </row>
    <row r="160">
      <c r="B160" s="471"/>
      <c r="C160" s="671"/>
      <c r="D160" s="462"/>
      <c r="E160" s="654"/>
      <c r="F160" s="650"/>
      <c r="G160" s="654"/>
      <c r="H160" s="654"/>
      <c r="I160" s="650"/>
      <c r="J160" s="650"/>
      <c r="K160" s="655"/>
      <c r="L160" s="655"/>
      <c r="M160" s="655"/>
      <c r="N160" s="655"/>
      <c r="O160" s="655"/>
      <c r="P160" s="655"/>
      <c r="Q160" s="655"/>
      <c r="R160" s="655"/>
      <c r="S160" s="655"/>
      <c r="T160" s="655"/>
      <c r="U160" s="655"/>
      <c r="V160" s="655"/>
      <c r="W160" s="655"/>
      <c r="X160" s="655"/>
      <c r="Y160" s="655"/>
      <c r="Z160" s="655"/>
    </row>
    <row r="161">
      <c r="B161" s="471"/>
      <c r="C161" s="671"/>
      <c r="D161" s="462"/>
      <c r="E161" s="654"/>
      <c r="F161" s="650"/>
      <c r="G161" s="654"/>
      <c r="H161" s="654"/>
      <c r="I161" s="650"/>
      <c r="J161" s="650"/>
      <c r="K161" s="655"/>
      <c r="L161" s="655"/>
      <c r="M161" s="655"/>
      <c r="N161" s="655"/>
      <c r="O161" s="655"/>
      <c r="P161" s="655"/>
      <c r="Q161" s="655"/>
      <c r="R161" s="655"/>
      <c r="S161" s="655"/>
      <c r="T161" s="655"/>
      <c r="U161" s="655"/>
      <c r="V161" s="655"/>
      <c r="W161" s="655"/>
      <c r="X161" s="655"/>
      <c r="Y161" s="655"/>
      <c r="Z161" s="655"/>
    </row>
    <row r="162">
      <c r="B162" s="471"/>
      <c r="C162" s="671"/>
      <c r="D162" s="462"/>
      <c r="E162" s="654"/>
      <c r="F162" s="650"/>
      <c r="G162" s="654"/>
      <c r="H162" s="654"/>
      <c r="I162" s="650"/>
      <c r="J162" s="650"/>
      <c r="K162" s="655"/>
      <c r="L162" s="655"/>
      <c r="M162" s="655"/>
      <c r="N162" s="655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</row>
    <row r="163">
      <c r="B163" s="471"/>
      <c r="C163" s="671"/>
      <c r="D163" s="462"/>
      <c r="E163" s="654"/>
      <c r="F163" s="650"/>
      <c r="G163" s="654"/>
      <c r="H163" s="654"/>
      <c r="I163" s="650"/>
      <c r="J163" s="650"/>
      <c r="K163" s="655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</row>
    <row r="164">
      <c r="B164" s="462"/>
      <c r="C164" s="671"/>
      <c r="D164" s="462"/>
      <c r="E164" s="654"/>
      <c r="F164" s="650"/>
      <c r="G164" s="654"/>
      <c r="H164" s="654"/>
      <c r="I164" s="650"/>
      <c r="J164" s="650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</row>
    <row r="165">
      <c r="B165" s="462"/>
      <c r="C165" s="671"/>
      <c r="D165" s="462"/>
      <c r="E165" s="654"/>
      <c r="F165" s="650"/>
      <c r="G165" s="654"/>
      <c r="H165" s="654"/>
      <c r="I165" s="650"/>
      <c r="J165" s="650"/>
      <c r="K165" s="655"/>
      <c r="L165" s="655"/>
      <c r="M165" s="655"/>
      <c r="N165" s="655"/>
      <c r="O165" s="655"/>
      <c r="P165" s="655"/>
      <c r="Q165" s="655"/>
      <c r="R165" s="655"/>
      <c r="S165" s="655"/>
      <c r="T165" s="655"/>
      <c r="U165" s="655"/>
      <c r="V165" s="655"/>
      <c r="W165" s="655"/>
      <c r="X165" s="655"/>
      <c r="Y165" s="655"/>
      <c r="Z165" s="655"/>
    </row>
    <row r="166">
      <c r="B166" s="471" t="s">
        <v>380</v>
      </c>
      <c r="C166" s="679" t="s">
        <v>549</v>
      </c>
      <c r="D166" s="471" t="s">
        <v>550</v>
      </c>
      <c r="E166" s="672" t="s">
        <v>551</v>
      </c>
      <c r="F166" s="682" t="s">
        <v>552</v>
      </c>
      <c r="G166" s="654"/>
      <c r="H166" s="654"/>
      <c r="I166" s="650"/>
      <c r="J166" s="650"/>
      <c r="K166" s="655"/>
      <c r="L166" s="655"/>
      <c r="M166" s="655"/>
      <c r="N166" s="655"/>
      <c r="O166" s="655"/>
      <c r="P166" s="655"/>
      <c r="Q166" s="655"/>
      <c r="R166" s="655"/>
      <c r="S166" s="655"/>
      <c r="T166" s="655"/>
      <c r="U166" s="655"/>
      <c r="V166" s="655"/>
      <c r="W166" s="655"/>
      <c r="X166" s="655"/>
      <c r="Y166" s="655"/>
      <c r="Z166" s="655"/>
    </row>
    <row r="167">
      <c r="B167" s="471" t="s">
        <v>417</v>
      </c>
      <c r="C167" s="464">
        <v>297500.0</v>
      </c>
      <c r="D167" s="477">
        <v>1700000.0</v>
      </c>
      <c r="E167" s="672" t="s">
        <v>359</v>
      </c>
      <c r="F167" s="682" t="s">
        <v>553</v>
      </c>
      <c r="G167" s="654"/>
      <c r="H167" s="654"/>
      <c r="I167" s="650"/>
      <c r="J167" s="650"/>
      <c r="K167" s="655"/>
      <c r="L167" s="655"/>
      <c r="M167" s="655"/>
      <c r="N167" s="655"/>
      <c r="O167" s="655"/>
      <c r="P167" s="655"/>
      <c r="Q167" s="655"/>
      <c r="R167" s="655"/>
      <c r="S167" s="655"/>
      <c r="T167" s="655"/>
      <c r="U167" s="655"/>
      <c r="V167" s="655"/>
      <c r="W167" s="655"/>
      <c r="X167" s="655"/>
      <c r="Y167" s="655"/>
      <c r="Z167" s="655"/>
    </row>
    <row r="168">
      <c r="B168" s="471" t="s">
        <v>414</v>
      </c>
      <c r="C168" s="464">
        <v>1.4E7</v>
      </c>
      <c r="D168" s="477">
        <v>7.0E7</v>
      </c>
      <c r="E168" s="672" t="s">
        <v>359</v>
      </c>
      <c r="F168" s="682" t="s">
        <v>554</v>
      </c>
      <c r="G168" s="654"/>
      <c r="H168" s="654"/>
      <c r="I168" s="650"/>
      <c r="J168" s="650"/>
      <c r="K168" s="655"/>
      <c r="L168" s="655"/>
      <c r="M168" s="655"/>
      <c r="N168" s="655"/>
      <c r="O168" s="655"/>
      <c r="P168" s="655"/>
      <c r="Q168" s="655"/>
      <c r="R168" s="655"/>
      <c r="S168" s="655"/>
      <c r="T168" s="655"/>
      <c r="U168" s="655"/>
      <c r="V168" s="655"/>
      <c r="W168" s="655"/>
      <c r="X168" s="655"/>
      <c r="Y168" s="655"/>
      <c r="Z168" s="655"/>
    </row>
    <row r="169">
      <c r="B169" s="471" t="s">
        <v>37</v>
      </c>
      <c r="C169" s="464">
        <v>50000.0</v>
      </c>
      <c r="D169" s="477">
        <v>150000.0</v>
      </c>
      <c r="E169" s="672" t="s">
        <v>555</v>
      </c>
      <c r="F169" s="682" t="s">
        <v>556</v>
      </c>
      <c r="G169" s="654"/>
      <c r="H169" s="654"/>
      <c r="I169" s="650"/>
      <c r="J169" s="650"/>
      <c r="K169" s="655"/>
      <c r="L169" s="655"/>
      <c r="M169" s="655"/>
      <c r="N169" s="655"/>
      <c r="O169" s="655"/>
      <c r="P169" s="655"/>
      <c r="Q169" s="655"/>
      <c r="R169" s="655"/>
      <c r="S169" s="655"/>
      <c r="T169" s="655"/>
      <c r="U169" s="655"/>
      <c r="V169" s="655"/>
      <c r="W169" s="655"/>
      <c r="X169" s="655"/>
      <c r="Y169" s="655"/>
      <c r="Z169" s="655"/>
    </row>
    <row r="170">
      <c r="B170" s="471" t="s">
        <v>557</v>
      </c>
      <c r="C170" s="464">
        <v>100000.0</v>
      </c>
      <c r="D170" s="471" t="s">
        <v>359</v>
      </c>
      <c r="E170" s="683">
        <v>0.07</v>
      </c>
      <c r="F170" s="682" t="s">
        <v>558</v>
      </c>
      <c r="G170" s="654"/>
      <c r="H170" s="654"/>
      <c r="I170" s="650"/>
      <c r="J170" s="650"/>
      <c r="K170" s="655"/>
      <c r="L170" s="655"/>
      <c r="M170" s="655"/>
      <c r="N170" s="655"/>
      <c r="O170" s="655"/>
      <c r="P170" s="655"/>
      <c r="Q170" s="655"/>
      <c r="R170" s="655"/>
      <c r="S170" s="655"/>
      <c r="T170" s="655"/>
      <c r="U170" s="655"/>
      <c r="V170" s="655"/>
      <c r="W170" s="655"/>
      <c r="X170" s="655"/>
      <c r="Y170" s="655"/>
      <c r="Z170" s="655"/>
    </row>
    <row r="171">
      <c r="B171" s="471" t="s">
        <v>431</v>
      </c>
      <c r="C171" s="464">
        <v>20000.0</v>
      </c>
      <c r="D171" s="477">
        <v>200000.0</v>
      </c>
      <c r="E171" s="672" t="s">
        <v>359</v>
      </c>
      <c r="F171" s="682" t="s">
        <v>559</v>
      </c>
      <c r="G171" s="654"/>
      <c r="H171" s="654"/>
      <c r="I171" s="650"/>
      <c r="J171" s="650"/>
      <c r="K171" s="655"/>
      <c r="L171" s="655"/>
      <c r="M171" s="655"/>
      <c r="N171" s="655"/>
      <c r="O171" s="655"/>
      <c r="P171" s="655"/>
      <c r="Q171" s="655"/>
      <c r="R171" s="655"/>
      <c r="S171" s="655"/>
      <c r="T171" s="655"/>
      <c r="U171" s="655"/>
      <c r="V171" s="655"/>
      <c r="W171" s="655"/>
      <c r="X171" s="655"/>
      <c r="Y171" s="655"/>
      <c r="Z171" s="655"/>
    </row>
    <row r="172">
      <c r="B172" s="471" t="s">
        <v>93</v>
      </c>
      <c r="C172" s="464">
        <v>50000.0</v>
      </c>
      <c r="D172" s="471" t="s">
        <v>359</v>
      </c>
      <c r="E172" s="672" t="s">
        <v>560</v>
      </c>
      <c r="F172" s="682" t="s">
        <v>561</v>
      </c>
      <c r="G172" s="654"/>
      <c r="H172" s="654"/>
      <c r="I172" s="650"/>
      <c r="J172" s="650"/>
      <c r="K172" s="655"/>
      <c r="L172" s="655"/>
      <c r="M172" s="655"/>
      <c r="N172" s="655"/>
      <c r="O172" s="655"/>
      <c r="P172" s="655"/>
      <c r="Q172" s="655"/>
      <c r="R172" s="655"/>
      <c r="S172" s="655"/>
      <c r="T172" s="655"/>
      <c r="U172" s="655"/>
      <c r="V172" s="655"/>
      <c r="W172" s="655"/>
      <c r="X172" s="655"/>
      <c r="Y172" s="655"/>
      <c r="Z172" s="655"/>
    </row>
    <row r="173">
      <c r="B173" s="471" t="s">
        <v>562</v>
      </c>
      <c r="C173" s="464">
        <v>20000.0</v>
      </c>
      <c r="D173" s="477">
        <v>100000.0</v>
      </c>
      <c r="E173" s="672" t="s">
        <v>359</v>
      </c>
      <c r="F173" s="682" t="s">
        <v>563</v>
      </c>
      <c r="G173" s="654"/>
      <c r="H173" s="654"/>
      <c r="I173" s="650"/>
      <c r="J173" s="650"/>
      <c r="K173" s="655"/>
      <c r="L173" s="655"/>
      <c r="M173" s="655"/>
      <c r="N173" s="655"/>
      <c r="O173" s="655"/>
      <c r="P173" s="655"/>
      <c r="Q173" s="655"/>
      <c r="R173" s="655"/>
      <c r="S173" s="655"/>
      <c r="T173" s="655"/>
      <c r="U173" s="655"/>
      <c r="V173" s="655"/>
      <c r="W173" s="655"/>
      <c r="X173" s="655"/>
      <c r="Y173" s="655"/>
      <c r="Z173" s="655"/>
    </row>
    <row r="174">
      <c r="B174" s="471" t="s">
        <v>503</v>
      </c>
      <c r="C174" s="464">
        <v>20000.0</v>
      </c>
      <c r="D174" s="477">
        <v>100000.0</v>
      </c>
      <c r="E174" s="672" t="s">
        <v>359</v>
      </c>
      <c r="F174" s="682" t="s">
        <v>564</v>
      </c>
      <c r="G174" s="654"/>
      <c r="H174" s="654"/>
      <c r="I174" s="650"/>
      <c r="J174" s="650"/>
      <c r="K174" s="655"/>
      <c r="L174" s="655"/>
      <c r="M174" s="655"/>
      <c r="N174" s="655"/>
      <c r="O174" s="655"/>
      <c r="P174" s="655"/>
      <c r="Q174" s="655"/>
      <c r="R174" s="655"/>
      <c r="S174" s="655"/>
      <c r="T174" s="655"/>
      <c r="U174" s="655"/>
      <c r="V174" s="655"/>
      <c r="W174" s="655"/>
      <c r="X174" s="655"/>
      <c r="Y174" s="655"/>
      <c r="Z174" s="655"/>
    </row>
    <row r="175">
      <c r="B175" s="471" t="s">
        <v>565</v>
      </c>
      <c r="C175" s="464">
        <v>24000.0</v>
      </c>
      <c r="D175" s="684">
        <v>25185.92</v>
      </c>
      <c r="E175" s="672" t="s">
        <v>566</v>
      </c>
      <c r="F175" s="682" t="s">
        <v>567</v>
      </c>
      <c r="G175" s="654"/>
      <c r="H175" s="654"/>
      <c r="I175" s="650"/>
      <c r="J175" s="650"/>
      <c r="K175" s="655"/>
      <c r="L175" s="655"/>
      <c r="M175" s="655"/>
      <c r="N175" s="655"/>
      <c r="O175" s="655"/>
      <c r="P175" s="655"/>
      <c r="Q175" s="655"/>
      <c r="R175" s="655"/>
      <c r="S175" s="655"/>
      <c r="T175" s="655"/>
      <c r="U175" s="655"/>
      <c r="V175" s="655"/>
      <c r="W175" s="655"/>
      <c r="X175" s="655"/>
      <c r="Y175" s="655"/>
      <c r="Z175" s="655"/>
    </row>
    <row r="176">
      <c r="B176" s="462"/>
      <c r="C176" s="671"/>
      <c r="D176" s="462"/>
      <c r="E176" s="654"/>
      <c r="F176" s="650"/>
      <c r="G176" s="654"/>
      <c r="H176" s="654"/>
      <c r="I176" s="650"/>
      <c r="J176" s="650"/>
      <c r="K176" s="655"/>
      <c r="L176" s="655"/>
      <c r="M176" s="655"/>
      <c r="N176" s="655"/>
      <c r="O176" s="655"/>
      <c r="P176" s="655"/>
      <c r="Q176" s="655"/>
      <c r="R176" s="655"/>
      <c r="S176" s="655"/>
      <c r="T176" s="655"/>
      <c r="U176" s="655"/>
      <c r="V176" s="655"/>
      <c r="W176" s="655"/>
      <c r="X176" s="655"/>
      <c r="Y176" s="655"/>
      <c r="Z176" s="655"/>
    </row>
    <row r="177">
      <c r="B177" s="462"/>
      <c r="C177" s="671"/>
      <c r="D177" s="462"/>
      <c r="E177" s="654"/>
      <c r="F177" s="650"/>
      <c r="G177" s="654"/>
      <c r="H177" s="654"/>
      <c r="I177" s="650"/>
      <c r="J177" s="650"/>
      <c r="K177" s="655"/>
      <c r="L177" s="655"/>
      <c r="M177" s="655"/>
      <c r="N177" s="655"/>
      <c r="O177" s="655"/>
      <c r="P177" s="655"/>
      <c r="Q177" s="655"/>
      <c r="R177" s="655"/>
      <c r="S177" s="655"/>
      <c r="T177" s="655"/>
      <c r="U177" s="655"/>
      <c r="V177" s="655"/>
      <c r="W177" s="655"/>
      <c r="X177" s="655"/>
      <c r="Y177" s="655"/>
      <c r="Z177" s="655"/>
    </row>
    <row r="178">
      <c r="B178" s="462"/>
      <c r="C178" s="671"/>
      <c r="D178" s="462"/>
      <c r="E178" s="654"/>
      <c r="F178" s="650"/>
      <c r="G178" s="654"/>
      <c r="H178" s="654"/>
      <c r="I178" s="650"/>
      <c r="J178" s="650"/>
      <c r="K178" s="655"/>
      <c r="L178" s="655"/>
      <c r="M178" s="655"/>
      <c r="N178" s="655"/>
      <c r="O178" s="655"/>
      <c r="P178" s="655"/>
      <c r="Q178" s="655"/>
      <c r="R178" s="655"/>
      <c r="S178" s="655"/>
      <c r="T178" s="655"/>
      <c r="U178" s="655"/>
      <c r="V178" s="655"/>
      <c r="W178" s="655"/>
      <c r="X178" s="655"/>
      <c r="Y178" s="655"/>
      <c r="Z178" s="655"/>
    </row>
    <row r="179">
      <c r="B179" s="462"/>
      <c r="C179" s="671"/>
      <c r="D179" s="462"/>
      <c r="E179" s="654"/>
      <c r="F179" s="650"/>
      <c r="G179" s="654"/>
      <c r="H179" s="654"/>
      <c r="I179" s="650"/>
      <c r="J179" s="650"/>
      <c r="K179" s="655"/>
      <c r="L179" s="655"/>
      <c r="M179" s="655"/>
      <c r="N179" s="655"/>
      <c r="O179" s="655"/>
      <c r="P179" s="655"/>
      <c r="Q179" s="655"/>
      <c r="R179" s="655"/>
      <c r="S179" s="655"/>
      <c r="T179" s="655"/>
      <c r="U179" s="655"/>
      <c r="V179" s="655"/>
      <c r="W179" s="655"/>
      <c r="X179" s="655"/>
      <c r="Y179" s="655"/>
      <c r="Z179" s="655"/>
    </row>
    <row r="180">
      <c r="B180" s="462"/>
      <c r="C180" s="671"/>
      <c r="D180" s="462"/>
      <c r="E180" s="654"/>
      <c r="F180" s="650"/>
      <c r="G180" s="654"/>
      <c r="H180" s="654"/>
      <c r="I180" s="650"/>
      <c r="J180" s="650"/>
      <c r="K180" s="655"/>
      <c r="L180" s="655"/>
      <c r="M180" s="655"/>
      <c r="N180" s="655"/>
      <c r="O180" s="655"/>
      <c r="P180" s="655"/>
      <c r="Q180" s="655"/>
      <c r="R180" s="655"/>
      <c r="S180" s="655"/>
      <c r="T180" s="655"/>
      <c r="U180" s="655"/>
      <c r="V180" s="655"/>
      <c r="W180" s="655"/>
      <c r="X180" s="655"/>
      <c r="Y180" s="655"/>
      <c r="Z180" s="655"/>
    </row>
    <row r="181">
      <c r="B181" s="462"/>
      <c r="C181" s="671"/>
      <c r="D181" s="462"/>
      <c r="E181" s="654"/>
      <c r="F181" s="650"/>
      <c r="G181" s="654"/>
      <c r="H181" s="654"/>
      <c r="I181" s="650"/>
      <c r="J181" s="650"/>
      <c r="K181" s="655"/>
      <c r="L181" s="655"/>
      <c r="M181" s="655"/>
      <c r="N181" s="655"/>
      <c r="O181" s="655"/>
      <c r="P181" s="655"/>
      <c r="Q181" s="655"/>
      <c r="R181" s="655"/>
      <c r="S181" s="655"/>
      <c r="T181" s="655"/>
      <c r="U181" s="655"/>
      <c r="V181" s="655"/>
      <c r="W181" s="655"/>
      <c r="X181" s="655"/>
      <c r="Y181" s="655"/>
      <c r="Z181" s="655"/>
    </row>
    <row r="182">
      <c r="B182" s="462"/>
      <c r="C182" s="671"/>
      <c r="D182" s="462"/>
      <c r="E182" s="654"/>
      <c r="F182" s="650"/>
      <c r="G182" s="654"/>
      <c r="H182" s="654"/>
      <c r="I182" s="650"/>
      <c r="J182" s="650"/>
      <c r="K182" s="655"/>
      <c r="L182" s="655"/>
      <c r="M182" s="655"/>
      <c r="N182" s="655"/>
      <c r="O182" s="655"/>
      <c r="P182" s="655"/>
      <c r="Q182" s="655"/>
      <c r="R182" s="655"/>
      <c r="S182" s="655"/>
      <c r="T182" s="655"/>
      <c r="U182" s="655"/>
      <c r="V182" s="655"/>
      <c r="W182" s="655"/>
      <c r="X182" s="655"/>
      <c r="Y182" s="655"/>
      <c r="Z182" s="655"/>
    </row>
    <row r="183">
      <c r="B183" s="462"/>
      <c r="C183" s="671"/>
      <c r="D183" s="462"/>
      <c r="E183" s="654"/>
      <c r="F183" s="650"/>
      <c r="G183" s="654"/>
      <c r="H183" s="654"/>
      <c r="I183" s="650"/>
      <c r="J183" s="650"/>
      <c r="K183" s="655"/>
      <c r="L183" s="655"/>
      <c r="M183" s="655"/>
      <c r="N183" s="655"/>
      <c r="O183" s="655"/>
      <c r="P183" s="655"/>
      <c r="Q183" s="655"/>
      <c r="R183" s="655"/>
      <c r="S183" s="655"/>
      <c r="T183" s="655"/>
      <c r="U183" s="655"/>
      <c r="V183" s="655"/>
      <c r="W183" s="655"/>
      <c r="X183" s="655"/>
      <c r="Y183" s="655"/>
      <c r="Z183" s="655"/>
    </row>
    <row r="184">
      <c r="B184" s="462"/>
      <c r="C184" s="671"/>
      <c r="D184" s="462"/>
      <c r="E184" s="654"/>
      <c r="F184" s="650"/>
      <c r="G184" s="654"/>
      <c r="H184" s="654"/>
      <c r="I184" s="650"/>
      <c r="J184" s="650"/>
      <c r="K184" s="655"/>
      <c r="L184" s="655"/>
      <c r="M184" s="655"/>
      <c r="N184" s="655"/>
      <c r="O184" s="655"/>
      <c r="P184" s="655"/>
      <c r="Q184" s="655"/>
      <c r="R184" s="655"/>
      <c r="S184" s="655"/>
      <c r="T184" s="655"/>
      <c r="U184" s="655"/>
      <c r="V184" s="655"/>
      <c r="W184" s="655"/>
      <c r="X184" s="655"/>
      <c r="Y184" s="655"/>
      <c r="Z184" s="655"/>
    </row>
    <row r="185">
      <c r="B185" s="462"/>
      <c r="C185" s="671"/>
      <c r="D185" s="462"/>
      <c r="E185" s="654"/>
      <c r="F185" s="650"/>
      <c r="G185" s="654"/>
      <c r="H185" s="654"/>
      <c r="I185" s="650"/>
      <c r="J185" s="650"/>
      <c r="K185" s="655"/>
      <c r="L185" s="655"/>
      <c r="M185" s="655"/>
      <c r="N185" s="655"/>
      <c r="O185" s="655"/>
      <c r="P185" s="655"/>
      <c r="Q185" s="655"/>
      <c r="R185" s="655"/>
      <c r="S185" s="655"/>
      <c r="T185" s="655"/>
      <c r="U185" s="655"/>
      <c r="V185" s="655"/>
      <c r="W185" s="655"/>
      <c r="X185" s="655"/>
      <c r="Y185" s="655"/>
      <c r="Z185" s="655"/>
    </row>
    <row r="186">
      <c r="B186" s="462"/>
      <c r="C186" s="671"/>
      <c r="D186" s="462"/>
      <c r="E186" s="654"/>
      <c r="F186" s="650"/>
      <c r="G186" s="654"/>
      <c r="H186" s="654"/>
      <c r="I186" s="650"/>
      <c r="J186" s="650"/>
      <c r="K186" s="655"/>
      <c r="L186" s="655"/>
      <c r="M186" s="655"/>
      <c r="N186" s="655"/>
      <c r="O186" s="655"/>
      <c r="P186" s="655"/>
      <c r="Q186" s="655"/>
      <c r="R186" s="655"/>
      <c r="S186" s="655"/>
      <c r="T186" s="655"/>
      <c r="U186" s="655"/>
      <c r="V186" s="655"/>
      <c r="W186" s="655"/>
      <c r="X186" s="655"/>
      <c r="Y186" s="655"/>
      <c r="Z186" s="655"/>
    </row>
    <row r="187">
      <c r="B187" s="462"/>
      <c r="C187" s="671"/>
      <c r="D187" s="462"/>
      <c r="E187" s="654"/>
      <c r="F187" s="650"/>
      <c r="G187" s="654"/>
      <c r="H187" s="654"/>
      <c r="I187" s="650"/>
      <c r="J187" s="650"/>
      <c r="K187" s="655"/>
      <c r="L187" s="655"/>
      <c r="M187" s="655"/>
      <c r="N187" s="655"/>
      <c r="O187" s="655"/>
      <c r="P187" s="655"/>
      <c r="Q187" s="655"/>
      <c r="R187" s="655"/>
      <c r="S187" s="655"/>
      <c r="T187" s="655"/>
      <c r="U187" s="655"/>
      <c r="V187" s="655"/>
      <c r="W187" s="655"/>
      <c r="X187" s="655"/>
      <c r="Y187" s="655"/>
      <c r="Z187" s="655"/>
    </row>
    <row r="188">
      <c r="B188" s="462"/>
      <c r="C188" s="671"/>
      <c r="D188" s="462"/>
      <c r="E188" s="654"/>
      <c r="F188" s="650"/>
      <c r="G188" s="654"/>
      <c r="H188" s="654"/>
      <c r="I188" s="650"/>
      <c r="J188" s="650"/>
      <c r="K188" s="655"/>
      <c r="L188" s="655"/>
      <c r="M188" s="655"/>
      <c r="N188" s="655"/>
      <c r="O188" s="655"/>
      <c r="P188" s="655"/>
      <c r="Q188" s="655"/>
      <c r="R188" s="655"/>
      <c r="S188" s="655"/>
      <c r="T188" s="655"/>
      <c r="U188" s="655"/>
      <c r="V188" s="655"/>
      <c r="W188" s="655"/>
      <c r="X188" s="655"/>
      <c r="Y188" s="655"/>
      <c r="Z188" s="655"/>
    </row>
    <row r="189">
      <c r="B189" s="462"/>
      <c r="C189" s="671"/>
      <c r="D189" s="462"/>
      <c r="E189" s="654"/>
      <c r="F189" s="650"/>
      <c r="G189" s="654"/>
      <c r="H189" s="654"/>
      <c r="I189" s="650"/>
      <c r="J189" s="650"/>
      <c r="K189" s="655"/>
      <c r="L189" s="655"/>
      <c r="M189" s="655"/>
      <c r="N189" s="655"/>
      <c r="O189" s="655"/>
      <c r="P189" s="655"/>
      <c r="Q189" s="655"/>
      <c r="R189" s="655"/>
      <c r="S189" s="655"/>
      <c r="T189" s="655"/>
      <c r="U189" s="655"/>
      <c r="V189" s="655"/>
      <c r="W189" s="655"/>
      <c r="X189" s="655"/>
      <c r="Y189" s="655"/>
      <c r="Z189" s="655"/>
    </row>
    <row r="190">
      <c r="B190" s="462"/>
      <c r="C190" s="671"/>
      <c r="D190" s="462"/>
      <c r="E190" s="654"/>
      <c r="F190" s="650"/>
      <c r="G190" s="654"/>
      <c r="H190" s="654"/>
      <c r="I190" s="650"/>
      <c r="J190" s="650"/>
      <c r="K190" s="655"/>
      <c r="L190" s="655"/>
      <c r="M190" s="655"/>
      <c r="N190" s="655"/>
      <c r="O190" s="655"/>
      <c r="P190" s="655"/>
      <c r="Q190" s="655"/>
      <c r="R190" s="655"/>
      <c r="S190" s="655"/>
      <c r="T190" s="655"/>
      <c r="U190" s="655"/>
      <c r="V190" s="655"/>
      <c r="W190" s="655"/>
      <c r="X190" s="655"/>
      <c r="Y190" s="655"/>
      <c r="Z190" s="655"/>
    </row>
    <row r="191">
      <c r="B191" s="462"/>
      <c r="C191" s="671"/>
      <c r="D191" s="462"/>
      <c r="E191" s="654"/>
      <c r="F191" s="650"/>
      <c r="G191" s="654"/>
      <c r="H191" s="654"/>
      <c r="I191" s="650"/>
      <c r="J191" s="650"/>
      <c r="K191" s="655"/>
      <c r="L191" s="655"/>
      <c r="M191" s="655"/>
      <c r="N191" s="655"/>
      <c r="O191" s="655"/>
      <c r="P191" s="655"/>
      <c r="Q191" s="655"/>
      <c r="R191" s="655"/>
      <c r="S191" s="655"/>
      <c r="T191" s="655"/>
      <c r="U191" s="655"/>
      <c r="V191" s="655"/>
      <c r="W191" s="655"/>
      <c r="X191" s="655"/>
      <c r="Y191" s="655"/>
      <c r="Z191" s="655"/>
    </row>
    <row r="192">
      <c r="B192" s="462"/>
      <c r="C192" s="671"/>
      <c r="D192" s="462"/>
      <c r="E192" s="654"/>
      <c r="F192" s="650"/>
      <c r="G192" s="654"/>
      <c r="H192" s="654"/>
      <c r="I192" s="650"/>
      <c r="J192" s="650"/>
      <c r="K192" s="655"/>
      <c r="L192" s="655"/>
      <c r="M192" s="655"/>
      <c r="N192" s="655"/>
      <c r="O192" s="655"/>
      <c r="P192" s="655"/>
      <c r="Q192" s="655"/>
      <c r="R192" s="655"/>
      <c r="S192" s="655"/>
      <c r="T192" s="655"/>
      <c r="U192" s="655"/>
      <c r="V192" s="655"/>
      <c r="W192" s="655"/>
      <c r="X192" s="655"/>
      <c r="Y192" s="655"/>
      <c r="Z192" s="655"/>
    </row>
    <row r="193">
      <c r="B193" s="462"/>
      <c r="C193" s="671"/>
      <c r="D193" s="462"/>
      <c r="E193" s="654"/>
      <c r="F193" s="650"/>
      <c r="G193" s="654"/>
      <c r="H193" s="654"/>
      <c r="I193" s="650"/>
      <c r="J193" s="650"/>
      <c r="K193" s="655"/>
      <c r="L193" s="655"/>
      <c r="M193" s="655"/>
      <c r="N193" s="655"/>
      <c r="O193" s="655"/>
      <c r="P193" s="655"/>
      <c r="Q193" s="655"/>
      <c r="R193" s="655"/>
      <c r="S193" s="655"/>
      <c r="T193" s="655"/>
      <c r="U193" s="655"/>
      <c r="V193" s="655"/>
      <c r="W193" s="655"/>
      <c r="X193" s="655"/>
      <c r="Y193" s="655"/>
      <c r="Z193" s="655"/>
    </row>
    <row r="194">
      <c r="B194" s="462"/>
      <c r="C194" s="671"/>
      <c r="D194" s="462"/>
      <c r="E194" s="654"/>
      <c r="F194" s="650"/>
      <c r="G194" s="654"/>
      <c r="H194" s="654"/>
      <c r="I194" s="650"/>
      <c r="J194" s="650"/>
      <c r="K194" s="655"/>
      <c r="L194" s="655"/>
      <c r="M194" s="655"/>
      <c r="N194" s="655"/>
      <c r="O194" s="655"/>
      <c r="P194" s="655"/>
      <c r="Q194" s="655"/>
      <c r="R194" s="655"/>
      <c r="S194" s="655"/>
      <c r="T194" s="655"/>
      <c r="U194" s="655"/>
      <c r="V194" s="655"/>
      <c r="W194" s="655"/>
      <c r="X194" s="655"/>
      <c r="Y194" s="655"/>
      <c r="Z194" s="655"/>
    </row>
    <row r="195">
      <c r="B195" s="462"/>
      <c r="C195" s="671"/>
      <c r="D195" s="462"/>
      <c r="E195" s="654"/>
      <c r="F195" s="650"/>
      <c r="G195" s="654"/>
      <c r="H195" s="654"/>
      <c r="I195" s="650"/>
      <c r="J195" s="650"/>
      <c r="K195" s="655"/>
      <c r="L195" s="655"/>
      <c r="M195" s="655"/>
      <c r="N195" s="655"/>
      <c r="O195" s="655"/>
      <c r="P195" s="655"/>
      <c r="Q195" s="655"/>
      <c r="R195" s="655"/>
      <c r="S195" s="655"/>
      <c r="T195" s="655"/>
      <c r="U195" s="655"/>
      <c r="V195" s="655"/>
      <c r="W195" s="655"/>
      <c r="X195" s="655"/>
      <c r="Y195" s="655"/>
      <c r="Z195" s="655"/>
    </row>
    <row r="196">
      <c r="B196" s="462"/>
      <c r="C196" s="671"/>
      <c r="D196" s="462"/>
      <c r="E196" s="654"/>
      <c r="F196" s="650"/>
      <c r="G196" s="654"/>
      <c r="H196" s="654"/>
      <c r="I196" s="650"/>
      <c r="J196" s="650"/>
      <c r="K196" s="655"/>
      <c r="L196" s="655"/>
      <c r="M196" s="655"/>
      <c r="N196" s="655"/>
      <c r="O196" s="655"/>
      <c r="P196" s="655"/>
      <c r="Q196" s="655"/>
      <c r="R196" s="655"/>
      <c r="S196" s="655"/>
      <c r="T196" s="655"/>
      <c r="U196" s="655"/>
      <c r="V196" s="655"/>
      <c r="W196" s="655"/>
      <c r="X196" s="655"/>
      <c r="Y196" s="655"/>
      <c r="Z196" s="655"/>
    </row>
    <row r="197">
      <c r="B197" s="462"/>
      <c r="C197" s="671"/>
      <c r="D197" s="462"/>
      <c r="E197" s="654"/>
      <c r="F197" s="650"/>
      <c r="G197" s="654"/>
      <c r="H197" s="654"/>
      <c r="I197" s="650"/>
      <c r="J197" s="650"/>
      <c r="K197" s="655"/>
      <c r="L197" s="655"/>
      <c r="M197" s="655"/>
      <c r="N197" s="655"/>
      <c r="O197" s="655"/>
      <c r="P197" s="655"/>
      <c r="Q197" s="655"/>
      <c r="R197" s="655"/>
      <c r="S197" s="655"/>
      <c r="T197" s="655"/>
      <c r="U197" s="655"/>
      <c r="V197" s="655"/>
      <c r="W197" s="655"/>
      <c r="X197" s="655"/>
      <c r="Y197" s="655"/>
      <c r="Z197" s="655"/>
    </row>
    <row r="198">
      <c r="B198" s="462"/>
      <c r="C198" s="671"/>
      <c r="D198" s="462"/>
      <c r="E198" s="654"/>
      <c r="F198" s="650"/>
      <c r="G198" s="654"/>
      <c r="H198" s="654"/>
      <c r="I198" s="650"/>
      <c r="J198" s="650"/>
      <c r="K198" s="655"/>
      <c r="L198" s="655"/>
      <c r="M198" s="655"/>
      <c r="N198" s="655"/>
      <c r="O198" s="655"/>
      <c r="P198" s="655"/>
      <c r="Q198" s="655"/>
      <c r="R198" s="655"/>
      <c r="S198" s="655"/>
      <c r="T198" s="655"/>
      <c r="U198" s="655"/>
      <c r="V198" s="655"/>
      <c r="W198" s="655"/>
      <c r="X198" s="655"/>
      <c r="Y198" s="655"/>
      <c r="Z198" s="655"/>
    </row>
    <row r="199">
      <c r="B199" s="462"/>
      <c r="C199" s="671"/>
      <c r="D199" s="462"/>
      <c r="E199" s="654"/>
      <c r="F199" s="650"/>
      <c r="G199" s="654"/>
      <c r="H199" s="654"/>
      <c r="I199" s="650"/>
      <c r="J199" s="650"/>
      <c r="K199" s="655"/>
      <c r="L199" s="655"/>
      <c r="M199" s="655"/>
      <c r="N199" s="655"/>
      <c r="O199" s="655"/>
      <c r="P199" s="655"/>
      <c r="Q199" s="655"/>
      <c r="R199" s="655"/>
      <c r="S199" s="655"/>
      <c r="T199" s="655"/>
      <c r="U199" s="655"/>
      <c r="V199" s="655"/>
      <c r="W199" s="655"/>
      <c r="X199" s="655"/>
      <c r="Y199" s="655"/>
      <c r="Z199" s="655"/>
    </row>
    <row r="200">
      <c r="B200" s="462"/>
      <c r="C200" s="671"/>
      <c r="D200" s="462"/>
      <c r="E200" s="654"/>
      <c r="F200" s="650"/>
      <c r="G200" s="654"/>
      <c r="H200" s="654"/>
      <c r="I200" s="650"/>
      <c r="J200" s="650"/>
      <c r="K200" s="655"/>
      <c r="L200" s="655"/>
      <c r="M200" s="655"/>
      <c r="N200" s="655"/>
      <c r="O200" s="655"/>
      <c r="P200" s="655"/>
      <c r="Q200" s="655"/>
      <c r="R200" s="655"/>
      <c r="S200" s="655"/>
      <c r="T200" s="655"/>
      <c r="U200" s="655"/>
      <c r="V200" s="655"/>
      <c r="W200" s="655"/>
      <c r="X200" s="655"/>
      <c r="Y200" s="655"/>
      <c r="Z200" s="655"/>
    </row>
    <row r="201">
      <c r="B201" s="462"/>
      <c r="C201" s="671"/>
      <c r="D201" s="462"/>
      <c r="E201" s="654"/>
      <c r="F201" s="650"/>
      <c r="G201" s="654"/>
      <c r="H201" s="654"/>
      <c r="I201" s="650"/>
      <c r="J201" s="650"/>
      <c r="K201" s="655"/>
      <c r="L201" s="655"/>
      <c r="M201" s="655"/>
      <c r="N201" s="655"/>
      <c r="O201" s="655"/>
      <c r="P201" s="655"/>
      <c r="Q201" s="655"/>
      <c r="R201" s="655"/>
      <c r="S201" s="655"/>
      <c r="T201" s="655"/>
      <c r="U201" s="655"/>
      <c r="V201" s="655"/>
      <c r="W201" s="655"/>
      <c r="X201" s="655"/>
      <c r="Y201" s="655"/>
      <c r="Z201" s="655"/>
    </row>
    <row r="202">
      <c r="B202" s="462"/>
      <c r="C202" s="671"/>
      <c r="D202" s="462"/>
      <c r="E202" s="654"/>
      <c r="F202" s="650"/>
      <c r="G202" s="654"/>
      <c r="H202" s="654"/>
      <c r="I202" s="650"/>
      <c r="J202" s="650"/>
      <c r="K202" s="655"/>
      <c r="L202" s="655"/>
      <c r="M202" s="655"/>
      <c r="N202" s="655"/>
      <c r="O202" s="655"/>
      <c r="P202" s="655"/>
      <c r="Q202" s="655"/>
      <c r="R202" s="655"/>
      <c r="S202" s="655"/>
      <c r="T202" s="655"/>
      <c r="U202" s="655"/>
      <c r="V202" s="655"/>
      <c r="W202" s="655"/>
      <c r="X202" s="655"/>
      <c r="Y202" s="655"/>
      <c r="Z202" s="655"/>
    </row>
    <row r="203">
      <c r="B203" s="462"/>
      <c r="C203" s="671"/>
      <c r="D203" s="462"/>
      <c r="E203" s="654"/>
      <c r="F203" s="650"/>
      <c r="G203" s="654"/>
      <c r="H203" s="654"/>
      <c r="I203" s="650"/>
      <c r="J203" s="650"/>
      <c r="K203" s="655"/>
      <c r="L203" s="655"/>
      <c r="M203" s="655"/>
      <c r="N203" s="655"/>
      <c r="O203" s="655"/>
      <c r="P203" s="655"/>
      <c r="Q203" s="655"/>
      <c r="R203" s="655"/>
      <c r="S203" s="655"/>
      <c r="T203" s="655"/>
      <c r="U203" s="655"/>
      <c r="V203" s="655"/>
      <c r="W203" s="655"/>
      <c r="X203" s="655"/>
      <c r="Y203" s="655"/>
      <c r="Z203" s="655"/>
    </row>
    <row r="204">
      <c r="B204" s="462"/>
      <c r="C204" s="671"/>
      <c r="D204" s="462"/>
      <c r="E204" s="654"/>
      <c r="F204" s="650"/>
      <c r="G204" s="654"/>
      <c r="H204" s="654"/>
      <c r="I204" s="650"/>
      <c r="J204" s="650"/>
      <c r="K204" s="655"/>
      <c r="L204" s="655"/>
      <c r="M204" s="655"/>
      <c r="N204" s="655"/>
      <c r="O204" s="655"/>
      <c r="P204" s="655"/>
      <c r="Q204" s="655"/>
      <c r="R204" s="655"/>
      <c r="S204" s="655"/>
      <c r="T204" s="655"/>
      <c r="U204" s="655"/>
      <c r="V204" s="655"/>
      <c r="W204" s="655"/>
      <c r="X204" s="655"/>
      <c r="Y204" s="655"/>
      <c r="Z204" s="655"/>
    </row>
    <row r="205">
      <c r="B205" s="462"/>
      <c r="C205" s="671"/>
      <c r="D205" s="462"/>
      <c r="E205" s="654"/>
      <c r="F205" s="650"/>
      <c r="G205" s="654"/>
      <c r="H205" s="654"/>
      <c r="I205" s="650"/>
      <c r="J205" s="650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</row>
    <row r="206">
      <c r="B206" s="462"/>
      <c r="C206" s="671"/>
      <c r="D206" s="462"/>
      <c r="E206" s="654"/>
      <c r="F206" s="650"/>
      <c r="G206" s="654"/>
      <c r="H206" s="654"/>
      <c r="I206" s="650"/>
      <c r="J206" s="650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</row>
    <row r="207">
      <c r="B207" s="462"/>
      <c r="C207" s="671"/>
      <c r="D207" s="462"/>
      <c r="E207" s="654"/>
      <c r="F207" s="650"/>
      <c r="G207" s="654"/>
      <c r="H207" s="654"/>
      <c r="I207" s="650"/>
      <c r="J207" s="650"/>
      <c r="K207" s="655"/>
      <c r="L207" s="655"/>
      <c r="M207" s="655"/>
      <c r="N207" s="655"/>
      <c r="O207" s="655"/>
      <c r="P207" s="655"/>
      <c r="Q207" s="655"/>
      <c r="R207" s="655"/>
      <c r="S207" s="655"/>
      <c r="T207" s="655"/>
      <c r="U207" s="655"/>
      <c r="V207" s="655"/>
      <c r="W207" s="655"/>
      <c r="X207" s="655"/>
      <c r="Y207" s="655"/>
      <c r="Z207" s="655"/>
    </row>
    <row r="208">
      <c r="B208" s="462"/>
      <c r="C208" s="671"/>
      <c r="D208" s="462"/>
      <c r="E208" s="654"/>
      <c r="F208" s="650"/>
      <c r="G208" s="654"/>
      <c r="H208" s="654"/>
      <c r="I208" s="650"/>
      <c r="J208" s="650"/>
      <c r="K208" s="655"/>
      <c r="L208" s="655"/>
      <c r="M208" s="655"/>
      <c r="N208" s="655"/>
      <c r="O208" s="655"/>
      <c r="P208" s="655"/>
      <c r="Q208" s="655"/>
      <c r="R208" s="655"/>
      <c r="S208" s="655"/>
      <c r="T208" s="655"/>
      <c r="U208" s="655"/>
      <c r="V208" s="655"/>
      <c r="W208" s="655"/>
      <c r="X208" s="655"/>
      <c r="Y208" s="655"/>
      <c r="Z208" s="655"/>
    </row>
    <row r="209">
      <c r="B209" s="462"/>
      <c r="C209" s="671"/>
      <c r="D209" s="462"/>
      <c r="E209" s="654"/>
      <c r="F209" s="650"/>
      <c r="G209" s="654"/>
      <c r="H209" s="654"/>
      <c r="I209" s="650"/>
      <c r="J209" s="650"/>
      <c r="K209" s="655"/>
      <c r="L209" s="655"/>
      <c r="M209" s="655"/>
      <c r="N209" s="655"/>
      <c r="O209" s="655"/>
      <c r="P209" s="655"/>
      <c r="Q209" s="655"/>
      <c r="R209" s="655"/>
      <c r="S209" s="655"/>
      <c r="T209" s="655"/>
      <c r="U209" s="655"/>
      <c r="V209" s="655"/>
      <c r="W209" s="655"/>
      <c r="X209" s="655"/>
      <c r="Y209" s="655"/>
      <c r="Z209" s="655"/>
    </row>
    <row r="210">
      <c r="B210" s="462"/>
      <c r="C210" s="671"/>
      <c r="D210" s="462"/>
      <c r="E210" s="654"/>
      <c r="F210" s="650"/>
      <c r="G210" s="654"/>
      <c r="H210" s="654"/>
      <c r="I210" s="650"/>
      <c r="J210" s="650"/>
      <c r="K210" s="655"/>
      <c r="L210" s="655"/>
      <c r="M210" s="655"/>
      <c r="N210" s="655"/>
      <c r="O210" s="655"/>
      <c r="P210" s="655"/>
      <c r="Q210" s="655"/>
      <c r="R210" s="655"/>
      <c r="S210" s="655"/>
      <c r="T210" s="655"/>
      <c r="U210" s="655"/>
      <c r="V210" s="655"/>
      <c r="W210" s="655"/>
      <c r="X210" s="655"/>
      <c r="Y210" s="655"/>
      <c r="Z210" s="655"/>
    </row>
    <row r="211">
      <c r="B211" s="462"/>
      <c r="C211" s="671"/>
      <c r="D211" s="462"/>
      <c r="E211" s="654"/>
      <c r="F211" s="650"/>
      <c r="G211" s="654"/>
      <c r="H211" s="654"/>
      <c r="I211" s="650"/>
      <c r="J211" s="650"/>
      <c r="K211" s="655"/>
      <c r="L211" s="655"/>
      <c r="M211" s="655"/>
      <c r="N211" s="655"/>
      <c r="O211" s="655"/>
      <c r="P211" s="655"/>
      <c r="Q211" s="655"/>
      <c r="R211" s="655"/>
      <c r="S211" s="655"/>
      <c r="T211" s="655"/>
      <c r="U211" s="655"/>
      <c r="V211" s="655"/>
      <c r="W211" s="655"/>
      <c r="X211" s="655"/>
      <c r="Y211" s="655"/>
      <c r="Z211" s="655"/>
    </row>
    <row r="212">
      <c r="B212" s="462"/>
      <c r="C212" s="671"/>
      <c r="D212" s="462"/>
      <c r="E212" s="654"/>
      <c r="F212" s="650"/>
      <c r="G212" s="654"/>
      <c r="H212" s="654"/>
      <c r="I212" s="650"/>
      <c r="J212" s="650"/>
      <c r="K212" s="655"/>
      <c r="L212" s="655"/>
      <c r="M212" s="655"/>
      <c r="N212" s="655"/>
      <c r="O212" s="655"/>
      <c r="P212" s="655"/>
      <c r="Q212" s="655"/>
      <c r="R212" s="655"/>
      <c r="S212" s="655"/>
      <c r="T212" s="655"/>
      <c r="U212" s="655"/>
      <c r="V212" s="655"/>
      <c r="W212" s="655"/>
      <c r="X212" s="655"/>
      <c r="Y212" s="655"/>
      <c r="Z212" s="655"/>
    </row>
    <row r="213">
      <c r="B213" s="462"/>
      <c r="C213" s="671"/>
      <c r="D213" s="462"/>
      <c r="E213" s="654"/>
      <c r="F213" s="650"/>
      <c r="G213" s="654"/>
      <c r="H213" s="654"/>
      <c r="I213" s="650"/>
      <c r="J213" s="650"/>
      <c r="K213" s="655"/>
      <c r="L213" s="655"/>
      <c r="M213" s="655"/>
      <c r="N213" s="655"/>
      <c r="O213" s="655"/>
      <c r="P213" s="655"/>
      <c r="Q213" s="655"/>
      <c r="R213" s="655"/>
      <c r="S213" s="655"/>
      <c r="T213" s="655"/>
      <c r="U213" s="655"/>
      <c r="V213" s="655"/>
      <c r="W213" s="655"/>
      <c r="X213" s="655"/>
      <c r="Y213" s="655"/>
      <c r="Z213" s="655"/>
    </row>
    <row r="214">
      <c r="B214" s="462"/>
      <c r="C214" s="671"/>
      <c r="D214" s="462"/>
      <c r="E214" s="654"/>
      <c r="F214" s="650"/>
      <c r="G214" s="654"/>
      <c r="H214" s="654"/>
      <c r="I214" s="650"/>
      <c r="J214" s="650"/>
      <c r="K214" s="655"/>
      <c r="L214" s="655"/>
      <c r="M214" s="655"/>
      <c r="N214" s="655"/>
      <c r="O214" s="655"/>
      <c r="P214" s="655"/>
      <c r="Q214" s="655"/>
      <c r="R214" s="655"/>
      <c r="S214" s="655"/>
      <c r="T214" s="655"/>
      <c r="U214" s="655"/>
      <c r="V214" s="655"/>
      <c r="W214" s="655"/>
      <c r="X214" s="655"/>
      <c r="Y214" s="655"/>
      <c r="Z214" s="655"/>
    </row>
    <row r="215">
      <c r="B215" s="462"/>
      <c r="C215" s="671"/>
      <c r="D215" s="462"/>
      <c r="E215" s="654"/>
      <c r="F215" s="650"/>
      <c r="G215" s="654"/>
      <c r="H215" s="654"/>
      <c r="I215" s="650"/>
      <c r="J215" s="650"/>
      <c r="K215" s="655"/>
      <c r="L215" s="655"/>
      <c r="M215" s="655"/>
      <c r="N215" s="655"/>
      <c r="O215" s="655"/>
      <c r="P215" s="655"/>
      <c r="Q215" s="655"/>
      <c r="R215" s="655"/>
      <c r="S215" s="655"/>
      <c r="T215" s="655"/>
      <c r="U215" s="655"/>
      <c r="V215" s="655"/>
      <c r="W215" s="655"/>
      <c r="X215" s="655"/>
      <c r="Y215" s="655"/>
      <c r="Z215" s="655"/>
    </row>
    <row r="216">
      <c r="B216" s="462"/>
      <c r="C216" s="671"/>
      <c r="D216" s="462"/>
      <c r="E216" s="654"/>
      <c r="F216" s="650"/>
      <c r="G216" s="654"/>
      <c r="H216" s="654"/>
      <c r="I216" s="650"/>
      <c r="J216" s="650"/>
      <c r="K216" s="655"/>
      <c r="L216" s="655"/>
      <c r="M216" s="655"/>
      <c r="N216" s="655"/>
      <c r="O216" s="655"/>
      <c r="P216" s="655"/>
      <c r="Q216" s="655"/>
      <c r="R216" s="655"/>
      <c r="S216" s="655"/>
      <c r="T216" s="655"/>
      <c r="U216" s="655"/>
      <c r="V216" s="655"/>
      <c r="W216" s="655"/>
      <c r="X216" s="655"/>
      <c r="Y216" s="655"/>
      <c r="Z216" s="655"/>
    </row>
    <row r="217">
      <c r="B217" s="462"/>
      <c r="C217" s="671"/>
      <c r="D217" s="462"/>
      <c r="E217" s="654"/>
      <c r="F217" s="650"/>
      <c r="G217" s="654"/>
      <c r="H217" s="654"/>
      <c r="I217" s="650"/>
      <c r="J217" s="650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</row>
    <row r="218">
      <c r="B218" s="462"/>
      <c r="C218" s="671"/>
      <c r="D218" s="462"/>
      <c r="E218" s="654"/>
      <c r="F218" s="650"/>
      <c r="G218" s="654"/>
      <c r="H218" s="654"/>
      <c r="I218" s="650"/>
      <c r="J218" s="650"/>
      <c r="K218" s="655"/>
      <c r="L218" s="655"/>
      <c r="M218" s="655"/>
      <c r="N218" s="655"/>
      <c r="O218" s="655"/>
      <c r="P218" s="655"/>
      <c r="Q218" s="655"/>
      <c r="R218" s="655"/>
      <c r="S218" s="655"/>
      <c r="T218" s="655"/>
      <c r="U218" s="655"/>
      <c r="V218" s="655"/>
      <c r="W218" s="655"/>
      <c r="X218" s="655"/>
      <c r="Y218" s="655"/>
      <c r="Z218" s="655"/>
    </row>
    <row r="219">
      <c r="B219" s="462"/>
      <c r="C219" s="671"/>
      <c r="D219" s="462"/>
      <c r="E219" s="654"/>
      <c r="F219" s="650"/>
      <c r="G219" s="654"/>
      <c r="H219" s="654"/>
      <c r="I219" s="650"/>
      <c r="J219" s="650"/>
      <c r="K219" s="655"/>
      <c r="L219" s="655"/>
      <c r="M219" s="655"/>
      <c r="N219" s="655"/>
      <c r="O219" s="655"/>
      <c r="P219" s="655"/>
      <c r="Q219" s="655"/>
      <c r="R219" s="655"/>
      <c r="S219" s="655"/>
      <c r="T219" s="655"/>
      <c r="U219" s="655"/>
      <c r="V219" s="655"/>
      <c r="W219" s="655"/>
      <c r="X219" s="655"/>
      <c r="Y219" s="655"/>
      <c r="Z219" s="655"/>
    </row>
    <row r="220">
      <c r="B220" s="462"/>
      <c r="C220" s="671"/>
      <c r="D220" s="462"/>
      <c r="E220" s="654"/>
      <c r="F220" s="650"/>
      <c r="G220" s="654"/>
      <c r="H220" s="654"/>
      <c r="I220" s="650"/>
      <c r="J220" s="650"/>
      <c r="K220" s="655"/>
      <c r="L220" s="655"/>
      <c r="M220" s="655"/>
      <c r="N220" s="655"/>
      <c r="O220" s="655"/>
      <c r="P220" s="655"/>
      <c r="Q220" s="655"/>
      <c r="R220" s="655"/>
      <c r="S220" s="655"/>
      <c r="T220" s="655"/>
      <c r="U220" s="655"/>
      <c r="V220" s="655"/>
      <c r="W220" s="655"/>
      <c r="X220" s="655"/>
      <c r="Y220" s="655"/>
      <c r="Z220" s="655"/>
    </row>
    <row r="221">
      <c r="B221" s="462"/>
      <c r="C221" s="671"/>
      <c r="D221" s="462"/>
      <c r="E221" s="654"/>
      <c r="F221" s="650"/>
      <c r="G221" s="654"/>
      <c r="H221" s="654"/>
      <c r="I221" s="650"/>
      <c r="J221" s="650"/>
      <c r="K221" s="655"/>
      <c r="L221" s="655"/>
      <c r="M221" s="655"/>
      <c r="N221" s="655"/>
      <c r="O221" s="655"/>
      <c r="P221" s="655"/>
      <c r="Q221" s="655"/>
      <c r="R221" s="655"/>
      <c r="S221" s="655"/>
      <c r="T221" s="655"/>
      <c r="U221" s="655"/>
      <c r="V221" s="655"/>
      <c r="W221" s="655"/>
      <c r="X221" s="655"/>
      <c r="Y221" s="655"/>
      <c r="Z221" s="655"/>
    </row>
    <row r="222">
      <c r="B222" s="462"/>
      <c r="C222" s="671"/>
      <c r="D222" s="462"/>
      <c r="E222" s="654"/>
      <c r="F222" s="650"/>
      <c r="G222" s="654"/>
      <c r="H222" s="654"/>
      <c r="I222" s="650"/>
      <c r="J222" s="650"/>
      <c r="K222" s="655"/>
      <c r="L222" s="655"/>
      <c r="M222" s="655"/>
      <c r="N222" s="655"/>
      <c r="O222" s="655"/>
      <c r="P222" s="655"/>
      <c r="Q222" s="655"/>
      <c r="R222" s="655"/>
      <c r="S222" s="655"/>
      <c r="T222" s="655"/>
      <c r="U222" s="655"/>
      <c r="V222" s="655"/>
      <c r="W222" s="655"/>
      <c r="X222" s="655"/>
      <c r="Y222" s="655"/>
      <c r="Z222" s="655"/>
    </row>
    <row r="223">
      <c r="B223" s="462"/>
      <c r="C223" s="671"/>
      <c r="D223" s="462"/>
      <c r="E223" s="654"/>
      <c r="F223" s="650"/>
      <c r="G223" s="654"/>
      <c r="H223" s="654"/>
      <c r="I223" s="650"/>
      <c r="J223" s="650"/>
      <c r="K223" s="655"/>
      <c r="L223" s="655"/>
      <c r="M223" s="655"/>
      <c r="N223" s="655"/>
      <c r="O223" s="655"/>
      <c r="P223" s="655"/>
      <c r="Q223" s="655"/>
      <c r="R223" s="655"/>
      <c r="S223" s="655"/>
      <c r="T223" s="655"/>
      <c r="U223" s="655"/>
      <c r="V223" s="655"/>
      <c r="W223" s="655"/>
      <c r="X223" s="655"/>
      <c r="Y223" s="655"/>
      <c r="Z223" s="655"/>
    </row>
    <row r="224">
      <c r="B224" s="462"/>
      <c r="C224" s="671"/>
      <c r="D224" s="462"/>
      <c r="E224" s="654"/>
      <c r="F224" s="650"/>
      <c r="G224" s="654"/>
      <c r="H224" s="654"/>
      <c r="I224" s="650"/>
      <c r="J224" s="650"/>
      <c r="K224" s="655"/>
      <c r="L224" s="655"/>
      <c r="M224" s="655"/>
      <c r="N224" s="655"/>
      <c r="O224" s="655"/>
      <c r="P224" s="655"/>
      <c r="Q224" s="655"/>
      <c r="R224" s="655"/>
      <c r="S224" s="655"/>
      <c r="T224" s="655"/>
      <c r="U224" s="655"/>
      <c r="V224" s="655"/>
      <c r="W224" s="655"/>
      <c r="X224" s="655"/>
      <c r="Y224" s="655"/>
      <c r="Z224" s="655"/>
    </row>
    <row r="225">
      <c r="B225" s="462"/>
      <c r="C225" s="671"/>
      <c r="D225" s="462"/>
      <c r="E225" s="654"/>
      <c r="F225" s="650"/>
      <c r="G225" s="654"/>
      <c r="H225" s="654"/>
      <c r="I225" s="650"/>
      <c r="J225" s="650"/>
      <c r="K225" s="655"/>
      <c r="L225" s="655"/>
      <c r="M225" s="655"/>
      <c r="N225" s="655"/>
      <c r="O225" s="655"/>
      <c r="P225" s="655"/>
      <c r="Q225" s="655"/>
      <c r="R225" s="655"/>
      <c r="S225" s="655"/>
      <c r="T225" s="655"/>
      <c r="U225" s="655"/>
      <c r="V225" s="655"/>
      <c r="W225" s="655"/>
      <c r="X225" s="655"/>
      <c r="Y225" s="655"/>
      <c r="Z225" s="655"/>
    </row>
    <row r="226">
      <c r="B226" s="462"/>
      <c r="C226" s="671"/>
      <c r="D226" s="462"/>
      <c r="E226" s="654"/>
      <c r="F226" s="650"/>
      <c r="G226" s="654"/>
      <c r="H226" s="654"/>
      <c r="I226" s="650"/>
      <c r="J226" s="650"/>
      <c r="K226" s="655"/>
      <c r="L226" s="655"/>
      <c r="M226" s="655"/>
      <c r="N226" s="655"/>
      <c r="O226" s="655"/>
      <c r="P226" s="655"/>
      <c r="Q226" s="655"/>
      <c r="R226" s="655"/>
      <c r="S226" s="655"/>
      <c r="T226" s="655"/>
      <c r="U226" s="655"/>
      <c r="V226" s="655"/>
      <c r="W226" s="655"/>
      <c r="X226" s="655"/>
      <c r="Y226" s="655"/>
      <c r="Z226" s="655"/>
    </row>
    <row r="227">
      <c r="B227" s="462"/>
      <c r="C227" s="671"/>
      <c r="D227" s="462"/>
      <c r="E227" s="654"/>
      <c r="F227" s="650"/>
      <c r="G227" s="654"/>
      <c r="H227" s="654"/>
      <c r="I227" s="650"/>
      <c r="J227" s="650"/>
      <c r="K227" s="655"/>
      <c r="L227" s="655"/>
      <c r="M227" s="655"/>
      <c r="N227" s="655"/>
      <c r="O227" s="655"/>
      <c r="P227" s="655"/>
      <c r="Q227" s="655"/>
      <c r="R227" s="655"/>
      <c r="S227" s="655"/>
      <c r="T227" s="655"/>
      <c r="U227" s="655"/>
      <c r="V227" s="655"/>
      <c r="W227" s="655"/>
      <c r="X227" s="655"/>
      <c r="Y227" s="655"/>
      <c r="Z227" s="655"/>
    </row>
    <row r="228">
      <c r="B228" s="462"/>
      <c r="C228" s="671"/>
      <c r="D228" s="462"/>
      <c r="E228" s="654"/>
      <c r="F228" s="650"/>
      <c r="G228" s="654"/>
      <c r="H228" s="654"/>
      <c r="I228" s="650"/>
      <c r="J228" s="650"/>
      <c r="K228" s="655"/>
      <c r="L228" s="655"/>
      <c r="M228" s="655"/>
      <c r="N228" s="655"/>
      <c r="O228" s="655"/>
      <c r="P228" s="655"/>
      <c r="Q228" s="655"/>
      <c r="R228" s="655"/>
      <c r="S228" s="655"/>
      <c r="T228" s="655"/>
      <c r="U228" s="655"/>
      <c r="V228" s="655"/>
      <c r="W228" s="655"/>
      <c r="X228" s="655"/>
      <c r="Y228" s="655"/>
      <c r="Z228" s="655"/>
    </row>
    <row r="229">
      <c r="B229" s="462"/>
      <c r="C229" s="671"/>
      <c r="D229" s="462"/>
      <c r="E229" s="654"/>
      <c r="F229" s="650"/>
      <c r="G229" s="654"/>
      <c r="H229" s="654"/>
      <c r="I229" s="650"/>
      <c r="J229" s="650"/>
      <c r="K229" s="655"/>
      <c r="L229" s="655"/>
      <c r="M229" s="655"/>
      <c r="N229" s="655"/>
      <c r="O229" s="655"/>
      <c r="P229" s="655"/>
      <c r="Q229" s="655"/>
      <c r="R229" s="655"/>
      <c r="S229" s="655"/>
      <c r="T229" s="655"/>
      <c r="U229" s="655"/>
      <c r="V229" s="655"/>
      <c r="W229" s="655"/>
      <c r="X229" s="655"/>
      <c r="Y229" s="655"/>
      <c r="Z229" s="655"/>
    </row>
    <row r="230">
      <c r="B230" s="462"/>
      <c r="C230" s="671"/>
      <c r="D230" s="462"/>
      <c r="E230" s="654"/>
      <c r="F230" s="650"/>
      <c r="G230" s="654"/>
      <c r="H230" s="654"/>
      <c r="I230" s="650"/>
      <c r="J230" s="650"/>
      <c r="K230" s="655"/>
      <c r="L230" s="655"/>
      <c r="M230" s="655"/>
      <c r="N230" s="655"/>
      <c r="O230" s="655"/>
      <c r="P230" s="655"/>
      <c r="Q230" s="655"/>
      <c r="R230" s="655"/>
      <c r="S230" s="655"/>
      <c r="T230" s="655"/>
      <c r="U230" s="655"/>
      <c r="V230" s="655"/>
      <c r="W230" s="655"/>
      <c r="X230" s="655"/>
      <c r="Y230" s="655"/>
      <c r="Z230" s="655"/>
    </row>
    <row r="231">
      <c r="B231" s="462"/>
      <c r="C231" s="671"/>
      <c r="D231" s="462"/>
      <c r="E231" s="654"/>
      <c r="F231" s="650"/>
      <c r="G231" s="654"/>
      <c r="H231" s="654"/>
      <c r="I231" s="650"/>
      <c r="J231" s="650"/>
      <c r="K231" s="655"/>
      <c r="L231" s="655"/>
      <c r="M231" s="655"/>
      <c r="N231" s="655"/>
      <c r="O231" s="655"/>
      <c r="P231" s="655"/>
      <c r="Q231" s="655"/>
      <c r="R231" s="655"/>
      <c r="S231" s="655"/>
      <c r="T231" s="655"/>
      <c r="U231" s="655"/>
      <c r="V231" s="655"/>
      <c r="W231" s="655"/>
      <c r="X231" s="655"/>
      <c r="Y231" s="655"/>
      <c r="Z231" s="655"/>
    </row>
    <row r="232">
      <c r="B232" s="462"/>
      <c r="C232" s="671"/>
      <c r="D232" s="462"/>
      <c r="E232" s="654"/>
      <c r="F232" s="650"/>
      <c r="G232" s="654"/>
      <c r="H232" s="654"/>
      <c r="I232" s="650"/>
      <c r="J232" s="650"/>
      <c r="K232" s="655"/>
      <c r="L232" s="655"/>
      <c r="M232" s="655"/>
      <c r="N232" s="655"/>
      <c r="O232" s="655"/>
      <c r="P232" s="655"/>
      <c r="Q232" s="655"/>
      <c r="R232" s="655"/>
      <c r="S232" s="655"/>
      <c r="T232" s="655"/>
      <c r="U232" s="655"/>
      <c r="V232" s="655"/>
      <c r="W232" s="655"/>
      <c r="X232" s="655"/>
      <c r="Y232" s="655"/>
      <c r="Z232" s="655"/>
    </row>
    <row r="233">
      <c r="B233" s="462"/>
      <c r="C233" s="671"/>
      <c r="D233" s="462"/>
      <c r="E233" s="654"/>
      <c r="F233" s="650"/>
      <c r="G233" s="654"/>
      <c r="H233" s="654"/>
      <c r="I233" s="650"/>
      <c r="J233" s="650"/>
      <c r="K233" s="655"/>
      <c r="L233" s="655"/>
      <c r="M233" s="655"/>
      <c r="N233" s="655"/>
      <c r="O233" s="655"/>
      <c r="P233" s="655"/>
      <c r="Q233" s="655"/>
      <c r="R233" s="655"/>
      <c r="S233" s="655"/>
      <c r="T233" s="655"/>
      <c r="U233" s="655"/>
      <c r="V233" s="655"/>
      <c r="W233" s="655"/>
      <c r="X233" s="655"/>
      <c r="Y233" s="655"/>
      <c r="Z233" s="655"/>
    </row>
    <row r="234">
      <c r="B234" s="462"/>
      <c r="C234" s="671"/>
      <c r="D234" s="462"/>
      <c r="E234" s="654"/>
      <c r="F234" s="650"/>
      <c r="G234" s="654"/>
      <c r="H234" s="654"/>
      <c r="I234" s="650"/>
      <c r="J234" s="650"/>
      <c r="K234" s="655"/>
      <c r="L234" s="655"/>
      <c r="M234" s="655"/>
      <c r="N234" s="655"/>
      <c r="O234" s="655"/>
      <c r="P234" s="655"/>
      <c r="Q234" s="655"/>
      <c r="R234" s="655"/>
      <c r="S234" s="655"/>
      <c r="T234" s="655"/>
      <c r="U234" s="655"/>
      <c r="V234" s="655"/>
      <c r="W234" s="655"/>
      <c r="X234" s="655"/>
      <c r="Y234" s="655"/>
      <c r="Z234" s="655"/>
    </row>
    <row r="235">
      <c r="B235" s="462"/>
      <c r="C235" s="671"/>
      <c r="D235" s="462"/>
      <c r="E235" s="654"/>
      <c r="F235" s="650"/>
      <c r="G235" s="654"/>
      <c r="H235" s="654"/>
      <c r="I235" s="650"/>
      <c r="J235" s="650"/>
      <c r="K235" s="655"/>
      <c r="L235" s="655"/>
      <c r="M235" s="655"/>
      <c r="N235" s="655"/>
      <c r="O235" s="655"/>
      <c r="P235" s="655"/>
      <c r="Q235" s="655"/>
      <c r="R235" s="655"/>
      <c r="S235" s="655"/>
      <c r="T235" s="655"/>
      <c r="U235" s="655"/>
      <c r="V235" s="655"/>
      <c r="W235" s="655"/>
      <c r="X235" s="655"/>
      <c r="Y235" s="655"/>
      <c r="Z235" s="655"/>
    </row>
    <row r="236">
      <c r="B236" s="462"/>
      <c r="C236" s="671"/>
      <c r="D236" s="462"/>
      <c r="E236" s="654"/>
      <c r="F236" s="650"/>
      <c r="G236" s="654"/>
      <c r="H236" s="654"/>
      <c r="I236" s="650"/>
      <c r="J236" s="650"/>
      <c r="K236" s="655"/>
      <c r="L236" s="655"/>
      <c r="M236" s="655"/>
      <c r="N236" s="655"/>
      <c r="O236" s="655"/>
      <c r="P236" s="655"/>
      <c r="Q236" s="655"/>
      <c r="R236" s="655"/>
      <c r="S236" s="655"/>
      <c r="T236" s="655"/>
      <c r="U236" s="655"/>
      <c r="V236" s="655"/>
      <c r="W236" s="655"/>
      <c r="X236" s="655"/>
      <c r="Y236" s="655"/>
      <c r="Z236" s="655"/>
    </row>
    <row r="237">
      <c r="B237" s="462"/>
      <c r="C237" s="671"/>
      <c r="D237" s="462"/>
      <c r="E237" s="654"/>
      <c r="F237" s="650"/>
      <c r="G237" s="654"/>
      <c r="H237" s="654"/>
      <c r="I237" s="650"/>
      <c r="J237" s="650"/>
      <c r="K237" s="655"/>
      <c r="L237" s="655"/>
      <c r="M237" s="655"/>
      <c r="N237" s="655"/>
      <c r="O237" s="655"/>
      <c r="P237" s="655"/>
      <c r="Q237" s="655"/>
      <c r="R237" s="655"/>
      <c r="S237" s="655"/>
      <c r="T237" s="655"/>
      <c r="U237" s="655"/>
      <c r="V237" s="655"/>
      <c r="W237" s="655"/>
      <c r="X237" s="655"/>
      <c r="Y237" s="655"/>
      <c r="Z237" s="655"/>
    </row>
    <row r="238">
      <c r="B238" s="462"/>
      <c r="C238" s="671"/>
      <c r="D238" s="462"/>
      <c r="E238" s="654"/>
      <c r="F238" s="650"/>
      <c r="G238" s="654"/>
      <c r="H238" s="654"/>
      <c r="I238" s="650"/>
      <c r="J238" s="650"/>
      <c r="K238" s="655"/>
      <c r="L238" s="655"/>
      <c r="M238" s="655"/>
      <c r="N238" s="655"/>
      <c r="O238" s="655"/>
      <c r="P238" s="655"/>
      <c r="Q238" s="655"/>
      <c r="R238" s="655"/>
      <c r="S238" s="655"/>
      <c r="T238" s="655"/>
      <c r="U238" s="655"/>
      <c r="V238" s="655"/>
      <c r="W238" s="655"/>
      <c r="X238" s="655"/>
      <c r="Y238" s="655"/>
      <c r="Z238" s="655"/>
    </row>
    <row r="239">
      <c r="B239" s="462"/>
      <c r="C239" s="671"/>
      <c r="D239" s="462"/>
      <c r="E239" s="654"/>
      <c r="F239" s="650"/>
      <c r="G239" s="654"/>
      <c r="H239" s="654"/>
      <c r="I239" s="650"/>
      <c r="J239" s="650"/>
      <c r="K239" s="655"/>
      <c r="L239" s="655"/>
      <c r="M239" s="655"/>
      <c r="N239" s="655"/>
      <c r="O239" s="655"/>
      <c r="P239" s="655"/>
      <c r="Q239" s="655"/>
      <c r="R239" s="655"/>
      <c r="S239" s="655"/>
      <c r="T239" s="655"/>
      <c r="U239" s="655"/>
      <c r="V239" s="655"/>
      <c r="W239" s="655"/>
      <c r="X239" s="655"/>
      <c r="Y239" s="655"/>
      <c r="Z239" s="655"/>
    </row>
    <row r="240">
      <c r="B240" s="462"/>
      <c r="C240" s="671"/>
      <c r="D240" s="462"/>
      <c r="E240" s="654"/>
      <c r="F240" s="650"/>
      <c r="G240" s="654"/>
      <c r="H240" s="654"/>
      <c r="I240" s="650"/>
      <c r="J240" s="650"/>
      <c r="K240" s="655"/>
      <c r="L240" s="655"/>
      <c r="M240" s="655"/>
      <c r="N240" s="655"/>
      <c r="O240" s="655"/>
      <c r="P240" s="655"/>
      <c r="Q240" s="655"/>
      <c r="R240" s="655"/>
      <c r="S240" s="655"/>
      <c r="T240" s="655"/>
      <c r="U240" s="655"/>
      <c r="V240" s="655"/>
      <c r="W240" s="655"/>
      <c r="X240" s="655"/>
      <c r="Y240" s="655"/>
      <c r="Z240" s="655"/>
    </row>
    <row r="241">
      <c r="B241" s="462"/>
      <c r="C241" s="671"/>
      <c r="D241" s="462"/>
      <c r="E241" s="654"/>
      <c r="F241" s="650"/>
      <c r="G241" s="654"/>
      <c r="H241" s="654"/>
      <c r="I241" s="650"/>
      <c r="J241" s="650"/>
      <c r="K241" s="655"/>
      <c r="L241" s="655"/>
      <c r="M241" s="655"/>
      <c r="N241" s="655"/>
      <c r="O241" s="655"/>
      <c r="P241" s="655"/>
      <c r="Q241" s="655"/>
      <c r="R241" s="655"/>
      <c r="S241" s="655"/>
      <c r="T241" s="655"/>
      <c r="U241" s="655"/>
      <c r="V241" s="655"/>
      <c r="W241" s="655"/>
      <c r="X241" s="655"/>
      <c r="Y241" s="655"/>
      <c r="Z241" s="655"/>
    </row>
    <row r="242">
      <c r="B242" s="462"/>
      <c r="C242" s="671"/>
      <c r="D242" s="462"/>
      <c r="E242" s="654"/>
      <c r="F242" s="650"/>
      <c r="G242" s="654"/>
      <c r="H242" s="654"/>
      <c r="I242" s="650"/>
      <c r="J242" s="650"/>
      <c r="K242" s="655"/>
      <c r="L242" s="655"/>
      <c r="M242" s="655"/>
      <c r="N242" s="655"/>
      <c r="O242" s="655"/>
      <c r="P242" s="655"/>
      <c r="Q242" s="655"/>
      <c r="R242" s="655"/>
      <c r="S242" s="655"/>
      <c r="T242" s="655"/>
      <c r="U242" s="655"/>
      <c r="V242" s="655"/>
      <c r="W242" s="655"/>
      <c r="X242" s="655"/>
      <c r="Y242" s="655"/>
      <c r="Z242" s="655"/>
    </row>
    <row r="243">
      <c r="B243" s="462"/>
      <c r="C243" s="671"/>
      <c r="D243" s="462"/>
      <c r="E243" s="654"/>
      <c r="F243" s="650"/>
      <c r="G243" s="654"/>
      <c r="H243" s="654"/>
      <c r="I243" s="650"/>
      <c r="J243" s="650"/>
      <c r="K243" s="655"/>
      <c r="L243" s="655"/>
      <c r="M243" s="655"/>
      <c r="N243" s="655"/>
      <c r="O243" s="655"/>
      <c r="P243" s="655"/>
      <c r="Q243" s="655"/>
      <c r="R243" s="655"/>
      <c r="S243" s="655"/>
      <c r="T243" s="655"/>
      <c r="U243" s="655"/>
      <c r="V243" s="655"/>
      <c r="W243" s="655"/>
      <c r="X243" s="655"/>
      <c r="Y243" s="655"/>
      <c r="Z243" s="655"/>
    </row>
    <row r="244">
      <c r="B244" s="462"/>
      <c r="C244" s="671"/>
      <c r="D244" s="462"/>
      <c r="E244" s="654"/>
      <c r="F244" s="650"/>
      <c r="G244" s="654"/>
      <c r="H244" s="654"/>
      <c r="I244" s="650"/>
      <c r="J244" s="650"/>
      <c r="K244" s="655"/>
      <c r="L244" s="655"/>
      <c r="M244" s="655"/>
      <c r="N244" s="655"/>
      <c r="O244" s="655"/>
      <c r="P244" s="655"/>
      <c r="Q244" s="655"/>
      <c r="R244" s="655"/>
      <c r="S244" s="655"/>
      <c r="T244" s="655"/>
      <c r="U244" s="655"/>
      <c r="V244" s="655"/>
      <c r="W244" s="655"/>
      <c r="X244" s="655"/>
      <c r="Y244" s="655"/>
      <c r="Z244" s="655"/>
    </row>
    <row r="245">
      <c r="B245" s="462"/>
      <c r="C245" s="671"/>
      <c r="D245" s="462"/>
      <c r="E245" s="654"/>
      <c r="F245" s="650"/>
      <c r="G245" s="654"/>
      <c r="H245" s="654"/>
      <c r="I245" s="650"/>
      <c r="J245" s="650"/>
      <c r="K245" s="655"/>
      <c r="L245" s="655"/>
      <c r="M245" s="655"/>
      <c r="N245" s="655"/>
      <c r="O245" s="655"/>
      <c r="P245" s="655"/>
      <c r="Q245" s="655"/>
      <c r="R245" s="655"/>
      <c r="S245" s="655"/>
      <c r="T245" s="655"/>
      <c r="U245" s="655"/>
      <c r="V245" s="655"/>
      <c r="W245" s="655"/>
      <c r="X245" s="655"/>
      <c r="Y245" s="655"/>
      <c r="Z245" s="655"/>
    </row>
    <row r="246">
      <c r="B246" s="462"/>
      <c r="C246" s="671"/>
      <c r="D246" s="462"/>
      <c r="E246" s="654"/>
      <c r="F246" s="650"/>
      <c r="G246" s="654"/>
      <c r="H246" s="654"/>
      <c r="I246" s="650"/>
      <c r="J246" s="650"/>
      <c r="K246" s="655"/>
      <c r="L246" s="655"/>
      <c r="M246" s="655"/>
      <c r="N246" s="655"/>
      <c r="O246" s="655"/>
      <c r="P246" s="655"/>
      <c r="Q246" s="655"/>
      <c r="R246" s="655"/>
      <c r="S246" s="655"/>
      <c r="T246" s="655"/>
      <c r="U246" s="655"/>
      <c r="V246" s="655"/>
      <c r="W246" s="655"/>
      <c r="X246" s="655"/>
      <c r="Y246" s="655"/>
      <c r="Z246" s="655"/>
    </row>
    <row r="247">
      <c r="B247" s="462"/>
      <c r="C247" s="671"/>
      <c r="D247" s="462"/>
      <c r="E247" s="654"/>
      <c r="F247" s="650"/>
      <c r="G247" s="654"/>
      <c r="H247" s="654"/>
      <c r="I247" s="650"/>
      <c r="J247" s="650"/>
      <c r="K247" s="655"/>
      <c r="L247" s="655"/>
      <c r="M247" s="655"/>
      <c r="N247" s="655"/>
      <c r="O247" s="655"/>
      <c r="P247" s="655"/>
      <c r="Q247" s="655"/>
      <c r="R247" s="655"/>
      <c r="S247" s="655"/>
      <c r="T247" s="655"/>
      <c r="U247" s="655"/>
      <c r="V247" s="655"/>
      <c r="W247" s="655"/>
      <c r="X247" s="655"/>
      <c r="Y247" s="655"/>
      <c r="Z247" s="655"/>
    </row>
    <row r="248">
      <c r="B248" s="462"/>
      <c r="C248" s="671"/>
      <c r="D248" s="462"/>
      <c r="E248" s="654"/>
      <c r="F248" s="650"/>
      <c r="G248" s="654"/>
      <c r="H248" s="654"/>
      <c r="I248" s="650"/>
      <c r="J248" s="650"/>
      <c r="K248" s="655"/>
      <c r="L248" s="655"/>
      <c r="M248" s="655"/>
      <c r="N248" s="655"/>
      <c r="O248" s="655"/>
      <c r="P248" s="655"/>
      <c r="Q248" s="655"/>
      <c r="R248" s="655"/>
      <c r="S248" s="655"/>
      <c r="T248" s="655"/>
      <c r="U248" s="655"/>
      <c r="V248" s="655"/>
      <c r="W248" s="655"/>
      <c r="X248" s="655"/>
      <c r="Y248" s="655"/>
      <c r="Z248" s="655"/>
    </row>
    <row r="249">
      <c r="B249" s="462"/>
      <c r="C249" s="671"/>
      <c r="D249" s="462"/>
      <c r="E249" s="654"/>
      <c r="F249" s="650"/>
      <c r="G249" s="654"/>
      <c r="H249" s="654"/>
      <c r="I249" s="650"/>
      <c r="J249" s="650"/>
      <c r="K249" s="655"/>
      <c r="L249" s="655"/>
      <c r="M249" s="655"/>
      <c r="N249" s="655"/>
      <c r="O249" s="655"/>
      <c r="P249" s="655"/>
      <c r="Q249" s="655"/>
      <c r="R249" s="655"/>
      <c r="S249" s="655"/>
      <c r="T249" s="655"/>
      <c r="U249" s="655"/>
      <c r="V249" s="655"/>
      <c r="W249" s="655"/>
      <c r="X249" s="655"/>
      <c r="Y249" s="655"/>
      <c r="Z249" s="655"/>
    </row>
    <row r="250">
      <c r="B250" s="462"/>
      <c r="C250" s="671"/>
      <c r="D250" s="462"/>
      <c r="E250" s="654"/>
      <c r="F250" s="650"/>
      <c r="G250" s="654"/>
      <c r="H250" s="654"/>
      <c r="I250" s="650"/>
      <c r="J250" s="650"/>
      <c r="K250" s="655"/>
      <c r="L250" s="655"/>
      <c r="M250" s="655"/>
      <c r="N250" s="655"/>
      <c r="O250" s="655"/>
      <c r="P250" s="655"/>
      <c r="Q250" s="655"/>
      <c r="R250" s="655"/>
      <c r="S250" s="655"/>
      <c r="T250" s="655"/>
      <c r="U250" s="655"/>
      <c r="V250" s="655"/>
      <c r="W250" s="655"/>
      <c r="X250" s="655"/>
      <c r="Y250" s="655"/>
      <c r="Z250" s="655"/>
    </row>
    <row r="251">
      <c r="B251" s="462"/>
      <c r="C251" s="671"/>
      <c r="D251" s="462"/>
      <c r="E251" s="654"/>
      <c r="F251" s="650"/>
      <c r="G251" s="654"/>
      <c r="H251" s="654"/>
      <c r="I251" s="650"/>
      <c r="J251" s="650"/>
      <c r="K251" s="655"/>
      <c r="L251" s="655"/>
      <c r="M251" s="655"/>
      <c r="N251" s="655"/>
      <c r="O251" s="655"/>
      <c r="P251" s="655"/>
      <c r="Q251" s="655"/>
      <c r="R251" s="655"/>
      <c r="S251" s="655"/>
      <c r="T251" s="655"/>
      <c r="U251" s="655"/>
      <c r="V251" s="655"/>
      <c r="W251" s="655"/>
      <c r="X251" s="655"/>
      <c r="Y251" s="655"/>
      <c r="Z251" s="655"/>
    </row>
    <row r="252">
      <c r="B252" s="462"/>
      <c r="C252" s="671"/>
      <c r="D252" s="462"/>
      <c r="E252" s="654"/>
      <c r="F252" s="650"/>
      <c r="G252" s="654"/>
      <c r="H252" s="654"/>
      <c r="I252" s="650"/>
      <c r="J252" s="650"/>
      <c r="K252" s="655"/>
      <c r="L252" s="655"/>
      <c r="M252" s="655"/>
      <c r="N252" s="655"/>
      <c r="O252" s="655"/>
      <c r="P252" s="655"/>
      <c r="Q252" s="655"/>
      <c r="R252" s="655"/>
      <c r="S252" s="655"/>
      <c r="T252" s="655"/>
      <c r="U252" s="655"/>
      <c r="V252" s="655"/>
      <c r="W252" s="655"/>
      <c r="X252" s="655"/>
      <c r="Y252" s="655"/>
      <c r="Z252" s="655"/>
    </row>
    <row r="253">
      <c r="B253" s="462"/>
      <c r="C253" s="671"/>
      <c r="D253" s="462"/>
      <c r="E253" s="654"/>
      <c r="F253" s="650"/>
      <c r="G253" s="654"/>
      <c r="H253" s="654"/>
      <c r="I253" s="650"/>
      <c r="J253" s="650"/>
      <c r="K253" s="655"/>
      <c r="L253" s="655"/>
      <c r="M253" s="655"/>
      <c r="N253" s="655"/>
      <c r="O253" s="655"/>
      <c r="P253" s="655"/>
      <c r="Q253" s="655"/>
      <c r="R253" s="655"/>
      <c r="S253" s="655"/>
      <c r="T253" s="655"/>
      <c r="U253" s="655"/>
      <c r="V253" s="655"/>
      <c r="W253" s="655"/>
      <c r="X253" s="655"/>
      <c r="Y253" s="655"/>
      <c r="Z253" s="655"/>
    </row>
    <row r="254">
      <c r="B254" s="462"/>
      <c r="C254" s="671"/>
      <c r="D254" s="462"/>
      <c r="E254" s="654"/>
      <c r="F254" s="650"/>
      <c r="G254" s="654"/>
      <c r="H254" s="654"/>
      <c r="I254" s="650"/>
      <c r="J254" s="650"/>
      <c r="K254" s="655"/>
      <c r="L254" s="655"/>
      <c r="M254" s="655"/>
      <c r="N254" s="655"/>
      <c r="O254" s="655"/>
      <c r="P254" s="655"/>
      <c r="Q254" s="655"/>
      <c r="R254" s="655"/>
      <c r="S254" s="655"/>
      <c r="T254" s="655"/>
      <c r="U254" s="655"/>
      <c r="V254" s="655"/>
      <c r="W254" s="655"/>
      <c r="X254" s="655"/>
      <c r="Y254" s="655"/>
      <c r="Z254" s="655"/>
    </row>
    <row r="255">
      <c r="B255" s="462"/>
      <c r="C255" s="671"/>
      <c r="D255" s="462"/>
      <c r="E255" s="654"/>
      <c r="F255" s="650"/>
      <c r="G255" s="654"/>
      <c r="H255" s="654"/>
      <c r="I255" s="650"/>
      <c r="J255" s="650"/>
      <c r="K255" s="655"/>
      <c r="L255" s="655"/>
      <c r="M255" s="655"/>
      <c r="N255" s="655"/>
      <c r="O255" s="655"/>
      <c r="P255" s="655"/>
      <c r="Q255" s="655"/>
      <c r="R255" s="655"/>
      <c r="S255" s="655"/>
      <c r="T255" s="655"/>
      <c r="U255" s="655"/>
      <c r="V255" s="655"/>
      <c r="W255" s="655"/>
      <c r="X255" s="655"/>
      <c r="Y255" s="655"/>
      <c r="Z255" s="655"/>
    </row>
    <row r="256">
      <c r="B256" s="462"/>
      <c r="C256" s="671"/>
      <c r="D256" s="462"/>
      <c r="E256" s="654"/>
      <c r="F256" s="650"/>
      <c r="G256" s="654"/>
      <c r="H256" s="654"/>
      <c r="I256" s="650"/>
      <c r="J256" s="650"/>
      <c r="K256" s="655"/>
      <c r="L256" s="655"/>
      <c r="M256" s="655"/>
      <c r="N256" s="655"/>
      <c r="O256" s="655"/>
      <c r="P256" s="655"/>
      <c r="Q256" s="655"/>
      <c r="R256" s="655"/>
      <c r="S256" s="655"/>
      <c r="T256" s="655"/>
      <c r="U256" s="655"/>
      <c r="V256" s="655"/>
      <c r="W256" s="655"/>
      <c r="X256" s="655"/>
      <c r="Y256" s="655"/>
      <c r="Z256" s="655"/>
    </row>
    <row r="257">
      <c r="B257" s="462"/>
      <c r="C257" s="671"/>
      <c r="D257" s="462"/>
      <c r="E257" s="654"/>
      <c r="F257" s="650"/>
      <c r="G257" s="654"/>
      <c r="H257" s="654"/>
      <c r="I257" s="650"/>
      <c r="J257" s="650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</row>
    <row r="258">
      <c r="B258" s="462"/>
      <c r="C258" s="671"/>
      <c r="D258" s="462"/>
      <c r="E258" s="654"/>
      <c r="F258" s="650"/>
      <c r="G258" s="654"/>
      <c r="H258" s="654"/>
      <c r="I258" s="650"/>
      <c r="J258" s="650"/>
      <c r="K258" s="655"/>
      <c r="L258" s="655"/>
      <c r="M258" s="655"/>
      <c r="N258" s="655"/>
      <c r="O258" s="655"/>
      <c r="P258" s="655"/>
      <c r="Q258" s="655"/>
      <c r="R258" s="655"/>
      <c r="S258" s="655"/>
      <c r="T258" s="655"/>
      <c r="U258" s="655"/>
      <c r="V258" s="655"/>
      <c r="W258" s="655"/>
      <c r="X258" s="655"/>
      <c r="Y258" s="655"/>
      <c r="Z258" s="655"/>
    </row>
    <row r="259">
      <c r="B259" s="462"/>
      <c r="C259" s="671"/>
      <c r="D259" s="462"/>
      <c r="E259" s="654"/>
      <c r="F259" s="650"/>
      <c r="G259" s="654"/>
      <c r="H259" s="654"/>
      <c r="I259" s="650"/>
      <c r="J259" s="650"/>
      <c r="K259" s="655"/>
      <c r="L259" s="655"/>
      <c r="M259" s="655"/>
      <c r="N259" s="655"/>
      <c r="O259" s="655"/>
      <c r="P259" s="655"/>
      <c r="Q259" s="655"/>
      <c r="R259" s="655"/>
      <c r="S259" s="655"/>
      <c r="T259" s="655"/>
      <c r="U259" s="655"/>
      <c r="V259" s="655"/>
      <c r="W259" s="655"/>
      <c r="X259" s="655"/>
      <c r="Y259" s="655"/>
      <c r="Z259" s="655"/>
    </row>
    <row r="260">
      <c r="B260" s="462"/>
      <c r="C260" s="671"/>
      <c r="D260" s="462"/>
      <c r="E260" s="654"/>
      <c r="F260" s="650"/>
      <c r="G260" s="654"/>
      <c r="H260" s="654"/>
      <c r="I260" s="650"/>
      <c r="J260" s="650"/>
      <c r="K260" s="655"/>
      <c r="L260" s="655"/>
      <c r="M260" s="655"/>
      <c r="N260" s="655"/>
      <c r="O260" s="655"/>
      <c r="P260" s="655"/>
      <c r="Q260" s="655"/>
      <c r="R260" s="655"/>
      <c r="S260" s="655"/>
      <c r="T260" s="655"/>
      <c r="U260" s="655"/>
      <c r="V260" s="655"/>
      <c r="W260" s="655"/>
      <c r="X260" s="655"/>
      <c r="Y260" s="655"/>
      <c r="Z260" s="655"/>
    </row>
    <row r="261">
      <c r="B261" s="462"/>
      <c r="C261" s="671"/>
      <c r="D261" s="462"/>
      <c r="E261" s="654"/>
      <c r="F261" s="650"/>
      <c r="G261" s="654"/>
      <c r="H261" s="654"/>
      <c r="I261" s="650"/>
      <c r="J261" s="650"/>
      <c r="K261" s="655"/>
      <c r="L261" s="655"/>
      <c r="M261" s="655"/>
      <c r="N261" s="655"/>
      <c r="O261" s="655"/>
      <c r="P261" s="655"/>
      <c r="Q261" s="655"/>
      <c r="R261" s="655"/>
      <c r="S261" s="655"/>
      <c r="T261" s="655"/>
      <c r="U261" s="655"/>
      <c r="V261" s="655"/>
      <c r="W261" s="655"/>
      <c r="X261" s="655"/>
      <c r="Y261" s="655"/>
      <c r="Z261" s="655"/>
    </row>
    <row r="262">
      <c r="B262" s="462"/>
      <c r="C262" s="671"/>
      <c r="D262" s="462"/>
      <c r="E262" s="654"/>
      <c r="F262" s="650"/>
      <c r="G262" s="654"/>
      <c r="H262" s="654"/>
      <c r="I262" s="650"/>
      <c r="J262" s="650"/>
      <c r="K262" s="655"/>
      <c r="L262" s="655"/>
      <c r="M262" s="655"/>
      <c r="N262" s="655"/>
      <c r="O262" s="655"/>
      <c r="P262" s="655"/>
      <c r="Q262" s="655"/>
      <c r="R262" s="655"/>
      <c r="S262" s="655"/>
      <c r="T262" s="655"/>
      <c r="U262" s="655"/>
      <c r="V262" s="655"/>
      <c r="W262" s="655"/>
      <c r="X262" s="655"/>
      <c r="Y262" s="655"/>
      <c r="Z262" s="655"/>
    </row>
    <row r="263">
      <c r="B263" s="462"/>
      <c r="C263" s="671"/>
      <c r="D263" s="462"/>
      <c r="E263" s="654"/>
      <c r="F263" s="650"/>
      <c r="G263" s="654"/>
      <c r="H263" s="654"/>
      <c r="I263" s="650"/>
      <c r="J263" s="650"/>
      <c r="K263" s="655"/>
      <c r="L263" s="655"/>
      <c r="M263" s="655"/>
      <c r="N263" s="655"/>
      <c r="O263" s="655"/>
      <c r="P263" s="655"/>
      <c r="Q263" s="655"/>
      <c r="R263" s="655"/>
      <c r="S263" s="655"/>
      <c r="T263" s="655"/>
      <c r="U263" s="655"/>
      <c r="V263" s="655"/>
      <c r="W263" s="655"/>
      <c r="X263" s="655"/>
      <c r="Y263" s="655"/>
      <c r="Z263" s="655"/>
    </row>
    <row r="264">
      <c r="B264" s="462"/>
      <c r="C264" s="671"/>
      <c r="D264" s="462"/>
      <c r="E264" s="654"/>
      <c r="F264" s="650"/>
      <c r="G264" s="654"/>
      <c r="H264" s="654"/>
      <c r="I264" s="650"/>
      <c r="J264" s="650"/>
      <c r="K264" s="655"/>
      <c r="L264" s="655"/>
      <c r="M264" s="655"/>
      <c r="N264" s="655"/>
      <c r="O264" s="655"/>
      <c r="P264" s="655"/>
      <c r="Q264" s="655"/>
      <c r="R264" s="655"/>
      <c r="S264" s="655"/>
      <c r="T264" s="655"/>
      <c r="U264" s="655"/>
      <c r="V264" s="655"/>
      <c r="W264" s="655"/>
      <c r="X264" s="655"/>
      <c r="Y264" s="655"/>
      <c r="Z264" s="655"/>
    </row>
    <row r="265">
      <c r="B265" s="462"/>
      <c r="C265" s="671"/>
      <c r="D265" s="462"/>
      <c r="E265" s="654"/>
      <c r="F265" s="650"/>
      <c r="G265" s="654"/>
      <c r="H265" s="654"/>
      <c r="I265" s="650"/>
      <c r="J265" s="650"/>
      <c r="K265" s="655"/>
      <c r="L265" s="655"/>
      <c r="M265" s="655"/>
      <c r="N265" s="655"/>
      <c r="O265" s="655"/>
      <c r="P265" s="655"/>
      <c r="Q265" s="655"/>
      <c r="R265" s="655"/>
      <c r="S265" s="655"/>
      <c r="T265" s="655"/>
      <c r="U265" s="655"/>
      <c r="V265" s="655"/>
      <c r="W265" s="655"/>
      <c r="X265" s="655"/>
      <c r="Y265" s="655"/>
      <c r="Z265" s="655"/>
    </row>
    <row r="266">
      <c r="B266" s="462"/>
      <c r="C266" s="671"/>
      <c r="D266" s="462"/>
      <c r="E266" s="654"/>
      <c r="F266" s="650"/>
      <c r="G266" s="654"/>
      <c r="H266" s="654"/>
      <c r="I266" s="650"/>
      <c r="J266" s="650"/>
      <c r="K266" s="655"/>
      <c r="L266" s="655"/>
      <c r="M266" s="655"/>
      <c r="N266" s="655"/>
      <c r="O266" s="655"/>
      <c r="P266" s="655"/>
      <c r="Q266" s="655"/>
      <c r="R266" s="655"/>
      <c r="S266" s="655"/>
      <c r="T266" s="655"/>
      <c r="U266" s="655"/>
      <c r="V266" s="655"/>
      <c r="W266" s="655"/>
      <c r="X266" s="655"/>
      <c r="Y266" s="655"/>
      <c r="Z266" s="655"/>
    </row>
    <row r="267">
      <c r="B267" s="462"/>
      <c r="C267" s="671"/>
      <c r="D267" s="462"/>
      <c r="E267" s="654"/>
      <c r="F267" s="650"/>
      <c r="G267" s="654"/>
      <c r="H267" s="654"/>
      <c r="I267" s="650"/>
      <c r="J267" s="650"/>
      <c r="K267" s="655"/>
      <c r="L267" s="655"/>
      <c r="M267" s="655"/>
      <c r="N267" s="655"/>
      <c r="O267" s="655"/>
      <c r="P267" s="655"/>
      <c r="Q267" s="655"/>
      <c r="R267" s="655"/>
      <c r="S267" s="655"/>
      <c r="T267" s="655"/>
      <c r="U267" s="655"/>
      <c r="V267" s="655"/>
      <c r="W267" s="655"/>
      <c r="X267" s="655"/>
      <c r="Y267" s="655"/>
      <c r="Z267" s="655"/>
    </row>
    <row r="268">
      <c r="B268" s="462"/>
      <c r="C268" s="671"/>
      <c r="D268" s="462"/>
      <c r="E268" s="654"/>
      <c r="F268" s="650"/>
      <c r="G268" s="654"/>
      <c r="H268" s="654"/>
      <c r="I268" s="650"/>
      <c r="J268" s="650"/>
      <c r="K268" s="655"/>
      <c r="L268" s="655"/>
      <c r="M268" s="655"/>
      <c r="N268" s="655"/>
      <c r="O268" s="655"/>
      <c r="P268" s="655"/>
      <c r="Q268" s="655"/>
      <c r="R268" s="655"/>
      <c r="S268" s="655"/>
      <c r="T268" s="655"/>
      <c r="U268" s="655"/>
      <c r="V268" s="655"/>
      <c r="W268" s="655"/>
      <c r="X268" s="655"/>
      <c r="Y268" s="655"/>
      <c r="Z268" s="655"/>
    </row>
    <row r="269">
      <c r="B269" s="462"/>
      <c r="C269" s="671"/>
      <c r="D269" s="462"/>
      <c r="E269" s="654"/>
      <c r="F269" s="650"/>
      <c r="G269" s="654"/>
      <c r="H269" s="654"/>
      <c r="I269" s="650"/>
      <c r="J269" s="650"/>
      <c r="K269" s="655"/>
      <c r="L269" s="655"/>
      <c r="M269" s="655"/>
      <c r="N269" s="655"/>
      <c r="O269" s="655"/>
      <c r="P269" s="655"/>
      <c r="Q269" s="655"/>
      <c r="R269" s="655"/>
      <c r="S269" s="655"/>
      <c r="T269" s="655"/>
      <c r="U269" s="655"/>
      <c r="V269" s="655"/>
      <c r="W269" s="655"/>
      <c r="X269" s="655"/>
      <c r="Y269" s="655"/>
      <c r="Z269" s="655"/>
    </row>
    <row r="270">
      <c r="B270" s="462"/>
      <c r="C270" s="671"/>
      <c r="D270" s="462"/>
      <c r="E270" s="654"/>
      <c r="F270" s="650"/>
      <c r="G270" s="654"/>
      <c r="H270" s="654"/>
      <c r="I270" s="650"/>
      <c r="J270" s="650"/>
      <c r="K270" s="655"/>
      <c r="L270" s="655"/>
      <c r="M270" s="655"/>
      <c r="N270" s="655"/>
      <c r="O270" s="655"/>
      <c r="P270" s="655"/>
      <c r="Q270" s="655"/>
      <c r="R270" s="655"/>
      <c r="S270" s="655"/>
      <c r="T270" s="655"/>
      <c r="U270" s="655"/>
      <c r="V270" s="655"/>
      <c r="W270" s="655"/>
      <c r="X270" s="655"/>
      <c r="Y270" s="655"/>
      <c r="Z270" s="655"/>
    </row>
    <row r="271">
      <c r="B271" s="462"/>
      <c r="C271" s="671"/>
      <c r="D271" s="462"/>
      <c r="E271" s="654"/>
      <c r="F271" s="650"/>
      <c r="G271" s="654"/>
      <c r="H271" s="654"/>
      <c r="I271" s="650"/>
      <c r="J271" s="650"/>
      <c r="K271" s="655"/>
      <c r="L271" s="655"/>
      <c r="M271" s="655"/>
      <c r="N271" s="655"/>
      <c r="O271" s="655"/>
      <c r="P271" s="655"/>
      <c r="Q271" s="655"/>
      <c r="R271" s="655"/>
      <c r="S271" s="655"/>
      <c r="T271" s="655"/>
      <c r="U271" s="655"/>
      <c r="V271" s="655"/>
      <c r="W271" s="655"/>
      <c r="X271" s="655"/>
      <c r="Y271" s="655"/>
      <c r="Z271" s="655"/>
    </row>
    <row r="272">
      <c r="B272" s="462"/>
      <c r="C272" s="671"/>
      <c r="D272" s="462"/>
      <c r="E272" s="654"/>
      <c r="F272" s="650"/>
      <c r="G272" s="654"/>
      <c r="H272" s="654"/>
      <c r="I272" s="650"/>
      <c r="J272" s="650"/>
      <c r="K272" s="655"/>
      <c r="L272" s="655"/>
      <c r="M272" s="655"/>
      <c r="N272" s="655"/>
      <c r="O272" s="655"/>
      <c r="P272" s="655"/>
      <c r="Q272" s="655"/>
      <c r="R272" s="655"/>
      <c r="S272" s="655"/>
      <c r="T272" s="655"/>
      <c r="U272" s="655"/>
      <c r="V272" s="655"/>
      <c r="W272" s="655"/>
      <c r="X272" s="655"/>
      <c r="Y272" s="655"/>
      <c r="Z272" s="655"/>
    </row>
    <row r="273">
      <c r="B273" s="462"/>
      <c r="C273" s="671"/>
      <c r="D273" s="462"/>
      <c r="E273" s="654"/>
      <c r="F273" s="650"/>
      <c r="G273" s="654"/>
      <c r="H273" s="654"/>
      <c r="I273" s="650"/>
      <c r="J273" s="650"/>
      <c r="K273" s="655"/>
      <c r="L273" s="655"/>
      <c r="M273" s="655"/>
      <c r="N273" s="655"/>
      <c r="O273" s="655"/>
      <c r="P273" s="655"/>
      <c r="Q273" s="655"/>
      <c r="R273" s="655"/>
      <c r="S273" s="655"/>
      <c r="T273" s="655"/>
      <c r="U273" s="655"/>
      <c r="V273" s="655"/>
      <c r="W273" s="655"/>
      <c r="X273" s="655"/>
      <c r="Y273" s="655"/>
      <c r="Z273" s="655"/>
    </row>
    <row r="274">
      <c r="B274" s="462"/>
      <c r="C274" s="671"/>
      <c r="D274" s="462"/>
      <c r="E274" s="654"/>
      <c r="F274" s="650"/>
      <c r="G274" s="654"/>
      <c r="H274" s="654"/>
      <c r="I274" s="650"/>
      <c r="J274" s="650"/>
      <c r="K274" s="655"/>
      <c r="L274" s="655"/>
      <c r="M274" s="655"/>
      <c r="N274" s="655"/>
      <c r="O274" s="655"/>
      <c r="P274" s="655"/>
      <c r="Q274" s="655"/>
      <c r="R274" s="655"/>
      <c r="S274" s="655"/>
      <c r="T274" s="655"/>
      <c r="U274" s="655"/>
      <c r="V274" s="655"/>
      <c r="W274" s="655"/>
      <c r="X274" s="655"/>
      <c r="Y274" s="655"/>
      <c r="Z274" s="655"/>
    </row>
    <row r="275">
      <c r="B275" s="462"/>
      <c r="C275" s="671"/>
      <c r="D275" s="462"/>
      <c r="E275" s="654"/>
      <c r="F275" s="650"/>
      <c r="G275" s="654"/>
      <c r="H275" s="654"/>
      <c r="I275" s="650"/>
      <c r="J275" s="650"/>
      <c r="K275" s="655"/>
      <c r="L275" s="655"/>
      <c r="M275" s="655"/>
      <c r="N275" s="655"/>
      <c r="O275" s="655"/>
      <c r="P275" s="655"/>
      <c r="Q275" s="655"/>
      <c r="R275" s="655"/>
      <c r="S275" s="655"/>
      <c r="T275" s="655"/>
      <c r="U275" s="655"/>
      <c r="V275" s="655"/>
      <c r="W275" s="655"/>
      <c r="X275" s="655"/>
      <c r="Y275" s="655"/>
      <c r="Z275" s="655"/>
    </row>
    <row r="276">
      <c r="B276" s="462"/>
      <c r="C276" s="671"/>
      <c r="D276" s="462"/>
      <c r="E276" s="654"/>
      <c r="F276" s="650"/>
      <c r="G276" s="654"/>
      <c r="H276" s="654"/>
      <c r="I276" s="650"/>
      <c r="J276" s="650"/>
      <c r="K276" s="655"/>
      <c r="L276" s="655"/>
      <c r="M276" s="655"/>
      <c r="N276" s="655"/>
      <c r="O276" s="655"/>
      <c r="P276" s="655"/>
      <c r="Q276" s="655"/>
      <c r="R276" s="655"/>
      <c r="S276" s="655"/>
      <c r="T276" s="655"/>
      <c r="U276" s="655"/>
      <c r="V276" s="655"/>
      <c r="W276" s="655"/>
      <c r="X276" s="655"/>
      <c r="Y276" s="655"/>
      <c r="Z276" s="655"/>
    </row>
    <row r="277">
      <c r="B277" s="462"/>
      <c r="C277" s="671"/>
      <c r="D277" s="462"/>
      <c r="E277" s="654"/>
      <c r="F277" s="650"/>
      <c r="G277" s="654"/>
      <c r="H277" s="654"/>
      <c r="I277" s="650"/>
      <c r="J277" s="650"/>
      <c r="K277" s="655"/>
      <c r="L277" s="655"/>
      <c r="M277" s="655"/>
      <c r="N277" s="655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</row>
    <row r="278">
      <c r="B278" s="462"/>
      <c r="C278" s="671"/>
      <c r="D278" s="462"/>
      <c r="E278" s="654"/>
      <c r="F278" s="650"/>
      <c r="G278" s="654"/>
      <c r="H278" s="654"/>
      <c r="I278" s="650"/>
      <c r="J278" s="650"/>
      <c r="K278" s="655"/>
      <c r="L278" s="655"/>
      <c r="M278" s="655"/>
      <c r="N278" s="655"/>
      <c r="O278" s="655"/>
      <c r="P278" s="655"/>
      <c r="Q278" s="655"/>
      <c r="R278" s="655"/>
      <c r="S278" s="655"/>
      <c r="T278" s="655"/>
      <c r="U278" s="655"/>
      <c r="V278" s="655"/>
      <c r="W278" s="655"/>
      <c r="X278" s="655"/>
      <c r="Y278" s="655"/>
      <c r="Z278" s="655"/>
    </row>
    <row r="279">
      <c r="B279" s="462"/>
      <c r="C279" s="671"/>
      <c r="D279" s="462"/>
      <c r="E279" s="654"/>
      <c r="F279" s="650"/>
      <c r="G279" s="654"/>
      <c r="H279" s="654"/>
      <c r="I279" s="650"/>
      <c r="J279" s="650"/>
      <c r="K279" s="655"/>
      <c r="L279" s="655"/>
      <c r="M279" s="655"/>
      <c r="N279" s="655"/>
      <c r="O279" s="655"/>
      <c r="P279" s="655"/>
      <c r="Q279" s="655"/>
      <c r="R279" s="655"/>
      <c r="S279" s="655"/>
      <c r="T279" s="655"/>
      <c r="U279" s="655"/>
      <c r="V279" s="655"/>
      <c r="W279" s="655"/>
      <c r="X279" s="655"/>
      <c r="Y279" s="655"/>
      <c r="Z279" s="655"/>
    </row>
    <row r="280">
      <c r="B280" s="462"/>
      <c r="C280" s="671"/>
      <c r="D280" s="462"/>
      <c r="E280" s="654"/>
      <c r="F280" s="650"/>
      <c r="G280" s="654"/>
      <c r="H280" s="654"/>
      <c r="I280" s="650"/>
      <c r="J280" s="650"/>
      <c r="K280" s="655"/>
      <c r="L280" s="655"/>
      <c r="M280" s="655"/>
      <c r="N280" s="655"/>
      <c r="O280" s="655"/>
      <c r="P280" s="655"/>
      <c r="Q280" s="655"/>
      <c r="R280" s="655"/>
      <c r="S280" s="655"/>
      <c r="T280" s="655"/>
      <c r="U280" s="655"/>
      <c r="V280" s="655"/>
      <c r="W280" s="655"/>
      <c r="X280" s="655"/>
      <c r="Y280" s="655"/>
      <c r="Z280" s="655"/>
    </row>
    <row r="281">
      <c r="B281" s="462"/>
      <c r="C281" s="671"/>
      <c r="D281" s="462"/>
      <c r="E281" s="654"/>
      <c r="F281" s="650"/>
      <c r="G281" s="654"/>
      <c r="H281" s="654"/>
      <c r="I281" s="650"/>
      <c r="J281" s="650"/>
      <c r="K281" s="655"/>
      <c r="L281" s="655"/>
      <c r="M281" s="655"/>
      <c r="N281" s="655"/>
      <c r="O281" s="655"/>
      <c r="P281" s="655"/>
      <c r="Q281" s="655"/>
      <c r="R281" s="655"/>
      <c r="S281" s="655"/>
      <c r="T281" s="655"/>
      <c r="U281" s="655"/>
      <c r="V281" s="655"/>
      <c r="W281" s="655"/>
      <c r="X281" s="655"/>
      <c r="Y281" s="655"/>
      <c r="Z281" s="655"/>
    </row>
    <row r="282">
      <c r="B282" s="462"/>
      <c r="C282" s="671"/>
      <c r="D282" s="462"/>
      <c r="E282" s="654"/>
      <c r="F282" s="650"/>
      <c r="G282" s="654"/>
      <c r="H282" s="654"/>
      <c r="I282" s="650"/>
      <c r="J282" s="650"/>
      <c r="K282" s="655"/>
      <c r="L282" s="655"/>
      <c r="M282" s="655"/>
      <c r="N282" s="655"/>
      <c r="O282" s="655"/>
      <c r="P282" s="655"/>
      <c r="Q282" s="655"/>
      <c r="R282" s="655"/>
      <c r="S282" s="655"/>
      <c r="T282" s="655"/>
      <c r="U282" s="655"/>
      <c r="V282" s="655"/>
      <c r="W282" s="655"/>
      <c r="X282" s="655"/>
      <c r="Y282" s="655"/>
      <c r="Z282" s="655"/>
    </row>
    <row r="283">
      <c r="B283" s="462"/>
      <c r="C283" s="671"/>
      <c r="D283" s="462"/>
      <c r="E283" s="654"/>
      <c r="F283" s="650"/>
      <c r="G283" s="654"/>
      <c r="H283" s="654"/>
      <c r="I283" s="650"/>
      <c r="J283" s="650"/>
      <c r="K283" s="655"/>
      <c r="L283" s="655"/>
      <c r="M283" s="655"/>
      <c r="N283" s="655"/>
      <c r="O283" s="655"/>
      <c r="P283" s="655"/>
      <c r="Q283" s="655"/>
      <c r="R283" s="655"/>
      <c r="S283" s="655"/>
      <c r="T283" s="655"/>
      <c r="U283" s="655"/>
      <c r="V283" s="655"/>
      <c r="W283" s="655"/>
      <c r="X283" s="655"/>
      <c r="Y283" s="655"/>
      <c r="Z283" s="655"/>
    </row>
    <row r="284">
      <c r="B284" s="462"/>
      <c r="C284" s="671"/>
      <c r="D284" s="462"/>
      <c r="E284" s="654"/>
      <c r="F284" s="650"/>
      <c r="G284" s="654"/>
      <c r="H284" s="654"/>
      <c r="I284" s="650"/>
      <c r="J284" s="650"/>
      <c r="K284" s="655"/>
      <c r="L284" s="655"/>
      <c r="M284" s="655"/>
      <c r="N284" s="655"/>
      <c r="O284" s="655"/>
      <c r="P284" s="655"/>
      <c r="Q284" s="655"/>
      <c r="R284" s="655"/>
      <c r="S284" s="655"/>
      <c r="T284" s="655"/>
      <c r="U284" s="655"/>
      <c r="V284" s="655"/>
      <c r="W284" s="655"/>
      <c r="X284" s="655"/>
      <c r="Y284" s="655"/>
      <c r="Z284" s="655"/>
    </row>
    <row r="285">
      <c r="B285" s="462"/>
      <c r="C285" s="671"/>
      <c r="D285" s="462"/>
      <c r="E285" s="654"/>
      <c r="F285" s="650"/>
      <c r="G285" s="654"/>
      <c r="H285" s="654"/>
      <c r="I285" s="650"/>
      <c r="J285" s="650"/>
      <c r="K285" s="655"/>
      <c r="L285" s="655"/>
      <c r="M285" s="655"/>
      <c r="N285" s="655"/>
      <c r="O285" s="655"/>
      <c r="P285" s="655"/>
      <c r="Q285" s="655"/>
      <c r="R285" s="655"/>
      <c r="S285" s="655"/>
      <c r="T285" s="655"/>
      <c r="U285" s="655"/>
      <c r="V285" s="655"/>
      <c r="W285" s="655"/>
      <c r="X285" s="655"/>
      <c r="Y285" s="655"/>
      <c r="Z285" s="655"/>
    </row>
    <row r="286">
      <c r="B286" s="462"/>
      <c r="C286" s="671"/>
      <c r="D286" s="462"/>
      <c r="E286" s="654"/>
      <c r="F286" s="650"/>
      <c r="G286" s="654"/>
      <c r="H286" s="654"/>
      <c r="I286" s="650"/>
      <c r="J286" s="650"/>
      <c r="K286" s="655"/>
      <c r="L286" s="655"/>
      <c r="M286" s="655"/>
      <c r="N286" s="655"/>
      <c r="O286" s="655"/>
      <c r="P286" s="655"/>
      <c r="Q286" s="655"/>
      <c r="R286" s="655"/>
      <c r="S286" s="655"/>
      <c r="T286" s="655"/>
      <c r="U286" s="655"/>
      <c r="V286" s="655"/>
      <c r="W286" s="655"/>
      <c r="X286" s="655"/>
      <c r="Y286" s="655"/>
      <c r="Z286" s="655"/>
    </row>
    <row r="287">
      <c r="B287" s="462"/>
      <c r="C287" s="671"/>
      <c r="D287" s="462"/>
      <c r="E287" s="654"/>
      <c r="F287" s="650"/>
      <c r="G287" s="654"/>
      <c r="H287" s="654"/>
      <c r="I287" s="650"/>
      <c r="J287" s="650"/>
      <c r="K287" s="655"/>
      <c r="L287" s="655"/>
      <c r="M287" s="655"/>
      <c r="N287" s="655"/>
      <c r="O287" s="655"/>
      <c r="P287" s="655"/>
      <c r="Q287" s="655"/>
      <c r="R287" s="655"/>
      <c r="S287" s="655"/>
      <c r="T287" s="655"/>
      <c r="U287" s="655"/>
      <c r="V287" s="655"/>
      <c r="W287" s="655"/>
      <c r="X287" s="655"/>
      <c r="Y287" s="655"/>
      <c r="Z287" s="655"/>
    </row>
    <row r="288">
      <c r="B288" s="462"/>
      <c r="C288" s="671"/>
      <c r="D288" s="462"/>
      <c r="E288" s="654"/>
      <c r="F288" s="650"/>
      <c r="G288" s="654"/>
      <c r="H288" s="654"/>
      <c r="I288" s="650"/>
      <c r="J288" s="650"/>
      <c r="K288" s="655"/>
      <c r="L288" s="655"/>
      <c r="M288" s="655"/>
      <c r="N288" s="655"/>
      <c r="O288" s="655"/>
      <c r="P288" s="655"/>
      <c r="Q288" s="655"/>
      <c r="R288" s="655"/>
      <c r="S288" s="655"/>
      <c r="T288" s="655"/>
      <c r="U288" s="655"/>
      <c r="V288" s="655"/>
      <c r="W288" s="655"/>
      <c r="X288" s="655"/>
      <c r="Y288" s="655"/>
      <c r="Z288" s="655"/>
    </row>
    <row r="289">
      <c r="B289" s="462"/>
      <c r="C289" s="671"/>
      <c r="D289" s="462"/>
      <c r="E289" s="654"/>
      <c r="F289" s="650"/>
      <c r="G289" s="654"/>
      <c r="H289" s="654"/>
      <c r="I289" s="650"/>
      <c r="J289" s="650"/>
      <c r="K289" s="655"/>
      <c r="L289" s="655"/>
      <c r="M289" s="655"/>
      <c r="N289" s="655"/>
      <c r="O289" s="655"/>
      <c r="P289" s="655"/>
      <c r="Q289" s="655"/>
      <c r="R289" s="655"/>
      <c r="S289" s="655"/>
      <c r="T289" s="655"/>
      <c r="U289" s="655"/>
      <c r="V289" s="655"/>
      <c r="W289" s="655"/>
      <c r="X289" s="655"/>
      <c r="Y289" s="655"/>
      <c r="Z289" s="655"/>
    </row>
    <row r="290">
      <c r="B290" s="462"/>
      <c r="C290" s="671"/>
      <c r="D290" s="462"/>
      <c r="E290" s="654"/>
      <c r="F290" s="650"/>
      <c r="G290" s="654"/>
      <c r="H290" s="654"/>
      <c r="I290" s="650"/>
      <c r="J290" s="650"/>
      <c r="K290" s="655"/>
      <c r="L290" s="655"/>
      <c r="M290" s="655"/>
      <c r="N290" s="655"/>
      <c r="O290" s="655"/>
      <c r="P290" s="655"/>
      <c r="Q290" s="655"/>
      <c r="R290" s="655"/>
      <c r="S290" s="655"/>
      <c r="T290" s="655"/>
      <c r="U290" s="655"/>
      <c r="V290" s="655"/>
      <c r="W290" s="655"/>
      <c r="X290" s="655"/>
      <c r="Y290" s="655"/>
      <c r="Z290" s="655"/>
    </row>
    <row r="291">
      <c r="B291" s="462"/>
      <c r="C291" s="671"/>
      <c r="D291" s="462"/>
      <c r="E291" s="654"/>
      <c r="F291" s="650"/>
      <c r="G291" s="654"/>
      <c r="H291" s="654"/>
      <c r="I291" s="650"/>
      <c r="J291" s="650"/>
      <c r="K291" s="655"/>
      <c r="L291" s="655"/>
      <c r="M291" s="655"/>
      <c r="N291" s="655"/>
      <c r="O291" s="655"/>
      <c r="P291" s="655"/>
      <c r="Q291" s="655"/>
      <c r="R291" s="655"/>
      <c r="S291" s="655"/>
      <c r="T291" s="655"/>
      <c r="U291" s="655"/>
      <c r="V291" s="655"/>
      <c r="W291" s="655"/>
      <c r="X291" s="655"/>
      <c r="Y291" s="655"/>
      <c r="Z291" s="655"/>
    </row>
    <row r="292">
      <c r="B292" s="462"/>
      <c r="C292" s="671"/>
      <c r="D292" s="462"/>
      <c r="E292" s="654"/>
      <c r="F292" s="650"/>
      <c r="G292" s="654"/>
      <c r="H292" s="654"/>
      <c r="I292" s="650"/>
      <c r="J292" s="650"/>
      <c r="K292" s="655"/>
      <c r="L292" s="655"/>
      <c r="M292" s="655"/>
      <c r="N292" s="655"/>
      <c r="O292" s="655"/>
      <c r="P292" s="655"/>
      <c r="Q292" s="655"/>
      <c r="R292" s="655"/>
      <c r="S292" s="655"/>
      <c r="T292" s="655"/>
      <c r="U292" s="655"/>
      <c r="V292" s="655"/>
      <c r="W292" s="655"/>
      <c r="X292" s="655"/>
      <c r="Y292" s="655"/>
      <c r="Z292" s="655"/>
    </row>
    <row r="293">
      <c r="B293" s="462"/>
      <c r="C293" s="671"/>
      <c r="D293" s="462"/>
      <c r="E293" s="654"/>
      <c r="F293" s="650"/>
      <c r="G293" s="654"/>
      <c r="H293" s="654"/>
      <c r="I293" s="650"/>
      <c r="J293" s="650"/>
      <c r="K293" s="655"/>
      <c r="L293" s="655"/>
      <c r="M293" s="655"/>
      <c r="N293" s="655"/>
      <c r="O293" s="655"/>
      <c r="P293" s="655"/>
      <c r="Q293" s="655"/>
      <c r="R293" s="655"/>
      <c r="S293" s="655"/>
      <c r="T293" s="655"/>
      <c r="U293" s="655"/>
      <c r="V293" s="655"/>
      <c r="W293" s="655"/>
      <c r="X293" s="655"/>
      <c r="Y293" s="655"/>
      <c r="Z293" s="655"/>
    </row>
    <row r="294">
      <c r="B294" s="462"/>
      <c r="C294" s="671"/>
      <c r="D294" s="462"/>
      <c r="E294" s="654"/>
      <c r="F294" s="650"/>
      <c r="G294" s="654"/>
      <c r="H294" s="654"/>
      <c r="I294" s="650"/>
      <c r="J294" s="650"/>
      <c r="K294" s="655"/>
      <c r="L294" s="655"/>
      <c r="M294" s="655"/>
      <c r="N294" s="655"/>
      <c r="O294" s="655"/>
      <c r="P294" s="655"/>
      <c r="Q294" s="655"/>
      <c r="R294" s="655"/>
      <c r="S294" s="655"/>
      <c r="T294" s="655"/>
      <c r="U294" s="655"/>
      <c r="V294" s="655"/>
      <c r="W294" s="655"/>
      <c r="X294" s="655"/>
      <c r="Y294" s="655"/>
      <c r="Z294" s="655"/>
    </row>
    <row r="295">
      <c r="B295" s="462"/>
      <c r="C295" s="671"/>
      <c r="D295" s="462"/>
      <c r="E295" s="654"/>
      <c r="F295" s="650"/>
      <c r="G295" s="654"/>
      <c r="H295" s="654"/>
      <c r="I295" s="650"/>
      <c r="J295" s="650"/>
      <c r="K295" s="655"/>
      <c r="L295" s="655"/>
      <c r="M295" s="655"/>
      <c r="N295" s="655"/>
      <c r="O295" s="655"/>
      <c r="P295" s="655"/>
      <c r="Q295" s="655"/>
      <c r="R295" s="655"/>
      <c r="S295" s="655"/>
      <c r="T295" s="655"/>
      <c r="U295" s="655"/>
      <c r="V295" s="655"/>
      <c r="W295" s="655"/>
      <c r="X295" s="655"/>
      <c r="Y295" s="655"/>
      <c r="Z295" s="655"/>
    </row>
    <row r="296">
      <c r="B296" s="462"/>
      <c r="C296" s="671"/>
      <c r="D296" s="462"/>
      <c r="E296" s="654"/>
      <c r="F296" s="650"/>
      <c r="G296" s="654"/>
      <c r="H296" s="654"/>
      <c r="I296" s="650"/>
      <c r="J296" s="650"/>
      <c r="K296" s="655"/>
      <c r="L296" s="655"/>
      <c r="M296" s="655"/>
      <c r="N296" s="655"/>
      <c r="O296" s="655"/>
      <c r="P296" s="655"/>
      <c r="Q296" s="655"/>
      <c r="R296" s="655"/>
      <c r="S296" s="655"/>
      <c r="T296" s="655"/>
      <c r="U296" s="655"/>
      <c r="V296" s="655"/>
      <c r="W296" s="655"/>
      <c r="X296" s="655"/>
      <c r="Y296" s="655"/>
      <c r="Z296" s="655"/>
    </row>
    <row r="297">
      <c r="B297" s="462"/>
      <c r="C297" s="671"/>
      <c r="D297" s="462"/>
      <c r="E297" s="654"/>
      <c r="F297" s="650"/>
      <c r="G297" s="654"/>
      <c r="H297" s="654"/>
      <c r="I297" s="650"/>
      <c r="J297" s="650"/>
      <c r="K297" s="655"/>
      <c r="L297" s="655"/>
      <c r="M297" s="655"/>
      <c r="N297" s="655"/>
      <c r="O297" s="655"/>
      <c r="P297" s="655"/>
      <c r="Q297" s="655"/>
      <c r="R297" s="655"/>
      <c r="S297" s="655"/>
      <c r="T297" s="655"/>
      <c r="U297" s="655"/>
      <c r="V297" s="655"/>
      <c r="W297" s="655"/>
      <c r="X297" s="655"/>
      <c r="Y297" s="655"/>
      <c r="Z297" s="655"/>
    </row>
    <row r="298">
      <c r="B298" s="462"/>
      <c r="C298" s="671"/>
      <c r="D298" s="462"/>
      <c r="E298" s="654"/>
      <c r="F298" s="650"/>
      <c r="G298" s="654"/>
      <c r="H298" s="654"/>
      <c r="I298" s="650"/>
      <c r="J298" s="650"/>
      <c r="K298" s="655"/>
      <c r="L298" s="655"/>
      <c r="M298" s="655"/>
      <c r="N298" s="655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</row>
    <row r="299">
      <c r="B299" s="462"/>
      <c r="C299" s="671"/>
      <c r="D299" s="462"/>
      <c r="E299" s="654"/>
      <c r="F299" s="650"/>
      <c r="G299" s="654"/>
      <c r="H299" s="654"/>
      <c r="I299" s="650"/>
      <c r="J299" s="650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</row>
    <row r="300">
      <c r="B300" s="462"/>
      <c r="C300" s="671"/>
      <c r="D300" s="462"/>
      <c r="E300" s="654"/>
      <c r="F300" s="650"/>
      <c r="G300" s="654"/>
      <c r="H300" s="654"/>
      <c r="I300" s="650"/>
      <c r="J300" s="650"/>
      <c r="K300" s="655"/>
      <c r="L300" s="655"/>
      <c r="M300" s="655"/>
      <c r="N300" s="655"/>
      <c r="O300" s="655"/>
      <c r="P300" s="655"/>
      <c r="Q300" s="655"/>
      <c r="R300" s="655"/>
      <c r="S300" s="655"/>
      <c r="T300" s="655"/>
      <c r="U300" s="655"/>
      <c r="V300" s="655"/>
      <c r="W300" s="655"/>
      <c r="X300" s="655"/>
      <c r="Y300" s="655"/>
      <c r="Z300" s="655"/>
    </row>
    <row r="301">
      <c r="B301" s="462"/>
      <c r="C301" s="671"/>
      <c r="D301" s="462"/>
      <c r="E301" s="654"/>
      <c r="F301" s="650"/>
      <c r="G301" s="654"/>
      <c r="H301" s="654"/>
      <c r="I301" s="650"/>
      <c r="J301" s="650"/>
      <c r="K301" s="655"/>
      <c r="L301" s="655"/>
      <c r="M301" s="655"/>
      <c r="N301" s="655"/>
      <c r="O301" s="655"/>
      <c r="P301" s="655"/>
      <c r="Q301" s="655"/>
      <c r="R301" s="655"/>
      <c r="S301" s="655"/>
      <c r="T301" s="655"/>
      <c r="U301" s="655"/>
      <c r="V301" s="655"/>
      <c r="W301" s="655"/>
      <c r="X301" s="655"/>
      <c r="Y301" s="655"/>
      <c r="Z301" s="655"/>
    </row>
    <row r="302">
      <c r="B302" s="462"/>
      <c r="C302" s="671"/>
      <c r="D302" s="462"/>
      <c r="E302" s="654"/>
      <c r="F302" s="650"/>
      <c r="G302" s="654"/>
      <c r="H302" s="654"/>
      <c r="I302" s="650"/>
      <c r="J302" s="650"/>
      <c r="K302" s="655"/>
      <c r="L302" s="655"/>
      <c r="M302" s="655"/>
      <c r="N302" s="655"/>
      <c r="O302" s="655"/>
      <c r="P302" s="655"/>
      <c r="Q302" s="655"/>
      <c r="R302" s="655"/>
      <c r="S302" s="655"/>
      <c r="T302" s="655"/>
      <c r="U302" s="655"/>
      <c r="V302" s="655"/>
      <c r="W302" s="655"/>
      <c r="X302" s="655"/>
      <c r="Y302" s="655"/>
      <c r="Z302" s="655"/>
    </row>
    <row r="303">
      <c r="B303" s="462"/>
      <c r="C303" s="671"/>
      <c r="D303" s="462"/>
      <c r="E303" s="654"/>
      <c r="F303" s="650"/>
      <c r="G303" s="654"/>
      <c r="H303" s="654"/>
      <c r="I303" s="650"/>
      <c r="J303" s="650"/>
      <c r="K303" s="655"/>
      <c r="L303" s="655"/>
      <c r="M303" s="655"/>
      <c r="N303" s="655"/>
      <c r="O303" s="655"/>
      <c r="P303" s="655"/>
      <c r="Q303" s="655"/>
      <c r="R303" s="655"/>
      <c r="S303" s="655"/>
      <c r="T303" s="655"/>
      <c r="U303" s="655"/>
      <c r="V303" s="655"/>
      <c r="W303" s="655"/>
      <c r="X303" s="655"/>
      <c r="Y303" s="655"/>
      <c r="Z303" s="655"/>
    </row>
    <row r="304">
      <c r="B304" s="462"/>
      <c r="C304" s="671"/>
      <c r="D304" s="462"/>
      <c r="E304" s="654"/>
      <c r="F304" s="650"/>
      <c r="G304" s="654"/>
      <c r="H304" s="654"/>
      <c r="I304" s="650"/>
      <c r="J304" s="650"/>
      <c r="K304" s="655"/>
      <c r="L304" s="655"/>
      <c r="M304" s="655"/>
      <c r="N304" s="655"/>
      <c r="O304" s="655"/>
      <c r="P304" s="655"/>
      <c r="Q304" s="655"/>
      <c r="R304" s="655"/>
      <c r="S304" s="655"/>
      <c r="T304" s="655"/>
      <c r="U304" s="655"/>
      <c r="V304" s="655"/>
      <c r="W304" s="655"/>
      <c r="X304" s="655"/>
      <c r="Y304" s="655"/>
      <c r="Z304" s="655"/>
    </row>
    <row r="305">
      <c r="B305" s="462"/>
      <c r="C305" s="671"/>
      <c r="D305" s="462"/>
      <c r="E305" s="654"/>
      <c r="F305" s="650"/>
      <c r="G305" s="654"/>
      <c r="H305" s="654"/>
      <c r="I305" s="650"/>
      <c r="J305" s="650"/>
      <c r="K305" s="655"/>
      <c r="L305" s="655"/>
      <c r="M305" s="655"/>
      <c r="N305" s="655"/>
      <c r="O305" s="655"/>
      <c r="P305" s="655"/>
      <c r="Q305" s="655"/>
      <c r="R305" s="655"/>
      <c r="S305" s="655"/>
      <c r="T305" s="655"/>
      <c r="U305" s="655"/>
      <c r="V305" s="655"/>
      <c r="W305" s="655"/>
      <c r="X305" s="655"/>
      <c r="Y305" s="655"/>
      <c r="Z305" s="655"/>
    </row>
    <row r="306">
      <c r="B306" s="462"/>
      <c r="C306" s="671"/>
      <c r="D306" s="462"/>
      <c r="E306" s="654"/>
      <c r="F306" s="650"/>
      <c r="G306" s="654"/>
      <c r="H306" s="654"/>
      <c r="I306" s="650"/>
      <c r="J306" s="650"/>
      <c r="K306" s="655"/>
      <c r="L306" s="655"/>
      <c r="M306" s="655"/>
      <c r="N306" s="655"/>
      <c r="O306" s="655"/>
      <c r="P306" s="655"/>
      <c r="Q306" s="655"/>
      <c r="R306" s="655"/>
      <c r="S306" s="655"/>
      <c r="T306" s="655"/>
      <c r="U306" s="655"/>
      <c r="V306" s="655"/>
      <c r="W306" s="655"/>
      <c r="X306" s="655"/>
      <c r="Y306" s="655"/>
      <c r="Z306" s="655"/>
    </row>
    <row r="307">
      <c r="B307" s="462"/>
      <c r="C307" s="671"/>
      <c r="D307" s="462"/>
      <c r="E307" s="654"/>
      <c r="F307" s="650"/>
      <c r="G307" s="654"/>
      <c r="H307" s="654"/>
      <c r="I307" s="650"/>
      <c r="J307" s="650"/>
      <c r="K307" s="655"/>
      <c r="L307" s="655"/>
      <c r="M307" s="655"/>
      <c r="N307" s="655"/>
      <c r="O307" s="655"/>
      <c r="P307" s="655"/>
      <c r="Q307" s="655"/>
      <c r="R307" s="655"/>
      <c r="S307" s="655"/>
      <c r="T307" s="655"/>
      <c r="U307" s="655"/>
      <c r="V307" s="655"/>
      <c r="W307" s="655"/>
      <c r="X307" s="655"/>
      <c r="Y307" s="655"/>
      <c r="Z307" s="655"/>
    </row>
    <row r="308">
      <c r="B308" s="462"/>
      <c r="C308" s="671"/>
      <c r="D308" s="462"/>
      <c r="E308" s="654"/>
      <c r="F308" s="650"/>
      <c r="G308" s="654"/>
      <c r="H308" s="654"/>
      <c r="I308" s="650"/>
      <c r="J308" s="650"/>
      <c r="K308" s="655"/>
      <c r="L308" s="655"/>
      <c r="M308" s="655"/>
      <c r="N308" s="655"/>
      <c r="O308" s="655"/>
      <c r="P308" s="655"/>
      <c r="Q308" s="655"/>
      <c r="R308" s="655"/>
      <c r="S308" s="655"/>
      <c r="T308" s="655"/>
      <c r="U308" s="655"/>
      <c r="V308" s="655"/>
      <c r="W308" s="655"/>
      <c r="X308" s="655"/>
      <c r="Y308" s="655"/>
      <c r="Z308" s="655"/>
    </row>
    <row r="309">
      <c r="B309" s="462"/>
      <c r="C309" s="671"/>
      <c r="D309" s="462"/>
      <c r="E309" s="654"/>
      <c r="F309" s="650"/>
      <c r="G309" s="654"/>
      <c r="H309" s="654"/>
      <c r="I309" s="650"/>
      <c r="J309" s="650"/>
      <c r="K309" s="655"/>
      <c r="L309" s="655"/>
      <c r="M309" s="655"/>
      <c r="N309" s="655"/>
      <c r="O309" s="655"/>
      <c r="P309" s="655"/>
      <c r="Q309" s="655"/>
      <c r="R309" s="655"/>
      <c r="S309" s="655"/>
      <c r="T309" s="655"/>
      <c r="U309" s="655"/>
      <c r="V309" s="655"/>
      <c r="W309" s="655"/>
      <c r="X309" s="655"/>
      <c r="Y309" s="655"/>
      <c r="Z309" s="655"/>
    </row>
    <row r="310">
      <c r="B310" s="462"/>
      <c r="C310" s="671"/>
      <c r="D310" s="462"/>
      <c r="E310" s="654"/>
      <c r="F310" s="650"/>
      <c r="G310" s="654"/>
      <c r="H310" s="654"/>
      <c r="I310" s="650"/>
      <c r="J310" s="650"/>
      <c r="K310" s="655"/>
      <c r="L310" s="655"/>
      <c r="M310" s="655"/>
      <c r="N310" s="655"/>
      <c r="O310" s="655"/>
      <c r="P310" s="655"/>
      <c r="Q310" s="655"/>
      <c r="R310" s="655"/>
      <c r="S310" s="655"/>
      <c r="T310" s="655"/>
      <c r="U310" s="655"/>
      <c r="V310" s="655"/>
      <c r="W310" s="655"/>
      <c r="X310" s="655"/>
      <c r="Y310" s="655"/>
      <c r="Z310" s="655"/>
    </row>
    <row r="311">
      <c r="B311" s="462"/>
      <c r="C311" s="671"/>
      <c r="D311" s="462"/>
      <c r="E311" s="654"/>
      <c r="F311" s="650"/>
      <c r="G311" s="654"/>
      <c r="H311" s="654"/>
      <c r="I311" s="650"/>
      <c r="J311" s="650"/>
      <c r="K311" s="655"/>
      <c r="L311" s="655"/>
      <c r="M311" s="655"/>
      <c r="N311" s="655"/>
      <c r="O311" s="655"/>
      <c r="P311" s="655"/>
      <c r="Q311" s="655"/>
      <c r="R311" s="655"/>
      <c r="S311" s="655"/>
      <c r="T311" s="655"/>
      <c r="U311" s="655"/>
      <c r="V311" s="655"/>
      <c r="W311" s="655"/>
      <c r="X311" s="655"/>
      <c r="Y311" s="655"/>
      <c r="Z311" s="655"/>
    </row>
    <row r="312">
      <c r="B312" s="462"/>
      <c r="C312" s="671"/>
      <c r="D312" s="462"/>
      <c r="E312" s="654"/>
      <c r="F312" s="650"/>
      <c r="G312" s="654"/>
      <c r="H312" s="654"/>
      <c r="I312" s="650"/>
      <c r="J312" s="650"/>
      <c r="K312" s="655"/>
      <c r="L312" s="655"/>
      <c r="M312" s="655"/>
      <c r="N312" s="655"/>
      <c r="O312" s="655"/>
      <c r="P312" s="655"/>
      <c r="Q312" s="655"/>
      <c r="R312" s="655"/>
      <c r="S312" s="655"/>
      <c r="T312" s="655"/>
      <c r="U312" s="655"/>
      <c r="V312" s="655"/>
      <c r="W312" s="655"/>
      <c r="X312" s="655"/>
      <c r="Y312" s="655"/>
      <c r="Z312" s="655"/>
    </row>
    <row r="313">
      <c r="B313" s="462"/>
      <c r="C313" s="671"/>
      <c r="D313" s="462"/>
      <c r="E313" s="654"/>
      <c r="F313" s="650"/>
      <c r="G313" s="654"/>
      <c r="H313" s="654"/>
      <c r="I313" s="650"/>
      <c r="J313" s="650"/>
      <c r="K313" s="655"/>
      <c r="L313" s="655"/>
      <c r="M313" s="655"/>
      <c r="N313" s="655"/>
      <c r="O313" s="655"/>
      <c r="P313" s="655"/>
      <c r="Q313" s="655"/>
      <c r="R313" s="655"/>
      <c r="S313" s="655"/>
      <c r="T313" s="655"/>
      <c r="U313" s="655"/>
      <c r="V313" s="655"/>
      <c r="W313" s="655"/>
      <c r="X313" s="655"/>
      <c r="Y313" s="655"/>
      <c r="Z313" s="655"/>
    </row>
    <row r="314">
      <c r="B314" s="462"/>
      <c r="C314" s="671"/>
      <c r="D314" s="462"/>
      <c r="E314" s="654"/>
      <c r="F314" s="650"/>
      <c r="G314" s="654"/>
      <c r="H314" s="654"/>
      <c r="I314" s="650"/>
      <c r="J314" s="650"/>
      <c r="K314" s="655"/>
      <c r="L314" s="655"/>
      <c r="M314" s="655"/>
      <c r="N314" s="655"/>
      <c r="O314" s="655"/>
      <c r="P314" s="655"/>
      <c r="Q314" s="655"/>
      <c r="R314" s="655"/>
      <c r="S314" s="655"/>
      <c r="T314" s="655"/>
      <c r="U314" s="655"/>
      <c r="V314" s="655"/>
      <c r="W314" s="655"/>
      <c r="X314" s="655"/>
      <c r="Y314" s="655"/>
      <c r="Z314" s="655"/>
    </row>
    <row r="315">
      <c r="B315" s="462"/>
      <c r="C315" s="671"/>
      <c r="D315" s="462"/>
      <c r="E315" s="654"/>
      <c r="F315" s="650"/>
      <c r="G315" s="654"/>
      <c r="H315" s="654"/>
      <c r="I315" s="650"/>
      <c r="J315" s="650"/>
      <c r="K315" s="655"/>
      <c r="L315" s="655"/>
      <c r="M315" s="655"/>
      <c r="N315" s="655"/>
      <c r="O315" s="655"/>
      <c r="P315" s="655"/>
      <c r="Q315" s="655"/>
      <c r="R315" s="655"/>
      <c r="S315" s="655"/>
      <c r="T315" s="655"/>
      <c r="U315" s="655"/>
      <c r="V315" s="655"/>
      <c r="W315" s="655"/>
      <c r="X315" s="655"/>
      <c r="Y315" s="655"/>
      <c r="Z315" s="655"/>
    </row>
    <row r="316">
      <c r="B316" s="462"/>
      <c r="C316" s="671"/>
      <c r="D316" s="462"/>
      <c r="E316" s="654"/>
      <c r="F316" s="650"/>
      <c r="G316" s="654"/>
      <c r="H316" s="654"/>
      <c r="I316" s="650"/>
      <c r="J316" s="650"/>
      <c r="K316" s="655"/>
      <c r="L316" s="655"/>
      <c r="M316" s="655"/>
      <c r="N316" s="655"/>
      <c r="O316" s="655"/>
      <c r="P316" s="655"/>
      <c r="Q316" s="655"/>
      <c r="R316" s="655"/>
      <c r="S316" s="655"/>
      <c r="T316" s="655"/>
      <c r="U316" s="655"/>
      <c r="V316" s="655"/>
      <c r="W316" s="655"/>
      <c r="X316" s="655"/>
      <c r="Y316" s="655"/>
      <c r="Z316" s="655"/>
    </row>
    <row r="317">
      <c r="B317" s="462"/>
      <c r="C317" s="671"/>
      <c r="D317" s="462"/>
      <c r="E317" s="654"/>
      <c r="F317" s="650"/>
      <c r="G317" s="654"/>
      <c r="H317" s="654"/>
      <c r="I317" s="650"/>
      <c r="J317" s="650"/>
      <c r="K317" s="655"/>
      <c r="L317" s="655"/>
      <c r="M317" s="655"/>
      <c r="N317" s="655"/>
      <c r="O317" s="655"/>
      <c r="P317" s="655"/>
      <c r="Q317" s="655"/>
      <c r="R317" s="655"/>
      <c r="S317" s="655"/>
      <c r="T317" s="655"/>
      <c r="U317" s="655"/>
      <c r="V317" s="655"/>
      <c r="W317" s="655"/>
      <c r="X317" s="655"/>
      <c r="Y317" s="655"/>
      <c r="Z317" s="655"/>
    </row>
    <row r="318">
      <c r="B318" s="462"/>
      <c r="C318" s="671"/>
      <c r="D318" s="462"/>
      <c r="E318" s="654"/>
      <c r="F318" s="650"/>
      <c r="G318" s="654"/>
      <c r="H318" s="654"/>
      <c r="I318" s="650"/>
      <c r="J318" s="650"/>
      <c r="K318" s="655"/>
      <c r="L318" s="655"/>
      <c r="M318" s="655"/>
      <c r="N318" s="655"/>
      <c r="O318" s="655"/>
      <c r="P318" s="655"/>
      <c r="Q318" s="655"/>
      <c r="R318" s="655"/>
      <c r="S318" s="655"/>
      <c r="T318" s="655"/>
      <c r="U318" s="655"/>
      <c r="V318" s="655"/>
      <c r="W318" s="655"/>
      <c r="X318" s="655"/>
      <c r="Y318" s="655"/>
      <c r="Z318" s="655"/>
    </row>
    <row r="319">
      <c r="B319" s="462"/>
      <c r="C319" s="671"/>
      <c r="D319" s="462"/>
      <c r="E319" s="654"/>
      <c r="F319" s="650"/>
      <c r="G319" s="654"/>
      <c r="H319" s="654"/>
      <c r="I319" s="650"/>
      <c r="J319" s="650"/>
      <c r="K319" s="655"/>
      <c r="L319" s="655"/>
      <c r="M319" s="655"/>
      <c r="N319" s="655"/>
      <c r="O319" s="655"/>
      <c r="P319" s="655"/>
      <c r="Q319" s="655"/>
      <c r="R319" s="655"/>
      <c r="S319" s="655"/>
      <c r="T319" s="655"/>
      <c r="U319" s="655"/>
      <c r="V319" s="655"/>
      <c r="W319" s="655"/>
      <c r="X319" s="655"/>
      <c r="Y319" s="655"/>
      <c r="Z319" s="655"/>
    </row>
    <row r="320">
      <c r="B320" s="462"/>
      <c r="C320" s="671"/>
      <c r="D320" s="462"/>
      <c r="E320" s="654"/>
      <c r="F320" s="650"/>
      <c r="G320" s="654"/>
      <c r="H320" s="654"/>
      <c r="I320" s="650"/>
      <c r="J320" s="650"/>
      <c r="K320" s="655"/>
      <c r="L320" s="655"/>
      <c r="M320" s="655"/>
      <c r="N320" s="655"/>
      <c r="O320" s="655"/>
      <c r="P320" s="655"/>
      <c r="Q320" s="655"/>
      <c r="R320" s="655"/>
      <c r="S320" s="655"/>
      <c r="T320" s="655"/>
      <c r="U320" s="655"/>
      <c r="V320" s="655"/>
      <c r="W320" s="655"/>
      <c r="X320" s="655"/>
      <c r="Y320" s="655"/>
      <c r="Z320" s="655"/>
    </row>
    <row r="321">
      <c r="B321" s="462"/>
      <c r="C321" s="671"/>
      <c r="D321" s="462"/>
      <c r="E321" s="654"/>
      <c r="F321" s="650"/>
      <c r="G321" s="654"/>
      <c r="H321" s="654"/>
      <c r="I321" s="650"/>
      <c r="J321" s="650"/>
      <c r="K321" s="655"/>
      <c r="L321" s="655"/>
      <c r="M321" s="655"/>
      <c r="N321" s="655"/>
      <c r="O321" s="655"/>
      <c r="P321" s="655"/>
      <c r="Q321" s="655"/>
      <c r="R321" s="655"/>
      <c r="S321" s="655"/>
      <c r="T321" s="655"/>
      <c r="U321" s="655"/>
      <c r="V321" s="655"/>
      <c r="W321" s="655"/>
      <c r="X321" s="655"/>
      <c r="Y321" s="655"/>
      <c r="Z321" s="655"/>
    </row>
    <row r="322">
      <c r="B322" s="462"/>
      <c r="C322" s="671"/>
      <c r="D322" s="462"/>
      <c r="E322" s="654"/>
      <c r="F322" s="650"/>
      <c r="G322" s="654"/>
      <c r="H322" s="654"/>
      <c r="I322" s="650"/>
      <c r="J322" s="650"/>
      <c r="K322" s="655"/>
      <c r="L322" s="655"/>
      <c r="M322" s="655"/>
      <c r="N322" s="655"/>
      <c r="O322" s="655"/>
      <c r="P322" s="655"/>
      <c r="Q322" s="655"/>
      <c r="R322" s="655"/>
      <c r="S322" s="655"/>
      <c r="T322" s="655"/>
      <c r="U322" s="655"/>
      <c r="V322" s="655"/>
      <c r="W322" s="655"/>
      <c r="X322" s="655"/>
      <c r="Y322" s="655"/>
      <c r="Z322" s="655"/>
    </row>
    <row r="323">
      <c r="B323" s="462"/>
      <c r="C323" s="671"/>
      <c r="D323" s="462"/>
      <c r="E323" s="654"/>
      <c r="F323" s="650"/>
      <c r="G323" s="654"/>
      <c r="H323" s="654"/>
      <c r="I323" s="650"/>
      <c r="J323" s="650"/>
      <c r="K323" s="655"/>
      <c r="L323" s="655"/>
      <c r="M323" s="655"/>
      <c r="N323" s="655"/>
      <c r="O323" s="655"/>
      <c r="P323" s="655"/>
      <c r="Q323" s="655"/>
      <c r="R323" s="655"/>
      <c r="S323" s="655"/>
      <c r="T323" s="655"/>
      <c r="U323" s="655"/>
      <c r="V323" s="655"/>
      <c r="W323" s="655"/>
      <c r="X323" s="655"/>
      <c r="Y323" s="655"/>
      <c r="Z323" s="655"/>
    </row>
    <row r="324">
      <c r="B324" s="462"/>
      <c r="C324" s="671"/>
      <c r="D324" s="462"/>
      <c r="E324" s="654"/>
      <c r="F324" s="650"/>
      <c r="G324" s="654"/>
      <c r="H324" s="654"/>
      <c r="I324" s="650"/>
      <c r="J324" s="650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</row>
    <row r="325">
      <c r="B325" s="462"/>
      <c r="C325" s="671"/>
      <c r="D325" s="462"/>
      <c r="E325" s="654"/>
      <c r="F325" s="650"/>
      <c r="G325" s="654"/>
      <c r="H325" s="654"/>
      <c r="I325" s="650"/>
      <c r="J325" s="650"/>
      <c r="K325" s="655"/>
      <c r="L325" s="655"/>
      <c r="M325" s="655"/>
      <c r="N325" s="655"/>
      <c r="O325" s="655"/>
      <c r="P325" s="655"/>
      <c r="Q325" s="655"/>
      <c r="R325" s="655"/>
      <c r="S325" s="655"/>
      <c r="T325" s="655"/>
      <c r="U325" s="655"/>
      <c r="V325" s="655"/>
      <c r="W325" s="655"/>
      <c r="X325" s="655"/>
      <c r="Y325" s="655"/>
      <c r="Z325" s="655"/>
    </row>
    <row r="326">
      <c r="B326" s="462"/>
      <c r="C326" s="671"/>
      <c r="D326" s="462"/>
      <c r="E326" s="654"/>
      <c r="F326" s="650"/>
      <c r="G326" s="654"/>
      <c r="H326" s="654"/>
      <c r="I326" s="650"/>
      <c r="J326" s="650"/>
      <c r="K326" s="655"/>
      <c r="L326" s="655"/>
      <c r="M326" s="655"/>
      <c r="N326" s="655"/>
      <c r="O326" s="655"/>
      <c r="P326" s="655"/>
      <c r="Q326" s="655"/>
      <c r="R326" s="655"/>
      <c r="S326" s="655"/>
      <c r="T326" s="655"/>
      <c r="U326" s="655"/>
      <c r="V326" s="655"/>
      <c r="W326" s="655"/>
      <c r="X326" s="655"/>
      <c r="Y326" s="655"/>
      <c r="Z326" s="655"/>
    </row>
    <row r="327">
      <c r="B327" s="462"/>
      <c r="C327" s="671"/>
      <c r="D327" s="462"/>
      <c r="E327" s="654"/>
      <c r="F327" s="650"/>
      <c r="G327" s="654"/>
      <c r="H327" s="654"/>
      <c r="I327" s="650"/>
      <c r="J327" s="650"/>
      <c r="K327" s="655"/>
      <c r="L327" s="655"/>
      <c r="M327" s="655"/>
      <c r="N327" s="655"/>
      <c r="O327" s="655"/>
      <c r="P327" s="655"/>
      <c r="Q327" s="655"/>
      <c r="R327" s="655"/>
      <c r="S327" s="655"/>
      <c r="T327" s="655"/>
      <c r="U327" s="655"/>
      <c r="V327" s="655"/>
      <c r="W327" s="655"/>
      <c r="X327" s="655"/>
      <c r="Y327" s="655"/>
      <c r="Z327" s="655"/>
    </row>
    <row r="328">
      <c r="B328" s="462"/>
      <c r="C328" s="671"/>
      <c r="D328" s="462"/>
      <c r="E328" s="654"/>
      <c r="F328" s="650"/>
      <c r="G328" s="654"/>
      <c r="H328" s="654"/>
      <c r="I328" s="650"/>
      <c r="J328" s="650"/>
      <c r="K328" s="655"/>
      <c r="L328" s="655"/>
      <c r="M328" s="655"/>
      <c r="N328" s="655"/>
      <c r="O328" s="655"/>
      <c r="P328" s="655"/>
      <c r="Q328" s="655"/>
      <c r="R328" s="655"/>
      <c r="S328" s="655"/>
      <c r="T328" s="655"/>
      <c r="U328" s="655"/>
      <c r="V328" s="655"/>
      <c r="W328" s="655"/>
      <c r="X328" s="655"/>
      <c r="Y328" s="655"/>
      <c r="Z328" s="655"/>
    </row>
    <row r="329">
      <c r="B329" s="462"/>
      <c r="C329" s="671"/>
      <c r="D329" s="462"/>
      <c r="E329" s="654"/>
      <c r="F329" s="650"/>
      <c r="G329" s="654"/>
      <c r="H329" s="654"/>
      <c r="I329" s="650"/>
      <c r="J329" s="650"/>
      <c r="K329" s="655"/>
      <c r="L329" s="655"/>
      <c r="M329" s="655"/>
      <c r="N329" s="655"/>
      <c r="O329" s="655"/>
      <c r="P329" s="655"/>
      <c r="Q329" s="655"/>
      <c r="R329" s="655"/>
      <c r="S329" s="655"/>
      <c r="T329" s="655"/>
      <c r="U329" s="655"/>
      <c r="V329" s="655"/>
      <c r="W329" s="655"/>
      <c r="X329" s="655"/>
      <c r="Y329" s="655"/>
      <c r="Z329" s="655"/>
    </row>
    <row r="330">
      <c r="B330" s="462"/>
      <c r="C330" s="671"/>
      <c r="D330" s="462"/>
      <c r="E330" s="654"/>
      <c r="F330" s="650"/>
      <c r="G330" s="654"/>
      <c r="H330" s="654"/>
      <c r="I330" s="650"/>
      <c r="J330" s="650"/>
      <c r="K330" s="655"/>
      <c r="L330" s="655"/>
      <c r="M330" s="655"/>
      <c r="N330" s="655"/>
      <c r="O330" s="655"/>
      <c r="P330" s="655"/>
      <c r="Q330" s="655"/>
      <c r="R330" s="655"/>
      <c r="S330" s="655"/>
      <c r="T330" s="655"/>
      <c r="U330" s="655"/>
      <c r="V330" s="655"/>
      <c r="W330" s="655"/>
      <c r="X330" s="655"/>
      <c r="Y330" s="655"/>
      <c r="Z330" s="655"/>
    </row>
    <row r="331">
      <c r="B331" s="462"/>
      <c r="C331" s="671"/>
      <c r="D331" s="462"/>
      <c r="E331" s="654"/>
      <c r="F331" s="650"/>
      <c r="G331" s="654"/>
      <c r="H331" s="654"/>
      <c r="I331" s="650"/>
      <c r="J331" s="650"/>
      <c r="K331" s="655"/>
      <c r="L331" s="655"/>
      <c r="M331" s="655"/>
      <c r="N331" s="655"/>
      <c r="O331" s="655"/>
      <c r="P331" s="655"/>
      <c r="Q331" s="655"/>
      <c r="R331" s="655"/>
      <c r="S331" s="655"/>
      <c r="T331" s="655"/>
      <c r="U331" s="655"/>
      <c r="V331" s="655"/>
      <c r="W331" s="655"/>
      <c r="X331" s="655"/>
      <c r="Y331" s="655"/>
      <c r="Z331" s="655"/>
    </row>
    <row r="332">
      <c r="B332" s="462"/>
      <c r="C332" s="671"/>
      <c r="D332" s="462"/>
      <c r="E332" s="654"/>
      <c r="F332" s="650"/>
      <c r="G332" s="654"/>
      <c r="H332" s="654"/>
      <c r="I332" s="650"/>
      <c r="J332" s="650"/>
      <c r="K332" s="655"/>
      <c r="L332" s="655"/>
      <c r="M332" s="655"/>
      <c r="N332" s="655"/>
      <c r="O332" s="655"/>
      <c r="P332" s="655"/>
      <c r="Q332" s="655"/>
      <c r="R332" s="655"/>
      <c r="S332" s="655"/>
      <c r="T332" s="655"/>
      <c r="U332" s="655"/>
      <c r="V332" s="655"/>
      <c r="W332" s="655"/>
      <c r="X332" s="655"/>
      <c r="Y332" s="655"/>
      <c r="Z332" s="655"/>
    </row>
    <row r="333">
      <c r="B333" s="462"/>
      <c r="C333" s="671"/>
      <c r="D333" s="462"/>
      <c r="E333" s="654"/>
      <c r="F333" s="650"/>
      <c r="G333" s="654"/>
      <c r="H333" s="654"/>
      <c r="I333" s="650"/>
      <c r="J333" s="650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</row>
    <row r="334">
      <c r="B334" s="462"/>
      <c r="C334" s="671"/>
      <c r="D334" s="462"/>
      <c r="E334" s="654"/>
      <c r="F334" s="650"/>
      <c r="G334" s="654"/>
      <c r="H334" s="654"/>
      <c r="I334" s="650"/>
      <c r="J334" s="650"/>
      <c r="K334" s="655"/>
      <c r="L334" s="655"/>
      <c r="M334" s="655"/>
      <c r="N334" s="655"/>
      <c r="O334" s="655"/>
      <c r="P334" s="655"/>
      <c r="Q334" s="655"/>
      <c r="R334" s="655"/>
      <c r="S334" s="655"/>
      <c r="T334" s="655"/>
      <c r="U334" s="655"/>
      <c r="V334" s="655"/>
      <c r="W334" s="655"/>
      <c r="X334" s="655"/>
      <c r="Y334" s="655"/>
      <c r="Z334" s="655"/>
    </row>
    <row r="335">
      <c r="B335" s="462"/>
      <c r="C335" s="671"/>
      <c r="D335" s="462"/>
      <c r="E335" s="654"/>
      <c r="F335" s="650"/>
      <c r="G335" s="654"/>
      <c r="H335" s="654"/>
      <c r="I335" s="650"/>
      <c r="J335" s="650"/>
      <c r="K335" s="655"/>
      <c r="L335" s="655"/>
      <c r="M335" s="655"/>
      <c r="N335" s="655"/>
      <c r="O335" s="655"/>
      <c r="P335" s="655"/>
      <c r="Q335" s="655"/>
      <c r="R335" s="655"/>
      <c r="S335" s="655"/>
      <c r="T335" s="655"/>
      <c r="U335" s="655"/>
      <c r="V335" s="655"/>
      <c r="W335" s="655"/>
      <c r="X335" s="655"/>
      <c r="Y335" s="655"/>
      <c r="Z335" s="655"/>
    </row>
    <row r="336">
      <c r="B336" s="462"/>
      <c r="C336" s="671"/>
      <c r="D336" s="462"/>
      <c r="E336" s="654"/>
      <c r="F336" s="650"/>
      <c r="G336" s="654"/>
      <c r="H336" s="654"/>
      <c r="I336" s="650"/>
      <c r="J336" s="650"/>
      <c r="K336" s="655"/>
      <c r="L336" s="655"/>
      <c r="M336" s="655"/>
      <c r="N336" s="655"/>
      <c r="O336" s="655"/>
      <c r="P336" s="655"/>
      <c r="Q336" s="655"/>
      <c r="R336" s="655"/>
      <c r="S336" s="655"/>
      <c r="T336" s="655"/>
      <c r="U336" s="655"/>
      <c r="V336" s="655"/>
      <c r="W336" s="655"/>
      <c r="X336" s="655"/>
      <c r="Y336" s="655"/>
      <c r="Z336" s="655"/>
    </row>
    <row r="337">
      <c r="B337" s="462"/>
      <c r="C337" s="671"/>
      <c r="D337" s="462"/>
      <c r="E337" s="654"/>
      <c r="F337" s="650"/>
      <c r="G337" s="654"/>
      <c r="H337" s="654"/>
      <c r="I337" s="650"/>
      <c r="J337" s="650"/>
      <c r="K337" s="655"/>
      <c r="L337" s="655"/>
      <c r="M337" s="655"/>
      <c r="N337" s="655"/>
      <c r="O337" s="655"/>
      <c r="P337" s="655"/>
      <c r="Q337" s="655"/>
      <c r="R337" s="655"/>
      <c r="S337" s="655"/>
      <c r="T337" s="655"/>
      <c r="U337" s="655"/>
      <c r="V337" s="655"/>
      <c r="W337" s="655"/>
      <c r="X337" s="655"/>
      <c r="Y337" s="655"/>
      <c r="Z337" s="655"/>
    </row>
    <row r="338">
      <c r="B338" s="462"/>
      <c r="C338" s="671"/>
      <c r="D338" s="462"/>
      <c r="E338" s="654"/>
      <c r="F338" s="650"/>
      <c r="G338" s="654"/>
      <c r="H338" s="654"/>
      <c r="I338" s="650"/>
      <c r="J338" s="650"/>
      <c r="K338" s="655"/>
      <c r="L338" s="655"/>
      <c r="M338" s="655"/>
      <c r="N338" s="655"/>
      <c r="O338" s="655"/>
      <c r="P338" s="655"/>
      <c r="Q338" s="655"/>
      <c r="R338" s="655"/>
      <c r="S338" s="655"/>
      <c r="T338" s="655"/>
      <c r="U338" s="655"/>
      <c r="V338" s="655"/>
      <c r="W338" s="655"/>
      <c r="X338" s="655"/>
      <c r="Y338" s="655"/>
      <c r="Z338" s="655"/>
    </row>
    <row r="339">
      <c r="B339" s="462"/>
      <c r="C339" s="671"/>
      <c r="D339" s="462"/>
      <c r="E339" s="654"/>
      <c r="F339" s="650"/>
      <c r="G339" s="654"/>
      <c r="H339" s="654"/>
      <c r="I339" s="650"/>
      <c r="J339" s="650"/>
      <c r="K339" s="655"/>
      <c r="L339" s="655"/>
      <c r="M339" s="655"/>
      <c r="N339" s="655"/>
      <c r="O339" s="655"/>
      <c r="P339" s="655"/>
      <c r="Q339" s="655"/>
      <c r="R339" s="655"/>
      <c r="S339" s="655"/>
      <c r="T339" s="655"/>
      <c r="U339" s="655"/>
      <c r="V339" s="655"/>
      <c r="W339" s="655"/>
      <c r="X339" s="655"/>
      <c r="Y339" s="655"/>
      <c r="Z339" s="655"/>
    </row>
    <row r="340">
      <c r="B340" s="462"/>
      <c r="C340" s="671"/>
      <c r="D340" s="462"/>
      <c r="E340" s="654"/>
      <c r="F340" s="650"/>
      <c r="G340" s="654"/>
      <c r="H340" s="654"/>
      <c r="I340" s="650"/>
      <c r="J340" s="650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</row>
    <row r="341">
      <c r="B341" s="462"/>
      <c r="C341" s="671"/>
      <c r="D341" s="462"/>
      <c r="E341" s="654"/>
      <c r="F341" s="650"/>
      <c r="G341" s="654"/>
      <c r="H341" s="654"/>
      <c r="I341" s="650"/>
      <c r="J341" s="650"/>
      <c r="K341" s="655"/>
      <c r="L341" s="655"/>
      <c r="M341" s="655"/>
      <c r="N341" s="655"/>
      <c r="O341" s="655"/>
      <c r="P341" s="655"/>
      <c r="Q341" s="655"/>
      <c r="R341" s="655"/>
      <c r="S341" s="655"/>
      <c r="T341" s="655"/>
      <c r="U341" s="655"/>
      <c r="V341" s="655"/>
      <c r="W341" s="655"/>
      <c r="X341" s="655"/>
      <c r="Y341" s="655"/>
      <c r="Z341" s="655"/>
    </row>
    <row r="342">
      <c r="B342" s="462"/>
      <c r="C342" s="671"/>
      <c r="D342" s="462"/>
      <c r="E342" s="654"/>
      <c r="F342" s="650"/>
      <c r="G342" s="654"/>
      <c r="H342" s="654"/>
      <c r="I342" s="650"/>
      <c r="J342" s="650"/>
      <c r="K342" s="655"/>
      <c r="L342" s="655"/>
      <c r="M342" s="655"/>
      <c r="N342" s="655"/>
      <c r="O342" s="655"/>
      <c r="P342" s="655"/>
      <c r="Q342" s="655"/>
      <c r="R342" s="655"/>
      <c r="S342" s="655"/>
      <c r="T342" s="655"/>
      <c r="U342" s="655"/>
      <c r="V342" s="655"/>
      <c r="W342" s="655"/>
      <c r="X342" s="655"/>
      <c r="Y342" s="655"/>
      <c r="Z342" s="655"/>
    </row>
    <row r="343">
      <c r="B343" s="462"/>
      <c r="C343" s="671"/>
      <c r="D343" s="462"/>
      <c r="E343" s="654"/>
      <c r="F343" s="650"/>
      <c r="G343" s="654"/>
      <c r="H343" s="654"/>
      <c r="I343" s="650"/>
      <c r="J343" s="650"/>
      <c r="K343" s="655"/>
      <c r="L343" s="655"/>
      <c r="M343" s="655"/>
      <c r="N343" s="655"/>
      <c r="O343" s="655"/>
      <c r="P343" s="655"/>
      <c r="Q343" s="655"/>
      <c r="R343" s="655"/>
      <c r="S343" s="655"/>
      <c r="T343" s="655"/>
      <c r="U343" s="655"/>
      <c r="V343" s="655"/>
      <c r="W343" s="655"/>
      <c r="X343" s="655"/>
      <c r="Y343" s="655"/>
      <c r="Z343" s="655"/>
    </row>
    <row r="344">
      <c r="B344" s="462"/>
      <c r="C344" s="671"/>
      <c r="D344" s="462"/>
      <c r="E344" s="654"/>
      <c r="F344" s="650"/>
      <c r="G344" s="654"/>
      <c r="H344" s="654"/>
      <c r="I344" s="650"/>
      <c r="J344" s="650"/>
      <c r="K344" s="655"/>
      <c r="L344" s="655"/>
      <c r="M344" s="655"/>
      <c r="N344" s="655"/>
      <c r="O344" s="655"/>
      <c r="P344" s="655"/>
      <c r="Q344" s="655"/>
      <c r="R344" s="655"/>
      <c r="S344" s="655"/>
      <c r="T344" s="655"/>
      <c r="U344" s="655"/>
      <c r="V344" s="655"/>
      <c r="W344" s="655"/>
      <c r="X344" s="655"/>
      <c r="Y344" s="655"/>
      <c r="Z344" s="655"/>
    </row>
    <row r="345">
      <c r="B345" s="462"/>
      <c r="C345" s="671"/>
      <c r="D345" s="462"/>
      <c r="E345" s="654"/>
      <c r="F345" s="650"/>
      <c r="G345" s="654"/>
      <c r="H345" s="654"/>
      <c r="I345" s="650"/>
      <c r="J345" s="650"/>
      <c r="K345" s="655"/>
      <c r="L345" s="655"/>
      <c r="M345" s="655"/>
      <c r="N345" s="655"/>
      <c r="O345" s="655"/>
      <c r="P345" s="655"/>
      <c r="Q345" s="655"/>
      <c r="R345" s="655"/>
      <c r="S345" s="655"/>
      <c r="T345" s="655"/>
      <c r="U345" s="655"/>
      <c r="V345" s="655"/>
      <c r="W345" s="655"/>
      <c r="X345" s="655"/>
      <c r="Y345" s="655"/>
      <c r="Z345" s="655"/>
    </row>
    <row r="346">
      <c r="B346" s="462"/>
      <c r="C346" s="671"/>
      <c r="D346" s="462"/>
      <c r="E346" s="654"/>
      <c r="F346" s="650"/>
      <c r="G346" s="654"/>
      <c r="H346" s="654"/>
      <c r="I346" s="650"/>
      <c r="J346" s="650"/>
      <c r="K346" s="655"/>
      <c r="L346" s="655"/>
      <c r="M346" s="655"/>
      <c r="N346" s="655"/>
      <c r="O346" s="655"/>
      <c r="P346" s="655"/>
      <c r="Q346" s="655"/>
      <c r="R346" s="655"/>
      <c r="S346" s="655"/>
      <c r="T346" s="655"/>
      <c r="U346" s="655"/>
      <c r="V346" s="655"/>
      <c r="W346" s="655"/>
      <c r="X346" s="655"/>
      <c r="Y346" s="655"/>
      <c r="Z346" s="655"/>
    </row>
    <row r="347">
      <c r="B347" s="462"/>
      <c r="C347" s="671"/>
      <c r="D347" s="462"/>
      <c r="E347" s="654"/>
      <c r="F347" s="650"/>
      <c r="G347" s="654"/>
      <c r="H347" s="654"/>
      <c r="I347" s="650"/>
      <c r="J347" s="650"/>
      <c r="K347" s="655"/>
      <c r="L347" s="655"/>
      <c r="M347" s="655"/>
      <c r="N347" s="655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</row>
    <row r="348">
      <c r="B348" s="462"/>
      <c r="C348" s="671"/>
      <c r="D348" s="462"/>
      <c r="E348" s="654"/>
      <c r="F348" s="650"/>
      <c r="G348" s="654"/>
      <c r="H348" s="654"/>
      <c r="I348" s="650"/>
      <c r="J348" s="650"/>
      <c r="K348" s="655"/>
      <c r="L348" s="655"/>
      <c r="M348" s="655"/>
      <c r="N348" s="655"/>
      <c r="O348" s="655"/>
      <c r="P348" s="655"/>
      <c r="Q348" s="655"/>
      <c r="R348" s="655"/>
      <c r="S348" s="655"/>
      <c r="T348" s="655"/>
      <c r="U348" s="655"/>
      <c r="V348" s="655"/>
      <c r="W348" s="655"/>
      <c r="X348" s="655"/>
      <c r="Y348" s="655"/>
      <c r="Z348" s="655"/>
    </row>
    <row r="349">
      <c r="B349" s="462"/>
      <c r="C349" s="671"/>
      <c r="D349" s="462"/>
      <c r="E349" s="654"/>
      <c r="F349" s="650"/>
      <c r="G349" s="654"/>
      <c r="H349" s="654"/>
      <c r="I349" s="650"/>
      <c r="J349" s="650"/>
      <c r="K349" s="655"/>
      <c r="L349" s="655"/>
      <c r="M349" s="655"/>
      <c r="N349" s="655"/>
      <c r="O349" s="655"/>
      <c r="P349" s="655"/>
      <c r="Q349" s="655"/>
      <c r="R349" s="655"/>
      <c r="S349" s="655"/>
      <c r="T349" s="655"/>
      <c r="U349" s="655"/>
      <c r="V349" s="655"/>
      <c r="W349" s="655"/>
      <c r="X349" s="655"/>
      <c r="Y349" s="655"/>
      <c r="Z349" s="655"/>
    </row>
    <row r="350">
      <c r="B350" s="462"/>
      <c r="C350" s="671"/>
      <c r="D350" s="462"/>
      <c r="E350" s="654"/>
      <c r="F350" s="650"/>
      <c r="G350" s="654"/>
      <c r="H350" s="654"/>
      <c r="I350" s="650"/>
      <c r="J350" s="650"/>
      <c r="K350" s="655"/>
      <c r="L350" s="655"/>
      <c r="M350" s="655"/>
      <c r="N350" s="655"/>
      <c r="O350" s="655"/>
      <c r="P350" s="655"/>
      <c r="Q350" s="655"/>
      <c r="R350" s="655"/>
      <c r="S350" s="655"/>
      <c r="T350" s="655"/>
      <c r="U350" s="655"/>
      <c r="V350" s="655"/>
      <c r="W350" s="655"/>
      <c r="X350" s="655"/>
      <c r="Y350" s="655"/>
      <c r="Z350" s="655"/>
    </row>
    <row r="351">
      <c r="B351" s="462"/>
      <c r="C351" s="671"/>
      <c r="D351" s="462"/>
      <c r="E351" s="654"/>
      <c r="F351" s="650"/>
      <c r="G351" s="654"/>
      <c r="H351" s="654"/>
      <c r="I351" s="650"/>
      <c r="J351" s="650"/>
      <c r="K351" s="655"/>
      <c r="L351" s="655"/>
      <c r="M351" s="655"/>
      <c r="N351" s="655"/>
      <c r="O351" s="655"/>
      <c r="P351" s="655"/>
      <c r="Q351" s="655"/>
      <c r="R351" s="655"/>
      <c r="S351" s="655"/>
      <c r="T351" s="655"/>
      <c r="U351" s="655"/>
      <c r="V351" s="655"/>
      <c r="W351" s="655"/>
      <c r="X351" s="655"/>
      <c r="Y351" s="655"/>
      <c r="Z351" s="655"/>
    </row>
    <row r="352">
      <c r="B352" s="462"/>
      <c r="C352" s="671"/>
      <c r="D352" s="462"/>
      <c r="E352" s="654"/>
      <c r="F352" s="650"/>
      <c r="G352" s="654"/>
      <c r="H352" s="654"/>
      <c r="I352" s="650"/>
      <c r="J352" s="650"/>
      <c r="K352" s="655"/>
      <c r="L352" s="655"/>
      <c r="M352" s="655"/>
      <c r="N352" s="655"/>
      <c r="O352" s="655"/>
      <c r="P352" s="655"/>
      <c r="Q352" s="655"/>
      <c r="R352" s="655"/>
      <c r="S352" s="655"/>
      <c r="T352" s="655"/>
      <c r="U352" s="655"/>
      <c r="V352" s="655"/>
      <c r="W352" s="655"/>
      <c r="X352" s="655"/>
      <c r="Y352" s="655"/>
      <c r="Z352" s="655"/>
    </row>
    <row r="353">
      <c r="B353" s="462"/>
      <c r="C353" s="671"/>
      <c r="D353" s="462"/>
      <c r="E353" s="654"/>
      <c r="F353" s="650"/>
      <c r="G353" s="654"/>
      <c r="H353" s="654"/>
      <c r="I353" s="650"/>
      <c r="J353" s="650"/>
      <c r="K353" s="655"/>
      <c r="L353" s="655"/>
      <c r="M353" s="655"/>
      <c r="N353" s="655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</row>
    <row r="354">
      <c r="B354" s="462"/>
      <c r="C354" s="671"/>
      <c r="D354" s="462"/>
      <c r="E354" s="654"/>
      <c r="F354" s="650"/>
      <c r="G354" s="654"/>
      <c r="H354" s="654"/>
      <c r="I354" s="650"/>
      <c r="J354" s="650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</row>
    <row r="355">
      <c r="B355" s="462"/>
      <c r="C355" s="671"/>
      <c r="D355" s="462"/>
      <c r="E355" s="654"/>
      <c r="F355" s="650"/>
      <c r="G355" s="654"/>
      <c r="H355" s="654"/>
      <c r="I355" s="650"/>
      <c r="J355" s="650"/>
      <c r="K355" s="655"/>
      <c r="L355" s="655"/>
      <c r="M355" s="655"/>
      <c r="N355" s="655"/>
      <c r="O355" s="655"/>
      <c r="P355" s="655"/>
      <c r="Q355" s="655"/>
      <c r="R355" s="655"/>
      <c r="S355" s="655"/>
      <c r="T355" s="655"/>
      <c r="U355" s="655"/>
      <c r="V355" s="655"/>
      <c r="W355" s="655"/>
      <c r="X355" s="655"/>
      <c r="Y355" s="655"/>
      <c r="Z355" s="655"/>
    </row>
    <row r="356">
      <c r="B356" s="462"/>
      <c r="C356" s="671"/>
      <c r="D356" s="462"/>
      <c r="E356" s="654"/>
      <c r="F356" s="650"/>
      <c r="G356" s="654"/>
      <c r="H356" s="654"/>
      <c r="I356" s="650"/>
      <c r="J356" s="650"/>
      <c r="K356" s="655"/>
      <c r="L356" s="655"/>
      <c r="M356" s="655"/>
      <c r="N356" s="655"/>
      <c r="O356" s="655"/>
      <c r="P356" s="655"/>
      <c r="Q356" s="655"/>
      <c r="R356" s="655"/>
      <c r="S356" s="655"/>
      <c r="T356" s="655"/>
      <c r="U356" s="655"/>
      <c r="V356" s="655"/>
      <c r="W356" s="655"/>
      <c r="X356" s="655"/>
      <c r="Y356" s="655"/>
      <c r="Z356" s="655"/>
    </row>
    <row r="357">
      <c r="B357" s="462"/>
      <c r="C357" s="671"/>
      <c r="D357" s="462"/>
      <c r="E357" s="654"/>
      <c r="F357" s="650"/>
      <c r="G357" s="654"/>
      <c r="H357" s="654"/>
      <c r="I357" s="650"/>
      <c r="J357" s="650"/>
      <c r="K357" s="655"/>
      <c r="L357" s="655"/>
      <c r="M357" s="655"/>
      <c r="N357" s="655"/>
      <c r="O357" s="655"/>
      <c r="P357" s="655"/>
      <c r="Q357" s="655"/>
      <c r="R357" s="655"/>
      <c r="S357" s="655"/>
      <c r="T357" s="655"/>
      <c r="U357" s="655"/>
      <c r="V357" s="655"/>
      <c r="W357" s="655"/>
      <c r="X357" s="655"/>
      <c r="Y357" s="655"/>
      <c r="Z357" s="655"/>
    </row>
    <row r="358">
      <c r="B358" s="462"/>
      <c r="C358" s="671"/>
      <c r="D358" s="462"/>
      <c r="E358" s="654"/>
      <c r="F358" s="650"/>
      <c r="G358" s="654"/>
      <c r="H358" s="654"/>
      <c r="I358" s="650"/>
      <c r="J358" s="650"/>
      <c r="K358" s="655"/>
      <c r="L358" s="655"/>
      <c r="M358" s="655"/>
      <c r="N358" s="655"/>
      <c r="O358" s="655"/>
      <c r="P358" s="655"/>
      <c r="Q358" s="655"/>
      <c r="R358" s="655"/>
      <c r="S358" s="655"/>
      <c r="T358" s="655"/>
      <c r="U358" s="655"/>
      <c r="V358" s="655"/>
      <c r="W358" s="655"/>
      <c r="X358" s="655"/>
      <c r="Y358" s="655"/>
      <c r="Z358" s="655"/>
    </row>
    <row r="359">
      <c r="B359" s="462"/>
      <c r="C359" s="671"/>
      <c r="D359" s="462"/>
      <c r="E359" s="654"/>
      <c r="F359" s="650"/>
      <c r="G359" s="654"/>
      <c r="H359" s="654"/>
      <c r="I359" s="650"/>
      <c r="J359" s="650"/>
      <c r="K359" s="655"/>
      <c r="L359" s="655"/>
      <c r="M359" s="655"/>
      <c r="N359" s="655"/>
      <c r="O359" s="655"/>
      <c r="P359" s="655"/>
      <c r="Q359" s="655"/>
      <c r="R359" s="655"/>
      <c r="S359" s="655"/>
      <c r="T359" s="655"/>
      <c r="U359" s="655"/>
      <c r="V359" s="655"/>
      <c r="W359" s="655"/>
      <c r="X359" s="655"/>
      <c r="Y359" s="655"/>
      <c r="Z359" s="655"/>
    </row>
    <row r="360">
      <c r="B360" s="462"/>
      <c r="C360" s="671"/>
      <c r="D360" s="462"/>
      <c r="E360" s="654"/>
      <c r="F360" s="650"/>
      <c r="G360" s="654"/>
      <c r="H360" s="654"/>
      <c r="I360" s="650"/>
      <c r="J360" s="650"/>
      <c r="K360" s="655"/>
      <c r="L360" s="655"/>
      <c r="M360" s="655"/>
      <c r="N360" s="655"/>
      <c r="O360" s="655"/>
      <c r="P360" s="655"/>
      <c r="Q360" s="655"/>
      <c r="R360" s="655"/>
      <c r="S360" s="655"/>
      <c r="T360" s="655"/>
      <c r="U360" s="655"/>
      <c r="V360" s="655"/>
      <c r="W360" s="655"/>
      <c r="X360" s="655"/>
      <c r="Y360" s="655"/>
      <c r="Z360" s="655"/>
    </row>
    <row r="361">
      <c r="B361" s="462"/>
      <c r="C361" s="671"/>
      <c r="D361" s="462"/>
      <c r="E361" s="654"/>
      <c r="F361" s="650"/>
      <c r="G361" s="654"/>
      <c r="H361" s="654"/>
      <c r="I361" s="650"/>
      <c r="J361" s="650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</row>
    <row r="362">
      <c r="B362" s="462"/>
      <c r="C362" s="671"/>
      <c r="D362" s="462"/>
      <c r="E362" s="654"/>
      <c r="F362" s="650"/>
      <c r="G362" s="654"/>
      <c r="H362" s="654"/>
      <c r="I362" s="650"/>
      <c r="J362" s="650"/>
      <c r="K362" s="655"/>
      <c r="L362" s="655"/>
      <c r="M362" s="655"/>
      <c r="N362" s="655"/>
      <c r="O362" s="655"/>
      <c r="P362" s="655"/>
      <c r="Q362" s="655"/>
      <c r="R362" s="655"/>
      <c r="S362" s="655"/>
      <c r="T362" s="655"/>
      <c r="U362" s="655"/>
      <c r="V362" s="655"/>
      <c r="W362" s="655"/>
      <c r="X362" s="655"/>
      <c r="Y362" s="655"/>
      <c r="Z362" s="655"/>
    </row>
    <row r="363">
      <c r="B363" s="462"/>
      <c r="C363" s="671"/>
      <c r="D363" s="462"/>
      <c r="E363" s="654"/>
      <c r="F363" s="650"/>
      <c r="G363" s="654"/>
      <c r="H363" s="654"/>
      <c r="I363" s="650"/>
      <c r="J363" s="650"/>
      <c r="K363" s="655"/>
      <c r="L363" s="655"/>
      <c r="M363" s="655"/>
      <c r="N363" s="655"/>
      <c r="O363" s="655"/>
      <c r="P363" s="655"/>
      <c r="Q363" s="655"/>
      <c r="R363" s="655"/>
      <c r="S363" s="655"/>
      <c r="T363" s="655"/>
      <c r="U363" s="655"/>
      <c r="V363" s="655"/>
      <c r="W363" s="655"/>
      <c r="X363" s="655"/>
      <c r="Y363" s="655"/>
      <c r="Z363" s="655"/>
    </row>
    <row r="364">
      <c r="B364" s="462"/>
      <c r="C364" s="671"/>
      <c r="D364" s="462"/>
      <c r="E364" s="654"/>
      <c r="F364" s="650"/>
      <c r="G364" s="654"/>
      <c r="H364" s="654"/>
      <c r="I364" s="650"/>
      <c r="J364" s="650"/>
      <c r="K364" s="655"/>
      <c r="L364" s="655"/>
      <c r="M364" s="655"/>
      <c r="N364" s="655"/>
      <c r="O364" s="655"/>
      <c r="P364" s="655"/>
      <c r="Q364" s="655"/>
      <c r="R364" s="655"/>
      <c r="S364" s="655"/>
      <c r="T364" s="655"/>
      <c r="U364" s="655"/>
      <c r="V364" s="655"/>
      <c r="W364" s="655"/>
      <c r="X364" s="655"/>
      <c r="Y364" s="655"/>
      <c r="Z364" s="655"/>
    </row>
    <row r="365">
      <c r="B365" s="462"/>
      <c r="C365" s="671"/>
      <c r="D365" s="462"/>
      <c r="E365" s="654"/>
      <c r="F365" s="650"/>
      <c r="G365" s="654"/>
      <c r="H365" s="654"/>
      <c r="I365" s="650"/>
      <c r="J365" s="650"/>
      <c r="K365" s="655"/>
      <c r="L365" s="655"/>
      <c r="M365" s="655"/>
      <c r="N365" s="655"/>
      <c r="O365" s="655"/>
      <c r="P365" s="655"/>
      <c r="Q365" s="655"/>
      <c r="R365" s="655"/>
      <c r="S365" s="655"/>
      <c r="T365" s="655"/>
      <c r="U365" s="655"/>
      <c r="V365" s="655"/>
      <c r="W365" s="655"/>
      <c r="X365" s="655"/>
      <c r="Y365" s="655"/>
      <c r="Z365" s="655"/>
    </row>
    <row r="366">
      <c r="B366" s="462"/>
      <c r="C366" s="671"/>
      <c r="D366" s="462"/>
      <c r="E366" s="654"/>
      <c r="F366" s="650"/>
      <c r="G366" s="654"/>
      <c r="H366" s="654"/>
      <c r="I366" s="650"/>
      <c r="J366" s="650"/>
      <c r="K366" s="655"/>
      <c r="L366" s="655"/>
      <c r="M366" s="655"/>
      <c r="N366" s="655"/>
      <c r="O366" s="655"/>
      <c r="P366" s="655"/>
      <c r="Q366" s="655"/>
      <c r="R366" s="655"/>
      <c r="S366" s="655"/>
      <c r="T366" s="655"/>
      <c r="U366" s="655"/>
      <c r="V366" s="655"/>
      <c r="W366" s="655"/>
      <c r="X366" s="655"/>
      <c r="Y366" s="655"/>
      <c r="Z366" s="655"/>
    </row>
    <row r="367">
      <c r="B367" s="462"/>
      <c r="C367" s="671"/>
      <c r="D367" s="462"/>
      <c r="E367" s="654"/>
      <c r="F367" s="650"/>
      <c r="G367" s="654"/>
      <c r="H367" s="654"/>
      <c r="I367" s="650"/>
      <c r="J367" s="650"/>
      <c r="K367" s="655"/>
      <c r="L367" s="655"/>
      <c r="M367" s="655"/>
      <c r="N367" s="655"/>
      <c r="O367" s="655"/>
      <c r="P367" s="655"/>
      <c r="Q367" s="655"/>
      <c r="R367" s="655"/>
      <c r="S367" s="655"/>
      <c r="T367" s="655"/>
      <c r="U367" s="655"/>
      <c r="V367" s="655"/>
      <c r="W367" s="655"/>
      <c r="X367" s="655"/>
      <c r="Y367" s="655"/>
      <c r="Z367" s="655"/>
    </row>
    <row r="368">
      <c r="B368" s="462"/>
      <c r="C368" s="671"/>
      <c r="D368" s="462"/>
      <c r="E368" s="654"/>
      <c r="F368" s="650"/>
      <c r="G368" s="654"/>
      <c r="H368" s="654"/>
      <c r="I368" s="650"/>
      <c r="J368" s="650"/>
      <c r="K368" s="655"/>
      <c r="L368" s="655"/>
      <c r="M368" s="655"/>
      <c r="N368" s="655"/>
      <c r="O368" s="655"/>
      <c r="P368" s="655"/>
      <c r="Q368" s="655"/>
      <c r="R368" s="655"/>
      <c r="S368" s="655"/>
      <c r="T368" s="655"/>
      <c r="U368" s="655"/>
      <c r="V368" s="655"/>
      <c r="W368" s="655"/>
      <c r="X368" s="655"/>
      <c r="Y368" s="655"/>
      <c r="Z368" s="655"/>
    </row>
    <row r="369">
      <c r="B369" s="462"/>
      <c r="C369" s="671"/>
      <c r="D369" s="462"/>
      <c r="E369" s="654"/>
      <c r="F369" s="650"/>
      <c r="G369" s="654"/>
      <c r="H369" s="654"/>
      <c r="I369" s="650"/>
      <c r="J369" s="650"/>
      <c r="K369" s="655"/>
      <c r="L369" s="655"/>
      <c r="M369" s="655"/>
      <c r="N369" s="655"/>
      <c r="O369" s="655"/>
      <c r="P369" s="655"/>
      <c r="Q369" s="655"/>
      <c r="R369" s="655"/>
      <c r="S369" s="655"/>
      <c r="T369" s="655"/>
      <c r="U369" s="655"/>
      <c r="V369" s="655"/>
      <c r="W369" s="655"/>
      <c r="X369" s="655"/>
      <c r="Y369" s="655"/>
      <c r="Z369" s="655"/>
    </row>
    <row r="370">
      <c r="B370" s="462"/>
      <c r="C370" s="671"/>
      <c r="D370" s="462"/>
      <c r="E370" s="654"/>
      <c r="F370" s="650"/>
      <c r="G370" s="654"/>
      <c r="H370" s="654"/>
      <c r="I370" s="650"/>
      <c r="J370" s="650"/>
      <c r="K370" s="655"/>
      <c r="L370" s="655"/>
      <c r="M370" s="655"/>
      <c r="N370" s="655"/>
      <c r="O370" s="655"/>
      <c r="P370" s="655"/>
      <c r="Q370" s="655"/>
      <c r="R370" s="655"/>
      <c r="S370" s="655"/>
      <c r="T370" s="655"/>
      <c r="U370" s="655"/>
      <c r="V370" s="655"/>
      <c r="W370" s="655"/>
      <c r="X370" s="655"/>
      <c r="Y370" s="655"/>
      <c r="Z370" s="655"/>
    </row>
    <row r="371">
      <c r="B371" s="462"/>
      <c r="C371" s="671"/>
      <c r="D371" s="462"/>
      <c r="E371" s="654"/>
      <c r="F371" s="650"/>
      <c r="G371" s="654"/>
      <c r="H371" s="654"/>
      <c r="I371" s="650"/>
      <c r="J371" s="650"/>
      <c r="K371" s="655"/>
      <c r="L371" s="655"/>
      <c r="M371" s="655"/>
      <c r="N371" s="655"/>
      <c r="O371" s="655"/>
      <c r="P371" s="655"/>
      <c r="Q371" s="655"/>
      <c r="R371" s="655"/>
      <c r="S371" s="655"/>
      <c r="T371" s="655"/>
      <c r="U371" s="655"/>
      <c r="V371" s="655"/>
      <c r="W371" s="655"/>
      <c r="X371" s="655"/>
      <c r="Y371" s="655"/>
      <c r="Z371" s="655"/>
    </row>
    <row r="372">
      <c r="B372" s="462"/>
      <c r="C372" s="671"/>
      <c r="D372" s="462"/>
      <c r="E372" s="654"/>
      <c r="F372" s="650"/>
      <c r="G372" s="654"/>
      <c r="H372" s="654"/>
      <c r="I372" s="650"/>
      <c r="J372" s="650"/>
      <c r="K372" s="655"/>
      <c r="L372" s="655"/>
      <c r="M372" s="655"/>
      <c r="N372" s="655"/>
      <c r="O372" s="655"/>
      <c r="P372" s="655"/>
      <c r="Q372" s="655"/>
      <c r="R372" s="655"/>
      <c r="S372" s="655"/>
      <c r="T372" s="655"/>
      <c r="U372" s="655"/>
      <c r="V372" s="655"/>
      <c r="W372" s="655"/>
      <c r="X372" s="655"/>
      <c r="Y372" s="655"/>
      <c r="Z372" s="655"/>
    </row>
    <row r="373">
      <c r="B373" s="462"/>
      <c r="C373" s="671"/>
      <c r="D373" s="462"/>
      <c r="E373" s="654"/>
      <c r="F373" s="650"/>
      <c r="G373" s="654"/>
      <c r="H373" s="654"/>
      <c r="I373" s="650"/>
      <c r="J373" s="650"/>
      <c r="K373" s="655"/>
      <c r="L373" s="655"/>
      <c r="M373" s="655"/>
      <c r="N373" s="655"/>
      <c r="O373" s="655"/>
      <c r="P373" s="655"/>
      <c r="Q373" s="655"/>
      <c r="R373" s="655"/>
      <c r="S373" s="655"/>
      <c r="T373" s="655"/>
      <c r="U373" s="655"/>
      <c r="V373" s="655"/>
      <c r="W373" s="655"/>
      <c r="X373" s="655"/>
      <c r="Y373" s="655"/>
      <c r="Z373" s="655"/>
    </row>
    <row r="374">
      <c r="B374" s="462"/>
      <c r="C374" s="671"/>
      <c r="D374" s="462"/>
      <c r="E374" s="654"/>
      <c r="F374" s="650"/>
      <c r="G374" s="654"/>
      <c r="H374" s="654"/>
      <c r="I374" s="650"/>
      <c r="J374" s="650"/>
      <c r="K374" s="655"/>
      <c r="L374" s="655"/>
      <c r="M374" s="655"/>
      <c r="N374" s="655"/>
      <c r="O374" s="655"/>
      <c r="P374" s="655"/>
      <c r="Q374" s="655"/>
      <c r="R374" s="655"/>
      <c r="S374" s="655"/>
      <c r="T374" s="655"/>
      <c r="U374" s="655"/>
      <c r="V374" s="655"/>
      <c r="W374" s="655"/>
      <c r="X374" s="655"/>
      <c r="Y374" s="655"/>
      <c r="Z374" s="655"/>
    </row>
    <row r="375">
      <c r="B375" s="462"/>
      <c r="C375" s="671"/>
      <c r="D375" s="462"/>
      <c r="E375" s="654"/>
      <c r="F375" s="650"/>
      <c r="G375" s="654"/>
      <c r="H375" s="654"/>
      <c r="I375" s="650"/>
      <c r="J375" s="650"/>
      <c r="K375" s="655"/>
      <c r="L375" s="655"/>
      <c r="M375" s="655"/>
      <c r="N375" s="655"/>
      <c r="O375" s="655"/>
      <c r="P375" s="655"/>
      <c r="Q375" s="655"/>
      <c r="R375" s="655"/>
      <c r="S375" s="655"/>
      <c r="T375" s="655"/>
      <c r="U375" s="655"/>
      <c r="V375" s="655"/>
      <c r="W375" s="655"/>
      <c r="X375" s="655"/>
      <c r="Y375" s="655"/>
      <c r="Z375" s="655"/>
    </row>
    <row r="376">
      <c r="B376" s="462"/>
      <c r="C376" s="671"/>
      <c r="D376" s="462"/>
      <c r="E376" s="654"/>
      <c r="F376" s="650"/>
      <c r="G376" s="654"/>
      <c r="H376" s="654"/>
      <c r="I376" s="650"/>
      <c r="J376" s="650"/>
      <c r="K376" s="655"/>
      <c r="L376" s="655"/>
      <c r="M376" s="655"/>
      <c r="N376" s="655"/>
      <c r="O376" s="655"/>
      <c r="P376" s="655"/>
      <c r="Q376" s="655"/>
      <c r="R376" s="655"/>
      <c r="S376" s="655"/>
      <c r="T376" s="655"/>
      <c r="U376" s="655"/>
      <c r="V376" s="655"/>
      <c r="W376" s="655"/>
      <c r="X376" s="655"/>
      <c r="Y376" s="655"/>
      <c r="Z376" s="655"/>
    </row>
    <row r="377">
      <c r="B377" s="462"/>
      <c r="C377" s="671"/>
      <c r="D377" s="462"/>
      <c r="E377" s="654"/>
      <c r="F377" s="650"/>
      <c r="G377" s="654"/>
      <c r="H377" s="654"/>
      <c r="I377" s="650"/>
      <c r="J377" s="650"/>
      <c r="K377" s="655"/>
      <c r="L377" s="655"/>
      <c r="M377" s="655"/>
      <c r="N377" s="655"/>
      <c r="O377" s="655"/>
      <c r="P377" s="655"/>
      <c r="Q377" s="655"/>
      <c r="R377" s="655"/>
      <c r="S377" s="655"/>
      <c r="T377" s="655"/>
      <c r="U377" s="655"/>
      <c r="V377" s="655"/>
      <c r="W377" s="655"/>
      <c r="X377" s="655"/>
      <c r="Y377" s="655"/>
      <c r="Z377" s="655"/>
    </row>
    <row r="378">
      <c r="B378" s="462"/>
      <c r="C378" s="671"/>
      <c r="D378" s="462"/>
      <c r="E378" s="654"/>
      <c r="F378" s="650"/>
      <c r="G378" s="654"/>
      <c r="H378" s="654"/>
      <c r="I378" s="650"/>
      <c r="J378" s="650"/>
      <c r="K378" s="655"/>
      <c r="L378" s="655"/>
      <c r="M378" s="655"/>
      <c r="N378" s="655"/>
      <c r="O378" s="655"/>
      <c r="P378" s="655"/>
      <c r="Q378" s="655"/>
      <c r="R378" s="655"/>
      <c r="S378" s="655"/>
      <c r="T378" s="655"/>
      <c r="U378" s="655"/>
      <c r="V378" s="655"/>
      <c r="W378" s="655"/>
      <c r="X378" s="655"/>
      <c r="Y378" s="655"/>
      <c r="Z378" s="655"/>
    </row>
    <row r="379">
      <c r="B379" s="462"/>
      <c r="C379" s="671"/>
      <c r="D379" s="462"/>
      <c r="E379" s="654"/>
      <c r="F379" s="650"/>
      <c r="G379" s="654"/>
      <c r="H379" s="654"/>
      <c r="I379" s="650"/>
      <c r="J379" s="650"/>
      <c r="K379" s="655"/>
      <c r="L379" s="655"/>
      <c r="M379" s="655"/>
      <c r="N379" s="655"/>
      <c r="O379" s="655"/>
      <c r="P379" s="655"/>
      <c r="Q379" s="655"/>
      <c r="R379" s="655"/>
      <c r="S379" s="655"/>
      <c r="T379" s="655"/>
      <c r="U379" s="655"/>
      <c r="V379" s="655"/>
      <c r="W379" s="655"/>
      <c r="X379" s="655"/>
      <c r="Y379" s="655"/>
      <c r="Z379" s="655"/>
    </row>
    <row r="380">
      <c r="B380" s="462"/>
      <c r="C380" s="671"/>
      <c r="D380" s="462"/>
      <c r="E380" s="654"/>
      <c r="F380" s="650"/>
      <c r="G380" s="654"/>
      <c r="H380" s="654"/>
      <c r="I380" s="650"/>
      <c r="J380" s="650"/>
      <c r="K380" s="655"/>
      <c r="L380" s="655"/>
      <c r="M380" s="655"/>
      <c r="N380" s="655"/>
      <c r="O380" s="655"/>
      <c r="P380" s="655"/>
      <c r="Q380" s="655"/>
      <c r="R380" s="655"/>
      <c r="S380" s="655"/>
      <c r="T380" s="655"/>
      <c r="U380" s="655"/>
      <c r="V380" s="655"/>
      <c r="W380" s="655"/>
      <c r="X380" s="655"/>
      <c r="Y380" s="655"/>
      <c r="Z380" s="655"/>
    </row>
    <row r="381">
      <c r="B381" s="462"/>
      <c r="C381" s="671"/>
      <c r="D381" s="462"/>
      <c r="E381" s="654"/>
      <c r="F381" s="650"/>
      <c r="G381" s="654"/>
      <c r="H381" s="654"/>
      <c r="I381" s="650"/>
      <c r="J381" s="650"/>
      <c r="K381" s="655"/>
      <c r="L381" s="655"/>
      <c r="M381" s="655"/>
      <c r="N381" s="655"/>
      <c r="O381" s="655"/>
      <c r="P381" s="655"/>
      <c r="Q381" s="655"/>
      <c r="R381" s="655"/>
      <c r="S381" s="655"/>
      <c r="T381" s="655"/>
      <c r="U381" s="655"/>
      <c r="V381" s="655"/>
      <c r="W381" s="655"/>
      <c r="X381" s="655"/>
      <c r="Y381" s="655"/>
      <c r="Z381" s="655"/>
    </row>
    <row r="382">
      <c r="B382" s="462"/>
      <c r="C382" s="671"/>
      <c r="D382" s="462"/>
      <c r="E382" s="654"/>
      <c r="F382" s="650"/>
      <c r="G382" s="654"/>
      <c r="H382" s="654"/>
      <c r="I382" s="650"/>
      <c r="J382" s="650"/>
      <c r="K382" s="655"/>
      <c r="L382" s="655"/>
      <c r="M382" s="655"/>
      <c r="N382" s="655"/>
      <c r="O382" s="655"/>
      <c r="P382" s="655"/>
      <c r="Q382" s="655"/>
      <c r="R382" s="655"/>
      <c r="S382" s="655"/>
      <c r="T382" s="655"/>
      <c r="U382" s="655"/>
      <c r="V382" s="655"/>
      <c r="W382" s="655"/>
      <c r="X382" s="655"/>
      <c r="Y382" s="655"/>
      <c r="Z382" s="655"/>
    </row>
    <row r="383">
      <c r="B383" s="462"/>
      <c r="C383" s="671"/>
      <c r="D383" s="462"/>
      <c r="E383" s="654"/>
      <c r="F383" s="650"/>
      <c r="G383" s="654"/>
      <c r="H383" s="654"/>
      <c r="I383" s="650"/>
      <c r="J383" s="650"/>
      <c r="K383" s="655"/>
      <c r="L383" s="655"/>
      <c r="M383" s="655"/>
      <c r="N383" s="655"/>
      <c r="O383" s="655"/>
      <c r="P383" s="655"/>
      <c r="Q383" s="655"/>
      <c r="R383" s="655"/>
      <c r="S383" s="655"/>
      <c r="T383" s="655"/>
      <c r="U383" s="655"/>
      <c r="V383" s="655"/>
      <c r="W383" s="655"/>
      <c r="X383" s="655"/>
      <c r="Y383" s="655"/>
      <c r="Z383" s="655"/>
    </row>
    <row r="384">
      <c r="B384" s="462"/>
      <c r="C384" s="671"/>
      <c r="D384" s="462"/>
      <c r="E384" s="654"/>
      <c r="F384" s="650"/>
      <c r="G384" s="654"/>
      <c r="H384" s="654"/>
      <c r="I384" s="650"/>
      <c r="J384" s="650"/>
      <c r="K384" s="655"/>
      <c r="L384" s="655"/>
      <c r="M384" s="655"/>
      <c r="N384" s="655"/>
      <c r="O384" s="655"/>
      <c r="P384" s="655"/>
      <c r="Q384" s="655"/>
      <c r="R384" s="655"/>
      <c r="S384" s="655"/>
      <c r="T384" s="655"/>
      <c r="U384" s="655"/>
      <c r="V384" s="655"/>
      <c r="W384" s="655"/>
      <c r="X384" s="655"/>
      <c r="Y384" s="655"/>
      <c r="Z384" s="655"/>
    </row>
    <row r="385">
      <c r="B385" s="462"/>
      <c r="C385" s="671"/>
      <c r="D385" s="462"/>
      <c r="E385" s="654"/>
      <c r="F385" s="650"/>
      <c r="G385" s="654"/>
      <c r="H385" s="654"/>
      <c r="I385" s="650"/>
      <c r="J385" s="650"/>
      <c r="K385" s="655"/>
      <c r="L385" s="655"/>
      <c r="M385" s="655"/>
      <c r="N385" s="655"/>
      <c r="O385" s="655"/>
      <c r="P385" s="655"/>
      <c r="Q385" s="655"/>
      <c r="R385" s="655"/>
      <c r="S385" s="655"/>
      <c r="T385" s="655"/>
      <c r="U385" s="655"/>
      <c r="V385" s="655"/>
      <c r="W385" s="655"/>
      <c r="X385" s="655"/>
      <c r="Y385" s="655"/>
      <c r="Z385" s="655"/>
    </row>
    <row r="386">
      <c r="B386" s="462"/>
      <c r="C386" s="671"/>
      <c r="D386" s="462"/>
      <c r="E386" s="654"/>
      <c r="F386" s="650"/>
      <c r="G386" s="654"/>
      <c r="H386" s="654"/>
      <c r="I386" s="650"/>
      <c r="J386" s="650"/>
      <c r="K386" s="655"/>
      <c r="L386" s="655"/>
      <c r="M386" s="655"/>
      <c r="N386" s="655"/>
      <c r="O386" s="655"/>
      <c r="P386" s="655"/>
      <c r="Q386" s="655"/>
      <c r="R386" s="655"/>
      <c r="S386" s="655"/>
      <c r="T386" s="655"/>
      <c r="U386" s="655"/>
      <c r="V386" s="655"/>
      <c r="W386" s="655"/>
      <c r="X386" s="655"/>
      <c r="Y386" s="655"/>
      <c r="Z386" s="655"/>
    </row>
    <row r="387">
      <c r="B387" s="462"/>
      <c r="C387" s="671"/>
      <c r="D387" s="462"/>
      <c r="E387" s="654"/>
      <c r="F387" s="650"/>
      <c r="G387" s="654"/>
      <c r="H387" s="654"/>
      <c r="I387" s="650"/>
      <c r="J387" s="650"/>
      <c r="K387" s="655"/>
      <c r="L387" s="655"/>
      <c r="M387" s="655"/>
      <c r="N387" s="655"/>
      <c r="O387" s="655"/>
      <c r="P387" s="655"/>
      <c r="Q387" s="655"/>
      <c r="R387" s="655"/>
      <c r="S387" s="655"/>
      <c r="T387" s="655"/>
      <c r="U387" s="655"/>
      <c r="V387" s="655"/>
      <c r="W387" s="655"/>
      <c r="X387" s="655"/>
      <c r="Y387" s="655"/>
      <c r="Z387" s="655"/>
    </row>
    <row r="388">
      <c r="B388" s="462"/>
      <c r="C388" s="671"/>
      <c r="D388" s="462"/>
      <c r="E388" s="654"/>
      <c r="F388" s="650"/>
      <c r="G388" s="654"/>
      <c r="H388" s="654"/>
      <c r="I388" s="650"/>
      <c r="J388" s="650"/>
      <c r="K388" s="655"/>
      <c r="L388" s="655"/>
      <c r="M388" s="655"/>
      <c r="N388" s="655"/>
      <c r="O388" s="655"/>
      <c r="P388" s="655"/>
      <c r="Q388" s="655"/>
      <c r="R388" s="655"/>
      <c r="S388" s="655"/>
      <c r="T388" s="655"/>
      <c r="U388" s="655"/>
      <c r="V388" s="655"/>
      <c r="W388" s="655"/>
      <c r="X388" s="655"/>
      <c r="Y388" s="655"/>
      <c r="Z388" s="655"/>
    </row>
    <row r="389">
      <c r="B389" s="462"/>
      <c r="C389" s="671"/>
      <c r="D389" s="462"/>
      <c r="E389" s="654"/>
      <c r="F389" s="650"/>
      <c r="G389" s="654"/>
      <c r="H389" s="654"/>
      <c r="I389" s="650"/>
      <c r="J389" s="650"/>
      <c r="K389" s="655"/>
      <c r="L389" s="655"/>
      <c r="M389" s="655"/>
      <c r="N389" s="655"/>
      <c r="O389" s="655"/>
      <c r="P389" s="655"/>
      <c r="Q389" s="655"/>
      <c r="R389" s="655"/>
      <c r="S389" s="655"/>
      <c r="T389" s="655"/>
      <c r="U389" s="655"/>
      <c r="V389" s="655"/>
      <c r="W389" s="655"/>
      <c r="X389" s="655"/>
      <c r="Y389" s="655"/>
      <c r="Z389" s="655"/>
    </row>
    <row r="390">
      <c r="B390" s="462"/>
      <c r="C390" s="671"/>
      <c r="D390" s="462"/>
      <c r="E390" s="654"/>
      <c r="F390" s="650"/>
      <c r="G390" s="654"/>
      <c r="H390" s="654"/>
      <c r="I390" s="650"/>
      <c r="J390" s="650"/>
      <c r="K390" s="655"/>
      <c r="L390" s="655"/>
      <c r="M390" s="655"/>
      <c r="N390" s="655"/>
      <c r="O390" s="655"/>
      <c r="P390" s="655"/>
      <c r="Q390" s="655"/>
      <c r="R390" s="655"/>
      <c r="S390" s="655"/>
      <c r="T390" s="655"/>
      <c r="U390" s="655"/>
      <c r="V390" s="655"/>
      <c r="W390" s="655"/>
      <c r="X390" s="655"/>
      <c r="Y390" s="655"/>
      <c r="Z390" s="655"/>
    </row>
    <row r="391">
      <c r="B391" s="462"/>
      <c r="C391" s="671"/>
      <c r="D391" s="462"/>
      <c r="E391" s="654"/>
      <c r="F391" s="650"/>
      <c r="G391" s="654"/>
      <c r="H391" s="654"/>
      <c r="I391" s="650"/>
      <c r="J391" s="650"/>
      <c r="K391" s="655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</row>
    <row r="392">
      <c r="B392" s="462"/>
      <c r="C392" s="671"/>
      <c r="D392" s="462"/>
      <c r="E392" s="654"/>
      <c r="F392" s="650"/>
      <c r="G392" s="654"/>
      <c r="H392" s="654"/>
      <c r="I392" s="650"/>
      <c r="J392" s="650"/>
      <c r="K392" s="655"/>
      <c r="L392" s="655"/>
      <c r="M392" s="655"/>
      <c r="N392" s="655"/>
      <c r="O392" s="655"/>
      <c r="P392" s="655"/>
      <c r="Q392" s="655"/>
      <c r="R392" s="655"/>
      <c r="S392" s="655"/>
      <c r="T392" s="655"/>
      <c r="U392" s="655"/>
      <c r="V392" s="655"/>
      <c r="W392" s="655"/>
      <c r="X392" s="655"/>
      <c r="Y392" s="655"/>
      <c r="Z392" s="655"/>
    </row>
    <row r="393">
      <c r="B393" s="462"/>
      <c r="C393" s="671"/>
      <c r="D393" s="462"/>
      <c r="E393" s="654"/>
      <c r="F393" s="650"/>
      <c r="G393" s="654"/>
      <c r="H393" s="654"/>
      <c r="I393" s="650"/>
      <c r="J393" s="650"/>
      <c r="K393" s="655"/>
      <c r="L393" s="655"/>
      <c r="M393" s="655"/>
      <c r="N393" s="655"/>
      <c r="O393" s="655"/>
      <c r="P393" s="655"/>
      <c r="Q393" s="655"/>
      <c r="R393" s="655"/>
      <c r="S393" s="655"/>
      <c r="T393" s="655"/>
      <c r="U393" s="655"/>
      <c r="V393" s="655"/>
      <c r="W393" s="655"/>
      <c r="X393" s="655"/>
      <c r="Y393" s="655"/>
      <c r="Z393" s="655"/>
    </row>
    <row r="394">
      <c r="B394" s="462"/>
      <c r="C394" s="671"/>
      <c r="D394" s="462"/>
      <c r="E394" s="654"/>
      <c r="F394" s="650"/>
      <c r="G394" s="654"/>
      <c r="H394" s="654"/>
      <c r="I394" s="650"/>
      <c r="J394" s="650"/>
      <c r="K394" s="655"/>
      <c r="L394" s="655"/>
      <c r="M394" s="655"/>
      <c r="N394" s="655"/>
      <c r="O394" s="655"/>
      <c r="P394" s="655"/>
      <c r="Q394" s="655"/>
      <c r="R394" s="655"/>
      <c r="S394" s="655"/>
      <c r="T394" s="655"/>
      <c r="U394" s="655"/>
      <c r="V394" s="655"/>
      <c r="W394" s="655"/>
      <c r="X394" s="655"/>
      <c r="Y394" s="655"/>
      <c r="Z394" s="655"/>
    </row>
    <row r="395">
      <c r="B395" s="462"/>
      <c r="C395" s="671"/>
      <c r="D395" s="462"/>
      <c r="E395" s="654"/>
      <c r="F395" s="650"/>
      <c r="G395" s="654"/>
      <c r="H395" s="654"/>
      <c r="I395" s="650"/>
      <c r="J395" s="650"/>
      <c r="K395" s="655"/>
      <c r="L395" s="655"/>
      <c r="M395" s="655"/>
      <c r="N395" s="655"/>
      <c r="O395" s="655"/>
      <c r="P395" s="655"/>
      <c r="Q395" s="655"/>
      <c r="R395" s="655"/>
      <c r="S395" s="655"/>
      <c r="T395" s="655"/>
      <c r="U395" s="655"/>
      <c r="V395" s="655"/>
      <c r="W395" s="655"/>
      <c r="X395" s="655"/>
      <c r="Y395" s="655"/>
      <c r="Z395" s="655"/>
    </row>
    <row r="396">
      <c r="B396" s="462"/>
      <c r="C396" s="671"/>
      <c r="D396" s="462"/>
      <c r="E396" s="654"/>
      <c r="F396" s="650"/>
      <c r="G396" s="654"/>
      <c r="H396" s="654"/>
      <c r="I396" s="650"/>
      <c r="J396" s="650"/>
      <c r="K396" s="655"/>
      <c r="L396" s="655"/>
      <c r="M396" s="655"/>
      <c r="N396" s="655"/>
      <c r="O396" s="655"/>
      <c r="P396" s="655"/>
      <c r="Q396" s="655"/>
      <c r="R396" s="655"/>
      <c r="S396" s="655"/>
      <c r="T396" s="655"/>
      <c r="U396" s="655"/>
      <c r="V396" s="655"/>
      <c r="W396" s="655"/>
      <c r="X396" s="655"/>
      <c r="Y396" s="655"/>
      <c r="Z396" s="655"/>
    </row>
    <row r="397">
      <c r="B397" s="462"/>
      <c r="C397" s="671"/>
      <c r="D397" s="462"/>
      <c r="E397" s="654"/>
      <c r="F397" s="650"/>
      <c r="G397" s="654"/>
      <c r="H397" s="654"/>
      <c r="I397" s="650"/>
      <c r="J397" s="650"/>
      <c r="K397" s="655"/>
      <c r="L397" s="655"/>
      <c r="M397" s="655"/>
      <c r="N397" s="655"/>
      <c r="O397" s="655"/>
      <c r="P397" s="655"/>
      <c r="Q397" s="655"/>
      <c r="R397" s="655"/>
      <c r="S397" s="655"/>
      <c r="T397" s="655"/>
      <c r="U397" s="655"/>
      <c r="V397" s="655"/>
      <c r="W397" s="655"/>
      <c r="X397" s="655"/>
      <c r="Y397" s="655"/>
      <c r="Z397" s="655"/>
    </row>
    <row r="398">
      <c r="B398" s="462"/>
      <c r="C398" s="671"/>
      <c r="D398" s="462"/>
      <c r="E398" s="654"/>
      <c r="F398" s="650"/>
      <c r="G398" s="654"/>
      <c r="H398" s="654"/>
      <c r="I398" s="650"/>
      <c r="J398" s="650"/>
      <c r="K398" s="655"/>
      <c r="L398" s="655"/>
      <c r="M398" s="655"/>
      <c r="N398" s="655"/>
      <c r="O398" s="655"/>
      <c r="P398" s="655"/>
      <c r="Q398" s="655"/>
      <c r="R398" s="655"/>
      <c r="S398" s="655"/>
      <c r="T398" s="655"/>
      <c r="U398" s="655"/>
      <c r="V398" s="655"/>
      <c r="W398" s="655"/>
      <c r="X398" s="655"/>
      <c r="Y398" s="655"/>
      <c r="Z398" s="655"/>
    </row>
    <row r="399">
      <c r="B399" s="462"/>
      <c r="C399" s="671"/>
      <c r="D399" s="462"/>
      <c r="E399" s="654"/>
      <c r="F399" s="650"/>
      <c r="G399" s="654"/>
      <c r="H399" s="654"/>
      <c r="I399" s="650"/>
      <c r="J399" s="650"/>
      <c r="K399" s="655"/>
      <c r="L399" s="655"/>
      <c r="M399" s="655"/>
      <c r="N399" s="655"/>
      <c r="O399" s="655"/>
      <c r="P399" s="655"/>
      <c r="Q399" s="655"/>
      <c r="R399" s="655"/>
      <c r="S399" s="655"/>
      <c r="T399" s="655"/>
      <c r="U399" s="655"/>
      <c r="V399" s="655"/>
      <c r="W399" s="655"/>
      <c r="X399" s="655"/>
      <c r="Y399" s="655"/>
      <c r="Z399" s="655"/>
    </row>
    <row r="400">
      <c r="B400" s="462"/>
      <c r="C400" s="671"/>
      <c r="D400" s="462"/>
      <c r="E400" s="654"/>
      <c r="F400" s="650"/>
      <c r="G400" s="654"/>
      <c r="H400" s="654"/>
      <c r="I400" s="650"/>
      <c r="J400" s="650"/>
      <c r="K400" s="655"/>
      <c r="L400" s="655"/>
      <c r="M400" s="655"/>
      <c r="N400" s="655"/>
      <c r="O400" s="655"/>
      <c r="P400" s="655"/>
      <c r="Q400" s="655"/>
      <c r="R400" s="655"/>
      <c r="S400" s="655"/>
      <c r="T400" s="655"/>
      <c r="U400" s="655"/>
      <c r="V400" s="655"/>
      <c r="W400" s="655"/>
      <c r="X400" s="655"/>
      <c r="Y400" s="655"/>
      <c r="Z400" s="655"/>
    </row>
    <row r="401">
      <c r="B401" s="462"/>
      <c r="C401" s="671"/>
      <c r="D401" s="462"/>
      <c r="E401" s="654"/>
      <c r="F401" s="650"/>
      <c r="G401" s="654"/>
      <c r="H401" s="654"/>
      <c r="I401" s="650"/>
      <c r="J401" s="650"/>
      <c r="K401" s="655"/>
      <c r="L401" s="655"/>
      <c r="M401" s="655"/>
      <c r="N401" s="655"/>
      <c r="O401" s="655"/>
      <c r="P401" s="655"/>
      <c r="Q401" s="655"/>
      <c r="R401" s="655"/>
      <c r="S401" s="655"/>
      <c r="T401" s="655"/>
      <c r="U401" s="655"/>
      <c r="V401" s="655"/>
      <c r="W401" s="655"/>
      <c r="X401" s="655"/>
      <c r="Y401" s="655"/>
      <c r="Z401" s="655"/>
    </row>
    <row r="402">
      <c r="B402" s="462"/>
      <c r="C402" s="671"/>
      <c r="D402" s="462"/>
      <c r="E402" s="654"/>
      <c r="F402" s="650"/>
      <c r="G402" s="654"/>
      <c r="H402" s="654"/>
      <c r="I402" s="650"/>
      <c r="J402" s="650"/>
      <c r="K402" s="655"/>
      <c r="L402" s="655"/>
      <c r="M402" s="655"/>
      <c r="N402" s="655"/>
      <c r="O402" s="655"/>
      <c r="P402" s="655"/>
      <c r="Q402" s="655"/>
      <c r="R402" s="655"/>
      <c r="S402" s="655"/>
      <c r="T402" s="655"/>
      <c r="U402" s="655"/>
      <c r="V402" s="655"/>
      <c r="W402" s="655"/>
      <c r="X402" s="655"/>
      <c r="Y402" s="655"/>
      <c r="Z402" s="655"/>
    </row>
    <row r="403">
      <c r="B403" s="462"/>
      <c r="C403" s="671"/>
      <c r="D403" s="462"/>
      <c r="E403" s="654"/>
      <c r="F403" s="650"/>
      <c r="G403" s="654"/>
      <c r="H403" s="654"/>
      <c r="I403" s="650"/>
      <c r="J403" s="650"/>
      <c r="K403" s="655"/>
      <c r="L403" s="655"/>
      <c r="M403" s="655"/>
      <c r="N403" s="655"/>
      <c r="O403" s="655"/>
      <c r="P403" s="655"/>
      <c r="Q403" s="655"/>
      <c r="R403" s="655"/>
      <c r="S403" s="655"/>
      <c r="T403" s="655"/>
      <c r="U403" s="655"/>
      <c r="V403" s="655"/>
      <c r="W403" s="655"/>
      <c r="X403" s="655"/>
      <c r="Y403" s="655"/>
      <c r="Z403" s="655"/>
    </row>
    <row r="404">
      <c r="B404" s="462"/>
      <c r="C404" s="671"/>
      <c r="D404" s="462"/>
      <c r="E404" s="654"/>
      <c r="F404" s="650"/>
      <c r="G404" s="654"/>
      <c r="H404" s="654"/>
      <c r="I404" s="650"/>
      <c r="J404" s="650"/>
      <c r="K404" s="655"/>
      <c r="L404" s="655"/>
      <c r="M404" s="655"/>
      <c r="N404" s="655"/>
      <c r="O404" s="655"/>
      <c r="P404" s="655"/>
      <c r="Q404" s="655"/>
      <c r="R404" s="655"/>
      <c r="S404" s="655"/>
      <c r="T404" s="655"/>
      <c r="U404" s="655"/>
      <c r="V404" s="655"/>
      <c r="W404" s="655"/>
      <c r="X404" s="655"/>
      <c r="Y404" s="655"/>
      <c r="Z404" s="655"/>
    </row>
    <row r="405">
      <c r="B405" s="462"/>
      <c r="C405" s="671"/>
      <c r="D405" s="462"/>
      <c r="E405" s="654"/>
      <c r="F405" s="650"/>
      <c r="G405" s="654"/>
      <c r="H405" s="654"/>
      <c r="I405" s="650"/>
      <c r="J405" s="650"/>
      <c r="K405" s="655"/>
      <c r="L405" s="655"/>
      <c r="M405" s="655"/>
      <c r="N405" s="655"/>
      <c r="O405" s="655"/>
      <c r="P405" s="655"/>
      <c r="Q405" s="655"/>
      <c r="R405" s="655"/>
      <c r="S405" s="655"/>
      <c r="T405" s="655"/>
      <c r="U405" s="655"/>
      <c r="V405" s="655"/>
      <c r="W405" s="655"/>
      <c r="X405" s="655"/>
      <c r="Y405" s="655"/>
      <c r="Z405" s="655"/>
    </row>
    <row r="406">
      <c r="B406" s="462"/>
      <c r="C406" s="671"/>
      <c r="D406" s="462"/>
      <c r="E406" s="654"/>
      <c r="F406" s="650"/>
      <c r="G406" s="654"/>
      <c r="H406" s="654"/>
      <c r="I406" s="650"/>
      <c r="J406" s="650"/>
      <c r="K406" s="655"/>
      <c r="L406" s="655"/>
      <c r="M406" s="655"/>
      <c r="N406" s="655"/>
      <c r="O406" s="655"/>
      <c r="P406" s="655"/>
      <c r="Q406" s="655"/>
      <c r="R406" s="655"/>
      <c r="S406" s="655"/>
      <c r="T406" s="655"/>
      <c r="U406" s="655"/>
      <c r="V406" s="655"/>
      <c r="W406" s="655"/>
      <c r="X406" s="655"/>
      <c r="Y406" s="655"/>
      <c r="Z406" s="655"/>
    </row>
    <row r="407">
      <c r="B407" s="462"/>
      <c r="C407" s="671"/>
      <c r="D407" s="462"/>
      <c r="E407" s="654"/>
      <c r="F407" s="650"/>
      <c r="G407" s="654"/>
      <c r="H407" s="654"/>
      <c r="I407" s="650"/>
      <c r="J407" s="650"/>
      <c r="K407" s="655"/>
      <c r="L407" s="655"/>
      <c r="M407" s="655"/>
      <c r="N407" s="655"/>
      <c r="O407" s="655"/>
      <c r="P407" s="655"/>
      <c r="Q407" s="655"/>
      <c r="R407" s="655"/>
      <c r="S407" s="655"/>
      <c r="T407" s="655"/>
      <c r="U407" s="655"/>
      <c r="V407" s="655"/>
      <c r="W407" s="655"/>
      <c r="X407" s="655"/>
      <c r="Y407" s="655"/>
      <c r="Z407" s="655"/>
    </row>
    <row r="408">
      <c r="B408" s="462"/>
      <c r="C408" s="671"/>
      <c r="D408" s="462"/>
      <c r="E408" s="654"/>
      <c r="F408" s="650"/>
      <c r="G408" s="654"/>
      <c r="H408" s="654"/>
      <c r="I408" s="650"/>
      <c r="J408" s="650"/>
      <c r="K408" s="655"/>
      <c r="L408" s="655"/>
      <c r="M408" s="655"/>
      <c r="N408" s="655"/>
      <c r="O408" s="655"/>
      <c r="P408" s="655"/>
      <c r="Q408" s="655"/>
      <c r="R408" s="655"/>
      <c r="S408" s="655"/>
      <c r="T408" s="655"/>
      <c r="U408" s="655"/>
      <c r="V408" s="655"/>
      <c r="W408" s="655"/>
      <c r="X408" s="655"/>
      <c r="Y408" s="655"/>
      <c r="Z408" s="655"/>
    </row>
    <row r="409">
      <c r="B409" s="462"/>
      <c r="C409" s="671"/>
      <c r="D409" s="462"/>
      <c r="E409" s="654"/>
      <c r="F409" s="650"/>
      <c r="G409" s="654"/>
      <c r="H409" s="654"/>
      <c r="I409" s="650"/>
      <c r="J409" s="650"/>
      <c r="K409" s="655"/>
      <c r="L409" s="655"/>
      <c r="M409" s="655"/>
      <c r="N409" s="655"/>
      <c r="O409" s="655"/>
      <c r="P409" s="655"/>
      <c r="Q409" s="655"/>
      <c r="R409" s="655"/>
      <c r="S409" s="655"/>
      <c r="T409" s="655"/>
      <c r="U409" s="655"/>
      <c r="V409" s="655"/>
      <c r="W409" s="655"/>
      <c r="X409" s="655"/>
      <c r="Y409" s="655"/>
      <c r="Z409" s="655"/>
    </row>
    <row r="410">
      <c r="B410" s="462"/>
      <c r="C410" s="671"/>
      <c r="D410" s="462"/>
      <c r="E410" s="654"/>
      <c r="F410" s="650"/>
      <c r="G410" s="654"/>
      <c r="H410" s="654"/>
      <c r="I410" s="650"/>
      <c r="J410" s="650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</row>
    <row r="411">
      <c r="B411" s="462"/>
      <c r="C411" s="671"/>
      <c r="D411" s="462"/>
      <c r="E411" s="654"/>
      <c r="F411" s="650"/>
      <c r="G411" s="654"/>
      <c r="H411" s="654"/>
      <c r="I411" s="650"/>
      <c r="J411" s="650"/>
      <c r="K411" s="655"/>
      <c r="L411" s="655"/>
      <c r="M411" s="655"/>
      <c r="N411" s="655"/>
      <c r="O411" s="655"/>
      <c r="P411" s="655"/>
      <c r="Q411" s="655"/>
      <c r="R411" s="655"/>
      <c r="S411" s="655"/>
      <c r="T411" s="655"/>
      <c r="U411" s="655"/>
      <c r="V411" s="655"/>
      <c r="W411" s="655"/>
      <c r="X411" s="655"/>
      <c r="Y411" s="655"/>
      <c r="Z411" s="655"/>
    </row>
    <row r="412">
      <c r="B412" s="462"/>
      <c r="C412" s="671"/>
      <c r="D412" s="462"/>
      <c r="E412" s="654"/>
      <c r="F412" s="650"/>
      <c r="G412" s="654"/>
      <c r="H412" s="654"/>
      <c r="I412" s="650"/>
      <c r="J412" s="650"/>
      <c r="K412" s="655"/>
      <c r="L412" s="655"/>
      <c r="M412" s="655"/>
      <c r="N412" s="655"/>
      <c r="O412" s="655"/>
      <c r="P412" s="655"/>
      <c r="Q412" s="655"/>
      <c r="R412" s="655"/>
      <c r="S412" s="655"/>
      <c r="T412" s="655"/>
      <c r="U412" s="655"/>
      <c r="V412" s="655"/>
      <c r="W412" s="655"/>
      <c r="X412" s="655"/>
      <c r="Y412" s="655"/>
      <c r="Z412" s="655"/>
    </row>
    <row r="413">
      <c r="B413" s="462"/>
      <c r="C413" s="671"/>
      <c r="D413" s="462"/>
      <c r="E413" s="654"/>
      <c r="F413" s="650"/>
      <c r="G413" s="654"/>
      <c r="H413" s="654"/>
      <c r="I413" s="650"/>
      <c r="J413" s="650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</row>
    <row r="414">
      <c r="B414" s="462"/>
      <c r="C414" s="671"/>
      <c r="D414" s="462"/>
      <c r="E414" s="654"/>
      <c r="F414" s="650"/>
      <c r="G414" s="654"/>
      <c r="H414" s="654"/>
      <c r="I414" s="650"/>
      <c r="J414" s="650"/>
      <c r="K414" s="655"/>
      <c r="L414" s="655"/>
      <c r="M414" s="655"/>
      <c r="N414" s="655"/>
      <c r="O414" s="655"/>
      <c r="P414" s="655"/>
      <c r="Q414" s="655"/>
      <c r="R414" s="655"/>
      <c r="S414" s="655"/>
      <c r="T414" s="655"/>
      <c r="U414" s="655"/>
      <c r="V414" s="655"/>
      <c r="W414" s="655"/>
      <c r="X414" s="655"/>
      <c r="Y414" s="655"/>
      <c r="Z414" s="655"/>
    </row>
    <row r="415">
      <c r="B415" s="462"/>
      <c r="C415" s="671"/>
      <c r="D415" s="462"/>
      <c r="E415" s="654"/>
      <c r="F415" s="650"/>
      <c r="G415" s="654"/>
      <c r="H415" s="654"/>
      <c r="I415" s="650"/>
      <c r="J415" s="650"/>
      <c r="K415" s="655"/>
      <c r="L415" s="655"/>
      <c r="M415" s="655"/>
      <c r="N415" s="655"/>
      <c r="O415" s="655"/>
      <c r="P415" s="655"/>
      <c r="Q415" s="655"/>
      <c r="R415" s="655"/>
      <c r="S415" s="655"/>
      <c r="T415" s="655"/>
      <c r="U415" s="655"/>
      <c r="V415" s="655"/>
      <c r="W415" s="655"/>
      <c r="X415" s="655"/>
      <c r="Y415" s="655"/>
      <c r="Z415" s="655"/>
    </row>
    <row r="416">
      <c r="B416" s="462"/>
      <c r="C416" s="671"/>
      <c r="D416" s="462"/>
      <c r="E416" s="654"/>
      <c r="F416" s="650"/>
      <c r="G416" s="654"/>
      <c r="H416" s="654"/>
      <c r="I416" s="650"/>
      <c r="J416" s="650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</row>
    <row r="417">
      <c r="B417" s="462"/>
      <c r="C417" s="671"/>
      <c r="D417" s="462"/>
      <c r="E417" s="654"/>
      <c r="F417" s="650"/>
      <c r="G417" s="654"/>
      <c r="H417" s="654"/>
      <c r="I417" s="650"/>
      <c r="J417" s="650"/>
      <c r="K417" s="655"/>
      <c r="L417" s="655"/>
      <c r="M417" s="655"/>
      <c r="N417" s="655"/>
      <c r="O417" s="655"/>
      <c r="P417" s="655"/>
      <c r="Q417" s="655"/>
      <c r="R417" s="655"/>
      <c r="S417" s="655"/>
      <c r="T417" s="655"/>
      <c r="U417" s="655"/>
      <c r="V417" s="655"/>
      <c r="W417" s="655"/>
      <c r="X417" s="655"/>
      <c r="Y417" s="655"/>
      <c r="Z417" s="655"/>
    </row>
    <row r="418">
      <c r="B418" s="462"/>
      <c r="C418" s="671"/>
      <c r="D418" s="462"/>
      <c r="E418" s="654"/>
      <c r="F418" s="650"/>
      <c r="G418" s="654"/>
      <c r="H418" s="654"/>
      <c r="I418" s="650"/>
      <c r="J418" s="650"/>
      <c r="K418" s="655"/>
      <c r="L418" s="655"/>
      <c r="M418" s="655"/>
      <c r="N418" s="655"/>
      <c r="O418" s="655"/>
      <c r="P418" s="655"/>
      <c r="Q418" s="655"/>
      <c r="R418" s="655"/>
      <c r="S418" s="655"/>
      <c r="T418" s="655"/>
      <c r="U418" s="655"/>
      <c r="V418" s="655"/>
      <c r="W418" s="655"/>
      <c r="X418" s="655"/>
      <c r="Y418" s="655"/>
      <c r="Z418" s="655"/>
    </row>
    <row r="419">
      <c r="B419" s="462"/>
      <c r="C419" s="671"/>
      <c r="D419" s="462"/>
      <c r="E419" s="654"/>
      <c r="F419" s="650"/>
      <c r="G419" s="654"/>
      <c r="H419" s="654"/>
      <c r="I419" s="650"/>
      <c r="J419" s="650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</row>
    <row r="420">
      <c r="B420" s="462"/>
      <c r="C420" s="671"/>
      <c r="D420" s="462"/>
      <c r="E420" s="654"/>
      <c r="F420" s="650"/>
      <c r="G420" s="654"/>
      <c r="H420" s="654"/>
      <c r="I420" s="650"/>
      <c r="J420" s="650"/>
      <c r="K420" s="655"/>
      <c r="L420" s="655"/>
      <c r="M420" s="655"/>
      <c r="N420" s="655"/>
      <c r="O420" s="655"/>
      <c r="P420" s="655"/>
      <c r="Q420" s="655"/>
      <c r="R420" s="655"/>
      <c r="S420" s="655"/>
      <c r="T420" s="655"/>
      <c r="U420" s="655"/>
      <c r="V420" s="655"/>
      <c r="W420" s="655"/>
      <c r="X420" s="655"/>
      <c r="Y420" s="655"/>
      <c r="Z420" s="655"/>
    </row>
    <row r="421">
      <c r="B421" s="462"/>
      <c r="C421" s="671"/>
      <c r="D421" s="462"/>
      <c r="E421" s="654"/>
      <c r="F421" s="650"/>
      <c r="G421" s="654"/>
      <c r="H421" s="654"/>
      <c r="I421" s="650"/>
      <c r="J421" s="650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</row>
    <row r="422">
      <c r="B422" s="462"/>
      <c r="C422" s="671"/>
      <c r="D422" s="462"/>
      <c r="E422" s="654"/>
      <c r="F422" s="650"/>
      <c r="G422" s="654"/>
      <c r="H422" s="654"/>
      <c r="I422" s="650"/>
      <c r="J422" s="650"/>
      <c r="K422" s="655"/>
      <c r="L422" s="655"/>
      <c r="M422" s="655"/>
      <c r="N422" s="655"/>
      <c r="O422" s="655"/>
      <c r="P422" s="655"/>
      <c r="Q422" s="655"/>
      <c r="R422" s="655"/>
      <c r="S422" s="655"/>
      <c r="T422" s="655"/>
      <c r="U422" s="655"/>
      <c r="V422" s="655"/>
      <c r="W422" s="655"/>
      <c r="X422" s="655"/>
      <c r="Y422" s="655"/>
      <c r="Z422" s="655"/>
    </row>
    <row r="423">
      <c r="B423" s="462"/>
      <c r="C423" s="671"/>
      <c r="D423" s="462"/>
      <c r="E423" s="654"/>
      <c r="F423" s="650"/>
      <c r="G423" s="654"/>
      <c r="H423" s="654"/>
      <c r="I423" s="650"/>
      <c r="J423" s="650"/>
      <c r="K423" s="655"/>
      <c r="L423" s="655"/>
      <c r="M423" s="655"/>
      <c r="N423" s="655"/>
      <c r="O423" s="655"/>
      <c r="P423" s="655"/>
      <c r="Q423" s="655"/>
      <c r="R423" s="655"/>
      <c r="S423" s="655"/>
      <c r="T423" s="655"/>
      <c r="U423" s="655"/>
      <c r="V423" s="655"/>
      <c r="W423" s="655"/>
      <c r="X423" s="655"/>
      <c r="Y423" s="655"/>
      <c r="Z423" s="655"/>
    </row>
    <row r="424">
      <c r="B424" s="462"/>
      <c r="C424" s="671"/>
      <c r="D424" s="462"/>
      <c r="E424" s="654"/>
      <c r="F424" s="650"/>
      <c r="G424" s="654"/>
      <c r="H424" s="654"/>
      <c r="I424" s="650"/>
      <c r="J424" s="650"/>
      <c r="K424" s="655"/>
      <c r="L424" s="655"/>
      <c r="M424" s="655"/>
      <c r="N424" s="655"/>
      <c r="O424" s="655"/>
      <c r="P424" s="655"/>
      <c r="Q424" s="655"/>
      <c r="R424" s="655"/>
      <c r="S424" s="655"/>
      <c r="T424" s="655"/>
      <c r="U424" s="655"/>
      <c r="V424" s="655"/>
      <c r="W424" s="655"/>
      <c r="X424" s="655"/>
      <c r="Y424" s="655"/>
      <c r="Z424" s="655"/>
    </row>
    <row r="425">
      <c r="B425" s="462"/>
      <c r="C425" s="671"/>
      <c r="D425" s="462"/>
      <c r="E425" s="654"/>
      <c r="F425" s="650"/>
      <c r="G425" s="654"/>
      <c r="H425" s="654"/>
      <c r="I425" s="650"/>
      <c r="J425" s="650"/>
      <c r="K425" s="655"/>
      <c r="L425" s="655"/>
      <c r="M425" s="655"/>
      <c r="N425" s="655"/>
      <c r="O425" s="655"/>
      <c r="P425" s="655"/>
      <c r="Q425" s="655"/>
      <c r="R425" s="655"/>
      <c r="S425" s="655"/>
      <c r="T425" s="655"/>
      <c r="U425" s="655"/>
      <c r="V425" s="655"/>
      <c r="W425" s="655"/>
      <c r="X425" s="655"/>
      <c r="Y425" s="655"/>
      <c r="Z425" s="655"/>
    </row>
    <row r="426">
      <c r="B426" s="462"/>
      <c r="C426" s="671"/>
      <c r="D426" s="462"/>
      <c r="E426" s="654"/>
      <c r="F426" s="650"/>
      <c r="G426" s="654"/>
      <c r="H426" s="654"/>
      <c r="I426" s="650"/>
      <c r="J426" s="650"/>
      <c r="K426" s="655"/>
      <c r="L426" s="655"/>
      <c r="M426" s="655"/>
      <c r="N426" s="655"/>
      <c r="O426" s="655"/>
      <c r="P426" s="655"/>
      <c r="Q426" s="655"/>
      <c r="R426" s="655"/>
      <c r="S426" s="655"/>
      <c r="T426" s="655"/>
      <c r="U426" s="655"/>
      <c r="V426" s="655"/>
      <c r="W426" s="655"/>
      <c r="X426" s="655"/>
      <c r="Y426" s="655"/>
      <c r="Z426" s="655"/>
    </row>
    <row r="427">
      <c r="B427" s="462"/>
      <c r="C427" s="671"/>
      <c r="D427" s="462"/>
      <c r="E427" s="654"/>
      <c r="F427" s="650"/>
      <c r="G427" s="654"/>
      <c r="H427" s="654"/>
      <c r="I427" s="650"/>
      <c r="J427" s="650"/>
      <c r="K427" s="655"/>
      <c r="L427" s="655"/>
      <c r="M427" s="655"/>
      <c r="N427" s="655"/>
      <c r="O427" s="655"/>
      <c r="P427" s="655"/>
      <c r="Q427" s="655"/>
      <c r="R427" s="655"/>
      <c r="S427" s="655"/>
      <c r="T427" s="655"/>
      <c r="U427" s="655"/>
      <c r="V427" s="655"/>
      <c r="W427" s="655"/>
      <c r="X427" s="655"/>
      <c r="Y427" s="655"/>
      <c r="Z427" s="655"/>
    </row>
    <row r="428">
      <c r="B428" s="462"/>
      <c r="C428" s="671"/>
      <c r="D428" s="462"/>
      <c r="E428" s="654"/>
      <c r="F428" s="650"/>
      <c r="G428" s="654"/>
      <c r="H428" s="654"/>
      <c r="I428" s="650"/>
      <c r="J428" s="650"/>
      <c r="K428" s="655"/>
      <c r="L428" s="655"/>
      <c r="M428" s="655"/>
      <c r="N428" s="655"/>
      <c r="O428" s="655"/>
      <c r="P428" s="655"/>
      <c r="Q428" s="655"/>
      <c r="R428" s="655"/>
      <c r="S428" s="655"/>
      <c r="T428" s="655"/>
      <c r="U428" s="655"/>
      <c r="V428" s="655"/>
      <c r="W428" s="655"/>
      <c r="X428" s="655"/>
      <c r="Y428" s="655"/>
      <c r="Z428" s="655"/>
    </row>
    <row r="429">
      <c r="B429" s="462"/>
      <c r="C429" s="671"/>
      <c r="D429" s="462"/>
      <c r="E429" s="654"/>
      <c r="F429" s="650"/>
      <c r="G429" s="654"/>
      <c r="H429" s="654"/>
      <c r="I429" s="650"/>
      <c r="J429" s="650"/>
      <c r="K429" s="655"/>
      <c r="L429" s="655"/>
      <c r="M429" s="655"/>
      <c r="N429" s="655"/>
      <c r="O429" s="655"/>
      <c r="P429" s="655"/>
      <c r="Q429" s="655"/>
      <c r="R429" s="655"/>
      <c r="S429" s="655"/>
      <c r="T429" s="655"/>
      <c r="U429" s="655"/>
      <c r="V429" s="655"/>
      <c r="W429" s="655"/>
      <c r="X429" s="655"/>
      <c r="Y429" s="655"/>
      <c r="Z429" s="655"/>
    </row>
    <row r="430">
      <c r="B430" s="462"/>
      <c r="C430" s="671"/>
      <c r="D430" s="462"/>
      <c r="E430" s="654"/>
      <c r="F430" s="650"/>
      <c r="G430" s="654"/>
      <c r="H430" s="654"/>
      <c r="I430" s="650"/>
      <c r="J430" s="650"/>
      <c r="K430" s="655"/>
      <c r="L430" s="655"/>
      <c r="M430" s="655"/>
      <c r="N430" s="655"/>
      <c r="O430" s="655"/>
      <c r="P430" s="655"/>
      <c r="Q430" s="655"/>
      <c r="R430" s="655"/>
      <c r="S430" s="655"/>
      <c r="T430" s="655"/>
      <c r="U430" s="655"/>
      <c r="V430" s="655"/>
      <c r="W430" s="655"/>
      <c r="X430" s="655"/>
      <c r="Y430" s="655"/>
      <c r="Z430" s="655"/>
    </row>
    <row r="431">
      <c r="B431" s="462"/>
      <c r="C431" s="671"/>
      <c r="D431" s="462"/>
      <c r="E431" s="654"/>
      <c r="F431" s="650"/>
      <c r="G431" s="654"/>
      <c r="H431" s="654"/>
      <c r="I431" s="650"/>
      <c r="J431" s="650"/>
      <c r="K431" s="655"/>
      <c r="L431" s="655"/>
      <c r="M431" s="655"/>
      <c r="N431" s="655"/>
      <c r="O431" s="655"/>
      <c r="P431" s="655"/>
      <c r="Q431" s="655"/>
      <c r="R431" s="655"/>
      <c r="S431" s="655"/>
      <c r="T431" s="655"/>
      <c r="U431" s="655"/>
      <c r="V431" s="655"/>
      <c r="W431" s="655"/>
      <c r="X431" s="655"/>
      <c r="Y431" s="655"/>
      <c r="Z431" s="655"/>
    </row>
    <row r="432">
      <c r="B432" s="462"/>
      <c r="C432" s="671"/>
      <c r="D432" s="462"/>
      <c r="E432" s="654"/>
      <c r="F432" s="650"/>
      <c r="G432" s="654"/>
      <c r="H432" s="654"/>
      <c r="I432" s="650"/>
      <c r="J432" s="650"/>
      <c r="K432" s="655"/>
      <c r="L432" s="655"/>
      <c r="M432" s="655"/>
      <c r="N432" s="655"/>
      <c r="O432" s="655"/>
      <c r="P432" s="655"/>
      <c r="Q432" s="655"/>
      <c r="R432" s="655"/>
      <c r="S432" s="655"/>
      <c r="T432" s="655"/>
      <c r="U432" s="655"/>
      <c r="V432" s="655"/>
      <c r="W432" s="655"/>
      <c r="X432" s="655"/>
      <c r="Y432" s="655"/>
      <c r="Z432" s="655"/>
    </row>
    <row r="433">
      <c r="B433" s="462"/>
      <c r="C433" s="671"/>
      <c r="D433" s="462"/>
      <c r="E433" s="654"/>
      <c r="F433" s="650"/>
      <c r="G433" s="654"/>
      <c r="H433" s="654"/>
      <c r="I433" s="650"/>
      <c r="J433" s="650"/>
      <c r="K433" s="655"/>
      <c r="L433" s="655"/>
      <c r="M433" s="655"/>
      <c r="N433" s="655"/>
      <c r="O433" s="655"/>
      <c r="P433" s="655"/>
      <c r="Q433" s="655"/>
      <c r="R433" s="655"/>
      <c r="S433" s="655"/>
      <c r="T433" s="655"/>
      <c r="U433" s="655"/>
      <c r="V433" s="655"/>
      <c r="W433" s="655"/>
      <c r="X433" s="655"/>
      <c r="Y433" s="655"/>
      <c r="Z433" s="655"/>
    </row>
    <row r="434">
      <c r="B434" s="462"/>
      <c r="C434" s="671"/>
      <c r="D434" s="462"/>
      <c r="E434" s="654"/>
      <c r="F434" s="650"/>
      <c r="G434" s="654"/>
      <c r="H434" s="654"/>
      <c r="I434" s="650"/>
      <c r="J434" s="650"/>
      <c r="K434" s="655"/>
      <c r="L434" s="655"/>
      <c r="M434" s="655"/>
      <c r="N434" s="655"/>
      <c r="O434" s="655"/>
      <c r="P434" s="655"/>
      <c r="Q434" s="655"/>
      <c r="R434" s="655"/>
      <c r="S434" s="655"/>
      <c r="T434" s="655"/>
      <c r="U434" s="655"/>
      <c r="V434" s="655"/>
      <c r="W434" s="655"/>
      <c r="X434" s="655"/>
      <c r="Y434" s="655"/>
      <c r="Z434" s="655"/>
    </row>
    <row r="435">
      <c r="B435" s="462"/>
      <c r="C435" s="671"/>
      <c r="D435" s="462"/>
      <c r="E435" s="654"/>
      <c r="F435" s="650"/>
      <c r="G435" s="654"/>
      <c r="H435" s="654"/>
      <c r="I435" s="650"/>
      <c r="J435" s="650"/>
      <c r="K435" s="655"/>
      <c r="L435" s="655"/>
      <c r="M435" s="655"/>
      <c r="N435" s="655"/>
      <c r="O435" s="655"/>
      <c r="P435" s="655"/>
      <c r="Q435" s="655"/>
      <c r="R435" s="655"/>
      <c r="S435" s="655"/>
      <c r="T435" s="655"/>
      <c r="U435" s="655"/>
      <c r="V435" s="655"/>
      <c r="W435" s="655"/>
      <c r="X435" s="655"/>
      <c r="Y435" s="655"/>
      <c r="Z435" s="655"/>
    </row>
    <row r="436">
      <c r="B436" s="462"/>
      <c r="C436" s="671"/>
      <c r="D436" s="462"/>
      <c r="E436" s="654"/>
      <c r="F436" s="650"/>
      <c r="G436" s="654"/>
      <c r="H436" s="654"/>
      <c r="I436" s="650"/>
      <c r="J436" s="650"/>
      <c r="K436" s="655"/>
      <c r="L436" s="655"/>
      <c r="M436" s="655"/>
      <c r="N436" s="655"/>
      <c r="O436" s="655"/>
      <c r="P436" s="655"/>
      <c r="Q436" s="655"/>
      <c r="R436" s="655"/>
      <c r="S436" s="655"/>
      <c r="T436" s="655"/>
      <c r="U436" s="655"/>
      <c r="V436" s="655"/>
      <c r="W436" s="655"/>
      <c r="X436" s="655"/>
      <c r="Y436" s="655"/>
      <c r="Z436" s="655"/>
    </row>
    <row r="437">
      <c r="B437" s="462"/>
      <c r="C437" s="671"/>
      <c r="D437" s="462"/>
      <c r="E437" s="654"/>
      <c r="F437" s="650"/>
      <c r="G437" s="654"/>
      <c r="H437" s="654"/>
      <c r="I437" s="650"/>
      <c r="J437" s="650"/>
      <c r="K437" s="655"/>
      <c r="L437" s="655"/>
      <c r="M437" s="655"/>
      <c r="N437" s="655"/>
      <c r="O437" s="655"/>
      <c r="P437" s="655"/>
      <c r="Q437" s="655"/>
      <c r="R437" s="655"/>
      <c r="S437" s="655"/>
      <c r="T437" s="655"/>
      <c r="U437" s="655"/>
      <c r="V437" s="655"/>
      <c r="W437" s="655"/>
      <c r="X437" s="655"/>
      <c r="Y437" s="655"/>
      <c r="Z437" s="655"/>
    </row>
    <row r="438">
      <c r="B438" s="462"/>
      <c r="C438" s="671"/>
      <c r="D438" s="462"/>
      <c r="E438" s="654"/>
      <c r="F438" s="650"/>
      <c r="G438" s="654"/>
      <c r="H438" s="654"/>
      <c r="I438" s="650"/>
      <c r="J438" s="650"/>
      <c r="K438" s="655"/>
      <c r="L438" s="655"/>
      <c r="M438" s="655"/>
      <c r="N438" s="655"/>
      <c r="O438" s="655"/>
      <c r="P438" s="655"/>
      <c r="Q438" s="655"/>
      <c r="R438" s="655"/>
      <c r="S438" s="655"/>
      <c r="T438" s="655"/>
      <c r="U438" s="655"/>
      <c r="V438" s="655"/>
      <c r="W438" s="655"/>
      <c r="X438" s="655"/>
      <c r="Y438" s="655"/>
      <c r="Z438" s="655"/>
    </row>
    <row r="439">
      <c r="B439" s="462"/>
      <c r="C439" s="671"/>
      <c r="D439" s="462"/>
      <c r="E439" s="654"/>
      <c r="F439" s="650"/>
      <c r="G439" s="654"/>
      <c r="H439" s="654"/>
      <c r="I439" s="650"/>
      <c r="J439" s="650"/>
      <c r="K439" s="655"/>
      <c r="L439" s="655"/>
      <c r="M439" s="655"/>
      <c r="N439" s="655"/>
      <c r="O439" s="655"/>
      <c r="P439" s="655"/>
      <c r="Q439" s="655"/>
      <c r="R439" s="655"/>
      <c r="S439" s="655"/>
      <c r="T439" s="655"/>
      <c r="U439" s="655"/>
      <c r="V439" s="655"/>
      <c r="W439" s="655"/>
      <c r="X439" s="655"/>
      <c r="Y439" s="655"/>
      <c r="Z439" s="655"/>
    </row>
    <row r="440">
      <c r="B440" s="462"/>
      <c r="C440" s="671"/>
      <c r="D440" s="462"/>
      <c r="E440" s="654"/>
      <c r="F440" s="650"/>
      <c r="G440" s="654"/>
      <c r="H440" s="654"/>
      <c r="I440" s="650"/>
      <c r="J440" s="650"/>
      <c r="K440" s="655"/>
      <c r="L440" s="655"/>
      <c r="M440" s="655"/>
      <c r="N440" s="655"/>
      <c r="O440" s="655"/>
      <c r="P440" s="655"/>
      <c r="Q440" s="655"/>
      <c r="R440" s="655"/>
      <c r="S440" s="655"/>
      <c r="T440" s="655"/>
      <c r="U440" s="655"/>
      <c r="V440" s="655"/>
      <c r="W440" s="655"/>
      <c r="X440" s="655"/>
      <c r="Y440" s="655"/>
      <c r="Z440" s="655"/>
    </row>
    <row r="441">
      <c r="B441" s="462"/>
      <c r="C441" s="671"/>
      <c r="D441" s="462"/>
      <c r="E441" s="654"/>
      <c r="F441" s="650"/>
      <c r="G441" s="654"/>
      <c r="H441" s="654"/>
      <c r="I441" s="650"/>
      <c r="J441" s="650"/>
      <c r="K441" s="655"/>
      <c r="L441" s="655"/>
      <c r="M441" s="655"/>
      <c r="N441" s="655"/>
      <c r="O441" s="655"/>
      <c r="P441" s="655"/>
      <c r="Q441" s="655"/>
      <c r="R441" s="655"/>
      <c r="S441" s="655"/>
      <c r="T441" s="655"/>
      <c r="U441" s="655"/>
      <c r="V441" s="655"/>
      <c r="W441" s="655"/>
      <c r="X441" s="655"/>
      <c r="Y441" s="655"/>
      <c r="Z441" s="655"/>
    </row>
    <row r="442">
      <c r="B442" s="462"/>
      <c r="C442" s="671"/>
      <c r="D442" s="462"/>
      <c r="E442" s="654"/>
      <c r="F442" s="650"/>
      <c r="G442" s="654"/>
      <c r="H442" s="654"/>
      <c r="I442" s="650"/>
      <c r="J442" s="650"/>
      <c r="K442" s="655"/>
      <c r="L442" s="655"/>
      <c r="M442" s="655"/>
      <c r="N442" s="655"/>
      <c r="O442" s="655"/>
      <c r="P442" s="655"/>
      <c r="Q442" s="655"/>
      <c r="R442" s="655"/>
      <c r="S442" s="655"/>
      <c r="T442" s="655"/>
      <c r="U442" s="655"/>
      <c r="V442" s="655"/>
      <c r="W442" s="655"/>
      <c r="X442" s="655"/>
      <c r="Y442" s="655"/>
      <c r="Z442" s="655"/>
    </row>
    <row r="443">
      <c r="B443" s="462"/>
      <c r="C443" s="671"/>
      <c r="D443" s="462"/>
      <c r="E443" s="654"/>
      <c r="F443" s="650"/>
      <c r="G443" s="654"/>
      <c r="H443" s="654"/>
      <c r="I443" s="650"/>
      <c r="J443" s="650"/>
      <c r="K443" s="655"/>
      <c r="L443" s="655"/>
      <c r="M443" s="655"/>
      <c r="N443" s="655"/>
      <c r="O443" s="655"/>
      <c r="P443" s="655"/>
      <c r="Q443" s="655"/>
      <c r="R443" s="655"/>
      <c r="S443" s="655"/>
      <c r="T443" s="655"/>
      <c r="U443" s="655"/>
      <c r="V443" s="655"/>
      <c r="W443" s="655"/>
      <c r="X443" s="655"/>
      <c r="Y443" s="655"/>
      <c r="Z443" s="655"/>
    </row>
    <row r="444">
      <c r="B444" s="462"/>
      <c r="C444" s="671"/>
      <c r="D444" s="462"/>
      <c r="E444" s="654"/>
      <c r="F444" s="650"/>
      <c r="G444" s="654"/>
      <c r="H444" s="654"/>
      <c r="I444" s="650"/>
      <c r="J444" s="650"/>
      <c r="K444" s="655"/>
      <c r="L444" s="655"/>
      <c r="M444" s="655"/>
      <c r="N444" s="655"/>
      <c r="O444" s="655"/>
      <c r="P444" s="655"/>
      <c r="Q444" s="655"/>
      <c r="R444" s="655"/>
      <c r="S444" s="655"/>
      <c r="T444" s="655"/>
      <c r="U444" s="655"/>
      <c r="V444" s="655"/>
      <c r="W444" s="655"/>
      <c r="X444" s="655"/>
      <c r="Y444" s="655"/>
      <c r="Z444" s="655"/>
    </row>
    <row r="445">
      <c r="B445" s="462"/>
      <c r="C445" s="671"/>
      <c r="D445" s="462"/>
      <c r="E445" s="654"/>
      <c r="F445" s="650"/>
      <c r="G445" s="654"/>
      <c r="H445" s="654"/>
      <c r="I445" s="650"/>
      <c r="J445" s="650"/>
      <c r="K445" s="655"/>
      <c r="L445" s="655"/>
      <c r="M445" s="655"/>
      <c r="N445" s="655"/>
      <c r="O445" s="655"/>
      <c r="P445" s="655"/>
      <c r="Q445" s="655"/>
      <c r="R445" s="655"/>
      <c r="S445" s="655"/>
      <c r="T445" s="655"/>
      <c r="U445" s="655"/>
      <c r="V445" s="655"/>
      <c r="W445" s="655"/>
      <c r="X445" s="655"/>
      <c r="Y445" s="655"/>
      <c r="Z445" s="655"/>
    </row>
    <row r="446">
      <c r="B446" s="462"/>
      <c r="C446" s="671"/>
      <c r="D446" s="462"/>
      <c r="E446" s="654"/>
      <c r="F446" s="650"/>
      <c r="G446" s="654"/>
      <c r="H446" s="654"/>
      <c r="I446" s="650"/>
      <c r="J446" s="650"/>
      <c r="K446" s="655"/>
      <c r="L446" s="655"/>
      <c r="M446" s="655"/>
      <c r="N446" s="655"/>
      <c r="O446" s="655"/>
      <c r="P446" s="655"/>
      <c r="Q446" s="655"/>
      <c r="R446" s="655"/>
      <c r="S446" s="655"/>
      <c r="T446" s="655"/>
      <c r="U446" s="655"/>
      <c r="V446" s="655"/>
      <c r="W446" s="655"/>
      <c r="X446" s="655"/>
      <c r="Y446" s="655"/>
      <c r="Z446" s="655"/>
    </row>
    <row r="447">
      <c r="B447" s="462"/>
      <c r="C447" s="671"/>
      <c r="D447" s="462"/>
      <c r="E447" s="654"/>
      <c r="F447" s="650"/>
      <c r="G447" s="654"/>
      <c r="H447" s="654"/>
      <c r="I447" s="650"/>
      <c r="J447" s="650"/>
      <c r="K447" s="655"/>
      <c r="L447" s="655"/>
      <c r="M447" s="655"/>
      <c r="N447" s="655"/>
      <c r="O447" s="655"/>
      <c r="P447" s="655"/>
      <c r="Q447" s="655"/>
      <c r="R447" s="655"/>
      <c r="S447" s="655"/>
      <c r="T447" s="655"/>
      <c r="U447" s="655"/>
      <c r="V447" s="655"/>
      <c r="W447" s="655"/>
      <c r="X447" s="655"/>
      <c r="Y447" s="655"/>
      <c r="Z447" s="655"/>
    </row>
    <row r="448">
      <c r="B448" s="462"/>
      <c r="C448" s="671"/>
      <c r="D448" s="462"/>
      <c r="E448" s="654"/>
      <c r="F448" s="650"/>
      <c r="G448" s="654"/>
      <c r="H448" s="654"/>
      <c r="I448" s="650"/>
      <c r="J448" s="650"/>
      <c r="K448" s="655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</row>
    <row r="449">
      <c r="B449" s="462"/>
      <c r="C449" s="671"/>
      <c r="D449" s="462"/>
      <c r="E449" s="654"/>
      <c r="F449" s="650"/>
      <c r="G449" s="654"/>
      <c r="H449" s="654"/>
      <c r="I449" s="650"/>
      <c r="J449" s="650"/>
      <c r="K449" s="655"/>
      <c r="L449" s="655"/>
      <c r="M449" s="655"/>
      <c r="N449" s="655"/>
      <c r="O449" s="655"/>
      <c r="P449" s="655"/>
      <c r="Q449" s="655"/>
      <c r="R449" s="655"/>
      <c r="S449" s="655"/>
      <c r="T449" s="655"/>
      <c r="U449" s="655"/>
      <c r="V449" s="655"/>
      <c r="W449" s="655"/>
      <c r="X449" s="655"/>
      <c r="Y449" s="655"/>
      <c r="Z449" s="655"/>
    </row>
    <row r="450">
      <c r="B450" s="462"/>
      <c r="C450" s="671"/>
      <c r="D450" s="462"/>
      <c r="E450" s="654"/>
      <c r="F450" s="650"/>
      <c r="G450" s="654"/>
      <c r="H450" s="654"/>
      <c r="I450" s="650"/>
      <c r="J450" s="650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</row>
    <row r="451">
      <c r="B451" s="462"/>
      <c r="C451" s="671"/>
      <c r="D451" s="462"/>
      <c r="E451" s="654"/>
      <c r="F451" s="650"/>
      <c r="G451" s="654"/>
      <c r="H451" s="654"/>
      <c r="I451" s="650"/>
      <c r="J451" s="650"/>
      <c r="K451" s="655"/>
      <c r="L451" s="655"/>
      <c r="M451" s="655"/>
      <c r="N451" s="655"/>
      <c r="O451" s="655"/>
      <c r="P451" s="655"/>
      <c r="Q451" s="655"/>
      <c r="R451" s="655"/>
      <c r="S451" s="655"/>
      <c r="T451" s="655"/>
      <c r="U451" s="655"/>
      <c r="V451" s="655"/>
      <c r="W451" s="655"/>
      <c r="X451" s="655"/>
      <c r="Y451" s="655"/>
      <c r="Z451" s="655"/>
    </row>
    <row r="452">
      <c r="B452" s="462"/>
      <c r="C452" s="671"/>
      <c r="D452" s="462"/>
      <c r="E452" s="654"/>
      <c r="F452" s="650"/>
      <c r="G452" s="654"/>
      <c r="H452" s="654"/>
      <c r="I452" s="650"/>
      <c r="J452" s="650"/>
      <c r="K452" s="655"/>
      <c r="L452" s="655"/>
      <c r="M452" s="655"/>
      <c r="N452" s="655"/>
      <c r="O452" s="655"/>
      <c r="P452" s="655"/>
      <c r="Q452" s="655"/>
      <c r="R452" s="655"/>
      <c r="S452" s="655"/>
      <c r="T452" s="655"/>
      <c r="U452" s="655"/>
      <c r="V452" s="655"/>
      <c r="W452" s="655"/>
      <c r="X452" s="655"/>
      <c r="Y452" s="655"/>
      <c r="Z452" s="655"/>
    </row>
    <row r="453">
      <c r="B453" s="462"/>
      <c r="C453" s="671"/>
      <c r="D453" s="462"/>
      <c r="E453" s="654"/>
      <c r="F453" s="650"/>
      <c r="G453" s="654"/>
      <c r="H453" s="654"/>
      <c r="I453" s="650"/>
      <c r="J453" s="650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</row>
    <row r="454">
      <c r="B454" s="462"/>
      <c r="C454" s="671"/>
      <c r="D454" s="462"/>
      <c r="E454" s="654"/>
      <c r="F454" s="650"/>
      <c r="G454" s="654"/>
      <c r="H454" s="654"/>
      <c r="I454" s="650"/>
      <c r="J454" s="650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</row>
    <row r="455">
      <c r="B455" s="462"/>
      <c r="C455" s="671"/>
      <c r="D455" s="462"/>
      <c r="E455" s="654"/>
      <c r="F455" s="650"/>
      <c r="G455" s="654"/>
      <c r="H455" s="654"/>
      <c r="I455" s="650"/>
      <c r="J455" s="650"/>
      <c r="K455" s="655"/>
      <c r="L455" s="655"/>
      <c r="M455" s="655"/>
      <c r="N455" s="655"/>
      <c r="O455" s="655"/>
      <c r="P455" s="655"/>
      <c r="Q455" s="655"/>
      <c r="R455" s="655"/>
      <c r="S455" s="655"/>
      <c r="T455" s="655"/>
      <c r="U455" s="655"/>
      <c r="V455" s="655"/>
      <c r="W455" s="655"/>
      <c r="X455" s="655"/>
      <c r="Y455" s="655"/>
      <c r="Z455" s="655"/>
    </row>
    <row r="456">
      <c r="B456" s="462"/>
      <c r="C456" s="671"/>
      <c r="D456" s="462"/>
      <c r="E456" s="654"/>
      <c r="F456" s="650"/>
      <c r="G456" s="654"/>
      <c r="H456" s="654"/>
      <c r="I456" s="650"/>
      <c r="J456" s="650"/>
      <c r="K456" s="655"/>
      <c r="L456" s="655"/>
      <c r="M456" s="655"/>
      <c r="N456" s="655"/>
      <c r="O456" s="655"/>
      <c r="P456" s="655"/>
      <c r="Q456" s="655"/>
      <c r="R456" s="655"/>
      <c r="S456" s="655"/>
      <c r="T456" s="655"/>
      <c r="U456" s="655"/>
      <c r="V456" s="655"/>
      <c r="W456" s="655"/>
      <c r="X456" s="655"/>
      <c r="Y456" s="655"/>
      <c r="Z456" s="655"/>
    </row>
    <row r="457">
      <c r="B457" s="462"/>
      <c r="C457" s="671"/>
      <c r="D457" s="462"/>
      <c r="E457" s="654"/>
      <c r="F457" s="650"/>
      <c r="G457" s="654"/>
      <c r="H457" s="654"/>
      <c r="I457" s="650"/>
      <c r="J457" s="650"/>
      <c r="K457" s="655"/>
      <c r="L457" s="655"/>
      <c r="M457" s="655"/>
      <c r="N457" s="655"/>
      <c r="O457" s="655"/>
      <c r="P457" s="655"/>
      <c r="Q457" s="655"/>
      <c r="R457" s="655"/>
      <c r="S457" s="655"/>
      <c r="T457" s="655"/>
      <c r="U457" s="655"/>
      <c r="V457" s="655"/>
      <c r="W457" s="655"/>
      <c r="X457" s="655"/>
      <c r="Y457" s="655"/>
      <c r="Z457" s="655"/>
    </row>
    <row r="458">
      <c r="B458" s="462"/>
      <c r="C458" s="671"/>
      <c r="D458" s="462"/>
      <c r="E458" s="654"/>
      <c r="F458" s="650"/>
      <c r="G458" s="654"/>
      <c r="H458" s="654"/>
      <c r="I458" s="650"/>
      <c r="J458" s="650"/>
      <c r="K458" s="655"/>
      <c r="L458" s="655"/>
      <c r="M458" s="655"/>
      <c r="N458" s="655"/>
      <c r="O458" s="655"/>
      <c r="P458" s="655"/>
      <c r="Q458" s="655"/>
      <c r="R458" s="655"/>
      <c r="S458" s="655"/>
      <c r="T458" s="655"/>
      <c r="U458" s="655"/>
      <c r="V458" s="655"/>
      <c r="W458" s="655"/>
      <c r="X458" s="655"/>
      <c r="Y458" s="655"/>
      <c r="Z458" s="655"/>
    </row>
    <row r="459">
      <c r="B459" s="462"/>
      <c r="C459" s="671"/>
      <c r="D459" s="462"/>
      <c r="E459" s="654"/>
      <c r="F459" s="650"/>
      <c r="G459" s="654"/>
      <c r="H459" s="654"/>
      <c r="I459" s="650"/>
      <c r="J459" s="650"/>
      <c r="K459" s="655"/>
      <c r="L459" s="655"/>
      <c r="M459" s="655"/>
      <c r="N459" s="655"/>
      <c r="O459" s="655"/>
      <c r="P459" s="655"/>
      <c r="Q459" s="655"/>
      <c r="R459" s="655"/>
      <c r="S459" s="655"/>
      <c r="T459" s="655"/>
      <c r="U459" s="655"/>
      <c r="V459" s="655"/>
      <c r="W459" s="655"/>
      <c r="X459" s="655"/>
      <c r="Y459" s="655"/>
      <c r="Z459" s="655"/>
    </row>
    <row r="460">
      <c r="B460" s="462"/>
      <c r="C460" s="671"/>
      <c r="D460" s="462"/>
      <c r="E460" s="654"/>
      <c r="F460" s="650"/>
      <c r="G460" s="654"/>
      <c r="H460" s="654"/>
      <c r="I460" s="650"/>
      <c r="J460" s="650"/>
      <c r="K460" s="655"/>
      <c r="L460" s="655"/>
      <c r="M460" s="655"/>
      <c r="N460" s="655"/>
      <c r="O460" s="655"/>
      <c r="P460" s="655"/>
      <c r="Q460" s="655"/>
      <c r="R460" s="655"/>
      <c r="S460" s="655"/>
      <c r="T460" s="655"/>
      <c r="U460" s="655"/>
      <c r="V460" s="655"/>
      <c r="W460" s="655"/>
      <c r="X460" s="655"/>
      <c r="Y460" s="655"/>
      <c r="Z460" s="655"/>
    </row>
    <row r="461">
      <c r="B461" s="462"/>
      <c r="C461" s="671"/>
      <c r="D461" s="462"/>
      <c r="E461" s="654"/>
      <c r="F461" s="650"/>
      <c r="G461" s="654"/>
      <c r="H461" s="654"/>
      <c r="I461" s="650"/>
      <c r="J461" s="650"/>
      <c r="K461" s="655"/>
      <c r="L461" s="655"/>
      <c r="M461" s="655"/>
      <c r="N461" s="655"/>
      <c r="O461" s="655"/>
      <c r="P461" s="655"/>
      <c r="Q461" s="655"/>
      <c r="R461" s="655"/>
      <c r="S461" s="655"/>
      <c r="T461" s="655"/>
      <c r="U461" s="655"/>
      <c r="V461" s="655"/>
      <c r="W461" s="655"/>
      <c r="X461" s="655"/>
      <c r="Y461" s="655"/>
      <c r="Z461" s="655"/>
    </row>
    <row r="462">
      <c r="B462" s="462"/>
      <c r="C462" s="671"/>
      <c r="D462" s="462"/>
      <c r="E462" s="654"/>
      <c r="F462" s="650"/>
      <c r="G462" s="654"/>
      <c r="H462" s="654"/>
      <c r="I462" s="650"/>
      <c r="J462" s="650"/>
      <c r="K462" s="655"/>
      <c r="L462" s="655"/>
      <c r="M462" s="655"/>
      <c r="N462" s="655"/>
      <c r="O462" s="655"/>
      <c r="P462" s="655"/>
      <c r="Q462" s="655"/>
      <c r="R462" s="655"/>
      <c r="S462" s="655"/>
      <c r="T462" s="655"/>
      <c r="U462" s="655"/>
      <c r="V462" s="655"/>
      <c r="W462" s="655"/>
      <c r="X462" s="655"/>
      <c r="Y462" s="655"/>
      <c r="Z462" s="655"/>
    </row>
    <row r="463">
      <c r="B463" s="462"/>
      <c r="C463" s="671"/>
      <c r="D463" s="462"/>
      <c r="E463" s="654"/>
      <c r="F463" s="650"/>
      <c r="G463" s="654"/>
      <c r="H463" s="654"/>
      <c r="I463" s="650"/>
      <c r="J463" s="650"/>
      <c r="K463" s="655"/>
      <c r="L463" s="655"/>
      <c r="M463" s="655"/>
      <c r="N463" s="655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</row>
    <row r="464">
      <c r="B464" s="462"/>
      <c r="C464" s="671"/>
      <c r="D464" s="462"/>
      <c r="E464" s="654"/>
      <c r="F464" s="650"/>
      <c r="G464" s="654"/>
      <c r="H464" s="654"/>
      <c r="I464" s="650"/>
      <c r="J464" s="650"/>
      <c r="K464" s="655"/>
      <c r="L464" s="655"/>
      <c r="M464" s="655"/>
      <c r="N464" s="655"/>
      <c r="O464" s="655"/>
      <c r="P464" s="655"/>
      <c r="Q464" s="655"/>
      <c r="R464" s="655"/>
      <c r="S464" s="655"/>
      <c r="T464" s="655"/>
      <c r="U464" s="655"/>
      <c r="V464" s="655"/>
      <c r="W464" s="655"/>
      <c r="X464" s="655"/>
      <c r="Y464" s="655"/>
      <c r="Z464" s="655"/>
    </row>
    <row r="465">
      <c r="B465" s="462"/>
      <c r="C465" s="671"/>
      <c r="D465" s="462"/>
      <c r="E465" s="654"/>
      <c r="F465" s="650"/>
      <c r="G465" s="654"/>
      <c r="H465" s="654"/>
      <c r="I465" s="650"/>
      <c r="J465" s="650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</row>
    <row r="466">
      <c r="B466" s="462"/>
      <c r="C466" s="671"/>
      <c r="D466" s="462"/>
      <c r="E466" s="654"/>
      <c r="F466" s="650"/>
      <c r="G466" s="654"/>
      <c r="H466" s="654"/>
      <c r="I466" s="650"/>
      <c r="J466" s="650"/>
      <c r="K466" s="655"/>
      <c r="L466" s="655"/>
      <c r="M466" s="655"/>
      <c r="N466" s="655"/>
      <c r="O466" s="655"/>
      <c r="P466" s="655"/>
      <c r="Q466" s="655"/>
      <c r="R466" s="655"/>
      <c r="S466" s="655"/>
      <c r="T466" s="655"/>
      <c r="U466" s="655"/>
      <c r="V466" s="655"/>
      <c r="W466" s="655"/>
      <c r="X466" s="655"/>
      <c r="Y466" s="655"/>
      <c r="Z466" s="655"/>
    </row>
    <row r="467">
      <c r="B467" s="462"/>
      <c r="C467" s="671"/>
      <c r="D467" s="462"/>
      <c r="E467" s="654"/>
      <c r="F467" s="650"/>
      <c r="G467" s="654"/>
      <c r="H467" s="654"/>
      <c r="I467" s="650"/>
      <c r="J467" s="650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</row>
    <row r="468">
      <c r="B468" s="462"/>
      <c r="C468" s="671"/>
      <c r="D468" s="462"/>
      <c r="E468" s="654"/>
      <c r="F468" s="650"/>
      <c r="G468" s="654"/>
      <c r="H468" s="654"/>
      <c r="I468" s="650"/>
      <c r="J468" s="650"/>
      <c r="K468" s="655"/>
      <c r="L468" s="655"/>
      <c r="M468" s="655"/>
      <c r="N468" s="655"/>
      <c r="O468" s="655"/>
      <c r="P468" s="655"/>
      <c r="Q468" s="655"/>
      <c r="R468" s="655"/>
      <c r="S468" s="655"/>
      <c r="T468" s="655"/>
      <c r="U468" s="655"/>
      <c r="V468" s="655"/>
      <c r="W468" s="655"/>
      <c r="X468" s="655"/>
      <c r="Y468" s="655"/>
      <c r="Z468" s="655"/>
    </row>
    <row r="469">
      <c r="B469" s="462"/>
      <c r="C469" s="671"/>
      <c r="D469" s="462"/>
      <c r="E469" s="654"/>
      <c r="F469" s="650"/>
      <c r="G469" s="654"/>
      <c r="H469" s="654"/>
      <c r="I469" s="650"/>
      <c r="J469" s="650"/>
      <c r="K469" s="655"/>
      <c r="L469" s="655"/>
      <c r="M469" s="655"/>
      <c r="N469" s="655"/>
      <c r="O469" s="655"/>
      <c r="P469" s="655"/>
      <c r="Q469" s="655"/>
      <c r="R469" s="655"/>
      <c r="S469" s="655"/>
      <c r="T469" s="655"/>
      <c r="U469" s="655"/>
      <c r="V469" s="655"/>
      <c r="W469" s="655"/>
      <c r="X469" s="655"/>
      <c r="Y469" s="655"/>
      <c r="Z469" s="655"/>
    </row>
    <row r="470">
      <c r="B470" s="462"/>
      <c r="C470" s="671"/>
      <c r="D470" s="462"/>
      <c r="E470" s="654"/>
      <c r="F470" s="650"/>
      <c r="G470" s="654"/>
      <c r="H470" s="654"/>
      <c r="I470" s="650"/>
      <c r="J470" s="650"/>
      <c r="K470" s="655"/>
      <c r="L470" s="655"/>
      <c r="M470" s="655"/>
      <c r="N470" s="655"/>
      <c r="O470" s="655"/>
      <c r="P470" s="655"/>
      <c r="Q470" s="655"/>
      <c r="R470" s="655"/>
      <c r="S470" s="655"/>
      <c r="T470" s="655"/>
      <c r="U470" s="655"/>
      <c r="V470" s="655"/>
      <c r="W470" s="655"/>
      <c r="X470" s="655"/>
      <c r="Y470" s="655"/>
      <c r="Z470" s="655"/>
    </row>
    <row r="471">
      <c r="B471" s="462"/>
      <c r="C471" s="671"/>
      <c r="D471" s="462"/>
      <c r="E471" s="654"/>
      <c r="F471" s="650"/>
      <c r="G471" s="654"/>
      <c r="H471" s="654"/>
      <c r="I471" s="650"/>
      <c r="J471" s="650"/>
      <c r="K471" s="655"/>
      <c r="L471" s="655"/>
      <c r="M471" s="655"/>
      <c r="N471" s="655"/>
      <c r="O471" s="655"/>
      <c r="P471" s="655"/>
      <c r="Q471" s="655"/>
      <c r="R471" s="655"/>
      <c r="S471" s="655"/>
      <c r="T471" s="655"/>
      <c r="U471" s="655"/>
      <c r="V471" s="655"/>
      <c r="W471" s="655"/>
      <c r="X471" s="655"/>
      <c r="Y471" s="655"/>
      <c r="Z471" s="655"/>
    </row>
    <row r="472">
      <c r="B472" s="462"/>
      <c r="C472" s="671"/>
      <c r="D472" s="462"/>
      <c r="E472" s="654"/>
      <c r="F472" s="650"/>
      <c r="G472" s="654"/>
      <c r="H472" s="654"/>
      <c r="I472" s="650"/>
      <c r="J472" s="650"/>
      <c r="K472" s="655"/>
      <c r="L472" s="655"/>
      <c r="M472" s="655"/>
      <c r="N472" s="655"/>
      <c r="O472" s="655"/>
      <c r="P472" s="655"/>
      <c r="Q472" s="655"/>
      <c r="R472" s="655"/>
      <c r="S472" s="655"/>
      <c r="T472" s="655"/>
      <c r="U472" s="655"/>
      <c r="V472" s="655"/>
      <c r="W472" s="655"/>
      <c r="X472" s="655"/>
      <c r="Y472" s="655"/>
      <c r="Z472" s="655"/>
    </row>
    <row r="473">
      <c r="B473" s="462"/>
      <c r="C473" s="671"/>
      <c r="D473" s="462"/>
      <c r="E473" s="654"/>
      <c r="F473" s="650"/>
      <c r="G473" s="654"/>
      <c r="H473" s="654"/>
      <c r="I473" s="650"/>
      <c r="J473" s="650"/>
      <c r="K473" s="655"/>
      <c r="L473" s="655"/>
      <c r="M473" s="655"/>
      <c r="N473" s="655"/>
      <c r="O473" s="655"/>
      <c r="P473" s="655"/>
      <c r="Q473" s="655"/>
      <c r="R473" s="655"/>
      <c r="S473" s="655"/>
      <c r="T473" s="655"/>
      <c r="U473" s="655"/>
      <c r="V473" s="655"/>
      <c r="W473" s="655"/>
      <c r="X473" s="655"/>
      <c r="Y473" s="655"/>
      <c r="Z473" s="655"/>
    </row>
    <row r="474">
      <c r="B474" s="462"/>
      <c r="C474" s="671"/>
      <c r="D474" s="462"/>
      <c r="E474" s="654"/>
      <c r="F474" s="650"/>
      <c r="G474" s="654"/>
      <c r="H474" s="654"/>
      <c r="I474" s="650"/>
      <c r="J474" s="650"/>
      <c r="K474" s="655"/>
      <c r="L474" s="655"/>
      <c r="M474" s="655"/>
      <c r="N474" s="655"/>
      <c r="O474" s="655"/>
      <c r="P474" s="655"/>
      <c r="Q474" s="655"/>
      <c r="R474" s="655"/>
      <c r="S474" s="655"/>
      <c r="T474" s="655"/>
      <c r="U474" s="655"/>
      <c r="V474" s="655"/>
      <c r="W474" s="655"/>
      <c r="X474" s="655"/>
      <c r="Y474" s="655"/>
      <c r="Z474" s="655"/>
    </row>
    <row r="475">
      <c r="B475" s="462"/>
      <c r="C475" s="671"/>
      <c r="D475" s="462"/>
      <c r="E475" s="654"/>
      <c r="F475" s="650"/>
      <c r="G475" s="654"/>
      <c r="H475" s="654"/>
      <c r="I475" s="650"/>
      <c r="J475" s="650"/>
      <c r="K475" s="655"/>
      <c r="L475" s="655"/>
      <c r="M475" s="655"/>
      <c r="N475" s="655"/>
      <c r="O475" s="655"/>
      <c r="P475" s="655"/>
      <c r="Q475" s="655"/>
      <c r="R475" s="655"/>
      <c r="S475" s="655"/>
      <c r="T475" s="655"/>
      <c r="U475" s="655"/>
      <c r="V475" s="655"/>
      <c r="W475" s="655"/>
      <c r="X475" s="655"/>
      <c r="Y475" s="655"/>
      <c r="Z475" s="655"/>
    </row>
    <row r="476">
      <c r="B476" s="462"/>
      <c r="C476" s="671"/>
      <c r="D476" s="462"/>
      <c r="E476" s="654"/>
      <c r="F476" s="650"/>
      <c r="G476" s="654"/>
      <c r="H476" s="654"/>
      <c r="I476" s="650"/>
      <c r="J476" s="650"/>
      <c r="K476" s="655"/>
      <c r="L476" s="655"/>
      <c r="M476" s="655"/>
      <c r="N476" s="655"/>
      <c r="O476" s="655"/>
      <c r="P476" s="655"/>
      <c r="Q476" s="655"/>
      <c r="R476" s="655"/>
      <c r="S476" s="655"/>
      <c r="T476" s="655"/>
      <c r="U476" s="655"/>
      <c r="V476" s="655"/>
      <c r="W476" s="655"/>
      <c r="X476" s="655"/>
      <c r="Y476" s="655"/>
      <c r="Z476" s="655"/>
    </row>
    <row r="477">
      <c r="B477" s="462"/>
      <c r="C477" s="671"/>
      <c r="D477" s="462"/>
      <c r="E477" s="654"/>
      <c r="F477" s="650"/>
      <c r="G477" s="654"/>
      <c r="H477" s="654"/>
      <c r="I477" s="650"/>
      <c r="J477" s="650"/>
      <c r="K477" s="655"/>
      <c r="L477" s="655"/>
      <c r="M477" s="655"/>
      <c r="N477" s="655"/>
      <c r="O477" s="655"/>
      <c r="P477" s="655"/>
      <c r="Q477" s="655"/>
      <c r="R477" s="655"/>
      <c r="S477" s="655"/>
      <c r="T477" s="655"/>
      <c r="U477" s="655"/>
      <c r="V477" s="655"/>
      <c r="W477" s="655"/>
      <c r="X477" s="655"/>
      <c r="Y477" s="655"/>
      <c r="Z477" s="655"/>
    </row>
    <row r="478">
      <c r="B478" s="462"/>
      <c r="C478" s="671"/>
      <c r="D478" s="462"/>
      <c r="E478" s="654"/>
      <c r="F478" s="650"/>
      <c r="G478" s="654"/>
      <c r="H478" s="654"/>
      <c r="I478" s="650"/>
      <c r="J478" s="650"/>
      <c r="K478" s="655"/>
      <c r="L478" s="655"/>
      <c r="M478" s="655"/>
      <c r="N478" s="655"/>
      <c r="O478" s="655"/>
      <c r="P478" s="655"/>
      <c r="Q478" s="655"/>
      <c r="R478" s="655"/>
      <c r="S478" s="655"/>
      <c r="T478" s="655"/>
      <c r="U478" s="655"/>
      <c r="V478" s="655"/>
      <c r="W478" s="655"/>
      <c r="X478" s="655"/>
      <c r="Y478" s="655"/>
      <c r="Z478" s="655"/>
    </row>
    <row r="479">
      <c r="B479" s="462"/>
      <c r="C479" s="671"/>
      <c r="D479" s="462"/>
      <c r="E479" s="654"/>
      <c r="F479" s="650"/>
      <c r="G479" s="654"/>
      <c r="H479" s="654"/>
      <c r="I479" s="650"/>
      <c r="J479" s="650"/>
      <c r="K479" s="655"/>
      <c r="L479" s="655"/>
      <c r="M479" s="655"/>
      <c r="N479" s="655"/>
      <c r="O479" s="655"/>
      <c r="P479" s="655"/>
      <c r="Q479" s="655"/>
      <c r="R479" s="655"/>
      <c r="S479" s="655"/>
      <c r="T479" s="655"/>
      <c r="U479" s="655"/>
      <c r="V479" s="655"/>
      <c r="W479" s="655"/>
      <c r="X479" s="655"/>
      <c r="Y479" s="655"/>
      <c r="Z479" s="655"/>
    </row>
    <row r="480">
      <c r="B480" s="462"/>
      <c r="C480" s="671"/>
      <c r="D480" s="462"/>
      <c r="E480" s="654"/>
      <c r="F480" s="650"/>
      <c r="G480" s="654"/>
      <c r="H480" s="654"/>
      <c r="I480" s="650"/>
      <c r="J480" s="650"/>
      <c r="K480" s="655"/>
      <c r="L480" s="655"/>
      <c r="M480" s="655"/>
      <c r="N480" s="655"/>
      <c r="O480" s="655"/>
      <c r="P480" s="655"/>
      <c r="Q480" s="655"/>
      <c r="R480" s="655"/>
      <c r="S480" s="655"/>
      <c r="T480" s="655"/>
      <c r="U480" s="655"/>
      <c r="V480" s="655"/>
      <c r="W480" s="655"/>
      <c r="X480" s="655"/>
      <c r="Y480" s="655"/>
      <c r="Z480" s="655"/>
    </row>
    <row r="481">
      <c r="B481" s="462"/>
      <c r="C481" s="671"/>
      <c r="D481" s="462"/>
      <c r="E481" s="654"/>
      <c r="F481" s="650"/>
      <c r="G481" s="654"/>
      <c r="H481" s="654"/>
      <c r="I481" s="650"/>
      <c r="J481" s="650"/>
      <c r="K481" s="655"/>
      <c r="L481" s="655"/>
      <c r="M481" s="655"/>
      <c r="N481" s="655"/>
      <c r="O481" s="655"/>
      <c r="P481" s="655"/>
      <c r="Q481" s="655"/>
      <c r="R481" s="655"/>
      <c r="S481" s="655"/>
      <c r="T481" s="655"/>
      <c r="U481" s="655"/>
      <c r="V481" s="655"/>
      <c r="W481" s="655"/>
      <c r="X481" s="655"/>
      <c r="Y481" s="655"/>
      <c r="Z481" s="655"/>
    </row>
    <row r="482">
      <c r="B482" s="462"/>
      <c r="C482" s="671"/>
      <c r="D482" s="462"/>
      <c r="E482" s="654"/>
      <c r="F482" s="650"/>
      <c r="G482" s="654"/>
      <c r="H482" s="654"/>
      <c r="I482" s="650"/>
      <c r="J482" s="650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</row>
    <row r="483">
      <c r="B483" s="462"/>
      <c r="C483" s="671"/>
      <c r="D483" s="462"/>
      <c r="E483" s="654"/>
      <c r="F483" s="650"/>
      <c r="G483" s="654"/>
      <c r="H483" s="654"/>
      <c r="I483" s="650"/>
      <c r="J483" s="650"/>
      <c r="K483" s="655"/>
      <c r="L483" s="655"/>
      <c r="M483" s="655"/>
      <c r="N483" s="655"/>
      <c r="O483" s="655"/>
      <c r="P483" s="655"/>
      <c r="Q483" s="655"/>
      <c r="R483" s="655"/>
      <c r="S483" s="655"/>
      <c r="T483" s="655"/>
      <c r="U483" s="655"/>
      <c r="V483" s="655"/>
      <c r="W483" s="655"/>
      <c r="X483" s="655"/>
      <c r="Y483" s="655"/>
      <c r="Z483" s="655"/>
    </row>
    <row r="484">
      <c r="B484" s="462"/>
      <c r="C484" s="671"/>
      <c r="D484" s="462"/>
      <c r="E484" s="654"/>
      <c r="F484" s="650"/>
      <c r="G484" s="654"/>
      <c r="H484" s="654"/>
      <c r="I484" s="650"/>
      <c r="J484" s="650"/>
      <c r="K484" s="655"/>
      <c r="L484" s="655"/>
      <c r="M484" s="655"/>
      <c r="N484" s="655"/>
      <c r="O484" s="655"/>
      <c r="P484" s="655"/>
      <c r="Q484" s="655"/>
      <c r="R484" s="655"/>
      <c r="S484" s="655"/>
      <c r="T484" s="655"/>
      <c r="U484" s="655"/>
      <c r="V484" s="655"/>
      <c r="W484" s="655"/>
      <c r="X484" s="655"/>
      <c r="Y484" s="655"/>
      <c r="Z484" s="655"/>
    </row>
    <row r="485">
      <c r="B485" s="462"/>
      <c r="C485" s="671"/>
      <c r="D485" s="462"/>
      <c r="E485" s="654"/>
      <c r="F485" s="650"/>
      <c r="G485" s="654"/>
      <c r="H485" s="654"/>
      <c r="I485" s="650"/>
      <c r="J485" s="650"/>
      <c r="K485" s="655"/>
      <c r="L485" s="655"/>
      <c r="M485" s="655"/>
      <c r="N485" s="655"/>
      <c r="O485" s="655"/>
      <c r="P485" s="655"/>
      <c r="Q485" s="655"/>
      <c r="R485" s="655"/>
      <c r="S485" s="655"/>
      <c r="T485" s="655"/>
      <c r="U485" s="655"/>
      <c r="V485" s="655"/>
      <c r="W485" s="655"/>
      <c r="X485" s="655"/>
      <c r="Y485" s="655"/>
      <c r="Z485" s="655"/>
    </row>
    <row r="486">
      <c r="B486" s="462"/>
      <c r="C486" s="671"/>
      <c r="D486" s="462"/>
      <c r="E486" s="654"/>
      <c r="F486" s="650"/>
      <c r="G486" s="654"/>
      <c r="H486" s="654"/>
      <c r="I486" s="650"/>
      <c r="J486" s="650"/>
      <c r="K486" s="655"/>
      <c r="L486" s="655"/>
      <c r="M486" s="655"/>
      <c r="N486" s="655"/>
      <c r="O486" s="655"/>
      <c r="P486" s="655"/>
      <c r="Q486" s="655"/>
      <c r="R486" s="655"/>
      <c r="S486" s="655"/>
      <c r="T486" s="655"/>
      <c r="U486" s="655"/>
      <c r="V486" s="655"/>
      <c r="W486" s="655"/>
      <c r="X486" s="655"/>
      <c r="Y486" s="655"/>
      <c r="Z486" s="655"/>
    </row>
    <row r="487">
      <c r="B487" s="462"/>
      <c r="C487" s="671"/>
      <c r="D487" s="462"/>
      <c r="E487" s="654"/>
      <c r="F487" s="650"/>
      <c r="G487" s="654"/>
      <c r="H487" s="654"/>
      <c r="I487" s="650"/>
      <c r="J487" s="650"/>
      <c r="K487" s="655"/>
      <c r="L487" s="655"/>
      <c r="M487" s="655"/>
      <c r="N487" s="655"/>
      <c r="O487" s="655"/>
      <c r="P487" s="655"/>
      <c r="Q487" s="655"/>
      <c r="R487" s="655"/>
      <c r="S487" s="655"/>
      <c r="T487" s="655"/>
      <c r="U487" s="655"/>
      <c r="V487" s="655"/>
      <c r="W487" s="655"/>
      <c r="X487" s="655"/>
      <c r="Y487" s="655"/>
      <c r="Z487" s="655"/>
    </row>
    <row r="488">
      <c r="B488" s="462"/>
      <c r="C488" s="671"/>
      <c r="D488" s="462"/>
      <c r="E488" s="654"/>
      <c r="F488" s="650"/>
      <c r="G488" s="654"/>
      <c r="H488" s="654"/>
      <c r="I488" s="650"/>
      <c r="J488" s="650"/>
      <c r="K488" s="655"/>
      <c r="L488" s="655"/>
      <c r="M488" s="655"/>
      <c r="N488" s="655"/>
      <c r="O488" s="655"/>
      <c r="P488" s="655"/>
      <c r="Q488" s="655"/>
      <c r="R488" s="655"/>
      <c r="S488" s="655"/>
      <c r="T488" s="655"/>
      <c r="U488" s="655"/>
      <c r="V488" s="655"/>
      <c r="W488" s="655"/>
      <c r="X488" s="655"/>
      <c r="Y488" s="655"/>
      <c r="Z488" s="655"/>
    </row>
    <row r="489">
      <c r="B489" s="462"/>
      <c r="C489" s="671"/>
      <c r="D489" s="462"/>
      <c r="E489" s="654"/>
      <c r="F489" s="650"/>
      <c r="G489" s="654"/>
      <c r="H489" s="654"/>
      <c r="I489" s="650"/>
      <c r="J489" s="650"/>
      <c r="K489" s="655"/>
      <c r="L489" s="655"/>
      <c r="M489" s="655"/>
      <c r="N489" s="655"/>
      <c r="O489" s="655"/>
      <c r="P489" s="655"/>
      <c r="Q489" s="655"/>
      <c r="R489" s="655"/>
      <c r="S489" s="655"/>
      <c r="T489" s="655"/>
      <c r="U489" s="655"/>
      <c r="V489" s="655"/>
      <c r="W489" s="655"/>
      <c r="X489" s="655"/>
      <c r="Y489" s="655"/>
      <c r="Z489" s="655"/>
    </row>
    <row r="490">
      <c r="B490" s="462"/>
      <c r="C490" s="671"/>
      <c r="D490" s="462"/>
      <c r="E490" s="654"/>
      <c r="F490" s="650"/>
      <c r="G490" s="654"/>
      <c r="H490" s="654"/>
      <c r="I490" s="650"/>
      <c r="J490" s="650"/>
      <c r="K490" s="655"/>
      <c r="L490" s="655"/>
      <c r="M490" s="655"/>
      <c r="N490" s="655"/>
      <c r="O490" s="655"/>
      <c r="P490" s="655"/>
      <c r="Q490" s="655"/>
      <c r="R490" s="655"/>
      <c r="S490" s="655"/>
      <c r="T490" s="655"/>
      <c r="U490" s="655"/>
      <c r="V490" s="655"/>
      <c r="W490" s="655"/>
      <c r="X490" s="655"/>
      <c r="Y490" s="655"/>
      <c r="Z490" s="655"/>
    </row>
    <row r="491">
      <c r="B491" s="462"/>
      <c r="C491" s="671"/>
      <c r="D491" s="462"/>
      <c r="E491" s="654"/>
      <c r="F491" s="650"/>
      <c r="G491" s="654"/>
      <c r="H491" s="654"/>
      <c r="I491" s="650"/>
      <c r="J491" s="650"/>
      <c r="K491" s="655"/>
      <c r="L491" s="655"/>
      <c r="M491" s="655"/>
      <c r="N491" s="655"/>
      <c r="O491" s="655"/>
      <c r="P491" s="655"/>
      <c r="Q491" s="655"/>
      <c r="R491" s="655"/>
      <c r="S491" s="655"/>
      <c r="T491" s="655"/>
      <c r="U491" s="655"/>
      <c r="V491" s="655"/>
      <c r="W491" s="655"/>
      <c r="X491" s="655"/>
      <c r="Y491" s="655"/>
      <c r="Z491" s="655"/>
    </row>
    <row r="492">
      <c r="B492" s="462"/>
      <c r="C492" s="671"/>
      <c r="D492" s="462"/>
      <c r="E492" s="654"/>
      <c r="F492" s="650"/>
      <c r="G492" s="654"/>
      <c r="H492" s="654"/>
      <c r="I492" s="650"/>
      <c r="J492" s="650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</row>
    <row r="493">
      <c r="B493" s="462"/>
      <c r="C493" s="671"/>
      <c r="D493" s="462"/>
      <c r="E493" s="654"/>
      <c r="F493" s="650"/>
      <c r="G493" s="654"/>
      <c r="H493" s="654"/>
      <c r="I493" s="650"/>
      <c r="J493" s="650"/>
      <c r="K493" s="655"/>
      <c r="L493" s="655"/>
      <c r="M493" s="655"/>
      <c r="N493" s="655"/>
      <c r="O493" s="655"/>
      <c r="P493" s="655"/>
      <c r="Q493" s="655"/>
      <c r="R493" s="655"/>
      <c r="S493" s="655"/>
      <c r="T493" s="655"/>
      <c r="U493" s="655"/>
      <c r="V493" s="655"/>
      <c r="W493" s="655"/>
      <c r="X493" s="655"/>
      <c r="Y493" s="655"/>
      <c r="Z493" s="655"/>
    </row>
    <row r="494">
      <c r="B494" s="462"/>
      <c r="C494" s="671"/>
      <c r="D494" s="462"/>
      <c r="E494" s="654"/>
      <c r="F494" s="650"/>
      <c r="G494" s="654"/>
      <c r="H494" s="654"/>
      <c r="I494" s="650"/>
      <c r="J494" s="650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</row>
    <row r="495">
      <c r="B495" s="462"/>
      <c r="C495" s="671"/>
      <c r="D495" s="462"/>
      <c r="E495" s="654"/>
      <c r="F495" s="650"/>
      <c r="G495" s="654"/>
      <c r="H495" s="654"/>
      <c r="I495" s="650"/>
      <c r="J495" s="650"/>
      <c r="K495" s="655"/>
      <c r="L495" s="655"/>
      <c r="M495" s="655"/>
      <c r="N495" s="655"/>
      <c r="O495" s="655"/>
      <c r="P495" s="655"/>
      <c r="Q495" s="655"/>
      <c r="R495" s="655"/>
      <c r="S495" s="655"/>
      <c r="T495" s="655"/>
      <c r="U495" s="655"/>
      <c r="V495" s="655"/>
      <c r="W495" s="655"/>
      <c r="X495" s="655"/>
      <c r="Y495" s="655"/>
      <c r="Z495" s="655"/>
    </row>
    <row r="496">
      <c r="B496" s="462"/>
      <c r="C496" s="671"/>
      <c r="D496" s="462"/>
      <c r="E496" s="654"/>
      <c r="F496" s="650"/>
      <c r="G496" s="654"/>
      <c r="H496" s="654"/>
      <c r="I496" s="650"/>
      <c r="J496" s="650"/>
      <c r="K496" s="655"/>
      <c r="L496" s="655"/>
      <c r="M496" s="655"/>
      <c r="N496" s="655"/>
      <c r="O496" s="655"/>
      <c r="P496" s="655"/>
      <c r="Q496" s="655"/>
      <c r="R496" s="655"/>
      <c r="S496" s="655"/>
      <c r="T496" s="655"/>
      <c r="U496" s="655"/>
      <c r="V496" s="655"/>
      <c r="W496" s="655"/>
      <c r="X496" s="655"/>
      <c r="Y496" s="655"/>
      <c r="Z496" s="655"/>
    </row>
    <row r="497">
      <c r="B497" s="462"/>
      <c r="C497" s="671"/>
      <c r="D497" s="462"/>
      <c r="E497" s="654"/>
      <c r="F497" s="650"/>
      <c r="G497" s="654"/>
      <c r="H497" s="654"/>
      <c r="I497" s="650"/>
      <c r="J497" s="650"/>
      <c r="K497" s="655"/>
      <c r="L497" s="655"/>
      <c r="M497" s="655"/>
      <c r="N497" s="655"/>
      <c r="O497" s="655"/>
      <c r="P497" s="655"/>
      <c r="Q497" s="655"/>
      <c r="R497" s="655"/>
      <c r="S497" s="655"/>
      <c r="T497" s="655"/>
      <c r="U497" s="655"/>
      <c r="V497" s="655"/>
      <c r="W497" s="655"/>
      <c r="X497" s="655"/>
      <c r="Y497" s="655"/>
      <c r="Z497" s="655"/>
    </row>
    <row r="498">
      <c r="B498" s="462"/>
      <c r="C498" s="671"/>
      <c r="D498" s="462"/>
      <c r="E498" s="654"/>
      <c r="F498" s="650"/>
      <c r="G498" s="654"/>
      <c r="H498" s="654"/>
      <c r="I498" s="650"/>
      <c r="J498" s="650"/>
      <c r="K498" s="655"/>
      <c r="L498" s="655"/>
      <c r="M498" s="655"/>
      <c r="N498" s="655"/>
      <c r="O498" s="655"/>
      <c r="P498" s="655"/>
      <c r="Q498" s="655"/>
      <c r="R498" s="655"/>
      <c r="S498" s="655"/>
      <c r="T498" s="655"/>
      <c r="U498" s="655"/>
      <c r="V498" s="655"/>
      <c r="W498" s="655"/>
      <c r="X498" s="655"/>
      <c r="Y498" s="655"/>
      <c r="Z498" s="655"/>
    </row>
    <row r="499">
      <c r="B499" s="462"/>
      <c r="C499" s="671"/>
      <c r="D499" s="462"/>
      <c r="E499" s="654"/>
      <c r="F499" s="650"/>
      <c r="G499" s="654"/>
      <c r="H499" s="654"/>
      <c r="I499" s="650"/>
      <c r="J499" s="650"/>
      <c r="K499" s="655"/>
      <c r="L499" s="655"/>
      <c r="M499" s="655"/>
      <c r="N499" s="655"/>
      <c r="O499" s="655"/>
      <c r="P499" s="655"/>
      <c r="Q499" s="655"/>
      <c r="R499" s="655"/>
      <c r="S499" s="655"/>
      <c r="T499" s="655"/>
      <c r="U499" s="655"/>
      <c r="V499" s="655"/>
      <c r="W499" s="655"/>
      <c r="X499" s="655"/>
      <c r="Y499" s="655"/>
      <c r="Z499" s="655"/>
    </row>
    <row r="500">
      <c r="B500" s="462"/>
      <c r="C500" s="671"/>
      <c r="D500" s="462"/>
      <c r="E500" s="654"/>
      <c r="F500" s="650"/>
      <c r="G500" s="654"/>
      <c r="H500" s="654"/>
      <c r="I500" s="650"/>
      <c r="J500" s="650"/>
      <c r="K500" s="655"/>
      <c r="L500" s="655"/>
      <c r="M500" s="655"/>
      <c r="N500" s="655"/>
      <c r="O500" s="655"/>
      <c r="P500" s="655"/>
      <c r="Q500" s="655"/>
      <c r="R500" s="655"/>
      <c r="S500" s="655"/>
      <c r="T500" s="655"/>
      <c r="U500" s="655"/>
      <c r="V500" s="655"/>
      <c r="W500" s="655"/>
      <c r="X500" s="655"/>
      <c r="Y500" s="655"/>
      <c r="Z500" s="655"/>
    </row>
    <row r="501">
      <c r="B501" s="462"/>
      <c r="C501" s="671"/>
      <c r="D501" s="462"/>
      <c r="E501" s="654"/>
      <c r="F501" s="650"/>
      <c r="G501" s="654"/>
      <c r="H501" s="654"/>
      <c r="I501" s="650"/>
      <c r="J501" s="650"/>
      <c r="K501" s="655"/>
      <c r="L501" s="655"/>
      <c r="M501" s="655"/>
      <c r="N501" s="655"/>
      <c r="O501" s="655"/>
      <c r="P501" s="655"/>
      <c r="Q501" s="655"/>
      <c r="R501" s="655"/>
      <c r="S501" s="655"/>
      <c r="T501" s="655"/>
      <c r="U501" s="655"/>
      <c r="V501" s="655"/>
      <c r="W501" s="655"/>
      <c r="X501" s="655"/>
      <c r="Y501" s="655"/>
      <c r="Z501" s="655"/>
    </row>
    <row r="502">
      <c r="B502" s="462"/>
      <c r="C502" s="671"/>
      <c r="D502" s="462"/>
      <c r="E502" s="654"/>
      <c r="F502" s="650"/>
      <c r="G502" s="654"/>
      <c r="H502" s="654"/>
      <c r="I502" s="650"/>
      <c r="J502" s="650"/>
      <c r="K502" s="655"/>
      <c r="L502" s="655"/>
      <c r="M502" s="655"/>
      <c r="N502" s="655"/>
      <c r="O502" s="655"/>
      <c r="P502" s="655"/>
      <c r="Q502" s="655"/>
      <c r="R502" s="655"/>
      <c r="S502" s="655"/>
      <c r="T502" s="655"/>
      <c r="U502" s="655"/>
      <c r="V502" s="655"/>
      <c r="W502" s="655"/>
      <c r="X502" s="655"/>
      <c r="Y502" s="655"/>
      <c r="Z502" s="655"/>
    </row>
    <row r="503">
      <c r="B503" s="462"/>
      <c r="C503" s="671"/>
      <c r="D503" s="462"/>
      <c r="E503" s="654"/>
      <c r="F503" s="650"/>
      <c r="G503" s="654"/>
      <c r="H503" s="654"/>
      <c r="I503" s="650"/>
      <c r="J503" s="650"/>
      <c r="K503" s="655"/>
      <c r="L503" s="655"/>
      <c r="M503" s="655"/>
      <c r="N503" s="655"/>
      <c r="O503" s="655"/>
      <c r="P503" s="655"/>
      <c r="Q503" s="655"/>
      <c r="R503" s="655"/>
      <c r="S503" s="655"/>
      <c r="T503" s="655"/>
      <c r="U503" s="655"/>
      <c r="V503" s="655"/>
      <c r="W503" s="655"/>
      <c r="X503" s="655"/>
      <c r="Y503" s="655"/>
      <c r="Z503" s="655"/>
    </row>
    <row r="504">
      <c r="B504" s="462"/>
      <c r="C504" s="671"/>
      <c r="D504" s="462"/>
      <c r="E504" s="654"/>
      <c r="F504" s="650"/>
      <c r="G504" s="654"/>
      <c r="H504" s="654"/>
      <c r="I504" s="650"/>
      <c r="J504" s="650"/>
      <c r="K504" s="655"/>
      <c r="L504" s="655"/>
      <c r="M504" s="655"/>
      <c r="N504" s="655"/>
      <c r="O504" s="655"/>
      <c r="P504" s="655"/>
      <c r="Q504" s="655"/>
      <c r="R504" s="655"/>
      <c r="S504" s="655"/>
      <c r="T504" s="655"/>
      <c r="U504" s="655"/>
      <c r="V504" s="655"/>
      <c r="W504" s="655"/>
      <c r="X504" s="655"/>
      <c r="Y504" s="655"/>
      <c r="Z504" s="655"/>
    </row>
    <row r="505">
      <c r="B505" s="462"/>
      <c r="C505" s="671"/>
      <c r="D505" s="462"/>
      <c r="E505" s="654"/>
      <c r="F505" s="650"/>
      <c r="G505" s="654"/>
      <c r="H505" s="654"/>
      <c r="I505" s="650"/>
      <c r="J505" s="650"/>
      <c r="K505" s="655"/>
      <c r="L505" s="655"/>
      <c r="M505" s="655"/>
      <c r="N505" s="655"/>
      <c r="O505" s="655"/>
      <c r="P505" s="655"/>
      <c r="Q505" s="655"/>
      <c r="R505" s="655"/>
      <c r="S505" s="655"/>
      <c r="T505" s="655"/>
      <c r="U505" s="655"/>
      <c r="V505" s="655"/>
      <c r="W505" s="655"/>
      <c r="X505" s="655"/>
      <c r="Y505" s="655"/>
      <c r="Z505" s="655"/>
    </row>
    <row r="506">
      <c r="B506" s="462"/>
      <c r="C506" s="671"/>
      <c r="D506" s="462"/>
      <c r="E506" s="654"/>
      <c r="F506" s="650"/>
      <c r="G506" s="654"/>
      <c r="H506" s="654"/>
      <c r="I506" s="650"/>
      <c r="J506" s="650"/>
      <c r="K506" s="655"/>
      <c r="L506" s="655"/>
      <c r="M506" s="655"/>
      <c r="N506" s="655"/>
      <c r="O506" s="655"/>
      <c r="P506" s="655"/>
      <c r="Q506" s="655"/>
      <c r="R506" s="655"/>
      <c r="S506" s="655"/>
      <c r="T506" s="655"/>
      <c r="U506" s="655"/>
      <c r="V506" s="655"/>
      <c r="W506" s="655"/>
      <c r="X506" s="655"/>
      <c r="Y506" s="655"/>
      <c r="Z506" s="655"/>
    </row>
    <row r="507">
      <c r="B507" s="462"/>
      <c r="C507" s="671"/>
      <c r="D507" s="462"/>
      <c r="E507" s="654"/>
      <c r="F507" s="650"/>
      <c r="G507" s="654"/>
      <c r="H507" s="654"/>
      <c r="I507" s="650"/>
      <c r="J507" s="650"/>
      <c r="K507" s="655"/>
      <c r="L507" s="655"/>
      <c r="M507" s="655"/>
      <c r="N507" s="655"/>
      <c r="O507" s="655"/>
      <c r="P507" s="655"/>
      <c r="Q507" s="655"/>
      <c r="R507" s="655"/>
      <c r="S507" s="655"/>
      <c r="T507" s="655"/>
      <c r="U507" s="655"/>
      <c r="V507" s="655"/>
      <c r="W507" s="655"/>
      <c r="X507" s="655"/>
      <c r="Y507" s="655"/>
      <c r="Z507" s="655"/>
    </row>
    <row r="508">
      <c r="B508" s="462"/>
      <c r="C508" s="671"/>
      <c r="D508" s="462"/>
      <c r="E508" s="654"/>
      <c r="F508" s="650"/>
      <c r="G508" s="654"/>
      <c r="H508" s="654"/>
      <c r="I508" s="650"/>
      <c r="J508" s="650"/>
      <c r="K508" s="655"/>
      <c r="L508" s="655"/>
      <c r="M508" s="655"/>
      <c r="N508" s="655"/>
      <c r="O508" s="655"/>
      <c r="P508" s="655"/>
      <c r="Q508" s="655"/>
      <c r="R508" s="655"/>
      <c r="S508" s="655"/>
      <c r="T508" s="655"/>
      <c r="U508" s="655"/>
      <c r="V508" s="655"/>
      <c r="W508" s="655"/>
      <c r="X508" s="655"/>
      <c r="Y508" s="655"/>
      <c r="Z508" s="655"/>
    </row>
    <row r="509">
      <c r="B509" s="462"/>
      <c r="C509" s="671"/>
      <c r="D509" s="462"/>
      <c r="E509" s="654"/>
      <c r="F509" s="650"/>
      <c r="G509" s="654"/>
      <c r="H509" s="654"/>
      <c r="I509" s="650"/>
      <c r="J509" s="650"/>
      <c r="K509" s="655"/>
      <c r="L509" s="655"/>
      <c r="M509" s="655"/>
      <c r="N509" s="655"/>
      <c r="O509" s="655"/>
      <c r="P509" s="655"/>
      <c r="Q509" s="655"/>
      <c r="R509" s="655"/>
      <c r="S509" s="655"/>
      <c r="T509" s="655"/>
      <c r="U509" s="655"/>
      <c r="V509" s="655"/>
      <c r="W509" s="655"/>
      <c r="X509" s="655"/>
      <c r="Y509" s="655"/>
      <c r="Z509" s="655"/>
    </row>
    <row r="510">
      <c r="B510" s="462"/>
      <c r="C510" s="671"/>
      <c r="D510" s="462"/>
      <c r="E510" s="654"/>
      <c r="F510" s="650"/>
      <c r="G510" s="654"/>
      <c r="H510" s="654"/>
      <c r="I510" s="650"/>
      <c r="J510" s="650"/>
      <c r="K510" s="655"/>
      <c r="L510" s="655"/>
      <c r="M510" s="655"/>
      <c r="N510" s="655"/>
      <c r="O510" s="655"/>
      <c r="P510" s="655"/>
      <c r="Q510" s="655"/>
      <c r="R510" s="655"/>
      <c r="S510" s="655"/>
      <c r="T510" s="655"/>
      <c r="U510" s="655"/>
      <c r="V510" s="655"/>
      <c r="W510" s="655"/>
      <c r="X510" s="655"/>
      <c r="Y510" s="655"/>
      <c r="Z510" s="655"/>
    </row>
    <row r="511">
      <c r="B511" s="462"/>
      <c r="C511" s="671"/>
      <c r="D511" s="462"/>
      <c r="E511" s="654"/>
      <c r="F511" s="650"/>
      <c r="G511" s="654"/>
      <c r="H511" s="654"/>
      <c r="I511" s="650"/>
      <c r="J511" s="650"/>
      <c r="K511" s="655"/>
      <c r="L511" s="655"/>
      <c r="M511" s="655"/>
      <c r="N511" s="655"/>
      <c r="O511" s="655"/>
      <c r="P511" s="655"/>
      <c r="Q511" s="655"/>
      <c r="R511" s="655"/>
      <c r="S511" s="655"/>
      <c r="T511" s="655"/>
      <c r="U511" s="655"/>
      <c r="V511" s="655"/>
      <c r="W511" s="655"/>
      <c r="X511" s="655"/>
      <c r="Y511" s="655"/>
      <c r="Z511" s="655"/>
    </row>
    <row r="512">
      <c r="B512" s="462"/>
      <c r="C512" s="671"/>
      <c r="D512" s="462"/>
      <c r="E512" s="654"/>
      <c r="F512" s="650"/>
      <c r="G512" s="654"/>
      <c r="H512" s="654"/>
      <c r="I512" s="650"/>
      <c r="J512" s="650"/>
      <c r="K512" s="655"/>
      <c r="L512" s="655"/>
      <c r="M512" s="655"/>
      <c r="N512" s="655"/>
      <c r="O512" s="655"/>
      <c r="P512" s="655"/>
      <c r="Q512" s="655"/>
      <c r="R512" s="655"/>
      <c r="S512" s="655"/>
      <c r="T512" s="655"/>
      <c r="U512" s="655"/>
      <c r="V512" s="655"/>
      <c r="W512" s="655"/>
      <c r="X512" s="655"/>
      <c r="Y512" s="655"/>
      <c r="Z512" s="655"/>
    </row>
    <row r="513">
      <c r="B513" s="462"/>
      <c r="C513" s="671"/>
      <c r="D513" s="462"/>
      <c r="E513" s="654"/>
      <c r="F513" s="650"/>
      <c r="G513" s="654"/>
      <c r="H513" s="654"/>
      <c r="I513" s="650"/>
      <c r="J513" s="650"/>
      <c r="K513" s="655"/>
      <c r="L513" s="655"/>
      <c r="M513" s="655"/>
      <c r="N513" s="655"/>
      <c r="O513" s="655"/>
      <c r="P513" s="655"/>
      <c r="Q513" s="655"/>
      <c r="R513" s="655"/>
      <c r="S513" s="655"/>
      <c r="T513" s="655"/>
      <c r="U513" s="655"/>
      <c r="V513" s="655"/>
      <c r="W513" s="655"/>
      <c r="X513" s="655"/>
      <c r="Y513" s="655"/>
      <c r="Z513" s="655"/>
    </row>
    <row r="514">
      <c r="B514" s="462"/>
      <c r="C514" s="671"/>
      <c r="D514" s="462"/>
      <c r="E514" s="654"/>
      <c r="F514" s="650"/>
      <c r="G514" s="654"/>
      <c r="H514" s="654"/>
      <c r="I514" s="650"/>
      <c r="J514" s="650"/>
      <c r="K514" s="655"/>
      <c r="L514" s="655"/>
      <c r="M514" s="655"/>
      <c r="N514" s="655"/>
      <c r="O514" s="655"/>
      <c r="P514" s="655"/>
      <c r="Q514" s="655"/>
      <c r="R514" s="655"/>
      <c r="S514" s="655"/>
      <c r="T514" s="655"/>
      <c r="U514" s="655"/>
      <c r="V514" s="655"/>
      <c r="W514" s="655"/>
      <c r="X514" s="655"/>
      <c r="Y514" s="655"/>
      <c r="Z514" s="655"/>
    </row>
    <row r="515">
      <c r="B515" s="462"/>
      <c r="C515" s="671"/>
      <c r="D515" s="462"/>
      <c r="E515" s="654"/>
      <c r="F515" s="650"/>
      <c r="G515" s="654"/>
      <c r="H515" s="654"/>
      <c r="I515" s="650"/>
      <c r="J515" s="650"/>
      <c r="K515" s="655"/>
      <c r="L515" s="655"/>
      <c r="M515" s="655"/>
      <c r="N515" s="655"/>
      <c r="O515" s="655"/>
      <c r="P515" s="655"/>
      <c r="Q515" s="655"/>
      <c r="R515" s="655"/>
      <c r="S515" s="655"/>
      <c r="T515" s="655"/>
      <c r="U515" s="655"/>
      <c r="V515" s="655"/>
      <c r="W515" s="655"/>
      <c r="X515" s="655"/>
      <c r="Y515" s="655"/>
      <c r="Z515" s="655"/>
    </row>
    <row r="516">
      <c r="B516" s="462"/>
      <c r="C516" s="671"/>
      <c r="D516" s="462"/>
      <c r="E516" s="654"/>
      <c r="F516" s="650"/>
      <c r="G516" s="654"/>
      <c r="H516" s="654"/>
      <c r="I516" s="650"/>
      <c r="J516" s="650"/>
      <c r="K516" s="655"/>
      <c r="L516" s="655"/>
      <c r="M516" s="655"/>
      <c r="N516" s="655"/>
      <c r="O516" s="655"/>
      <c r="P516" s="655"/>
      <c r="Q516" s="655"/>
      <c r="R516" s="655"/>
      <c r="S516" s="655"/>
      <c r="T516" s="655"/>
      <c r="U516" s="655"/>
      <c r="V516" s="655"/>
      <c r="W516" s="655"/>
      <c r="X516" s="655"/>
      <c r="Y516" s="655"/>
      <c r="Z516" s="655"/>
    </row>
    <row r="517">
      <c r="B517" s="462"/>
      <c r="C517" s="671"/>
      <c r="D517" s="462"/>
      <c r="E517" s="654"/>
      <c r="F517" s="650"/>
      <c r="G517" s="654"/>
      <c r="H517" s="654"/>
      <c r="I517" s="650"/>
      <c r="J517" s="650"/>
      <c r="K517" s="655"/>
      <c r="L517" s="655"/>
      <c r="M517" s="655"/>
      <c r="N517" s="655"/>
      <c r="O517" s="655"/>
      <c r="P517" s="655"/>
      <c r="Q517" s="655"/>
      <c r="R517" s="655"/>
      <c r="S517" s="655"/>
      <c r="T517" s="655"/>
      <c r="U517" s="655"/>
      <c r="V517" s="655"/>
      <c r="W517" s="655"/>
      <c r="X517" s="655"/>
      <c r="Y517" s="655"/>
      <c r="Z517" s="655"/>
    </row>
    <row r="518">
      <c r="B518" s="462"/>
      <c r="C518" s="671"/>
      <c r="D518" s="462"/>
      <c r="E518" s="654"/>
      <c r="F518" s="650"/>
      <c r="G518" s="654"/>
      <c r="H518" s="654"/>
      <c r="I518" s="650"/>
      <c r="J518" s="650"/>
      <c r="K518" s="655"/>
      <c r="L518" s="655"/>
      <c r="M518" s="655"/>
      <c r="N518" s="655"/>
      <c r="O518" s="655"/>
      <c r="P518" s="655"/>
      <c r="Q518" s="655"/>
      <c r="R518" s="655"/>
      <c r="S518" s="655"/>
      <c r="T518" s="655"/>
      <c r="U518" s="655"/>
      <c r="V518" s="655"/>
      <c r="W518" s="655"/>
      <c r="X518" s="655"/>
      <c r="Y518" s="655"/>
      <c r="Z518" s="655"/>
    </row>
    <row r="519">
      <c r="B519" s="462"/>
      <c r="C519" s="671"/>
      <c r="D519" s="462"/>
      <c r="E519" s="654"/>
      <c r="F519" s="650"/>
      <c r="G519" s="654"/>
      <c r="H519" s="654"/>
      <c r="I519" s="650"/>
      <c r="J519" s="650"/>
      <c r="K519" s="655"/>
      <c r="L519" s="655"/>
      <c r="M519" s="655"/>
      <c r="N519" s="655"/>
      <c r="O519" s="655"/>
      <c r="P519" s="655"/>
      <c r="Q519" s="655"/>
      <c r="R519" s="655"/>
      <c r="S519" s="655"/>
      <c r="T519" s="655"/>
      <c r="U519" s="655"/>
      <c r="V519" s="655"/>
      <c r="W519" s="655"/>
      <c r="X519" s="655"/>
      <c r="Y519" s="655"/>
      <c r="Z519" s="655"/>
    </row>
    <row r="520">
      <c r="B520" s="462"/>
      <c r="C520" s="671"/>
      <c r="D520" s="462"/>
      <c r="E520" s="654"/>
      <c r="F520" s="650"/>
      <c r="G520" s="654"/>
      <c r="H520" s="654"/>
      <c r="I520" s="650"/>
      <c r="J520" s="650"/>
      <c r="K520" s="655"/>
      <c r="L520" s="655"/>
      <c r="M520" s="655"/>
      <c r="N520" s="655"/>
      <c r="O520" s="655"/>
      <c r="P520" s="655"/>
      <c r="Q520" s="655"/>
      <c r="R520" s="655"/>
      <c r="S520" s="655"/>
      <c r="T520" s="655"/>
      <c r="U520" s="655"/>
      <c r="V520" s="655"/>
      <c r="W520" s="655"/>
      <c r="X520" s="655"/>
      <c r="Y520" s="655"/>
      <c r="Z520" s="655"/>
    </row>
    <row r="521">
      <c r="B521" s="462"/>
      <c r="C521" s="671"/>
      <c r="D521" s="462"/>
      <c r="E521" s="654"/>
      <c r="F521" s="650"/>
      <c r="G521" s="654"/>
      <c r="H521" s="654"/>
      <c r="I521" s="650"/>
      <c r="J521" s="650"/>
      <c r="K521" s="655"/>
      <c r="L521" s="655"/>
      <c r="M521" s="655"/>
      <c r="N521" s="655"/>
      <c r="O521" s="655"/>
      <c r="P521" s="655"/>
      <c r="Q521" s="655"/>
      <c r="R521" s="655"/>
      <c r="S521" s="655"/>
      <c r="T521" s="655"/>
      <c r="U521" s="655"/>
      <c r="V521" s="655"/>
      <c r="W521" s="655"/>
      <c r="X521" s="655"/>
      <c r="Y521" s="655"/>
      <c r="Z521" s="655"/>
    </row>
    <row r="522">
      <c r="B522" s="462"/>
      <c r="C522" s="671"/>
      <c r="D522" s="462"/>
      <c r="E522" s="654"/>
      <c r="F522" s="650"/>
      <c r="G522" s="654"/>
      <c r="H522" s="654"/>
      <c r="I522" s="650"/>
      <c r="J522" s="650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</row>
    <row r="523">
      <c r="B523" s="462"/>
      <c r="C523" s="671"/>
      <c r="D523" s="462"/>
      <c r="E523" s="654"/>
      <c r="F523" s="650"/>
      <c r="G523" s="654"/>
      <c r="H523" s="654"/>
      <c r="I523" s="650"/>
      <c r="J523" s="650"/>
      <c r="K523" s="655"/>
      <c r="L523" s="655"/>
      <c r="M523" s="655"/>
      <c r="N523" s="655"/>
      <c r="O523" s="655"/>
      <c r="P523" s="655"/>
      <c r="Q523" s="655"/>
      <c r="R523" s="655"/>
      <c r="S523" s="655"/>
      <c r="T523" s="655"/>
      <c r="U523" s="655"/>
      <c r="V523" s="655"/>
      <c r="W523" s="655"/>
      <c r="X523" s="655"/>
      <c r="Y523" s="655"/>
      <c r="Z523" s="655"/>
    </row>
    <row r="524">
      <c r="B524" s="462"/>
      <c r="C524" s="671"/>
      <c r="D524" s="462"/>
      <c r="E524" s="654"/>
      <c r="F524" s="650"/>
      <c r="G524" s="654"/>
      <c r="H524" s="654"/>
      <c r="I524" s="650"/>
      <c r="J524" s="650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</row>
    <row r="525">
      <c r="B525" s="462"/>
      <c r="C525" s="671"/>
      <c r="D525" s="462"/>
      <c r="E525" s="654"/>
      <c r="F525" s="650"/>
      <c r="G525" s="654"/>
      <c r="H525" s="654"/>
      <c r="I525" s="650"/>
      <c r="J525" s="650"/>
      <c r="K525" s="655"/>
      <c r="L525" s="655"/>
      <c r="M525" s="655"/>
      <c r="N525" s="655"/>
      <c r="O525" s="655"/>
      <c r="P525" s="655"/>
      <c r="Q525" s="655"/>
      <c r="R525" s="655"/>
      <c r="S525" s="655"/>
      <c r="T525" s="655"/>
      <c r="U525" s="655"/>
      <c r="V525" s="655"/>
      <c r="W525" s="655"/>
      <c r="X525" s="655"/>
      <c r="Y525" s="655"/>
      <c r="Z525" s="655"/>
    </row>
    <row r="526">
      <c r="B526" s="462"/>
      <c r="C526" s="671"/>
      <c r="D526" s="462"/>
      <c r="E526" s="654"/>
      <c r="F526" s="650"/>
      <c r="G526" s="654"/>
      <c r="H526" s="654"/>
      <c r="I526" s="650"/>
      <c r="J526" s="650"/>
      <c r="K526" s="655"/>
      <c r="L526" s="655"/>
      <c r="M526" s="655"/>
      <c r="N526" s="655"/>
      <c r="O526" s="655"/>
      <c r="P526" s="655"/>
      <c r="Q526" s="655"/>
      <c r="R526" s="655"/>
      <c r="S526" s="655"/>
      <c r="T526" s="655"/>
      <c r="U526" s="655"/>
      <c r="V526" s="655"/>
      <c r="W526" s="655"/>
      <c r="X526" s="655"/>
      <c r="Y526" s="655"/>
      <c r="Z526" s="655"/>
    </row>
    <row r="527">
      <c r="B527" s="462"/>
      <c r="C527" s="671"/>
      <c r="D527" s="462"/>
      <c r="E527" s="654"/>
      <c r="F527" s="650"/>
      <c r="G527" s="654"/>
      <c r="H527" s="654"/>
      <c r="I527" s="650"/>
      <c r="J527" s="650"/>
      <c r="K527" s="655"/>
      <c r="L527" s="655"/>
      <c r="M527" s="655"/>
      <c r="N527" s="655"/>
      <c r="O527" s="655"/>
      <c r="P527" s="655"/>
      <c r="Q527" s="655"/>
      <c r="R527" s="655"/>
      <c r="S527" s="655"/>
      <c r="T527" s="655"/>
      <c r="U527" s="655"/>
      <c r="V527" s="655"/>
      <c r="W527" s="655"/>
      <c r="X527" s="655"/>
      <c r="Y527" s="655"/>
      <c r="Z527" s="655"/>
    </row>
    <row r="528">
      <c r="B528" s="462"/>
      <c r="C528" s="671"/>
      <c r="D528" s="462"/>
      <c r="E528" s="654"/>
      <c r="F528" s="650"/>
      <c r="G528" s="654"/>
      <c r="H528" s="654"/>
      <c r="I528" s="650"/>
      <c r="J528" s="650"/>
      <c r="K528" s="655"/>
      <c r="L528" s="655"/>
      <c r="M528" s="655"/>
      <c r="N528" s="655"/>
      <c r="O528" s="655"/>
      <c r="P528" s="655"/>
      <c r="Q528" s="655"/>
      <c r="R528" s="655"/>
      <c r="S528" s="655"/>
      <c r="T528" s="655"/>
      <c r="U528" s="655"/>
      <c r="V528" s="655"/>
      <c r="W528" s="655"/>
      <c r="X528" s="655"/>
      <c r="Y528" s="655"/>
      <c r="Z528" s="655"/>
    </row>
    <row r="529">
      <c r="B529" s="462"/>
      <c r="C529" s="671"/>
      <c r="D529" s="462"/>
      <c r="E529" s="654"/>
      <c r="F529" s="650"/>
      <c r="G529" s="654"/>
      <c r="H529" s="654"/>
      <c r="I529" s="650"/>
      <c r="J529" s="650"/>
      <c r="K529" s="655"/>
      <c r="L529" s="655"/>
      <c r="M529" s="655"/>
      <c r="N529" s="655"/>
      <c r="O529" s="655"/>
      <c r="P529" s="655"/>
      <c r="Q529" s="655"/>
      <c r="R529" s="655"/>
      <c r="S529" s="655"/>
      <c r="T529" s="655"/>
      <c r="U529" s="655"/>
      <c r="V529" s="655"/>
      <c r="W529" s="655"/>
      <c r="X529" s="655"/>
      <c r="Y529" s="655"/>
      <c r="Z529" s="655"/>
    </row>
    <row r="530">
      <c r="B530" s="462"/>
      <c r="C530" s="671"/>
      <c r="D530" s="462"/>
      <c r="E530" s="654"/>
      <c r="F530" s="650"/>
      <c r="G530" s="654"/>
      <c r="H530" s="654"/>
      <c r="I530" s="650"/>
      <c r="J530" s="650"/>
      <c r="K530" s="655"/>
      <c r="L530" s="655"/>
      <c r="M530" s="655"/>
      <c r="N530" s="655"/>
      <c r="O530" s="655"/>
      <c r="P530" s="655"/>
      <c r="Q530" s="655"/>
      <c r="R530" s="655"/>
      <c r="S530" s="655"/>
      <c r="T530" s="655"/>
      <c r="U530" s="655"/>
      <c r="V530" s="655"/>
      <c r="W530" s="655"/>
      <c r="X530" s="655"/>
      <c r="Y530" s="655"/>
      <c r="Z530" s="655"/>
    </row>
    <row r="531">
      <c r="B531" s="462"/>
      <c r="C531" s="671"/>
      <c r="D531" s="462"/>
      <c r="E531" s="654"/>
      <c r="F531" s="650"/>
      <c r="G531" s="654"/>
      <c r="H531" s="654"/>
      <c r="I531" s="650"/>
      <c r="J531" s="650"/>
      <c r="K531" s="655"/>
      <c r="L531" s="655"/>
      <c r="M531" s="655"/>
      <c r="N531" s="655"/>
      <c r="O531" s="655"/>
      <c r="P531" s="655"/>
      <c r="Q531" s="655"/>
      <c r="R531" s="655"/>
      <c r="S531" s="655"/>
      <c r="T531" s="655"/>
      <c r="U531" s="655"/>
      <c r="V531" s="655"/>
      <c r="W531" s="655"/>
      <c r="X531" s="655"/>
      <c r="Y531" s="655"/>
      <c r="Z531" s="655"/>
    </row>
    <row r="532">
      <c r="B532" s="462"/>
      <c r="C532" s="671"/>
      <c r="D532" s="462"/>
      <c r="E532" s="654"/>
      <c r="F532" s="650"/>
      <c r="G532" s="654"/>
      <c r="H532" s="654"/>
      <c r="I532" s="650"/>
      <c r="J532" s="650"/>
      <c r="K532" s="655"/>
      <c r="L532" s="655"/>
      <c r="M532" s="655"/>
      <c r="N532" s="655"/>
      <c r="O532" s="655"/>
      <c r="P532" s="655"/>
      <c r="Q532" s="655"/>
      <c r="R532" s="655"/>
      <c r="S532" s="655"/>
      <c r="T532" s="655"/>
      <c r="U532" s="655"/>
      <c r="V532" s="655"/>
      <c r="W532" s="655"/>
      <c r="X532" s="655"/>
      <c r="Y532" s="655"/>
      <c r="Z532" s="655"/>
    </row>
    <row r="533">
      <c r="B533" s="462"/>
      <c r="C533" s="671"/>
      <c r="D533" s="462"/>
      <c r="E533" s="654"/>
      <c r="F533" s="650"/>
      <c r="G533" s="654"/>
      <c r="H533" s="654"/>
      <c r="I533" s="650"/>
      <c r="J533" s="650"/>
      <c r="K533" s="655"/>
      <c r="L533" s="655"/>
      <c r="M533" s="655"/>
      <c r="N533" s="655"/>
      <c r="O533" s="655"/>
      <c r="P533" s="655"/>
      <c r="Q533" s="655"/>
      <c r="R533" s="655"/>
      <c r="S533" s="655"/>
      <c r="T533" s="655"/>
      <c r="U533" s="655"/>
      <c r="V533" s="655"/>
      <c r="W533" s="655"/>
      <c r="X533" s="655"/>
      <c r="Y533" s="655"/>
      <c r="Z533" s="655"/>
    </row>
    <row r="534">
      <c r="B534" s="462"/>
      <c r="C534" s="671"/>
      <c r="D534" s="462"/>
      <c r="E534" s="654"/>
      <c r="F534" s="650"/>
      <c r="G534" s="654"/>
      <c r="H534" s="654"/>
      <c r="I534" s="650"/>
      <c r="J534" s="650"/>
      <c r="K534" s="655"/>
      <c r="L534" s="655"/>
      <c r="M534" s="655"/>
      <c r="N534" s="655"/>
      <c r="O534" s="655"/>
      <c r="P534" s="655"/>
      <c r="Q534" s="655"/>
      <c r="R534" s="655"/>
      <c r="S534" s="655"/>
      <c r="T534" s="655"/>
      <c r="U534" s="655"/>
      <c r="V534" s="655"/>
      <c r="W534" s="655"/>
      <c r="X534" s="655"/>
      <c r="Y534" s="655"/>
      <c r="Z534" s="655"/>
    </row>
    <row r="535">
      <c r="B535" s="462"/>
      <c r="C535" s="671"/>
      <c r="D535" s="462"/>
      <c r="E535" s="654"/>
      <c r="F535" s="650"/>
      <c r="G535" s="654"/>
      <c r="H535" s="654"/>
      <c r="I535" s="650"/>
      <c r="J535" s="650"/>
      <c r="K535" s="655"/>
      <c r="L535" s="655"/>
      <c r="M535" s="655"/>
      <c r="N535" s="655"/>
      <c r="O535" s="655"/>
      <c r="P535" s="655"/>
      <c r="Q535" s="655"/>
      <c r="R535" s="655"/>
      <c r="S535" s="655"/>
      <c r="T535" s="655"/>
      <c r="U535" s="655"/>
      <c r="V535" s="655"/>
      <c r="W535" s="655"/>
      <c r="X535" s="655"/>
      <c r="Y535" s="655"/>
      <c r="Z535" s="655"/>
    </row>
    <row r="536">
      <c r="B536" s="462"/>
      <c r="C536" s="671"/>
      <c r="D536" s="462"/>
      <c r="E536" s="654"/>
      <c r="F536" s="650"/>
      <c r="G536" s="654"/>
      <c r="H536" s="654"/>
      <c r="I536" s="650"/>
      <c r="J536" s="650"/>
      <c r="K536" s="655"/>
      <c r="L536" s="655"/>
      <c r="M536" s="655"/>
      <c r="N536" s="655"/>
      <c r="O536" s="655"/>
      <c r="P536" s="655"/>
      <c r="Q536" s="655"/>
      <c r="R536" s="655"/>
      <c r="S536" s="655"/>
      <c r="T536" s="655"/>
      <c r="U536" s="655"/>
      <c r="V536" s="655"/>
      <c r="W536" s="655"/>
      <c r="X536" s="655"/>
      <c r="Y536" s="655"/>
      <c r="Z536" s="655"/>
    </row>
    <row r="537">
      <c r="B537" s="462"/>
      <c r="C537" s="671"/>
      <c r="D537" s="462"/>
      <c r="E537" s="654"/>
      <c r="F537" s="650"/>
      <c r="G537" s="654"/>
      <c r="H537" s="654"/>
      <c r="I537" s="650"/>
      <c r="J537" s="650"/>
      <c r="K537" s="655"/>
      <c r="L537" s="655"/>
      <c r="M537" s="655"/>
      <c r="N537" s="655"/>
      <c r="O537" s="655"/>
      <c r="P537" s="655"/>
      <c r="Q537" s="655"/>
      <c r="R537" s="655"/>
      <c r="S537" s="655"/>
      <c r="T537" s="655"/>
      <c r="U537" s="655"/>
      <c r="V537" s="655"/>
      <c r="W537" s="655"/>
      <c r="X537" s="655"/>
      <c r="Y537" s="655"/>
      <c r="Z537" s="655"/>
    </row>
    <row r="538">
      <c r="B538" s="462"/>
      <c r="C538" s="671"/>
      <c r="D538" s="462"/>
      <c r="E538" s="654"/>
      <c r="F538" s="650"/>
      <c r="G538" s="654"/>
      <c r="H538" s="654"/>
      <c r="I538" s="650"/>
      <c r="J538" s="650"/>
      <c r="K538" s="655"/>
      <c r="L538" s="655"/>
      <c r="M538" s="655"/>
      <c r="N538" s="655"/>
      <c r="O538" s="655"/>
      <c r="P538" s="655"/>
      <c r="Q538" s="655"/>
      <c r="R538" s="655"/>
      <c r="S538" s="655"/>
      <c r="T538" s="655"/>
      <c r="U538" s="655"/>
      <c r="V538" s="655"/>
      <c r="W538" s="655"/>
      <c r="X538" s="655"/>
      <c r="Y538" s="655"/>
      <c r="Z538" s="655"/>
    </row>
    <row r="539">
      <c r="B539" s="462"/>
      <c r="C539" s="671"/>
      <c r="D539" s="462"/>
      <c r="E539" s="654"/>
      <c r="F539" s="650"/>
      <c r="G539" s="654"/>
      <c r="H539" s="654"/>
      <c r="I539" s="650"/>
      <c r="J539" s="650"/>
      <c r="K539" s="655"/>
      <c r="L539" s="655"/>
      <c r="M539" s="655"/>
      <c r="N539" s="655"/>
      <c r="O539" s="655"/>
      <c r="P539" s="655"/>
      <c r="Q539" s="655"/>
      <c r="R539" s="655"/>
      <c r="S539" s="655"/>
      <c r="T539" s="655"/>
      <c r="U539" s="655"/>
      <c r="V539" s="655"/>
      <c r="W539" s="655"/>
      <c r="X539" s="655"/>
      <c r="Y539" s="655"/>
      <c r="Z539" s="655"/>
    </row>
    <row r="540">
      <c r="B540" s="462"/>
      <c r="C540" s="671"/>
      <c r="D540" s="462"/>
      <c r="E540" s="654"/>
      <c r="F540" s="650"/>
      <c r="G540" s="654"/>
      <c r="H540" s="654"/>
      <c r="I540" s="650"/>
      <c r="J540" s="650"/>
      <c r="K540" s="655"/>
      <c r="L540" s="655"/>
      <c r="M540" s="655"/>
      <c r="N540" s="655"/>
      <c r="O540" s="655"/>
      <c r="P540" s="655"/>
      <c r="Q540" s="655"/>
      <c r="R540" s="655"/>
      <c r="S540" s="655"/>
      <c r="T540" s="655"/>
      <c r="U540" s="655"/>
      <c r="V540" s="655"/>
      <c r="W540" s="655"/>
      <c r="X540" s="655"/>
      <c r="Y540" s="655"/>
      <c r="Z540" s="655"/>
    </row>
    <row r="541">
      <c r="B541" s="462"/>
      <c r="C541" s="671"/>
      <c r="D541" s="462"/>
      <c r="E541" s="654"/>
      <c r="F541" s="650"/>
      <c r="G541" s="654"/>
      <c r="H541" s="654"/>
      <c r="I541" s="650"/>
      <c r="J541" s="650"/>
      <c r="K541" s="655"/>
      <c r="L541" s="655"/>
      <c r="M541" s="655"/>
      <c r="N541" s="655"/>
      <c r="O541" s="655"/>
      <c r="P541" s="655"/>
      <c r="Q541" s="655"/>
      <c r="R541" s="655"/>
      <c r="S541" s="655"/>
      <c r="T541" s="655"/>
      <c r="U541" s="655"/>
      <c r="V541" s="655"/>
      <c r="W541" s="655"/>
      <c r="X541" s="655"/>
      <c r="Y541" s="655"/>
      <c r="Z541" s="655"/>
    </row>
    <row r="542">
      <c r="B542" s="462"/>
      <c r="C542" s="671"/>
      <c r="D542" s="462"/>
      <c r="E542" s="654"/>
      <c r="F542" s="650"/>
      <c r="G542" s="654"/>
      <c r="H542" s="654"/>
      <c r="I542" s="650"/>
      <c r="J542" s="650"/>
      <c r="K542" s="655"/>
      <c r="L542" s="655"/>
      <c r="M542" s="655"/>
      <c r="N542" s="655"/>
      <c r="O542" s="655"/>
      <c r="P542" s="655"/>
      <c r="Q542" s="655"/>
      <c r="R542" s="655"/>
      <c r="S542" s="655"/>
      <c r="T542" s="655"/>
      <c r="U542" s="655"/>
      <c r="V542" s="655"/>
      <c r="W542" s="655"/>
      <c r="X542" s="655"/>
      <c r="Y542" s="655"/>
      <c r="Z542" s="655"/>
    </row>
    <row r="543">
      <c r="B543" s="462"/>
      <c r="C543" s="671"/>
      <c r="D543" s="462"/>
      <c r="E543" s="654"/>
      <c r="F543" s="650"/>
      <c r="G543" s="654"/>
      <c r="H543" s="654"/>
      <c r="I543" s="650"/>
      <c r="J543" s="650"/>
      <c r="K543" s="655"/>
      <c r="L543" s="655"/>
      <c r="M543" s="655"/>
      <c r="N543" s="655"/>
      <c r="O543" s="655"/>
      <c r="P543" s="655"/>
      <c r="Q543" s="655"/>
      <c r="R543" s="655"/>
      <c r="S543" s="655"/>
      <c r="T543" s="655"/>
      <c r="U543" s="655"/>
      <c r="V543" s="655"/>
      <c r="W543" s="655"/>
      <c r="X543" s="655"/>
      <c r="Y543" s="655"/>
      <c r="Z543" s="655"/>
    </row>
    <row r="544">
      <c r="B544" s="462"/>
      <c r="C544" s="671"/>
      <c r="D544" s="462"/>
      <c r="E544" s="654"/>
      <c r="F544" s="650"/>
      <c r="G544" s="654"/>
      <c r="H544" s="654"/>
      <c r="I544" s="650"/>
      <c r="J544" s="650"/>
      <c r="K544" s="655"/>
      <c r="L544" s="655"/>
      <c r="M544" s="655"/>
      <c r="N544" s="655"/>
      <c r="O544" s="655"/>
      <c r="P544" s="655"/>
      <c r="Q544" s="655"/>
      <c r="R544" s="655"/>
      <c r="S544" s="655"/>
      <c r="T544" s="655"/>
      <c r="U544" s="655"/>
      <c r="V544" s="655"/>
      <c r="W544" s="655"/>
      <c r="X544" s="655"/>
      <c r="Y544" s="655"/>
      <c r="Z544" s="655"/>
    </row>
    <row r="545">
      <c r="B545" s="462"/>
      <c r="C545" s="671"/>
      <c r="D545" s="462"/>
      <c r="E545" s="654"/>
      <c r="F545" s="650"/>
      <c r="G545" s="654"/>
      <c r="H545" s="654"/>
      <c r="I545" s="650"/>
      <c r="J545" s="650"/>
      <c r="K545" s="655"/>
      <c r="L545" s="655"/>
      <c r="M545" s="655"/>
      <c r="N545" s="655"/>
      <c r="O545" s="655"/>
      <c r="P545" s="655"/>
      <c r="Q545" s="655"/>
      <c r="R545" s="655"/>
      <c r="S545" s="655"/>
      <c r="T545" s="655"/>
      <c r="U545" s="655"/>
      <c r="V545" s="655"/>
      <c r="W545" s="655"/>
      <c r="X545" s="655"/>
      <c r="Y545" s="655"/>
      <c r="Z545" s="655"/>
    </row>
    <row r="546">
      <c r="B546" s="462"/>
      <c r="C546" s="671"/>
      <c r="D546" s="462"/>
      <c r="E546" s="654"/>
      <c r="F546" s="650"/>
      <c r="G546" s="654"/>
      <c r="H546" s="654"/>
      <c r="I546" s="650"/>
      <c r="J546" s="650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</row>
    <row r="547">
      <c r="B547" s="462"/>
      <c r="C547" s="671"/>
      <c r="D547" s="462"/>
      <c r="E547" s="654"/>
      <c r="F547" s="650"/>
      <c r="G547" s="654"/>
      <c r="H547" s="654"/>
      <c r="I547" s="650"/>
      <c r="J547" s="650"/>
      <c r="K547" s="655"/>
      <c r="L547" s="655"/>
      <c r="M547" s="655"/>
      <c r="N547" s="655"/>
      <c r="O547" s="655"/>
      <c r="P547" s="655"/>
      <c r="Q547" s="655"/>
      <c r="R547" s="655"/>
      <c r="S547" s="655"/>
      <c r="T547" s="655"/>
      <c r="U547" s="655"/>
      <c r="V547" s="655"/>
      <c r="W547" s="655"/>
      <c r="X547" s="655"/>
      <c r="Y547" s="655"/>
      <c r="Z547" s="655"/>
    </row>
    <row r="548">
      <c r="B548" s="462"/>
      <c r="C548" s="671"/>
      <c r="D548" s="462"/>
      <c r="E548" s="654"/>
      <c r="F548" s="650"/>
      <c r="G548" s="654"/>
      <c r="H548" s="654"/>
      <c r="I548" s="650"/>
      <c r="J548" s="650"/>
      <c r="K548" s="655"/>
      <c r="L548" s="655"/>
      <c r="M548" s="655"/>
      <c r="N548" s="655"/>
      <c r="O548" s="655"/>
      <c r="P548" s="655"/>
      <c r="Q548" s="655"/>
      <c r="R548" s="655"/>
      <c r="S548" s="655"/>
      <c r="T548" s="655"/>
      <c r="U548" s="655"/>
      <c r="V548" s="655"/>
      <c r="W548" s="655"/>
      <c r="X548" s="655"/>
      <c r="Y548" s="655"/>
      <c r="Z548" s="655"/>
    </row>
    <row r="549">
      <c r="B549" s="462"/>
      <c r="C549" s="671"/>
      <c r="D549" s="462"/>
      <c r="E549" s="654"/>
      <c r="F549" s="650"/>
      <c r="G549" s="654"/>
      <c r="H549" s="654"/>
      <c r="I549" s="650"/>
      <c r="J549" s="650"/>
      <c r="K549" s="655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</row>
    <row r="550">
      <c r="B550" s="462"/>
      <c r="C550" s="671"/>
      <c r="D550" s="462"/>
      <c r="E550" s="654"/>
      <c r="F550" s="650"/>
      <c r="G550" s="654"/>
      <c r="H550" s="654"/>
      <c r="I550" s="650"/>
      <c r="J550" s="650"/>
      <c r="K550" s="655"/>
      <c r="L550" s="655"/>
      <c r="M550" s="655"/>
      <c r="N550" s="655"/>
      <c r="O550" s="655"/>
      <c r="P550" s="655"/>
      <c r="Q550" s="655"/>
      <c r="R550" s="655"/>
      <c r="S550" s="655"/>
      <c r="T550" s="655"/>
      <c r="U550" s="655"/>
      <c r="V550" s="655"/>
      <c r="W550" s="655"/>
      <c r="X550" s="655"/>
      <c r="Y550" s="655"/>
      <c r="Z550" s="655"/>
    </row>
    <row r="551">
      <c r="B551" s="462"/>
      <c r="C551" s="671"/>
      <c r="D551" s="462"/>
      <c r="E551" s="654"/>
      <c r="F551" s="650"/>
      <c r="G551" s="654"/>
      <c r="H551" s="654"/>
      <c r="I551" s="650"/>
      <c r="J551" s="650"/>
      <c r="K551" s="655"/>
      <c r="L551" s="655"/>
      <c r="M551" s="655"/>
      <c r="N551" s="655"/>
      <c r="O551" s="655"/>
      <c r="P551" s="655"/>
      <c r="Q551" s="655"/>
      <c r="R551" s="655"/>
      <c r="S551" s="655"/>
      <c r="T551" s="655"/>
      <c r="U551" s="655"/>
      <c r="V551" s="655"/>
      <c r="W551" s="655"/>
      <c r="X551" s="655"/>
      <c r="Y551" s="655"/>
      <c r="Z551" s="655"/>
    </row>
    <row r="552">
      <c r="B552" s="462"/>
      <c r="C552" s="671"/>
      <c r="D552" s="462"/>
      <c r="E552" s="654"/>
      <c r="F552" s="650"/>
      <c r="G552" s="654"/>
      <c r="H552" s="654"/>
      <c r="I552" s="650"/>
      <c r="J552" s="650"/>
      <c r="K552" s="655"/>
      <c r="L552" s="655"/>
      <c r="M552" s="655"/>
      <c r="N552" s="655"/>
      <c r="O552" s="655"/>
      <c r="P552" s="655"/>
      <c r="Q552" s="655"/>
      <c r="R552" s="655"/>
      <c r="S552" s="655"/>
      <c r="T552" s="655"/>
      <c r="U552" s="655"/>
      <c r="V552" s="655"/>
      <c r="W552" s="655"/>
      <c r="X552" s="655"/>
      <c r="Y552" s="655"/>
      <c r="Z552" s="655"/>
    </row>
    <row r="553">
      <c r="B553" s="462"/>
      <c r="C553" s="671"/>
      <c r="D553" s="462"/>
      <c r="E553" s="654"/>
      <c r="F553" s="650"/>
      <c r="G553" s="654"/>
      <c r="H553" s="654"/>
      <c r="I553" s="650"/>
      <c r="J553" s="650"/>
      <c r="K553" s="655"/>
      <c r="L553" s="655"/>
      <c r="M553" s="655"/>
      <c r="N553" s="655"/>
      <c r="O553" s="655"/>
      <c r="P553" s="655"/>
      <c r="Q553" s="655"/>
      <c r="R553" s="655"/>
      <c r="S553" s="655"/>
      <c r="T553" s="655"/>
      <c r="U553" s="655"/>
      <c r="V553" s="655"/>
      <c r="W553" s="655"/>
      <c r="X553" s="655"/>
      <c r="Y553" s="655"/>
      <c r="Z553" s="655"/>
    </row>
    <row r="554">
      <c r="B554" s="462"/>
      <c r="C554" s="671"/>
      <c r="D554" s="462"/>
      <c r="E554" s="654"/>
      <c r="F554" s="650"/>
      <c r="G554" s="654"/>
      <c r="H554" s="654"/>
      <c r="I554" s="650"/>
      <c r="J554" s="650"/>
      <c r="K554" s="655"/>
      <c r="L554" s="655"/>
      <c r="M554" s="655"/>
      <c r="N554" s="655"/>
      <c r="O554" s="655"/>
      <c r="P554" s="655"/>
      <c r="Q554" s="655"/>
      <c r="R554" s="655"/>
      <c r="S554" s="655"/>
      <c r="T554" s="655"/>
      <c r="U554" s="655"/>
      <c r="V554" s="655"/>
      <c r="W554" s="655"/>
      <c r="X554" s="655"/>
      <c r="Y554" s="655"/>
      <c r="Z554" s="655"/>
    </row>
    <row r="555">
      <c r="B555" s="462"/>
      <c r="C555" s="671"/>
      <c r="D555" s="462"/>
      <c r="E555" s="654"/>
      <c r="F555" s="650"/>
      <c r="G555" s="654"/>
      <c r="H555" s="654"/>
      <c r="I555" s="650"/>
      <c r="J555" s="650"/>
      <c r="K555" s="655"/>
      <c r="L555" s="655"/>
      <c r="M555" s="655"/>
      <c r="N555" s="655"/>
      <c r="O555" s="655"/>
      <c r="P555" s="655"/>
      <c r="Q555" s="655"/>
      <c r="R555" s="655"/>
      <c r="S555" s="655"/>
      <c r="T555" s="655"/>
      <c r="U555" s="655"/>
      <c r="V555" s="655"/>
      <c r="W555" s="655"/>
      <c r="X555" s="655"/>
      <c r="Y555" s="655"/>
      <c r="Z555" s="655"/>
    </row>
    <row r="556">
      <c r="B556" s="462"/>
      <c r="C556" s="671"/>
      <c r="D556" s="462"/>
      <c r="E556" s="654"/>
      <c r="F556" s="650"/>
      <c r="G556" s="654"/>
      <c r="H556" s="654"/>
      <c r="I556" s="650"/>
      <c r="J556" s="650"/>
      <c r="K556" s="655"/>
      <c r="L556" s="655"/>
      <c r="M556" s="655"/>
      <c r="N556" s="655"/>
      <c r="O556" s="655"/>
      <c r="P556" s="655"/>
      <c r="Q556" s="655"/>
      <c r="R556" s="655"/>
      <c r="S556" s="655"/>
      <c r="T556" s="655"/>
      <c r="U556" s="655"/>
      <c r="V556" s="655"/>
      <c r="W556" s="655"/>
      <c r="X556" s="655"/>
      <c r="Y556" s="655"/>
      <c r="Z556" s="655"/>
    </row>
    <row r="557">
      <c r="B557" s="462"/>
      <c r="C557" s="671"/>
      <c r="D557" s="462"/>
      <c r="E557" s="654"/>
      <c r="F557" s="650"/>
      <c r="G557" s="654"/>
      <c r="H557" s="654"/>
      <c r="I557" s="650"/>
      <c r="J557" s="650"/>
      <c r="K557" s="655"/>
      <c r="L557" s="655"/>
      <c r="M557" s="655"/>
      <c r="N557" s="655"/>
      <c r="O557" s="655"/>
      <c r="P557" s="655"/>
      <c r="Q557" s="655"/>
      <c r="R557" s="655"/>
      <c r="S557" s="655"/>
      <c r="T557" s="655"/>
      <c r="U557" s="655"/>
      <c r="V557" s="655"/>
      <c r="W557" s="655"/>
      <c r="X557" s="655"/>
      <c r="Y557" s="655"/>
      <c r="Z557" s="655"/>
    </row>
    <row r="558">
      <c r="B558" s="462"/>
      <c r="C558" s="671"/>
      <c r="D558" s="462"/>
      <c r="E558" s="654"/>
      <c r="F558" s="650"/>
      <c r="G558" s="654"/>
      <c r="H558" s="654"/>
      <c r="I558" s="650"/>
      <c r="J558" s="650"/>
      <c r="K558" s="655"/>
      <c r="L558" s="655"/>
      <c r="M558" s="655"/>
      <c r="N558" s="655"/>
      <c r="O558" s="655"/>
      <c r="P558" s="655"/>
      <c r="Q558" s="655"/>
      <c r="R558" s="655"/>
      <c r="S558" s="655"/>
      <c r="T558" s="655"/>
      <c r="U558" s="655"/>
      <c r="V558" s="655"/>
      <c r="W558" s="655"/>
      <c r="X558" s="655"/>
      <c r="Y558" s="655"/>
      <c r="Z558" s="655"/>
    </row>
    <row r="559">
      <c r="B559" s="462"/>
      <c r="C559" s="671"/>
      <c r="D559" s="462"/>
      <c r="E559" s="654"/>
      <c r="F559" s="650"/>
      <c r="G559" s="654"/>
      <c r="H559" s="654"/>
      <c r="I559" s="650"/>
      <c r="J559" s="650"/>
      <c r="K559" s="655"/>
      <c r="L559" s="655"/>
      <c r="M559" s="655"/>
      <c r="N559" s="655"/>
      <c r="O559" s="655"/>
      <c r="P559" s="655"/>
      <c r="Q559" s="655"/>
      <c r="R559" s="655"/>
      <c r="S559" s="655"/>
      <c r="T559" s="655"/>
      <c r="U559" s="655"/>
      <c r="V559" s="655"/>
      <c r="W559" s="655"/>
      <c r="X559" s="655"/>
      <c r="Y559" s="655"/>
      <c r="Z559" s="655"/>
    </row>
    <row r="560">
      <c r="B560" s="462"/>
      <c r="C560" s="671"/>
      <c r="D560" s="462"/>
      <c r="E560" s="654"/>
      <c r="F560" s="650"/>
      <c r="G560" s="654"/>
      <c r="H560" s="654"/>
      <c r="I560" s="650"/>
      <c r="J560" s="650"/>
      <c r="K560" s="655"/>
      <c r="L560" s="655"/>
      <c r="M560" s="655"/>
      <c r="N560" s="655"/>
      <c r="O560" s="655"/>
      <c r="P560" s="655"/>
      <c r="Q560" s="655"/>
      <c r="R560" s="655"/>
      <c r="S560" s="655"/>
      <c r="T560" s="655"/>
      <c r="U560" s="655"/>
      <c r="V560" s="655"/>
      <c r="W560" s="655"/>
      <c r="X560" s="655"/>
      <c r="Y560" s="655"/>
      <c r="Z560" s="655"/>
    </row>
    <row r="561">
      <c r="B561" s="462"/>
      <c r="C561" s="671"/>
      <c r="D561" s="462"/>
      <c r="E561" s="654"/>
      <c r="F561" s="650"/>
      <c r="G561" s="654"/>
      <c r="H561" s="654"/>
      <c r="I561" s="650"/>
      <c r="J561" s="650"/>
      <c r="K561" s="655"/>
      <c r="L561" s="655"/>
      <c r="M561" s="655"/>
      <c r="N561" s="655"/>
      <c r="O561" s="655"/>
      <c r="P561" s="655"/>
      <c r="Q561" s="655"/>
      <c r="R561" s="655"/>
      <c r="S561" s="655"/>
      <c r="T561" s="655"/>
      <c r="U561" s="655"/>
      <c r="V561" s="655"/>
      <c r="W561" s="655"/>
      <c r="X561" s="655"/>
      <c r="Y561" s="655"/>
      <c r="Z561" s="655"/>
    </row>
    <row r="562">
      <c r="B562" s="462"/>
      <c r="C562" s="671"/>
      <c r="D562" s="462"/>
      <c r="E562" s="654"/>
      <c r="F562" s="650"/>
      <c r="G562" s="654"/>
      <c r="H562" s="654"/>
      <c r="I562" s="650"/>
      <c r="J562" s="650"/>
      <c r="K562" s="655"/>
      <c r="L562" s="655"/>
      <c r="M562" s="655"/>
      <c r="N562" s="655"/>
      <c r="O562" s="655"/>
      <c r="P562" s="655"/>
      <c r="Q562" s="655"/>
      <c r="R562" s="655"/>
      <c r="S562" s="655"/>
      <c r="T562" s="655"/>
      <c r="U562" s="655"/>
      <c r="V562" s="655"/>
      <c r="W562" s="655"/>
      <c r="X562" s="655"/>
      <c r="Y562" s="655"/>
      <c r="Z562" s="655"/>
    </row>
    <row r="563">
      <c r="B563" s="462"/>
      <c r="C563" s="671"/>
      <c r="D563" s="462"/>
      <c r="E563" s="654"/>
      <c r="F563" s="650"/>
      <c r="G563" s="654"/>
      <c r="H563" s="654"/>
      <c r="I563" s="650"/>
      <c r="J563" s="650"/>
      <c r="K563" s="655"/>
      <c r="L563" s="655"/>
      <c r="M563" s="655"/>
      <c r="N563" s="655"/>
      <c r="O563" s="655"/>
      <c r="P563" s="655"/>
      <c r="Q563" s="655"/>
      <c r="R563" s="655"/>
      <c r="S563" s="655"/>
      <c r="T563" s="655"/>
      <c r="U563" s="655"/>
      <c r="V563" s="655"/>
      <c r="W563" s="655"/>
      <c r="X563" s="655"/>
      <c r="Y563" s="655"/>
      <c r="Z563" s="655"/>
    </row>
    <row r="564">
      <c r="B564" s="462"/>
      <c r="C564" s="671"/>
      <c r="D564" s="462"/>
      <c r="E564" s="654"/>
      <c r="F564" s="650"/>
      <c r="G564" s="654"/>
      <c r="H564" s="654"/>
      <c r="I564" s="650"/>
      <c r="J564" s="650"/>
      <c r="K564" s="655"/>
      <c r="L564" s="655"/>
      <c r="M564" s="655"/>
      <c r="N564" s="655"/>
      <c r="O564" s="655"/>
      <c r="P564" s="655"/>
      <c r="Q564" s="655"/>
      <c r="R564" s="655"/>
      <c r="S564" s="655"/>
      <c r="T564" s="655"/>
      <c r="U564" s="655"/>
      <c r="V564" s="655"/>
      <c r="W564" s="655"/>
      <c r="X564" s="655"/>
      <c r="Y564" s="655"/>
      <c r="Z564" s="655"/>
    </row>
    <row r="565">
      <c r="B565" s="462"/>
      <c r="C565" s="671"/>
      <c r="D565" s="462"/>
      <c r="E565" s="654"/>
      <c r="F565" s="650"/>
      <c r="G565" s="654"/>
      <c r="H565" s="654"/>
      <c r="I565" s="650"/>
      <c r="J565" s="650"/>
      <c r="K565" s="655"/>
      <c r="L565" s="655"/>
      <c r="M565" s="655"/>
      <c r="N565" s="655"/>
      <c r="O565" s="655"/>
      <c r="P565" s="655"/>
      <c r="Q565" s="655"/>
      <c r="R565" s="655"/>
      <c r="S565" s="655"/>
      <c r="T565" s="655"/>
      <c r="U565" s="655"/>
      <c r="V565" s="655"/>
      <c r="W565" s="655"/>
      <c r="X565" s="655"/>
      <c r="Y565" s="655"/>
      <c r="Z565" s="655"/>
    </row>
    <row r="566">
      <c r="B566" s="462"/>
      <c r="C566" s="671"/>
      <c r="D566" s="462"/>
      <c r="E566" s="654"/>
      <c r="F566" s="650"/>
      <c r="G566" s="654"/>
      <c r="H566" s="654"/>
      <c r="I566" s="650"/>
      <c r="J566" s="650"/>
      <c r="K566" s="655"/>
      <c r="L566" s="655"/>
      <c r="M566" s="655"/>
      <c r="N566" s="655"/>
      <c r="O566" s="655"/>
      <c r="P566" s="655"/>
      <c r="Q566" s="655"/>
      <c r="R566" s="655"/>
      <c r="S566" s="655"/>
      <c r="T566" s="655"/>
      <c r="U566" s="655"/>
      <c r="V566" s="655"/>
      <c r="W566" s="655"/>
      <c r="X566" s="655"/>
      <c r="Y566" s="655"/>
      <c r="Z566" s="655"/>
    </row>
    <row r="567">
      <c r="B567" s="462"/>
      <c r="C567" s="671"/>
      <c r="D567" s="462"/>
      <c r="E567" s="654"/>
      <c r="F567" s="650"/>
      <c r="G567" s="654"/>
      <c r="H567" s="654"/>
      <c r="I567" s="650"/>
      <c r="J567" s="650"/>
      <c r="K567" s="655"/>
      <c r="L567" s="655"/>
      <c r="M567" s="655"/>
      <c r="N567" s="655"/>
      <c r="O567" s="655"/>
      <c r="P567" s="655"/>
      <c r="Q567" s="655"/>
      <c r="R567" s="655"/>
      <c r="S567" s="655"/>
      <c r="T567" s="655"/>
      <c r="U567" s="655"/>
      <c r="V567" s="655"/>
      <c r="W567" s="655"/>
      <c r="X567" s="655"/>
      <c r="Y567" s="655"/>
      <c r="Z567" s="655"/>
    </row>
    <row r="568">
      <c r="B568" s="462"/>
      <c r="C568" s="671"/>
      <c r="D568" s="462"/>
      <c r="E568" s="654"/>
      <c r="F568" s="650"/>
      <c r="G568" s="654"/>
      <c r="H568" s="654"/>
      <c r="I568" s="650"/>
      <c r="J568" s="650"/>
      <c r="K568" s="655"/>
      <c r="L568" s="655"/>
      <c r="M568" s="655"/>
      <c r="N568" s="655"/>
      <c r="O568" s="655"/>
      <c r="P568" s="655"/>
      <c r="Q568" s="655"/>
      <c r="R568" s="655"/>
      <c r="S568" s="655"/>
      <c r="T568" s="655"/>
      <c r="U568" s="655"/>
      <c r="V568" s="655"/>
      <c r="W568" s="655"/>
      <c r="X568" s="655"/>
      <c r="Y568" s="655"/>
      <c r="Z568" s="655"/>
    </row>
    <row r="569">
      <c r="B569" s="462"/>
      <c r="C569" s="671"/>
      <c r="D569" s="462"/>
      <c r="E569" s="654"/>
      <c r="F569" s="650"/>
      <c r="G569" s="654"/>
      <c r="H569" s="654"/>
      <c r="I569" s="650"/>
      <c r="J569" s="650"/>
      <c r="K569" s="655"/>
      <c r="L569" s="655"/>
      <c r="M569" s="655"/>
      <c r="N569" s="655"/>
      <c r="O569" s="655"/>
      <c r="P569" s="655"/>
      <c r="Q569" s="655"/>
      <c r="R569" s="655"/>
      <c r="S569" s="655"/>
      <c r="T569" s="655"/>
      <c r="U569" s="655"/>
      <c r="V569" s="655"/>
      <c r="W569" s="655"/>
      <c r="X569" s="655"/>
      <c r="Y569" s="655"/>
      <c r="Z569" s="655"/>
    </row>
    <row r="570">
      <c r="B570" s="462"/>
      <c r="C570" s="671"/>
      <c r="D570" s="462"/>
      <c r="E570" s="654"/>
      <c r="F570" s="650"/>
      <c r="G570" s="654"/>
      <c r="H570" s="654"/>
      <c r="I570" s="650"/>
      <c r="J570" s="650"/>
      <c r="K570" s="655"/>
      <c r="L570" s="655"/>
      <c r="M570" s="655"/>
      <c r="N570" s="655"/>
      <c r="O570" s="655"/>
      <c r="P570" s="655"/>
      <c r="Q570" s="655"/>
      <c r="R570" s="655"/>
      <c r="S570" s="655"/>
      <c r="T570" s="655"/>
      <c r="U570" s="655"/>
      <c r="V570" s="655"/>
      <c r="W570" s="655"/>
      <c r="X570" s="655"/>
      <c r="Y570" s="655"/>
      <c r="Z570" s="655"/>
    </row>
    <row r="571">
      <c r="B571" s="462"/>
      <c r="C571" s="671"/>
      <c r="D571" s="462"/>
      <c r="E571" s="654"/>
      <c r="F571" s="650"/>
      <c r="G571" s="654"/>
      <c r="H571" s="654"/>
      <c r="I571" s="650"/>
      <c r="J571" s="650"/>
      <c r="K571" s="655"/>
      <c r="L571" s="655"/>
      <c r="M571" s="655"/>
      <c r="N571" s="655"/>
      <c r="O571" s="655"/>
      <c r="P571" s="655"/>
      <c r="Q571" s="655"/>
      <c r="R571" s="655"/>
      <c r="S571" s="655"/>
      <c r="T571" s="655"/>
      <c r="U571" s="655"/>
      <c r="V571" s="655"/>
      <c r="W571" s="655"/>
      <c r="X571" s="655"/>
      <c r="Y571" s="655"/>
      <c r="Z571" s="655"/>
    </row>
    <row r="572">
      <c r="B572" s="462"/>
      <c r="C572" s="671"/>
      <c r="D572" s="462"/>
      <c r="E572" s="654"/>
      <c r="F572" s="650"/>
      <c r="G572" s="654"/>
      <c r="H572" s="654"/>
      <c r="I572" s="650"/>
      <c r="J572" s="650"/>
      <c r="K572" s="655"/>
      <c r="L572" s="655"/>
      <c r="M572" s="655"/>
      <c r="N572" s="655"/>
      <c r="O572" s="655"/>
      <c r="P572" s="655"/>
      <c r="Q572" s="655"/>
      <c r="R572" s="655"/>
      <c r="S572" s="655"/>
      <c r="T572" s="655"/>
      <c r="U572" s="655"/>
      <c r="V572" s="655"/>
      <c r="W572" s="655"/>
      <c r="X572" s="655"/>
      <c r="Y572" s="655"/>
      <c r="Z572" s="655"/>
    </row>
    <row r="573">
      <c r="B573" s="462"/>
      <c r="C573" s="671"/>
      <c r="D573" s="462"/>
      <c r="E573" s="654"/>
      <c r="F573" s="650"/>
      <c r="G573" s="654"/>
      <c r="H573" s="654"/>
      <c r="I573" s="650"/>
      <c r="J573" s="650"/>
      <c r="K573" s="655"/>
      <c r="L573" s="655"/>
      <c r="M573" s="655"/>
      <c r="N573" s="655"/>
      <c r="O573" s="655"/>
      <c r="P573" s="655"/>
      <c r="Q573" s="655"/>
      <c r="R573" s="655"/>
      <c r="S573" s="655"/>
      <c r="T573" s="655"/>
      <c r="U573" s="655"/>
      <c r="V573" s="655"/>
      <c r="W573" s="655"/>
      <c r="X573" s="655"/>
      <c r="Y573" s="655"/>
      <c r="Z573" s="655"/>
    </row>
    <row r="574">
      <c r="B574" s="462"/>
      <c r="C574" s="671"/>
      <c r="D574" s="462"/>
      <c r="E574" s="654"/>
      <c r="F574" s="650"/>
      <c r="G574" s="654"/>
      <c r="H574" s="654"/>
      <c r="I574" s="650"/>
      <c r="J574" s="650"/>
      <c r="K574" s="655"/>
      <c r="L574" s="655"/>
      <c r="M574" s="655"/>
      <c r="N574" s="655"/>
      <c r="O574" s="655"/>
      <c r="P574" s="655"/>
      <c r="Q574" s="655"/>
      <c r="R574" s="655"/>
      <c r="S574" s="655"/>
      <c r="T574" s="655"/>
      <c r="U574" s="655"/>
      <c r="V574" s="655"/>
      <c r="W574" s="655"/>
      <c r="X574" s="655"/>
      <c r="Y574" s="655"/>
      <c r="Z574" s="655"/>
    </row>
    <row r="575">
      <c r="B575" s="462"/>
      <c r="C575" s="671"/>
      <c r="D575" s="462"/>
      <c r="E575" s="654"/>
      <c r="F575" s="650"/>
      <c r="G575" s="654"/>
      <c r="H575" s="654"/>
      <c r="I575" s="650"/>
      <c r="J575" s="650"/>
      <c r="K575" s="655"/>
      <c r="L575" s="655"/>
      <c r="M575" s="655"/>
      <c r="N575" s="655"/>
      <c r="O575" s="655"/>
      <c r="P575" s="655"/>
      <c r="Q575" s="655"/>
      <c r="R575" s="655"/>
      <c r="S575" s="655"/>
      <c r="T575" s="655"/>
      <c r="U575" s="655"/>
      <c r="V575" s="655"/>
      <c r="W575" s="655"/>
      <c r="X575" s="655"/>
      <c r="Y575" s="655"/>
      <c r="Z575" s="655"/>
    </row>
    <row r="576">
      <c r="B576" s="462"/>
      <c r="C576" s="671"/>
      <c r="D576" s="462"/>
      <c r="E576" s="654"/>
      <c r="F576" s="650"/>
      <c r="G576" s="654"/>
      <c r="H576" s="654"/>
      <c r="I576" s="650"/>
      <c r="J576" s="650"/>
      <c r="K576" s="655"/>
      <c r="L576" s="655"/>
      <c r="M576" s="655"/>
      <c r="N576" s="655"/>
      <c r="O576" s="655"/>
      <c r="P576" s="655"/>
      <c r="Q576" s="655"/>
      <c r="R576" s="655"/>
      <c r="S576" s="655"/>
      <c r="T576" s="655"/>
      <c r="U576" s="655"/>
      <c r="V576" s="655"/>
      <c r="W576" s="655"/>
      <c r="X576" s="655"/>
      <c r="Y576" s="655"/>
      <c r="Z576" s="655"/>
    </row>
    <row r="577">
      <c r="B577" s="462"/>
      <c r="C577" s="671"/>
      <c r="D577" s="462"/>
      <c r="E577" s="654"/>
      <c r="F577" s="650"/>
      <c r="G577" s="654"/>
      <c r="H577" s="654"/>
      <c r="I577" s="650"/>
      <c r="J577" s="650"/>
      <c r="K577" s="655"/>
      <c r="L577" s="655"/>
      <c r="M577" s="655"/>
      <c r="N577" s="655"/>
      <c r="O577" s="655"/>
      <c r="P577" s="655"/>
      <c r="Q577" s="655"/>
      <c r="R577" s="655"/>
      <c r="S577" s="655"/>
      <c r="T577" s="655"/>
      <c r="U577" s="655"/>
      <c r="V577" s="655"/>
      <c r="W577" s="655"/>
      <c r="X577" s="655"/>
      <c r="Y577" s="655"/>
      <c r="Z577" s="655"/>
    </row>
    <row r="578">
      <c r="B578" s="462"/>
      <c r="C578" s="671"/>
      <c r="D578" s="462"/>
      <c r="E578" s="654"/>
      <c r="F578" s="650"/>
      <c r="G578" s="654"/>
      <c r="H578" s="654"/>
      <c r="I578" s="650"/>
      <c r="J578" s="650"/>
      <c r="K578" s="655"/>
      <c r="L578" s="655"/>
      <c r="M578" s="655"/>
      <c r="N578" s="655"/>
      <c r="O578" s="655"/>
      <c r="P578" s="655"/>
      <c r="Q578" s="655"/>
      <c r="R578" s="655"/>
      <c r="S578" s="655"/>
      <c r="T578" s="655"/>
      <c r="U578" s="655"/>
      <c r="V578" s="655"/>
      <c r="W578" s="655"/>
      <c r="X578" s="655"/>
      <c r="Y578" s="655"/>
      <c r="Z578" s="655"/>
    </row>
    <row r="579">
      <c r="B579" s="462"/>
      <c r="C579" s="671"/>
      <c r="D579" s="462"/>
      <c r="E579" s="654"/>
      <c r="F579" s="650"/>
      <c r="G579" s="654"/>
      <c r="H579" s="654"/>
      <c r="I579" s="650"/>
      <c r="J579" s="650"/>
      <c r="K579" s="655"/>
      <c r="L579" s="655"/>
      <c r="M579" s="655"/>
      <c r="N579" s="655"/>
      <c r="O579" s="655"/>
      <c r="P579" s="655"/>
      <c r="Q579" s="655"/>
      <c r="R579" s="655"/>
      <c r="S579" s="655"/>
      <c r="T579" s="655"/>
      <c r="U579" s="655"/>
      <c r="V579" s="655"/>
      <c r="W579" s="655"/>
      <c r="X579" s="655"/>
      <c r="Y579" s="655"/>
      <c r="Z579" s="655"/>
    </row>
    <row r="580">
      <c r="B580" s="462"/>
      <c r="C580" s="671"/>
      <c r="D580" s="462"/>
      <c r="E580" s="654"/>
      <c r="F580" s="650"/>
      <c r="G580" s="654"/>
      <c r="H580" s="654"/>
      <c r="I580" s="650"/>
      <c r="J580" s="650"/>
      <c r="K580" s="655"/>
      <c r="L580" s="655"/>
      <c r="M580" s="655"/>
      <c r="N580" s="655"/>
      <c r="O580" s="655"/>
      <c r="P580" s="655"/>
      <c r="Q580" s="655"/>
      <c r="R580" s="655"/>
      <c r="S580" s="655"/>
      <c r="T580" s="655"/>
      <c r="U580" s="655"/>
      <c r="V580" s="655"/>
      <c r="W580" s="655"/>
      <c r="X580" s="655"/>
      <c r="Y580" s="655"/>
      <c r="Z580" s="655"/>
    </row>
    <row r="581">
      <c r="B581" s="462"/>
      <c r="C581" s="671"/>
      <c r="D581" s="462"/>
      <c r="E581" s="654"/>
      <c r="F581" s="650"/>
      <c r="G581" s="654"/>
      <c r="H581" s="654"/>
      <c r="I581" s="650"/>
      <c r="J581" s="650"/>
      <c r="K581" s="655"/>
      <c r="L581" s="655"/>
      <c r="M581" s="655"/>
      <c r="N581" s="655"/>
      <c r="O581" s="655"/>
      <c r="P581" s="655"/>
      <c r="Q581" s="655"/>
      <c r="R581" s="655"/>
      <c r="S581" s="655"/>
      <c r="T581" s="655"/>
      <c r="U581" s="655"/>
      <c r="V581" s="655"/>
      <c r="W581" s="655"/>
      <c r="X581" s="655"/>
      <c r="Y581" s="655"/>
      <c r="Z581" s="655"/>
    </row>
    <row r="582">
      <c r="B582" s="462"/>
      <c r="C582" s="671"/>
      <c r="D582" s="462"/>
      <c r="E582" s="654"/>
      <c r="F582" s="650"/>
      <c r="G582" s="654"/>
      <c r="H582" s="654"/>
      <c r="I582" s="650"/>
      <c r="J582" s="650"/>
      <c r="K582" s="655"/>
      <c r="L582" s="655"/>
      <c r="M582" s="655"/>
      <c r="N582" s="655"/>
      <c r="O582" s="655"/>
      <c r="P582" s="655"/>
      <c r="Q582" s="655"/>
      <c r="R582" s="655"/>
      <c r="S582" s="655"/>
      <c r="T582" s="655"/>
      <c r="U582" s="655"/>
      <c r="V582" s="655"/>
      <c r="W582" s="655"/>
      <c r="X582" s="655"/>
      <c r="Y582" s="655"/>
      <c r="Z582" s="655"/>
    </row>
    <row r="583">
      <c r="B583" s="462"/>
      <c r="C583" s="671"/>
      <c r="D583" s="462"/>
      <c r="E583" s="654"/>
      <c r="F583" s="650"/>
      <c r="G583" s="654"/>
      <c r="H583" s="654"/>
      <c r="I583" s="650"/>
      <c r="J583" s="650"/>
      <c r="K583" s="655"/>
      <c r="L583" s="655"/>
      <c r="M583" s="655"/>
      <c r="N583" s="655"/>
      <c r="O583" s="655"/>
      <c r="P583" s="655"/>
      <c r="Q583" s="655"/>
      <c r="R583" s="655"/>
      <c r="S583" s="655"/>
      <c r="T583" s="655"/>
      <c r="U583" s="655"/>
      <c r="V583" s="655"/>
      <c r="W583" s="655"/>
      <c r="X583" s="655"/>
      <c r="Y583" s="655"/>
      <c r="Z583" s="655"/>
    </row>
    <row r="584">
      <c r="B584" s="462"/>
      <c r="C584" s="671"/>
      <c r="D584" s="462"/>
      <c r="E584" s="654"/>
      <c r="F584" s="650"/>
      <c r="G584" s="654"/>
      <c r="H584" s="654"/>
      <c r="I584" s="650"/>
      <c r="J584" s="650"/>
      <c r="K584" s="655"/>
      <c r="L584" s="655"/>
      <c r="M584" s="655"/>
      <c r="N584" s="655"/>
      <c r="O584" s="655"/>
      <c r="P584" s="655"/>
      <c r="Q584" s="655"/>
      <c r="R584" s="655"/>
      <c r="S584" s="655"/>
      <c r="T584" s="655"/>
      <c r="U584" s="655"/>
      <c r="V584" s="655"/>
      <c r="W584" s="655"/>
      <c r="X584" s="655"/>
      <c r="Y584" s="655"/>
      <c r="Z584" s="655"/>
    </row>
    <row r="585">
      <c r="B585" s="462"/>
      <c r="C585" s="671"/>
      <c r="D585" s="462"/>
      <c r="E585" s="654"/>
      <c r="F585" s="650"/>
      <c r="G585" s="654"/>
      <c r="H585" s="654"/>
      <c r="I585" s="650"/>
      <c r="J585" s="650"/>
      <c r="K585" s="655"/>
      <c r="L585" s="655"/>
      <c r="M585" s="655"/>
      <c r="N585" s="655"/>
      <c r="O585" s="655"/>
      <c r="P585" s="655"/>
      <c r="Q585" s="655"/>
      <c r="R585" s="655"/>
      <c r="S585" s="655"/>
      <c r="T585" s="655"/>
      <c r="U585" s="655"/>
      <c r="V585" s="655"/>
      <c r="W585" s="655"/>
      <c r="X585" s="655"/>
      <c r="Y585" s="655"/>
      <c r="Z585" s="655"/>
    </row>
    <row r="586">
      <c r="B586" s="462"/>
      <c r="C586" s="671"/>
      <c r="D586" s="462"/>
      <c r="E586" s="654"/>
      <c r="F586" s="650"/>
      <c r="G586" s="654"/>
      <c r="H586" s="654"/>
      <c r="I586" s="650"/>
      <c r="J586" s="650"/>
      <c r="K586" s="655"/>
      <c r="L586" s="655"/>
      <c r="M586" s="655"/>
      <c r="N586" s="655"/>
      <c r="O586" s="655"/>
      <c r="P586" s="655"/>
      <c r="Q586" s="655"/>
      <c r="R586" s="655"/>
      <c r="S586" s="655"/>
      <c r="T586" s="655"/>
      <c r="U586" s="655"/>
      <c r="V586" s="655"/>
      <c r="W586" s="655"/>
      <c r="X586" s="655"/>
      <c r="Y586" s="655"/>
      <c r="Z586" s="655"/>
    </row>
    <row r="587">
      <c r="B587" s="462"/>
      <c r="C587" s="671"/>
      <c r="D587" s="462"/>
      <c r="E587" s="654"/>
      <c r="F587" s="650"/>
      <c r="G587" s="654"/>
      <c r="H587" s="654"/>
      <c r="I587" s="650"/>
      <c r="J587" s="650"/>
      <c r="K587" s="655"/>
      <c r="L587" s="655"/>
      <c r="M587" s="655"/>
      <c r="N587" s="655"/>
      <c r="O587" s="655"/>
      <c r="P587" s="655"/>
      <c r="Q587" s="655"/>
      <c r="R587" s="655"/>
      <c r="S587" s="655"/>
      <c r="T587" s="655"/>
      <c r="U587" s="655"/>
      <c r="V587" s="655"/>
      <c r="W587" s="655"/>
      <c r="X587" s="655"/>
      <c r="Y587" s="655"/>
      <c r="Z587" s="655"/>
    </row>
    <row r="588">
      <c r="B588" s="462"/>
      <c r="C588" s="671"/>
      <c r="D588" s="462"/>
      <c r="E588" s="654"/>
      <c r="F588" s="650"/>
      <c r="G588" s="654"/>
      <c r="H588" s="654"/>
      <c r="I588" s="650"/>
      <c r="J588" s="650"/>
      <c r="K588" s="655"/>
      <c r="L588" s="655"/>
      <c r="M588" s="655"/>
      <c r="N588" s="655"/>
      <c r="O588" s="655"/>
      <c r="P588" s="655"/>
      <c r="Q588" s="655"/>
      <c r="R588" s="655"/>
      <c r="S588" s="655"/>
      <c r="T588" s="655"/>
      <c r="U588" s="655"/>
      <c r="V588" s="655"/>
      <c r="W588" s="655"/>
      <c r="X588" s="655"/>
      <c r="Y588" s="655"/>
      <c r="Z588" s="655"/>
    </row>
    <row r="589">
      <c r="B589" s="462"/>
      <c r="C589" s="671"/>
      <c r="D589" s="462"/>
      <c r="E589" s="654"/>
      <c r="F589" s="650"/>
      <c r="G589" s="654"/>
      <c r="H589" s="654"/>
      <c r="I589" s="650"/>
      <c r="J589" s="650"/>
      <c r="K589" s="655"/>
      <c r="L589" s="655"/>
      <c r="M589" s="655"/>
      <c r="N589" s="655"/>
      <c r="O589" s="655"/>
      <c r="P589" s="655"/>
      <c r="Q589" s="655"/>
      <c r="R589" s="655"/>
      <c r="S589" s="655"/>
      <c r="T589" s="655"/>
      <c r="U589" s="655"/>
      <c r="V589" s="655"/>
      <c r="W589" s="655"/>
      <c r="X589" s="655"/>
      <c r="Y589" s="655"/>
      <c r="Z589" s="655"/>
    </row>
    <row r="590">
      <c r="B590" s="462"/>
      <c r="C590" s="671"/>
      <c r="D590" s="462"/>
      <c r="E590" s="654"/>
      <c r="F590" s="650"/>
      <c r="G590" s="654"/>
      <c r="H590" s="654"/>
      <c r="I590" s="650"/>
      <c r="J590" s="650"/>
      <c r="K590" s="655"/>
      <c r="L590" s="655"/>
      <c r="M590" s="655"/>
      <c r="N590" s="655"/>
      <c r="O590" s="655"/>
      <c r="P590" s="655"/>
      <c r="Q590" s="655"/>
      <c r="R590" s="655"/>
      <c r="S590" s="655"/>
      <c r="T590" s="655"/>
      <c r="U590" s="655"/>
      <c r="V590" s="655"/>
      <c r="W590" s="655"/>
      <c r="X590" s="655"/>
      <c r="Y590" s="655"/>
      <c r="Z590" s="655"/>
    </row>
    <row r="591">
      <c r="B591" s="462"/>
      <c r="C591" s="671"/>
      <c r="D591" s="462"/>
      <c r="E591" s="654"/>
      <c r="F591" s="650"/>
      <c r="G591" s="654"/>
      <c r="H591" s="654"/>
      <c r="I591" s="650"/>
      <c r="J591" s="650"/>
      <c r="K591" s="655"/>
      <c r="L591" s="655"/>
      <c r="M591" s="655"/>
      <c r="N591" s="655"/>
      <c r="O591" s="655"/>
      <c r="P591" s="655"/>
      <c r="Q591" s="655"/>
      <c r="R591" s="655"/>
      <c r="S591" s="655"/>
      <c r="T591" s="655"/>
      <c r="U591" s="655"/>
      <c r="V591" s="655"/>
      <c r="W591" s="655"/>
      <c r="X591" s="655"/>
      <c r="Y591" s="655"/>
      <c r="Z591" s="655"/>
    </row>
    <row r="592">
      <c r="B592" s="462"/>
      <c r="C592" s="671"/>
      <c r="D592" s="462"/>
      <c r="E592" s="654"/>
      <c r="F592" s="650"/>
      <c r="G592" s="654"/>
      <c r="H592" s="654"/>
      <c r="I592" s="650"/>
      <c r="J592" s="650"/>
      <c r="K592" s="655"/>
      <c r="L592" s="655"/>
      <c r="M592" s="655"/>
      <c r="N592" s="655"/>
      <c r="O592" s="655"/>
      <c r="P592" s="655"/>
      <c r="Q592" s="655"/>
      <c r="R592" s="655"/>
      <c r="S592" s="655"/>
      <c r="T592" s="655"/>
      <c r="U592" s="655"/>
      <c r="V592" s="655"/>
      <c r="W592" s="655"/>
      <c r="X592" s="655"/>
      <c r="Y592" s="655"/>
      <c r="Z592" s="655"/>
    </row>
    <row r="593">
      <c r="B593" s="462"/>
      <c r="C593" s="671"/>
      <c r="D593" s="462"/>
      <c r="E593" s="654"/>
      <c r="F593" s="650"/>
      <c r="G593" s="654"/>
      <c r="H593" s="654"/>
      <c r="I593" s="650"/>
      <c r="J593" s="650"/>
      <c r="K593" s="655"/>
      <c r="L593" s="655"/>
      <c r="M593" s="655"/>
      <c r="N593" s="655"/>
      <c r="O593" s="655"/>
      <c r="P593" s="655"/>
      <c r="Q593" s="655"/>
      <c r="R593" s="655"/>
      <c r="S593" s="655"/>
      <c r="T593" s="655"/>
      <c r="U593" s="655"/>
      <c r="V593" s="655"/>
      <c r="W593" s="655"/>
      <c r="X593" s="655"/>
      <c r="Y593" s="655"/>
      <c r="Z593" s="655"/>
    </row>
    <row r="594">
      <c r="B594" s="462"/>
      <c r="C594" s="671"/>
      <c r="D594" s="462"/>
      <c r="E594" s="654"/>
      <c r="F594" s="650"/>
      <c r="G594" s="654"/>
      <c r="H594" s="654"/>
      <c r="I594" s="650"/>
      <c r="J594" s="650"/>
      <c r="K594" s="655"/>
      <c r="L594" s="655"/>
      <c r="M594" s="655"/>
      <c r="N594" s="655"/>
      <c r="O594" s="655"/>
      <c r="P594" s="655"/>
      <c r="Q594" s="655"/>
      <c r="R594" s="655"/>
      <c r="S594" s="655"/>
      <c r="T594" s="655"/>
      <c r="U594" s="655"/>
      <c r="V594" s="655"/>
      <c r="W594" s="655"/>
      <c r="X594" s="655"/>
      <c r="Y594" s="655"/>
      <c r="Z594" s="655"/>
    </row>
    <row r="595">
      <c r="B595" s="462"/>
      <c r="C595" s="671"/>
      <c r="D595" s="462"/>
      <c r="E595" s="654"/>
      <c r="F595" s="650"/>
      <c r="G595" s="654"/>
      <c r="H595" s="654"/>
      <c r="I595" s="650"/>
      <c r="J595" s="650"/>
      <c r="K595" s="655"/>
      <c r="L595" s="655"/>
      <c r="M595" s="655"/>
      <c r="N595" s="655"/>
      <c r="O595" s="655"/>
      <c r="P595" s="655"/>
      <c r="Q595" s="655"/>
      <c r="R595" s="655"/>
      <c r="S595" s="655"/>
      <c r="T595" s="655"/>
      <c r="U595" s="655"/>
      <c r="V595" s="655"/>
      <c r="W595" s="655"/>
      <c r="X595" s="655"/>
      <c r="Y595" s="655"/>
      <c r="Z595" s="655"/>
    </row>
    <row r="596">
      <c r="B596" s="462"/>
      <c r="C596" s="671"/>
      <c r="D596" s="462"/>
      <c r="E596" s="654"/>
      <c r="F596" s="650"/>
      <c r="G596" s="654"/>
      <c r="H596" s="654"/>
      <c r="I596" s="650"/>
      <c r="J596" s="650"/>
      <c r="K596" s="655"/>
      <c r="L596" s="655"/>
      <c r="M596" s="655"/>
      <c r="N596" s="655"/>
      <c r="O596" s="655"/>
      <c r="P596" s="655"/>
      <c r="Q596" s="655"/>
      <c r="R596" s="655"/>
      <c r="S596" s="655"/>
      <c r="T596" s="655"/>
      <c r="U596" s="655"/>
      <c r="V596" s="655"/>
      <c r="W596" s="655"/>
      <c r="X596" s="655"/>
      <c r="Y596" s="655"/>
      <c r="Z596" s="655"/>
    </row>
    <row r="597">
      <c r="B597" s="462"/>
      <c r="C597" s="671"/>
      <c r="D597" s="462"/>
      <c r="E597" s="654"/>
      <c r="F597" s="650"/>
      <c r="G597" s="654"/>
      <c r="H597" s="654"/>
      <c r="I597" s="650"/>
      <c r="J597" s="650"/>
      <c r="K597" s="655"/>
      <c r="L597" s="655"/>
      <c r="M597" s="655"/>
      <c r="N597" s="655"/>
      <c r="O597" s="655"/>
      <c r="P597" s="655"/>
      <c r="Q597" s="655"/>
      <c r="R597" s="655"/>
      <c r="S597" s="655"/>
      <c r="T597" s="655"/>
      <c r="U597" s="655"/>
      <c r="V597" s="655"/>
      <c r="W597" s="655"/>
      <c r="X597" s="655"/>
      <c r="Y597" s="655"/>
      <c r="Z597" s="655"/>
    </row>
    <row r="598">
      <c r="B598" s="462"/>
      <c r="C598" s="671"/>
      <c r="D598" s="462"/>
      <c r="E598" s="654"/>
      <c r="F598" s="650"/>
      <c r="G598" s="654"/>
      <c r="H598" s="654"/>
      <c r="I598" s="650"/>
      <c r="J598" s="650"/>
      <c r="K598" s="655"/>
      <c r="L598" s="655"/>
      <c r="M598" s="655"/>
      <c r="N598" s="655"/>
      <c r="O598" s="655"/>
      <c r="P598" s="655"/>
      <c r="Q598" s="655"/>
      <c r="R598" s="655"/>
      <c r="S598" s="655"/>
      <c r="T598" s="655"/>
      <c r="U598" s="655"/>
      <c r="V598" s="655"/>
      <c r="W598" s="655"/>
      <c r="X598" s="655"/>
      <c r="Y598" s="655"/>
      <c r="Z598" s="655"/>
    </row>
    <row r="599">
      <c r="B599" s="462"/>
      <c r="C599" s="671"/>
      <c r="D599" s="462"/>
      <c r="E599" s="654"/>
      <c r="F599" s="650"/>
      <c r="G599" s="654"/>
      <c r="H599" s="654"/>
      <c r="I599" s="650"/>
      <c r="J599" s="650"/>
      <c r="K599" s="655"/>
      <c r="L599" s="655"/>
      <c r="M599" s="655"/>
      <c r="N599" s="655"/>
      <c r="O599" s="655"/>
      <c r="P599" s="655"/>
      <c r="Q599" s="655"/>
      <c r="R599" s="655"/>
      <c r="S599" s="655"/>
      <c r="T599" s="655"/>
      <c r="U599" s="655"/>
      <c r="V599" s="655"/>
      <c r="W599" s="655"/>
      <c r="X599" s="655"/>
      <c r="Y599" s="655"/>
      <c r="Z599" s="655"/>
    </row>
    <row r="600">
      <c r="B600" s="462"/>
      <c r="C600" s="671"/>
      <c r="D600" s="462"/>
      <c r="E600" s="654"/>
      <c r="F600" s="650"/>
      <c r="G600" s="654"/>
      <c r="H600" s="654"/>
      <c r="I600" s="650"/>
      <c r="J600" s="650"/>
      <c r="K600" s="655"/>
      <c r="L600" s="655"/>
      <c r="M600" s="655"/>
      <c r="N600" s="655"/>
      <c r="O600" s="655"/>
      <c r="P600" s="655"/>
      <c r="Q600" s="655"/>
      <c r="R600" s="655"/>
      <c r="S600" s="655"/>
      <c r="T600" s="655"/>
      <c r="U600" s="655"/>
      <c r="V600" s="655"/>
      <c r="W600" s="655"/>
      <c r="X600" s="655"/>
      <c r="Y600" s="655"/>
      <c r="Z600" s="655"/>
    </row>
    <row r="601">
      <c r="B601" s="462"/>
      <c r="C601" s="671"/>
      <c r="D601" s="462"/>
      <c r="E601" s="654"/>
      <c r="F601" s="650"/>
      <c r="G601" s="654"/>
      <c r="H601" s="654"/>
      <c r="I601" s="650"/>
      <c r="J601" s="650"/>
      <c r="K601" s="655"/>
      <c r="L601" s="655"/>
      <c r="M601" s="655"/>
      <c r="N601" s="655"/>
      <c r="O601" s="655"/>
      <c r="P601" s="655"/>
      <c r="Q601" s="655"/>
      <c r="R601" s="655"/>
      <c r="S601" s="655"/>
      <c r="T601" s="655"/>
      <c r="U601" s="655"/>
      <c r="V601" s="655"/>
      <c r="W601" s="655"/>
      <c r="X601" s="655"/>
      <c r="Y601" s="655"/>
      <c r="Z601" s="655"/>
    </row>
    <row r="602">
      <c r="B602" s="462"/>
      <c r="C602" s="671"/>
      <c r="D602" s="462"/>
      <c r="E602" s="654"/>
      <c r="F602" s="650"/>
      <c r="G602" s="654"/>
      <c r="H602" s="654"/>
      <c r="I602" s="650"/>
      <c r="J602" s="650"/>
      <c r="K602" s="655"/>
      <c r="L602" s="655"/>
      <c r="M602" s="655"/>
      <c r="N602" s="655"/>
      <c r="O602" s="655"/>
      <c r="P602" s="655"/>
      <c r="Q602" s="655"/>
      <c r="R602" s="655"/>
      <c r="S602" s="655"/>
      <c r="T602" s="655"/>
      <c r="U602" s="655"/>
      <c r="V602" s="655"/>
      <c r="W602" s="655"/>
      <c r="X602" s="655"/>
      <c r="Y602" s="655"/>
      <c r="Z602" s="655"/>
    </row>
    <row r="603">
      <c r="B603" s="462"/>
      <c r="C603" s="671"/>
      <c r="D603" s="462"/>
      <c r="E603" s="654"/>
      <c r="F603" s="650"/>
      <c r="G603" s="654"/>
      <c r="H603" s="654"/>
      <c r="I603" s="650"/>
      <c r="J603" s="650"/>
      <c r="K603" s="655"/>
      <c r="L603" s="655"/>
      <c r="M603" s="655"/>
      <c r="N603" s="655"/>
      <c r="O603" s="655"/>
      <c r="P603" s="655"/>
      <c r="Q603" s="655"/>
      <c r="R603" s="655"/>
      <c r="S603" s="655"/>
      <c r="T603" s="655"/>
      <c r="U603" s="655"/>
      <c r="V603" s="655"/>
      <c r="W603" s="655"/>
      <c r="X603" s="655"/>
      <c r="Y603" s="655"/>
      <c r="Z603" s="655"/>
    </row>
    <row r="604">
      <c r="B604" s="462"/>
      <c r="C604" s="671"/>
      <c r="D604" s="462"/>
      <c r="E604" s="654"/>
      <c r="F604" s="650"/>
      <c r="G604" s="654"/>
      <c r="H604" s="654"/>
      <c r="I604" s="650"/>
      <c r="J604" s="650"/>
      <c r="K604" s="655"/>
      <c r="L604" s="655"/>
      <c r="M604" s="655"/>
      <c r="N604" s="655"/>
      <c r="O604" s="655"/>
      <c r="P604" s="655"/>
      <c r="Q604" s="655"/>
      <c r="R604" s="655"/>
      <c r="S604" s="655"/>
      <c r="T604" s="655"/>
      <c r="U604" s="655"/>
      <c r="V604" s="655"/>
      <c r="W604" s="655"/>
      <c r="X604" s="655"/>
      <c r="Y604" s="655"/>
      <c r="Z604" s="655"/>
    </row>
    <row r="605">
      <c r="B605" s="462"/>
      <c r="C605" s="671"/>
      <c r="D605" s="462"/>
      <c r="E605" s="654"/>
      <c r="F605" s="650"/>
      <c r="G605" s="654"/>
      <c r="H605" s="654"/>
      <c r="I605" s="650"/>
      <c r="J605" s="650"/>
      <c r="K605" s="655"/>
      <c r="L605" s="655"/>
      <c r="M605" s="655"/>
      <c r="N605" s="655"/>
      <c r="O605" s="655"/>
      <c r="P605" s="655"/>
      <c r="Q605" s="655"/>
      <c r="R605" s="655"/>
      <c r="S605" s="655"/>
      <c r="T605" s="655"/>
      <c r="U605" s="655"/>
      <c r="V605" s="655"/>
      <c r="W605" s="655"/>
      <c r="X605" s="655"/>
      <c r="Y605" s="655"/>
      <c r="Z605" s="655"/>
    </row>
    <row r="606">
      <c r="B606" s="462"/>
      <c r="C606" s="671"/>
      <c r="D606" s="462"/>
      <c r="E606" s="654"/>
      <c r="F606" s="650"/>
      <c r="G606" s="654"/>
      <c r="H606" s="654"/>
      <c r="I606" s="650"/>
      <c r="J606" s="650"/>
      <c r="K606" s="655"/>
      <c r="L606" s="655"/>
      <c r="M606" s="655"/>
      <c r="N606" s="655"/>
      <c r="O606" s="655"/>
      <c r="P606" s="655"/>
      <c r="Q606" s="655"/>
      <c r="R606" s="655"/>
      <c r="S606" s="655"/>
      <c r="T606" s="655"/>
      <c r="U606" s="655"/>
      <c r="V606" s="655"/>
      <c r="W606" s="655"/>
      <c r="X606" s="655"/>
      <c r="Y606" s="655"/>
      <c r="Z606" s="655"/>
    </row>
    <row r="607">
      <c r="B607" s="462"/>
      <c r="C607" s="671"/>
      <c r="D607" s="462"/>
      <c r="E607" s="654"/>
      <c r="F607" s="650"/>
      <c r="G607" s="654"/>
      <c r="H607" s="654"/>
      <c r="I607" s="650"/>
      <c r="J607" s="650"/>
      <c r="K607" s="655"/>
      <c r="L607" s="655"/>
      <c r="M607" s="655"/>
      <c r="N607" s="655"/>
      <c r="O607" s="655"/>
      <c r="P607" s="655"/>
      <c r="Q607" s="655"/>
      <c r="R607" s="655"/>
      <c r="S607" s="655"/>
      <c r="T607" s="655"/>
      <c r="U607" s="655"/>
      <c r="V607" s="655"/>
      <c r="W607" s="655"/>
      <c r="X607" s="655"/>
      <c r="Y607" s="655"/>
      <c r="Z607" s="655"/>
    </row>
    <row r="608">
      <c r="B608" s="462"/>
      <c r="C608" s="671"/>
      <c r="D608" s="462"/>
      <c r="E608" s="654"/>
      <c r="F608" s="650"/>
      <c r="G608" s="654"/>
      <c r="H608" s="654"/>
      <c r="I608" s="650"/>
      <c r="J608" s="650"/>
      <c r="K608" s="655"/>
      <c r="L608" s="655"/>
      <c r="M608" s="655"/>
      <c r="N608" s="655"/>
      <c r="O608" s="655"/>
      <c r="P608" s="655"/>
      <c r="Q608" s="655"/>
      <c r="R608" s="655"/>
      <c r="S608" s="655"/>
      <c r="T608" s="655"/>
      <c r="U608" s="655"/>
      <c r="V608" s="655"/>
      <c r="W608" s="655"/>
      <c r="X608" s="655"/>
      <c r="Y608" s="655"/>
      <c r="Z608" s="655"/>
    </row>
    <row r="609">
      <c r="B609" s="462"/>
      <c r="C609" s="671"/>
      <c r="D609" s="462"/>
      <c r="E609" s="654"/>
      <c r="F609" s="650"/>
      <c r="G609" s="654"/>
      <c r="H609" s="654"/>
      <c r="I609" s="650"/>
      <c r="J609" s="650"/>
      <c r="K609" s="655"/>
      <c r="L609" s="655"/>
      <c r="M609" s="655"/>
      <c r="N609" s="655"/>
      <c r="O609" s="655"/>
      <c r="P609" s="655"/>
      <c r="Q609" s="655"/>
      <c r="R609" s="655"/>
      <c r="S609" s="655"/>
      <c r="T609" s="655"/>
      <c r="U609" s="655"/>
      <c r="V609" s="655"/>
      <c r="W609" s="655"/>
      <c r="X609" s="655"/>
      <c r="Y609" s="655"/>
      <c r="Z609" s="655"/>
    </row>
    <row r="610">
      <c r="B610" s="462"/>
      <c r="C610" s="671"/>
      <c r="D610" s="462"/>
      <c r="E610" s="654"/>
      <c r="F610" s="650"/>
      <c r="G610" s="654"/>
      <c r="H610" s="654"/>
      <c r="I610" s="650"/>
      <c r="J610" s="650"/>
      <c r="K610" s="655"/>
      <c r="L610" s="655"/>
      <c r="M610" s="655"/>
      <c r="N610" s="655"/>
      <c r="O610" s="655"/>
      <c r="P610" s="655"/>
      <c r="Q610" s="655"/>
      <c r="R610" s="655"/>
      <c r="S610" s="655"/>
      <c r="T610" s="655"/>
      <c r="U610" s="655"/>
      <c r="V610" s="655"/>
      <c r="W610" s="655"/>
      <c r="X610" s="655"/>
      <c r="Y610" s="655"/>
      <c r="Z610" s="655"/>
    </row>
    <row r="611">
      <c r="B611" s="462"/>
      <c r="C611" s="671"/>
      <c r="D611" s="462"/>
      <c r="E611" s="654"/>
      <c r="F611" s="650"/>
      <c r="G611" s="654"/>
      <c r="H611" s="654"/>
      <c r="I611" s="650"/>
      <c r="J611" s="650"/>
      <c r="K611" s="655"/>
      <c r="L611" s="655"/>
      <c r="M611" s="655"/>
      <c r="N611" s="655"/>
      <c r="O611" s="655"/>
      <c r="P611" s="655"/>
      <c r="Q611" s="655"/>
      <c r="R611" s="655"/>
      <c r="S611" s="655"/>
      <c r="T611" s="655"/>
      <c r="U611" s="655"/>
      <c r="V611" s="655"/>
      <c r="W611" s="655"/>
      <c r="X611" s="655"/>
      <c r="Y611" s="655"/>
      <c r="Z611" s="655"/>
    </row>
    <row r="612">
      <c r="B612" s="462"/>
      <c r="C612" s="671"/>
      <c r="D612" s="462"/>
      <c r="E612" s="654"/>
      <c r="F612" s="650"/>
      <c r="G612" s="654"/>
      <c r="H612" s="654"/>
      <c r="I612" s="650"/>
      <c r="J612" s="650"/>
      <c r="K612" s="655"/>
      <c r="L612" s="655"/>
      <c r="M612" s="655"/>
      <c r="N612" s="655"/>
      <c r="O612" s="655"/>
      <c r="P612" s="655"/>
      <c r="Q612" s="655"/>
      <c r="R612" s="655"/>
      <c r="S612" s="655"/>
      <c r="T612" s="655"/>
      <c r="U612" s="655"/>
      <c r="V612" s="655"/>
      <c r="W612" s="655"/>
      <c r="X612" s="655"/>
      <c r="Y612" s="655"/>
      <c r="Z612" s="655"/>
    </row>
    <row r="613">
      <c r="B613" s="462"/>
      <c r="C613" s="671"/>
      <c r="D613" s="462"/>
      <c r="E613" s="654"/>
      <c r="F613" s="650"/>
      <c r="G613" s="654"/>
      <c r="H613" s="654"/>
      <c r="I613" s="650"/>
      <c r="J613" s="650"/>
      <c r="K613" s="655"/>
      <c r="L613" s="655"/>
      <c r="M613" s="655"/>
      <c r="N613" s="655"/>
      <c r="O613" s="655"/>
      <c r="P613" s="655"/>
      <c r="Q613" s="655"/>
      <c r="R613" s="655"/>
      <c r="S613" s="655"/>
      <c r="T613" s="655"/>
      <c r="U613" s="655"/>
      <c r="V613" s="655"/>
      <c r="W613" s="655"/>
      <c r="X613" s="655"/>
      <c r="Y613" s="655"/>
      <c r="Z613" s="655"/>
    </row>
    <row r="614">
      <c r="B614" s="462"/>
      <c r="C614" s="671"/>
      <c r="D614" s="462"/>
      <c r="E614" s="654"/>
      <c r="F614" s="650"/>
      <c r="G614" s="654"/>
      <c r="H614" s="654"/>
      <c r="I614" s="650"/>
      <c r="J614" s="650"/>
      <c r="K614" s="655"/>
      <c r="L614" s="655"/>
      <c r="M614" s="655"/>
      <c r="N614" s="655"/>
      <c r="O614" s="655"/>
      <c r="P614" s="655"/>
      <c r="Q614" s="655"/>
      <c r="R614" s="655"/>
      <c r="S614" s="655"/>
      <c r="T614" s="655"/>
      <c r="U614" s="655"/>
      <c r="V614" s="655"/>
      <c r="W614" s="655"/>
      <c r="X614" s="655"/>
      <c r="Y614" s="655"/>
      <c r="Z614" s="655"/>
    </row>
    <row r="615">
      <c r="B615" s="462"/>
      <c r="C615" s="671"/>
      <c r="D615" s="462"/>
      <c r="E615" s="654"/>
      <c r="F615" s="650"/>
      <c r="G615" s="654"/>
      <c r="H615" s="654"/>
      <c r="I615" s="650"/>
      <c r="J615" s="650"/>
      <c r="K615" s="655"/>
      <c r="L615" s="655"/>
      <c r="M615" s="655"/>
      <c r="N615" s="655"/>
      <c r="O615" s="655"/>
      <c r="P615" s="655"/>
      <c r="Q615" s="655"/>
      <c r="R615" s="655"/>
      <c r="S615" s="655"/>
      <c r="T615" s="655"/>
      <c r="U615" s="655"/>
      <c r="V615" s="655"/>
      <c r="W615" s="655"/>
      <c r="X615" s="655"/>
      <c r="Y615" s="655"/>
      <c r="Z615" s="655"/>
    </row>
    <row r="616">
      <c r="B616" s="462"/>
      <c r="C616" s="671"/>
      <c r="D616" s="462"/>
      <c r="E616" s="654"/>
      <c r="F616" s="650"/>
      <c r="G616" s="654"/>
      <c r="H616" s="654"/>
      <c r="I616" s="650"/>
      <c r="J616" s="650"/>
      <c r="K616" s="655"/>
      <c r="L616" s="655"/>
      <c r="M616" s="655"/>
      <c r="N616" s="655"/>
      <c r="O616" s="655"/>
      <c r="P616" s="655"/>
      <c r="Q616" s="655"/>
      <c r="R616" s="655"/>
      <c r="S616" s="655"/>
      <c r="T616" s="655"/>
      <c r="U616" s="655"/>
      <c r="V616" s="655"/>
      <c r="W616" s="655"/>
      <c r="X616" s="655"/>
      <c r="Y616" s="655"/>
      <c r="Z616" s="655"/>
    </row>
    <row r="617">
      <c r="B617" s="462"/>
      <c r="C617" s="671"/>
      <c r="D617" s="462"/>
      <c r="E617" s="654"/>
      <c r="F617" s="650"/>
      <c r="G617" s="654"/>
      <c r="H617" s="654"/>
      <c r="I617" s="650"/>
      <c r="J617" s="650"/>
      <c r="K617" s="655"/>
      <c r="L617" s="655"/>
      <c r="M617" s="655"/>
      <c r="N617" s="655"/>
      <c r="O617" s="655"/>
      <c r="P617" s="655"/>
      <c r="Q617" s="655"/>
      <c r="R617" s="655"/>
      <c r="S617" s="655"/>
      <c r="T617" s="655"/>
      <c r="U617" s="655"/>
      <c r="V617" s="655"/>
      <c r="W617" s="655"/>
      <c r="X617" s="655"/>
      <c r="Y617" s="655"/>
      <c r="Z617" s="655"/>
    </row>
    <row r="618">
      <c r="B618" s="462"/>
      <c r="C618" s="671"/>
      <c r="D618" s="462"/>
      <c r="E618" s="654"/>
      <c r="F618" s="650"/>
      <c r="G618" s="654"/>
      <c r="H618" s="654"/>
      <c r="I618" s="650"/>
      <c r="J618" s="650"/>
      <c r="K618" s="655"/>
      <c r="L618" s="655"/>
      <c r="M618" s="655"/>
      <c r="N618" s="655"/>
      <c r="O618" s="655"/>
      <c r="P618" s="655"/>
      <c r="Q618" s="655"/>
      <c r="R618" s="655"/>
      <c r="S618" s="655"/>
      <c r="T618" s="655"/>
      <c r="U618" s="655"/>
      <c r="V618" s="655"/>
      <c r="W618" s="655"/>
      <c r="X618" s="655"/>
      <c r="Y618" s="655"/>
      <c r="Z618" s="655"/>
    </row>
    <row r="619">
      <c r="B619" s="462"/>
      <c r="C619" s="671"/>
      <c r="D619" s="462"/>
      <c r="E619" s="654"/>
      <c r="F619" s="650"/>
      <c r="G619" s="654"/>
      <c r="H619" s="654"/>
      <c r="I619" s="650"/>
      <c r="J619" s="650"/>
      <c r="K619" s="655"/>
      <c r="L619" s="655"/>
      <c r="M619" s="655"/>
      <c r="N619" s="655"/>
      <c r="O619" s="655"/>
      <c r="P619" s="655"/>
      <c r="Q619" s="655"/>
      <c r="R619" s="655"/>
      <c r="S619" s="655"/>
      <c r="T619" s="655"/>
      <c r="U619" s="655"/>
      <c r="V619" s="655"/>
      <c r="W619" s="655"/>
      <c r="X619" s="655"/>
      <c r="Y619" s="655"/>
      <c r="Z619" s="655"/>
    </row>
    <row r="620">
      <c r="B620" s="462"/>
      <c r="C620" s="671"/>
      <c r="D620" s="462"/>
      <c r="E620" s="654"/>
      <c r="F620" s="650"/>
      <c r="G620" s="654"/>
      <c r="H620" s="654"/>
      <c r="I620" s="650"/>
      <c r="J620" s="650"/>
      <c r="K620" s="655"/>
      <c r="L620" s="655"/>
      <c r="M620" s="655"/>
      <c r="N620" s="655"/>
      <c r="O620" s="655"/>
      <c r="P620" s="655"/>
      <c r="Q620" s="655"/>
      <c r="R620" s="655"/>
      <c r="S620" s="655"/>
      <c r="T620" s="655"/>
      <c r="U620" s="655"/>
      <c r="V620" s="655"/>
      <c r="W620" s="655"/>
      <c r="X620" s="655"/>
      <c r="Y620" s="655"/>
      <c r="Z620" s="655"/>
    </row>
    <row r="621">
      <c r="B621" s="462"/>
      <c r="C621" s="671"/>
      <c r="D621" s="462"/>
      <c r="E621" s="654"/>
      <c r="F621" s="650"/>
      <c r="G621" s="654"/>
      <c r="H621" s="654"/>
      <c r="I621" s="650"/>
      <c r="J621" s="650"/>
      <c r="K621" s="655"/>
      <c r="L621" s="655"/>
      <c r="M621" s="655"/>
      <c r="N621" s="655"/>
      <c r="O621" s="655"/>
      <c r="P621" s="655"/>
      <c r="Q621" s="655"/>
      <c r="R621" s="655"/>
      <c r="S621" s="655"/>
      <c r="T621" s="655"/>
      <c r="U621" s="655"/>
      <c r="V621" s="655"/>
      <c r="W621" s="655"/>
      <c r="X621" s="655"/>
      <c r="Y621" s="655"/>
      <c r="Z621" s="655"/>
    </row>
    <row r="622">
      <c r="B622" s="462"/>
      <c r="C622" s="671"/>
      <c r="D622" s="462"/>
      <c r="E622" s="654"/>
      <c r="F622" s="650"/>
      <c r="G622" s="654"/>
      <c r="H622" s="654"/>
      <c r="I622" s="650"/>
      <c r="J622" s="650"/>
      <c r="K622" s="655"/>
      <c r="L622" s="655"/>
      <c r="M622" s="655"/>
      <c r="N622" s="655"/>
      <c r="O622" s="655"/>
      <c r="P622" s="655"/>
      <c r="Q622" s="655"/>
      <c r="R622" s="655"/>
      <c r="S622" s="655"/>
      <c r="T622" s="655"/>
      <c r="U622" s="655"/>
      <c r="V622" s="655"/>
      <c r="W622" s="655"/>
      <c r="X622" s="655"/>
      <c r="Y622" s="655"/>
      <c r="Z622" s="655"/>
    </row>
    <row r="623">
      <c r="B623" s="462"/>
      <c r="C623" s="671"/>
      <c r="D623" s="462"/>
      <c r="E623" s="654"/>
      <c r="F623" s="650"/>
      <c r="G623" s="654"/>
      <c r="H623" s="654"/>
      <c r="I623" s="650"/>
      <c r="J623" s="650"/>
      <c r="K623" s="655"/>
      <c r="L623" s="655"/>
      <c r="M623" s="655"/>
      <c r="N623" s="655"/>
      <c r="O623" s="655"/>
      <c r="P623" s="655"/>
      <c r="Q623" s="655"/>
      <c r="R623" s="655"/>
      <c r="S623" s="655"/>
      <c r="T623" s="655"/>
      <c r="U623" s="655"/>
      <c r="V623" s="655"/>
      <c r="W623" s="655"/>
      <c r="X623" s="655"/>
      <c r="Y623" s="655"/>
      <c r="Z623" s="655"/>
    </row>
    <row r="624">
      <c r="B624" s="462"/>
      <c r="C624" s="671"/>
      <c r="D624" s="462"/>
      <c r="E624" s="654"/>
      <c r="F624" s="650"/>
      <c r="G624" s="654"/>
      <c r="H624" s="654"/>
      <c r="I624" s="650"/>
      <c r="J624" s="650"/>
      <c r="K624" s="655"/>
      <c r="L624" s="655"/>
      <c r="M624" s="655"/>
      <c r="N624" s="655"/>
      <c r="O624" s="655"/>
      <c r="P624" s="655"/>
      <c r="Q624" s="655"/>
      <c r="R624" s="655"/>
      <c r="S624" s="655"/>
      <c r="T624" s="655"/>
      <c r="U624" s="655"/>
      <c r="V624" s="655"/>
      <c r="W624" s="655"/>
      <c r="X624" s="655"/>
      <c r="Y624" s="655"/>
      <c r="Z624" s="655"/>
    </row>
    <row r="625">
      <c r="B625" s="462"/>
      <c r="C625" s="671"/>
      <c r="D625" s="462"/>
      <c r="E625" s="654"/>
      <c r="F625" s="650"/>
      <c r="G625" s="654"/>
      <c r="H625" s="654"/>
      <c r="I625" s="650"/>
      <c r="J625" s="650"/>
      <c r="K625" s="655"/>
      <c r="L625" s="655"/>
      <c r="M625" s="655"/>
      <c r="N625" s="655"/>
      <c r="O625" s="655"/>
      <c r="P625" s="655"/>
      <c r="Q625" s="655"/>
      <c r="R625" s="655"/>
      <c r="S625" s="655"/>
      <c r="T625" s="655"/>
      <c r="U625" s="655"/>
      <c r="V625" s="655"/>
      <c r="W625" s="655"/>
      <c r="X625" s="655"/>
      <c r="Y625" s="655"/>
      <c r="Z625" s="655"/>
    </row>
    <row r="626">
      <c r="B626" s="462"/>
      <c r="C626" s="671"/>
      <c r="D626" s="462"/>
      <c r="E626" s="654"/>
      <c r="F626" s="650"/>
      <c r="G626" s="654"/>
      <c r="H626" s="654"/>
      <c r="I626" s="650"/>
      <c r="J626" s="650"/>
      <c r="K626" s="655"/>
      <c r="L626" s="655"/>
      <c r="M626" s="655"/>
      <c r="N626" s="655"/>
      <c r="O626" s="655"/>
      <c r="P626" s="655"/>
      <c r="Q626" s="655"/>
      <c r="R626" s="655"/>
      <c r="S626" s="655"/>
      <c r="T626" s="655"/>
      <c r="U626" s="655"/>
      <c r="V626" s="655"/>
      <c r="W626" s="655"/>
      <c r="X626" s="655"/>
      <c r="Y626" s="655"/>
      <c r="Z626" s="655"/>
    </row>
    <row r="627">
      <c r="B627" s="462"/>
      <c r="C627" s="671"/>
      <c r="D627" s="462"/>
      <c r="E627" s="654"/>
      <c r="F627" s="650"/>
      <c r="G627" s="654"/>
      <c r="H627" s="654"/>
      <c r="I627" s="650"/>
      <c r="J627" s="650"/>
      <c r="K627" s="655"/>
      <c r="L627" s="655"/>
      <c r="M627" s="655"/>
      <c r="N627" s="655"/>
      <c r="O627" s="655"/>
      <c r="P627" s="655"/>
      <c r="Q627" s="655"/>
      <c r="R627" s="655"/>
      <c r="S627" s="655"/>
      <c r="T627" s="655"/>
      <c r="U627" s="655"/>
      <c r="V627" s="655"/>
      <c r="W627" s="655"/>
      <c r="X627" s="655"/>
      <c r="Y627" s="655"/>
      <c r="Z627" s="655"/>
    </row>
    <row r="628">
      <c r="B628" s="462"/>
      <c r="C628" s="671"/>
      <c r="D628" s="462"/>
      <c r="E628" s="654"/>
      <c r="F628" s="650"/>
      <c r="G628" s="654"/>
      <c r="H628" s="654"/>
      <c r="I628" s="650"/>
      <c r="J628" s="650"/>
      <c r="K628" s="655"/>
      <c r="L628" s="655"/>
      <c r="M628" s="655"/>
      <c r="N628" s="655"/>
      <c r="O628" s="655"/>
      <c r="P628" s="655"/>
      <c r="Q628" s="655"/>
      <c r="R628" s="655"/>
      <c r="S628" s="655"/>
      <c r="T628" s="655"/>
      <c r="U628" s="655"/>
      <c r="V628" s="655"/>
      <c r="W628" s="655"/>
      <c r="X628" s="655"/>
      <c r="Y628" s="655"/>
      <c r="Z628" s="655"/>
    </row>
    <row r="629">
      <c r="B629" s="462"/>
      <c r="C629" s="671"/>
      <c r="D629" s="462"/>
      <c r="E629" s="654"/>
      <c r="F629" s="650"/>
      <c r="G629" s="654"/>
      <c r="H629" s="654"/>
      <c r="I629" s="650"/>
      <c r="J629" s="650"/>
      <c r="K629" s="655"/>
      <c r="L629" s="655"/>
      <c r="M629" s="655"/>
      <c r="N629" s="655"/>
      <c r="O629" s="655"/>
      <c r="P629" s="655"/>
      <c r="Q629" s="655"/>
      <c r="R629" s="655"/>
      <c r="S629" s="655"/>
      <c r="T629" s="655"/>
      <c r="U629" s="655"/>
      <c r="V629" s="655"/>
      <c r="W629" s="655"/>
      <c r="X629" s="655"/>
      <c r="Y629" s="655"/>
      <c r="Z629" s="655"/>
    </row>
    <row r="630">
      <c r="B630" s="462"/>
      <c r="C630" s="671"/>
      <c r="D630" s="462"/>
      <c r="E630" s="654"/>
      <c r="F630" s="650"/>
      <c r="G630" s="654"/>
      <c r="H630" s="654"/>
      <c r="I630" s="650"/>
      <c r="J630" s="650"/>
      <c r="K630" s="655"/>
      <c r="L630" s="655"/>
      <c r="M630" s="655"/>
      <c r="N630" s="655"/>
      <c r="O630" s="655"/>
      <c r="P630" s="655"/>
      <c r="Q630" s="655"/>
      <c r="R630" s="655"/>
      <c r="S630" s="655"/>
      <c r="T630" s="655"/>
      <c r="U630" s="655"/>
      <c r="V630" s="655"/>
      <c r="W630" s="655"/>
      <c r="X630" s="655"/>
      <c r="Y630" s="655"/>
      <c r="Z630" s="655"/>
    </row>
    <row r="631">
      <c r="B631" s="462"/>
      <c r="C631" s="671"/>
      <c r="D631" s="462"/>
      <c r="E631" s="654"/>
      <c r="F631" s="650"/>
      <c r="G631" s="654"/>
      <c r="H631" s="654"/>
      <c r="I631" s="650"/>
      <c r="J631" s="650"/>
      <c r="K631" s="655"/>
      <c r="L631" s="655"/>
      <c r="M631" s="655"/>
      <c r="N631" s="655"/>
      <c r="O631" s="655"/>
      <c r="P631" s="655"/>
      <c r="Q631" s="655"/>
      <c r="R631" s="655"/>
      <c r="S631" s="655"/>
      <c r="T631" s="655"/>
      <c r="U631" s="655"/>
      <c r="V631" s="655"/>
      <c r="W631" s="655"/>
      <c r="X631" s="655"/>
      <c r="Y631" s="655"/>
      <c r="Z631" s="655"/>
    </row>
    <row r="632">
      <c r="B632" s="462"/>
      <c r="C632" s="671"/>
      <c r="D632" s="462"/>
      <c r="E632" s="654"/>
      <c r="F632" s="650"/>
      <c r="G632" s="654"/>
      <c r="H632" s="654"/>
      <c r="I632" s="650"/>
      <c r="J632" s="650"/>
      <c r="K632" s="655"/>
      <c r="L632" s="655"/>
      <c r="M632" s="655"/>
      <c r="N632" s="655"/>
      <c r="O632" s="655"/>
      <c r="P632" s="655"/>
      <c r="Q632" s="655"/>
      <c r="R632" s="655"/>
      <c r="S632" s="655"/>
      <c r="T632" s="655"/>
      <c r="U632" s="655"/>
      <c r="V632" s="655"/>
      <c r="W632" s="655"/>
      <c r="X632" s="655"/>
      <c r="Y632" s="655"/>
      <c r="Z632" s="655"/>
    </row>
    <row r="633">
      <c r="B633" s="462"/>
      <c r="C633" s="671"/>
      <c r="D633" s="462"/>
      <c r="E633" s="654"/>
      <c r="F633" s="650"/>
      <c r="G633" s="654"/>
      <c r="H633" s="654"/>
      <c r="I633" s="650"/>
      <c r="J633" s="650"/>
      <c r="K633" s="655"/>
      <c r="L633" s="655"/>
      <c r="M633" s="655"/>
      <c r="N633" s="655"/>
      <c r="O633" s="655"/>
      <c r="P633" s="655"/>
      <c r="Q633" s="655"/>
      <c r="R633" s="655"/>
      <c r="S633" s="655"/>
      <c r="T633" s="655"/>
      <c r="U633" s="655"/>
      <c r="V633" s="655"/>
      <c r="W633" s="655"/>
      <c r="X633" s="655"/>
      <c r="Y633" s="655"/>
      <c r="Z633" s="655"/>
    </row>
    <row r="634">
      <c r="B634" s="462"/>
      <c r="C634" s="671"/>
      <c r="D634" s="462"/>
      <c r="E634" s="654"/>
      <c r="F634" s="650"/>
      <c r="G634" s="654"/>
      <c r="H634" s="654"/>
      <c r="I634" s="650"/>
      <c r="J634" s="650"/>
      <c r="K634" s="655"/>
      <c r="L634" s="655"/>
      <c r="M634" s="655"/>
      <c r="N634" s="655"/>
      <c r="O634" s="655"/>
      <c r="P634" s="655"/>
      <c r="Q634" s="655"/>
      <c r="R634" s="655"/>
      <c r="S634" s="655"/>
      <c r="T634" s="655"/>
      <c r="U634" s="655"/>
      <c r="V634" s="655"/>
      <c r="W634" s="655"/>
      <c r="X634" s="655"/>
      <c r="Y634" s="655"/>
      <c r="Z634" s="655"/>
    </row>
    <row r="635">
      <c r="B635" s="462"/>
      <c r="C635" s="671"/>
      <c r="D635" s="462"/>
      <c r="E635" s="654"/>
      <c r="F635" s="650"/>
      <c r="G635" s="654"/>
      <c r="H635" s="654"/>
      <c r="I635" s="650"/>
      <c r="J635" s="650"/>
      <c r="K635" s="655"/>
      <c r="L635" s="655"/>
      <c r="M635" s="655"/>
      <c r="N635" s="655"/>
      <c r="O635" s="655"/>
      <c r="P635" s="655"/>
      <c r="Q635" s="655"/>
      <c r="R635" s="655"/>
      <c r="S635" s="655"/>
      <c r="T635" s="655"/>
      <c r="U635" s="655"/>
      <c r="V635" s="655"/>
      <c r="W635" s="655"/>
      <c r="X635" s="655"/>
      <c r="Y635" s="655"/>
      <c r="Z635" s="655"/>
    </row>
    <row r="636">
      <c r="B636" s="462"/>
      <c r="C636" s="671"/>
      <c r="D636" s="462"/>
      <c r="E636" s="654"/>
      <c r="F636" s="650"/>
      <c r="G636" s="654"/>
      <c r="H636" s="654"/>
      <c r="I636" s="650"/>
      <c r="J636" s="650"/>
      <c r="K636" s="655"/>
      <c r="L636" s="655"/>
      <c r="M636" s="655"/>
      <c r="N636" s="655"/>
      <c r="O636" s="655"/>
      <c r="P636" s="655"/>
      <c r="Q636" s="655"/>
      <c r="R636" s="655"/>
      <c r="S636" s="655"/>
      <c r="T636" s="655"/>
      <c r="U636" s="655"/>
      <c r="V636" s="655"/>
      <c r="W636" s="655"/>
      <c r="X636" s="655"/>
      <c r="Y636" s="655"/>
      <c r="Z636" s="655"/>
    </row>
    <row r="637">
      <c r="B637" s="462"/>
      <c r="C637" s="671"/>
      <c r="D637" s="462"/>
      <c r="E637" s="654"/>
      <c r="F637" s="650"/>
      <c r="G637" s="654"/>
      <c r="H637" s="654"/>
      <c r="I637" s="650"/>
      <c r="J637" s="650"/>
      <c r="K637" s="655"/>
      <c r="L637" s="655"/>
      <c r="M637" s="655"/>
      <c r="N637" s="655"/>
      <c r="O637" s="655"/>
      <c r="P637" s="655"/>
      <c r="Q637" s="655"/>
      <c r="R637" s="655"/>
      <c r="S637" s="655"/>
      <c r="T637" s="655"/>
      <c r="U637" s="655"/>
      <c r="V637" s="655"/>
      <c r="W637" s="655"/>
      <c r="X637" s="655"/>
      <c r="Y637" s="655"/>
      <c r="Z637" s="655"/>
    </row>
    <row r="638">
      <c r="B638" s="462"/>
      <c r="C638" s="671"/>
      <c r="D638" s="462"/>
      <c r="E638" s="654"/>
      <c r="F638" s="650"/>
      <c r="G638" s="654"/>
      <c r="H638" s="654"/>
      <c r="I638" s="650"/>
      <c r="J638" s="650"/>
      <c r="K638" s="655"/>
      <c r="L638" s="655"/>
      <c r="M638" s="655"/>
      <c r="N638" s="655"/>
      <c r="O638" s="655"/>
      <c r="P638" s="655"/>
      <c r="Q638" s="655"/>
      <c r="R638" s="655"/>
      <c r="S638" s="655"/>
      <c r="T638" s="655"/>
      <c r="U638" s="655"/>
      <c r="V638" s="655"/>
      <c r="W638" s="655"/>
      <c r="X638" s="655"/>
      <c r="Y638" s="655"/>
      <c r="Z638" s="655"/>
    </row>
    <row r="639">
      <c r="B639" s="462"/>
      <c r="C639" s="671"/>
      <c r="D639" s="462"/>
      <c r="E639" s="654"/>
      <c r="F639" s="650"/>
      <c r="G639" s="654"/>
      <c r="H639" s="654"/>
      <c r="I639" s="650"/>
      <c r="J639" s="650"/>
      <c r="K639" s="655"/>
      <c r="L639" s="655"/>
      <c r="M639" s="655"/>
      <c r="N639" s="655"/>
      <c r="O639" s="655"/>
      <c r="P639" s="655"/>
      <c r="Q639" s="655"/>
      <c r="R639" s="655"/>
      <c r="S639" s="655"/>
      <c r="T639" s="655"/>
      <c r="U639" s="655"/>
      <c r="V639" s="655"/>
      <c r="W639" s="655"/>
      <c r="X639" s="655"/>
      <c r="Y639" s="655"/>
      <c r="Z639" s="655"/>
    </row>
    <row r="640">
      <c r="B640" s="462"/>
      <c r="C640" s="671"/>
      <c r="D640" s="462"/>
      <c r="E640" s="654"/>
      <c r="F640" s="650"/>
      <c r="G640" s="654"/>
      <c r="H640" s="654"/>
      <c r="I640" s="650"/>
      <c r="J640" s="650"/>
      <c r="K640" s="655"/>
      <c r="L640" s="655"/>
      <c r="M640" s="655"/>
      <c r="N640" s="655"/>
      <c r="O640" s="655"/>
      <c r="P640" s="655"/>
      <c r="Q640" s="655"/>
      <c r="R640" s="655"/>
      <c r="S640" s="655"/>
      <c r="T640" s="655"/>
      <c r="U640" s="655"/>
      <c r="V640" s="655"/>
      <c r="W640" s="655"/>
      <c r="X640" s="655"/>
      <c r="Y640" s="655"/>
      <c r="Z640" s="655"/>
    </row>
    <row r="641">
      <c r="B641" s="462"/>
      <c r="C641" s="671"/>
      <c r="D641" s="462"/>
      <c r="E641" s="654"/>
      <c r="F641" s="650"/>
      <c r="G641" s="654"/>
      <c r="H641" s="654"/>
      <c r="I641" s="650"/>
      <c r="J641" s="650"/>
      <c r="K641" s="655"/>
      <c r="L641" s="655"/>
      <c r="M641" s="655"/>
      <c r="N641" s="655"/>
      <c r="O641" s="655"/>
      <c r="P641" s="655"/>
      <c r="Q641" s="655"/>
      <c r="R641" s="655"/>
      <c r="S641" s="655"/>
      <c r="T641" s="655"/>
      <c r="U641" s="655"/>
      <c r="V641" s="655"/>
      <c r="W641" s="655"/>
      <c r="X641" s="655"/>
      <c r="Y641" s="655"/>
      <c r="Z641" s="655"/>
    </row>
    <row r="642">
      <c r="B642" s="462"/>
      <c r="C642" s="671"/>
      <c r="D642" s="462"/>
      <c r="E642" s="654"/>
      <c r="F642" s="650"/>
      <c r="G642" s="654"/>
      <c r="H642" s="654"/>
      <c r="I642" s="650"/>
      <c r="J642" s="650"/>
      <c r="K642" s="655"/>
      <c r="L642" s="655"/>
      <c r="M642" s="655"/>
      <c r="N642" s="655"/>
      <c r="O642" s="655"/>
      <c r="P642" s="655"/>
      <c r="Q642" s="655"/>
      <c r="R642" s="655"/>
      <c r="S642" s="655"/>
      <c r="T642" s="655"/>
      <c r="U642" s="655"/>
      <c r="V642" s="655"/>
      <c r="W642" s="655"/>
      <c r="X642" s="655"/>
      <c r="Y642" s="655"/>
      <c r="Z642" s="655"/>
    </row>
    <row r="643">
      <c r="B643" s="462"/>
      <c r="C643" s="671"/>
      <c r="D643" s="462"/>
      <c r="E643" s="654"/>
      <c r="F643" s="650"/>
      <c r="G643" s="654"/>
      <c r="H643" s="654"/>
      <c r="I643" s="650"/>
      <c r="J643" s="650"/>
      <c r="K643" s="655"/>
      <c r="L643" s="655"/>
      <c r="M643" s="655"/>
      <c r="N643" s="655"/>
      <c r="O643" s="655"/>
      <c r="P643" s="655"/>
      <c r="Q643" s="655"/>
      <c r="R643" s="655"/>
      <c r="S643" s="655"/>
      <c r="T643" s="655"/>
      <c r="U643" s="655"/>
      <c r="V643" s="655"/>
      <c r="W643" s="655"/>
      <c r="X643" s="655"/>
      <c r="Y643" s="655"/>
      <c r="Z643" s="655"/>
    </row>
    <row r="644">
      <c r="B644" s="462"/>
      <c r="C644" s="671"/>
      <c r="D644" s="462"/>
      <c r="E644" s="654"/>
      <c r="F644" s="650"/>
      <c r="G644" s="654"/>
      <c r="H644" s="654"/>
      <c r="I644" s="650"/>
      <c r="J644" s="650"/>
      <c r="K644" s="655"/>
      <c r="L644" s="655"/>
      <c r="M644" s="655"/>
      <c r="N644" s="655"/>
      <c r="O644" s="655"/>
      <c r="P644" s="655"/>
      <c r="Q644" s="655"/>
      <c r="R644" s="655"/>
      <c r="S644" s="655"/>
      <c r="T644" s="655"/>
      <c r="U644" s="655"/>
      <c r="V644" s="655"/>
      <c r="W644" s="655"/>
      <c r="X644" s="655"/>
      <c r="Y644" s="655"/>
      <c r="Z644" s="655"/>
    </row>
    <row r="645">
      <c r="B645" s="462"/>
      <c r="C645" s="671"/>
      <c r="D645" s="462"/>
      <c r="E645" s="654"/>
      <c r="F645" s="650"/>
      <c r="G645" s="654"/>
      <c r="H645" s="654"/>
      <c r="I645" s="650"/>
      <c r="J645" s="650"/>
      <c r="K645" s="655"/>
      <c r="L645" s="655"/>
      <c r="M645" s="655"/>
      <c r="N645" s="655"/>
      <c r="O645" s="655"/>
      <c r="P645" s="655"/>
      <c r="Q645" s="655"/>
      <c r="R645" s="655"/>
      <c r="S645" s="655"/>
      <c r="T645" s="655"/>
      <c r="U645" s="655"/>
      <c r="V645" s="655"/>
      <c r="W645" s="655"/>
      <c r="X645" s="655"/>
      <c r="Y645" s="655"/>
      <c r="Z645" s="655"/>
    </row>
    <row r="646">
      <c r="B646" s="462"/>
      <c r="C646" s="671"/>
      <c r="D646" s="462"/>
      <c r="E646" s="654"/>
      <c r="F646" s="650"/>
      <c r="G646" s="654"/>
      <c r="H646" s="654"/>
      <c r="I646" s="650"/>
      <c r="J646" s="650"/>
      <c r="K646" s="655"/>
      <c r="L646" s="655"/>
      <c r="M646" s="655"/>
      <c r="N646" s="655"/>
      <c r="O646" s="655"/>
      <c r="P646" s="655"/>
      <c r="Q646" s="655"/>
      <c r="R646" s="655"/>
      <c r="S646" s="655"/>
      <c r="T646" s="655"/>
      <c r="U646" s="655"/>
      <c r="V646" s="655"/>
      <c r="W646" s="655"/>
      <c r="X646" s="655"/>
      <c r="Y646" s="655"/>
      <c r="Z646" s="655"/>
    </row>
    <row r="647">
      <c r="B647" s="462"/>
      <c r="C647" s="671"/>
      <c r="D647" s="462"/>
      <c r="E647" s="654"/>
      <c r="F647" s="650"/>
      <c r="G647" s="654"/>
      <c r="H647" s="654"/>
      <c r="I647" s="650"/>
      <c r="J647" s="650"/>
      <c r="K647" s="655"/>
      <c r="L647" s="655"/>
      <c r="M647" s="655"/>
      <c r="N647" s="655"/>
      <c r="O647" s="655"/>
      <c r="P647" s="655"/>
      <c r="Q647" s="655"/>
      <c r="R647" s="655"/>
      <c r="S647" s="655"/>
      <c r="T647" s="655"/>
      <c r="U647" s="655"/>
      <c r="V647" s="655"/>
      <c r="W647" s="655"/>
      <c r="X647" s="655"/>
      <c r="Y647" s="655"/>
      <c r="Z647" s="655"/>
    </row>
    <row r="648">
      <c r="B648" s="462"/>
      <c r="C648" s="671"/>
      <c r="D648" s="462"/>
      <c r="E648" s="654"/>
      <c r="F648" s="650"/>
      <c r="G648" s="654"/>
      <c r="H648" s="654"/>
      <c r="I648" s="650"/>
      <c r="J648" s="650"/>
      <c r="K648" s="655"/>
      <c r="L648" s="655"/>
      <c r="M648" s="655"/>
      <c r="N648" s="655"/>
      <c r="O648" s="655"/>
      <c r="P648" s="655"/>
      <c r="Q648" s="655"/>
      <c r="R648" s="655"/>
      <c r="S648" s="655"/>
      <c r="T648" s="655"/>
      <c r="U648" s="655"/>
      <c r="V648" s="655"/>
      <c r="W648" s="655"/>
      <c r="X648" s="655"/>
      <c r="Y648" s="655"/>
      <c r="Z648" s="655"/>
    </row>
    <row r="649">
      <c r="B649" s="462"/>
      <c r="C649" s="671"/>
      <c r="D649" s="462"/>
      <c r="E649" s="654"/>
      <c r="F649" s="650"/>
      <c r="G649" s="654"/>
      <c r="H649" s="654"/>
      <c r="I649" s="650"/>
      <c r="J649" s="650"/>
      <c r="K649" s="655"/>
      <c r="L649" s="655"/>
      <c r="M649" s="655"/>
      <c r="N649" s="655"/>
      <c r="O649" s="655"/>
      <c r="P649" s="655"/>
      <c r="Q649" s="655"/>
      <c r="R649" s="655"/>
      <c r="S649" s="655"/>
      <c r="T649" s="655"/>
      <c r="U649" s="655"/>
      <c r="V649" s="655"/>
      <c r="W649" s="655"/>
      <c r="X649" s="655"/>
      <c r="Y649" s="655"/>
      <c r="Z649" s="655"/>
    </row>
    <row r="650">
      <c r="B650" s="462"/>
      <c r="C650" s="671"/>
      <c r="D650" s="462"/>
      <c r="E650" s="654"/>
      <c r="F650" s="650"/>
      <c r="G650" s="654"/>
      <c r="H650" s="654"/>
      <c r="I650" s="650"/>
      <c r="J650" s="650"/>
      <c r="K650" s="655"/>
      <c r="L650" s="655"/>
      <c r="M650" s="655"/>
      <c r="N650" s="655"/>
      <c r="O650" s="655"/>
      <c r="P650" s="655"/>
      <c r="Q650" s="655"/>
      <c r="R650" s="655"/>
      <c r="S650" s="655"/>
      <c r="T650" s="655"/>
      <c r="U650" s="655"/>
      <c r="V650" s="655"/>
      <c r="W650" s="655"/>
      <c r="X650" s="655"/>
      <c r="Y650" s="655"/>
      <c r="Z650" s="655"/>
    </row>
    <row r="651">
      <c r="B651" s="462"/>
      <c r="C651" s="671"/>
      <c r="D651" s="462"/>
      <c r="E651" s="654"/>
      <c r="F651" s="650"/>
      <c r="G651" s="654"/>
      <c r="H651" s="654"/>
      <c r="I651" s="650"/>
      <c r="J651" s="650"/>
      <c r="K651" s="655"/>
      <c r="L651" s="655"/>
      <c r="M651" s="655"/>
      <c r="N651" s="655"/>
      <c r="O651" s="655"/>
      <c r="P651" s="655"/>
      <c r="Q651" s="655"/>
      <c r="R651" s="655"/>
      <c r="S651" s="655"/>
      <c r="T651" s="655"/>
      <c r="U651" s="655"/>
      <c r="V651" s="655"/>
      <c r="W651" s="655"/>
      <c r="X651" s="655"/>
      <c r="Y651" s="655"/>
      <c r="Z651" s="655"/>
    </row>
    <row r="652">
      <c r="B652" s="462"/>
      <c r="C652" s="671"/>
      <c r="D652" s="462"/>
      <c r="E652" s="654"/>
      <c r="F652" s="650"/>
      <c r="G652" s="654"/>
      <c r="H652" s="654"/>
      <c r="I652" s="650"/>
      <c r="J652" s="650"/>
      <c r="K652" s="655"/>
      <c r="L652" s="655"/>
      <c r="M652" s="655"/>
      <c r="N652" s="655"/>
      <c r="O652" s="655"/>
      <c r="P652" s="655"/>
      <c r="Q652" s="655"/>
      <c r="R652" s="655"/>
      <c r="S652" s="655"/>
      <c r="T652" s="655"/>
      <c r="U652" s="655"/>
      <c r="V652" s="655"/>
      <c r="W652" s="655"/>
      <c r="X652" s="655"/>
      <c r="Y652" s="655"/>
      <c r="Z652" s="655"/>
    </row>
    <row r="653">
      <c r="B653" s="462"/>
      <c r="C653" s="671"/>
      <c r="D653" s="462"/>
      <c r="E653" s="654"/>
      <c r="F653" s="650"/>
      <c r="G653" s="654"/>
      <c r="H653" s="654"/>
      <c r="I653" s="650"/>
      <c r="J653" s="650"/>
      <c r="K653" s="655"/>
      <c r="L653" s="655"/>
      <c r="M653" s="655"/>
      <c r="N653" s="655"/>
      <c r="O653" s="655"/>
      <c r="P653" s="655"/>
      <c r="Q653" s="655"/>
      <c r="R653" s="655"/>
      <c r="S653" s="655"/>
      <c r="T653" s="655"/>
      <c r="U653" s="655"/>
      <c r="V653" s="655"/>
      <c r="W653" s="655"/>
      <c r="X653" s="655"/>
      <c r="Y653" s="655"/>
      <c r="Z653" s="655"/>
    </row>
    <row r="654">
      <c r="B654" s="462"/>
      <c r="C654" s="671"/>
      <c r="D654" s="462"/>
      <c r="E654" s="654"/>
      <c r="F654" s="650"/>
      <c r="G654" s="654"/>
      <c r="H654" s="654"/>
      <c r="I654" s="650"/>
      <c r="J654" s="650"/>
      <c r="K654" s="655"/>
      <c r="L654" s="655"/>
      <c r="M654" s="655"/>
      <c r="N654" s="655"/>
      <c r="O654" s="655"/>
      <c r="P654" s="655"/>
      <c r="Q654" s="655"/>
      <c r="R654" s="655"/>
      <c r="S654" s="655"/>
      <c r="T654" s="655"/>
      <c r="U654" s="655"/>
      <c r="V654" s="655"/>
      <c r="W654" s="655"/>
      <c r="X654" s="655"/>
      <c r="Y654" s="655"/>
      <c r="Z654" s="655"/>
    </row>
    <row r="655">
      <c r="B655" s="462"/>
      <c r="C655" s="671"/>
      <c r="D655" s="462"/>
      <c r="E655" s="654"/>
      <c r="F655" s="650"/>
      <c r="G655" s="654"/>
      <c r="H655" s="654"/>
      <c r="I655" s="650"/>
      <c r="J655" s="650"/>
      <c r="K655" s="655"/>
      <c r="L655" s="655"/>
      <c r="M655" s="655"/>
      <c r="N655" s="655"/>
      <c r="O655" s="655"/>
      <c r="P655" s="655"/>
      <c r="Q655" s="655"/>
      <c r="R655" s="655"/>
      <c r="S655" s="655"/>
      <c r="T655" s="655"/>
      <c r="U655" s="655"/>
      <c r="V655" s="655"/>
      <c r="W655" s="655"/>
      <c r="X655" s="655"/>
      <c r="Y655" s="655"/>
      <c r="Z655" s="655"/>
    </row>
    <row r="656">
      <c r="B656" s="462"/>
      <c r="C656" s="671"/>
      <c r="D656" s="462"/>
      <c r="E656" s="654"/>
      <c r="F656" s="650"/>
      <c r="G656" s="654"/>
      <c r="H656" s="654"/>
      <c r="I656" s="650"/>
      <c r="J656" s="650"/>
      <c r="K656" s="655"/>
      <c r="L656" s="655"/>
      <c r="M656" s="655"/>
      <c r="N656" s="655"/>
      <c r="O656" s="655"/>
      <c r="P656" s="655"/>
      <c r="Q656" s="655"/>
      <c r="R656" s="655"/>
      <c r="S656" s="655"/>
      <c r="T656" s="655"/>
      <c r="U656" s="655"/>
      <c r="V656" s="655"/>
      <c r="W656" s="655"/>
      <c r="X656" s="655"/>
      <c r="Y656" s="655"/>
      <c r="Z656" s="655"/>
    </row>
    <row r="657">
      <c r="B657" s="462"/>
      <c r="C657" s="671"/>
      <c r="D657" s="462"/>
      <c r="E657" s="654"/>
      <c r="F657" s="650"/>
      <c r="G657" s="654"/>
      <c r="H657" s="654"/>
      <c r="I657" s="650"/>
      <c r="J657" s="650"/>
      <c r="K657" s="655"/>
      <c r="L657" s="655"/>
      <c r="M657" s="655"/>
      <c r="N657" s="655"/>
      <c r="O657" s="655"/>
      <c r="P657" s="655"/>
      <c r="Q657" s="655"/>
      <c r="R657" s="655"/>
      <c r="S657" s="655"/>
      <c r="T657" s="655"/>
      <c r="U657" s="655"/>
      <c r="V657" s="655"/>
      <c r="W657" s="655"/>
      <c r="X657" s="655"/>
      <c r="Y657" s="655"/>
      <c r="Z657" s="655"/>
    </row>
    <row r="658">
      <c r="B658" s="462"/>
      <c r="C658" s="671"/>
      <c r="D658" s="462"/>
      <c r="E658" s="654"/>
      <c r="F658" s="650"/>
      <c r="G658" s="654"/>
      <c r="H658" s="654"/>
      <c r="I658" s="650"/>
      <c r="J658" s="650"/>
      <c r="K658" s="655"/>
      <c r="L658" s="655"/>
      <c r="M658" s="655"/>
      <c r="N658" s="655"/>
      <c r="O658" s="655"/>
      <c r="P658" s="655"/>
      <c r="Q658" s="655"/>
      <c r="R658" s="655"/>
      <c r="S658" s="655"/>
      <c r="T658" s="655"/>
      <c r="U658" s="655"/>
      <c r="V658" s="655"/>
      <c r="W658" s="655"/>
      <c r="X658" s="655"/>
      <c r="Y658" s="655"/>
      <c r="Z658" s="655"/>
    </row>
    <row r="659">
      <c r="B659" s="462"/>
      <c r="C659" s="671"/>
      <c r="D659" s="462"/>
      <c r="E659" s="654"/>
      <c r="F659" s="650"/>
      <c r="G659" s="654"/>
      <c r="H659" s="654"/>
      <c r="I659" s="650"/>
      <c r="J659" s="650"/>
      <c r="K659" s="655"/>
      <c r="L659" s="655"/>
      <c r="M659" s="655"/>
      <c r="N659" s="655"/>
      <c r="O659" s="655"/>
      <c r="P659" s="655"/>
      <c r="Q659" s="655"/>
      <c r="R659" s="655"/>
      <c r="S659" s="655"/>
      <c r="T659" s="655"/>
      <c r="U659" s="655"/>
      <c r="V659" s="655"/>
      <c r="W659" s="655"/>
      <c r="X659" s="655"/>
      <c r="Y659" s="655"/>
      <c r="Z659" s="655"/>
    </row>
    <row r="660">
      <c r="B660" s="462"/>
      <c r="C660" s="671"/>
      <c r="D660" s="462"/>
      <c r="E660" s="654"/>
      <c r="F660" s="650"/>
      <c r="G660" s="654"/>
      <c r="H660" s="654"/>
      <c r="I660" s="650"/>
      <c r="J660" s="650"/>
      <c r="K660" s="655"/>
      <c r="L660" s="655"/>
      <c r="M660" s="655"/>
      <c r="N660" s="655"/>
      <c r="O660" s="655"/>
      <c r="P660" s="655"/>
      <c r="Q660" s="655"/>
      <c r="R660" s="655"/>
      <c r="S660" s="655"/>
      <c r="T660" s="655"/>
      <c r="U660" s="655"/>
      <c r="V660" s="655"/>
      <c r="W660" s="655"/>
      <c r="X660" s="655"/>
      <c r="Y660" s="655"/>
      <c r="Z660" s="655"/>
    </row>
    <row r="661">
      <c r="B661" s="462"/>
      <c r="C661" s="671"/>
      <c r="D661" s="462"/>
      <c r="E661" s="654"/>
      <c r="F661" s="650"/>
      <c r="G661" s="654"/>
      <c r="H661" s="654"/>
      <c r="I661" s="650"/>
      <c r="J661" s="650"/>
      <c r="K661" s="655"/>
      <c r="L661" s="655"/>
      <c r="M661" s="655"/>
      <c r="N661" s="655"/>
      <c r="O661" s="655"/>
      <c r="P661" s="655"/>
      <c r="Q661" s="655"/>
      <c r="R661" s="655"/>
      <c r="S661" s="655"/>
      <c r="T661" s="655"/>
      <c r="U661" s="655"/>
      <c r="V661" s="655"/>
      <c r="W661" s="655"/>
      <c r="X661" s="655"/>
      <c r="Y661" s="655"/>
      <c r="Z661" s="655"/>
    </row>
    <row r="662">
      <c r="B662" s="462"/>
      <c r="C662" s="671"/>
      <c r="D662" s="462"/>
      <c r="E662" s="654"/>
      <c r="F662" s="650"/>
      <c r="G662" s="654"/>
      <c r="H662" s="654"/>
      <c r="I662" s="650"/>
      <c r="J662" s="650"/>
      <c r="K662" s="655"/>
      <c r="L662" s="655"/>
      <c r="M662" s="655"/>
      <c r="N662" s="655"/>
      <c r="O662" s="655"/>
      <c r="P662" s="655"/>
      <c r="Q662" s="655"/>
      <c r="R662" s="655"/>
      <c r="S662" s="655"/>
      <c r="T662" s="655"/>
      <c r="U662" s="655"/>
      <c r="V662" s="655"/>
      <c r="W662" s="655"/>
      <c r="X662" s="655"/>
      <c r="Y662" s="655"/>
      <c r="Z662" s="655"/>
    </row>
    <row r="663">
      <c r="B663" s="462"/>
      <c r="C663" s="671"/>
      <c r="D663" s="462"/>
      <c r="E663" s="654"/>
      <c r="F663" s="650"/>
      <c r="G663" s="654"/>
      <c r="H663" s="654"/>
      <c r="I663" s="650"/>
      <c r="J663" s="650"/>
      <c r="K663" s="655"/>
      <c r="L663" s="655"/>
      <c r="M663" s="655"/>
      <c r="N663" s="655"/>
      <c r="O663" s="655"/>
      <c r="P663" s="655"/>
      <c r="Q663" s="655"/>
      <c r="R663" s="655"/>
      <c r="S663" s="655"/>
      <c r="T663" s="655"/>
      <c r="U663" s="655"/>
      <c r="V663" s="655"/>
      <c r="W663" s="655"/>
      <c r="X663" s="655"/>
      <c r="Y663" s="655"/>
      <c r="Z663" s="655"/>
    </row>
    <row r="664">
      <c r="B664" s="462"/>
      <c r="C664" s="671"/>
      <c r="D664" s="462"/>
      <c r="E664" s="654"/>
      <c r="F664" s="650"/>
      <c r="G664" s="654"/>
      <c r="H664" s="654"/>
      <c r="I664" s="650"/>
      <c r="J664" s="650"/>
      <c r="K664" s="655"/>
      <c r="L664" s="655"/>
      <c r="M664" s="655"/>
      <c r="N664" s="655"/>
      <c r="O664" s="655"/>
      <c r="P664" s="655"/>
      <c r="Q664" s="655"/>
      <c r="R664" s="655"/>
      <c r="S664" s="655"/>
      <c r="T664" s="655"/>
      <c r="U664" s="655"/>
      <c r="V664" s="655"/>
      <c r="W664" s="655"/>
      <c r="X664" s="655"/>
      <c r="Y664" s="655"/>
      <c r="Z664" s="655"/>
    </row>
    <row r="665">
      <c r="B665" s="462"/>
      <c r="C665" s="671"/>
      <c r="D665" s="462"/>
      <c r="E665" s="654"/>
      <c r="F665" s="650"/>
      <c r="G665" s="654"/>
      <c r="H665" s="654"/>
      <c r="I665" s="650"/>
      <c r="J665" s="650"/>
      <c r="K665" s="655"/>
      <c r="L665" s="655"/>
      <c r="M665" s="655"/>
      <c r="N665" s="655"/>
      <c r="O665" s="655"/>
      <c r="P665" s="655"/>
      <c r="Q665" s="655"/>
      <c r="R665" s="655"/>
      <c r="S665" s="655"/>
      <c r="T665" s="655"/>
      <c r="U665" s="655"/>
      <c r="V665" s="655"/>
      <c r="W665" s="655"/>
      <c r="X665" s="655"/>
      <c r="Y665" s="655"/>
      <c r="Z665" s="655"/>
    </row>
    <row r="666">
      <c r="B666" s="462"/>
      <c r="C666" s="671"/>
      <c r="D666" s="462"/>
      <c r="E666" s="654"/>
      <c r="F666" s="650"/>
      <c r="G666" s="654"/>
      <c r="H666" s="654"/>
      <c r="I666" s="650"/>
      <c r="J666" s="650"/>
      <c r="K666" s="655"/>
      <c r="L666" s="655"/>
      <c r="M666" s="655"/>
      <c r="N666" s="655"/>
      <c r="O666" s="655"/>
      <c r="P666" s="655"/>
      <c r="Q666" s="655"/>
      <c r="R666" s="655"/>
      <c r="S666" s="655"/>
      <c r="T666" s="655"/>
      <c r="U666" s="655"/>
      <c r="V666" s="655"/>
      <c r="W666" s="655"/>
      <c r="X666" s="655"/>
      <c r="Y666" s="655"/>
      <c r="Z666" s="655"/>
    </row>
    <row r="667">
      <c r="B667" s="462"/>
      <c r="C667" s="671"/>
      <c r="D667" s="462"/>
      <c r="E667" s="654"/>
      <c r="F667" s="650"/>
      <c r="G667" s="654"/>
      <c r="H667" s="654"/>
      <c r="I667" s="650"/>
      <c r="J667" s="650"/>
      <c r="K667" s="655"/>
      <c r="L667" s="655"/>
      <c r="M667" s="655"/>
      <c r="N667" s="655"/>
      <c r="O667" s="655"/>
      <c r="P667" s="655"/>
      <c r="Q667" s="655"/>
      <c r="R667" s="655"/>
      <c r="S667" s="655"/>
      <c r="T667" s="655"/>
      <c r="U667" s="655"/>
      <c r="V667" s="655"/>
      <c r="W667" s="655"/>
      <c r="X667" s="655"/>
      <c r="Y667" s="655"/>
      <c r="Z667" s="655"/>
    </row>
    <row r="668">
      <c r="B668" s="462"/>
      <c r="C668" s="671"/>
      <c r="D668" s="462"/>
      <c r="E668" s="654"/>
      <c r="F668" s="650"/>
      <c r="G668" s="654"/>
      <c r="H668" s="654"/>
      <c r="I668" s="650"/>
      <c r="J668" s="650"/>
      <c r="K668" s="655"/>
      <c r="L668" s="655"/>
      <c r="M668" s="655"/>
      <c r="N668" s="655"/>
      <c r="O668" s="655"/>
      <c r="P668" s="655"/>
      <c r="Q668" s="655"/>
      <c r="R668" s="655"/>
      <c r="S668" s="655"/>
      <c r="T668" s="655"/>
      <c r="U668" s="655"/>
      <c r="V668" s="655"/>
      <c r="W668" s="655"/>
      <c r="X668" s="655"/>
      <c r="Y668" s="655"/>
      <c r="Z668" s="655"/>
    </row>
    <row r="669">
      <c r="B669" s="462"/>
      <c r="C669" s="671"/>
      <c r="D669" s="462"/>
      <c r="E669" s="654"/>
      <c r="F669" s="650"/>
      <c r="G669" s="654"/>
      <c r="H669" s="654"/>
      <c r="I669" s="650"/>
      <c r="J669" s="650"/>
      <c r="K669" s="655"/>
      <c r="L669" s="655"/>
      <c r="M669" s="655"/>
      <c r="N669" s="655"/>
      <c r="O669" s="655"/>
      <c r="P669" s="655"/>
      <c r="Q669" s="655"/>
      <c r="R669" s="655"/>
      <c r="S669" s="655"/>
      <c r="T669" s="655"/>
      <c r="U669" s="655"/>
      <c r="V669" s="655"/>
      <c r="W669" s="655"/>
      <c r="X669" s="655"/>
      <c r="Y669" s="655"/>
      <c r="Z669" s="655"/>
    </row>
    <row r="670">
      <c r="B670" s="462"/>
      <c r="C670" s="671"/>
      <c r="D670" s="462"/>
      <c r="E670" s="654"/>
      <c r="F670" s="650"/>
      <c r="G670" s="654"/>
      <c r="H670" s="654"/>
      <c r="I670" s="650"/>
      <c r="J670" s="650"/>
      <c r="K670" s="655"/>
      <c r="L670" s="655"/>
      <c r="M670" s="655"/>
      <c r="N670" s="655"/>
      <c r="O670" s="655"/>
      <c r="P670" s="655"/>
      <c r="Q670" s="655"/>
      <c r="R670" s="655"/>
      <c r="S670" s="655"/>
      <c r="T670" s="655"/>
      <c r="U670" s="655"/>
      <c r="V670" s="655"/>
      <c r="W670" s="655"/>
      <c r="X670" s="655"/>
      <c r="Y670" s="655"/>
      <c r="Z670" s="655"/>
    </row>
    <row r="671">
      <c r="B671" s="462"/>
      <c r="C671" s="671"/>
      <c r="D671" s="462"/>
      <c r="E671" s="654"/>
      <c r="F671" s="650"/>
      <c r="G671" s="654"/>
      <c r="H671" s="654"/>
      <c r="I671" s="650"/>
      <c r="J671" s="650"/>
      <c r="K671" s="655"/>
      <c r="L671" s="655"/>
      <c r="M671" s="655"/>
      <c r="N671" s="655"/>
      <c r="O671" s="655"/>
      <c r="P671" s="655"/>
      <c r="Q671" s="655"/>
      <c r="R671" s="655"/>
      <c r="S671" s="655"/>
      <c r="T671" s="655"/>
      <c r="U671" s="655"/>
      <c r="V671" s="655"/>
      <c r="W671" s="655"/>
      <c r="X671" s="655"/>
      <c r="Y671" s="655"/>
      <c r="Z671" s="655"/>
    </row>
    <row r="672">
      <c r="B672" s="462"/>
      <c r="C672" s="671"/>
      <c r="D672" s="462"/>
      <c r="E672" s="654"/>
      <c r="F672" s="650"/>
      <c r="G672" s="654"/>
      <c r="H672" s="654"/>
      <c r="I672" s="650"/>
      <c r="J672" s="650"/>
      <c r="K672" s="655"/>
      <c r="L672" s="655"/>
      <c r="M672" s="655"/>
      <c r="N672" s="655"/>
      <c r="O672" s="655"/>
      <c r="P672" s="655"/>
      <c r="Q672" s="655"/>
      <c r="R672" s="655"/>
      <c r="S672" s="655"/>
      <c r="T672" s="655"/>
      <c r="U672" s="655"/>
      <c r="V672" s="655"/>
      <c r="W672" s="655"/>
      <c r="X672" s="655"/>
      <c r="Y672" s="655"/>
      <c r="Z672" s="655"/>
    </row>
    <row r="673">
      <c r="B673" s="462"/>
      <c r="C673" s="671"/>
      <c r="D673" s="462"/>
      <c r="E673" s="654"/>
      <c r="F673" s="650"/>
      <c r="G673" s="654"/>
      <c r="H673" s="654"/>
      <c r="I673" s="650"/>
      <c r="J673" s="650"/>
      <c r="K673" s="655"/>
      <c r="L673" s="655"/>
      <c r="M673" s="655"/>
      <c r="N673" s="655"/>
      <c r="O673" s="655"/>
      <c r="P673" s="655"/>
      <c r="Q673" s="655"/>
      <c r="R673" s="655"/>
      <c r="S673" s="655"/>
      <c r="T673" s="655"/>
      <c r="U673" s="655"/>
      <c r="V673" s="655"/>
      <c r="W673" s="655"/>
      <c r="X673" s="655"/>
      <c r="Y673" s="655"/>
      <c r="Z673" s="655"/>
    </row>
    <row r="674">
      <c r="B674" s="462"/>
      <c r="C674" s="671"/>
      <c r="D674" s="462"/>
      <c r="E674" s="654"/>
      <c r="F674" s="650"/>
      <c r="G674" s="654"/>
      <c r="H674" s="654"/>
      <c r="I674" s="650"/>
      <c r="J674" s="650"/>
      <c r="K674" s="655"/>
      <c r="L674" s="655"/>
      <c r="M674" s="655"/>
      <c r="N674" s="655"/>
      <c r="O674" s="655"/>
      <c r="P674" s="655"/>
      <c r="Q674" s="655"/>
      <c r="R674" s="655"/>
      <c r="S674" s="655"/>
      <c r="T674" s="655"/>
      <c r="U674" s="655"/>
      <c r="V674" s="655"/>
      <c r="W674" s="655"/>
      <c r="X674" s="655"/>
      <c r="Y674" s="655"/>
      <c r="Z674" s="655"/>
    </row>
    <row r="675">
      <c r="B675" s="462"/>
      <c r="C675" s="671"/>
      <c r="D675" s="462"/>
      <c r="E675" s="654"/>
      <c r="F675" s="650"/>
      <c r="G675" s="654"/>
      <c r="H675" s="654"/>
      <c r="I675" s="650"/>
      <c r="J675" s="650"/>
      <c r="K675" s="655"/>
      <c r="L675" s="655"/>
      <c r="M675" s="655"/>
      <c r="N675" s="655"/>
      <c r="O675" s="655"/>
      <c r="P675" s="655"/>
      <c r="Q675" s="655"/>
      <c r="R675" s="655"/>
      <c r="S675" s="655"/>
      <c r="T675" s="655"/>
      <c r="U675" s="655"/>
      <c r="V675" s="655"/>
      <c r="W675" s="655"/>
      <c r="X675" s="655"/>
      <c r="Y675" s="655"/>
      <c r="Z675" s="655"/>
    </row>
    <row r="676">
      <c r="B676" s="462"/>
      <c r="C676" s="671"/>
      <c r="D676" s="462"/>
      <c r="E676" s="654"/>
      <c r="F676" s="650"/>
      <c r="G676" s="654"/>
      <c r="H676" s="654"/>
      <c r="I676" s="650"/>
      <c r="J676" s="650"/>
      <c r="K676" s="655"/>
      <c r="L676" s="655"/>
      <c r="M676" s="655"/>
      <c r="N676" s="655"/>
      <c r="O676" s="655"/>
      <c r="P676" s="655"/>
      <c r="Q676" s="655"/>
      <c r="R676" s="655"/>
      <c r="S676" s="655"/>
      <c r="T676" s="655"/>
      <c r="U676" s="655"/>
      <c r="V676" s="655"/>
      <c r="W676" s="655"/>
      <c r="X676" s="655"/>
      <c r="Y676" s="655"/>
      <c r="Z676" s="655"/>
    </row>
    <row r="677">
      <c r="B677" s="462"/>
      <c r="C677" s="671"/>
      <c r="D677" s="462"/>
      <c r="E677" s="654"/>
      <c r="F677" s="650"/>
      <c r="G677" s="654"/>
      <c r="H677" s="654"/>
      <c r="I677" s="650"/>
      <c r="J677" s="650"/>
      <c r="K677" s="655"/>
      <c r="L677" s="655"/>
      <c r="M677" s="655"/>
      <c r="N677" s="655"/>
      <c r="O677" s="655"/>
      <c r="P677" s="655"/>
      <c r="Q677" s="655"/>
      <c r="R677" s="655"/>
      <c r="S677" s="655"/>
      <c r="T677" s="655"/>
      <c r="U677" s="655"/>
      <c r="V677" s="655"/>
      <c r="W677" s="655"/>
      <c r="X677" s="655"/>
      <c r="Y677" s="655"/>
      <c r="Z677" s="655"/>
    </row>
    <row r="678">
      <c r="B678" s="462"/>
      <c r="C678" s="671"/>
      <c r="D678" s="462"/>
      <c r="E678" s="654"/>
      <c r="F678" s="650"/>
      <c r="G678" s="654"/>
      <c r="H678" s="654"/>
      <c r="I678" s="650"/>
      <c r="J678" s="650"/>
      <c r="K678" s="655"/>
      <c r="L678" s="655"/>
      <c r="M678" s="655"/>
      <c r="N678" s="655"/>
      <c r="O678" s="655"/>
      <c r="P678" s="655"/>
      <c r="Q678" s="655"/>
      <c r="R678" s="655"/>
      <c r="S678" s="655"/>
      <c r="T678" s="655"/>
      <c r="U678" s="655"/>
      <c r="V678" s="655"/>
      <c r="W678" s="655"/>
      <c r="X678" s="655"/>
      <c r="Y678" s="655"/>
      <c r="Z678" s="655"/>
    </row>
    <row r="679">
      <c r="B679" s="462"/>
      <c r="C679" s="671"/>
      <c r="D679" s="462"/>
      <c r="E679" s="654"/>
      <c r="F679" s="650"/>
      <c r="G679" s="654"/>
      <c r="H679" s="654"/>
      <c r="I679" s="650"/>
      <c r="J679" s="650"/>
      <c r="K679" s="655"/>
      <c r="L679" s="655"/>
      <c r="M679" s="655"/>
      <c r="N679" s="655"/>
      <c r="O679" s="655"/>
      <c r="P679" s="655"/>
      <c r="Q679" s="655"/>
      <c r="R679" s="655"/>
      <c r="S679" s="655"/>
      <c r="T679" s="655"/>
      <c r="U679" s="655"/>
      <c r="V679" s="655"/>
      <c r="W679" s="655"/>
      <c r="X679" s="655"/>
      <c r="Y679" s="655"/>
      <c r="Z679" s="655"/>
    </row>
    <row r="680">
      <c r="B680" s="462"/>
      <c r="C680" s="671"/>
      <c r="D680" s="462"/>
      <c r="E680" s="654"/>
      <c r="F680" s="650"/>
      <c r="G680" s="654"/>
      <c r="H680" s="654"/>
      <c r="I680" s="650"/>
      <c r="J680" s="650"/>
      <c r="K680" s="655"/>
      <c r="L680" s="655"/>
      <c r="M680" s="655"/>
      <c r="N680" s="655"/>
      <c r="O680" s="655"/>
      <c r="P680" s="655"/>
      <c r="Q680" s="655"/>
      <c r="R680" s="655"/>
      <c r="S680" s="655"/>
      <c r="T680" s="655"/>
      <c r="U680" s="655"/>
      <c r="V680" s="655"/>
      <c r="W680" s="655"/>
      <c r="X680" s="655"/>
      <c r="Y680" s="655"/>
      <c r="Z680" s="655"/>
    </row>
    <row r="681">
      <c r="B681" s="462"/>
      <c r="C681" s="671"/>
      <c r="D681" s="462"/>
      <c r="E681" s="654"/>
      <c r="F681" s="650"/>
      <c r="G681" s="654"/>
      <c r="H681" s="654"/>
      <c r="I681" s="650"/>
      <c r="J681" s="650"/>
      <c r="K681" s="655"/>
      <c r="L681" s="655"/>
      <c r="M681" s="655"/>
      <c r="N681" s="655"/>
      <c r="O681" s="655"/>
      <c r="P681" s="655"/>
      <c r="Q681" s="655"/>
      <c r="R681" s="655"/>
      <c r="S681" s="655"/>
      <c r="T681" s="655"/>
      <c r="U681" s="655"/>
      <c r="V681" s="655"/>
      <c r="W681" s="655"/>
      <c r="X681" s="655"/>
      <c r="Y681" s="655"/>
      <c r="Z681" s="655"/>
    </row>
    <row r="682">
      <c r="B682" s="462"/>
      <c r="C682" s="671"/>
      <c r="D682" s="462"/>
      <c r="E682" s="654"/>
      <c r="F682" s="650"/>
      <c r="G682" s="654"/>
      <c r="H682" s="654"/>
      <c r="I682" s="650"/>
      <c r="J682" s="650"/>
      <c r="K682" s="655"/>
      <c r="L682" s="655"/>
      <c r="M682" s="655"/>
      <c r="N682" s="655"/>
      <c r="O682" s="655"/>
      <c r="P682" s="655"/>
      <c r="Q682" s="655"/>
      <c r="R682" s="655"/>
      <c r="S682" s="655"/>
      <c r="T682" s="655"/>
      <c r="U682" s="655"/>
      <c r="V682" s="655"/>
      <c r="W682" s="655"/>
      <c r="X682" s="655"/>
      <c r="Y682" s="655"/>
      <c r="Z682" s="655"/>
    </row>
    <row r="683">
      <c r="B683" s="462"/>
      <c r="C683" s="671"/>
      <c r="D683" s="462"/>
      <c r="E683" s="654"/>
      <c r="F683" s="650"/>
      <c r="G683" s="654"/>
      <c r="H683" s="654"/>
      <c r="I683" s="650"/>
      <c r="J683" s="650"/>
      <c r="K683" s="655"/>
      <c r="L683" s="655"/>
      <c r="M683" s="655"/>
      <c r="N683" s="655"/>
      <c r="O683" s="655"/>
      <c r="P683" s="655"/>
      <c r="Q683" s="655"/>
      <c r="R683" s="655"/>
      <c r="S683" s="655"/>
      <c r="T683" s="655"/>
      <c r="U683" s="655"/>
      <c r="V683" s="655"/>
      <c r="W683" s="655"/>
      <c r="X683" s="655"/>
      <c r="Y683" s="655"/>
      <c r="Z683" s="655"/>
    </row>
    <row r="684">
      <c r="B684" s="462"/>
      <c r="C684" s="671"/>
      <c r="D684" s="462"/>
      <c r="E684" s="654"/>
      <c r="F684" s="650"/>
      <c r="G684" s="654"/>
      <c r="H684" s="654"/>
      <c r="I684" s="650"/>
      <c r="J684" s="650"/>
      <c r="K684" s="655"/>
      <c r="L684" s="655"/>
      <c r="M684" s="655"/>
      <c r="N684" s="655"/>
      <c r="O684" s="655"/>
      <c r="P684" s="655"/>
      <c r="Q684" s="655"/>
      <c r="R684" s="655"/>
      <c r="S684" s="655"/>
      <c r="T684" s="655"/>
      <c r="U684" s="655"/>
      <c r="V684" s="655"/>
      <c r="W684" s="655"/>
      <c r="X684" s="655"/>
      <c r="Y684" s="655"/>
      <c r="Z684" s="655"/>
    </row>
    <row r="685">
      <c r="B685" s="462"/>
      <c r="C685" s="671"/>
      <c r="D685" s="462"/>
      <c r="E685" s="654"/>
      <c r="F685" s="650"/>
      <c r="G685" s="654"/>
      <c r="H685" s="654"/>
      <c r="I685" s="650"/>
      <c r="J685" s="650"/>
      <c r="K685" s="655"/>
      <c r="L685" s="655"/>
      <c r="M685" s="655"/>
      <c r="N685" s="655"/>
      <c r="O685" s="655"/>
      <c r="P685" s="655"/>
      <c r="Q685" s="655"/>
      <c r="R685" s="655"/>
      <c r="S685" s="655"/>
      <c r="T685" s="655"/>
      <c r="U685" s="655"/>
      <c r="V685" s="655"/>
      <c r="W685" s="655"/>
      <c r="X685" s="655"/>
      <c r="Y685" s="655"/>
      <c r="Z685" s="655"/>
    </row>
    <row r="686">
      <c r="B686" s="462"/>
      <c r="C686" s="671"/>
      <c r="D686" s="462"/>
      <c r="E686" s="654"/>
      <c r="F686" s="650"/>
      <c r="G686" s="654"/>
      <c r="H686" s="654"/>
      <c r="I686" s="650"/>
      <c r="J686" s="650"/>
      <c r="K686" s="655"/>
      <c r="L686" s="655"/>
      <c r="M686" s="655"/>
      <c r="N686" s="655"/>
      <c r="O686" s="655"/>
      <c r="P686" s="655"/>
      <c r="Q686" s="655"/>
      <c r="R686" s="655"/>
      <c r="S686" s="655"/>
      <c r="T686" s="655"/>
      <c r="U686" s="655"/>
      <c r="V686" s="655"/>
      <c r="W686" s="655"/>
      <c r="X686" s="655"/>
      <c r="Y686" s="655"/>
      <c r="Z686" s="655"/>
    </row>
    <row r="687">
      <c r="B687" s="462"/>
      <c r="C687" s="671"/>
      <c r="D687" s="462"/>
      <c r="E687" s="654"/>
      <c r="F687" s="650"/>
      <c r="G687" s="654"/>
      <c r="H687" s="654"/>
      <c r="I687" s="650"/>
      <c r="J687" s="650"/>
      <c r="K687" s="655"/>
      <c r="L687" s="655"/>
      <c r="M687" s="655"/>
      <c r="N687" s="655"/>
      <c r="O687" s="655"/>
      <c r="P687" s="655"/>
      <c r="Q687" s="655"/>
      <c r="R687" s="655"/>
      <c r="S687" s="655"/>
      <c r="T687" s="655"/>
      <c r="U687" s="655"/>
      <c r="V687" s="655"/>
      <c r="W687" s="655"/>
      <c r="X687" s="655"/>
      <c r="Y687" s="655"/>
      <c r="Z687" s="655"/>
    </row>
    <row r="688">
      <c r="B688" s="462"/>
      <c r="C688" s="671"/>
      <c r="D688" s="462"/>
      <c r="E688" s="654"/>
      <c r="F688" s="650"/>
      <c r="G688" s="654"/>
      <c r="H688" s="654"/>
      <c r="I688" s="650"/>
      <c r="J688" s="650"/>
      <c r="K688" s="655"/>
      <c r="L688" s="655"/>
      <c r="M688" s="655"/>
      <c r="N688" s="655"/>
      <c r="O688" s="655"/>
      <c r="P688" s="655"/>
      <c r="Q688" s="655"/>
      <c r="R688" s="655"/>
      <c r="S688" s="655"/>
      <c r="T688" s="655"/>
      <c r="U688" s="655"/>
      <c r="V688" s="655"/>
      <c r="W688" s="655"/>
      <c r="X688" s="655"/>
      <c r="Y688" s="655"/>
      <c r="Z688" s="655"/>
    </row>
    <row r="689">
      <c r="B689" s="462"/>
      <c r="C689" s="671"/>
      <c r="D689" s="462"/>
      <c r="E689" s="654"/>
      <c r="F689" s="650"/>
      <c r="G689" s="654"/>
      <c r="H689" s="654"/>
      <c r="I689" s="650"/>
      <c r="J689" s="650"/>
      <c r="K689" s="655"/>
      <c r="L689" s="655"/>
      <c r="M689" s="655"/>
      <c r="N689" s="655"/>
      <c r="O689" s="655"/>
      <c r="P689" s="655"/>
      <c r="Q689" s="655"/>
      <c r="R689" s="655"/>
      <c r="S689" s="655"/>
      <c r="T689" s="655"/>
      <c r="U689" s="655"/>
      <c r="V689" s="655"/>
      <c r="W689" s="655"/>
      <c r="X689" s="655"/>
      <c r="Y689" s="655"/>
      <c r="Z689" s="655"/>
    </row>
    <row r="690">
      <c r="B690" s="462"/>
      <c r="C690" s="671"/>
      <c r="D690" s="462"/>
      <c r="E690" s="654"/>
      <c r="F690" s="650"/>
      <c r="G690" s="654"/>
      <c r="H690" s="654"/>
      <c r="I690" s="650"/>
      <c r="J690" s="650"/>
      <c r="K690" s="655"/>
      <c r="L690" s="655"/>
      <c r="M690" s="655"/>
      <c r="N690" s="655"/>
      <c r="O690" s="655"/>
      <c r="P690" s="655"/>
      <c r="Q690" s="655"/>
      <c r="R690" s="655"/>
      <c r="S690" s="655"/>
      <c r="T690" s="655"/>
      <c r="U690" s="655"/>
      <c r="V690" s="655"/>
      <c r="W690" s="655"/>
      <c r="X690" s="655"/>
      <c r="Y690" s="655"/>
      <c r="Z690" s="655"/>
    </row>
    <row r="691">
      <c r="B691" s="462"/>
      <c r="C691" s="671"/>
      <c r="D691" s="462"/>
      <c r="E691" s="654"/>
      <c r="F691" s="650"/>
      <c r="G691" s="654"/>
      <c r="H691" s="654"/>
      <c r="I691" s="650"/>
      <c r="J691" s="650"/>
      <c r="K691" s="655"/>
      <c r="L691" s="655"/>
      <c r="M691" s="655"/>
      <c r="N691" s="655"/>
      <c r="O691" s="655"/>
      <c r="P691" s="655"/>
      <c r="Q691" s="655"/>
      <c r="R691" s="655"/>
      <c r="S691" s="655"/>
      <c r="T691" s="655"/>
      <c r="U691" s="655"/>
      <c r="V691" s="655"/>
      <c r="W691" s="655"/>
      <c r="X691" s="655"/>
      <c r="Y691" s="655"/>
      <c r="Z691" s="655"/>
    </row>
    <row r="692">
      <c r="B692" s="462"/>
      <c r="C692" s="671"/>
      <c r="D692" s="462"/>
      <c r="E692" s="654"/>
      <c r="F692" s="650"/>
      <c r="G692" s="654"/>
      <c r="H692" s="654"/>
      <c r="I692" s="650"/>
      <c r="J692" s="650"/>
      <c r="K692" s="655"/>
      <c r="L692" s="655"/>
      <c r="M692" s="655"/>
      <c r="N692" s="655"/>
      <c r="O692" s="655"/>
      <c r="P692" s="655"/>
      <c r="Q692" s="655"/>
      <c r="R692" s="655"/>
      <c r="S692" s="655"/>
      <c r="T692" s="655"/>
      <c r="U692" s="655"/>
      <c r="V692" s="655"/>
      <c r="W692" s="655"/>
      <c r="X692" s="655"/>
      <c r="Y692" s="655"/>
      <c r="Z692" s="655"/>
    </row>
    <row r="693">
      <c r="B693" s="462"/>
      <c r="C693" s="671"/>
      <c r="D693" s="462"/>
      <c r="E693" s="654"/>
      <c r="F693" s="650"/>
      <c r="G693" s="654"/>
      <c r="H693" s="654"/>
      <c r="I693" s="650"/>
      <c r="J693" s="650"/>
      <c r="K693" s="655"/>
      <c r="L693" s="655"/>
      <c r="M693" s="655"/>
      <c r="N693" s="655"/>
      <c r="O693" s="655"/>
      <c r="P693" s="655"/>
      <c r="Q693" s="655"/>
      <c r="R693" s="655"/>
      <c r="S693" s="655"/>
      <c r="T693" s="655"/>
      <c r="U693" s="655"/>
      <c r="V693" s="655"/>
      <c r="W693" s="655"/>
      <c r="X693" s="655"/>
      <c r="Y693" s="655"/>
      <c r="Z693" s="655"/>
    </row>
    <row r="694">
      <c r="B694" s="462"/>
      <c r="C694" s="671"/>
      <c r="D694" s="462"/>
      <c r="E694" s="654"/>
      <c r="F694" s="650"/>
      <c r="G694" s="654"/>
      <c r="H694" s="654"/>
      <c r="I694" s="650"/>
      <c r="J694" s="650"/>
      <c r="K694" s="655"/>
      <c r="L694" s="655"/>
      <c r="M694" s="655"/>
      <c r="N694" s="655"/>
      <c r="O694" s="655"/>
      <c r="P694" s="655"/>
      <c r="Q694" s="655"/>
      <c r="R694" s="655"/>
      <c r="S694" s="655"/>
      <c r="T694" s="655"/>
      <c r="U694" s="655"/>
      <c r="V694" s="655"/>
      <c r="W694" s="655"/>
      <c r="X694" s="655"/>
      <c r="Y694" s="655"/>
      <c r="Z694" s="655"/>
    </row>
    <row r="695">
      <c r="B695" s="462"/>
      <c r="C695" s="671"/>
      <c r="D695" s="462"/>
      <c r="E695" s="654"/>
      <c r="F695" s="650"/>
      <c r="G695" s="654"/>
      <c r="H695" s="654"/>
      <c r="I695" s="650"/>
      <c r="J695" s="650"/>
      <c r="K695" s="655"/>
      <c r="L695" s="655"/>
      <c r="M695" s="655"/>
      <c r="N695" s="655"/>
      <c r="O695" s="655"/>
      <c r="P695" s="655"/>
      <c r="Q695" s="655"/>
      <c r="R695" s="655"/>
      <c r="S695" s="655"/>
      <c r="T695" s="655"/>
      <c r="U695" s="655"/>
      <c r="V695" s="655"/>
      <c r="W695" s="655"/>
      <c r="X695" s="655"/>
      <c r="Y695" s="655"/>
      <c r="Z695" s="655"/>
    </row>
    <row r="696">
      <c r="B696" s="462"/>
      <c r="C696" s="671"/>
      <c r="D696" s="462"/>
      <c r="E696" s="654"/>
      <c r="F696" s="650"/>
      <c r="G696" s="654"/>
      <c r="H696" s="654"/>
      <c r="I696" s="650"/>
      <c r="J696" s="650"/>
      <c r="K696" s="655"/>
      <c r="L696" s="655"/>
      <c r="M696" s="655"/>
      <c r="N696" s="655"/>
      <c r="O696" s="655"/>
      <c r="P696" s="655"/>
      <c r="Q696" s="655"/>
      <c r="R696" s="655"/>
      <c r="S696" s="655"/>
      <c r="T696" s="655"/>
      <c r="U696" s="655"/>
      <c r="V696" s="655"/>
      <c r="W696" s="655"/>
      <c r="X696" s="655"/>
      <c r="Y696" s="655"/>
      <c r="Z696" s="655"/>
    </row>
    <row r="697">
      <c r="B697" s="462"/>
      <c r="C697" s="671"/>
      <c r="D697" s="462"/>
      <c r="E697" s="654"/>
      <c r="F697" s="650"/>
      <c r="G697" s="654"/>
      <c r="H697" s="654"/>
      <c r="I697" s="650"/>
      <c r="J697" s="650"/>
      <c r="K697" s="655"/>
      <c r="L697" s="655"/>
      <c r="M697" s="655"/>
      <c r="N697" s="655"/>
      <c r="O697" s="655"/>
      <c r="P697" s="655"/>
      <c r="Q697" s="655"/>
      <c r="R697" s="655"/>
      <c r="S697" s="655"/>
      <c r="T697" s="655"/>
      <c r="U697" s="655"/>
      <c r="V697" s="655"/>
      <c r="W697" s="655"/>
      <c r="X697" s="655"/>
      <c r="Y697" s="655"/>
      <c r="Z697" s="655"/>
    </row>
    <row r="698">
      <c r="B698" s="462"/>
      <c r="C698" s="671"/>
      <c r="D698" s="462"/>
      <c r="E698" s="654"/>
      <c r="F698" s="650"/>
      <c r="G698" s="654"/>
      <c r="H698" s="654"/>
      <c r="I698" s="650"/>
      <c r="J698" s="650"/>
      <c r="K698" s="655"/>
      <c r="L698" s="655"/>
      <c r="M698" s="655"/>
      <c r="N698" s="655"/>
      <c r="O698" s="655"/>
      <c r="P698" s="655"/>
      <c r="Q698" s="655"/>
      <c r="R698" s="655"/>
      <c r="S698" s="655"/>
      <c r="T698" s="655"/>
      <c r="U698" s="655"/>
      <c r="V698" s="655"/>
      <c r="W698" s="655"/>
      <c r="X698" s="655"/>
      <c r="Y698" s="655"/>
      <c r="Z698" s="655"/>
    </row>
    <row r="699">
      <c r="B699" s="462"/>
      <c r="C699" s="671"/>
      <c r="D699" s="462"/>
      <c r="E699" s="654"/>
      <c r="F699" s="650"/>
      <c r="G699" s="654"/>
      <c r="H699" s="654"/>
      <c r="I699" s="650"/>
      <c r="J699" s="650"/>
      <c r="K699" s="655"/>
      <c r="L699" s="655"/>
      <c r="M699" s="655"/>
      <c r="N699" s="655"/>
      <c r="O699" s="655"/>
      <c r="P699" s="655"/>
      <c r="Q699" s="655"/>
      <c r="R699" s="655"/>
      <c r="S699" s="655"/>
      <c r="T699" s="655"/>
      <c r="U699" s="655"/>
      <c r="V699" s="655"/>
      <c r="W699" s="655"/>
      <c r="X699" s="655"/>
      <c r="Y699" s="655"/>
      <c r="Z699" s="655"/>
    </row>
    <row r="700">
      <c r="B700" s="462"/>
      <c r="C700" s="671"/>
      <c r="D700" s="462"/>
      <c r="E700" s="654"/>
      <c r="F700" s="650"/>
      <c r="G700" s="654"/>
      <c r="H700" s="654"/>
      <c r="I700" s="650"/>
      <c r="J700" s="650"/>
      <c r="K700" s="655"/>
      <c r="L700" s="655"/>
      <c r="M700" s="655"/>
      <c r="N700" s="655"/>
      <c r="O700" s="655"/>
      <c r="P700" s="655"/>
      <c r="Q700" s="655"/>
      <c r="R700" s="655"/>
      <c r="S700" s="655"/>
      <c r="T700" s="655"/>
      <c r="U700" s="655"/>
      <c r="V700" s="655"/>
      <c r="W700" s="655"/>
      <c r="X700" s="655"/>
      <c r="Y700" s="655"/>
      <c r="Z700" s="655"/>
    </row>
    <row r="701">
      <c r="B701" s="462"/>
      <c r="C701" s="671"/>
      <c r="D701" s="462"/>
      <c r="E701" s="654"/>
      <c r="F701" s="650"/>
      <c r="G701" s="654"/>
      <c r="H701" s="654"/>
      <c r="I701" s="650"/>
      <c r="J701" s="650"/>
      <c r="K701" s="655"/>
      <c r="L701" s="655"/>
      <c r="M701" s="655"/>
      <c r="N701" s="655"/>
      <c r="O701" s="655"/>
      <c r="P701" s="655"/>
      <c r="Q701" s="655"/>
      <c r="R701" s="655"/>
      <c r="S701" s="655"/>
      <c r="T701" s="655"/>
      <c r="U701" s="655"/>
      <c r="V701" s="655"/>
      <c r="W701" s="655"/>
      <c r="X701" s="655"/>
      <c r="Y701" s="655"/>
      <c r="Z701" s="655"/>
    </row>
    <row r="702">
      <c r="B702" s="462"/>
      <c r="C702" s="671"/>
      <c r="D702" s="462"/>
      <c r="E702" s="654"/>
      <c r="F702" s="650"/>
      <c r="G702" s="654"/>
      <c r="H702" s="654"/>
      <c r="I702" s="650"/>
      <c r="J702" s="650"/>
      <c r="K702" s="655"/>
      <c r="L702" s="655"/>
      <c r="M702" s="655"/>
      <c r="N702" s="655"/>
      <c r="O702" s="655"/>
      <c r="P702" s="655"/>
      <c r="Q702" s="655"/>
      <c r="R702" s="655"/>
      <c r="S702" s="655"/>
      <c r="T702" s="655"/>
      <c r="U702" s="655"/>
      <c r="V702" s="655"/>
      <c r="W702" s="655"/>
      <c r="X702" s="655"/>
      <c r="Y702" s="655"/>
      <c r="Z702" s="655"/>
    </row>
    <row r="703">
      <c r="B703" s="462"/>
      <c r="C703" s="671"/>
      <c r="D703" s="462"/>
      <c r="E703" s="654"/>
      <c r="F703" s="650"/>
      <c r="G703" s="654"/>
      <c r="H703" s="654"/>
      <c r="I703" s="650"/>
      <c r="J703" s="650"/>
      <c r="K703" s="655"/>
      <c r="L703" s="655"/>
      <c r="M703" s="655"/>
      <c r="N703" s="655"/>
      <c r="O703" s="655"/>
      <c r="P703" s="655"/>
      <c r="Q703" s="655"/>
      <c r="R703" s="655"/>
      <c r="S703" s="655"/>
      <c r="T703" s="655"/>
      <c r="U703" s="655"/>
      <c r="V703" s="655"/>
      <c r="W703" s="655"/>
      <c r="X703" s="655"/>
      <c r="Y703" s="655"/>
      <c r="Z703" s="655"/>
    </row>
    <row r="704">
      <c r="B704" s="462"/>
      <c r="C704" s="671"/>
      <c r="D704" s="462"/>
      <c r="E704" s="654"/>
      <c r="F704" s="650"/>
      <c r="G704" s="654"/>
      <c r="H704" s="654"/>
      <c r="I704" s="650"/>
      <c r="J704" s="650"/>
      <c r="K704" s="655"/>
      <c r="L704" s="655"/>
      <c r="M704" s="655"/>
      <c r="N704" s="655"/>
      <c r="O704" s="655"/>
      <c r="P704" s="655"/>
      <c r="Q704" s="655"/>
      <c r="R704" s="655"/>
      <c r="S704" s="655"/>
      <c r="T704" s="655"/>
      <c r="U704" s="655"/>
      <c r="V704" s="655"/>
      <c r="W704" s="655"/>
      <c r="X704" s="655"/>
      <c r="Y704" s="655"/>
      <c r="Z704" s="655"/>
    </row>
    <row r="705">
      <c r="B705" s="462"/>
      <c r="C705" s="671"/>
      <c r="D705" s="462"/>
      <c r="E705" s="654"/>
      <c r="F705" s="650"/>
      <c r="G705" s="654"/>
      <c r="H705" s="654"/>
      <c r="I705" s="650"/>
      <c r="J705" s="650"/>
      <c r="K705" s="655"/>
      <c r="L705" s="655"/>
      <c r="M705" s="655"/>
      <c r="N705" s="655"/>
      <c r="O705" s="655"/>
      <c r="P705" s="655"/>
      <c r="Q705" s="655"/>
      <c r="R705" s="655"/>
      <c r="S705" s="655"/>
      <c r="T705" s="655"/>
      <c r="U705" s="655"/>
      <c r="V705" s="655"/>
      <c r="W705" s="655"/>
      <c r="X705" s="655"/>
      <c r="Y705" s="655"/>
      <c r="Z705" s="655"/>
    </row>
    <row r="706">
      <c r="B706" s="462"/>
      <c r="C706" s="671"/>
      <c r="D706" s="462"/>
      <c r="E706" s="654"/>
      <c r="F706" s="650"/>
      <c r="G706" s="654"/>
      <c r="H706" s="654"/>
      <c r="I706" s="650"/>
      <c r="J706" s="650"/>
      <c r="K706" s="655"/>
      <c r="L706" s="655"/>
      <c r="M706" s="655"/>
      <c r="N706" s="655"/>
      <c r="O706" s="655"/>
      <c r="P706" s="655"/>
      <c r="Q706" s="655"/>
      <c r="R706" s="655"/>
      <c r="S706" s="655"/>
      <c r="T706" s="655"/>
      <c r="U706" s="655"/>
      <c r="V706" s="655"/>
      <c r="W706" s="655"/>
      <c r="X706" s="655"/>
      <c r="Y706" s="655"/>
      <c r="Z706" s="655"/>
    </row>
    <row r="707">
      <c r="B707" s="462"/>
      <c r="C707" s="671"/>
      <c r="D707" s="462"/>
      <c r="E707" s="654"/>
      <c r="F707" s="650"/>
      <c r="G707" s="654"/>
      <c r="H707" s="654"/>
      <c r="I707" s="650"/>
      <c r="J707" s="650"/>
      <c r="K707" s="655"/>
      <c r="L707" s="655"/>
      <c r="M707" s="655"/>
      <c r="N707" s="655"/>
      <c r="O707" s="655"/>
      <c r="P707" s="655"/>
      <c r="Q707" s="655"/>
      <c r="R707" s="655"/>
      <c r="S707" s="655"/>
      <c r="T707" s="655"/>
      <c r="U707" s="655"/>
      <c r="V707" s="655"/>
      <c r="W707" s="655"/>
      <c r="X707" s="655"/>
      <c r="Y707" s="655"/>
      <c r="Z707" s="655"/>
    </row>
    <row r="708">
      <c r="B708" s="462"/>
      <c r="C708" s="671"/>
      <c r="D708" s="462"/>
      <c r="E708" s="654"/>
      <c r="F708" s="650"/>
      <c r="G708" s="654"/>
      <c r="H708" s="654"/>
      <c r="I708" s="650"/>
      <c r="J708" s="650"/>
      <c r="K708" s="655"/>
      <c r="L708" s="655"/>
      <c r="M708" s="655"/>
      <c r="N708" s="655"/>
      <c r="O708" s="655"/>
      <c r="P708" s="655"/>
      <c r="Q708" s="655"/>
      <c r="R708" s="655"/>
      <c r="S708" s="655"/>
      <c r="T708" s="655"/>
      <c r="U708" s="655"/>
      <c r="V708" s="655"/>
      <c r="W708" s="655"/>
      <c r="X708" s="655"/>
      <c r="Y708" s="655"/>
      <c r="Z708" s="655"/>
    </row>
    <row r="709">
      <c r="B709" s="462"/>
      <c r="C709" s="671"/>
      <c r="D709" s="462"/>
      <c r="E709" s="654"/>
      <c r="F709" s="650"/>
      <c r="G709" s="654"/>
      <c r="H709" s="654"/>
      <c r="I709" s="650"/>
      <c r="J709" s="650"/>
      <c r="K709" s="655"/>
      <c r="L709" s="655"/>
      <c r="M709" s="655"/>
      <c r="N709" s="655"/>
      <c r="O709" s="655"/>
      <c r="P709" s="655"/>
      <c r="Q709" s="655"/>
      <c r="R709" s="655"/>
      <c r="S709" s="655"/>
      <c r="T709" s="655"/>
      <c r="U709" s="655"/>
      <c r="V709" s="655"/>
      <c r="W709" s="655"/>
      <c r="X709" s="655"/>
      <c r="Y709" s="655"/>
      <c r="Z709" s="655"/>
    </row>
    <row r="710">
      <c r="B710" s="462"/>
      <c r="C710" s="671"/>
      <c r="D710" s="462"/>
      <c r="E710" s="654"/>
      <c r="F710" s="650"/>
      <c r="G710" s="654"/>
      <c r="H710" s="654"/>
      <c r="I710" s="650"/>
      <c r="J710" s="650"/>
      <c r="K710" s="655"/>
      <c r="L710" s="655"/>
      <c r="M710" s="655"/>
      <c r="N710" s="655"/>
      <c r="O710" s="655"/>
      <c r="P710" s="655"/>
      <c r="Q710" s="655"/>
      <c r="R710" s="655"/>
      <c r="S710" s="655"/>
      <c r="T710" s="655"/>
      <c r="U710" s="655"/>
      <c r="V710" s="655"/>
      <c r="W710" s="655"/>
      <c r="X710" s="655"/>
      <c r="Y710" s="655"/>
      <c r="Z710" s="655"/>
    </row>
    <row r="711">
      <c r="B711" s="462"/>
      <c r="C711" s="671"/>
      <c r="D711" s="462"/>
      <c r="E711" s="654"/>
      <c r="F711" s="650"/>
      <c r="G711" s="654"/>
      <c r="H711" s="654"/>
      <c r="I711" s="650"/>
      <c r="J711" s="650"/>
      <c r="K711" s="655"/>
      <c r="L711" s="655"/>
      <c r="M711" s="655"/>
      <c r="N711" s="655"/>
      <c r="O711" s="655"/>
      <c r="P711" s="655"/>
      <c r="Q711" s="655"/>
      <c r="R711" s="655"/>
      <c r="S711" s="655"/>
      <c r="T711" s="655"/>
      <c r="U711" s="655"/>
      <c r="V711" s="655"/>
      <c r="W711" s="655"/>
      <c r="X711" s="655"/>
      <c r="Y711" s="655"/>
      <c r="Z711" s="655"/>
    </row>
    <row r="712">
      <c r="B712" s="462"/>
      <c r="C712" s="671"/>
      <c r="D712" s="462"/>
      <c r="E712" s="654"/>
      <c r="F712" s="650"/>
      <c r="G712" s="654"/>
      <c r="H712" s="654"/>
      <c r="I712" s="650"/>
      <c r="J712" s="650"/>
      <c r="K712" s="655"/>
      <c r="L712" s="655"/>
      <c r="M712" s="655"/>
      <c r="N712" s="655"/>
      <c r="O712" s="655"/>
      <c r="P712" s="655"/>
      <c r="Q712" s="655"/>
      <c r="R712" s="655"/>
      <c r="S712" s="655"/>
      <c r="T712" s="655"/>
      <c r="U712" s="655"/>
      <c r="V712" s="655"/>
      <c r="W712" s="655"/>
      <c r="X712" s="655"/>
      <c r="Y712" s="655"/>
      <c r="Z712" s="655"/>
    </row>
    <row r="713">
      <c r="B713" s="462"/>
      <c r="C713" s="671"/>
      <c r="D713" s="462"/>
      <c r="E713" s="654"/>
      <c r="F713" s="650"/>
      <c r="G713" s="654"/>
      <c r="H713" s="654"/>
      <c r="I713" s="650"/>
      <c r="J713" s="650"/>
      <c r="K713" s="655"/>
      <c r="L713" s="655"/>
      <c r="M713" s="655"/>
      <c r="N713" s="655"/>
      <c r="O713" s="655"/>
      <c r="P713" s="655"/>
      <c r="Q713" s="655"/>
      <c r="R713" s="655"/>
      <c r="S713" s="655"/>
      <c r="T713" s="655"/>
      <c r="U713" s="655"/>
      <c r="V713" s="655"/>
      <c r="W713" s="655"/>
      <c r="X713" s="655"/>
      <c r="Y713" s="655"/>
      <c r="Z713" s="655"/>
    </row>
    <row r="714">
      <c r="B714" s="462"/>
      <c r="C714" s="671"/>
      <c r="D714" s="462"/>
      <c r="E714" s="654"/>
      <c r="F714" s="650"/>
      <c r="G714" s="654"/>
      <c r="H714" s="654"/>
      <c r="I714" s="650"/>
      <c r="J714" s="650"/>
      <c r="K714" s="655"/>
      <c r="L714" s="655"/>
      <c r="M714" s="655"/>
      <c r="N714" s="655"/>
      <c r="O714" s="655"/>
      <c r="P714" s="655"/>
      <c r="Q714" s="655"/>
      <c r="R714" s="655"/>
      <c r="S714" s="655"/>
      <c r="T714" s="655"/>
      <c r="U714" s="655"/>
      <c r="V714" s="655"/>
      <c r="W714" s="655"/>
      <c r="X714" s="655"/>
      <c r="Y714" s="655"/>
      <c r="Z714" s="655"/>
    </row>
    <row r="715">
      <c r="B715" s="462"/>
      <c r="C715" s="671"/>
      <c r="D715" s="462"/>
      <c r="E715" s="654"/>
      <c r="F715" s="650"/>
      <c r="G715" s="654"/>
      <c r="H715" s="654"/>
      <c r="I715" s="650"/>
      <c r="J715" s="650"/>
      <c r="K715" s="655"/>
      <c r="L715" s="655"/>
      <c r="M715" s="655"/>
      <c r="N715" s="655"/>
      <c r="O715" s="655"/>
      <c r="P715" s="655"/>
      <c r="Q715" s="655"/>
      <c r="R715" s="655"/>
      <c r="S715" s="655"/>
      <c r="T715" s="655"/>
      <c r="U715" s="655"/>
      <c r="V715" s="655"/>
      <c r="W715" s="655"/>
      <c r="X715" s="655"/>
      <c r="Y715" s="655"/>
      <c r="Z715" s="655"/>
    </row>
    <row r="716">
      <c r="B716" s="462"/>
      <c r="C716" s="671"/>
      <c r="D716" s="462"/>
      <c r="E716" s="654"/>
      <c r="F716" s="650"/>
      <c r="G716" s="654"/>
      <c r="H716" s="654"/>
      <c r="I716" s="650"/>
      <c r="J716" s="650"/>
      <c r="K716" s="655"/>
      <c r="L716" s="655"/>
      <c r="M716" s="655"/>
      <c r="N716" s="655"/>
      <c r="O716" s="655"/>
      <c r="P716" s="655"/>
      <c r="Q716" s="655"/>
      <c r="R716" s="655"/>
      <c r="S716" s="655"/>
      <c r="T716" s="655"/>
      <c r="U716" s="655"/>
      <c r="V716" s="655"/>
      <c r="W716" s="655"/>
      <c r="X716" s="655"/>
      <c r="Y716" s="655"/>
      <c r="Z716" s="655"/>
    </row>
    <row r="717">
      <c r="B717" s="462"/>
      <c r="C717" s="671"/>
      <c r="D717" s="462"/>
      <c r="E717" s="654"/>
      <c r="F717" s="650"/>
      <c r="G717" s="654"/>
      <c r="H717" s="654"/>
      <c r="I717" s="650"/>
      <c r="J717" s="650"/>
      <c r="K717" s="655"/>
      <c r="L717" s="655"/>
      <c r="M717" s="655"/>
      <c r="N717" s="655"/>
      <c r="O717" s="655"/>
      <c r="P717" s="655"/>
      <c r="Q717" s="655"/>
      <c r="R717" s="655"/>
      <c r="S717" s="655"/>
      <c r="T717" s="655"/>
      <c r="U717" s="655"/>
      <c r="V717" s="655"/>
      <c r="W717" s="655"/>
      <c r="X717" s="655"/>
      <c r="Y717" s="655"/>
      <c r="Z717" s="655"/>
    </row>
    <row r="718">
      <c r="B718" s="462"/>
      <c r="C718" s="671"/>
      <c r="D718" s="462"/>
      <c r="E718" s="654"/>
      <c r="F718" s="650"/>
      <c r="G718" s="654"/>
      <c r="H718" s="654"/>
      <c r="I718" s="650"/>
      <c r="J718" s="650"/>
      <c r="K718" s="655"/>
      <c r="L718" s="655"/>
      <c r="M718" s="655"/>
      <c r="N718" s="655"/>
      <c r="O718" s="655"/>
      <c r="P718" s="655"/>
      <c r="Q718" s="655"/>
      <c r="R718" s="655"/>
      <c r="S718" s="655"/>
      <c r="T718" s="655"/>
      <c r="U718" s="655"/>
      <c r="V718" s="655"/>
      <c r="W718" s="655"/>
      <c r="X718" s="655"/>
      <c r="Y718" s="655"/>
      <c r="Z718" s="655"/>
    </row>
    <row r="719">
      <c r="B719" s="462"/>
      <c r="C719" s="671"/>
      <c r="D719" s="462"/>
      <c r="E719" s="654"/>
      <c r="F719" s="650"/>
      <c r="G719" s="654"/>
      <c r="H719" s="654"/>
      <c r="I719" s="650"/>
      <c r="J719" s="650"/>
      <c r="K719" s="655"/>
      <c r="L719" s="655"/>
      <c r="M719" s="655"/>
      <c r="N719" s="655"/>
      <c r="O719" s="655"/>
      <c r="P719" s="655"/>
      <c r="Q719" s="655"/>
      <c r="R719" s="655"/>
      <c r="S719" s="655"/>
      <c r="T719" s="655"/>
      <c r="U719" s="655"/>
      <c r="V719" s="655"/>
      <c r="W719" s="655"/>
      <c r="X719" s="655"/>
      <c r="Y719" s="655"/>
      <c r="Z719" s="655"/>
    </row>
    <row r="720">
      <c r="B720" s="462"/>
      <c r="C720" s="671"/>
      <c r="D720" s="462"/>
      <c r="E720" s="654"/>
      <c r="F720" s="650"/>
      <c r="G720" s="654"/>
      <c r="H720" s="654"/>
      <c r="I720" s="650"/>
      <c r="J720" s="650"/>
      <c r="K720" s="655"/>
      <c r="L720" s="655"/>
      <c r="M720" s="655"/>
      <c r="N720" s="655"/>
      <c r="O720" s="655"/>
      <c r="P720" s="655"/>
      <c r="Q720" s="655"/>
      <c r="R720" s="655"/>
      <c r="S720" s="655"/>
      <c r="T720" s="655"/>
      <c r="U720" s="655"/>
      <c r="V720" s="655"/>
      <c r="W720" s="655"/>
      <c r="X720" s="655"/>
      <c r="Y720" s="655"/>
      <c r="Z720" s="655"/>
    </row>
    <row r="721">
      <c r="B721" s="462"/>
      <c r="C721" s="671"/>
      <c r="D721" s="462"/>
      <c r="E721" s="654"/>
      <c r="F721" s="650"/>
      <c r="G721" s="654"/>
      <c r="H721" s="654"/>
      <c r="I721" s="650"/>
      <c r="J721" s="650"/>
      <c r="K721" s="655"/>
      <c r="L721" s="655"/>
      <c r="M721" s="655"/>
      <c r="N721" s="655"/>
      <c r="O721" s="655"/>
      <c r="P721" s="655"/>
      <c r="Q721" s="655"/>
      <c r="R721" s="655"/>
      <c r="S721" s="655"/>
      <c r="T721" s="655"/>
      <c r="U721" s="655"/>
      <c r="V721" s="655"/>
      <c r="W721" s="655"/>
      <c r="X721" s="655"/>
      <c r="Y721" s="655"/>
      <c r="Z721" s="655"/>
    </row>
    <row r="722">
      <c r="B722" s="462"/>
      <c r="C722" s="671"/>
      <c r="D722" s="462"/>
      <c r="E722" s="654"/>
      <c r="F722" s="650"/>
      <c r="G722" s="654"/>
      <c r="H722" s="654"/>
      <c r="I722" s="650"/>
      <c r="J722" s="650"/>
      <c r="K722" s="655"/>
      <c r="L722" s="655"/>
      <c r="M722" s="655"/>
      <c r="N722" s="655"/>
      <c r="O722" s="655"/>
      <c r="P722" s="655"/>
      <c r="Q722" s="655"/>
      <c r="R722" s="655"/>
      <c r="S722" s="655"/>
      <c r="T722" s="655"/>
      <c r="U722" s="655"/>
      <c r="V722" s="655"/>
      <c r="W722" s="655"/>
      <c r="X722" s="655"/>
      <c r="Y722" s="655"/>
      <c r="Z722" s="655"/>
    </row>
    <row r="723">
      <c r="B723" s="462"/>
      <c r="C723" s="671"/>
      <c r="D723" s="462"/>
      <c r="E723" s="654"/>
      <c r="F723" s="650"/>
      <c r="G723" s="654"/>
      <c r="H723" s="654"/>
      <c r="I723" s="650"/>
      <c r="J723" s="650"/>
      <c r="K723" s="655"/>
      <c r="L723" s="655"/>
      <c r="M723" s="655"/>
      <c r="N723" s="655"/>
      <c r="O723" s="655"/>
      <c r="P723" s="655"/>
      <c r="Q723" s="655"/>
      <c r="R723" s="655"/>
      <c r="S723" s="655"/>
      <c r="T723" s="655"/>
      <c r="U723" s="655"/>
      <c r="V723" s="655"/>
      <c r="W723" s="655"/>
      <c r="X723" s="655"/>
      <c r="Y723" s="655"/>
      <c r="Z723" s="655"/>
    </row>
    <row r="724">
      <c r="B724" s="462"/>
      <c r="C724" s="671"/>
      <c r="D724" s="462"/>
      <c r="E724" s="654"/>
      <c r="F724" s="650"/>
      <c r="G724" s="654"/>
      <c r="H724" s="654"/>
      <c r="I724" s="650"/>
      <c r="J724" s="650"/>
      <c r="K724" s="655"/>
      <c r="L724" s="655"/>
      <c r="M724" s="655"/>
      <c r="N724" s="655"/>
      <c r="O724" s="655"/>
      <c r="P724" s="655"/>
      <c r="Q724" s="655"/>
      <c r="R724" s="655"/>
      <c r="S724" s="655"/>
      <c r="T724" s="655"/>
      <c r="U724" s="655"/>
      <c r="V724" s="655"/>
      <c r="W724" s="655"/>
      <c r="X724" s="655"/>
      <c r="Y724" s="655"/>
      <c r="Z724" s="655"/>
    </row>
    <row r="725">
      <c r="B725" s="462"/>
      <c r="C725" s="671"/>
      <c r="D725" s="462"/>
      <c r="E725" s="654"/>
      <c r="F725" s="650"/>
      <c r="G725" s="654"/>
      <c r="H725" s="654"/>
      <c r="I725" s="650"/>
      <c r="J725" s="650"/>
      <c r="K725" s="655"/>
      <c r="L725" s="655"/>
      <c r="M725" s="655"/>
      <c r="N725" s="655"/>
      <c r="O725" s="655"/>
      <c r="P725" s="655"/>
      <c r="Q725" s="655"/>
      <c r="R725" s="655"/>
      <c r="S725" s="655"/>
      <c r="T725" s="655"/>
      <c r="U725" s="655"/>
      <c r="V725" s="655"/>
      <c r="W725" s="655"/>
      <c r="X725" s="655"/>
      <c r="Y725" s="655"/>
      <c r="Z725" s="655"/>
    </row>
    <row r="726">
      <c r="B726" s="462"/>
      <c r="C726" s="671"/>
      <c r="D726" s="462"/>
      <c r="E726" s="654"/>
      <c r="F726" s="650"/>
      <c r="G726" s="654"/>
      <c r="H726" s="654"/>
      <c r="I726" s="650"/>
      <c r="J726" s="650"/>
      <c r="K726" s="655"/>
      <c r="L726" s="655"/>
      <c r="M726" s="655"/>
      <c r="N726" s="655"/>
      <c r="O726" s="655"/>
      <c r="P726" s="655"/>
      <c r="Q726" s="655"/>
      <c r="R726" s="655"/>
      <c r="S726" s="655"/>
      <c r="T726" s="655"/>
      <c r="U726" s="655"/>
      <c r="V726" s="655"/>
      <c r="W726" s="655"/>
      <c r="X726" s="655"/>
      <c r="Y726" s="655"/>
      <c r="Z726" s="655"/>
    </row>
    <row r="727">
      <c r="B727" s="462"/>
      <c r="C727" s="671"/>
      <c r="D727" s="462"/>
      <c r="E727" s="654"/>
      <c r="F727" s="650"/>
      <c r="G727" s="654"/>
      <c r="H727" s="654"/>
      <c r="I727" s="650"/>
      <c r="J727" s="650"/>
      <c r="K727" s="655"/>
      <c r="L727" s="655"/>
      <c r="M727" s="655"/>
      <c r="N727" s="655"/>
      <c r="O727" s="655"/>
      <c r="P727" s="655"/>
      <c r="Q727" s="655"/>
      <c r="R727" s="655"/>
      <c r="S727" s="655"/>
      <c r="T727" s="655"/>
      <c r="U727" s="655"/>
      <c r="V727" s="655"/>
      <c r="W727" s="655"/>
      <c r="X727" s="655"/>
      <c r="Y727" s="655"/>
      <c r="Z727" s="655"/>
    </row>
    <row r="728">
      <c r="B728" s="462"/>
      <c r="C728" s="671"/>
      <c r="D728" s="462"/>
      <c r="E728" s="654"/>
      <c r="F728" s="650"/>
      <c r="G728" s="654"/>
      <c r="H728" s="654"/>
      <c r="I728" s="650"/>
      <c r="J728" s="650"/>
      <c r="K728" s="655"/>
      <c r="L728" s="655"/>
      <c r="M728" s="655"/>
      <c r="N728" s="655"/>
      <c r="O728" s="655"/>
      <c r="P728" s="655"/>
      <c r="Q728" s="655"/>
      <c r="R728" s="655"/>
      <c r="S728" s="655"/>
      <c r="T728" s="655"/>
      <c r="U728" s="655"/>
      <c r="V728" s="655"/>
      <c r="W728" s="655"/>
      <c r="X728" s="655"/>
      <c r="Y728" s="655"/>
      <c r="Z728" s="655"/>
    </row>
    <row r="729">
      <c r="B729" s="462"/>
      <c r="C729" s="671"/>
      <c r="D729" s="462"/>
      <c r="E729" s="654"/>
      <c r="F729" s="650"/>
      <c r="G729" s="654"/>
      <c r="H729" s="654"/>
      <c r="I729" s="650"/>
      <c r="J729" s="650"/>
      <c r="K729" s="655"/>
      <c r="L729" s="655"/>
      <c r="M729" s="655"/>
      <c r="N729" s="655"/>
      <c r="O729" s="655"/>
      <c r="P729" s="655"/>
      <c r="Q729" s="655"/>
      <c r="R729" s="655"/>
      <c r="S729" s="655"/>
      <c r="T729" s="655"/>
      <c r="U729" s="655"/>
      <c r="V729" s="655"/>
      <c r="W729" s="655"/>
      <c r="X729" s="655"/>
      <c r="Y729" s="655"/>
      <c r="Z729" s="655"/>
    </row>
    <row r="730">
      <c r="B730" s="462"/>
      <c r="C730" s="671"/>
      <c r="D730" s="462"/>
      <c r="E730" s="654"/>
      <c r="F730" s="650"/>
      <c r="G730" s="654"/>
      <c r="H730" s="654"/>
      <c r="I730" s="650"/>
      <c r="J730" s="650"/>
      <c r="K730" s="655"/>
      <c r="L730" s="655"/>
      <c r="M730" s="655"/>
      <c r="N730" s="655"/>
      <c r="O730" s="655"/>
      <c r="P730" s="655"/>
      <c r="Q730" s="655"/>
      <c r="R730" s="655"/>
      <c r="S730" s="655"/>
      <c r="T730" s="655"/>
      <c r="U730" s="655"/>
      <c r="V730" s="655"/>
      <c r="W730" s="655"/>
      <c r="X730" s="655"/>
      <c r="Y730" s="655"/>
      <c r="Z730" s="655"/>
    </row>
    <row r="731">
      <c r="B731" s="462"/>
      <c r="C731" s="671"/>
      <c r="D731" s="462"/>
      <c r="E731" s="654"/>
      <c r="F731" s="650"/>
      <c r="G731" s="654"/>
      <c r="H731" s="654"/>
      <c r="I731" s="650"/>
      <c r="J731" s="650"/>
      <c r="K731" s="655"/>
      <c r="L731" s="655"/>
      <c r="M731" s="655"/>
      <c r="N731" s="655"/>
      <c r="O731" s="655"/>
      <c r="P731" s="655"/>
      <c r="Q731" s="655"/>
      <c r="R731" s="655"/>
      <c r="S731" s="655"/>
      <c r="T731" s="655"/>
      <c r="U731" s="655"/>
      <c r="V731" s="655"/>
      <c r="W731" s="655"/>
      <c r="X731" s="655"/>
      <c r="Y731" s="655"/>
      <c r="Z731" s="655"/>
    </row>
    <row r="732">
      <c r="B732" s="462"/>
      <c r="C732" s="671"/>
      <c r="D732" s="462"/>
      <c r="E732" s="654"/>
      <c r="F732" s="650"/>
      <c r="G732" s="654"/>
      <c r="H732" s="654"/>
      <c r="I732" s="650"/>
      <c r="J732" s="650"/>
      <c r="K732" s="655"/>
      <c r="L732" s="655"/>
      <c r="M732" s="655"/>
      <c r="N732" s="655"/>
      <c r="O732" s="655"/>
      <c r="P732" s="655"/>
      <c r="Q732" s="655"/>
      <c r="R732" s="655"/>
      <c r="S732" s="655"/>
      <c r="T732" s="655"/>
      <c r="U732" s="655"/>
      <c r="V732" s="655"/>
      <c r="W732" s="655"/>
      <c r="X732" s="655"/>
      <c r="Y732" s="655"/>
      <c r="Z732" s="655"/>
    </row>
    <row r="733">
      <c r="B733" s="462"/>
      <c r="C733" s="671"/>
      <c r="D733" s="462"/>
      <c r="E733" s="654"/>
      <c r="F733" s="650"/>
      <c r="G733" s="654"/>
      <c r="H733" s="654"/>
      <c r="I733" s="650"/>
      <c r="J733" s="650"/>
      <c r="K733" s="655"/>
      <c r="L733" s="655"/>
      <c r="M733" s="655"/>
      <c r="N733" s="655"/>
      <c r="O733" s="655"/>
      <c r="P733" s="655"/>
      <c r="Q733" s="655"/>
      <c r="R733" s="655"/>
      <c r="S733" s="655"/>
      <c r="T733" s="655"/>
      <c r="U733" s="655"/>
      <c r="V733" s="655"/>
      <c r="W733" s="655"/>
      <c r="X733" s="655"/>
      <c r="Y733" s="655"/>
      <c r="Z733" s="655"/>
    </row>
    <row r="734">
      <c r="B734" s="462"/>
      <c r="C734" s="671"/>
      <c r="D734" s="462"/>
      <c r="E734" s="654"/>
      <c r="F734" s="650"/>
      <c r="G734" s="654"/>
      <c r="H734" s="654"/>
      <c r="I734" s="650"/>
      <c r="J734" s="650"/>
      <c r="K734" s="655"/>
      <c r="L734" s="655"/>
      <c r="M734" s="655"/>
      <c r="N734" s="655"/>
      <c r="O734" s="655"/>
      <c r="P734" s="655"/>
      <c r="Q734" s="655"/>
      <c r="R734" s="655"/>
      <c r="S734" s="655"/>
      <c r="T734" s="655"/>
      <c r="U734" s="655"/>
      <c r="V734" s="655"/>
      <c r="W734" s="655"/>
      <c r="X734" s="655"/>
      <c r="Y734" s="655"/>
      <c r="Z734" s="655"/>
    </row>
    <row r="735">
      <c r="B735" s="462"/>
      <c r="C735" s="671"/>
      <c r="D735" s="462"/>
      <c r="E735" s="654"/>
      <c r="F735" s="650"/>
      <c r="G735" s="654"/>
      <c r="H735" s="654"/>
      <c r="I735" s="650"/>
      <c r="J735" s="650"/>
      <c r="K735" s="655"/>
      <c r="L735" s="655"/>
      <c r="M735" s="655"/>
      <c r="N735" s="655"/>
      <c r="O735" s="655"/>
      <c r="P735" s="655"/>
      <c r="Q735" s="655"/>
      <c r="R735" s="655"/>
      <c r="S735" s="655"/>
      <c r="T735" s="655"/>
      <c r="U735" s="655"/>
      <c r="V735" s="655"/>
      <c r="W735" s="655"/>
      <c r="X735" s="655"/>
      <c r="Y735" s="655"/>
      <c r="Z735" s="655"/>
    </row>
    <row r="736">
      <c r="B736" s="462"/>
      <c r="C736" s="671"/>
      <c r="D736" s="462"/>
      <c r="E736" s="654"/>
      <c r="F736" s="650"/>
      <c r="G736" s="654"/>
      <c r="H736" s="654"/>
      <c r="I736" s="650"/>
      <c r="J736" s="650"/>
      <c r="K736" s="655"/>
      <c r="L736" s="655"/>
      <c r="M736" s="655"/>
      <c r="N736" s="655"/>
      <c r="O736" s="655"/>
      <c r="P736" s="655"/>
      <c r="Q736" s="655"/>
      <c r="R736" s="655"/>
      <c r="S736" s="655"/>
      <c r="T736" s="655"/>
      <c r="U736" s="655"/>
      <c r="V736" s="655"/>
      <c r="W736" s="655"/>
      <c r="X736" s="655"/>
      <c r="Y736" s="655"/>
      <c r="Z736" s="655"/>
    </row>
    <row r="737">
      <c r="B737" s="462"/>
      <c r="C737" s="671"/>
      <c r="D737" s="462"/>
      <c r="E737" s="654"/>
      <c r="F737" s="650"/>
      <c r="G737" s="654"/>
      <c r="H737" s="654"/>
      <c r="I737" s="650"/>
      <c r="J737" s="650"/>
      <c r="K737" s="655"/>
      <c r="L737" s="655"/>
      <c r="M737" s="655"/>
      <c r="N737" s="655"/>
      <c r="O737" s="655"/>
      <c r="P737" s="655"/>
      <c r="Q737" s="655"/>
      <c r="R737" s="655"/>
      <c r="S737" s="655"/>
      <c r="T737" s="655"/>
      <c r="U737" s="655"/>
      <c r="V737" s="655"/>
      <c r="W737" s="655"/>
      <c r="X737" s="655"/>
      <c r="Y737" s="655"/>
      <c r="Z737" s="655"/>
    </row>
    <row r="738">
      <c r="B738" s="462"/>
      <c r="C738" s="671"/>
      <c r="D738" s="462"/>
      <c r="E738" s="654"/>
      <c r="F738" s="650"/>
      <c r="G738" s="654"/>
      <c r="H738" s="654"/>
      <c r="I738" s="650"/>
      <c r="J738" s="650"/>
      <c r="K738" s="655"/>
      <c r="L738" s="655"/>
      <c r="M738" s="655"/>
      <c r="N738" s="655"/>
      <c r="O738" s="655"/>
      <c r="P738" s="655"/>
      <c r="Q738" s="655"/>
      <c r="R738" s="655"/>
      <c r="S738" s="655"/>
      <c r="T738" s="655"/>
      <c r="U738" s="655"/>
      <c r="V738" s="655"/>
      <c r="W738" s="655"/>
      <c r="X738" s="655"/>
      <c r="Y738" s="655"/>
      <c r="Z738" s="655"/>
    </row>
    <row r="739">
      <c r="B739" s="462"/>
      <c r="C739" s="671"/>
      <c r="D739" s="462"/>
      <c r="E739" s="654"/>
      <c r="F739" s="650"/>
      <c r="G739" s="654"/>
      <c r="H739" s="654"/>
      <c r="I739" s="650"/>
      <c r="J739" s="650"/>
      <c r="K739" s="655"/>
      <c r="L739" s="655"/>
      <c r="M739" s="655"/>
      <c r="N739" s="655"/>
      <c r="O739" s="655"/>
      <c r="P739" s="655"/>
      <c r="Q739" s="655"/>
      <c r="R739" s="655"/>
      <c r="S739" s="655"/>
      <c r="T739" s="655"/>
      <c r="U739" s="655"/>
      <c r="V739" s="655"/>
      <c r="W739" s="655"/>
      <c r="X739" s="655"/>
      <c r="Y739" s="655"/>
      <c r="Z739" s="655"/>
    </row>
    <row r="740">
      <c r="B740" s="462"/>
      <c r="C740" s="671"/>
      <c r="D740" s="462"/>
      <c r="E740" s="654"/>
      <c r="F740" s="650"/>
      <c r="G740" s="654"/>
      <c r="H740" s="654"/>
      <c r="I740" s="650"/>
      <c r="J740" s="650"/>
      <c r="K740" s="655"/>
      <c r="L740" s="655"/>
      <c r="M740" s="655"/>
      <c r="N740" s="655"/>
      <c r="O740" s="655"/>
      <c r="P740" s="655"/>
      <c r="Q740" s="655"/>
      <c r="R740" s="655"/>
      <c r="S740" s="655"/>
      <c r="T740" s="655"/>
      <c r="U740" s="655"/>
      <c r="V740" s="655"/>
      <c r="W740" s="655"/>
      <c r="X740" s="655"/>
      <c r="Y740" s="655"/>
      <c r="Z740" s="655"/>
    </row>
    <row r="741">
      <c r="B741" s="462"/>
      <c r="C741" s="671"/>
      <c r="D741" s="462"/>
      <c r="E741" s="654"/>
      <c r="F741" s="650"/>
      <c r="G741" s="654"/>
      <c r="H741" s="654"/>
      <c r="I741" s="650"/>
      <c r="J741" s="650"/>
      <c r="K741" s="655"/>
      <c r="L741" s="655"/>
      <c r="M741" s="655"/>
      <c r="N741" s="655"/>
      <c r="O741" s="655"/>
      <c r="P741" s="655"/>
      <c r="Q741" s="655"/>
      <c r="R741" s="655"/>
      <c r="S741" s="655"/>
      <c r="T741" s="655"/>
      <c r="U741" s="655"/>
      <c r="V741" s="655"/>
      <c r="W741" s="655"/>
      <c r="X741" s="655"/>
      <c r="Y741" s="655"/>
      <c r="Z741" s="655"/>
    </row>
    <row r="742">
      <c r="B742" s="462"/>
      <c r="C742" s="671"/>
      <c r="D742" s="462"/>
      <c r="E742" s="654"/>
      <c r="F742" s="650"/>
      <c r="G742" s="654"/>
      <c r="H742" s="654"/>
      <c r="I742" s="650"/>
      <c r="J742" s="650"/>
      <c r="K742" s="655"/>
      <c r="L742" s="655"/>
      <c r="M742" s="655"/>
      <c r="N742" s="655"/>
      <c r="O742" s="655"/>
      <c r="P742" s="655"/>
      <c r="Q742" s="655"/>
      <c r="R742" s="655"/>
      <c r="S742" s="655"/>
      <c r="T742" s="655"/>
      <c r="U742" s="655"/>
      <c r="V742" s="655"/>
      <c r="W742" s="655"/>
      <c r="X742" s="655"/>
      <c r="Y742" s="655"/>
      <c r="Z742" s="655"/>
    </row>
    <row r="743">
      <c r="B743" s="462"/>
      <c r="C743" s="671"/>
      <c r="D743" s="462"/>
      <c r="E743" s="654"/>
      <c r="F743" s="650"/>
      <c r="G743" s="654"/>
      <c r="H743" s="654"/>
      <c r="I743" s="650"/>
      <c r="J743" s="650"/>
      <c r="K743" s="655"/>
      <c r="L743" s="655"/>
      <c r="M743" s="655"/>
      <c r="N743" s="655"/>
      <c r="O743" s="655"/>
      <c r="P743" s="655"/>
      <c r="Q743" s="655"/>
      <c r="R743" s="655"/>
      <c r="S743" s="655"/>
      <c r="T743" s="655"/>
      <c r="U743" s="655"/>
      <c r="V743" s="655"/>
      <c r="W743" s="655"/>
      <c r="X743" s="655"/>
      <c r="Y743" s="655"/>
      <c r="Z743" s="655"/>
    </row>
    <row r="744">
      <c r="B744" s="462"/>
      <c r="C744" s="671"/>
      <c r="D744" s="462"/>
      <c r="E744" s="654"/>
      <c r="F744" s="650"/>
      <c r="G744" s="654"/>
      <c r="H744" s="654"/>
      <c r="I744" s="650"/>
      <c r="J744" s="650"/>
      <c r="K744" s="655"/>
      <c r="L744" s="655"/>
      <c r="M744" s="655"/>
      <c r="N744" s="655"/>
      <c r="O744" s="655"/>
      <c r="P744" s="655"/>
      <c r="Q744" s="655"/>
      <c r="R744" s="655"/>
      <c r="S744" s="655"/>
      <c r="T744" s="655"/>
      <c r="U744" s="655"/>
      <c r="V744" s="655"/>
      <c r="W744" s="655"/>
      <c r="X744" s="655"/>
      <c r="Y744" s="655"/>
      <c r="Z744" s="655"/>
    </row>
    <row r="745">
      <c r="B745" s="462"/>
      <c r="C745" s="671"/>
      <c r="D745" s="462"/>
      <c r="E745" s="654"/>
      <c r="F745" s="650"/>
      <c r="G745" s="654"/>
      <c r="H745" s="654"/>
      <c r="I745" s="650"/>
      <c r="J745" s="650"/>
      <c r="K745" s="655"/>
      <c r="L745" s="655"/>
      <c r="M745" s="655"/>
      <c r="N745" s="655"/>
      <c r="O745" s="655"/>
      <c r="P745" s="655"/>
      <c r="Q745" s="655"/>
      <c r="R745" s="655"/>
      <c r="S745" s="655"/>
      <c r="T745" s="655"/>
      <c r="U745" s="655"/>
      <c r="V745" s="655"/>
      <c r="W745" s="655"/>
      <c r="X745" s="655"/>
      <c r="Y745" s="655"/>
      <c r="Z745" s="655"/>
    </row>
    <row r="746">
      <c r="B746" s="462"/>
      <c r="C746" s="671"/>
      <c r="D746" s="462"/>
      <c r="E746" s="654"/>
      <c r="F746" s="650"/>
      <c r="G746" s="654"/>
      <c r="H746" s="654"/>
      <c r="I746" s="650"/>
      <c r="J746" s="650"/>
      <c r="K746" s="655"/>
      <c r="L746" s="655"/>
      <c r="M746" s="655"/>
      <c r="N746" s="655"/>
      <c r="O746" s="655"/>
      <c r="P746" s="655"/>
      <c r="Q746" s="655"/>
      <c r="R746" s="655"/>
      <c r="S746" s="655"/>
      <c r="T746" s="655"/>
      <c r="U746" s="655"/>
      <c r="V746" s="655"/>
      <c r="W746" s="655"/>
      <c r="X746" s="655"/>
      <c r="Y746" s="655"/>
      <c r="Z746" s="655"/>
    </row>
    <row r="747">
      <c r="B747" s="462"/>
      <c r="C747" s="671"/>
      <c r="D747" s="462"/>
      <c r="E747" s="654"/>
      <c r="F747" s="650"/>
      <c r="G747" s="654"/>
      <c r="H747" s="654"/>
      <c r="I747" s="650"/>
      <c r="J747" s="650"/>
      <c r="K747" s="655"/>
      <c r="L747" s="655"/>
      <c r="M747" s="655"/>
      <c r="N747" s="655"/>
      <c r="O747" s="655"/>
      <c r="P747" s="655"/>
      <c r="Q747" s="655"/>
      <c r="R747" s="655"/>
      <c r="S747" s="655"/>
      <c r="T747" s="655"/>
      <c r="U747" s="655"/>
      <c r="V747" s="655"/>
      <c r="W747" s="655"/>
      <c r="X747" s="655"/>
      <c r="Y747" s="655"/>
      <c r="Z747" s="655"/>
    </row>
    <row r="748">
      <c r="B748" s="462"/>
      <c r="C748" s="671"/>
      <c r="D748" s="462"/>
      <c r="E748" s="654"/>
      <c r="F748" s="650"/>
      <c r="G748" s="654"/>
      <c r="H748" s="654"/>
      <c r="I748" s="650"/>
      <c r="J748" s="650"/>
      <c r="K748" s="655"/>
      <c r="L748" s="655"/>
      <c r="M748" s="655"/>
      <c r="N748" s="655"/>
      <c r="O748" s="655"/>
      <c r="P748" s="655"/>
      <c r="Q748" s="655"/>
      <c r="R748" s="655"/>
      <c r="S748" s="655"/>
      <c r="T748" s="655"/>
      <c r="U748" s="655"/>
      <c r="V748" s="655"/>
      <c r="W748" s="655"/>
      <c r="X748" s="655"/>
      <c r="Y748" s="655"/>
      <c r="Z748" s="655"/>
    </row>
    <row r="749">
      <c r="B749" s="462"/>
      <c r="C749" s="671"/>
      <c r="D749" s="462"/>
      <c r="E749" s="654"/>
      <c r="F749" s="650"/>
      <c r="G749" s="654"/>
      <c r="H749" s="654"/>
      <c r="I749" s="650"/>
      <c r="J749" s="650"/>
      <c r="K749" s="655"/>
      <c r="L749" s="655"/>
      <c r="M749" s="655"/>
      <c r="N749" s="655"/>
      <c r="O749" s="655"/>
      <c r="P749" s="655"/>
      <c r="Q749" s="655"/>
      <c r="R749" s="655"/>
      <c r="S749" s="655"/>
      <c r="T749" s="655"/>
      <c r="U749" s="655"/>
      <c r="V749" s="655"/>
      <c r="W749" s="655"/>
      <c r="X749" s="655"/>
      <c r="Y749" s="655"/>
      <c r="Z749" s="655"/>
    </row>
    <row r="750">
      <c r="B750" s="462"/>
      <c r="C750" s="671"/>
      <c r="D750" s="462"/>
      <c r="E750" s="654"/>
      <c r="F750" s="650"/>
      <c r="G750" s="654"/>
      <c r="H750" s="654"/>
      <c r="I750" s="650"/>
      <c r="J750" s="650"/>
      <c r="K750" s="655"/>
      <c r="L750" s="655"/>
      <c r="M750" s="655"/>
      <c r="N750" s="655"/>
      <c r="O750" s="655"/>
      <c r="P750" s="655"/>
      <c r="Q750" s="655"/>
      <c r="R750" s="655"/>
      <c r="S750" s="655"/>
      <c r="T750" s="655"/>
      <c r="U750" s="655"/>
      <c r="V750" s="655"/>
      <c r="W750" s="655"/>
      <c r="X750" s="655"/>
      <c r="Y750" s="655"/>
      <c r="Z750" s="655"/>
    </row>
    <row r="751">
      <c r="B751" s="462"/>
      <c r="C751" s="671"/>
      <c r="D751" s="462"/>
      <c r="E751" s="654"/>
      <c r="F751" s="650"/>
      <c r="G751" s="654"/>
      <c r="H751" s="654"/>
      <c r="I751" s="650"/>
      <c r="J751" s="650"/>
      <c r="K751" s="655"/>
      <c r="L751" s="655"/>
      <c r="M751" s="655"/>
      <c r="N751" s="655"/>
      <c r="O751" s="655"/>
      <c r="P751" s="655"/>
      <c r="Q751" s="655"/>
      <c r="R751" s="655"/>
      <c r="S751" s="655"/>
      <c r="T751" s="655"/>
      <c r="U751" s="655"/>
      <c r="V751" s="655"/>
      <c r="W751" s="655"/>
      <c r="X751" s="655"/>
      <c r="Y751" s="655"/>
      <c r="Z751" s="655"/>
    </row>
    <row r="752">
      <c r="B752" s="462"/>
      <c r="C752" s="671"/>
      <c r="D752" s="462"/>
      <c r="E752" s="654"/>
      <c r="F752" s="650"/>
      <c r="G752" s="654"/>
      <c r="H752" s="654"/>
      <c r="I752" s="650"/>
      <c r="J752" s="650"/>
      <c r="K752" s="655"/>
      <c r="L752" s="655"/>
      <c r="M752" s="655"/>
      <c r="N752" s="655"/>
      <c r="O752" s="655"/>
      <c r="P752" s="655"/>
      <c r="Q752" s="655"/>
      <c r="R752" s="655"/>
      <c r="S752" s="655"/>
      <c r="T752" s="655"/>
      <c r="U752" s="655"/>
      <c r="V752" s="655"/>
      <c r="W752" s="655"/>
      <c r="X752" s="655"/>
      <c r="Y752" s="655"/>
      <c r="Z752" s="655"/>
    </row>
    <row r="753">
      <c r="B753" s="462"/>
      <c r="C753" s="671"/>
      <c r="D753" s="462"/>
      <c r="E753" s="654"/>
      <c r="F753" s="650"/>
      <c r="G753" s="654"/>
      <c r="H753" s="654"/>
      <c r="I753" s="650"/>
      <c r="J753" s="650"/>
      <c r="K753" s="655"/>
      <c r="L753" s="655"/>
      <c r="M753" s="655"/>
      <c r="N753" s="655"/>
      <c r="O753" s="655"/>
      <c r="P753" s="655"/>
      <c r="Q753" s="655"/>
      <c r="R753" s="655"/>
      <c r="S753" s="655"/>
      <c r="T753" s="655"/>
      <c r="U753" s="655"/>
      <c r="V753" s="655"/>
      <c r="W753" s="655"/>
      <c r="X753" s="655"/>
      <c r="Y753" s="655"/>
      <c r="Z753" s="655"/>
    </row>
    <row r="754">
      <c r="B754" s="462"/>
      <c r="C754" s="671"/>
      <c r="D754" s="462"/>
      <c r="E754" s="654"/>
      <c r="F754" s="650"/>
      <c r="G754" s="654"/>
      <c r="H754" s="654"/>
      <c r="I754" s="650"/>
      <c r="J754" s="650"/>
      <c r="K754" s="655"/>
      <c r="L754" s="655"/>
      <c r="M754" s="655"/>
      <c r="N754" s="655"/>
      <c r="O754" s="655"/>
      <c r="P754" s="655"/>
      <c r="Q754" s="655"/>
      <c r="R754" s="655"/>
      <c r="S754" s="655"/>
      <c r="T754" s="655"/>
      <c r="U754" s="655"/>
      <c r="V754" s="655"/>
      <c r="W754" s="655"/>
      <c r="X754" s="655"/>
      <c r="Y754" s="655"/>
      <c r="Z754" s="655"/>
    </row>
    <row r="755">
      <c r="B755" s="462"/>
      <c r="C755" s="671"/>
      <c r="D755" s="462"/>
      <c r="E755" s="654"/>
      <c r="F755" s="650"/>
      <c r="G755" s="654"/>
      <c r="H755" s="654"/>
      <c r="I755" s="650"/>
      <c r="J755" s="650"/>
      <c r="K755" s="655"/>
      <c r="L755" s="655"/>
      <c r="M755" s="655"/>
      <c r="N755" s="655"/>
      <c r="O755" s="655"/>
      <c r="P755" s="655"/>
      <c r="Q755" s="655"/>
      <c r="R755" s="655"/>
      <c r="S755" s="655"/>
      <c r="T755" s="655"/>
      <c r="U755" s="655"/>
      <c r="V755" s="655"/>
      <c r="W755" s="655"/>
      <c r="X755" s="655"/>
      <c r="Y755" s="655"/>
      <c r="Z755" s="655"/>
    </row>
    <row r="756">
      <c r="B756" s="462"/>
      <c r="C756" s="671"/>
      <c r="D756" s="462"/>
      <c r="E756" s="654"/>
      <c r="F756" s="650"/>
      <c r="G756" s="654"/>
      <c r="H756" s="654"/>
      <c r="I756" s="650"/>
      <c r="J756" s="650"/>
      <c r="K756" s="655"/>
      <c r="L756" s="655"/>
      <c r="M756" s="655"/>
      <c r="N756" s="655"/>
      <c r="O756" s="655"/>
      <c r="P756" s="655"/>
      <c r="Q756" s="655"/>
      <c r="R756" s="655"/>
      <c r="S756" s="655"/>
      <c r="T756" s="655"/>
      <c r="U756" s="655"/>
      <c r="V756" s="655"/>
      <c r="W756" s="655"/>
      <c r="X756" s="655"/>
      <c r="Y756" s="655"/>
      <c r="Z756" s="655"/>
    </row>
    <row r="757">
      <c r="B757" s="462"/>
      <c r="C757" s="671"/>
      <c r="D757" s="462"/>
      <c r="E757" s="654"/>
      <c r="F757" s="650"/>
      <c r="G757" s="654"/>
      <c r="H757" s="654"/>
      <c r="I757" s="650"/>
      <c r="J757" s="650"/>
      <c r="K757" s="655"/>
      <c r="L757" s="655"/>
      <c r="M757" s="655"/>
      <c r="N757" s="655"/>
      <c r="O757" s="655"/>
      <c r="P757" s="655"/>
      <c r="Q757" s="655"/>
      <c r="R757" s="655"/>
      <c r="S757" s="655"/>
      <c r="T757" s="655"/>
      <c r="U757" s="655"/>
      <c r="V757" s="655"/>
      <c r="W757" s="655"/>
      <c r="X757" s="655"/>
      <c r="Y757" s="655"/>
      <c r="Z757" s="655"/>
    </row>
    <row r="758">
      <c r="B758" s="462"/>
      <c r="C758" s="671"/>
      <c r="D758" s="462"/>
      <c r="E758" s="654"/>
      <c r="F758" s="650"/>
      <c r="G758" s="654"/>
      <c r="H758" s="654"/>
      <c r="I758" s="650"/>
      <c r="J758" s="650"/>
      <c r="K758" s="655"/>
      <c r="L758" s="655"/>
      <c r="M758" s="655"/>
      <c r="N758" s="655"/>
      <c r="O758" s="655"/>
      <c r="P758" s="655"/>
      <c r="Q758" s="655"/>
      <c r="R758" s="655"/>
      <c r="S758" s="655"/>
      <c r="T758" s="655"/>
      <c r="U758" s="655"/>
      <c r="V758" s="655"/>
      <c r="W758" s="655"/>
      <c r="X758" s="655"/>
      <c r="Y758" s="655"/>
      <c r="Z758" s="655"/>
    </row>
    <row r="759">
      <c r="B759" s="462"/>
      <c r="C759" s="671"/>
      <c r="D759" s="462"/>
      <c r="E759" s="654"/>
      <c r="F759" s="650"/>
      <c r="G759" s="654"/>
      <c r="H759" s="654"/>
      <c r="I759" s="650"/>
      <c r="J759" s="650"/>
      <c r="K759" s="655"/>
      <c r="L759" s="655"/>
      <c r="M759" s="655"/>
      <c r="N759" s="655"/>
      <c r="O759" s="655"/>
      <c r="P759" s="655"/>
      <c r="Q759" s="655"/>
      <c r="R759" s="655"/>
      <c r="S759" s="655"/>
      <c r="T759" s="655"/>
      <c r="U759" s="655"/>
      <c r="V759" s="655"/>
      <c r="W759" s="655"/>
      <c r="X759" s="655"/>
      <c r="Y759" s="655"/>
      <c r="Z759" s="655"/>
    </row>
    <row r="760">
      <c r="B760" s="462"/>
      <c r="C760" s="671"/>
      <c r="D760" s="462"/>
      <c r="E760" s="654"/>
      <c r="F760" s="650"/>
      <c r="G760" s="654"/>
      <c r="H760" s="654"/>
      <c r="I760" s="650"/>
      <c r="J760" s="650"/>
      <c r="K760" s="655"/>
      <c r="L760" s="655"/>
      <c r="M760" s="655"/>
      <c r="N760" s="655"/>
      <c r="O760" s="655"/>
      <c r="P760" s="655"/>
      <c r="Q760" s="655"/>
      <c r="R760" s="655"/>
      <c r="S760" s="655"/>
      <c r="T760" s="655"/>
      <c r="U760" s="655"/>
      <c r="V760" s="655"/>
      <c r="W760" s="655"/>
      <c r="X760" s="655"/>
      <c r="Y760" s="655"/>
      <c r="Z760" s="655"/>
    </row>
    <row r="761">
      <c r="B761" s="462"/>
      <c r="C761" s="671"/>
      <c r="D761" s="462"/>
      <c r="E761" s="654"/>
      <c r="F761" s="650"/>
      <c r="G761" s="654"/>
      <c r="H761" s="654"/>
      <c r="I761" s="650"/>
      <c r="J761" s="650"/>
      <c r="K761" s="655"/>
      <c r="L761" s="655"/>
      <c r="M761" s="655"/>
      <c r="N761" s="655"/>
      <c r="O761" s="655"/>
      <c r="P761" s="655"/>
      <c r="Q761" s="655"/>
      <c r="R761" s="655"/>
      <c r="S761" s="655"/>
      <c r="T761" s="655"/>
      <c r="U761" s="655"/>
      <c r="V761" s="655"/>
      <c r="W761" s="655"/>
      <c r="X761" s="655"/>
      <c r="Y761" s="655"/>
      <c r="Z761" s="655"/>
    </row>
    <row r="762">
      <c r="B762" s="462"/>
      <c r="C762" s="671"/>
      <c r="D762" s="462"/>
      <c r="E762" s="654"/>
      <c r="F762" s="650"/>
      <c r="G762" s="654"/>
      <c r="H762" s="654"/>
      <c r="I762" s="650"/>
      <c r="J762" s="650"/>
      <c r="K762" s="655"/>
      <c r="L762" s="655"/>
      <c r="M762" s="655"/>
      <c r="N762" s="655"/>
      <c r="O762" s="655"/>
      <c r="P762" s="655"/>
      <c r="Q762" s="655"/>
      <c r="R762" s="655"/>
      <c r="S762" s="655"/>
      <c r="T762" s="655"/>
      <c r="U762" s="655"/>
      <c r="V762" s="655"/>
      <c r="W762" s="655"/>
      <c r="X762" s="655"/>
      <c r="Y762" s="655"/>
      <c r="Z762" s="655"/>
    </row>
    <row r="763">
      <c r="B763" s="462"/>
      <c r="C763" s="671"/>
      <c r="D763" s="462"/>
      <c r="E763" s="654"/>
      <c r="F763" s="650"/>
      <c r="G763" s="654"/>
      <c r="H763" s="654"/>
      <c r="I763" s="650"/>
      <c r="J763" s="650"/>
      <c r="K763" s="655"/>
      <c r="L763" s="655"/>
      <c r="M763" s="655"/>
      <c r="N763" s="655"/>
      <c r="O763" s="655"/>
      <c r="P763" s="655"/>
      <c r="Q763" s="655"/>
      <c r="R763" s="655"/>
      <c r="S763" s="655"/>
      <c r="T763" s="655"/>
      <c r="U763" s="655"/>
      <c r="V763" s="655"/>
      <c r="W763" s="655"/>
      <c r="X763" s="655"/>
      <c r="Y763" s="655"/>
      <c r="Z763" s="655"/>
    </row>
    <row r="764">
      <c r="B764" s="462"/>
      <c r="C764" s="671"/>
      <c r="D764" s="462"/>
      <c r="E764" s="654"/>
      <c r="F764" s="650"/>
      <c r="G764" s="654"/>
      <c r="H764" s="654"/>
      <c r="I764" s="650"/>
      <c r="J764" s="650"/>
      <c r="K764" s="655"/>
      <c r="L764" s="655"/>
      <c r="M764" s="655"/>
      <c r="N764" s="655"/>
      <c r="O764" s="655"/>
      <c r="P764" s="655"/>
      <c r="Q764" s="655"/>
      <c r="R764" s="655"/>
      <c r="S764" s="655"/>
      <c r="T764" s="655"/>
      <c r="U764" s="655"/>
      <c r="V764" s="655"/>
      <c r="W764" s="655"/>
      <c r="X764" s="655"/>
      <c r="Y764" s="655"/>
      <c r="Z764" s="655"/>
    </row>
    <row r="765">
      <c r="B765" s="462"/>
      <c r="C765" s="671"/>
      <c r="D765" s="462"/>
      <c r="E765" s="654"/>
      <c r="F765" s="650"/>
      <c r="G765" s="654"/>
      <c r="H765" s="654"/>
      <c r="I765" s="650"/>
      <c r="J765" s="650"/>
      <c r="K765" s="655"/>
      <c r="L765" s="655"/>
      <c r="M765" s="655"/>
      <c r="N765" s="655"/>
      <c r="O765" s="655"/>
      <c r="P765" s="655"/>
      <c r="Q765" s="655"/>
      <c r="R765" s="655"/>
      <c r="S765" s="655"/>
      <c r="T765" s="655"/>
      <c r="U765" s="655"/>
      <c r="V765" s="655"/>
      <c r="W765" s="655"/>
      <c r="X765" s="655"/>
      <c r="Y765" s="655"/>
      <c r="Z765" s="655"/>
    </row>
    <row r="766">
      <c r="B766" s="462"/>
      <c r="C766" s="671"/>
      <c r="D766" s="462"/>
      <c r="E766" s="654"/>
      <c r="F766" s="650"/>
      <c r="G766" s="654"/>
      <c r="H766" s="654"/>
      <c r="I766" s="650"/>
      <c r="J766" s="650"/>
      <c r="K766" s="655"/>
      <c r="L766" s="655"/>
      <c r="M766" s="655"/>
      <c r="N766" s="655"/>
      <c r="O766" s="655"/>
      <c r="P766" s="655"/>
      <c r="Q766" s="655"/>
      <c r="R766" s="655"/>
      <c r="S766" s="655"/>
      <c r="T766" s="655"/>
      <c r="U766" s="655"/>
      <c r="V766" s="655"/>
      <c r="W766" s="655"/>
      <c r="X766" s="655"/>
      <c r="Y766" s="655"/>
      <c r="Z766" s="655"/>
    </row>
    <row r="767">
      <c r="B767" s="462"/>
      <c r="C767" s="671"/>
      <c r="D767" s="462"/>
      <c r="E767" s="654"/>
      <c r="F767" s="650"/>
      <c r="G767" s="654"/>
      <c r="H767" s="654"/>
      <c r="I767" s="650"/>
      <c r="J767" s="650"/>
      <c r="K767" s="655"/>
      <c r="L767" s="655"/>
      <c r="M767" s="655"/>
      <c r="N767" s="655"/>
      <c r="O767" s="655"/>
      <c r="P767" s="655"/>
      <c r="Q767" s="655"/>
      <c r="R767" s="655"/>
      <c r="S767" s="655"/>
      <c r="T767" s="655"/>
      <c r="U767" s="655"/>
      <c r="V767" s="655"/>
      <c r="W767" s="655"/>
      <c r="X767" s="655"/>
      <c r="Y767" s="655"/>
      <c r="Z767" s="655"/>
    </row>
    <row r="768">
      <c r="B768" s="462"/>
      <c r="C768" s="671"/>
      <c r="D768" s="462"/>
      <c r="E768" s="654"/>
      <c r="F768" s="650"/>
      <c r="G768" s="654"/>
      <c r="H768" s="654"/>
      <c r="I768" s="650"/>
      <c r="J768" s="650"/>
      <c r="K768" s="655"/>
      <c r="L768" s="655"/>
      <c r="M768" s="655"/>
      <c r="N768" s="655"/>
      <c r="O768" s="655"/>
      <c r="P768" s="655"/>
      <c r="Q768" s="655"/>
      <c r="R768" s="655"/>
      <c r="S768" s="655"/>
      <c r="T768" s="655"/>
      <c r="U768" s="655"/>
      <c r="V768" s="655"/>
      <c r="W768" s="655"/>
      <c r="X768" s="655"/>
      <c r="Y768" s="655"/>
      <c r="Z768" s="655"/>
    </row>
    <row r="769">
      <c r="B769" s="462"/>
      <c r="C769" s="671"/>
      <c r="D769" s="462"/>
      <c r="E769" s="654"/>
      <c r="F769" s="650"/>
      <c r="G769" s="654"/>
      <c r="H769" s="654"/>
      <c r="I769" s="650"/>
      <c r="J769" s="650"/>
      <c r="K769" s="655"/>
      <c r="L769" s="655"/>
      <c r="M769" s="655"/>
      <c r="N769" s="655"/>
      <c r="O769" s="655"/>
      <c r="P769" s="655"/>
      <c r="Q769" s="655"/>
      <c r="R769" s="655"/>
      <c r="S769" s="655"/>
      <c r="T769" s="655"/>
      <c r="U769" s="655"/>
      <c r="V769" s="655"/>
      <c r="W769" s="655"/>
      <c r="X769" s="655"/>
      <c r="Y769" s="655"/>
      <c r="Z769" s="655"/>
    </row>
    <row r="770">
      <c r="B770" s="462"/>
      <c r="C770" s="671"/>
      <c r="D770" s="462"/>
      <c r="E770" s="654"/>
      <c r="F770" s="650"/>
      <c r="G770" s="654"/>
      <c r="H770" s="654"/>
      <c r="I770" s="650"/>
      <c r="J770" s="650"/>
      <c r="K770" s="655"/>
      <c r="L770" s="655"/>
      <c r="M770" s="655"/>
      <c r="N770" s="655"/>
      <c r="O770" s="655"/>
      <c r="P770" s="655"/>
      <c r="Q770" s="655"/>
      <c r="R770" s="655"/>
      <c r="S770" s="655"/>
      <c r="T770" s="655"/>
      <c r="U770" s="655"/>
      <c r="V770" s="655"/>
      <c r="W770" s="655"/>
      <c r="X770" s="655"/>
      <c r="Y770" s="655"/>
      <c r="Z770" s="655"/>
    </row>
    <row r="771">
      <c r="B771" s="462"/>
      <c r="C771" s="671"/>
      <c r="D771" s="462"/>
      <c r="E771" s="654"/>
      <c r="F771" s="650"/>
      <c r="G771" s="654"/>
      <c r="H771" s="654"/>
      <c r="I771" s="650"/>
      <c r="J771" s="650"/>
      <c r="K771" s="655"/>
      <c r="L771" s="655"/>
      <c r="M771" s="655"/>
      <c r="N771" s="655"/>
      <c r="O771" s="655"/>
      <c r="P771" s="655"/>
      <c r="Q771" s="655"/>
      <c r="R771" s="655"/>
      <c r="S771" s="655"/>
      <c r="T771" s="655"/>
      <c r="U771" s="655"/>
      <c r="V771" s="655"/>
      <c r="W771" s="655"/>
      <c r="X771" s="655"/>
      <c r="Y771" s="655"/>
      <c r="Z771" s="655"/>
    </row>
    <row r="772">
      <c r="B772" s="462"/>
      <c r="C772" s="671"/>
      <c r="D772" s="462"/>
      <c r="E772" s="654"/>
      <c r="F772" s="650"/>
      <c r="G772" s="654"/>
      <c r="H772" s="654"/>
      <c r="I772" s="650"/>
      <c r="J772" s="650"/>
      <c r="K772" s="655"/>
      <c r="L772" s="655"/>
      <c r="M772" s="655"/>
      <c r="N772" s="655"/>
      <c r="O772" s="655"/>
      <c r="P772" s="655"/>
      <c r="Q772" s="655"/>
      <c r="R772" s="655"/>
      <c r="S772" s="655"/>
      <c r="T772" s="655"/>
      <c r="U772" s="655"/>
      <c r="V772" s="655"/>
      <c r="W772" s="655"/>
      <c r="X772" s="655"/>
      <c r="Y772" s="655"/>
      <c r="Z772" s="655"/>
    </row>
    <row r="773">
      <c r="B773" s="462"/>
      <c r="C773" s="671"/>
      <c r="D773" s="462"/>
      <c r="E773" s="654"/>
      <c r="F773" s="650"/>
      <c r="G773" s="654"/>
      <c r="H773" s="654"/>
      <c r="I773" s="650"/>
      <c r="J773" s="650"/>
      <c r="K773" s="655"/>
      <c r="L773" s="655"/>
      <c r="M773" s="655"/>
      <c r="N773" s="655"/>
      <c r="O773" s="655"/>
      <c r="P773" s="655"/>
      <c r="Q773" s="655"/>
      <c r="R773" s="655"/>
      <c r="S773" s="655"/>
      <c r="T773" s="655"/>
      <c r="U773" s="655"/>
      <c r="V773" s="655"/>
      <c r="W773" s="655"/>
      <c r="X773" s="655"/>
      <c r="Y773" s="655"/>
      <c r="Z773" s="655"/>
    </row>
    <row r="774">
      <c r="B774" s="462"/>
      <c r="C774" s="671"/>
      <c r="D774" s="462"/>
      <c r="E774" s="654"/>
      <c r="F774" s="650"/>
      <c r="G774" s="654"/>
      <c r="H774" s="654"/>
      <c r="I774" s="650"/>
      <c r="J774" s="650"/>
      <c r="K774" s="655"/>
      <c r="L774" s="655"/>
      <c r="M774" s="655"/>
      <c r="N774" s="655"/>
      <c r="O774" s="655"/>
      <c r="P774" s="655"/>
      <c r="Q774" s="655"/>
      <c r="R774" s="655"/>
      <c r="S774" s="655"/>
      <c r="T774" s="655"/>
      <c r="U774" s="655"/>
      <c r="V774" s="655"/>
      <c r="W774" s="655"/>
      <c r="X774" s="655"/>
      <c r="Y774" s="655"/>
      <c r="Z774" s="655"/>
    </row>
    <row r="775">
      <c r="B775" s="462"/>
      <c r="C775" s="671"/>
      <c r="D775" s="462"/>
      <c r="E775" s="654"/>
      <c r="F775" s="650"/>
      <c r="G775" s="654"/>
      <c r="H775" s="654"/>
      <c r="I775" s="650"/>
      <c r="J775" s="650"/>
      <c r="K775" s="655"/>
      <c r="L775" s="655"/>
      <c r="M775" s="655"/>
      <c r="N775" s="655"/>
      <c r="O775" s="655"/>
      <c r="P775" s="655"/>
      <c r="Q775" s="655"/>
      <c r="R775" s="655"/>
      <c r="S775" s="655"/>
      <c r="T775" s="655"/>
      <c r="U775" s="655"/>
      <c r="V775" s="655"/>
      <c r="W775" s="655"/>
      <c r="X775" s="655"/>
      <c r="Y775" s="655"/>
      <c r="Z775" s="655"/>
    </row>
    <row r="776">
      <c r="B776" s="462"/>
      <c r="C776" s="671"/>
      <c r="D776" s="462"/>
      <c r="E776" s="654"/>
      <c r="F776" s="650"/>
      <c r="G776" s="654"/>
      <c r="H776" s="654"/>
      <c r="I776" s="650"/>
      <c r="J776" s="650"/>
      <c r="K776" s="655"/>
      <c r="L776" s="655"/>
      <c r="M776" s="655"/>
      <c r="N776" s="655"/>
      <c r="O776" s="655"/>
      <c r="P776" s="655"/>
      <c r="Q776" s="655"/>
      <c r="R776" s="655"/>
      <c r="S776" s="655"/>
      <c r="T776" s="655"/>
      <c r="U776" s="655"/>
      <c r="V776" s="655"/>
      <c r="W776" s="655"/>
      <c r="X776" s="655"/>
      <c r="Y776" s="655"/>
      <c r="Z776" s="655"/>
    </row>
    <row r="777">
      <c r="B777" s="462"/>
      <c r="C777" s="671"/>
      <c r="D777" s="462"/>
      <c r="E777" s="654"/>
      <c r="F777" s="650"/>
      <c r="G777" s="654"/>
      <c r="H777" s="654"/>
      <c r="I777" s="650"/>
      <c r="J777" s="650"/>
      <c r="K777" s="655"/>
      <c r="L777" s="655"/>
      <c r="M777" s="655"/>
      <c r="N777" s="655"/>
      <c r="O777" s="655"/>
      <c r="P777" s="655"/>
      <c r="Q777" s="655"/>
      <c r="R777" s="655"/>
      <c r="S777" s="655"/>
      <c r="T777" s="655"/>
      <c r="U777" s="655"/>
      <c r="V777" s="655"/>
      <c r="W777" s="655"/>
      <c r="X777" s="655"/>
      <c r="Y777" s="655"/>
      <c r="Z777" s="655"/>
    </row>
    <row r="778">
      <c r="B778" s="462"/>
      <c r="C778" s="671"/>
      <c r="D778" s="462"/>
      <c r="E778" s="654"/>
      <c r="F778" s="650"/>
      <c r="G778" s="654"/>
      <c r="H778" s="654"/>
      <c r="I778" s="650"/>
      <c r="J778" s="650"/>
      <c r="K778" s="655"/>
      <c r="L778" s="655"/>
      <c r="M778" s="655"/>
      <c r="N778" s="655"/>
      <c r="O778" s="655"/>
      <c r="P778" s="655"/>
      <c r="Q778" s="655"/>
      <c r="R778" s="655"/>
      <c r="S778" s="655"/>
      <c r="T778" s="655"/>
      <c r="U778" s="655"/>
      <c r="V778" s="655"/>
      <c r="W778" s="655"/>
      <c r="X778" s="655"/>
      <c r="Y778" s="655"/>
      <c r="Z778" s="655"/>
    </row>
    <row r="779">
      <c r="B779" s="462"/>
      <c r="C779" s="671"/>
      <c r="D779" s="462"/>
      <c r="E779" s="654"/>
      <c r="F779" s="650"/>
      <c r="G779" s="654"/>
      <c r="H779" s="654"/>
      <c r="I779" s="650"/>
      <c r="J779" s="650"/>
      <c r="K779" s="655"/>
      <c r="L779" s="655"/>
      <c r="M779" s="655"/>
      <c r="N779" s="655"/>
      <c r="O779" s="655"/>
      <c r="P779" s="655"/>
      <c r="Q779" s="655"/>
      <c r="R779" s="655"/>
      <c r="S779" s="655"/>
      <c r="T779" s="655"/>
      <c r="U779" s="655"/>
      <c r="V779" s="655"/>
      <c r="W779" s="655"/>
      <c r="X779" s="655"/>
      <c r="Y779" s="655"/>
      <c r="Z779" s="655"/>
    </row>
    <row r="780">
      <c r="B780" s="462"/>
      <c r="C780" s="671"/>
      <c r="D780" s="462"/>
      <c r="E780" s="654"/>
      <c r="F780" s="650"/>
      <c r="G780" s="654"/>
      <c r="H780" s="654"/>
      <c r="I780" s="650"/>
      <c r="J780" s="650"/>
      <c r="K780" s="655"/>
      <c r="L780" s="655"/>
      <c r="M780" s="655"/>
      <c r="N780" s="655"/>
      <c r="O780" s="655"/>
      <c r="P780" s="655"/>
      <c r="Q780" s="655"/>
      <c r="R780" s="655"/>
      <c r="S780" s="655"/>
      <c r="T780" s="655"/>
      <c r="U780" s="655"/>
      <c r="V780" s="655"/>
      <c r="W780" s="655"/>
      <c r="X780" s="655"/>
      <c r="Y780" s="655"/>
      <c r="Z780" s="655"/>
    </row>
    <row r="781">
      <c r="B781" s="462"/>
      <c r="C781" s="671"/>
      <c r="D781" s="462"/>
      <c r="E781" s="654"/>
      <c r="F781" s="650"/>
      <c r="G781" s="654"/>
      <c r="H781" s="654"/>
      <c r="I781" s="650"/>
      <c r="J781" s="650"/>
      <c r="K781" s="655"/>
      <c r="L781" s="655"/>
      <c r="M781" s="655"/>
      <c r="N781" s="655"/>
      <c r="O781" s="655"/>
      <c r="P781" s="655"/>
      <c r="Q781" s="655"/>
      <c r="R781" s="655"/>
      <c r="S781" s="655"/>
      <c r="T781" s="655"/>
      <c r="U781" s="655"/>
      <c r="V781" s="655"/>
      <c r="W781" s="655"/>
      <c r="X781" s="655"/>
      <c r="Y781" s="655"/>
      <c r="Z781" s="655"/>
    </row>
    <row r="782">
      <c r="B782" s="462"/>
      <c r="C782" s="671"/>
      <c r="D782" s="462"/>
      <c r="E782" s="654"/>
      <c r="F782" s="650"/>
      <c r="G782" s="654"/>
      <c r="H782" s="654"/>
      <c r="I782" s="650"/>
      <c r="J782" s="650"/>
      <c r="K782" s="655"/>
      <c r="L782" s="655"/>
      <c r="M782" s="655"/>
      <c r="N782" s="655"/>
      <c r="O782" s="655"/>
      <c r="P782" s="655"/>
      <c r="Q782" s="655"/>
      <c r="R782" s="655"/>
      <c r="S782" s="655"/>
      <c r="T782" s="655"/>
      <c r="U782" s="655"/>
      <c r="V782" s="655"/>
      <c r="W782" s="655"/>
      <c r="X782" s="655"/>
      <c r="Y782" s="655"/>
      <c r="Z782" s="655"/>
    </row>
    <row r="783">
      <c r="B783" s="462"/>
      <c r="C783" s="671"/>
      <c r="D783" s="462"/>
      <c r="E783" s="654"/>
      <c r="F783" s="650"/>
      <c r="G783" s="654"/>
      <c r="H783" s="654"/>
      <c r="I783" s="650"/>
      <c r="J783" s="650"/>
      <c r="K783" s="655"/>
      <c r="L783" s="655"/>
      <c r="M783" s="655"/>
      <c r="N783" s="655"/>
      <c r="O783" s="655"/>
      <c r="P783" s="655"/>
      <c r="Q783" s="655"/>
      <c r="R783" s="655"/>
      <c r="S783" s="655"/>
      <c r="T783" s="655"/>
      <c r="U783" s="655"/>
      <c r="V783" s="655"/>
      <c r="W783" s="655"/>
      <c r="X783" s="655"/>
      <c r="Y783" s="655"/>
      <c r="Z783" s="655"/>
    </row>
    <row r="784">
      <c r="B784" s="462"/>
      <c r="C784" s="671"/>
      <c r="D784" s="462"/>
      <c r="E784" s="654"/>
      <c r="F784" s="650"/>
      <c r="G784" s="654"/>
      <c r="H784" s="654"/>
      <c r="I784" s="650"/>
      <c r="J784" s="650"/>
      <c r="K784" s="655"/>
      <c r="L784" s="655"/>
      <c r="M784" s="655"/>
      <c r="N784" s="655"/>
      <c r="O784" s="655"/>
      <c r="P784" s="655"/>
      <c r="Q784" s="655"/>
      <c r="R784" s="655"/>
      <c r="S784" s="655"/>
      <c r="T784" s="655"/>
      <c r="U784" s="655"/>
      <c r="V784" s="655"/>
      <c r="W784" s="655"/>
      <c r="X784" s="655"/>
      <c r="Y784" s="655"/>
      <c r="Z784" s="655"/>
    </row>
    <row r="785">
      <c r="B785" s="462"/>
      <c r="C785" s="671"/>
      <c r="D785" s="462"/>
      <c r="E785" s="654"/>
      <c r="F785" s="650"/>
      <c r="G785" s="654"/>
      <c r="H785" s="654"/>
      <c r="I785" s="650"/>
      <c r="J785" s="650"/>
      <c r="K785" s="655"/>
      <c r="L785" s="655"/>
      <c r="M785" s="655"/>
      <c r="N785" s="655"/>
      <c r="O785" s="655"/>
      <c r="P785" s="655"/>
      <c r="Q785" s="655"/>
      <c r="R785" s="655"/>
      <c r="S785" s="655"/>
      <c r="T785" s="655"/>
      <c r="U785" s="655"/>
      <c r="V785" s="655"/>
      <c r="W785" s="655"/>
      <c r="X785" s="655"/>
      <c r="Y785" s="655"/>
      <c r="Z785" s="655"/>
    </row>
    <row r="786">
      <c r="B786" s="462"/>
      <c r="C786" s="671"/>
      <c r="D786" s="462"/>
      <c r="E786" s="654"/>
      <c r="F786" s="650"/>
      <c r="G786" s="654"/>
      <c r="H786" s="654"/>
      <c r="I786" s="650"/>
      <c r="J786" s="650"/>
      <c r="K786" s="655"/>
      <c r="L786" s="655"/>
      <c r="M786" s="655"/>
      <c r="N786" s="655"/>
      <c r="O786" s="655"/>
      <c r="P786" s="655"/>
      <c r="Q786" s="655"/>
      <c r="R786" s="655"/>
      <c r="S786" s="655"/>
      <c r="T786" s="655"/>
      <c r="U786" s="655"/>
      <c r="V786" s="655"/>
      <c r="W786" s="655"/>
      <c r="X786" s="655"/>
      <c r="Y786" s="655"/>
      <c r="Z786" s="655"/>
    </row>
    <row r="787">
      <c r="B787" s="462"/>
      <c r="C787" s="671"/>
      <c r="D787" s="462"/>
      <c r="E787" s="654"/>
      <c r="F787" s="650"/>
      <c r="G787" s="654"/>
      <c r="H787" s="654"/>
      <c r="I787" s="650"/>
      <c r="J787" s="650"/>
      <c r="K787" s="655"/>
      <c r="L787" s="655"/>
      <c r="M787" s="655"/>
      <c r="N787" s="655"/>
      <c r="O787" s="655"/>
      <c r="P787" s="655"/>
      <c r="Q787" s="655"/>
      <c r="R787" s="655"/>
      <c r="S787" s="655"/>
      <c r="T787" s="655"/>
      <c r="U787" s="655"/>
      <c r="V787" s="655"/>
      <c r="W787" s="655"/>
      <c r="X787" s="655"/>
      <c r="Y787" s="655"/>
      <c r="Z787" s="655"/>
    </row>
    <row r="788">
      <c r="B788" s="462"/>
      <c r="C788" s="671"/>
      <c r="D788" s="462"/>
      <c r="E788" s="654"/>
      <c r="F788" s="650"/>
      <c r="G788" s="654"/>
      <c r="H788" s="654"/>
      <c r="I788" s="650"/>
      <c r="J788" s="650"/>
      <c r="K788" s="655"/>
      <c r="L788" s="655"/>
      <c r="M788" s="655"/>
      <c r="N788" s="655"/>
      <c r="O788" s="655"/>
      <c r="P788" s="655"/>
      <c r="Q788" s="655"/>
      <c r="R788" s="655"/>
      <c r="S788" s="655"/>
      <c r="T788" s="655"/>
      <c r="U788" s="655"/>
      <c r="V788" s="655"/>
      <c r="W788" s="655"/>
      <c r="X788" s="655"/>
      <c r="Y788" s="655"/>
      <c r="Z788" s="655"/>
    </row>
    <row r="789">
      <c r="B789" s="462"/>
      <c r="C789" s="671"/>
      <c r="D789" s="462"/>
      <c r="E789" s="654"/>
      <c r="F789" s="650"/>
      <c r="G789" s="654"/>
      <c r="H789" s="654"/>
      <c r="I789" s="650"/>
      <c r="J789" s="650"/>
      <c r="K789" s="655"/>
      <c r="L789" s="655"/>
      <c r="M789" s="655"/>
      <c r="N789" s="655"/>
      <c r="O789" s="655"/>
      <c r="P789" s="655"/>
      <c r="Q789" s="655"/>
      <c r="R789" s="655"/>
      <c r="S789" s="655"/>
      <c r="T789" s="655"/>
      <c r="U789" s="655"/>
      <c r="V789" s="655"/>
      <c r="W789" s="655"/>
      <c r="X789" s="655"/>
      <c r="Y789" s="655"/>
      <c r="Z789" s="655"/>
    </row>
    <row r="790">
      <c r="B790" s="462"/>
      <c r="C790" s="671"/>
      <c r="D790" s="462"/>
      <c r="E790" s="654"/>
      <c r="F790" s="650"/>
      <c r="G790" s="654"/>
      <c r="H790" s="654"/>
      <c r="I790" s="650"/>
      <c r="J790" s="650"/>
      <c r="K790" s="655"/>
      <c r="L790" s="655"/>
      <c r="M790" s="655"/>
      <c r="N790" s="655"/>
      <c r="O790" s="655"/>
      <c r="P790" s="655"/>
      <c r="Q790" s="655"/>
      <c r="R790" s="655"/>
      <c r="S790" s="655"/>
      <c r="T790" s="655"/>
      <c r="U790" s="655"/>
      <c r="V790" s="655"/>
      <c r="W790" s="655"/>
      <c r="X790" s="655"/>
      <c r="Y790" s="655"/>
      <c r="Z790" s="655"/>
    </row>
    <row r="791">
      <c r="B791" s="462"/>
      <c r="C791" s="671"/>
      <c r="D791" s="462"/>
      <c r="E791" s="654"/>
      <c r="F791" s="650"/>
      <c r="G791" s="654"/>
      <c r="H791" s="654"/>
      <c r="I791" s="650"/>
      <c r="J791" s="650"/>
      <c r="K791" s="655"/>
      <c r="L791" s="655"/>
      <c r="M791" s="655"/>
      <c r="N791" s="655"/>
      <c r="O791" s="655"/>
      <c r="P791" s="655"/>
      <c r="Q791" s="655"/>
      <c r="R791" s="655"/>
      <c r="S791" s="655"/>
      <c r="T791" s="655"/>
      <c r="U791" s="655"/>
      <c r="V791" s="655"/>
      <c r="W791" s="655"/>
      <c r="X791" s="655"/>
      <c r="Y791" s="655"/>
      <c r="Z791" s="655"/>
    </row>
    <row r="792">
      <c r="B792" s="462"/>
      <c r="C792" s="671"/>
      <c r="D792" s="462"/>
      <c r="E792" s="654"/>
      <c r="F792" s="650"/>
      <c r="G792" s="654"/>
      <c r="H792" s="654"/>
      <c r="I792" s="650"/>
      <c r="J792" s="650"/>
      <c r="K792" s="655"/>
      <c r="L792" s="655"/>
      <c r="M792" s="655"/>
      <c r="N792" s="655"/>
      <c r="O792" s="655"/>
      <c r="P792" s="655"/>
      <c r="Q792" s="655"/>
      <c r="R792" s="655"/>
      <c r="S792" s="655"/>
      <c r="T792" s="655"/>
      <c r="U792" s="655"/>
      <c r="V792" s="655"/>
      <c r="W792" s="655"/>
      <c r="X792" s="655"/>
      <c r="Y792" s="655"/>
      <c r="Z792" s="655"/>
    </row>
    <row r="793">
      <c r="B793" s="462"/>
      <c r="C793" s="671"/>
      <c r="D793" s="462"/>
      <c r="E793" s="654"/>
      <c r="F793" s="650"/>
      <c r="G793" s="654"/>
      <c r="H793" s="654"/>
      <c r="I793" s="650"/>
      <c r="J793" s="650"/>
      <c r="K793" s="655"/>
      <c r="L793" s="655"/>
      <c r="M793" s="655"/>
      <c r="N793" s="655"/>
      <c r="O793" s="655"/>
      <c r="P793" s="655"/>
      <c r="Q793" s="655"/>
      <c r="R793" s="655"/>
      <c r="S793" s="655"/>
      <c r="T793" s="655"/>
      <c r="U793" s="655"/>
      <c r="V793" s="655"/>
      <c r="W793" s="655"/>
      <c r="X793" s="655"/>
      <c r="Y793" s="655"/>
      <c r="Z793" s="655"/>
    </row>
    <row r="794">
      <c r="B794" s="462"/>
      <c r="C794" s="671"/>
      <c r="D794" s="462"/>
      <c r="E794" s="654"/>
      <c r="F794" s="650"/>
      <c r="G794" s="654"/>
      <c r="H794" s="654"/>
      <c r="I794" s="650"/>
      <c r="J794" s="650"/>
      <c r="K794" s="655"/>
      <c r="L794" s="655"/>
      <c r="M794" s="655"/>
      <c r="N794" s="655"/>
      <c r="O794" s="655"/>
      <c r="P794" s="655"/>
      <c r="Q794" s="655"/>
      <c r="R794" s="655"/>
      <c r="S794" s="655"/>
      <c r="T794" s="655"/>
      <c r="U794" s="655"/>
      <c r="V794" s="655"/>
      <c r="W794" s="655"/>
      <c r="X794" s="655"/>
      <c r="Y794" s="655"/>
      <c r="Z794" s="655"/>
    </row>
    <row r="795">
      <c r="B795" s="462"/>
      <c r="C795" s="671"/>
      <c r="D795" s="462"/>
      <c r="E795" s="654"/>
      <c r="F795" s="650"/>
      <c r="G795" s="654"/>
      <c r="H795" s="654"/>
      <c r="I795" s="650"/>
      <c r="J795" s="650"/>
      <c r="K795" s="655"/>
      <c r="L795" s="655"/>
      <c r="M795" s="655"/>
      <c r="N795" s="655"/>
      <c r="O795" s="655"/>
      <c r="P795" s="655"/>
      <c r="Q795" s="655"/>
      <c r="R795" s="655"/>
      <c r="S795" s="655"/>
      <c r="T795" s="655"/>
      <c r="U795" s="655"/>
      <c r="V795" s="655"/>
      <c r="W795" s="655"/>
      <c r="X795" s="655"/>
      <c r="Y795" s="655"/>
      <c r="Z795" s="655"/>
    </row>
    <row r="796">
      <c r="B796" s="462"/>
      <c r="C796" s="671"/>
      <c r="D796" s="462"/>
      <c r="E796" s="654"/>
      <c r="F796" s="650"/>
      <c r="G796" s="654"/>
      <c r="H796" s="654"/>
      <c r="I796" s="650"/>
      <c r="J796" s="650"/>
      <c r="K796" s="655"/>
      <c r="L796" s="655"/>
      <c r="M796" s="655"/>
      <c r="N796" s="655"/>
      <c r="O796" s="655"/>
      <c r="P796" s="655"/>
      <c r="Q796" s="655"/>
      <c r="R796" s="655"/>
      <c r="S796" s="655"/>
      <c r="T796" s="655"/>
      <c r="U796" s="655"/>
      <c r="V796" s="655"/>
      <c r="W796" s="655"/>
      <c r="X796" s="655"/>
      <c r="Y796" s="655"/>
      <c r="Z796" s="655"/>
    </row>
    <row r="797">
      <c r="B797" s="462"/>
      <c r="C797" s="671"/>
      <c r="D797" s="462"/>
      <c r="E797" s="654"/>
      <c r="F797" s="650"/>
      <c r="G797" s="654"/>
      <c r="H797" s="654"/>
      <c r="I797" s="650"/>
      <c r="J797" s="650"/>
      <c r="K797" s="655"/>
      <c r="L797" s="655"/>
      <c r="M797" s="655"/>
      <c r="N797" s="655"/>
      <c r="O797" s="655"/>
      <c r="P797" s="655"/>
      <c r="Q797" s="655"/>
      <c r="R797" s="655"/>
      <c r="S797" s="655"/>
      <c r="T797" s="655"/>
      <c r="U797" s="655"/>
      <c r="V797" s="655"/>
      <c r="W797" s="655"/>
      <c r="X797" s="655"/>
      <c r="Y797" s="655"/>
      <c r="Z797" s="655"/>
    </row>
    <row r="798">
      <c r="B798" s="462"/>
      <c r="C798" s="671"/>
      <c r="D798" s="462"/>
      <c r="E798" s="654"/>
      <c r="F798" s="650"/>
      <c r="G798" s="654"/>
      <c r="H798" s="654"/>
      <c r="I798" s="650"/>
      <c r="J798" s="650"/>
      <c r="K798" s="655"/>
      <c r="L798" s="655"/>
      <c r="M798" s="655"/>
      <c r="N798" s="655"/>
      <c r="O798" s="655"/>
      <c r="P798" s="655"/>
      <c r="Q798" s="655"/>
      <c r="R798" s="655"/>
      <c r="S798" s="655"/>
      <c r="T798" s="655"/>
      <c r="U798" s="655"/>
      <c r="V798" s="655"/>
      <c r="W798" s="655"/>
      <c r="X798" s="655"/>
      <c r="Y798" s="655"/>
      <c r="Z798" s="655"/>
    </row>
    <row r="799">
      <c r="B799" s="462"/>
      <c r="C799" s="671"/>
      <c r="D799" s="462"/>
      <c r="E799" s="654"/>
      <c r="F799" s="650"/>
      <c r="G799" s="654"/>
      <c r="H799" s="654"/>
      <c r="I799" s="650"/>
      <c r="J799" s="650"/>
      <c r="K799" s="655"/>
      <c r="L799" s="655"/>
      <c r="M799" s="655"/>
      <c r="N799" s="655"/>
      <c r="O799" s="655"/>
      <c r="P799" s="655"/>
      <c r="Q799" s="655"/>
      <c r="R799" s="655"/>
      <c r="S799" s="655"/>
      <c r="T799" s="655"/>
      <c r="U799" s="655"/>
      <c r="V799" s="655"/>
      <c r="W799" s="655"/>
      <c r="X799" s="655"/>
      <c r="Y799" s="655"/>
      <c r="Z799" s="655"/>
    </row>
    <row r="800">
      <c r="B800" s="462"/>
      <c r="C800" s="671"/>
      <c r="D800" s="462"/>
      <c r="E800" s="654"/>
      <c r="F800" s="650"/>
      <c r="G800" s="654"/>
      <c r="H800" s="654"/>
      <c r="I800" s="650"/>
      <c r="J800" s="650"/>
      <c r="K800" s="655"/>
      <c r="L800" s="655"/>
      <c r="M800" s="655"/>
      <c r="N800" s="655"/>
      <c r="O800" s="655"/>
      <c r="P800" s="655"/>
      <c r="Q800" s="655"/>
      <c r="R800" s="655"/>
      <c r="S800" s="655"/>
      <c r="T800" s="655"/>
      <c r="U800" s="655"/>
      <c r="V800" s="655"/>
      <c r="W800" s="655"/>
      <c r="X800" s="655"/>
      <c r="Y800" s="655"/>
      <c r="Z800" s="655"/>
    </row>
    <row r="801">
      <c r="B801" s="462"/>
      <c r="C801" s="671"/>
      <c r="D801" s="462"/>
      <c r="E801" s="654"/>
      <c r="F801" s="650"/>
      <c r="G801" s="654"/>
      <c r="H801" s="654"/>
      <c r="I801" s="650"/>
      <c r="J801" s="650"/>
      <c r="K801" s="655"/>
      <c r="L801" s="655"/>
      <c r="M801" s="655"/>
      <c r="N801" s="655"/>
      <c r="O801" s="655"/>
      <c r="P801" s="655"/>
      <c r="Q801" s="655"/>
      <c r="R801" s="655"/>
      <c r="S801" s="655"/>
      <c r="T801" s="655"/>
      <c r="U801" s="655"/>
      <c r="V801" s="655"/>
      <c r="W801" s="655"/>
      <c r="X801" s="655"/>
      <c r="Y801" s="655"/>
      <c r="Z801" s="655"/>
    </row>
    <row r="802">
      <c r="B802" s="462"/>
      <c r="C802" s="671"/>
      <c r="D802" s="462"/>
      <c r="E802" s="654"/>
      <c r="F802" s="650"/>
      <c r="G802" s="654"/>
      <c r="H802" s="654"/>
      <c r="I802" s="650"/>
      <c r="J802" s="650"/>
      <c r="K802" s="655"/>
      <c r="L802" s="655"/>
      <c r="M802" s="655"/>
      <c r="N802" s="655"/>
      <c r="O802" s="655"/>
      <c r="P802" s="655"/>
      <c r="Q802" s="655"/>
      <c r="R802" s="655"/>
      <c r="S802" s="655"/>
      <c r="T802" s="655"/>
      <c r="U802" s="655"/>
      <c r="V802" s="655"/>
      <c r="W802" s="655"/>
      <c r="X802" s="655"/>
      <c r="Y802" s="655"/>
      <c r="Z802" s="655"/>
    </row>
    <row r="803">
      <c r="B803" s="462"/>
      <c r="C803" s="671"/>
      <c r="D803" s="462"/>
      <c r="E803" s="654"/>
      <c r="F803" s="650"/>
      <c r="G803" s="654"/>
      <c r="H803" s="654"/>
      <c r="I803" s="650"/>
      <c r="J803" s="650"/>
      <c r="K803" s="655"/>
      <c r="L803" s="655"/>
      <c r="M803" s="655"/>
      <c r="N803" s="655"/>
      <c r="O803" s="655"/>
      <c r="P803" s="655"/>
      <c r="Q803" s="655"/>
      <c r="R803" s="655"/>
      <c r="S803" s="655"/>
      <c r="T803" s="655"/>
      <c r="U803" s="655"/>
      <c r="V803" s="655"/>
      <c r="W803" s="655"/>
      <c r="X803" s="655"/>
      <c r="Y803" s="655"/>
      <c r="Z803" s="655"/>
    </row>
    <row r="804">
      <c r="B804" s="462"/>
      <c r="C804" s="671"/>
      <c r="D804" s="462"/>
      <c r="E804" s="654"/>
      <c r="F804" s="650"/>
      <c r="G804" s="654"/>
      <c r="H804" s="654"/>
      <c r="I804" s="650"/>
      <c r="J804" s="650"/>
      <c r="K804" s="655"/>
      <c r="L804" s="655"/>
      <c r="M804" s="655"/>
      <c r="N804" s="655"/>
      <c r="O804" s="655"/>
      <c r="P804" s="655"/>
      <c r="Q804" s="655"/>
      <c r="R804" s="655"/>
      <c r="S804" s="655"/>
      <c r="T804" s="655"/>
      <c r="U804" s="655"/>
      <c r="V804" s="655"/>
      <c r="W804" s="655"/>
      <c r="X804" s="655"/>
      <c r="Y804" s="655"/>
      <c r="Z804" s="655"/>
    </row>
    <row r="805">
      <c r="B805" s="462"/>
      <c r="C805" s="671"/>
      <c r="D805" s="462"/>
      <c r="E805" s="654"/>
      <c r="F805" s="650"/>
      <c r="G805" s="654"/>
      <c r="H805" s="654"/>
      <c r="I805" s="650"/>
      <c r="J805" s="650"/>
      <c r="K805" s="655"/>
      <c r="L805" s="655"/>
      <c r="M805" s="655"/>
      <c r="N805" s="655"/>
      <c r="O805" s="655"/>
      <c r="P805" s="655"/>
      <c r="Q805" s="655"/>
      <c r="R805" s="655"/>
      <c r="S805" s="655"/>
      <c r="T805" s="655"/>
      <c r="U805" s="655"/>
      <c r="V805" s="655"/>
      <c r="W805" s="655"/>
      <c r="X805" s="655"/>
      <c r="Y805" s="655"/>
      <c r="Z805" s="655"/>
    </row>
    <row r="806">
      <c r="B806" s="462"/>
      <c r="C806" s="671"/>
      <c r="D806" s="462"/>
      <c r="E806" s="654"/>
      <c r="F806" s="650"/>
      <c r="G806" s="654"/>
      <c r="H806" s="654"/>
      <c r="I806" s="650"/>
      <c r="J806" s="650"/>
      <c r="K806" s="655"/>
      <c r="L806" s="655"/>
      <c r="M806" s="655"/>
      <c r="N806" s="655"/>
      <c r="O806" s="655"/>
      <c r="P806" s="655"/>
      <c r="Q806" s="655"/>
      <c r="R806" s="655"/>
      <c r="S806" s="655"/>
      <c r="T806" s="655"/>
      <c r="U806" s="655"/>
      <c r="V806" s="655"/>
      <c r="W806" s="655"/>
      <c r="X806" s="655"/>
      <c r="Y806" s="655"/>
      <c r="Z806" s="655"/>
    </row>
    <row r="807">
      <c r="B807" s="462"/>
      <c r="C807" s="671"/>
      <c r="D807" s="462"/>
      <c r="E807" s="654"/>
      <c r="F807" s="650"/>
      <c r="G807" s="654"/>
      <c r="H807" s="654"/>
      <c r="I807" s="650"/>
      <c r="J807" s="650"/>
      <c r="K807" s="655"/>
      <c r="L807" s="655"/>
      <c r="M807" s="655"/>
      <c r="N807" s="655"/>
      <c r="O807" s="655"/>
      <c r="P807" s="655"/>
      <c r="Q807" s="655"/>
      <c r="R807" s="655"/>
      <c r="S807" s="655"/>
      <c r="T807" s="655"/>
      <c r="U807" s="655"/>
      <c r="V807" s="655"/>
      <c r="W807" s="655"/>
      <c r="X807" s="655"/>
      <c r="Y807" s="655"/>
      <c r="Z807" s="655"/>
    </row>
    <row r="808">
      <c r="B808" s="462"/>
      <c r="C808" s="671"/>
      <c r="D808" s="462"/>
      <c r="E808" s="654"/>
      <c r="F808" s="650"/>
      <c r="G808" s="654"/>
      <c r="H808" s="654"/>
      <c r="I808" s="650"/>
      <c r="J808" s="650"/>
      <c r="K808" s="655"/>
      <c r="L808" s="655"/>
      <c r="M808" s="655"/>
      <c r="N808" s="655"/>
      <c r="O808" s="655"/>
      <c r="P808" s="655"/>
      <c r="Q808" s="655"/>
      <c r="R808" s="655"/>
      <c r="S808" s="655"/>
      <c r="T808" s="655"/>
      <c r="U808" s="655"/>
      <c r="V808" s="655"/>
      <c r="W808" s="655"/>
      <c r="X808" s="655"/>
      <c r="Y808" s="655"/>
      <c r="Z808" s="655"/>
    </row>
    <row r="809">
      <c r="B809" s="462"/>
      <c r="C809" s="671"/>
      <c r="D809" s="462"/>
      <c r="E809" s="654"/>
      <c r="F809" s="650"/>
      <c r="G809" s="654"/>
      <c r="H809" s="654"/>
      <c r="I809" s="650"/>
      <c r="J809" s="650"/>
      <c r="K809" s="655"/>
      <c r="L809" s="655"/>
      <c r="M809" s="655"/>
      <c r="N809" s="655"/>
      <c r="O809" s="655"/>
      <c r="P809" s="655"/>
      <c r="Q809" s="655"/>
      <c r="R809" s="655"/>
      <c r="S809" s="655"/>
      <c r="T809" s="655"/>
      <c r="U809" s="655"/>
      <c r="V809" s="655"/>
      <c r="W809" s="655"/>
      <c r="X809" s="655"/>
      <c r="Y809" s="655"/>
      <c r="Z809" s="655"/>
    </row>
    <row r="810">
      <c r="B810" s="462"/>
      <c r="C810" s="671"/>
      <c r="D810" s="462"/>
      <c r="E810" s="654"/>
      <c r="F810" s="650"/>
      <c r="G810" s="654"/>
      <c r="H810" s="654"/>
      <c r="I810" s="650"/>
      <c r="J810" s="650"/>
      <c r="K810" s="655"/>
      <c r="L810" s="655"/>
      <c r="M810" s="655"/>
      <c r="N810" s="655"/>
      <c r="O810" s="655"/>
      <c r="P810" s="655"/>
      <c r="Q810" s="655"/>
      <c r="R810" s="655"/>
      <c r="S810" s="655"/>
      <c r="T810" s="655"/>
      <c r="U810" s="655"/>
      <c r="V810" s="655"/>
      <c r="W810" s="655"/>
      <c r="X810" s="655"/>
      <c r="Y810" s="655"/>
      <c r="Z810" s="655"/>
    </row>
    <row r="811">
      <c r="B811" s="462"/>
      <c r="C811" s="671"/>
      <c r="D811" s="462"/>
      <c r="E811" s="654"/>
      <c r="F811" s="650"/>
      <c r="G811" s="654"/>
      <c r="H811" s="654"/>
      <c r="I811" s="650"/>
      <c r="J811" s="650"/>
      <c r="K811" s="655"/>
      <c r="L811" s="655"/>
      <c r="M811" s="655"/>
      <c r="N811" s="655"/>
      <c r="O811" s="655"/>
      <c r="P811" s="655"/>
      <c r="Q811" s="655"/>
      <c r="R811" s="655"/>
      <c r="S811" s="655"/>
      <c r="T811" s="655"/>
      <c r="U811" s="655"/>
      <c r="V811" s="655"/>
      <c r="W811" s="655"/>
      <c r="X811" s="655"/>
      <c r="Y811" s="655"/>
      <c r="Z811" s="655"/>
    </row>
    <row r="812">
      <c r="B812" s="462"/>
      <c r="C812" s="671"/>
      <c r="D812" s="462"/>
      <c r="E812" s="654"/>
      <c r="F812" s="650"/>
      <c r="G812" s="654"/>
      <c r="H812" s="654"/>
      <c r="I812" s="650"/>
      <c r="J812" s="650"/>
      <c r="K812" s="655"/>
      <c r="L812" s="655"/>
      <c r="M812" s="655"/>
      <c r="N812" s="655"/>
      <c r="O812" s="655"/>
      <c r="P812" s="655"/>
      <c r="Q812" s="655"/>
      <c r="R812" s="655"/>
      <c r="S812" s="655"/>
      <c r="T812" s="655"/>
      <c r="U812" s="655"/>
      <c r="V812" s="655"/>
      <c r="W812" s="655"/>
      <c r="X812" s="655"/>
      <c r="Y812" s="655"/>
      <c r="Z812" s="655"/>
    </row>
    <row r="813">
      <c r="B813" s="462"/>
      <c r="C813" s="671"/>
      <c r="D813" s="462"/>
      <c r="E813" s="654"/>
      <c r="F813" s="650"/>
      <c r="G813" s="654"/>
      <c r="H813" s="654"/>
      <c r="I813" s="650"/>
      <c r="J813" s="650"/>
      <c r="K813" s="655"/>
      <c r="L813" s="655"/>
      <c r="M813" s="655"/>
      <c r="N813" s="655"/>
      <c r="O813" s="655"/>
      <c r="P813" s="655"/>
      <c r="Q813" s="655"/>
      <c r="R813" s="655"/>
      <c r="S813" s="655"/>
      <c r="T813" s="655"/>
      <c r="U813" s="655"/>
      <c r="V813" s="655"/>
      <c r="W813" s="655"/>
      <c r="X813" s="655"/>
      <c r="Y813" s="655"/>
      <c r="Z813" s="655"/>
    </row>
    <row r="814">
      <c r="B814" s="462"/>
      <c r="C814" s="671"/>
      <c r="D814" s="462"/>
      <c r="E814" s="654"/>
      <c r="F814" s="650"/>
      <c r="G814" s="654"/>
      <c r="H814" s="654"/>
      <c r="I814" s="650"/>
      <c r="J814" s="650"/>
      <c r="K814" s="655"/>
      <c r="L814" s="655"/>
      <c r="M814" s="655"/>
      <c r="N814" s="655"/>
      <c r="O814" s="655"/>
      <c r="P814" s="655"/>
      <c r="Q814" s="655"/>
      <c r="R814" s="655"/>
      <c r="S814" s="655"/>
      <c r="T814" s="655"/>
      <c r="U814" s="655"/>
      <c r="V814" s="655"/>
      <c r="W814" s="655"/>
      <c r="X814" s="655"/>
      <c r="Y814" s="655"/>
      <c r="Z814" s="655"/>
    </row>
    <row r="815">
      <c r="B815" s="462"/>
      <c r="C815" s="671"/>
      <c r="D815" s="462"/>
      <c r="E815" s="654"/>
      <c r="F815" s="650"/>
      <c r="G815" s="654"/>
      <c r="H815" s="654"/>
      <c r="I815" s="650"/>
      <c r="J815" s="650"/>
      <c r="K815" s="655"/>
      <c r="L815" s="655"/>
      <c r="M815" s="655"/>
      <c r="N815" s="655"/>
      <c r="O815" s="655"/>
      <c r="P815" s="655"/>
      <c r="Q815" s="655"/>
      <c r="R815" s="655"/>
      <c r="S815" s="655"/>
      <c r="T815" s="655"/>
      <c r="U815" s="655"/>
      <c r="V815" s="655"/>
      <c r="W815" s="655"/>
      <c r="X815" s="655"/>
      <c r="Y815" s="655"/>
      <c r="Z815" s="655"/>
    </row>
    <row r="816">
      <c r="B816" s="462"/>
      <c r="C816" s="671"/>
      <c r="D816" s="462"/>
      <c r="E816" s="654"/>
      <c r="F816" s="650"/>
      <c r="G816" s="654"/>
      <c r="H816" s="654"/>
      <c r="I816" s="650"/>
      <c r="J816" s="650"/>
      <c r="K816" s="655"/>
      <c r="L816" s="655"/>
      <c r="M816" s="655"/>
      <c r="N816" s="655"/>
      <c r="O816" s="655"/>
      <c r="P816" s="655"/>
      <c r="Q816" s="655"/>
      <c r="R816" s="655"/>
      <c r="S816" s="655"/>
      <c r="T816" s="655"/>
      <c r="U816" s="655"/>
      <c r="V816" s="655"/>
      <c r="W816" s="655"/>
      <c r="X816" s="655"/>
      <c r="Y816" s="655"/>
      <c r="Z816" s="655"/>
    </row>
    <row r="817">
      <c r="B817" s="462"/>
      <c r="C817" s="671"/>
      <c r="D817" s="462"/>
      <c r="E817" s="654"/>
      <c r="F817" s="650"/>
      <c r="G817" s="654"/>
      <c r="H817" s="654"/>
      <c r="I817" s="650"/>
      <c r="J817" s="650"/>
      <c r="K817" s="655"/>
      <c r="L817" s="655"/>
      <c r="M817" s="655"/>
      <c r="N817" s="655"/>
      <c r="O817" s="655"/>
      <c r="P817" s="655"/>
      <c r="Q817" s="655"/>
      <c r="R817" s="655"/>
      <c r="S817" s="655"/>
      <c r="T817" s="655"/>
      <c r="U817" s="655"/>
      <c r="V817" s="655"/>
      <c r="W817" s="655"/>
      <c r="X817" s="655"/>
      <c r="Y817" s="655"/>
      <c r="Z817" s="655"/>
    </row>
    <row r="818">
      <c r="B818" s="462"/>
      <c r="C818" s="671"/>
      <c r="D818" s="462"/>
      <c r="E818" s="654"/>
      <c r="F818" s="650"/>
      <c r="G818" s="654"/>
      <c r="H818" s="654"/>
      <c r="I818" s="650"/>
      <c r="J818" s="650"/>
      <c r="K818" s="655"/>
      <c r="L818" s="655"/>
      <c r="M818" s="655"/>
      <c r="N818" s="655"/>
      <c r="O818" s="655"/>
      <c r="P818" s="655"/>
      <c r="Q818" s="655"/>
      <c r="R818" s="655"/>
      <c r="S818" s="655"/>
      <c r="T818" s="655"/>
      <c r="U818" s="655"/>
      <c r="V818" s="655"/>
      <c r="W818" s="655"/>
      <c r="X818" s="655"/>
      <c r="Y818" s="655"/>
      <c r="Z818" s="655"/>
    </row>
    <row r="819">
      <c r="B819" s="462"/>
      <c r="C819" s="671"/>
      <c r="D819" s="462"/>
      <c r="E819" s="654"/>
      <c r="F819" s="650"/>
      <c r="G819" s="654"/>
      <c r="H819" s="654"/>
      <c r="I819" s="650"/>
      <c r="J819" s="650"/>
      <c r="K819" s="655"/>
      <c r="L819" s="655"/>
      <c r="M819" s="655"/>
      <c r="N819" s="655"/>
      <c r="O819" s="655"/>
      <c r="P819" s="655"/>
      <c r="Q819" s="655"/>
      <c r="R819" s="655"/>
      <c r="S819" s="655"/>
      <c r="T819" s="655"/>
      <c r="U819" s="655"/>
      <c r="V819" s="655"/>
      <c r="W819" s="655"/>
      <c r="X819" s="655"/>
      <c r="Y819" s="655"/>
      <c r="Z819" s="655"/>
    </row>
    <row r="820">
      <c r="B820" s="462"/>
      <c r="C820" s="671"/>
      <c r="D820" s="462"/>
      <c r="E820" s="654"/>
      <c r="F820" s="650"/>
      <c r="G820" s="654"/>
      <c r="H820" s="654"/>
      <c r="I820" s="650"/>
      <c r="J820" s="650"/>
      <c r="K820" s="655"/>
      <c r="L820" s="655"/>
      <c r="M820" s="655"/>
      <c r="N820" s="655"/>
      <c r="O820" s="655"/>
      <c r="P820" s="655"/>
      <c r="Q820" s="655"/>
      <c r="R820" s="655"/>
      <c r="S820" s="655"/>
      <c r="T820" s="655"/>
      <c r="U820" s="655"/>
      <c r="V820" s="655"/>
      <c r="W820" s="655"/>
      <c r="X820" s="655"/>
      <c r="Y820" s="655"/>
      <c r="Z820" s="655"/>
    </row>
    <row r="821">
      <c r="B821" s="462"/>
      <c r="C821" s="671"/>
      <c r="D821" s="462"/>
      <c r="E821" s="654"/>
      <c r="F821" s="650"/>
      <c r="G821" s="654"/>
      <c r="H821" s="654"/>
      <c r="I821" s="650"/>
      <c r="J821" s="650"/>
      <c r="K821" s="655"/>
      <c r="L821" s="655"/>
      <c r="M821" s="655"/>
      <c r="N821" s="655"/>
      <c r="O821" s="655"/>
      <c r="P821" s="655"/>
      <c r="Q821" s="655"/>
      <c r="R821" s="655"/>
      <c r="S821" s="655"/>
      <c r="T821" s="655"/>
      <c r="U821" s="655"/>
      <c r="V821" s="655"/>
      <c r="W821" s="655"/>
      <c r="X821" s="655"/>
      <c r="Y821" s="655"/>
      <c r="Z821" s="655"/>
    </row>
    <row r="822">
      <c r="B822" s="462"/>
      <c r="C822" s="671"/>
      <c r="D822" s="462"/>
      <c r="E822" s="654"/>
      <c r="F822" s="650"/>
      <c r="G822" s="654"/>
      <c r="H822" s="654"/>
      <c r="I822" s="650"/>
      <c r="J822" s="650"/>
      <c r="K822" s="655"/>
      <c r="L822" s="655"/>
      <c r="M822" s="655"/>
      <c r="N822" s="655"/>
      <c r="O822" s="655"/>
      <c r="P822" s="655"/>
      <c r="Q822" s="655"/>
      <c r="R822" s="655"/>
      <c r="S822" s="655"/>
      <c r="T822" s="655"/>
      <c r="U822" s="655"/>
      <c r="V822" s="655"/>
      <c r="W822" s="655"/>
      <c r="X822" s="655"/>
      <c r="Y822" s="655"/>
      <c r="Z822" s="655"/>
    </row>
    <row r="823">
      <c r="B823" s="462"/>
      <c r="C823" s="671"/>
      <c r="D823" s="462"/>
      <c r="E823" s="654"/>
      <c r="F823" s="650"/>
      <c r="G823" s="654"/>
      <c r="H823" s="654"/>
      <c r="I823" s="650"/>
      <c r="J823" s="650"/>
      <c r="K823" s="655"/>
      <c r="L823" s="655"/>
      <c r="M823" s="655"/>
      <c r="N823" s="655"/>
      <c r="O823" s="655"/>
      <c r="P823" s="655"/>
      <c r="Q823" s="655"/>
      <c r="R823" s="655"/>
      <c r="S823" s="655"/>
      <c r="T823" s="655"/>
      <c r="U823" s="655"/>
      <c r="V823" s="655"/>
      <c r="W823" s="655"/>
      <c r="X823" s="655"/>
      <c r="Y823" s="655"/>
      <c r="Z823" s="655"/>
    </row>
    <row r="824">
      <c r="B824" s="462"/>
      <c r="C824" s="671"/>
      <c r="D824" s="462"/>
      <c r="E824" s="654"/>
      <c r="F824" s="650"/>
      <c r="G824" s="654"/>
      <c r="H824" s="654"/>
      <c r="I824" s="650"/>
      <c r="J824" s="650"/>
      <c r="K824" s="655"/>
      <c r="L824" s="655"/>
      <c r="M824" s="655"/>
      <c r="N824" s="655"/>
      <c r="O824" s="655"/>
      <c r="P824" s="655"/>
      <c r="Q824" s="655"/>
      <c r="R824" s="655"/>
      <c r="S824" s="655"/>
      <c r="T824" s="655"/>
      <c r="U824" s="655"/>
      <c r="V824" s="655"/>
      <c r="W824" s="655"/>
      <c r="X824" s="655"/>
      <c r="Y824" s="655"/>
      <c r="Z824" s="655"/>
    </row>
    <row r="825">
      <c r="B825" s="462"/>
      <c r="C825" s="671"/>
      <c r="D825" s="462"/>
      <c r="E825" s="654"/>
      <c r="F825" s="650"/>
      <c r="G825" s="654"/>
      <c r="H825" s="654"/>
      <c r="I825" s="650"/>
      <c r="J825" s="650"/>
      <c r="K825" s="655"/>
      <c r="L825" s="655"/>
      <c r="M825" s="655"/>
      <c r="N825" s="655"/>
      <c r="O825" s="655"/>
      <c r="P825" s="655"/>
      <c r="Q825" s="655"/>
      <c r="R825" s="655"/>
      <c r="S825" s="655"/>
      <c r="T825" s="655"/>
      <c r="U825" s="655"/>
      <c r="V825" s="655"/>
      <c r="W825" s="655"/>
      <c r="X825" s="655"/>
      <c r="Y825" s="655"/>
      <c r="Z825" s="655"/>
    </row>
    <row r="826">
      <c r="B826" s="462"/>
      <c r="C826" s="671"/>
      <c r="D826" s="462"/>
      <c r="E826" s="654"/>
      <c r="F826" s="650"/>
      <c r="G826" s="654"/>
      <c r="H826" s="654"/>
      <c r="I826" s="650"/>
      <c r="J826" s="650"/>
      <c r="K826" s="655"/>
      <c r="L826" s="655"/>
      <c r="M826" s="655"/>
      <c r="N826" s="655"/>
      <c r="O826" s="655"/>
      <c r="P826" s="655"/>
      <c r="Q826" s="655"/>
      <c r="R826" s="655"/>
      <c r="S826" s="655"/>
      <c r="T826" s="655"/>
      <c r="U826" s="655"/>
      <c r="V826" s="655"/>
      <c r="W826" s="655"/>
      <c r="X826" s="655"/>
      <c r="Y826" s="655"/>
      <c r="Z826" s="655"/>
    </row>
    <row r="827">
      <c r="B827" s="462"/>
      <c r="C827" s="671"/>
      <c r="D827" s="462"/>
      <c r="E827" s="654"/>
      <c r="F827" s="650"/>
      <c r="G827" s="654"/>
      <c r="H827" s="654"/>
      <c r="I827" s="650"/>
      <c r="J827" s="650"/>
      <c r="K827" s="655"/>
      <c r="L827" s="655"/>
      <c r="M827" s="655"/>
      <c r="N827" s="655"/>
      <c r="O827" s="655"/>
      <c r="P827" s="655"/>
      <c r="Q827" s="655"/>
      <c r="R827" s="655"/>
      <c r="S827" s="655"/>
      <c r="T827" s="655"/>
      <c r="U827" s="655"/>
      <c r="V827" s="655"/>
      <c r="W827" s="655"/>
      <c r="X827" s="655"/>
      <c r="Y827" s="655"/>
      <c r="Z827" s="655"/>
    </row>
    <row r="828">
      <c r="B828" s="462"/>
      <c r="C828" s="671"/>
      <c r="D828" s="462"/>
      <c r="E828" s="654"/>
      <c r="F828" s="650"/>
      <c r="G828" s="654"/>
      <c r="H828" s="654"/>
      <c r="I828" s="650"/>
      <c r="J828" s="650"/>
      <c r="K828" s="655"/>
      <c r="L828" s="655"/>
      <c r="M828" s="655"/>
      <c r="N828" s="655"/>
      <c r="O828" s="655"/>
      <c r="P828" s="655"/>
      <c r="Q828" s="655"/>
      <c r="R828" s="655"/>
      <c r="S828" s="655"/>
      <c r="T828" s="655"/>
      <c r="U828" s="655"/>
      <c r="V828" s="655"/>
      <c r="W828" s="655"/>
      <c r="X828" s="655"/>
      <c r="Y828" s="655"/>
      <c r="Z828" s="655"/>
    </row>
    <row r="829">
      <c r="B829" s="462"/>
      <c r="C829" s="671"/>
      <c r="D829" s="462"/>
      <c r="E829" s="654"/>
      <c r="F829" s="650"/>
      <c r="G829" s="654"/>
      <c r="H829" s="654"/>
      <c r="I829" s="650"/>
      <c r="J829" s="650"/>
      <c r="K829" s="655"/>
      <c r="L829" s="655"/>
      <c r="M829" s="655"/>
      <c r="N829" s="655"/>
      <c r="O829" s="655"/>
      <c r="P829" s="655"/>
      <c r="Q829" s="655"/>
      <c r="R829" s="655"/>
      <c r="S829" s="655"/>
      <c r="T829" s="655"/>
      <c r="U829" s="655"/>
      <c r="V829" s="655"/>
      <c r="W829" s="655"/>
      <c r="X829" s="655"/>
      <c r="Y829" s="655"/>
      <c r="Z829" s="655"/>
    </row>
    <row r="830">
      <c r="B830" s="462"/>
      <c r="C830" s="671"/>
      <c r="D830" s="462"/>
      <c r="E830" s="654"/>
      <c r="F830" s="650"/>
      <c r="G830" s="654"/>
      <c r="H830" s="654"/>
      <c r="I830" s="650"/>
      <c r="J830" s="650"/>
      <c r="K830" s="655"/>
      <c r="L830" s="655"/>
      <c r="M830" s="655"/>
      <c r="N830" s="655"/>
      <c r="O830" s="655"/>
      <c r="P830" s="655"/>
      <c r="Q830" s="655"/>
      <c r="R830" s="655"/>
      <c r="S830" s="655"/>
      <c r="T830" s="655"/>
      <c r="U830" s="655"/>
      <c r="V830" s="655"/>
      <c r="W830" s="655"/>
      <c r="X830" s="655"/>
      <c r="Y830" s="655"/>
      <c r="Z830" s="655"/>
    </row>
    <row r="831">
      <c r="B831" s="462"/>
      <c r="C831" s="671"/>
      <c r="D831" s="462"/>
      <c r="E831" s="654"/>
      <c r="F831" s="650"/>
      <c r="G831" s="654"/>
      <c r="H831" s="654"/>
      <c r="I831" s="650"/>
      <c r="J831" s="650"/>
      <c r="K831" s="655"/>
      <c r="L831" s="655"/>
      <c r="M831" s="655"/>
      <c r="N831" s="655"/>
      <c r="O831" s="655"/>
      <c r="P831" s="655"/>
      <c r="Q831" s="655"/>
      <c r="R831" s="655"/>
      <c r="S831" s="655"/>
      <c r="T831" s="655"/>
      <c r="U831" s="655"/>
      <c r="V831" s="655"/>
      <c r="W831" s="655"/>
      <c r="X831" s="655"/>
      <c r="Y831" s="655"/>
      <c r="Z831" s="655"/>
    </row>
    <row r="832">
      <c r="B832" s="462"/>
      <c r="C832" s="671"/>
      <c r="D832" s="462"/>
      <c r="E832" s="654"/>
      <c r="F832" s="650"/>
      <c r="G832" s="654"/>
      <c r="H832" s="654"/>
      <c r="I832" s="650"/>
      <c r="J832" s="650"/>
      <c r="K832" s="655"/>
      <c r="L832" s="655"/>
      <c r="M832" s="655"/>
      <c r="N832" s="655"/>
      <c r="O832" s="655"/>
      <c r="P832" s="655"/>
      <c r="Q832" s="655"/>
      <c r="R832" s="655"/>
      <c r="S832" s="655"/>
      <c r="T832" s="655"/>
      <c r="U832" s="655"/>
      <c r="V832" s="655"/>
      <c r="W832" s="655"/>
      <c r="X832" s="655"/>
      <c r="Y832" s="655"/>
      <c r="Z832" s="655"/>
    </row>
    <row r="833">
      <c r="B833" s="462"/>
      <c r="C833" s="671"/>
      <c r="D833" s="462"/>
      <c r="E833" s="654"/>
      <c r="F833" s="650"/>
      <c r="G833" s="654"/>
      <c r="H833" s="654"/>
      <c r="I833" s="650"/>
      <c r="J833" s="650"/>
      <c r="K833" s="655"/>
      <c r="L833" s="655"/>
      <c r="M833" s="655"/>
      <c r="N833" s="655"/>
      <c r="O833" s="655"/>
      <c r="P833" s="655"/>
      <c r="Q833" s="655"/>
      <c r="R833" s="655"/>
      <c r="S833" s="655"/>
      <c r="T833" s="655"/>
      <c r="U833" s="655"/>
      <c r="V833" s="655"/>
      <c r="W833" s="655"/>
      <c r="X833" s="655"/>
      <c r="Y833" s="655"/>
      <c r="Z833" s="655"/>
    </row>
    <row r="834">
      <c r="B834" s="462"/>
      <c r="C834" s="671"/>
      <c r="D834" s="462"/>
      <c r="E834" s="654"/>
      <c r="F834" s="650"/>
      <c r="G834" s="654"/>
      <c r="H834" s="654"/>
      <c r="I834" s="650"/>
      <c r="J834" s="650"/>
      <c r="K834" s="655"/>
      <c r="L834" s="655"/>
      <c r="M834" s="655"/>
      <c r="N834" s="655"/>
      <c r="O834" s="655"/>
      <c r="P834" s="655"/>
      <c r="Q834" s="655"/>
      <c r="R834" s="655"/>
      <c r="S834" s="655"/>
      <c r="T834" s="655"/>
      <c r="U834" s="655"/>
      <c r="V834" s="655"/>
      <c r="W834" s="655"/>
      <c r="X834" s="655"/>
      <c r="Y834" s="655"/>
      <c r="Z834" s="655"/>
    </row>
    <row r="835">
      <c r="B835" s="462"/>
      <c r="C835" s="671"/>
      <c r="D835" s="462"/>
      <c r="E835" s="654"/>
      <c r="F835" s="650"/>
      <c r="G835" s="654"/>
      <c r="H835" s="654"/>
      <c r="I835" s="650"/>
      <c r="J835" s="650"/>
      <c r="K835" s="655"/>
      <c r="L835" s="655"/>
      <c r="M835" s="655"/>
      <c r="N835" s="655"/>
      <c r="O835" s="655"/>
      <c r="P835" s="655"/>
      <c r="Q835" s="655"/>
      <c r="R835" s="655"/>
      <c r="S835" s="655"/>
      <c r="T835" s="655"/>
      <c r="U835" s="655"/>
      <c r="V835" s="655"/>
      <c r="W835" s="655"/>
      <c r="X835" s="655"/>
      <c r="Y835" s="655"/>
      <c r="Z835" s="655"/>
    </row>
    <row r="836">
      <c r="B836" s="462"/>
      <c r="C836" s="671"/>
      <c r="D836" s="462"/>
      <c r="E836" s="654"/>
      <c r="F836" s="650"/>
      <c r="G836" s="654"/>
      <c r="H836" s="654"/>
      <c r="I836" s="650"/>
      <c r="J836" s="650"/>
      <c r="K836" s="655"/>
      <c r="L836" s="655"/>
      <c r="M836" s="655"/>
      <c r="N836" s="655"/>
      <c r="O836" s="655"/>
      <c r="P836" s="655"/>
      <c r="Q836" s="655"/>
      <c r="R836" s="655"/>
      <c r="S836" s="655"/>
      <c r="T836" s="655"/>
      <c r="U836" s="655"/>
      <c r="V836" s="655"/>
      <c r="W836" s="655"/>
      <c r="X836" s="655"/>
      <c r="Y836" s="655"/>
      <c r="Z836" s="655"/>
    </row>
    <row r="837">
      <c r="B837" s="462"/>
      <c r="C837" s="671"/>
      <c r="D837" s="462"/>
      <c r="E837" s="654"/>
      <c r="F837" s="650"/>
      <c r="G837" s="654"/>
      <c r="H837" s="654"/>
      <c r="I837" s="650"/>
      <c r="J837" s="650"/>
      <c r="K837" s="655"/>
      <c r="L837" s="655"/>
      <c r="M837" s="655"/>
      <c r="N837" s="655"/>
      <c r="O837" s="655"/>
      <c r="P837" s="655"/>
      <c r="Q837" s="655"/>
      <c r="R837" s="655"/>
      <c r="S837" s="655"/>
      <c r="T837" s="655"/>
      <c r="U837" s="655"/>
      <c r="V837" s="655"/>
      <c r="W837" s="655"/>
      <c r="X837" s="655"/>
      <c r="Y837" s="655"/>
      <c r="Z837" s="655"/>
    </row>
    <row r="838">
      <c r="B838" s="462"/>
      <c r="C838" s="671"/>
      <c r="D838" s="462"/>
      <c r="E838" s="654"/>
      <c r="F838" s="650"/>
      <c r="G838" s="654"/>
      <c r="H838" s="654"/>
      <c r="I838" s="650"/>
      <c r="J838" s="650"/>
      <c r="K838" s="655"/>
      <c r="L838" s="655"/>
      <c r="M838" s="655"/>
      <c r="N838" s="655"/>
      <c r="O838" s="655"/>
      <c r="P838" s="655"/>
      <c r="Q838" s="655"/>
      <c r="R838" s="655"/>
      <c r="S838" s="655"/>
      <c r="T838" s="655"/>
      <c r="U838" s="655"/>
      <c r="V838" s="655"/>
      <c r="W838" s="655"/>
      <c r="X838" s="655"/>
      <c r="Y838" s="655"/>
      <c r="Z838" s="655"/>
    </row>
    <row r="839">
      <c r="B839" s="462"/>
      <c r="C839" s="671"/>
      <c r="D839" s="462"/>
      <c r="E839" s="654"/>
      <c r="F839" s="650"/>
      <c r="G839" s="654"/>
      <c r="H839" s="654"/>
      <c r="I839" s="650"/>
      <c r="J839" s="650"/>
      <c r="K839" s="655"/>
      <c r="L839" s="655"/>
      <c r="M839" s="655"/>
      <c r="N839" s="655"/>
      <c r="O839" s="655"/>
      <c r="P839" s="655"/>
      <c r="Q839" s="655"/>
      <c r="R839" s="655"/>
      <c r="S839" s="655"/>
      <c r="T839" s="655"/>
      <c r="U839" s="655"/>
      <c r="V839" s="655"/>
      <c r="W839" s="655"/>
      <c r="X839" s="655"/>
      <c r="Y839" s="655"/>
      <c r="Z839" s="655"/>
    </row>
    <row r="840">
      <c r="B840" s="462"/>
      <c r="C840" s="671"/>
      <c r="D840" s="462"/>
      <c r="E840" s="654"/>
      <c r="F840" s="650"/>
      <c r="G840" s="654"/>
      <c r="H840" s="654"/>
      <c r="I840" s="650"/>
      <c r="J840" s="650"/>
      <c r="K840" s="655"/>
      <c r="L840" s="655"/>
      <c r="M840" s="655"/>
      <c r="N840" s="655"/>
      <c r="O840" s="655"/>
      <c r="P840" s="655"/>
      <c r="Q840" s="655"/>
      <c r="R840" s="655"/>
      <c r="S840" s="655"/>
      <c r="T840" s="655"/>
      <c r="U840" s="655"/>
      <c r="V840" s="655"/>
      <c r="W840" s="655"/>
      <c r="X840" s="655"/>
      <c r="Y840" s="655"/>
      <c r="Z840" s="655"/>
    </row>
    <row r="841">
      <c r="B841" s="462"/>
      <c r="C841" s="671"/>
      <c r="D841" s="462"/>
      <c r="E841" s="654"/>
      <c r="F841" s="650"/>
      <c r="G841" s="654"/>
      <c r="H841" s="654"/>
      <c r="I841" s="650"/>
      <c r="J841" s="650"/>
      <c r="K841" s="655"/>
      <c r="L841" s="655"/>
      <c r="M841" s="655"/>
      <c r="N841" s="655"/>
      <c r="O841" s="655"/>
      <c r="P841" s="655"/>
      <c r="Q841" s="655"/>
      <c r="R841" s="655"/>
      <c r="S841" s="655"/>
      <c r="T841" s="655"/>
      <c r="U841" s="655"/>
      <c r="V841" s="655"/>
      <c r="W841" s="655"/>
      <c r="X841" s="655"/>
      <c r="Y841" s="655"/>
      <c r="Z841" s="655"/>
    </row>
    <row r="842">
      <c r="B842" s="462"/>
      <c r="C842" s="671"/>
      <c r="D842" s="462"/>
      <c r="E842" s="654"/>
      <c r="F842" s="650"/>
      <c r="G842" s="654"/>
      <c r="H842" s="654"/>
      <c r="I842" s="650"/>
      <c r="J842" s="650"/>
      <c r="K842" s="655"/>
      <c r="L842" s="655"/>
      <c r="M842" s="655"/>
      <c r="N842" s="655"/>
      <c r="O842" s="655"/>
      <c r="P842" s="655"/>
      <c r="Q842" s="655"/>
      <c r="R842" s="655"/>
      <c r="S842" s="655"/>
      <c r="T842" s="655"/>
      <c r="U842" s="655"/>
      <c r="V842" s="655"/>
      <c r="W842" s="655"/>
      <c r="X842" s="655"/>
      <c r="Y842" s="655"/>
      <c r="Z842" s="655"/>
    </row>
    <row r="843">
      <c r="B843" s="462"/>
      <c r="C843" s="671"/>
      <c r="D843" s="462"/>
      <c r="E843" s="654"/>
      <c r="F843" s="650"/>
      <c r="G843" s="654"/>
      <c r="H843" s="654"/>
      <c r="I843" s="650"/>
      <c r="J843" s="650"/>
      <c r="K843" s="655"/>
      <c r="L843" s="655"/>
      <c r="M843" s="655"/>
      <c r="N843" s="655"/>
      <c r="O843" s="655"/>
      <c r="P843" s="655"/>
      <c r="Q843" s="655"/>
      <c r="R843" s="655"/>
      <c r="S843" s="655"/>
      <c r="T843" s="655"/>
      <c r="U843" s="655"/>
      <c r="V843" s="655"/>
      <c r="W843" s="655"/>
      <c r="X843" s="655"/>
      <c r="Y843" s="655"/>
      <c r="Z843" s="655"/>
    </row>
    <row r="844">
      <c r="B844" s="462"/>
      <c r="C844" s="671"/>
      <c r="D844" s="462"/>
      <c r="E844" s="654"/>
      <c r="F844" s="650"/>
      <c r="G844" s="654"/>
      <c r="H844" s="654"/>
      <c r="I844" s="650"/>
      <c r="J844" s="650"/>
      <c r="K844" s="655"/>
      <c r="L844" s="655"/>
      <c r="M844" s="655"/>
      <c r="N844" s="655"/>
      <c r="O844" s="655"/>
      <c r="P844" s="655"/>
      <c r="Q844" s="655"/>
      <c r="R844" s="655"/>
      <c r="S844" s="655"/>
      <c r="T844" s="655"/>
      <c r="U844" s="655"/>
      <c r="V844" s="655"/>
      <c r="W844" s="655"/>
      <c r="X844" s="655"/>
      <c r="Y844" s="655"/>
      <c r="Z844" s="655"/>
    </row>
    <row r="845">
      <c r="B845" s="462"/>
      <c r="C845" s="671"/>
      <c r="D845" s="462"/>
      <c r="E845" s="654"/>
      <c r="F845" s="650"/>
      <c r="G845" s="654"/>
      <c r="H845" s="654"/>
      <c r="I845" s="650"/>
      <c r="J845" s="650"/>
      <c r="K845" s="655"/>
      <c r="L845" s="655"/>
      <c r="M845" s="655"/>
      <c r="N845" s="655"/>
      <c r="O845" s="655"/>
      <c r="P845" s="655"/>
      <c r="Q845" s="655"/>
      <c r="R845" s="655"/>
      <c r="S845" s="655"/>
      <c r="T845" s="655"/>
      <c r="U845" s="655"/>
      <c r="V845" s="655"/>
      <c r="W845" s="655"/>
      <c r="X845" s="655"/>
      <c r="Y845" s="655"/>
      <c r="Z845" s="655"/>
    </row>
    <row r="846">
      <c r="B846" s="462"/>
      <c r="C846" s="671"/>
      <c r="D846" s="462"/>
      <c r="E846" s="654"/>
      <c r="F846" s="650"/>
      <c r="G846" s="654"/>
      <c r="H846" s="654"/>
      <c r="I846" s="650"/>
      <c r="J846" s="650"/>
      <c r="K846" s="655"/>
      <c r="L846" s="655"/>
      <c r="M846" s="655"/>
      <c r="N846" s="655"/>
      <c r="O846" s="655"/>
      <c r="P846" s="655"/>
      <c r="Q846" s="655"/>
      <c r="R846" s="655"/>
      <c r="S846" s="655"/>
      <c r="T846" s="655"/>
      <c r="U846" s="655"/>
      <c r="V846" s="655"/>
      <c r="W846" s="655"/>
      <c r="X846" s="655"/>
      <c r="Y846" s="655"/>
      <c r="Z846" s="655"/>
    </row>
    <row r="847">
      <c r="B847" s="462"/>
      <c r="C847" s="671"/>
      <c r="D847" s="462"/>
      <c r="E847" s="654"/>
      <c r="F847" s="650"/>
      <c r="G847" s="654"/>
      <c r="H847" s="654"/>
      <c r="I847" s="650"/>
      <c r="J847" s="650"/>
      <c r="K847" s="655"/>
      <c r="L847" s="655"/>
      <c r="M847" s="655"/>
      <c r="N847" s="655"/>
      <c r="O847" s="655"/>
      <c r="P847" s="655"/>
      <c r="Q847" s="655"/>
      <c r="R847" s="655"/>
      <c r="S847" s="655"/>
      <c r="T847" s="655"/>
      <c r="U847" s="655"/>
      <c r="V847" s="655"/>
      <c r="W847" s="655"/>
      <c r="X847" s="655"/>
      <c r="Y847" s="655"/>
      <c r="Z847" s="655"/>
    </row>
    <row r="848">
      <c r="B848" s="462"/>
      <c r="C848" s="671"/>
      <c r="D848" s="462"/>
      <c r="E848" s="654"/>
      <c r="F848" s="650"/>
      <c r="G848" s="654"/>
      <c r="H848" s="654"/>
      <c r="I848" s="650"/>
      <c r="J848" s="650"/>
      <c r="K848" s="655"/>
      <c r="L848" s="655"/>
      <c r="M848" s="655"/>
      <c r="N848" s="655"/>
      <c r="O848" s="655"/>
      <c r="P848" s="655"/>
      <c r="Q848" s="655"/>
      <c r="R848" s="655"/>
      <c r="S848" s="655"/>
      <c r="T848" s="655"/>
      <c r="U848" s="655"/>
      <c r="V848" s="655"/>
      <c r="W848" s="655"/>
      <c r="X848" s="655"/>
      <c r="Y848" s="655"/>
      <c r="Z848" s="655"/>
    </row>
    <row r="849">
      <c r="B849" s="462"/>
      <c r="C849" s="671"/>
      <c r="D849" s="462"/>
      <c r="E849" s="654"/>
      <c r="F849" s="650"/>
      <c r="G849" s="654"/>
      <c r="H849" s="654"/>
      <c r="I849" s="650"/>
      <c r="J849" s="650"/>
      <c r="K849" s="655"/>
      <c r="L849" s="655"/>
      <c r="M849" s="655"/>
      <c r="N849" s="655"/>
      <c r="O849" s="655"/>
      <c r="P849" s="655"/>
      <c r="Q849" s="655"/>
      <c r="R849" s="655"/>
      <c r="S849" s="655"/>
      <c r="T849" s="655"/>
      <c r="U849" s="655"/>
      <c r="V849" s="655"/>
      <c r="W849" s="655"/>
      <c r="X849" s="655"/>
      <c r="Y849" s="655"/>
      <c r="Z849" s="655"/>
    </row>
    <row r="850">
      <c r="B850" s="462"/>
      <c r="C850" s="671"/>
      <c r="D850" s="462"/>
      <c r="E850" s="654"/>
      <c r="F850" s="650"/>
      <c r="G850" s="654"/>
      <c r="H850" s="654"/>
      <c r="I850" s="650"/>
      <c r="J850" s="650"/>
      <c r="K850" s="655"/>
      <c r="L850" s="655"/>
      <c r="M850" s="655"/>
      <c r="N850" s="655"/>
      <c r="O850" s="655"/>
      <c r="P850" s="655"/>
      <c r="Q850" s="655"/>
      <c r="R850" s="655"/>
      <c r="S850" s="655"/>
      <c r="T850" s="655"/>
      <c r="U850" s="655"/>
      <c r="V850" s="655"/>
      <c r="W850" s="655"/>
      <c r="X850" s="655"/>
      <c r="Y850" s="655"/>
      <c r="Z850" s="655"/>
    </row>
    <row r="851">
      <c r="B851" s="462"/>
      <c r="C851" s="671"/>
      <c r="D851" s="462"/>
      <c r="E851" s="654"/>
      <c r="F851" s="650"/>
      <c r="G851" s="654"/>
      <c r="H851" s="654"/>
      <c r="I851" s="650"/>
      <c r="J851" s="650"/>
      <c r="K851" s="655"/>
      <c r="L851" s="655"/>
      <c r="M851" s="655"/>
      <c r="N851" s="655"/>
      <c r="O851" s="655"/>
      <c r="P851" s="655"/>
      <c r="Q851" s="655"/>
      <c r="R851" s="655"/>
      <c r="S851" s="655"/>
      <c r="T851" s="655"/>
      <c r="U851" s="655"/>
      <c r="V851" s="655"/>
      <c r="W851" s="655"/>
      <c r="X851" s="655"/>
      <c r="Y851" s="655"/>
      <c r="Z851" s="655"/>
    </row>
    <row r="852">
      <c r="B852" s="462"/>
      <c r="C852" s="671"/>
      <c r="D852" s="462"/>
      <c r="E852" s="654"/>
      <c r="F852" s="650"/>
      <c r="G852" s="654"/>
      <c r="H852" s="654"/>
      <c r="I852" s="650"/>
      <c r="J852" s="650"/>
      <c r="K852" s="655"/>
      <c r="L852" s="655"/>
      <c r="M852" s="655"/>
      <c r="N852" s="655"/>
      <c r="O852" s="655"/>
      <c r="P852" s="655"/>
      <c r="Q852" s="655"/>
      <c r="R852" s="655"/>
      <c r="S852" s="655"/>
      <c r="T852" s="655"/>
      <c r="U852" s="655"/>
      <c r="V852" s="655"/>
      <c r="W852" s="655"/>
      <c r="X852" s="655"/>
      <c r="Y852" s="655"/>
      <c r="Z852" s="655"/>
    </row>
    <row r="853">
      <c r="B853" s="462"/>
      <c r="C853" s="671"/>
      <c r="D853" s="462"/>
      <c r="E853" s="654"/>
      <c r="F853" s="650"/>
      <c r="G853" s="654"/>
      <c r="H853" s="654"/>
      <c r="I853" s="650"/>
      <c r="J853" s="650"/>
      <c r="K853" s="655"/>
      <c r="L853" s="655"/>
      <c r="M853" s="655"/>
      <c r="N853" s="655"/>
      <c r="O853" s="655"/>
      <c r="P853" s="655"/>
      <c r="Q853" s="655"/>
      <c r="R853" s="655"/>
      <c r="S853" s="655"/>
      <c r="T853" s="655"/>
      <c r="U853" s="655"/>
      <c r="V853" s="655"/>
      <c r="W853" s="655"/>
      <c r="X853" s="655"/>
      <c r="Y853" s="655"/>
      <c r="Z853" s="655"/>
    </row>
    <row r="854">
      <c r="B854" s="462"/>
      <c r="C854" s="671"/>
      <c r="D854" s="462"/>
      <c r="E854" s="654"/>
      <c r="F854" s="650"/>
      <c r="G854" s="654"/>
      <c r="H854" s="654"/>
      <c r="I854" s="650"/>
      <c r="J854" s="650"/>
      <c r="K854" s="655"/>
      <c r="L854" s="655"/>
      <c r="M854" s="655"/>
      <c r="N854" s="655"/>
      <c r="O854" s="655"/>
      <c r="P854" s="655"/>
      <c r="Q854" s="655"/>
      <c r="R854" s="655"/>
      <c r="S854" s="655"/>
      <c r="T854" s="655"/>
      <c r="U854" s="655"/>
      <c r="V854" s="655"/>
      <c r="W854" s="655"/>
      <c r="X854" s="655"/>
      <c r="Y854" s="655"/>
      <c r="Z854" s="655"/>
    </row>
    <row r="855">
      <c r="B855" s="462"/>
      <c r="C855" s="671"/>
      <c r="D855" s="462"/>
      <c r="E855" s="654"/>
      <c r="F855" s="650"/>
      <c r="G855" s="654"/>
      <c r="H855" s="654"/>
      <c r="I855" s="650"/>
      <c r="J855" s="650"/>
      <c r="K855" s="655"/>
      <c r="L855" s="655"/>
      <c r="M855" s="655"/>
      <c r="N855" s="655"/>
      <c r="O855" s="655"/>
      <c r="P855" s="655"/>
      <c r="Q855" s="655"/>
      <c r="R855" s="655"/>
      <c r="S855" s="655"/>
      <c r="T855" s="655"/>
      <c r="U855" s="655"/>
      <c r="V855" s="655"/>
      <c r="W855" s="655"/>
      <c r="X855" s="655"/>
      <c r="Y855" s="655"/>
      <c r="Z855" s="655"/>
    </row>
    <row r="856">
      <c r="B856" s="462"/>
      <c r="C856" s="671"/>
      <c r="D856" s="462"/>
      <c r="E856" s="654"/>
      <c r="F856" s="650"/>
      <c r="G856" s="654"/>
      <c r="H856" s="654"/>
      <c r="I856" s="650"/>
      <c r="J856" s="650"/>
      <c r="K856" s="655"/>
      <c r="L856" s="655"/>
      <c r="M856" s="655"/>
      <c r="N856" s="655"/>
      <c r="O856" s="655"/>
      <c r="P856" s="655"/>
      <c r="Q856" s="655"/>
      <c r="R856" s="655"/>
      <c r="S856" s="655"/>
      <c r="T856" s="655"/>
      <c r="U856" s="655"/>
      <c r="V856" s="655"/>
      <c r="W856" s="655"/>
      <c r="X856" s="655"/>
      <c r="Y856" s="655"/>
      <c r="Z856" s="655"/>
    </row>
    <row r="857">
      <c r="B857" s="462"/>
      <c r="C857" s="671"/>
      <c r="D857" s="462"/>
      <c r="E857" s="654"/>
      <c r="F857" s="650"/>
      <c r="G857" s="654"/>
      <c r="H857" s="654"/>
      <c r="I857" s="650"/>
      <c r="J857" s="650"/>
      <c r="K857" s="655"/>
      <c r="L857" s="655"/>
      <c r="M857" s="655"/>
      <c r="N857" s="655"/>
      <c r="O857" s="655"/>
      <c r="P857" s="655"/>
      <c r="Q857" s="655"/>
      <c r="R857" s="655"/>
      <c r="S857" s="655"/>
      <c r="T857" s="655"/>
      <c r="U857" s="655"/>
      <c r="V857" s="655"/>
      <c r="W857" s="655"/>
      <c r="X857" s="655"/>
      <c r="Y857" s="655"/>
      <c r="Z857" s="655"/>
    </row>
    <row r="858">
      <c r="B858" s="462"/>
      <c r="C858" s="671"/>
      <c r="D858" s="462"/>
      <c r="E858" s="654"/>
      <c r="F858" s="650"/>
      <c r="G858" s="654"/>
      <c r="H858" s="654"/>
      <c r="I858" s="650"/>
      <c r="J858" s="650"/>
      <c r="K858" s="655"/>
      <c r="L858" s="655"/>
      <c r="M858" s="655"/>
      <c r="N858" s="655"/>
      <c r="O858" s="655"/>
      <c r="P858" s="655"/>
      <c r="Q858" s="655"/>
      <c r="R858" s="655"/>
      <c r="S858" s="655"/>
      <c r="T858" s="655"/>
      <c r="U858" s="655"/>
      <c r="V858" s="655"/>
      <c r="W858" s="655"/>
      <c r="X858" s="655"/>
      <c r="Y858" s="655"/>
      <c r="Z858" s="655"/>
    </row>
    <row r="859">
      <c r="B859" s="462"/>
      <c r="C859" s="671"/>
      <c r="D859" s="462"/>
      <c r="E859" s="654"/>
      <c r="F859" s="650"/>
      <c r="G859" s="654"/>
      <c r="H859" s="654"/>
      <c r="I859" s="650"/>
      <c r="J859" s="650"/>
      <c r="K859" s="655"/>
      <c r="L859" s="655"/>
      <c r="M859" s="655"/>
      <c r="N859" s="655"/>
      <c r="O859" s="655"/>
      <c r="P859" s="655"/>
      <c r="Q859" s="655"/>
      <c r="R859" s="655"/>
      <c r="S859" s="655"/>
      <c r="T859" s="655"/>
      <c r="U859" s="655"/>
      <c r="V859" s="655"/>
      <c r="W859" s="655"/>
      <c r="X859" s="655"/>
      <c r="Y859" s="655"/>
      <c r="Z859" s="655"/>
    </row>
    <row r="860">
      <c r="B860" s="462"/>
      <c r="C860" s="671"/>
      <c r="D860" s="462"/>
      <c r="E860" s="654"/>
      <c r="F860" s="650"/>
      <c r="G860" s="654"/>
      <c r="H860" s="654"/>
      <c r="I860" s="650"/>
      <c r="J860" s="650"/>
      <c r="K860" s="655"/>
      <c r="L860" s="655"/>
      <c r="M860" s="655"/>
      <c r="N860" s="655"/>
      <c r="O860" s="655"/>
      <c r="P860" s="655"/>
      <c r="Q860" s="655"/>
      <c r="R860" s="655"/>
      <c r="S860" s="655"/>
      <c r="T860" s="655"/>
      <c r="U860" s="655"/>
      <c r="V860" s="655"/>
      <c r="W860" s="655"/>
      <c r="X860" s="655"/>
      <c r="Y860" s="655"/>
      <c r="Z860" s="655"/>
    </row>
    <row r="861">
      <c r="B861" s="462"/>
      <c r="C861" s="671"/>
      <c r="D861" s="462"/>
      <c r="E861" s="654"/>
      <c r="F861" s="650"/>
      <c r="G861" s="654"/>
      <c r="H861" s="654"/>
      <c r="I861" s="650"/>
      <c r="J861" s="650"/>
      <c r="K861" s="655"/>
      <c r="L861" s="655"/>
      <c r="M861" s="655"/>
      <c r="N861" s="655"/>
      <c r="O861" s="655"/>
      <c r="P861" s="655"/>
      <c r="Q861" s="655"/>
      <c r="R861" s="655"/>
      <c r="S861" s="655"/>
      <c r="T861" s="655"/>
      <c r="U861" s="655"/>
      <c r="V861" s="655"/>
      <c r="W861" s="655"/>
      <c r="X861" s="655"/>
      <c r="Y861" s="655"/>
      <c r="Z861" s="655"/>
    </row>
    <row r="862">
      <c r="B862" s="462"/>
      <c r="C862" s="671"/>
      <c r="D862" s="462"/>
      <c r="E862" s="654"/>
      <c r="F862" s="650"/>
      <c r="G862" s="654"/>
      <c r="H862" s="654"/>
      <c r="I862" s="650"/>
      <c r="J862" s="650"/>
      <c r="K862" s="655"/>
      <c r="L862" s="655"/>
      <c r="M862" s="655"/>
      <c r="N862" s="655"/>
      <c r="O862" s="655"/>
      <c r="P862" s="655"/>
      <c r="Q862" s="655"/>
      <c r="R862" s="655"/>
      <c r="S862" s="655"/>
      <c r="T862" s="655"/>
      <c r="U862" s="655"/>
      <c r="V862" s="655"/>
      <c r="W862" s="655"/>
      <c r="X862" s="655"/>
      <c r="Y862" s="655"/>
      <c r="Z862" s="655"/>
    </row>
    <row r="863">
      <c r="B863" s="462"/>
      <c r="C863" s="671"/>
      <c r="D863" s="462"/>
      <c r="E863" s="654"/>
      <c r="F863" s="650"/>
      <c r="G863" s="654"/>
      <c r="H863" s="654"/>
      <c r="I863" s="650"/>
      <c r="J863" s="650"/>
      <c r="K863" s="655"/>
      <c r="L863" s="655"/>
      <c r="M863" s="655"/>
      <c r="N863" s="655"/>
      <c r="O863" s="655"/>
      <c r="P863" s="655"/>
      <c r="Q863" s="655"/>
      <c r="R863" s="655"/>
      <c r="S863" s="655"/>
      <c r="T863" s="655"/>
      <c r="U863" s="655"/>
      <c r="V863" s="655"/>
      <c r="W863" s="655"/>
      <c r="X863" s="655"/>
      <c r="Y863" s="655"/>
      <c r="Z863" s="655"/>
    </row>
    <row r="864">
      <c r="B864" s="462"/>
      <c r="C864" s="671"/>
      <c r="D864" s="462"/>
      <c r="E864" s="654"/>
      <c r="F864" s="650"/>
      <c r="G864" s="654"/>
      <c r="H864" s="654"/>
      <c r="I864" s="650"/>
      <c r="J864" s="650"/>
      <c r="K864" s="655"/>
      <c r="L864" s="655"/>
      <c r="M864" s="655"/>
      <c r="N864" s="655"/>
      <c r="O864" s="655"/>
      <c r="P864" s="655"/>
      <c r="Q864" s="655"/>
      <c r="R864" s="655"/>
      <c r="S864" s="655"/>
      <c r="T864" s="655"/>
      <c r="U864" s="655"/>
      <c r="V864" s="655"/>
      <c r="W864" s="655"/>
      <c r="X864" s="655"/>
      <c r="Y864" s="655"/>
      <c r="Z864" s="655"/>
    </row>
    <row r="865">
      <c r="B865" s="462"/>
      <c r="C865" s="671"/>
      <c r="D865" s="462"/>
      <c r="E865" s="654"/>
      <c r="F865" s="650"/>
      <c r="G865" s="654"/>
      <c r="H865" s="654"/>
      <c r="I865" s="650"/>
      <c r="J865" s="650"/>
      <c r="K865" s="655"/>
      <c r="L865" s="655"/>
      <c r="M865" s="655"/>
      <c r="N865" s="655"/>
      <c r="O865" s="655"/>
      <c r="P865" s="655"/>
      <c r="Q865" s="655"/>
      <c r="R865" s="655"/>
      <c r="S865" s="655"/>
      <c r="T865" s="655"/>
      <c r="U865" s="655"/>
      <c r="V865" s="655"/>
      <c r="W865" s="655"/>
      <c r="X865" s="655"/>
      <c r="Y865" s="655"/>
      <c r="Z865" s="655"/>
    </row>
    <row r="866">
      <c r="B866" s="462"/>
      <c r="C866" s="671"/>
      <c r="D866" s="462"/>
      <c r="E866" s="654"/>
      <c r="F866" s="650"/>
      <c r="G866" s="654"/>
      <c r="H866" s="654"/>
      <c r="I866" s="650"/>
      <c r="J866" s="650"/>
      <c r="K866" s="655"/>
      <c r="L866" s="655"/>
      <c r="M866" s="655"/>
      <c r="N866" s="655"/>
      <c r="O866" s="655"/>
      <c r="P866" s="655"/>
      <c r="Q866" s="655"/>
      <c r="R866" s="655"/>
      <c r="S866" s="655"/>
      <c r="T866" s="655"/>
      <c r="U866" s="655"/>
      <c r="V866" s="655"/>
      <c r="W866" s="655"/>
      <c r="X866" s="655"/>
      <c r="Y866" s="655"/>
      <c r="Z866" s="655"/>
    </row>
    <row r="867">
      <c r="B867" s="462"/>
      <c r="C867" s="671"/>
      <c r="D867" s="462"/>
      <c r="E867" s="654"/>
      <c r="F867" s="650"/>
      <c r="G867" s="654"/>
      <c r="H867" s="654"/>
      <c r="I867" s="650"/>
      <c r="J867" s="650"/>
      <c r="K867" s="655"/>
      <c r="L867" s="655"/>
      <c r="M867" s="655"/>
      <c r="N867" s="655"/>
      <c r="O867" s="655"/>
      <c r="P867" s="655"/>
      <c r="Q867" s="655"/>
      <c r="R867" s="655"/>
      <c r="S867" s="655"/>
      <c r="T867" s="655"/>
      <c r="U867" s="655"/>
      <c r="V867" s="655"/>
      <c r="W867" s="655"/>
      <c r="X867" s="655"/>
      <c r="Y867" s="655"/>
      <c r="Z867" s="655"/>
    </row>
    <row r="868">
      <c r="B868" s="462"/>
      <c r="C868" s="671"/>
      <c r="D868" s="462"/>
      <c r="E868" s="654"/>
      <c r="F868" s="650"/>
      <c r="G868" s="654"/>
      <c r="H868" s="654"/>
      <c r="I868" s="650"/>
      <c r="J868" s="650"/>
      <c r="K868" s="655"/>
      <c r="L868" s="655"/>
      <c r="M868" s="655"/>
      <c r="N868" s="655"/>
      <c r="O868" s="655"/>
      <c r="P868" s="655"/>
      <c r="Q868" s="655"/>
      <c r="R868" s="655"/>
      <c r="S868" s="655"/>
      <c r="T868" s="655"/>
      <c r="U868" s="655"/>
      <c r="V868" s="655"/>
      <c r="W868" s="655"/>
      <c r="X868" s="655"/>
      <c r="Y868" s="655"/>
      <c r="Z868" s="655"/>
    </row>
    <row r="869">
      <c r="B869" s="462"/>
      <c r="C869" s="671"/>
      <c r="D869" s="462"/>
      <c r="E869" s="654"/>
      <c r="F869" s="650"/>
      <c r="G869" s="654"/>
      <c r="H869" s="654"/>
      <c r="I869" s="650"/>
      <c r="J869" s="650"/>
      <c r="K869" s="655"/>
      <c r="L869" s="655"/>
      <c r="M869" s="655"/>
      <c r="N869" s="655"/>
      <c r="O869" s="655"/>
      <c r="P869" s="655"/>
      <c r="Q869" s="655"/>
      <c r="R869" s="655"/>
      <c r="S869" s="655"/>
      <c r="T869" s="655"/>
      <c r="U869" s="655"/>
      <c r="V869" s="655"/>
      <c r="W869" s="655"/>
      <c r="X869" s="655"/>
      <c r="Y869" s="655"/>
      <c r="Z869" s="655"/>
    </row>
    <row r="870">
      <c r="B870" s="462"/>
      <c r="C870" s="671"/>
      <c r="D870" s="462"/>
      <c r="E870" s="654"/>
      <c r="F870" s="650"/>
      <c r="G870" s="654"/>
      <c r="H870" s="654"/>
      <c r="I870" s="650"/>
      <c r="J870" s="650"/>
      <c r="K870" s="655"/>
      <c r="L870" s="655"/>
      <c r="M870" s="655"/>
      <c r="N870" s="655"/>
      <c r="O870" s="655"/>
      <c r="P870" s="655"/>
      <c r="Q870" s="655"/>
      <c r="R870" s="655"/>
      <c r="S870" s="655"/>
      <c r="T870" s="655"/>
      <c r="U870" s="655"/>
      <c r="V870" s="655"/>
      <c r="W870" s="655"/>
      <c r="X870" s="655"/>
      <c r="Y870" s="655"/>
      <c r="Z870" s="655"/>
    </row>
    <row r="871">
      <c r="B871" s="462"/>
      <c r="C871" s="671"/>
      <c r="D871" s="462"/>
      <c r="E871" s="654"/>
      <c r="F871" s="650"/>
      <c r="G871" s="654"/>
      <c r="H871" s="654"/>
      <c r="I871" s="650"/>
      <c r="J871" s="650"/>
      <c r="K871" s="655"/>
      <c r="L871" s="655"/>
      <c r="M871" s="655"/>
      <c r="N871" s="655"/>
      <c r="O871" s="655"/>
      <c r="P871" s="655"/>
      <c r="Q871" s="655"/>
      <c r="R871" s="655"/>
      <c r="S871" s="655"/>
      <c r="T871" s="655"/>
      <c r="U871" s="655"/>
      <c r="V871" s="655"/>
      <c r="W871" s="655"/>
      <c r="X871" s="655"/>
      <c r="Y871" s="655"/>
      <c r="Z871" s="655"/>
    </row>
    <row r="872">
      <c r="B872" s="462"/>
      <c r="C872" s="671"/>
      <c r="D872" s="462"/>
      <c r="E872" s="654"/>
      <c r="F872" s="650"/>
      <c r="G872" s="654"/>
      <c r="H872" s="654"/>
      <c r="I872" s="650"/>
      <c r="J872" s="650"/>
      <c r="K872" s="655"/>
      <c r="L872" s="655"/>
      <c r="M872" s="655"/>
      <c r="N872" s="655"/>
      <c r="O872" s="655"/>
      <c r="P872" s="655"/>
      <c r="Q872" s="655"/>
      <c r="R872" s="655"/>
      <c r="S872" s="655"/>
      <c r="T872" s="655"/>
      <c r="U872" s="655"/>
      <c r="V872" s="655"/>
      <c r="W872" s="655"/>
      <c r="X872" s="655"/>
      <c r="Y872" s="655"/>
      <c r="Z872" s="655"/>
    </row>
    <row r="873">
      <c r="B873" s="462"/>
      <c r="C873" s="671"/>
      <c r="D873" s="462"/>
      <c r="E873" s="654"/>
      <c r="F873" s="650"/>
      <c r="G873" s="654"/>
      <c r="H873" s="654"/>
      <c r="I873" s="650"/>
      <c r="J873" s="650"/>
      <c r="K873" s="655"/>
      <c r="L873" s="655"/>
      <c r="M873" s="655"/>
      <c r="N873" s="655"/>
      <c r="O873" s="655"/>
      <c r="P873" s="655"/>
      <c r="Q873" s="655"/>
      <c r="R873" s="655"/>
      <c r="S873" s="655"/>
      <c r="T873" s="655"/>
      <c r="U873" s="655"/>
      <c r="V873" s="655"/>
      <c r="W873" s="655"/>
      <c r="X873" s="655"/>
      <c r="Y873" s="655"/>
      <c r="Z873" s="655"/>
    </row>
    <row r="874">
      <c r="B874" s="462"/>
      <c r="C874" s="671"/>
      <c r="D874" s="462"/>
      <c r="E874" s="654"/>
      <c r="F874" s="650"/>
      <c r="G874" s="654"/>
      <c r="H874" s="654"/>
      <c r="I874" s="650"/>
      <c r="J874" s="650"/>
      <c r="K874" s="655"/>
      <c r="L874" s="655"/>
      <c r="M874" s="655"/>
      <c r="N874" s="655"/>
      <c r="O874" s="655"/>
      <c r="P874" s="655"/>
      <c r="Q874" s="655"/>
      <c r="R874" s="655"/>
      <c r="S874" s="655"/>
      <c r="T874" s="655"/>
      <c r="U874" s="655"/>
      <c r="V874" s="655"/>
      <c r="W874" s="655"/>
      <c r="X874" s="655"/>
      <c r="Y874" s="655"/>
      <c r="Z874" s="655"/>
    </row>
    <row r="875">
      <c r="B875" s="462"/>
      <c r="C875" s="671"/>
      <c r="D875" s="462"/>
      <c r="E875" s="654"/>
      <c r="F875" s="650"/>
      <c r="G875" s="654"/>
      <c r="H875" s="654"/>
      <c r="I875" s="650"/>
      <c r="J875" s="650"/>
      <c r="K875" s="655"/>
      <c r="L875" s="655"/>
      <c r="M875" s="655"/>
      <c r="N875" s="655"/>
      <c r="O875" s="655"/>
      <c r="P875" s="655"/>
      <c r="Q875" s="655"/>
      <c r="R875" s="655"/>
      <c r="S875" s="655"/>
      <c r="T875" s="655"/>
      <c r="U875" s="655"/>
      <c r="V875" s="655"/>
      <c r="W875" s="655"/>
      <c r="X875" s="655"/>
      <c r="Y875" s="655"/>
      <c r="Z875" s="655"/>
    </row>
    <row r="876">
      <c r="B876" s="462"/>
      <c r="C876" s="671"/>
      <c r="D876" s="462"/>
      <c r="E876" s="654"/>
      <c r="F876" s="650"/>
      <c r="G876" s="654"/>
      <c r="H876" s="654"/>
      <c r="I876" s="650"/>
      <c r="J876" s="650"/>
      <c r="K876" s="655"/>
      <c r="L876" s="655"/>
      <c r="M876" s="655"/>
      <c r="N876" s="655"/>
      <c r="O876" s="655"/>
      <c r="P876" s="655"/>
      <c r="Q876" s="655"/>
      <c r="R876" s="655"/>
      <c r="S876" s="655"/>
      <c r="T876" s="655"/>
      <c r="U876" s="655"/>
      <c r="V876" s="655"/>
      <c r="W876" s="655"/>
      <c r="X876" s="655"/>
      <c r="Y876" s="655"/>
      <c r="Z876" s="655"/>
    </row>
    <row r="877">
      <c r="B877" s="462"/>
      <c r="C877" s="671"/>
      <c r="D877" s="462"/>
      <c r="E877" s="654"/>
      <c r="F877" s="650"/>
      <c r="G877" s="654"/>
      <c r="H877" s="654"/>
      <c r="I877" s="650"/>
      <c r="J877" s="650"/>
      <c r="K877" s="655"/>
      <c r="L877" s="655"/>
      <c r="M877" s="655"/>
      <c r="N877" s="655"/>
      <c r="O877" s="655"/>
      <c r="P877" s="655"/>
      <c r="Q877" s="655"/>
      <c r="R877" s="655"/>
      <c r="S877" s="655"/>
      <c r="T877" s="655"/>
      <c r="U877" s="655"/>
      <c r="V877" s="655"/>
      <c r="W877" s="655"/>
      <c r="X877" s="655"/>
      <c r="Y877" s="655"/>
      <c r="Z877" s="655"/>
    </row>
    <row r="878">
      <c r="B878" s="462"/>
      <c r="C878" s="671"/>
      <c r="D878" s="462"/>
      <c r="E878" s="654"/>
      <c r="F878" s="650"/>
      <c r="G878" s="654"/>
      <c r="H878" s="654"/>
      <c r="I878" s="650"/>
      <c r="J878" s="650"/>
      <c r="K878" s="655"/>
      <c r="L878" s="655"/>
      <c r="M878" s="655"/>
      <c r="N878" s="655"/>
      <c r="O878" s="655"/>
      <c r="P878" s="655"/>
      <c r="Q878" s="655"/>
      <c r="R878" s="655"/>
      <c r="S878" s="655"/>
      <c r="T878" s="655"/>
      <c r="U878" s="655"/>
      <c r="V878" s="655"/>
      <c r="W878" s="655"/>
      <c r="X878" s="655"/>
      <c r="Y878" s="655"/>
      <c r="Z878" s="655"/>
    </row>
    <row r="879">
      <c r="B879" s="462"/>
      <c r="C879" s="671"/>
      <c r="D879" s="462"/>
      <c r="E879" s="654"/>
      <c r="F879" s="650"/>
      <c r="G879" s="654"/>
      <c r="H879" s="654"/>
      <c r="I879" s="650"/>
      <c r="J879" s="650"/>
      <c r="K879" s="655"/>
      <c r="L879" s="655"/>
      <c r="M879" s="655"/>
      <c r="N879" s="655"/>
      <c r="O879" s="655"/>
      <c r="P879" s="655"/>
      <c r="Q879" s="655"/>
      <c r="R879" s="655"/>
      <c r="S879" s="655"/>
      <c r="T879" s="655"/>
      <c r="U879" s="655"/>
      <c r="V879" s="655"/>
      <c r="W879" s="655"/>
      <c r="X879" s="655"/>
      <c r="Y879" s="655"/>
      <c r="Z879" s="655"/>
    </row>
    <row r="880">
      <c r="B880" s="462"/>
      <c r="C880" s="671"/>
      <c r="D880" s="462"/>
      <c r="E880" s="654"/>
      <c r="F880" s="650"/>
      <c r="G880" s="654"/>
      <c r="H880" s="654"/>
      <c r="I880" s="650"/>
      <c r="J880" s="650"/>
      <c r="K880" s="655"/>
      <c r="L880" s="655"/>
      <c r="M880" s="655"/>
      <c r="N880" s="655"/>
      <c r="O880" s="655"/>
      <c r="P880" s="655"/>
      <c r="Q880" s="655"/>
      <c r="R880" s="655"/>
      <c r="S880" s="655"/>
      <c r="T880" s="655"/>
      <c r="U880" s="655"/>
      <c r="V880" s="655"/>
      <c r="W880" s="655"/>
      <c r="X880" s="655"/>
      <c r="Y880" s="655"/>
      <c r="Z880" s="655"/>
    </row>
    <row r="881">
      <c r="B881" s="462"/>
      <c r="C881" s="671"/>
      <c r="D881" s="462"/>
      <c r="E881" s="654"/>
      <c r="F881" s="650"/>
      <c r="G881" s="654"/>
      <c r="H881" s="654"/>
      <c r="I881" s="650"/>
      <c r="J881" s="650"/>
      <c r="K881" s="655"/>
      <c r="L881" s="655"/>
      <c r="M881" s="655"/>
      <c r="N881" s="655"/>
      <c r="O881" s="655"/>
      <c r="P881" s="655"/>
      <c r="Q881" s="655"/>
      <c r="R881" s="655"/>
      <c r="S881" s="655"/>
      <c r="T881" s="655"/>
      <c r="U881" s="655"/>
      <c r="V881" s="655"/>
      <c r="W881" s="655"/>
      <c r="X881" s="655"/>
      <c r="Y881" s="655"/>
      <c r="Z881" s="655"/>
    </row>
    <row r="882">
      <c r="B882" s="462"/>
      <c r="C882" s="671"/>
      <c r="D882" s="462"/>
      <c r="E882" s="654"/>
      <c r="F882" s="650"/>
      <c r="G882" s="654"/>
      <c r="H882" s="654"/>
      <c r="I882" s="650"/>
      <c r="J882" s="650"/>
      <c r="K882" s="655"/>
      <c r="L882" s="655"/>
      <c r="M882" s="655"/>
      <c r="N882" s="655"/>
      <c r="O882" s="655"/>
      <c r="P882" s="655"/>
      <c r="Q882" s="655"/>
      <c r="R882" s="655"/>
      <c r="S882" s="655"/>
      <c r="T882" s="655"/>
      <c r="U882" s="655"/>
      <c r="V882" s="655"/>
      <c r="W882" s="655"/>
      <c r="X882" s="655"/>
      <c r="Y882" s="655"/>
      <c r="Z882" s="655"/>
    </row>
    <row r="883">
      <c r="B883" s="462"/>
      <c r="C883" s="671"/>
      <c r="D883" s="462"/>
      <c r="E883" s="654"/>
      <c r="F883" s="650"/>
      <c r="G883" s="654"/>
      <c r="H883" s="654"/>
      <c r="I883" s="650"/>
      <c r="J883" s="650"/>
      <c r="K883" s="655"/>
      <c r="L883" s="655"/>
      <c r="M883" s="655"/>
      <c r="N883" s="655"/>
      <c r="O883" s="655"/>
      <c r="P883" s="655"/>
      <c r="Q883" s="655"/>
      <c r="R883" s="655"/>
      <c r="S883" s="655"/>
      <c r="T883" s="655"/>
      <c r="U883" s="655"/>
      <c r="V883" s="655"/>
      <c r="W883" s="655"/>
      <c r="X883" s="655"/>
      <c r="Y883" s="655"/>
      <c r="Z883" s="655"/>
    </row>
    <row r="884">
      <c r="B884" s="462"/>
      <c r="C884" s="671"/>
      <c r="D884" s="462"/>
      <c r="E884" s="654"/>
      <c r="F884" s="650"/>
      <c r="G884" s="654"/>
      <c r="H884" s="654"/>
      <c r="I884" s="650"/>
      <c r="J884" s="650"/>
      <c r="K884" s="655"/>
      <c r="L884" s="655"/>
      <c r="M884" s="655"/>
      <c r="N884" s="655"/>
      <c r="O884" s="655"/>
      <c r="P884" s="655"/>
      <c r="Q884" s="655"/>
      <c r="R884" s="655"/>
      <c r="S884" s="655"/>
      <c r="T884" s="655"/>
      <c r="U884" s="655"/>
      <c r="V884" s="655"/>
      <c r="W884" s="655"/>
      <c r="X884" s="655"/>
      <c r="Y884" s="655"/>
      <c r="Z884" s="655"/>
    </row>
    <row r="885">
      <c r="B885" s="462"/>
      <c r="C885" s="671"/>
      <c r="D885" s="462"/>
      <c r="E885" s="654"/>
      <c r="F885" s="650"/>
      <c r="G885" s="654"/>
      <c r="H885" s="654"/>
      <c r="I885" s="650"/>
      <c r="J885" s="650"/>
      <c r="K885" s="655"/>
      <c r="L885" s="655"/>
      <c r="M885" s="655"/>
      <c r="N885" s="655"/>
      <c r="O885" s="655"/>
      <c r="P885" s="655"/>
      <c r="Q885" s="655"/>
      <c r="R885" s="655"/>
      <c r="S885" s="655"/>
      <c r="T885" s="655"/>
      <c r="U885" s="655"/>
      <c r="V885" s="655"/>
      <c r="W885" s="655"/>
      <c r="X885" s="655"/>
      <c r="Y885" s="655"/>
      <c r="Z885" s="655"/>
    </row>
    <row r="886">
      <c r="B886" s="462"/>
      <c r="C886" s="671"/>
      <c r="D886" s="462"/>
      <c r="E886" s="654"/>
      <c r="F886" s="650"/>
      <c r="G886" s="654"/>
      <c r="H886" s="654"/>
      <c r="I886" s="650"/>
      <c r="J886" s="650"/>
      <c r="K886" s="655"/>
      <c r="L886" s="655"/>
      <c r="M886" s="655"/>
      <c r="N886" s="655"/>
      <c r="O886" s="655"/>
      <c r="P886" s="655"/>
      <c r="Q886" s="655"/>
      <c r="R886" s="655"/>
      <c r="S886" s="655"/>
      <c r="T886" s="655"/>
      <c r="U886" s="655"/>
      <c r="V886" s="655"/>
      <c r="W886" s="655"/>
      <c r="X886" s="655"/>
      <c r="Y886" s="655"/>
      <c r="Z886" s="655"/>
    </row>
    <row r="887">
      <c r="B887" s="462"/>
      <c r="C887" s="671"/>
      <c r="D887" s="462"/>
      <c r="E887" s="654"/>
      <c r="F887" s="650"/>
      <c r="G887" s="654"/>
      <c r="H887" s="654"/>
      <c r="I887" s="650"/>
      <c r="J887" s="650"/>
      <c r="K887" s="655"/>
      <c r="L887" s="655"/>
      <c r="M887" s="655"/>
      <c r="N887" s="655"/>
      <c r="O887" s="655"/>
      <c r="P887" s="655"/>
      <c r="Q887" s="655"/>
      <c r="R887" s="655"/>
      <c r="S887" s="655"/>
      <c r="T887" s="655"/>
      <c r="U887" s="655"/>
      <c r="V887" s="655"/>
      <c r="W887" s="655"/>
      <c r="X887" s="655"/>
      <c r="Y887" s="655"/>
      <c r="Z887" s="655"/>
    </row>
    <row r="888">
      <c r="B888" s="462"/>
      <c r="C888" s="671"/>
      <c r="D888" s="462"/>
      <c r="E888" s="654"/>
      <c r="F888" s="650"/>
      <c r="G888" s="654"/>
      <c r="H888" s="654"/>
      <c r="I888" s="650"/>
      <c r="J888" s="650"/>
      <c r="K888" s="655"/>
      <c r="L888" s="655"/>
      <c r="M888" s="655"/>
      <c r="N888" s="655"/>
      <c r="O888" s="655"/>
      <c r="P888" s="655"/>
      <c r="Q888" s="655"/>
      <c r="R888" s="655"/>
      <c r="S888" s="655"/>
      <c r="T888" s="655"/>
      <c r="U888" s="655"/>
      <c r="V888" s="655"/>
      <c r="W888" s="655"/>
      <c r="X888" s="655"/>
      <c r="Y888" s="655"/>
      <c r="Z888" s="655"/>
    </row>
    <row r="889">
      <c r="B889" s="462"/>
      <c r="C889" s="671"/>
      <c r="D889" s="462"/>
      <c r="E889" s="654"/>
      <c r="F889" s="650"/>
      <c r="G889" s="654"/>
      <c r="H889" s="654"/>
      <c r="I889" s="650"/>
      <c r="J889" s="650"/>
      <c r="K889" s="655"/>
      <c r="L889" s="655"/>
      <c r="M889" s="655"/>
      <c r="N889" s="655"/>
      <c r="O889" s="655"/>
      <c r="P889" s="655"/>
      <c r="Q889" s="655"/>
      <c r="R889" s="655"/>
      <c r="S889" s="655"/>
      <c r="T889" s="655"/>
      <c r="U889" s="655"/>
      <c r="V889" s="655"/>
      <c r="W889" s="655"/>
      <c r="X889" s="655"/>
      <c r="Y889" s="655"/>
      <c r="Z889" s="655"/>
    </row>
    <row r="890">
      <c r="B890" s="462"/>
      <c r="C890" s="671"/>
      <c r="D890" s="462"/>
      <c r="E890" s="654"/>
      <c r="F890" s="650"/>
      <c r="G890" s="654"/>
      <c r="H890" s="654"/>
      <c r="I890" s="650"/>
      <c r="J890" s="650"/>
      <c r="K890" s="655"/>
      <c r="L890" s="655"/>
      <c r="M890" s="655"/>
      <c r="N890" s="655"/>
      <c r="O890" s="655"/>
      <c r="P890" s="655"/>
      <c r="Q890" s="655"/>
      <c r="R890" s="655"/>
      <c r="S890" s="655"/>
      <c r="T890" s="655"/>
      <c r="U890" s="655"/>
      <c r="V890" s="655"/>
      <c r="W890" s="655"/>
      <c r="X890" s="655"/>
      <c r="Y890" s="655"/>
      <c r="Z890" s="655"/>
    </row>
    <row r="891">
      <c r="B891" s="462"/>
      <c r="C891" s="671"/>
      <c r="D891" s="462"/>
      <c r="E891" s="654"/>
      <c r="F891" s="650"/>
      <c r="G891" s="654"/>
      <c r="H891" s="654"/>
      <c r="I891" s="650"/>
      <c r="J891" s="650"/>
      <c r="K891" s="655"/>
      <c r="L891" s="655"/>
      <c r="M891" s="655"/>
      <c r="N891" s="655"/>
      <c r="O891" s="655"/>
      <c r="P891" s="655"/>
      <c r="Q891" s="655"/>
      <c r="R891" s="655"/>
      <c r="S891" s="655"/>
      <c r="T891" s="655"/>
      <c r="U891" s="655"/>
      <c r="V891" s="655"/>
      <c r="W891" s="655"/>
      <c r="X891" s="655"/>
      <c r="Y891" s="655"/>
      <c r="Z891" s="655"/>
    </row>
    <row r="892">
      <c r="B892" s="462"/>
      <c r="C892" s="671"/>
      <c r="D892" s="462"/>
      <c r="E892" s="654"/>
      <c r="F892" s="650"/>
      <c r="G892" s="654"/>
      <c r="H892" s="654"/>
      <c r="I892" s="650"/>
      <c r="J892" s="650"/>
      <c r="K892" s="655"/>
      <c r="L892" s="655"/>
      <c r="M892" s="655"/>
      <c r="N892" s="655"/>
      <c r="O892" s="655"/>
      <c r="P892" s="655"/>
      <c r="Q892" s="655"/>
      <c r="R892" s="655"/>
      <c r="S892" s="655"/>
      <c r="T892" s="655"/>
      <c r="U892" s="655"/>
      <c r="V892" s="655"/>
      <c r="W892" s="655"/>
      <c r="X892" s="655"/>
      <c r="Y892" s="655"/>
      <c r="Z892" s="655"/>
    </row>
    <row r="893">
      <c r="B893" s="462"/>
      <c r="C893" s="671"/>
      <c r="D893" s="462"/>
      <c r="E893" s="654"/>
      <c r="F893" s="650"/>
      <c r="G893" s="654"/>
      <c r="H893" s="654"/>
      <c r="I893" s="650"/>
      <c r="J893" s="650"/>
      <c r="K893" s="655"/>
      <c r="L893" s="655"/>
      <c r="M893" s="655"/>
      <c r="N893" s="655"/>
      <c r="O893" s="655"/>
      <c r="P893" s="655"/>
      <c r="Q893" s="655"/>
      <c r="R893" s="655"/>
      <c r="S893" s="655"/>
      <c r="T893" s="655"/>
      <c r="U893" s="655"/>
      <c r="V893" s="655"/>
      <c r="W893" s="655"/>
      <c r="X893" s="655"/>
      <c r="Y893" s="655"/>
      <c r="Z893" s="655"/>
    </row>
    <row r="894">
      <c r="B894" s="462"/>
      <c r="C894" s="671"/>
      <c r="D894" s="462"/>
      <c r="E894" s="654"/>
      <c r="F894" s="650"/>
      <c r="G894" s="654"/>
      <c r="H894" s="654"/>
      <c r="I894" s="650"/>
      <c r="J894" s="650"/>
      <c r="K894" s="655"/>
      <c r="L894" s="655"/>
      <c r="M894" s="655"/>
      <c r="N894" s="655"/>
      <c r="O894" s="655"/>
      <c r="P894" s="655"/>
      <c r="Q894" s="655"/>
      <c r="R894" s="655"/>
      <c r="S894" s="655"/>
      <c r="T894" s="655"/>
      <c r="U894" s="655"/>
      <c r="V894" s="655"/>
      <c r="W894" s="655"/>
      <c r="X894" s="655"/>
      <c r="Y894" s="655"/>
      <c r="Z894" s="655"/>
    </row>
    <row r="895">
      <c r="B895" s="462"/>
      <c r="C895" s="671"/>
      <c r="D895" s="462"/>
      <c r="E895" s="654"/>
      <c r="F895" s="650"/>
      <c r="G895" s="654"/>
      <c r="H895" s="654"/>
      <c r="I895" s="650"/>
      <c r="J895" s="650"/>
      <c r="K895" s="655"/>
      <c r="L895" s="655"/>
      <c r="M895" s="655"/>
      <c r="N895" s="655"/>
      <c r="O895" s="655"/>
      <c r="P895" s="655"/>
      <c r="Q895" s="655"/>
      <c r="R895" s="655"/>
      <c r="S895" s="655"/>
      <c r="T895" s="655"/>
      <c r="U895" s="655"/>
      <c r="V895" s="655"/>
      <c r="W895" s="655"/>
      <c r="X895" s="655"/>
      <c r="Y895" s="655"/>
      <c r="Z895" s="655"/>
    </row>
    <row r="896">
      <c r="B896" s="462"/>
      <c r="C896" s="671"/>
      <c r="D896" s="462"/>
      <c r="E896" s="654"/>
      <c r="F896" s="650"/>
      <c r="G896" s="654"/>
      <c r="H896" s="654"/>
      <c r="I896" s="650"/>
      <c r="J896" s="650"/>
      <c r="K896" s="655"/>
      <c r="L896" s="655"/>
      <c r="M896" s="655"/>
      <c r="N896" s="655"/>
      <c r="O896" s="655"/>
      <c r="P896" s="655"/>
      <c r="Q896" s="655"/>
      <c r="R896" s="655"/>
      <c r="S896" s="655"/>
      <c r="T896" s="655"/>
      <c r="U896" s="655"/>
      <c r="V896" s="655"/>
      <c r="W896" s="655"/>
      <c r="X896" s="655"/>
      <c r="Y896" s="655"/>
      <c r="Z896" s="655"/>
    </row>
    <row r="897">
      <c r="B897" s="462"/>
      <c r="C897" s="671"/>
      <c r="D897" s="462"/>
      <c r="E897" s="654"/>
      <c r="F897" s="650"/>
      <c r="G897" s="654"/>
      <c r="H897" s="654"/>
      <c r="I897" s="650"/>
      <c r="J897" s="650"/>
      <c r="K897" s="655"/>
      <c r="L897" s="655"/>
      <c r="M897" s="655"/>
      <c r="N897" s="655"/>
      <c r="O897" s="655"/>
      <c r="P897" s="655"/>
      <c r="Q897" s="655"/>
      <c r="R897" s="655"/>
      <c r="S897" s="655"/>
      <c r="T897" s="655"/>
      <c r="U897" s="655"/>
      <c r="V897" s="655"/>
      <c r="W897" s="655"/>
      <c r="X897" s="655"/>
      <c r="Y897" s="655"/>
      <c r="Z897" s="655"/>
    </row>
    <row r="898">
      <c r="B898" s="462"/>
      <c r="C898" s="671"/>
      <c r="D898" s="462"/>
      <c r="E898" s="654"/>
      <c r="F898" s="650"/>
      <c r="G898" s="654"/>
      <c r="H898" s="654"/>
      <c r="I898" s="650"/>
      <c r="J898" s="650"/>
      <c r="K898" s="655"/>
      <c r="L898" s="655"/>
      <c r="M898" s="655"/>
      <c r="N898" s="655"/>
      <c r="O898" s="655"/>
      <c r="P898" s="655"/>
      <c r="Q898" s="655"/>
      <c r="R898" s="655"/>
      <c r="S898" s="655"/>
      <c r="T898" s="655"/>
      <c r="U898" s="655"/>
      <c r="V898" s="655"/>
      <c r="W898" s="655"/>
      <c r="X898" s="655"/>
      <c r="Y898" s="655"/>
      <c r="Z898" s="655"/>
    </row>
    <row r="899">
      <c r="B899" s="462"/>
      <c r="C899" s="671"/>
      <c r="D899" s="462"/>
      <c r="E899" s="654"/>
      <c r="F899" s="650"/>
      <c r="G899" s="654"/>
      <c r="H899" s="654"/>
      <c r="I899" s="650"/>
      <c r="J899" s="650"/>
      <c r="K899" s="655"/>
      <c r="L899" s="655"/>
      <c r="M899" s="655"/>
      <c r="N899" s="655"/>
      <c r="O899" s="655"/>
      <c r="P899" s="655"/>
      <c r="Q899" s="655"/>
      <c r="R899" s="655"/>
      <c r="S899" s="655"/>
      <c r="T899" s="655"/>
      <c r="U899" s="655"/>
      <c r="V899" s="655"/>
      <c r="W899" s="655"/>
      <c r="X899" s="655"/>
      <c r="Y899" s="655"/>
      <c r="Z899" s="655"/>
    </row>
    <row r="900">
      <c r="B900" s="462"/>
      <c r="C900" s="671"/>
      <c r="D900" s="462"/>
      <c r="E900" s="654"/>
      <c r="F900" s="650"/>
      <c r="G900" s="654"/>
      <c r="H900" s="654"/>
      <c r="I900" s="650"/>
      <c r="J900" s="650"/>
      <c r="K900" s="655"/>
      <c r="L900" s="655"/>
      <c r="M900" s="655"/>
      <c r="N900" s="655"/>
      <c r="O900" s="655"/>
      <c r="P900" s="655"/>
      <c r="Q900" s="655"/>
      <c r="R900" s="655"/>
      <c r="S900" s="655"/>
      <c r="T900" s="655"/>
      <c r="U900" s="655"/>
      <c r="V900" s="655"/>
      <c r="W900" s="655"/>
      <c r="X900" s="655"/>
      <c r="Y900" s="655"/>
      <c r="Z900" s="655"/>
    </row>
    <row r="901">
      <c r="B901" s="462"/>
      <c r="C901" s="671"/>
      <c r="D901" s="462"/>
      <c r="E901" s="654"/>
      <c r="F901" s="650"/>
      <c r="G901" s="654"/>
      <c r="H901" s="654"/>
      <c r="I901" s="650"/>
      <c r="J901" s="650"/>
      <c r="K901" s="655"/>
      <c r="L901" s="655"/>
      <c r="M901" s="655"/>
      <c r="N901" s="655"/>
      <c r="O901" s="655"/>
      <c r="P901" s="655"/>
      <c r="Q901" s="655"/>
      <c r="R901" s="655"/>
      <c r="S901" s="655"/>
      <c r="T901" s="655"/>
      <c r="U901" s="655"/>
      <c r="V901" s="655"/>
      <c r="W901" s="655"/>
      <c r="X901" s="655"/>
      <c r="Y901" s="655"/>
      <c r="Z901" s="655"/>
    </row>
    <row r="902">
      <c r="B902" s="462"/>
      <c r="C902" s="671"/>
      <c r="D902" s="462"/>
      <c r="E902" s="654"/>
      <c r="F902" s="650"/>
      <c r="G902" s="654"/>
      <c r="H902" s="654"/>
      <c r="I902" s="650"/>
      <c r="J902" s="650"/>
      <c r="K902" s="655"/>
      <c r="L902" s="655"/>
      <c r="M902" s="655"/>
      <c r="N902" s="655"/>
      <c r="O902" s="655"/>
      <c r="P902" s="655"/>
      <c r="Q902" s="655"/>
      <c r="R902" s="655"/>
      <c r="S902" s="655"/>
      <c r="T902" s="655"/>
      <c r="U902" s="655"/>
      <c r="V902" s="655"/>
      <c r="W902" s="655"/>
      <c r="X902" s="655"/>
      <c r="Y902" s="655"/>
      <c r="Z902" s="655"/>
    </row>
    <row r="903">
      <c r="B903" s="462"/>
      <c r="C903" s="671"/>
      <c r="D903" s="462"/>
      <c r="E903" s="654"/>
      <c r="F903" s="650"/>
      <c r="G903" s="654"/>
      <c r="H903" s="654"/>
      <c r="I903" s="650"/>
      <c r="J903" s="650"/>
      <c r="K903" s="655"/>
      <c r="L903" s="655"/>
      <c r="M903" s="655"/>
      <c r="N903" s="655"/>
      <c r="O903" s="655"/>
      <c r="P903" s="655"/>
      <c r="Q903" s="655"/>
      <c r="R903" s="655"/>
      <c r="S903" s="655"/>
      <c r="T903" s="655"/>
      <c r="U903" s="655"/>
      <c r="V903" s="655"/>
      <c r="W903" s="655"/>
      <c r="X903" s="655"/>
      <c r="Y903" s="655"/>
      <c r="Z903" s="655"/>
    </row>
    <row r="904">
      <c r="B904" s="462"/>
      <c r="C904" s="671"/>
      <c r="D904" s="462"/>
      <c r="E904" s="654"/>
      <c r="F904" s="650"/>
      <c r="G904" s="654"/>
      <c r="H904" s="654"/>
      <c r="I904" s="650"/>
      <c r="J904" s="650"/>
      <c r="K904" s="655"/>
      <c r="L904" s="655"/>
      <c r="M904" s="655"/>
      <c r="N904" s="655"/>
      <c r="O904" s="655"/>
      <c r="P904" s="655"/>
      <c r="Q904" s="655"/>
      <c r="R904" s="655"/>
      <c r="S904" s="655"/>
      <c r="T904" s="655"/>
      <c r="U904" s="655"/>
      <c r="V904" s="655"/>
      <c r="W904" s="655"/>
      <c r="X904" s="655"/>
      <c r="Y904" s="655"/>
      <c r="Z904" s="655"/>
    </row>
    <row r="905">
      <c r="B905" s="462"/>
      <c r="C905" s="671"/>
      <c r="D905" s="462"/>
      <c r="E905" s="654"/>
      <c r="F905" s="650"/>
      <c r="G905" s="654"/>
      <c r="H905" s="654"/>
      <c r="I905" s="650"/>
      <c r="J905" s="650"/>
      <c r="K905" s="655"/>
      <c r="L905" s="655"/>
      <c r="M905" s="655"/>
      <c r="N905" s="655"/>
      <c r="O905" s="655"/>
      <c r="P905" s="655"/>
      <c r="Q905" s="655"/>
      <c r="R905" s="655"/>
      <c r="S905" s="655"/>
      <c r="T905" s="655"/>
      <c r="U905" s="655"/>
      <c r="V905" s="655"/>
      <c r="W905" s="655"/>
      <c r="X905" s="655"/>
      <c r="Y905" s="655"/>
      <c r="Z905" s="655"/>
    </row>
    <row r="906">
      <c r="B906" s="462"/>
      <c r="C906" s="671"/>
      <c r="D906" s="462"/>
      <c r="E906" s="654"/>
      <c r="F906" s="650"/>
      <c r="G906" s="654"/>
      <c r="H906" s="654"/>
      <c r="I906" s="650"/>
      <c r="J906" s="650"/>
      <c r="K906" s="655"/>
      <c r="L906" s="655"/>
      <c r="M906" s="655"/>
      <c r="N906" s="655"/>
      <c r="O906" s="655"/>
      <c r="P906" s="655"/>
      <c r="Q906" s="655"/>
      <c r="R906" s="655"/>
      <c r="S906" s="655"/>
      <c r="T906" s="655"/>
      <c r="U906" s="655"/>
      <c r="V906" s="655"/>
      <c r="W906" s="655"/>
      <c r="X906" s="655"/>
      <c r="Y906" s="655"/>
      <c r="Z906" s="655"/>
    </row>
    <row r="907">
      <c r="B907" s="462"/>
      <c r="C907" s="671"/>
      <c r="D907" s="462"/>
      <c r="E907" s="654"/>
      <c r="F907" s="650"/>
      <c r="G907" s="654"/>
      <c r="H907" s="654"/>
      <c r="I907" s="650"/>
      <c r="J907" s="650"/>
      <c r="K907" s="655"/>
      <c r="L907" s="655"/>
      <c r="M907" s="655"/>
      <c r="N907" s="655"/>
      <c r="O907" s="655"/>
      <c r="P907" s="655"/>
      <c r="Q907" s="655"/>
      <c r="R907" s="655"/>
      <c r="S907" s="655"/>
      <c r="T907" s="655"/>
      <c r="U907" s="655"/>
      <c r="V907" s="655"/>
      <c r="W907" s="655"/>
      <c r="X907" s="655"/>
      <c r="Y907" s="655"/>
      <c r="Z907" s="655"/>
    </row>
    <row r="908">
      <c r="B908" s="462"/>
      <c r="C908" s="671"/>
      <c r="D908" s="462"/>
      <c r="E908" s="654"/>
      <c r="F908" s="650"/>
      <c r="G908" s="654"/>
      <c r="H908" s="654"/>
      <c r="I908" s="650"/>
      <c r="J908" s="650"/>
      <c r="K908" s="655"/>
      <c r="L908" s="655"/>
      <c r="M908" s="655"/>
      <c r="N908" s="655"/>
      <c r="O908" s="655"/>
      <c r="P908" s="655"/>
      <c r="Q908" s="655"/>
      <c r="R908" s="655"/>
      <c r="S908" s="655"/>
      <c r="T908" s="655"/>
      <c r="U908" s="655"/>
      <c r="V908" s="655"/>
      <c r="W908" s="655"/>
      <c r="X908" s="655"/>
      <c r="Y908" s="655"/>
      <c r="Z908" s="655"/>
    </row>
    <row r="909">
      <c r="B909" s="462"/>
      <c r="C909" s="671"/>
      <c r="D909" s="462"/>
      <c r="E909" s="654"/>
      <c r="F909" s="650"/>
      <c r="G909" s="654"/>
      <c r="H909" s="654"/>
      <c r="I909" s="650"/>
      <c r="J909" s="650"/>
      <c r="K909" s="655"/>
      <c r="L909" s="655"/>
      <c r="M909" s="655"/>
      <c r="N909" s="655"/>
      <c r="O909" s="655"/>
      <c r="P909" s="655"/>
      <c r="Q909" s="655"/>
      <c r="R909" s="655"/>
      <c r="S909" s="655"/>
      <c r="T909" s="655"/>
      <c r="U909" s="655"/>
      <c r="V909" s="655"/>
      <c r="W909" s="655"/>
      <c r="X909" s="655"/>
      <c r="Y909" s="655"/>
      <c r="Z909" s="655"/>
    </row>
    <row r="910">
      <c r="B910" s="462"/>
      <c r="C910" s="671"/>
      <c r="D910" s="462"/>
      <c r="E910" s="654"/>
      <c r="F910" s="650"/>
      <c r="G910" s="654"/>
      <c r="H910" s="654"/>
      <c r="I910" s="650"/>
      <c r="J910" s="650"/>
      <c r="K910" s="655"/>
      <c r="L910" s="655"/>
      <c r="M910" s="655"/>
      <c r="N910" s="655"/>
      <c r="O910" s="655"/>
      <c r="P910" s="655"/>
      <c r="Q910" s="655"/>
      <c r="R910" s="655"/>
      <c r="S910" s="655"/>
      <c r="T910" s="655"/>
      <c r="U910" s="655"/>
      <c r="V910" s="655"/>
      <c r="W910" s="655"/>
      <c r="X910" s="655"/>
      <c r="Y910" s="655"/>
      <c r="Z910" s="655"/>
    </row>
    <row r="911">
      <c r="B911" s="462"/>
      <c r="C911" s="671"/>
      <c r="D911" s="462"/>
      <c r="E911" s="654"/>
      <c r="F911" s="650"/>
      <c r="G911" s="654"/>
      <c r="H911" s="654"/>
      <c r="I911" s="650"/>
      <c r="J911" s="650"/>
      <c r="K911" s="655"/>
      <c r="L911" s="655"/>
      <c r="M911" s="655"/>
      <c r="N911" s="655"/>
      <c r="O911" s="655"/>
      <c r="P911" s="655"/>
      <c r="Q911" s="655"/>
      <c r="R911" s="655"/>
      <c r="S911" s="655"/>
      <c r="T911" s="655"/>
      <c r="U911" s="655"/>
      <c r="V911" s="655"/>
      <c r="W911" s="655"/>
      <c r="X911" s="655"/>
      <c r="Y911" s="655"/>
      <c r="Z911" s="655"/>
    </row>
    <row r="912">
      <c r="B912" s="462"/>
      <c r="C912" s="671"/>
      <c r="D912" s="462"/>
      <c r="E912" s="654"/>
      <c r="F912" s="650"/>
      <c r="G912" s="654"/>
      <c r="H912" s="654"/>
      <c r="I912" s="650"/>
      <c r="J912" s="650"/>
      <c r="K912" s="655"/>
      <c r="L912" s="655"/>
      <c r="M912" s="655"/>
      <c r="N912" s="655"/>
      <c r="O912" s="655"/>
      <c r="P912" s="655"/>
      <c r="Q912" s="655"/>
      <c r="R912" s="655"/>
      <c r="S912" s="655"/>
      <c r="T912" s="655"/>
      <c r="U912" s="655"/>
      <c r="V912" s="655"/>
      <c r="W912" s="655"/>
      <c r="X912" s="655"/>
      <c r="Y912" s="655"/>
      <c r="Z912" s="655"/>
    </row>
    <row r="913">
      <c r="B913" s="462"/>
      <c r="C913" s="671"/>
      <c r="D913" s="462"/>
      <c r="E913" s="654"/>
      <c r="F913" s="650"/>
      <c r="G913" s="654"/>
      <c r="H913" s="654"/>
      <c r="I913" s="650"/>
      <c r="J913" s="650"/>
      <c r="K913" s="655"/>
      <c r="L913" s="655"/>
      <c r="M913" s="655"/>
      <c r="N913" s="655"/>
      <c r="O913" s="655"/>
      <c r="P913" s="655"/>
      <c r="Q913" s="655"/>
      <c r="R913" s="655"/>
      <c r="S913" s="655"/>
      <c r="T913" s="655"/>
      <c r="U913" s="655"/>
      <c r="V913" s="655"/>
      <c r="W913" s="655"/>
      <c r="X913" s="655"/>
      <c r="Y913" s="655"/>
      <c r="Z913" s="655"/>
    </row>
    <row r="914">
      <c r="B914" s="462"/>
      <c r="C914" s="671"/>
      <c r="D914" s="462"/>
      <c r="E914" s="654"/>
      <c r="F914" s="650"/>
      <c r="G914" s="654"/>
      <c r="H914" s="654"/>
      <c r="I914" s="650"/>
      <c r="J914" s="650"/>
      <c r="K914" s="655"/>
      <c r="L914" s="655"/>
      <c r="M914" s="655"/>
      <c r="N914" s="655"/>
      <c r="O914" s="655"/>
      <c r="P914" s="655"/>
      <c r="Q914" s="655"/>
      <c r="R914" s="655"/>
      <c r="S914" s="655"/>
      <c r="T914" s="655"/>
      <c r="U914" s="655"/>
      <c r="V914" s="655"/>
      <c r="W914" s="655"/>
      <c r="X914" s="655"/>
      <c r="Y914" s="655"/>
      <c r="Z914" s="655"/>
    </row>
    <row r="915">
      <c r="B915" s="462"/>
      <c r="C915" s="671"/>
      <c r="D915" s="462"/>
      <c r="E915" s="654"/>
      <c r="F915" s="650"/>
      <c r="G915" s="654"/>
      <c r="H915" s="654"/>
      <c r="I915" s="650"/>
      <c r="J915" s="650"/>
      <c r="K915" s="655"/>
      <c r="L915" s="655"/>
      <c r="M915" s="655"/>
      <c r="N915" s="655"/>
      <c r="O915" s="655"/>
      <c r="P915" s="655"/>
      <c r="Q915" s="655"/>
      <c r="R915" s="655"/>
      <c r="S915" s="655"/>
      <c r="T915" s="655"/>
      <c r="U915" s="655"/>
      <c r="V915" s="655"/>
      <c r="W915" s="655"/>
      <c r="X915" s="655"/>
      <c r="Y915" s="655"/>
      <c r="Z915" s="655"/>
    </row>
    <row r="916">
      <c r="B916" s="462"/>
      <c r="C916" s="671"/>
      <c r="D916" s="462"/>
      <c r="E916" s="654"/>
      <c r="F916" s="650"/>
      <c r="G916" s="654"/>
      <c r="H916" s="654"/>
      <c r="I916" s="650"/>
      <c r="J916" s="650"/>
      <c r="K916" s="655"/>
      <c r="L916" s="655"/>
      <c r="M916" s="655"/>
      <c r="N916" s="655"/>
      <c r="O916" s="655"/>
      <c r="P916" s="655"/>
      <c r="Q916" s="655"/>
      <c r="R916" s="655"/>
      <c r="S916" s="655"/>
      <c r="T916" s="655"/>
      <c r="U916" s="655"/>
      <c r="V916" s="655"/>
      <c r="W916" s="655"/>
      <c r="X916" s="655"/>
      <c r="Y916" s="655"/>
      <c r="Z916" s="655"/>
    </row>
    <row r="917">
      <c r="B917" s="462"/>
      <c r="C917" s="671"/>
      <c r="D917" s="462"/>
      <c r="E917" s="654"/>
      <c r="F917" s="650"/>
      <c r="G917" s="654"/>
      <c r="H917" s="654"/>
      <c r="I917" s="650"/>
      <c r="J917" s="650"/>
      <c r="K917" s="655"/>
      <c r="L917" s="655"/>
      <c r="M917" s="655"/>
      <c r="N917" s="655"/>
      <c r="O917" s="655"/>
      <c r="P917" s="655"/>
      <c r="Q917" s="655"/>
      <c r="R917" s="655"/>
      <c r="S917" s="655"/>
      <c r="T917" s="655"/>
      <c r="U917" s="655"/>
      <c r="V917" s="655"/>
      <c r="W917" s="655"/>
      <c r="X917" s="655"/>
      <c r="Y917" s="655"/>
      <c r="Z917" s="655"/>
    </row>
    <row r="918">
      <c r="B918" s="462"/>
      <c r="C918" s="671"/>
      <c r="D918" s="462"/>
      <c r="E918" s="654"/>
      <c r="F918" s="650"/>
      <c r="G918" s="654"/>
      <c r="H918" s="654"/>
      <c r="I918" s="650"/>
      <c r="J918" s="650"/>
      <c r="K918" s="655"/>
      <c r="L918" s="655"/>
      <c r="M918" s="655"/>
      <c r="N918" s="655"/>
      <c r="O918" s="655"/>
      <c r="P918" s="655"/>
      <c r="Q918" s="655"/>
      <c r="R918" s="655"/>
      <c r="S918" s="655"/>
      <c r="T918" s="655"/>
      <c r="U918" s="655"/>
      <c r="V918" s="655"/>
      <c r="W918" s="655"/>
      <c r="X918" s="655"/>
      <c r="Y918" s="655"/>
      <c r="Z918" s="655"/>
    </row>
    <row r="919">
      <c r="B919" s="462"/>
      <c r="C919" s="671"/>
      <c r="D919" s="462"/>
      <c r="E919" s="654"/>
      <c r="F919" s="650"/>
      <c r="G919" s="654"/>
      <c r="H919" s="654"/>
      <c r="I919" s="650"/>
      <c r="J919" s="650"/>
      <c r="K919" s="655"/>
      <c r="L919" s="655"/>
      <c r="M919" s="655"/>
      <c r="N919" s="655"/>
      <c r="O919" s="655"/>
      <c r="P919" s="655"/>
      <c r="Q919" s="655"/>
      <c r="R919" s="655"/>
      <c r="S919" s="655"/>
      <c r="T919" s="655"/>
      <c r="U919" s="655"/>
      <c r="V919" s="655"/>
      <c r="W919" s="655"/>
      <c r="X919" s="655"/>
      <c r="Y919" s="655"/>
      <c r="Z919" s="655"/>
    </row>
    <row r="920">
      <c r="B920" s="462"/>
      <c r="C920" s="671"/>
      <c r="D920" s="462"/>
      <c r="E920" s="654"/>
      <c r="F920" s="650"/>
      <c r="G920" s="654"/>
      <c r="H920" s="654"/>
      <c r="I920" s="650"/>
      <c r="J920" s="650"/>
      <c r="K920" s="655"/>
      <c r="L920" s="655"/>
      <c r="M920" s="655"/>
      <c r="N920" s="655"/>
      <c r="O920" s="655"/>
      <c r="P920" s="655"/>
      <c r="Q920" s="655"/>
      <c r="R920" s="655"/>
      <c r="S920" s="655"/>
      <c r="T920" s="655"/>
      <c r="U920" s="655"/>
      <c r="V920" s="655"/>
      <c r="W920" s="655"/>
      <c r="X920" s="655"/>
      <c r="Y920" s="655"/>
      <c r="Z920" s="655"/>
    </row>
    <row r="921">
      <c r="B921" s="462"/>
      <c r="C921" s="671"/>
      <c r="D921" s="462"/>
      <c r="E921" s="654"/>
      <c r="F921" s="650"/>
      <c r="G921" s="654"/>
      <c r="H921" s="654"/>
      <c r="I921" s="650"/>
      <c r="J921" s="650"/>
      <c r="K921" s="655"/>
      <c r="L921" s="655"/>
      <c r="M921" s="655"/>
      <c r="N921" s="655"/>
      <c r="O921" s="655"/>
      <c r="P921" s="655"/>
      <c r="Q921" s="655"/>
      <c r="R921" s="655"/>
      <c r="S921" s="655"/>
      <c r="T921" s="655"/>
      <c r="U921" s="655"/>
      <c r="V921" s="655"/>
      <c r="W921" s="655"/>
      <c r="X921" s="655"/>
      <c r="Y921" s="655"/>
      <c r="Z921" s="655"/>
    </row>
    <row r="922">
      <c r="B922" s="462"/>
      <c r="C922" s="671"/>
      <c r="D922" s="462"/>
      <c r="E922" s="654"/>
      <c r="F922" s="650"/>
      <c r="G922" s="654"/>
      <c r="H922" s="654"/>
      <c r="I922" s="650"/>
      <c r="J922" s="650"/>
      <c r="K922" s="655"/>
      <c r="L922" s="655"/>
      <c r="M922" s="655"/>
      <c r="N922" s="655"/>
      <c r="O922" s="655"/>
      <c r="P922" s="655"/>
      <c r="Q922" s="655"/>
      <c r="R922" s="655"/>
      <c r="S922" s="655"/>
      <c r="T922" s="655"/>
      <c r="U922" s="655"/>
      <c r="V922" s="655"/>
      <c r="W922" s="655"/>
      <c r="X922" s="655"/>
      <c r="Y922" s="655"/>
      <c r="Z922" s="655"/>
    </row>
    <row r="923">
      <c r="B923" s="462"/>
      <c r="C923" s="671"/>
      <c r="D923" s="462"/>
      <c r="E923" s="654"/>
      <c r="F923" s="650"/>
      <c r="G923" s="654"/>
      <c r="H923" s="654"/>
      <c r="I923" s="650"/>
      <c r="J923" s="650"/>
      <c r="K923" s="655"/>
      <c r="L923" s="655"/>
      <c r="M923" s="655"/>
      <c r="N923" s="655"/>
      <c r="O923" s="655"/>
      <c r="P923" s="655"/>
      <c r="Q923" s="655"/>
      <c r="R923" s="655"/>
      <c r="S923" s="655"/>
      <c r="T923" s="655"/>
      <c r="U923" s="655"/>
      <c r="V923" s="655"/>
      <c r="W923" s="655"/>
      <c r="X923" s="655"/>
      <c r="Y923" s="655"/>
      <c r="Z923" s="655"/>
    </row>
    <row r="924">
      <c r="B924" s="462"/>
      <c r="C924" s="671"/>
      <c r="D924" s="462"/>
      <c r="E924" s="654"/>
      <c r="F924" s="650"/>
      <c r="G924" s="654"/>
      <c r="H924" s="654"/>
      <c r="I924" s="650"/>
      <c r="J924" s="650"/>
      <c r="K924" s="655"/>
      <c r="L924" s="655"/>
      <c r="M924" s="655"/>
      <c r="N924" s="655"/>
      <c r="O924" s="655"/>
      <c r="P924" s="655"/>
      <c r="Q924" s="655"/>
      <c r="R924" s="655"/>
      <c r="S924" s="655"/>
      <c r="T924" s="655"/>
      <c r="U924" s="655"/>
      <c r="V924" s="655"/>
      <c r="W924" s="655"/>
      <c r="X924" s="655"/>
      <c r="Y924" s="655"/>
      <c r="Z924" s="655"/>
    </row>
    <row r="925">
      <c r="B925" s="462"/>
      <c r="C925" s="671"/>
      <c r="D925" s="462"/>
      <c r="E925" s="654"/>
      <c r="F925" s="650"/>
      <c r="G925" s="654"/>
      <c r="H925" s="654"/>
      <c r="I925" s="650"/>
      <c r="J925" s="650"/>
      <c r="K925" s="655"/>
      <c r="L925" s="655"/>
      <c r="M925" s="655"/>
      <c r="N925" s="655"/>
      <c r="O925" s="655"/>
      <c r="P925" s="655"/>
      <c r="Q925" s="655"/>
      <c r="R925" s="655"/>
      <c r="S925" s="655"/>
      <c r="T925" s="655"/>
      <c r="U925" s="655"/>
      <c r="V925" s="655"/>
      <c r="W925" s="655"/>
      <c r="X925" s="655"/>
      <c r="Y925" s="655"/>
      <c r="Z925" s="655"/>
    </row>
    <row r="926">
      <c r="B926" s="462"/>
      <c r="C926" s="671"/>
      <c r="D926" s="462"/>
      <c r="E926" s="654"/>
      <c r="F926" s="650"/>
      <c r="G926" s="654"/>
      <c r="H926" s="654"/>
      <c r="I926" s="650"/>
      <c r="J926" s="650"/>
      <c r="K926" s="655"/>
      <c r="L926" s="655"/>
      <c r="M926" s="655"/>
      <c r="N926" s="655"/>
      <c r="O926" s="655"/>
      <c r="P926" s="655"/>
      <c r="Q926" s="655"/>
      <c r="R926" s="655"/>
      <c r="S926" s="655"/>
      <c r="T926" s="655"/>
      <c r="U926" s="655"/>
      <c r="V926" s="655"/>
      <c r="W926" s="655"/>
      <c r="X926" s="655"/>
      <c r="Y926" s="655"/>
      <c r="Z926" s="655"/>
    </row>
    <row r="927">
      <c r="B927" s="462"/>
      <c r="C927" s="671"/>
      <c r="D927" s="462"/>
      <c r="E927" s="654"/>
      <c r="F927" s="650"/>
      <c r="G927" s="654"/>
      <c r="H927" s="654"/>
      <c r="I927" s="650"/>
      <c r="J927" s="650"/>
      <c r="K927" s="655"/>
      <c r="L927" s="655"/>
      <c r="M927" s="655"/>
      <c r="N927" s="655"/>
      <c r="O927" s="655"/>
      <c r="P927" s="655"/>
      <c r="Q927" s="655"/>
      <c r="R927" s="655"/>
      <c r="S927" s="655"/>
      <c r="T927" s="655"/>
      <c r="U927" s="655"/>
      <c r="V927" s="655"/>
      <c r="W927" s="655"/>
      <c r="X927" s="655"/>
      <c r="Y927" s="655"/>
      <c r="Z927" s="655"/>
    </row>
    <row r="928">
      <c r="B928" s="462"/>
      <c r="C928" s="671"/>
      <c r="D928" s="462"/>
      <c r="E928" s="654"/>
      <c r="F928" s="650"/>
      <c r="G928" s="654"/>
      <c r="H928" s="654"/>
      <c r="I928" s="650"/>
      <c r="J928" s="650"/>
      <c r="K928" s="655"/>
      <c r="L928" s="655"/>
      <c r="M928" s="655"/>
      <c r="N928" s="655"/>
      <c r="O928" s="655"/>
      <c r="P928" s="655"/>
      <c r="Q928" s="655"/>
      <c r="R928" s="655"/>
      <c r="S928" s="655"/>
      <c r="T928" s="655"/>
      <c r="U928" s="655"/>
      <c r="V928" s="655"/>
      <c r="W928" s="655"/>
      <c r="X928" s="655"/>
      <c r="Y928" s="655"/>
      <c r="Z928" s="655"/>
    </row>
    <row r="929">
      <c r="B929" s="462"/>
      <c r="C929" s="671"/>
      <c r="D929" s="462"/>
      <c r="E929" s="654"/>
      <c r="F929" s="650"/>
      <c r="G929" s="654"/>
      <c r="H929" s="654"/>
      <c r="I929" s="650"/>
      <c r="J929" s="650"/>
      <c r="K929" s="655"/>
      <c r="L929" s="655"/>
      <c r="M929" s="655"/>
      <c r="N929" s="655"/>
      <c r="O929" s="655"/>
      <c r="P929" s="655"/>
      <c r="Q929" s="655"/>
      <c r="R929" s="655"/>
      <c r="S929" s="655"/>
      <c r="T929" s="655"/>
      <c r="U929" s="655"/>
      <c r="V929" s="655"/>
      <c r="W929" s="655"/>
      <c r="X929" s="655"/>
      <c r="Y929" s="655"/>
      <c r="Z929" s="655"/>
    </row>
    <row r="930">
      <c r="B930" s="462"/>
      <c r="C930" s="671"/>
      <c r="D930" s="462"/>
      <c r="E930" s="654"/>
      <c r="F930" s="650"/>
      <c r="G930" s="654"/>
      <c r="H930" s="654"/>
      <c r="I930" s="650"/>
      <c r="J930" s="650"/>
      <c r="K930" s="655"/>
      <c r="L930" s="655"/>
      <c r="M930" s="655"/>
      <c r="N930" s="655"/>
      <c r="O930" s="655"/>
      <c r="P930" s="655"/>
      <c r="Q930" s="655"/>
      <c r="R930" s="655"/>
      <c r="S930" s="655"/>
      <c r="T930" s="655"/>
      <c r="U930" s="655"/>
      <c r="V930" s="655"/>
      <c r="W930" s="655"/>
      <c r="X930" s="655"/>
      <c r="Y930" s="655"/>
      <c r="Z930" s="655"/>
    </row>
    <row r="931">
      <c r="B931" s="462"/>
      <c r="C931" s="671"/>
      <c r="D931" s="462"/>
      <c r="E931" s="654"/>
      <c r="F931" s="650"/>
      <c r="G931" s="654"/>
      <c r="H931" s="654"/>
      <c r="I931" s="650"/>
      <c r="J931" s="650"/>
      <c r="K931" s="655"/>
      <c r="L931" s="655"/>
      <c r="M931" s="655"/>
      <c r="N931" s="655"/>
      <c r="O931" s="655"/>
      <c r="P931" s="655"/>
      <c r="Q931" s="655"/>
      <c r="R931" s="655"/>
      <c r="S931" s="655"/>
      <c r="T931" s="655"/>
      <c r="U931" s="655"/>
      <c r="V931" s="655"/>
      <c r="W931" s="655"/>
      <c r="X931" s="655"/>
      <c r="Y931" s="655"/>
      <c r="Z931" s="655"/>
    </row>
    <row r="932">
      <c r="B932" s="462"/>
      <c r="C932" s="671"/>
      <c r="D932" s="462"/>
      <c r="E932" s="654"/>
      <c r="F932" s="650"/>
      <c r="G932" s="654"/>
      <c r="H932" s="654"/>
      <c r="I932" s="650"/>
      <c r="J932" s="650"/>
      <c r="K932" s="655"/>
      <c r="L932" s="655"/>
      <c r="M932" s="655"/>
      <c r="N932" s="655"/>
      <c r="O932" s="655"/>
      <c r="P932" s="655"/>
      <c r="Q932" s="655"/>
      <c r="R932" s="655"/>
      <c r="S932" s="655"/>
      <c r="T932" s="655"/>
      <c r="U932" s="655"/>
      <c r="V932" s="655"/>
      <c r="W932" s="655"/>
      <c r="X932" s="655"/>
      <c r="Y932" s="655"/>
      <c r="Z932" s="655"/>
    </row>
    <row r="933">
      <c r="B933" s="462"/>
      <c r="C933" s="671"/>
      <c r="D933" s="462"/>
      <c r="E933" s="654"/>
      <c r="F933" s="650"/>
      <c r="G933" s="654"/>
      <c r="H933" s="654"/>
      <c r="I933" s="650"/>
      <c r="J933" s="650"/>
      <c r="K933" s="655"/>
      <c r="L933" s="655"/>
      <c r="M933" s="655"/>
      <c r="N933" s="655"/>
      <c r="O933" s="655"/>
      <c r="P933" s="655"/>
      <c r="Q933" s="655"/>
      <c r="R933" s="655"/>
      <c r="S933" s="655"/>
      <c r="T933" s="655"/>
      <c r="U933" s="655"/>
      <c r="V933" s="655"/>
      <c r="W933" s="655"/>
      <c r="X933" s="655"/>
      <c r="Y933" s="655"/>
      <c r="Z933" s="655"/>
    </row>
    <row r="934">
      <c r="B934" s="462"/>
      <c r="C934" s="671"/>
      <c r="D934" s="462"/>
      <c r="E934" s="654"/>
      <c r="F934" s="650"/>
      <c r="G934" s="654"/>
      <c r="H934" s="654"/>
      <c r="I934" s="650"/>
      <c r="J934" s="650"/>
      <c r="K934" s="655"/>
      <c r="L934" s="655"/>
      <c r="M934" s="655"/>
      <c r="N934" s="655"/>
      <c r="O934" s="655"/>
      <c r="P934" s="655"/>
      <c r="Q934" s="655"/>
      <c r="R934" s="655"/>
      <c r="S934" s="655"/>
      <c r="T934" s="655"/>
      <c r="U934" s="655"/>
      <c r="V934" s="655"/>
      <c r="W934" s="655"/>
      <c r="X934" s="655"/>
      <c r="Y934" s="655"/>
      <c r="Z934" s="655"/>
    </row>
    <row r="935">
      <c r="B935" s="462"/>
      <c r="C935" s="671"/>
      <c r="D935" s="462"/>
      <c r="E935" s="654"/>
      <c r="F935" s="650"/>
      <c r="G935" s="654"/>
      <c r="H935" s="654"/>
      <c r="I935" s="650"/>
      <c r="J935" s="650"/>
      <c r="K935" s="655"/>
      <c r="L935" s="655"/>
      <c r="M935" s="655"/>
      <c r="N935" s="655"/>
      <c r="O935" s="655"/>
      <c r="P935" s="655"/>
      <c r="Q935" s="655"/>
      <c r="R935" s="655"/>
      <c r="S935" s="655"/>
      <c r="T935" s="655"/>
      <c r="U935" s="655"/>
      <c r="V935" s="655"/>
      <c r="W935" s="655"/>
      <c r="X935" s="655"/>
      <c r="Y935" s="655"/>
      <c r="Z935" s="655"/>
    </row>
    <row r="936">
      <c r="B936" s="462"/>
      <c r="C936" s="671"/>
      <c r="D936" s="462"/>
      <c r="E936" s="654"/>
      <c r="F936" s="650"/>
      <c r="G936" s="654"/>
      <c r="H936" s="654"/>
      <c r="I936" s="650"/>
      <c r="J936" s="650"/>
      <c r="K936" s="655"/>
      <c r="L936" s="655"/>
      <c r="M936" s="655"/>
      <c r="N936" s="655"/>
      <c r="O936" s="655"/>
      <c r="P936" s="655"/>
      <c r="Q936" s="655"/>
      <c r="R936" s="655"/>
      <c r="S936" s="655"/>
      <c r="T936" s="655"/>
      <c r="U936" s="655"/>
      <c r="V936" s="655"/>
      <c r="W936" s="655"/>
      <c r="X936" s="655"/>
      <c r="Y936" s="655"/>
      <c r="Z936" s="655"/>
    </row>
    <row r="937">
      <c r="B937" s="462"/>
      <c r="C937" s="671"/>
      <c r="D937" s="462"/>
      <c r="E937" s="654"/>
      <c r="F937" s="650"/>
      <c r="G937" s="654"/>
      <c r="H937" s="654"/>
      <c r="I937" s="650"/>
      <c r="J937" s="650"/>
      <c r="K937" s="655"/>
      <c r="L937" s="655"/>
      <c r="M937" s="655"/>
      <c r="N937" s="655"/>
      <c r="O937" s="655"/>
      <c r="P937" s="655"/>
      <c r="Q937" s="655"/>
      <c r="R937" s="655"/>
      <c r="S937" s="655"/>
      <c r="T937" s="655"/>
      <c r="U937" s="655"/>
      <c r="V937" s="655"/>
      <c r="W937" s="655"/>
      <c r="X937" s="655"/>
      <c r="Y937" s="655"/>
      <c r="Z937" s="655"/>
    </row>
    <row r="938">
      <c r="B938" s="462"/>
      <c r="C938" s="671"/>
      <c r="D938" s="462"/>
      <c r="E938" s="654"/>
      <c r="F938" s="650"/>
      <c r="G938" s="654"/>
      <c r="H938" s="654"/>
      <c r="I938" s="650"/>
      <c r="J938" s="650"/>
      <c r="K938" s="655"/>
      <c r="L938" s="655"/>
      <c r="M938" s="655"/>
      <c r="N938" s="655"/>
      <c r="O938" s="655"/>
      <c r="P938" s="655"/>
      <c r="Q938" s="655"/>
      <c r="R938" s="655"/>
      <c r="S938" s="655"/>
      <c r="T938" s="655"/>
      <c r="U938" s="655"/>
      <c r="V938" s="655"/>
      <c r="W938" s="655"/>
      <c r="X938" s="655"/>
      <c r="Y938" s="655"/>
      <c r="Z938" s="655"/>
    </row>
    <row r="939">
      <c r="B939" s="462"/>
      <c r="C939" s="671"/>
      <c r="D939" s="462"/>
      <c r="E939" s="654"/>
      <c r="F939" s="650"/>
      <c r="G939" s="654"/>
      <c r="H939" s="654"/>
      <c r="I939" s="650"/>
      <c r="J939" s="650"/>
      <c r="K939" s="655"/>
      <c r="L939" s="655"/>
      <c r="M939" s="655"/>
      <c r="N939" s="655"/>
      <c r="O939" s="655"/>
      <c r="P939" s="655"/>
      <c r="Q939" s="655"/>
      <c r="R939" s="655"/>
      <c r="S939" s="655"/>
      <c r="T939" s="655"/>
      <c r="U939" s="655"/>
      <c r="V939" s="655"/>
      <c r="W939" s="655"/>
      <c r="X939" s="655"/>
      <c r="Y939" s="655"/>
      <c r="Z939" s="655"/>
    </row>
    <row r="940">
      <c r="B940" s="462"/>
      <c r="C940" s="671"/>
      <c r="D940" s="462"/>
      <c r="E940" s="654"/>
      <c r="F940" s="650"/>
      <c r="G940" s="654"/>
      <c r="H940" s="654"/>
      <c r="I940" s="650"/>
      <c r="J940" s="650"/>
      <c r="K940" s="655"/>
      <c r="L940" s="655"/>
      <c r="M940" s="655"/>
      <c r="N940" s="655"/>
      <c r="O940" s="655"/>
      <c r="P940" s="655"/>
      <c r="Q940" s="655"/>
      <c r="R940" s="655"/>
      <c r="S940" s="655"/>
      <c r="T940" s="655"/>
      <c r="U940" s="655"/>
      <c r="V940" s="655"/>
      <c r="W940" s="655"/>
      <c r="X940" s="655"/>
      <c r="Y940" s="655"/>
      <c r="Z940" s="655"/>
    </row>
    <row r="941">
      <c r="B941" s="462"/>
      <c r="C941" s="671"/>
      <c r="D941" s="462"/>
      <c r="E941" s="654"/>
      <c r="F941" s="650"/>
      <c r="G941" s="654"/>
      <c r="H941" s="654"/>
      <c r="I941" s="650"/>
      <c r="J941" s="650"/>
      <c r="K941" s="655"/>
      <c r="L941" s="655"/>
      <c r="M941" s="655"/>
      <c r="N941" s="655"/>
      <c r="O941" s="655"/>
      <c r="P941" s="655"/>
      <c r="Q941" s="655"/>
      <c r="R941" s="655"/>
      <c r="S941" s="655"/>
      <c r="T941" s="655"/>
      <c r="U941" s="655"/>
      <c r="V941" s="655"/>
      <c r="W941" s="655"/>
      <c r="X941" s="655"/>
      <c r="Y941" s="655"/>
      <c r="Z941" s="655"/>
    </row>
    <row r="942">
      <c r="B942" s="462"/>
      <c r="C942" s="671"/>
      <c r="D942" s="462"/>
      <c r="E942" s="654"/>
      <c r="F942" s="650"/>
      <c r="G942" s="654"/>
      <c r="H942" s="654"/>
      <c r="I942" s="650"/>
      <c r="J942" s="650"/>
      <c r="K942" s="655"/>
      <c r="L942" s="655"/>
      <c r="M942" s="655"/>
      <c r="N942" s="655"/>
      <c r="O942" s="655"/>
      <c r="P942" s="655"/>
      <c r="Q942" s="655"/>
      <c r="R942" s="655"/>
      <c r="S942" s="655"/>
      <c r="T942" s="655"/>
      <c r="U942" s="655"/>
      <c r="V942" s="655"/>
      <c r="W942" s="655"/>
      <c r="X942" s="655"/>
      <c r="Y942" s="655"/>
      <c r="Z942" s="655"/>
    </row>
    <row r="943">
      <c r="B943" s="462"/>
      <c r="C943" s="671"/>
      <c r="D943" s="462"/>
      <c r="E943" s="654"/>
      <c r="F943" s="650"/>
      <c r="G943" s="654"/>
      <c r="H943" s="654"/>
      <c r="I943" s="650"/>
      <c r="J943" s="650"/>
      <c r="K943" s="655"/>
      <c r="L943" s="655"/>
      <c r="M943" s="655"/>
      <c r="N943" s="655"/>
      <c r="O943" s="655"/>
      <c r="P943" s="655"/>
      <c r="Q943" s="655"/>
      <c r="R943" s="655"/>
      <c r="S943" s="655"/>
      <c r="T943" s="655"/>
      <c r="U943" s="655"/>
      <c r="V943" s="655"/>
      <c r="W943" s="655"/>
      <c r="X943" s="655"/>
      <c r="Y943" s="655"/>
      <c r="Z943" s="655"/>
    </row>
    <row r="944">
      <c r="B944" s="462"/>
      <c r="C944" s="671"/>
      <c r="D944" s="462"/>
      <c r="E944" s="654"/>
      <c r="F944" s="650"/>
      <c r="G944" s="654"/>
      <c r="H944" s="654"/>
      <c r="I944" s="650"/>
      <c r="J944" s="650"/>
      <c r="K944" s="655"/>
      <c r="L944" s="655"/>
      <c r="M944" s="655"/>
      <c r="N944" s="655"/>
      <c r="O944" s="655"/>
      <c r="P944" s="655"/>
      <c r="Q944" s="655"/>
      <c r="R944" s="655"/>
      <c r="S944" s="655"/>
      <c r="T944" s="655"/>
      <c r="U944" s="655"/>
      <c r="V944" s="655"/>
      <c r="W944" s="655"/>
      <c r="X944" s="655"/>
      <c r="Y944" s="655"/>
      <c r="Z944" s="655"/>
    </row>
    <row r="945">
      <c r="B945" s="462"/>
      <c r="C945" s="671"/>
      <c r="D945" s="462"/>
      <c r="E945" s="654"/>
      <c r="F945" s="650"/>
      <c r="G945" s="654"/>
      <c r="H945" s="654"/>
      <c r="I945" s="650"/>
      <c r="J945" s="650"/>
      <c r="K945" s="655"/>
      <c r="L945" s="655"/>
      <c r="M945" s="655"/>
      <c r="N945" s="655"/>
      <c r="O945" s="655"/>
      <c r="P945" s="655"/>
      <c r="Q945" s="655"/>
      <c r="R945" s="655"/>
      <c r="S945" s="655"/>
      <c r="T945" s="655"/>
      <c r="U945" s="655"/>
      <c r="V945" s="655"/>
      <c r="W945" s="655"/>
      <c r="X945" s="655"/>
      <c r="Y945" s="655"/>
      <c r="Z945" s="655"/>
    </row>
    <row r="946">
      <c r="B946" s="462"/>
      <c r="C946" s="671"/>
      <c r="D946" s="462"/>
      <c r="E946" s="654"/>
      <c r="F946" s="650"/>
      <c r="G946" s="654"/>
      <c r="H946" s="654"/>
      <c r="I946" s="650"/>
      <c r="J946" s="650"/>
      <c r="K946" s="655"/>
      <c r="L946" s="655"/>
      <c r="M946" s="655"/>
      <c r="N946" s="655"/>
      <c r="O946" s="655"/>
      <c r="P946" s="655"/>
      <c r="Q946" s="655"/>
      <c r="R946" s="655"/>
      <c r="S946" s="655"/>
      <c r="T946" s="655"/>
      <c r="U946" s="655"/>
      <c r="V946" s="655"/>
      <c r="W946" s="655"/>
      <c r="X946" s="655"/>
      <c r="Y946" s="655"/>
      <c r="Z946" s="655"/>
    </row>
    <row r="947">
      <c r="B947" s="462"/>
      <c r="C947" s="671"/>
      <c r="D947" s="462"/>
      <c r="E947" s="654"/>
      <c r="F947" s="650"/>
      <c r="G947" s="654"/>
      <c r="H947" s="654"/>
      <c r="I947" s="650"/>
      <c r="J947" s="650"/>
      <c r="K947" s="655"/>
      <c r="L947" s="655"/>
      <c r="M947" s="655"/>
      <c r="N947" s="655"/>
      <c r="O947" s="655"/>
      <c r="P947" s="655"/>
      <c r="Q947" s="655"/>
      <c r="R947" s="655"/>
      <c r="S947" s="655"/>
      <c r="T947" s="655"/>
      <c r="U947" s="655"/>
      <c r="V947" s="655"/>
      <c r="W947" s="655"/>
      <c r="X947" s="655"/>
      <c r="Y947" s="655"/>
      <c r="Z947" s="655"/>
    </row>
    <row r="948">
      <c r="B948" s="462"/>
      <c r="C948" s="671"/>
      <c r="D948" s="462"/>
      <c r="E948" s="654"/>
      <c r="F948" s="650"/>
      <c r="G948" s="654"/>
      <c r="H948" s="654"/>
      <c r="I948" s="650"/>
      <c r="J948" s="650"/>
      <c r="K948" s="655"/>
      <c r="L948" s="655"/>
      <c r="M948" s="655"/>
      <c r="N948" s="655"/>
      <c r="O948" s="655"/>
      <c r="P948" s="655"/>
      <c r="Q948" s="655"/>
      <c r="R948" s="655"/>
      <c r="S948" s="655"/>
      <c r="T948" s="655"/>
      <c r="U948" s="655"/>
      <c r="V948" s="655"/>
      <c r="W948" s="655"/>
      <c r="X948" s="655"/>
      <c r="Y948" s="655"/>
      <c r="Z948" s="655"/>
    </row>
    <row r="949">
      <c r="B949" s="462"/>
      <c r="C949" s="671"/>
      <c r="D949" s="462"/>
      <c r="E949" s="654"/>
      <c r="F949" s="650"/>
      <c r="G949" s="654"/>
      <c r="H949" s="654"/>
      <c r="I949" s="650"/>
      <c r="J949" s="650"/>
      <c r="K949" s="655"/>
      <c r="L949" s="655"/>
      <c r="M949" s="655"/>
      <c r="N949" s="655"/>
      <c r="O949" s="655"/>
      <c r="P949" s="655"/>
      <c r="Q949" s="655"/>
      <c r="R949" s="655"/>
      <c r="S949" s="655"/>
      <c r="T949" s="655"/>
      <c r="U949" s="655"/>
      <c r="V949" s="655"/>
      <c r="W949" s="655"/>
      <c r="X949" s="655"/>
      <c r="Y949" s="655"/>
      <c r="Z949" s="655"/>
    </row>
    <row r="950">
      <c r="B950" s="462"/>
      <c r="C950" s="671"/>
      <c r="D950" s="462"/>
      <c r="E950" s="654"/>
      <c r="F950" s="650"/>
      <c r="G950" s="654"/>
      <c r="H950" s="654"/>
      <c r="I950" s="650"/>
      <c r="J950" s="650"/>
      <c r="K950" s="655"/>
      <c r="L950" s="655"/>
      <c r="M950" s="655"/>
      <c r="N950" s="655"/>
      <c r="O950" s="655"/>
      <c r="P950" s="655"/>
      <c r="Q950" s="655"/>
      <c r="R950" s="655"/>
      <c r="S950" s="655"/>
      <c r="T950" s="655"/>
      <c r="U950" s="655"/>
      <c r="V950" s="655"/>
      <c r="W950" s="655"/>
      <c r="X950" s="655"/>
      <c r="Y950" s="655"/>
      <c r="Z950" s="655"/>
    </row>
    <row r="951">
      <c r="B951" s="462"/>
      <c r="C951" s="671"/>
      <c r="D951" s="462"/>
      <c r="E951" s="654"/>
      <c r="F951" s="650"/>
      <c r="G951" s="654"/>
      <c r="H951" s="654"/>
      <c r="I951" s="650"/>
      <c r="J951" s="650"/>
      <c r="K951" s="655"/>
      <c r="L951" s="655"/>
      <c r="M951" s="655"/>
      <c r="N951" s="655"/>
      <c r="O951" s="655"/>
      <c r="P951" s="655"/>
      <c r="Q951" s="655"/>
      <c r="R951" s="655"/>
      <c r="S951" s="655"/>
      <c r="T951" s="655"/>
      <c r="U951" s="655"/>
      <c r="V951" s="655"/>
      <c r="W951" s="655"/>
      <c r="X951" s="655"/>
      <c r="Y951" s="655"/>
      <c r="Z951" s="655"/>
    </row>
    <row r="952">
      <c r="B952" s="462"/>
      <c r="C952" s="671"/>
      <c r="D952" s="462"/>
      <c r="E952" s="654"/>
      <c r="F952" s="650"/>
      <c r="G952" s="654"/>
      <c r="H952" s="654"/>
      <c r="I952" s="650"/>
      <c r="J952" s="650"/>
      <c r="K952" s="655"/>
      <c r="L952" s="655"/>
      <c r="M952" s="655"/>
      <c r="N952" s="655"/>
      <c r="O952" s="655"/>
      <c r="P952" s="655"/>
      <c r="Q952" s="655"/>
      <c r="R952" s="655"/>
      <c r="S952" s="655"/>
      <c r="T952" s="655"/>
      <c r="U952" s="655"/>
      <c r="V952" s="655"/>
      <c r="W952" s="655"/>
      <c r="X952" s="655"/>
      <c r="Y952" s="655"/>
      <c r="Z952" s="655"/>
    </row>
    <row r="953">
      <c r="B953" s="462"/>
      <c r="C953" s="671"/>
      <c r="D953" s="462"/>
      <c r="E953" s="654"/>
      <c r="F953" s="650"/>
      <c r="G953" s="654"/>
      <c r="H953" s="654"/>
      <c r="I953" s="650"/>
      <c r="J953" s="650"/>
      <c r="K953" s="655"/>
      <c r="L953" s="655"/>
      <c r="M953" s="655"/>
      <c r="N953" s="655"/>
      <c r="O953" s="655"/>
      <c r="P953" s="655"/>
      <c r="Q953" s="655"/>
      <c r="R953" s="655"/>
      <c r="S953" s="655"/>
      <c r="T953" s="655"/>
      <c r="U953" s="655"/>
      <c r="V953" s="655"/>
      <c r="W953" s="655"/>
      <c r="X953" s="655"/>
      <c r="Y953" s="655"/>
      <c r="Z953" s="655"/>
    </row>
    <row r="954">
      <c r="B954" s="462"/>
      <c r="C954" s="671"/>
      <c r="D954" s="462"/>
      <c r="E954" s="654"/>
      <c r="F954" s="650"/>
      <c r="G954" s="654"/>
      <c r="H954" s="654"/>
      <c r="I954" s="650"/>
      <c r="J954" s="650"/>
      <c r="K954" s="655"/>
      <c r="L954" s="655"/>
      <c r="M954" s="655"/>
      <c r="N954" s="655"/>
      <c r="O954" s="655"/>
      <c r="P954" s="655"/>
      <c r="Q954" s="655"/>
      <c r="R954" s="655"/>
      <c r="S954" s="655"/>
      <c r="T954" s="655"/>
      <c r="U954" s="655"/>
      <c r="V954" s="655"/>
      <c r="W954" s="655"/>
      <c r="X954" s="655"/>
      <c r="Y954" s="655"/>
      <c r="Z954" s="655"/>
    </row>
    <row r="955">
      <c r="B955" s="462"/>
      <c r="C955" s="671"/>
      <c r="D955" s="462"/>
      <c r="E955" s="654"/>
      <c r="F955" s="650"/>
      <c r="G955" s="654"/>
      <c r="H955" s="654"/>
      <c r="I955" s="650"/>
      <c r="J955" s="650"/>
      <c r="K955" s="655"/>
      <c r="L955" s="655"/>
      <c r="M955" s="655"/>
      <c r="N955" s="655"/>
      <c r="O955" s="655"/>
      <c r="P955" s="655"/>
      <c r="Q955" s="655"/>
      <c r="R955" s="655"/>
      <c r="S955" s="655"/>
      <c r="T955" s="655"/>
      <c r="U955" s="655"/>
      <c r="V955" s="655"/>
      <c r="W955" s="655"/>
      <c r="X955" s="655"/>
      <c r="Y955" s="655"/>
      <c r="Z955" s="655"/>
    </row>
    <row r="956">
      <c r="B956" s="462"/>
      <c r="C956" s="671"/>
      <c r="D956" s="462"/>
      <c r="E956" s="654"/>
      <c r="F956" s="650"/>
      <c r="G956" s="654"/>
      <c r="H956" s="654"/>
      <c r="I956" s="650"/>
      <c r="J956" s="650"/>
      <c r="K956" s="655"/>
      <c r="L956" s="655"/>
      <c r="M956" s="655"/>
      <c r="N956" s="655"/>
      <c r="O956" s="655"/>
      <c r="P956" s="655"/>
      <c r="Q956" s="655"/>
      <c r="R956" s="655"/>
      <c r="S956" s="655"/>
      <c r="T956" s="655"/>
      <c r="U956" s="655"/>
      <c r="V956" s="655"/>
      <c r="W956" s="655"/>
      <c r="X956" s="655"/>
      <c r="Y956" s="655"/>
      <c r="Z956" s="655"/>
    </row>
    <row r="957">
      <c r="B957" s="462"/>
      <c r="C957" s="671"/>
      <c r="D957" s="462"/>
      <c r="E957" s="654"/>
      <c r="F957" s="650"/>
      <c r="G957" s="654"/>
      <c r="H957" s="654"/>
      <c r="I957" s="650"/>
      <c r="J957" s="650"/>
      <c r="K957" s="655"/>
      <c r="L957" s="655"/>
      <c r="M957" s="655"/>
      <c r="N957" s="655"/>
      <c r="O957" s="655"/>
      <c r="P957" s="655"/>
      <c r="Q957" s="655"/>
      <c r="R957" s="655"/>
      <c r="S957" s="655"/>
      <c r="T957" s="655"/>
      <c r="U957" s="655"/>
      <c r="V957" s="655"/>
      <c r="W957" s="655"/>
      <c r="X957" s="655"/>
      <c r="Y957" s="655"/>
      <c r="Z957" s="655"/>
    </row>
    <row r="958">
      <c r="B958" s="462"/>
      <c r="C958" s="671"/>
      <c r="D958" s="462"/>
      <c r="E958" s="654"/>
      <c r="F958" s="650"/>
      <c r="G958" s="654"/>
      <c r="H958" s="654"/>
      <c r="I958" s="650"/>
      <c r="J958" s="650"/>
      <c r="K958" s="655"/>
      <c r="L958" s="655"/>
      <c r="M958" s="655"/>
      <c r="N958" s="655"/>
      <c r="O958" s="655"/>
      <c r="P958" s="655"/>
      <c r="Q958" s="655"/>
      <c r="R958" s="655"/>
      <c r="S958" s="655"/>
      <c r="T958" s="655"/>
      <c r="U958" s="655"/>
      <c r="V958" s="655"/>
      <c r="W958" s="655"/>
      <c r="X958" s="655"/>
      <c r="Y958" s="655"/>
      <c r="Z958" s="655"/>
    </row>
    <row r="959">
      <c r="B959" s="462"/>
      <c r="C959" s="671"/>
      <c r="D959" s="462"/>
      <c r="E959" s="654"/>
      <c r="F959" s="650"/>
      <c r="G959" s="654"/>
      <c r="H959" s="654"/>
      <c r="I959" s="650"/>
      <c r="J959" s="650"/>
      <c r="K959" s="655"/>
      <c r="L959" s="655"/>
      <c r="M959" s="655"/>
      <c r="N959" s="655"/>
      <c r="O959" s="655"/>
      <c r="P959" s="655"/>
      <c r="Q959" s="655"/>
      <c r="R959" s="655"/>
      <c r="S959" s="655"/>
      <c r="T959" s="655"/>
      <c r="U959" s="655"/>
      <c r="V959" s="655"/>
      <c r="W959" s="655"/>
      <c r="X959" s="655"/>
      <c r="Y959" s="655"/>
      <c r="Z959" s="655"/>
    </row>
    <row r="960">
      <c r="B960" s="462"/>
      <c r="C960" s="671"/>
      <c r="D960" s="462"/>
      <c r="E960" s="654"/>
      <c r="F960" s="650"/>
      <c r="G960" s="654"/>
      <c r="H960" s="654"/>
      <c r="I960" s="650"/>
      <c r="J960" s="650"/>
      <c r="K960" s="655"/>
      <c r="L960" s="655"/>
      <c r="M960" s="655"/>
      <c r="N960" s="655"/>
      <c r="O960" s="655"/>
      <c r="P960" s="655"/>
      <c r="Q960" s="655"/>
      <c r="R960" s="655"/>
      <c r="S960" s="655"/>
      <c r="T960" s="655"/>
      <c r="U960" s="655"/>
      <c r="V960" s="655"/>
      <c r="W960" s="655"/>
      <c r="X960" s="655"/>
      <c r="Y960" s="655"/>
      <c r="Z960" s="655"/>
    </row>
    <row r="961">
      <c r="B961" s="462"/>
      <c r="C961" s="671"/>
      <c r="D961" s="462"/>
      <c r="E961" s="654"/>
      <c r="F961" s="650"/>
      <c r="G961" s="654"/>
      <c r="H961" s="654"/>
      <c r="I961" s="650"/>
      <c r="J961" s="650"/>
      <c r="K961" s="655"/>
      <c r="L961" s="655"/>
      <c r="M961" s="655"/>
      <c r="N961" s="655"/>
      <c r="O961" s="655"/>
      <c r="P961" s="655"/>
      <c r="Q961" s="655"/>
      <c r="R961" s="655"/>
      <c r="S961" s="655"/>
      <c r="T961" s="655"/>
      <c r="U961" s="655"/>
      <c r="V961" s="655"/>
      <c r="W961" s="655"/>
      <c r="X961" s="655"/>
      <c r="Y961" s="655"/>
      <c r="Z961" s="655"/>
    </row>
    <row r="962">
      <c r="B962" s="462"/>
      <c r="C962" s="671"/>
      <c r="D962" s="462"/>
      <c r="E962" s="654"/>
      <c r="F962" s="650"/>
      <c r="G962" s="654"/>
      <c r="H962" s="654"/>
      <c r="I962" s="650"/>
      <c r="J962" s="650"/>
      <c r="K962" s="655"/>
      <c r="L962" s="655"/>
      <c r="M962" s="655"/>
      <c r="N962" s="655"/>
      <c r="O962" s="655"/>
      <c r="P962" s="655"/>
      <c r="Q962" s="655"/>
      <c r="R962" s="655"/>
      <c r="S962" s="655"/>
      <c r="T962" s="655"/>
      <c r="U962" s="655"/>
      <c r="V962" s="655"/>
      <c r="W962" s="655"/>
      <c r="X962" s="655"/>
      <c r="Y962" s="655"/>
      <c r="Z962" s="655"/>
    </row>
    <row r="963">
      <c r="B963" s="462"/>
      <c r="C963" s="671"/>
      <c r="D963" s="462"/>
      <c r="E963" s="654"/>
      <c r="F963" s="650"/>
      <c r="G963" s="654"/>
      <c r="H963" s="654"/>
      <c r="I963" s="650"/>
      <c r="J963" s="650"/>
      <c r="K963" s="655"/>
      <c r="L963" s="655"/>
      <c r="M963" s="655"/>
      <c r="N963" s="655"/>
      <c r="O963" s="655"/>
      <c r="P963" s="655"/>
      <c r="Q963" s="655"/>
      <c r="R963" s="655"/>
      <c r="S963" s="655"/>
      <c r="T963" s="655"/>
      <c r="U963" s="655"/>
      <c r="V963" s="655"/>
      <c r="W963" s="655"/>
      <c r="X963" s="655"/>
      <c r="Y963" s="655"/>
      <c r="Z963" s="655"/>
    </row>
    <row r="964">
      <c r="B964" s="462"/>
      <c r="C964" s="671"/>
      <c r="D964" s="462"/>
      <c r="E964" s="654"/>
      <c r="F964" s="650"/>
      <c r="G964" s="654"/>
      <c r="H964" s="654"/>
      <c r="I964" s="650"/>
      <c r="J964" s="650"/>
      <c r="K964" s="655"/>
      <c r="L964" s="655"/>
      <c r="M964" s="655"/>
      <c r="N964" s="655"/>
      <c r="O964" s="655"/>
      <c r="P964" s="655"/>
      <c r="Q964" s="655"/>
      <c r="R964" s="655"/>
      <c r="S964" s="655"/>
      <c r="T964" s="655"/>
      <c r="U964" s="655"/>
      <c r="V964" s="655"/>
      <c r="W964" s="655"/>
      <c r="X964" s="655"/>
      <c r="Y964" s="655"/>
      <c r="Z964" s="655"/>
    </row>
    <row r="965">
      <c r="B965" s="462"/>
      <c r="C965" s="671"/>
      <c r="D965" s="462"/>
      <c r="E965" s="654"/>
      <c r="F965" s="650"/>
      <c r="G965" s="654"/>
      <c r="H965" s="654"/>
      <c r="I965" s="650"/>
      <c r="J965" s="650"/>
      <c r="K965" s="655"/>
      <c r="L965" s="655"/>
      <c r="M965" s="655"/>
      <c r="N965" s="655"/>
      <c r="O965" s="655"/>
      <c r="P965" s="655"/>
      <c r="Q965" s="655"/>
      <c r="R965" s="655"/>
      <c r="S965" s="655"/>
      <c r="T965" s="655"/>
      <c r="U965" s="655"/>
      <c r="V965" s="655"/>
      <c r="W965" s="655"/>
      <c r="X965" s="655"/>
      <c r="Y965" s="655"/>
      <c r="Z965" s="655"/>
    </row>
    <row r="966">
      <c r="B966" s="462"/>
      <c r="C966" s="671"/>
      <c r="D966" s="462"/>
      <c r="E966" s="654"/>
      <c r="F966" s="650"/>
      <c r="G966" s="654"/>
      <c r="H966" s="654"/>
      <c r="I966" s="650"/>
      <c r="J966" s="650"/>
      <c r="K966" s="655"/>
      <c r="L966" s="655"/>
      <c r="M966" s="655"/>
      <c r="N966" s="655"/>
      <c r="O966" s="655"/>
      <c r="P966" s="655"/>
      <c r="Q966" s="655"/>
      <c r="R966" s="655"/>
      <c r="S966" s="655"/>
      <c r="T966" s="655"/>
      <c r="U966" s="655"/>
      <c r="V966" s="655"/>
      <c r="W966" s="655"/>
      <c r="X966" s="655"/>
      <c r="Y966" s="655"/>
      <c r="Z966" s="655"/>
    </row>
    <row r="967">
      <c r="B967" s="462"/>
      <c r="C967" s="671"/>
      <c r="D967" s="462"/>
      <c r="E967" s="654"/>
      <c r="F967" s="650"/>
      <c r="G967" s="654"/>
      <c r="H967" s="654"/>
      <c r="I967" s="650"/>
      <c r="J967" s="650"/>
      <c r="K967" s="655"/>
      <c r="L967" s="655"/>
      <c r="M967" s="655"/>
      <c r="N967" s="655"/>
      <c r="O967" s="655"/>
      <c r="P967" s="655"/>
      <c r="Q967" s="655"/>
      <c r="R967" s="655"/>
      <c r="S967" s="655"/>
      <c r="T967" s="655"/>
      <c r="U967" s="655"/>
      <c r="V967" s="655"/>
      <c r="W967" s="655"/>
      <c r="X967" s="655"/>
      <c r="Y967" s="655"/>
      <c r="Z967" s="655"/>
    </row>
    <row r="968">
      <c r="B968" s="462"/>
      <c r="C968" s="671"/>
      <c r="D968" s="462"/>
      <c r="E968" s="654"/>
      <c r="F968" s="650"/>
      <c r="G968" s="654"/>
      <c r="H968" s="654"/>
      <c r="I968" s="650"/>
      <c r="J968" s="650"/>
      <c r="K968" s="655"/>
      <c r="L968" s="655"/>
      <c r="M968" s="655"/>
      <c r="N968" s="655"/>
      <c r="O968" s="655"/>
      <c r="P968" s="655"/>
      <c r="Q968" s="655"/>
      <c r="R968" s="655"/>
      <c r="S968" s="655"/>
      <c r="T968" s="655"/>
      <c r="U968" s="655"/>
      <c r="V968" s="655"/>
      <c r="W968" s="655"/>
      <c r="X968" s="655"/>
      <c r="Y968" s="655"/>
      <c r="Z968" s="655"/>
    </row>
    <row r="969">
      <c r="B969" s="462"/>
      <c r="C969" s="671"/>
      <c r="D969" s="462"/>
      <c r="E969" s="654"/>
      <c r="F969" s="650"/>
      <c r="G969" s="654"/>
      <c r="H969" s="654"/>
      <c r="I969" s="650"/>
      <c r="J969" s="650"/>
      <c r="K969" s="655"/>
      <c r="L969" s="655"/>
      <c r="M969" s="655"/>
      <c r="N969" s="655"/>
      <c r="O969" s="655"/>
      <c r="P969" s="655"/>
      <c r="Q969" s="655"/>
      <c r="R969" s="655"/>
      <c r="S969" s="655"/>
      <c r="T969" s="655"/>
      <c r="U969" s="655"/>
      <c r="V969" s="655"/>
      <c r="W969" s="655"/>
      <c r="X969" s="655"/>
      <c r="Y969" s="655"/>
      <c r="Z969" s="655"/>
    </row>
    <row r="970">
      <c r="B970" s="462"/>
      <c r="C970" s="671"/>
      <c r="D970" s="462"/>
      <c r="E970" s="654"/>
      <c r="F970" s="650"/>
      <c r="G970" s="654"/>
      <c r="H970" s="654"/>
      <c r="I970" s="650"/>
      <c r="J970" s="650"/>
      <c r="K970" s="655"/>
      <c r="L970" s="655"/>
      <c r="M970" s="655"/>
      <c r="N970" s="655"/>
      <c r="O970" s="655"/>
      <c r="P970" s="655"/>
      <c r="Q970" s="655"/>
      <c r="R970" s="655"/>
      <c r="S970" s="655"/>
      <c r="T970" s="655"/>
      <c r="U970" s="655"/>
      <c r="V970" s="655"/>
      <c r="W970" s="655"/>
      <c r="X970" s="655"/>
      <c r="Y970" s="655"/>
      <c r="Z970" s="655"/>
    </row>
    <row r="971">
      <c r="B971" s="462"/>
      <c r="C971" s="671"/>
      <c r="D971" s="462"/>
      <c r="E971" s="654"/>
      <c r="F971" s="650"/>
      <c r="G971" s="654"/>
      <c r="H971" s="654"/>
      <c r="I971" s="650"/>
      <c r="J971" s="650"/>
      <c r="K971" s="655"/>
      <c r="L971" s="655"/>
      <c r="M971" s="655"/>
      <c r="N971" s="655"/>
      <c r="O971" s="655"/>
      <c r="P971" s="655"/>
      <c r="Q971" s="655"/>
      <c r="R971" s="655"/>
      <c r="S971" s="655"/>
      <c r="T971" s="655"/>
      <c r="U971" s="655"/>
      <c r="V971" s="655"/>
      <c r="W971" s="655"/>
      <c r="X971" s="655"/>
      <c r="Y971" s="655"/>
      <c r="Z971" s="655"/>
    </row>
    <row r="972">
      <c r="B972" s="462"/>
      <c r="C972" s="671"/>
      <c r="D972" s="462"/>
      <c r="E972" s="654"/>
      <c r="F972" s="650"/>
      <c r="G972" s="654"/>
      <c r="H972" s="654"/>
      <c r="I972" s="650"/>
      <c r="J972" s="650"/>
      <c r="K972" s="655"/>
      <c r="L972" s="655"/>
      <c r="M972" s="655"/>
      <c r="N972" s="655"/>
      <c r="O972" s="655"/>
      <c r="P972" s="655"/>
      <c r="Q972" s="655"/>
      <c r="R972" s="655"/>
      <c r="S972" s="655"/>
      <c r="T972" s="655"/>
      <c r="U972" s="655"/>
      <c r="V972" s="655"/>
      <c r="W972" s="655"/>
      <c r="X972" s="655"/>
      <c r="Y972" s="655"/>
      <c r="Z972" s="655"/>
    </row>
    <row r="973">
      <c r="B973" s="462"/>
      <c r="C973" s="671"/>
      <c r="D973" s="462"/>
      <c r="E973" s="654"/>
      <c r="F973" s="650"/>
      <c r="G973" s="654"/>
      <c r="H973" s="654"/>
      <c r="I973" s="650"/>
      <c r="J973" s="650"/>
      <c r="K973" s="655"/>
      <c r="L973" s="655"/>
      <c r="M973" s="655"/>
      <c r="N973" s="655"/>
      <c r="O973" s="655"/>
      <c r="P973" s="655"/>
      <c r="Q973" s="655"/>
      <c r="R973" s="655"/>
      <c r="S973" s="655"/>
      <c r="T973" s="655"/>
      <c r="U973" s="655"/>
      <c r="V973" s="655"/>
      <c r="W973" s="655"/>
      <c r="X973" s="655"/>
      <c r="Y973" s="655"/>
      <c r="Z973" s="655"/>
    </row>
    <row r="974">
      <c r="B974" s="462"/>
      <c r="C974" s="671"/>
      <c r="D974" s="462"/>
      <c r="E974" s="654"/>
      <c r="F974" s="650"/>
      <c r="G974" s="654"/>
      <c r="H974" s="654"/>
      <c r="I974" s="650"/>
      <c r="J974" s="650"/>
      <c r="K974" s="655"/>
      <c r="L974" s="655"/>
      <c r="M974" s="655"/>
      <c r="N974" s="655"/>
      <c r="O974" s="655"/>
      <c r="P974" s="655"/>
      <c r="Q974" s="655"/>
      <c r="R974" s="655"/>
      <c r="S974" s="655"/>
      <c r="T974" s="655"/>
      <c r="U974" s="655"/>
      <c r="V974" s="655"/>
      <c r="W974" s="655"/>
      <c r="X974" s="655"/>
      <c r="Y974" s="655"/>
      <c r="Z974" s="655"/>
    </row>
    <row r="975">
      <c r="B975" s="462"/>
      <c r="C975" s="671"/>
      <c r="D975" s="462"/>
      <c r="E975" s="654"/>
      <c r="F975" s="650"/>
      <c r="G975" s="654"/>
      <c r="H975" s="654"/>
      <c r="I975" s="650"/>
      <c r="J975" s="650"/>
      <c r="K975" s="655"/>
      <c r="L975" s="655"/>
      <c r="M975" s="655"/>
      <c r="N975" s="655"/>
      <c r="O975" s="655"/>
      <c r="P975" s="655"/>
      <c r="Q975" s="655"/>
      <c r="R975" s="655"/>
      <c r="S975" s="655"/>
      <c r="T975" s="655"/>
      <c r="U975" s="655"/>
      <c r="V975" s="655"/>
      <c r="W975" s="655"/>
      <c r="X975" s="655"/>
      <c r="Y975" s="655"/>
      <c r="Z975" s="655"/>
    </row>
    <row r="976">
      <c r="B976" s="462"/>
      <c r="C976" s="671"/>
      <c r="D976" s="462"/>
      <c r="E976" s="654"/>
      <c r="F976" s="650"/>
      <c r="G976" s="654"/>
      <c r="H976" s="654"/>
      <c r="I976" s="650"/>
      <c r="J976" s="650"/>
      <c r="K976" s="655"/>
      <c r="L976" s="655"/>
      <c r="M976" s="655"/>
      <c r="N976" s="655"/>
      <c r="O976" s="655"/>
      <c r="P976" s="655"/>
      <c r="Q976" s="655"/>
      <c r="R976" s="655"/>
      <c r="S976" s="655"/>
      <c r="T976" s="655"/>
      <c r="U976" s="655"/>
      <c r="V976" s="655"/>
      <c r="W976" s="655"/>
      <c r="X976" s="655"/>
      <c r="Y976" s="655"/>
      <c r="Z976" s="655"/>
    </row>
    <row r="977">
      <c r="B977" s="462"/>
      <c r="C977" s="671"/>
      <c r="D977" s="462"/>
      <c r="E977" s="654"/>
      <c r="F977" s="650"/>
      <c r="G977" s="654"/>
      <c r="H977" s="654"/>
      <c r="I977" s="650"/>
      <c r="J977" s="650"/>
      <c r="K977" s="655"/>
      <c r="L977" s="655"/>
      <c r="M977" s="655"/>
      <c r="N977" s="655"/>
      <c r="O977" s="655"/>
      <c r="P977" s="655"/>
      <c r="Q977" s="655"/>
      <c r="R977" s="655"/>
      <c r="S977" s="655"/>
      <c r="T977" s="655"/>
      <c r="U977" s="655"/>
      <c r="V977" s="655"/>
      <c r="W977" s="655"/>
      <c r="X977" s="655"/>
      <c r="Y977" s="655"/>
      <c r="Z977" s="655"/>
    </row>
    <row r="978">
      <c r="B978" s="462"/>
      <c r="C978" s="671"/>
      <c r="D978" s="462"/>
      <c r="E978" s="654"/>
      <c r="F978" s="650"/>
      <c r="G978" s="654"/>
      <c r="H978" s="654"/>
      <c r="I978" s="650"/>
      <c r="J978" s="650"/>
      <c r="K978" s="655"/>
      <c r="L978" s="655"/>
      <c r="M978" s="655"/>
      <c r="N978" s="655"/>
      <c r="O978" s="655"/>
      <c r="P978" s="655"/>
      <c r="Q978" s="655"/>
      <c r="R978" s="655"/>
      <c r="S978" s="655"/>
      <c r="T978" s="655"/>
      <c r="U978" s="655"/>
      <c r="V978" s="655"/>
      <c r="W978" s="655"/>
      <c r="X978" s="655"/>
      <c r="Y978" s="655"/>
      <c r="Z978" s="655"/>
    </row>
    <row r="979">
      <c r="B979" s="462"/>
      <c r="C979" s="671"/>
      <c r="D979" s="462"/>
      <c r="E979" s="654"/>
      <c r="F979" s="650"/>
      <c r="G979" s="654"/>
      <c r="H979" s="654"/>
      <c r="I979" s="650"/>
      <c r="J979" s="650"/>
      <c r="K979" s="655"/>
      <c r="L979" s="655"/>
      <c r="M979" s="655"/>
      <c r="N979" s="655"/>
      <c r="O979" s="655"/>
      <c r="P979" s="655"/>
      <c r="Q979" s="655"/>
      <c r="R979" s="655"/>
      <c r="S979" s="655"/>
      <c r="T979" s="655"/>
      <c r="U979" s="655"/>
      <c r="V979" s="655"/>
      <c r="W979" s="655"/>
      <c r="X979" s="655"/>
      <c r="Y979" s="655"/>
      <c r="Z979" s="655"/>
    </row>
    <row r="980">
      <c r="B980" s="462"/>
      <c r="C980" s="671"/>
      <c r="D980" s="462"/>
      <c r="E980" s="654"/>
      <c r="F980" s="650"/>
      <c r="G980" s="654"/>
      <c r="H980" s="654"/>
      <c r="I980" s="650"/>
      <c r="J980" s="650"/>
      <c r="K980" s="655"/>
      <c r="L980" s="655"/>
      <c r="M980" s="655"/>
      <c r="N980" s="655"/>
      <c r="O980" s="655"/>
      <c r="P980" s="655"/>
      <c r="Q980" s="655"/>
      <c r="R980" s="655"/>
      <c r="S980" s="655"/>
      <c r="T980" s="655"/>
      <c r="U980" s="655"/>
      <c r="V980" s="655"/>
      <c r="W980" s="655"/>
      <c r="X980" s="655"/>
      <c r="Y980" s="655"/>
      <c r="Z980" s="655"/>
    </row>
    <row r="981">
      <c r="B981" s="462"/>
      <c r="C981" s="671"/>
      <c r="D981" s="462"/>
      <c r="E981" s="654"/>
      <c r="F981" s="650"/>
      <c r="G981" s="654"/>
      <c r="H981" s="654"/>
      <c r="I981" s="650"/>
      <c r="J981" s="650"/>
      <c r="K981" s="655"/>
      <c r="L981" s="655"/>
      <c r="M981" s="655"/>
      <c r="N981" s="655"/>
      <c r="O981" s="655"/>
      <c r="P981" s="655"/>
      <c r="Q981" s="655"/>
      <c r="R981" s="655"/>
      <c r="S981" s="655"/>
      <c r="T981" s="655"/>
      <c r="U981" s="655"/>
      <c r="V981" s="655"/>
      <c r="W981" s="655"/>
      <c r="X981" s="655"/>
      <c r="Y981" s="655"/>
      <c r="Z981" s="655"/>
    </row>
    <row r="982">
      <c r="B982" s="462"/>
      <c r="C982" s="671"/>
      <c r="D982" s="462"/>
      <c r="E982" s="654"/>
      <c r="F982" s="650"/>
      <c r="G982" s="654"/>
      <c r="H982" s="654"/>
      <c r="I982" s="650"/>
      <c r="J982" s="650"/>
      <c r="K982" s="655"/>
      <c r="L982" s="655"/>
      <c r="M982" s="655"/>
      <c r="N982" s="655"/>
      <c r="O982" s="655"/>
      <c r="P982" s="655"/>
      <c r="Q982" s="655"/>
      <c r="R982" s="655"/>
      <c r="S982" s="655"/>
      <c r="T982" s="655"/>
      <c r="U982" s="655"/>
      <c r="V982" s="655"/>
      <c r="W982" s="655"/>
      <c r="X982" s="655"/>
      <c r="Y982" s="655"/>
      <c r="Z982" s="655"/>
    </row>
    <row r="983">
      <c r="B983" s="462"/>
      <c r="C983" s="671"/>
      <c r="D983" s="462"/>
      <c r="E983" s="654"/>
      <c r="F983" s="650"/>
      <c r="G983" s="654"/>
      <c r="H983" s="654"/>
      <c r="I983" s="650"/>
      <c r="J983" s="650"/>
      <c r="K983" s="655"/>
      <c r="L983" s="655"/>
      <c r="M983" s="655"/>
      <c r="N983" s="655"/>
      <c r="O983" s="655"/>
      <c r="P983" s="655"/>
      <c r="Q983" s="655"/>
      <c r="R983" s="655"/>
      <c r="S983" s="655"/>
      <c r="T983" s="655"/>
      <c r="U983" s="655"/>
      <c r="V983" s="655"/>
      <c r="W983" s="655"/>
      <c r="X983" s="655"/>
      <c r="Y983" s="655"/>
      <c r="Z983" s="655"/>
    </row>
    <row r="984">
      <c r="B984" s="462"/>
      <c r="C984" s="671"/>
      <c r="D984" s="462"/>
      <c r="E984" s="654"/>
      <c r="F984" s="650"/>
      <c r="G984" s="654"/>
      <c r="H984" s="654"/>
      <c r="I984" s="650"/>
      <c r="J984" s="650"/>
      <c r="K984" s="655"/>
      <c r="L984" s="655"/>
      <c r="M984" s="655"/>
      <c r="N984" s="655"/>
      <c r="O984" s="655"/>
      <c r="P984" s="655"/>
      <c r="Q984" s="655"/>
      <c r="R984" s="655"/>
      <c r="S984" s="655"/>
      <c r="T984" s="655"/>
      <c r="U984" s="655"/>
      <c r="V984" s="655"/>
      <c r="W984" s="655"/>
      <c r="X984" s="655"/>
      <c r="Y984" s="655"/>
      <c r="Z984" s="655"/>
    </row>
    <row r="985">
      <c r="B985" s="462"/>
      <c r="C985" s="671"/>
      <c r="D985" s="462"/>
      <c r="E985" s="654"/>
      <c r="F985" s="650"/>
      <c r="G985" s="654"/>
      <c r="H985" s="654"/>
      <c r="I985" s="650"/>
      <c r="J985" s="650"/>
      <c r="K985" s="655"/>
      <c r="L985" s="655"/>
      <c r="M985" s="655"/>
      <c r="N985" s="655"/>
      <c r="O985" s="655"/>
      <c r="P985" s="655"/>
      <c r="Q985" s="655"/>
      <c r="R985" s="655"/>
      <c r="S985" s="655"/>
      <c r="T985" s="655"/>
      <c r="U985" s="655"/>
      <c r="V985" s="655"/>
      <c r="W985" s="655"/>
      <c r="X985" s="655"/>
      <c r="Y985" s="655"/>
      <c r="Z985" s="655"/>
    </row>
    <row r="986">
      <c r="B986" s="462"/>
      <c r="C986" s="671"/>
      <c r="D986" s="462"/>
      <c r="E986" s="654"/>
      <c r="F986" s="650"/>
      <c r="G986" s="654"/>
      <c r="H986" s="654"/>
      <c r="I986" s="650"/>
      <c r="J986" s="650"/>
      <c r="K986" s="655"/>
      <c r="L986" s="655"/>
      <c r="M986" s="655"/>
      <c r="N986" s="655"/>
      <c r="O986" s="655"/>
      <c r="P986" s="655"/>
      <c r="Q986" s="655"/>
      <c r="R986" s="655"/>
      <c r="S986" s="655"/>
      <c r="T986" s="655"/>
      <c r="U986" s="655"/>
      <c r="V986" s="655"/>
      <c r="W986" s="655"/>
      <c r="X986" s="655"/>
      <c r="Y986" s="655"/>
      <c r="Z986" s="655"/>
    </row>
    <row r="987">
      <c r="B987" s="462"/>
      <c r="C987" s="671"/>
      <c r="D987" s="462"/>
      <c r="E987" s="654"/>
      <c r="F987" s="650"/>
      <c r="G987" s="654"/>
      <c r="H987" s="654"/>
      <c r="I987" s="650"/>
      <c r="J987" s="650"/>
      <c r="K987" s="655"/>
      <c r="L987" s="655"/>
      <c r="M987" s="655"/>
      <c r="N987" s="655"/>
      <c r="O987" s="655"/>
      <c r="P987" s="655"/>
      <c r="Q987" s="655"/>
      <c r="R987" s="655"/>
      <c r="S987" s="655"/>
      <c r="T987" s="655"/>
      <c r="U987" s="655"/>
      <c r="V987" s="655"/>
      <c r="W987" s="655"/>
      <c r="X987" s="655"/>
      <c r="Y987" s="655"/>
      <c r="Z987" s="655"/>
    </row>
    <row r="988">
      <c r="B988" s="462"/>
      <c r="C988" s="671"/>
      <c r="D988" s="462"/>
      <c r="E988" s="654"/>
      <c r="F988" s="650"/>
      <c r="G988" s="654"/>
      <c r="H988" s="654"/>
      <c r="I988" s="650"/>
      <c r="J988" s="650"/>
      <c r="K988" s="655"/>
      <c r="L988" s="655"/>
      <c r="M988" s="655"/>
      <c r="N988" s="655"/>
      <c r="O988" s="655"/>
      <c r="P988" s="655"/>
      <c r="Q988" s="655"/>
      <c r="R988" s="655"/>
      <c r="S988" s="655"/>
      <c r="T988" s="655"/>
      <c r="U988" s="655"/>
      <c r="V988" s="655"/>
      <c r="W988" s="655"/>
      <c r="X988" s="655"/>
      <c r="Y988" s="655"/>
      <c r="Z988" s="655"/>
    </row>
    <row r="989">
      <c r="B989" s="462"/>
      <c r="C989" s="671"/>
      <c r="D989" s="462"/>
      <c r="E989" s="654"/>
      <c r="F989" s="650"/>
      <c r="G989" s="654"/>
      <c r="H989" s="654"/>
      <c r="I989" s="650"/>
      <c r="J989" s="650"/>
      <c r="K989" s="655"/>
      <c r="L989" s="655"/>
      <c r="M989" s="655"/>
      <c r="N989" s="655"/>
      <c r="O989" s="655"/>
      <c r="P989" s="655"/>
      <c r="Q989" s="655"/>
      <c r="R989" s="655"/>
      <c r="S989" s="655"/>
      <c r="T989" s="655"/>
      <c r="U989" s="655"/>
      <c r="V989" s="655"/>
      <c r="W989" s="655"/>
      <c r="X989" s="655"/>
      <c r="Y989" s="655"/>
      <c r="Z989" s="655"/>
    </row>
    <row r="990">
      <c r="B990" s="462"/>
      <c r="C990" s="671"/>
      <c r="D990" s="462"/>
      <c r="E990" s="654"/>
      <c r="F990" s="650"/>
      <c r="G990" s="654"/>
      <c r="H990" s="654"/>
      <c r="I990" s="650"/>
      <c r="J990" s="650"/>
      <c r="K990" s="655"/>
      <c r="L990" s="655"/>
      <c r="M990" s="655"/>
      <c r="N990" s="655"/>
      <c r="O990" s="655"/>
      <c r="P990" s="655"/>
      <c r="Q990" s="655"/>
      <c r="R990" s="655"/>
      <c r="S990" s="655"/>
      <c r="T990" s="655"/>
      <c r="U990" s="655"/>
      <c r="V990" s="655"/>
      <c r="W990" s="655"/>
      <c r="X990" s="655"/>
      <c r="Y990" s="655"/>
      <c r="Z990" s="655"/>
    </row>
    <row r="991">
      <c r="B991" s="462"/>
      <c r="C991" s="671"/>
      <c r="D991" s="462"/>
      <c r="E991" s="654"/>
      <c r="F991" s="650"/>
      <c r="G991" s="654"/>
      <c r="H991" s="654"/>
      <c r="I991" s="650"/>
      <c r="J991" s="650"/>
      <c r="K991" s="655"/>
      <c r="L991" s="655"/>
      <c r="M991" s="655"/>
      <c r="N991" s="655"/>
      <c r="O991" s="655"/>
      <c r="P991" s="655"/>
      <c r="Q991" s="655"/>
      <c r="R991" s="655"/>
      <c r="S991" s="655"/>
      <c r="T991" s="655"/>
      <c r="U991" s="655"/>
      <c r="V991" s="655"/>
      <c r="W991" s="655"/>
      <c r="X991" s="655"/>
      <c r="Y991" s="655"/>
      <c r="Z991" s="655"/>
    </row>
    <row r="992">
      <c r="B992" s="462"/>
      <c r="C992" s="671"/>
      <c r="D992" s="462"/>
      <c r="E992" s="654"/>
      <c r="F992" s="650"/>
      <c r="G992" s="654"/>
      <c r="H992" s="654"/>
      <c r="I992" s="650"/>
      <c r="J992" s="650"/>
      <c r="K992" s="655"/>
      <c r="L992" s="655"/>
      <c r="M992" s="655"/>
      <c r="N992" s="655"/>
      <c r="O992" s="655"/>
      <c r="P992" s="655"/>
      <c r="Q992" s="655"/>
      <c r="R992" s="655"/>
      <c r="S992" s="655"/>
      <c r="T992" s="655"/>
      <c r="U992" s="655"/>
      <c r="V992" s="655"/>
      <c r="W992" s="655"/>
      <c r="X992" s="655"/>
      <c r="Y992" s="655"/>
      <c r="Z992" s="655"/>
    </row>
    <row r="993">
      <c r="B993" s="462"/>
      <c r="C993" s="671"/>
      <c r="D993" s="462"/>
      <c r="E993" s="654"/>
      <c r="F993" s="650"/>
      <c r="G993" s="654"/>
      <c r="H993" s="654"/>
      <c r="I993" s="650"/>
      <c r="J993" s="650"/>
      <c r="K993" s="655"/>
      <c r="L993" s="655"/>
      <c r="M993" s="655"/>
      <c r="N993" s="655"/>
      <c r="O993" s="655"/>
      <c r="P993" s="655"/>
      <c r="Q993" s="655"/>
      <c r="R993" s="655"/>
      <c r="S993" s="655"/>
      <c r="T993" s="655"/>
      <c r="U993" s="655"/>
      <c r="V993" s="655"/>
      <c r="W993" s="655"/>
      <c r="X993" s="655"/>
      <c r="Y993" s="655"/>
      <c r="Z993" s="655"/>
    </row>
    <row r="994">
      <c r="B994" s="462"/>
      <c r="C994" s="671"/>
      <c r="D994" s="462"/>
      <c r="E994" s="654"/>
      <c r="F994" s="650"/>
      <c r="G994" s="654"/>
      <c r="H994" s="654"/>
      <c r="I994" s="650"/>
      <c r="J994" s="650"/>
      <c r="K994" s="655"/>
      <c r="L994" s="655"/>
      <c r="M994" s="655"/>
      <c r="N994" s="655"/>
      <c r="O994" s="655"/>
      <c r="P994" s="655"/>
      <c r="Q994" s="655"/>
      <c r="R994" s="655"/>
      <c r="S994" s="655"/>
      <c r="T994" s="655"/>
      <c r="U994" s="655"/>
      <c r="V994" s="655"/>
      <c r="W994" s="655"/>
      <c r="X994" s="655"/>
      <c r="Y994" s="655"/>
      <c r="Z994" s="655"/>
    </row>
    <row r="995">
      <c r="B995" s="462"/>
      <c r="C995" s="671"/>
      <c r="D995" s="462"/>
      <c r="E995" s="654"/>
      <c r="F995" s="650"/>
      <c r="G995" s="654"/>
      <c r="H995" s="654"/>
      <c r="I995" s="650"/>
      <c r="J995" s="650"/>
      <c r="K995" s="655"/>
      <c r="L995" s="655"/>
      <c r="M995" s="655"/>
      <c r="N995" s="655"/>
      <c r="O995" s="655"/>
      <c r="P995" s="655"/>
      <c r="Q995" s="655"/>
      <c r="R995" s="655"/>
      <c r="S995" s="655"/>
      <c r="T995" s="655"/>
      <c r="U995" s="655"/>
      <c r="V995" s="655"/>
      <c r="W995" s="655"/>
      <c r="X995" s="655"/>
      <c r="Y995" s="655"/>
      <c r="Z995" s="655"/>
    </row>
    <row r="996">
      <c r="B996" s="462"/>
      <c r="C996" s="671"/>
      <c r="D996" s="462"/>
      <c r="E996" s="654"/>
      <c r="F996" s="650"/>
      <c r="G996" s="654"/>
      <c r="H996" s="654"/>
      <c r="I996" s="650"/>
      <c r="J996" s="650"/>
      <c r="K996" s="655"/>
      <c r="L996" s="655"/>
      <c r="M996" s="655"/>
      <c r="N996" s="655"/>
      <c r="O996" s="655"/>
      <c r="P996" s="655"/>
      <c r="Q996" s="655"/>
      <c r="R996" s="655"/>
      <c r="S996" s="655"/>
      <c r="T996" s="655"/>
      <c r="U996" s="655"/>
      <c r="V996" s="655"/>
      <c r="W996" s="655"/>
      <c r="X996" s="655"/>
      <c r="Y996" s="655"/>
      <c r="Z996" s="655"/>
    </row>
    <row r="997">
      <c r="B997" s="462"/>
      <c r="C997" s="671"/>
      <c r="D997" s="462"/>
      <c r="E997" s="654"/>
      <c r="F997" s="650"/>
      <c r="G997" s="654"/>
      <c r="H997" s="654"/>
      <c r="I997" s="650"/>
      <c r="J997" s="650"/>
      <c r="K997" s="655"/>
      <c r="L997" s="655"/>
      <c r="M997" s="655"/>
      <c r="N997" s="655"/>
      <c r="O997" s="655"/>
      <c r="P997" s="655"/>
      <c r="Q997" s="655"/>
      <c r="R997" s="655"/>
      <c r="S997" s="655"/>
      <c r="T997" s="655"/>
      <c r="U997" s="655"/>
      <c r="V997" s="655"/>
      <c r="W997" s="655"/>
      <c r="X997" s="655"/>
      <c r="Y997" s="655"/>
      <c r="Z997" s="655"/>
    </row>
    <row r="998">
      <c r="B998" s="462"/>
      <c r="C998" s="671"/>
      <c r="D998" s="462"/>
      <c r="E998" s="654"/>
      <c r="F998" s="650"/>
      <c r="G998" s="654"/>
      <c r="H998" s="654"/>
      <c r="I998" s="650"/>
      <c r="J998" s="650"/>
      <c r="K998" s="655"/>
      <c r="L998" s="655"/>
      <c r="M998" s="655"/>
      <c r="N998" s="655"/>
      <c r="O998" s="655"/>
      <c r="P998" s="655"/>
      <c r="Q998" s="655"/>
      <c r="R998" s="655"/>
      <c r="S998" s="655"/>
      <c r="T998" s="655"/>
      <c r="U998" s="655"/>
      <c r="V998" s="655"/>
      <c r="W998" s="655"/>
      <c r="X998" s="655"/>
      <c r="Y998" s="655"/>
      <c r="Z998" s="655"/>
    </row>
    <row r="999">
      <c r="B999" s="462"/>
      <c r="C999" s="671"/>
      <c r="D999" s="462"/>
      <c r="E999" s="654"/>
      <c r="F999" s="650"/>
      <c r="G999" s="654"/>
      <c r="H999" s="654"/>
      <c r="I999" s="650"/>
      <c r="J999" s="650"/>
      <c r="K999" s="655"/>
      <c r="L999" s="655"/>
      <c r="M999" s="655"/>
      <c r="N999" s="655"/>
      <c r="O999" s="655"/>
      <c r="P999" s="655"/>
      <c r="Q999" s="655"/>
      <c r="R999" s="655"/>
      <c r="S999" s="655"/>
      <c r="T999" s="655"/>
      <c r="U999" s="655"/>
      <c r="V999" s="655"/>
      <c r="W999" s="655"/>
      <c r="X999" s="655"/>
      <c r="Y999" s="655"/>
      <c r="Z999" s="655"/>
    </row>
    <row r="1000">
      <c r="B1000" s="462"/>
      <c r="C1000" s="671"/>
      <c r="D1000" s="462"/>
      <c r="E1000" s="654"/>
      <c r="F1000" s="650"/>
      <c r="G1000" s="654"/>
      <c r="H1000" s="654"/>
      <c r="I1000" s="650"/>
      <c r="J1000" s="650"/>
      <c r="K1000" s="655"/>
      <c r="L1000" s="655"/>
      <c r="M1000" s="655"/>
      <c r="N1000" s="655"/>
      <c r="O1000" s="655"/>
      <c r="P1000" s="655"/>
      <c r="Q1000" s="655"/>
      <c r="R1000" s="655"/>
      <c r="S1000" s="655"/>
      <c r="T1000" s="655"/>
      <c r="U1000" s="655"/>
      <c r="V1000" s="655"/>
      <c r="W1000" s="655"/>
      <c r="X1000" s="655"/>
      <c r="Y1000" s="655"/>
      <c r="Z1000" s="655"/>
    </row>
    <row r="1001">
      <c r="B1001" s="462"/>
      <c r="C1001" s="671"/>
      <c r="D1001" s="462"/>
      <c r="E1001" s="654"/>
      <c r="F1001" s="650"/>
      <c r="G1001" s="654"/>
      <c r="H1001" s="654"/>
      <c r="I1001" s="650"/>
      <c r="J1001" s="650"/>
      <c r="K1001" s="655"/>
      <c r="L1001" s="655"/>
      <c r="M1001" s="655"/>
      <c r="N1001" s="655"/>
      <c r="O1001" s="655"/>
      <c r="P1001" s="655"/>
      <c r="Q1001" s="655"/>
      <c r="R1001" s="655"/>
      <c r="S1001" s="655"/>
      <c r="T1001" s="655"/>
      <c r="U1001" s="655"/>
      <c r="V1001" s="655"/>
      <c r="W1001" s="655"/>
      <c r="X1001" s="655"/>
      <c r="Y1001" s="655"/>
      <c r="Z1001" s="655"/>
    </row>
    <row r="1002">
      <c r="B1002" s="462"/>
      <c r="C1002" s="671"/>
      <c r="D1002" s="462"/>
      <c r="E1002" s="654"/>
      <c r="F1002" s="650"/>
      <c r="G1002" s="654"/>
      <c r="H1002" s="654"/>
      <c r="I1002" s="650"/>
      <c r="J1002" s="650"/>
      <c r="K1002" s="655"/>
      <c r="L1002" s="655"/>
      <c r="M1002" s="655"/>
      <c r="N1002" s="655"/>
      <c r="O1002" s="655"/>
      <c r="P1002" s="655"/>
      <c r="Q1002" s="655"/>
      <c r="R1002" s="655"/>
      <c r="S1002" s="655"/>
      <c r="T1002" s="655"/>
      <c r="U1002" s="655"/>
      <c r="V1002" s="655"/>
      <c r="W1002" s="655"/>
      <c r="X1002" s="655"/>
      <c r="Y1002" s="655"/>
      <c r="Z1002" s="655"/>
    </row>
    <row r="1003">
      <c r="B1003" s="462"/>
      <c r="C1003" s="671"/>
      <c r="D1003" s="462"/>
      <c r="E1003" s="654"/>
      <c r="F1003" s="650"/>
      <c r="G1003" s="654"/>
      <c r="H1003" s="654"/>
      <c r="I1003" s="650"/>
      <c r="J1003" s="650"/>
      <c r="K1003" s="655"/>
      <c r="L1003" s="655"/>
      <c r="M1003" s="655"/>
      <c r="N1003" s="655"/>
      <c r="O1003" s="655"/>
      <c r="P1003" s="655"/>
      <c r="Q1003" s="655"/>
      <c r="R1003" s="655"/>
      <c r="S1003" s="655"/>
      <c r="T1003" s="655"/>
      <c r="U1003" s="655"/>
      <c r="V1003" s="655"/>
      <c r="W1003" s="655"/>
      <c r="X1003" s="655"/>
      <c r="Y1003" s="655"/>
      <c r="Z1003" s="655"/>
    </row>
    <row r="1004">
      <c r="B1004" s="462"/>
      <c r="C1004" s="671"/>
      <c r="D1004" s="462"/>
      <c r="E1004" s="654"/>
      <c r="F1004" s="650"/>
      <c r="G1004" s="654"/>
      <c r="H1004" s="654"/>
      <c r="I1004" s="650"/>
      <c r="J1004" s="650"/>
      <c r="K1004" s="655"/>
      <c r="L1004" s="655"/>
      <c r="M1004" s="655"/>
      <c r="N1004" s="655"/>
      <c r="O1004" s="655"/>
      <c r="P1004" s="655"/>
      <c r="Q1004" s="655"/>
      <c r="R1004" s="655"/>
      <c r="S1004" s="655"/>
      <c r="T1004" s="655"/>
      <c r="U1004" s="655"/>
      <c r="V1004" s="655"/>
      <c r="W1004" s="655"/>
      <c r="X1004" s="655"/>
      <c r="Y1004" s="655"/>
      <c r="Z1004" s="655"/>
    </row>
    <row r="1005">
      <c r="B1005" s="462"/>
      <c r="C1005" s="671"/>
      <c r="D1005" s="462"/>
      <c r="E1005" s="654"/>
      <c r="F1005" s="650"/>
      <c r="G1005" s="654"/>
      <c r="H1005" s="654"/>
      <c r="I1005" s="650"/>
      <c r="J1005" s="650"/>
      <c r="K1005" s="655"/>
      <c r="L1005" s="655"/>
      <c r="M1005" s="655"/>
      <c r="N1005" s="655"/>
      <c r="O1005" s="655"/>
      <c r="P1005" s="655"/>
      <c r="Q1005" s="655"/>
      <c r="R1005" s="655"/>
      <c r="S1005" s="655"/>
      <c r="T1005" s="655"/>
      <c r="U1005" s="655"/>
      <c r="V1005" s="655"/>
      <c r="W1005" s="655"/>
      <c r="X1005" s="655"/>
      <c r="Y1005" s="655"/>
      <c r="Z1005" s="655"/>
    </row>
    <row r="1006">
      <c r="B1006" s="462"/>
      <c r="C1006" s="671"/>
      <c r="D1006" s="462"/>
      <c r="E1006" s="654"/>
      <c r="F1006" s="650"/>
      <c r="G1006" s="654"/>
      <c r="H1006" s="654"/>
      <c r="I1006" s="650"/>
      <c r="J1006" s="650"/>
      <c r="K1006" s="655"/>
      <c r="L1006" s="655"/>
      <c r="M1006" s="655"/>
      <c r="N1006" s="655"/>
      <c r="O1006" s="655"/>
      <c r="P1006" s="655"/>
      <c r="Q1006" s="655"/>
      <c r="R1006" s="655"/>
      <c r="S1006" s="655"/>
      <c r="T1006" s="655"/>
      <c r="U1006" s="655"/>
      <c r="V1006" s="655"/>
      <c r="W1006" s="655"/>
      <c r="X1006" s="655"/>
      <c r="Y1006" s="655"/>
      <c r="Z1006" s="655"/>
    </row>
    <row r="1007">
      <c r="B1007" s="462"/>
      <c r="C1007" s="671"/>
      <c r="D1007" s="462"/>
      <c r="E1007" s="654"/>
      <c r="F1007" s="650"/>
      <c r="G1007" s="654"/>
      <c r="H1007" s="654"/>
      <c r="I1007" s="650"/>
      <c r="J1007" s="650"/>
      <c r="K1007" s="655"/>
      <c r="L1007" s="655"/>
      <c r="M1007" s="655"/>
      <c r="N1007" s="655"/>
      <c r="O1007" s="655"/>
      <c r="P1007" s="655"/>
      <c r="Q1007" s="655"/>
      <c r="R1007" s="655"/>
      <c r="S1007" s="655"/>
      <c r="T1007" s="655"/>
      <c r="U1007" s="655"/>
      <c r="V1007" s="655"/>
      <c r="W1007" s="655"/>
      <c r="X1007" s="655"/>
      <c r="Y1007" s="655"/>
      <c r="Z1007" s="655"/>
    </row>
    <row r="1008">
      <c r="B1008" s="462"/>
      <c r="C1008" s="671"/>
      <c r="D1008" s="462"/>
      <c r="E1008" s="654"/>
      <c r="F1008" s="650"/>
      <c r="G1008" s="654"/>
      <c r="H1008" s="654"/>
      <c r="I1008" s="650"/>
      <c r="J1008" s="650"/>
      <c r="K1008" s="655"/>
      <c r="L1008" s="655"/>
      <c r="M1008" s="655"/>
      <c r="N1008" s="655"/>
      <c r="O1008" s="655"/>
      <c r="P1008" s="655"/>
      <c r="Q1008" s="655"/>
      <c r="R1008" s="655"/>
      <c r="S1008" s="655"/>
      <c r="T1008" s="655"/>
      <c r="U1008" s="655"/>
      <c r="V1008" s="655"/>
      <c r="W1008" s="655"/>
      <c r="X1008" s="655"/>
      <c r="Y1008" s="655"/>
      <c r="Z1008" s="655"/>
    </row>
    <row r="1009">
      <c r="B1009" s="462"/>
      <c r="C1009" s="671"/>
      <c r="D1009" s="462"/>
      <c r="E1009" s="654"/>
      <c r="F1009" s="650"/>
      <c r="G1009" s="654"/>
      <c r="H1009" s="654"/>
      <c r="I1009" s="650"/>
      <c r="J1009" s="650"/>
      <c r="K1009" s="655"/>
      <c r="L1009" s="655"/>
      <c r="M1009" s="655"/>
      <c r="N1009" s="655"/>
      <c r="O1009" s="655"/>
      <c r="P1009" s="655"/>
      <c r="Q1009" s="655"/>
      <c r="R1009" s="655"/>
      <c r="S1009" s="655"/>
      <c r="T1009" s="655"/>
      <c r="U1009" s="655"/>
      <c r="V1009" s="655"/>
      <c r="W1009" s="655"/>
      <c r="X1009" s="655"/>
      <c r="Y1009" s="655"/>
      <c r="Z1009" s="655"/>
    </row>
    <row r="1010">
      <c r="B1010" s="462"/>
      <c r="C1010" s="671"/>
      <c r="D1010" s="462"/>
      <c r="E1010" s="654"/>
      <c r="F1010" s="650"/>
      <c r="G1010" s="654"/>
      <c r="H1010" s="654"/>
      <c r="I1010" s="650"/>
      <c r="J1010" s="650"/>
      <c r="K1010" s="655"/>
      <c r="L1010" s="655"/>
      <c r="M1010" s="655"/>
      <c r="N1010" s="655"/>
      <c r="O1010" s="655"/>
      <c r="P1010" s="655"/>
      <c r="Q1010" s="655"/>
      <c r="R1010" s="655"/>
      <c r="S1010" s="655"/>
      <c r="T1010" s="655"/>
      <c r="U1010" s="655"/>
      <c r="V1010" s="655"/>
      <c r="W1010" s="655"/>
      <c r="X1010" s="655"/>
      <c r="Y1010" s="655"/>
      <c r="Z1010" s="655"/>
    </row>
    <row r="1011">
      <c r="B1011" s="462"/>
      <c r="C1011" s="671"/>
      <c r="D1011" s="462"/>
      <c r="E1011" s="654"/>
      <c r="F1011" s="650"/>
      <c r="G1011" s="654"/>
      <c r="H1011" s="654"/>
      <c r="I1011" s="650"/>
      <c r="J1011" s="650"/>
      <c r="K1011" s="655"/>
      <c r="L1011" s="655"/>
      <c r="M1011" s="655"/>
      <c r="N1011" s="655"/>
      <c r="O1011" s="655"/>
      <c r="P1011" s="655"/>
      <c r="Q1011" s="655"/>
      <c r="R1011" s="655"/>
      <c r="S1011" s="655"/>
      <c r="T1011" s="655"/>
      <c r="U1011" s="655"/>
      <c r="V1011" s="655"/>
      <c r="W1011" s="655"/>
      <c r="X1011" s="655"/>
      <c r="Y1011" s="655"/>
      <c r="Z1011" s="655"/>
    </row>
    <row r="1012">
      <c r="B1012" s="462"/>
      <c r="C1012" s="671"/>
      <c r="D1012" s="462"/>
      <c r="E1012" s="654"/>
      <c r="F1012" s="650"/>
      <c r="G1012" s="654"/>
      <c r="H1012" s="654"/>
      <c r="I1012" s="650"/>
      <c r="J1012" s="650"/>
      <c r="K1012" s="655"/>
      <c r="L1012" s="655"/>
      <c r="M1012" s="655"/>
      <c r="N1012" s="655"/>
      <c r="O1012" s="655"/>
      <c r="P1012" s="655"/>
      <c r="Q1012" s="655"/>
      <c r="R1012" s="655"/>
      <c r="S1012" s="655"/>
      <c r="T1012" s="655"/>
      <c r="U1012" s="655"/>
      <c r="V1012" s="655"/>
      <c r="W1012" s="655"/>
      <c r="X1012" s="655"/>
      <c r="Y1012" s="655"/>
      <c r="Z1012" s="655"/>
    </row>
    <row r="1013">
      <c r="B1013" s="462"/>
      <c r="C1013" s="671"/>
      <c r="D1013" s="462"/>
      <c r="E1013" s="654"/>
      <c r="F1013" s="650"/>
      <c r="G1013" s="654"/>
      <c r="H1013" s="654"/>
      <c r="I1013" s="650"/>
      <c r="J1013" s="650"/>
      <c r="K1013" s="655"/>
      <c r="L1013" s="655"/>
      <c r="M1013" s="655"/>
      <c r="N1013" s="655"/>
      <c r="O1013" s="655"/>
      <c r="P1013" s="655"/>
      <c r="Q1013" s="655"/>
      <c r="R1013" s="655"/>
      <c r="S1013" s="655"/>
      <c r="T1013" s="655"/>
      <c r="U1013" s="655"/>
      <c r="V1013" s="655"/>
      <c r="W1013" s="655"/>
      <c r="X1013" s="655"/>
      <c r="Y1013" s="655"/>
      <c r="Z1013" s="655"/>
    </row>
    <row r="1014">
      <c r="B1014" s="462"/>
      <c r="C1014" s="671"/>
      <c r="D1014" s="462"/>
      <c r="E1014" s="654"/>
      <c r="F1014" s="650"/>
      <c r="G1014" s="654"/>
      <c r="H1014" s="654"/>
      <c r="I1014" s="650"/>
      <c r="J1014" s="650"/>
      <c r="K1014" s="655"/>
      <c r="L1014" s="655"/>
      <c r="M1014" s="655"/>
      <c r="N1014" s="655"/>
      <c r="O1014" s="655"/>
      <c r="P1014" s="655"/>
      <c r="Q1014" s="655"/>
      <c r="R1014" s="655"/>
      <c r="S1014" s="655"/>
      <c r="T1014" s="655"/>
      <c r="U1014" s="655"/>
      <c r="V1014" s="655"/>
      <c r="W1014" s="655"/>
      <c r="X1014" s="655"/>
      <c r="Y1014" s="655"/>
      <c r="Z1014" s="655"/>
    </row>
    <row r="1015">
      <c r="B1015" s="462"/>
      <c r="C1015" s="671"/>
      <c r="D1015" s="462"/>
      <c r="E1015" s="654"/>
      <c r="F1015" s="650"/>
      <c r="G1015" s="654"/>
      <c r="H1015" s="654"/>
      <c r="I1015" s="650"/>
      <c r="J1015" s="650"/>
      <c r="K1015" s="655"/>
      <c r="L1015" s="655"/>
      <c r="M1015" s="655"/>
      <c r="N1015" s="655"/>
      <c r="O1015" s="655"/>
      <c r="P1015" s="655"/>
      <c r="Q1015" s="655"/>
      <c r="R1015" s="655"/>
      <c r="S1015" s="655"/>
      <c r="T1015" s="655"/>
      <c r="U1015" s="655"/>
      <c r="V1015" s="655"/>
      <c r="W1015" s="655"/>
      <c r="X1015" s="655"/>
      <c r="Y1015" s="655"/>
      <c r="Z1015" s="655"/>
    </row>
    <row r="1016">
      <c r="B1016" s="462"/>
      <c r="C1016" s="671"/>
      <c r="D1016" s="462"/>
      <c r="E1016" s="654"/>
      <c r="F1016" s="650"/>
      <c r="G1016" s="654"/>
      <c r="H1016" s="654"/>
      <c r="I1016" s="650"/>
      <c r="J1016" s="650"/>
      <c r="K1016" s="655"/>
      <c r="L1016" s="655"/>
      <c r="M1016" s="655"/>
      <c r="N1016" s="655"/>
      <c r="O1016" s="655"/>
      <c r="P1016" s="655"/>
      <c r="Q1016" s="655"/>
      <c r="R1016" s="655"/>
      <c r="S1016" s="655"/>
      <c r="T1016" s="655"/>
      <c r="U1016" s="655"/>
      <c r="V1016" s="655"/>
      <c r="W1016" s="655"/>
      <c r="X1016" s="655"/>
      <c r="Y1016" s="655"/>
      <c r="Z1016" s="655"/>
    </row>
    <row r="1017">
      <c r="B1017" s="462"/>
      <c r="C1017" s="671"/>
      <c r="D1017" s="462"/>
      <c r="E1017" s="654"/>
      <c r="F1017" s="650"/>
      <c r="G1017" s="654"/>
      <c r="H1017" s="654"/>
      <c r="I1017" s="650"/>
      <c r="J1017" s="650"/>
      <c r="K1017" s="655"/>
      <c r="L1017" s="655"/>
      <c r="M1017" s="655"/>
      <c r="N1017" s="655"/>
      <c r="O1017" s="655"/>
      <c r="P1017" s="655"/>
      <c r="Q1017" s="655"/>
      <c r="R1017" s="655"/>
      <c r="S1017" s="655"/>
      <c r="T1017" s="655"/>
      <c r="U1017" s="655"/>
      <c r="V1017" s="655"/>
      <c r="W1017" s="655"/>
      <c r="X1017" s="655"/>
      <c r="Y1017" s="655"/>
      <c r="Z1017" s="655"/>
    </row>
    <row r="1018">
      <c r="B1018" s="462"/>
      <c r="C1018" s="671"/>
      <c r="D1018" s="462"/>
      <c r="E1018" s="654"/>
      <c r="F1018" s="650"/>
      <c r="G1018" s="654"/>
      <c r="H1018" s="654"/>
      <c r="I1018" s="650"/>
      <c r="J1018" s="650"/>
      <c r="K1018" s="655"/>
      <c r="L1018" s="655"/>
      <c r="M1018" s="655"/>
      <c r="N1018" s="655"/>
      <c r="O1018" s="655"/>
      <c r="P1018" s="655"/>
      <c r="Q1018" s="655"/>
      <c r="R1018" s="655"/>
      <c r="S1018" s="655"/>
      <c r="T1018" s="655"/>
      <c r="U1018" s="655"/>
      <c r="V1018" s="655"/>
      <c r="W1018" s="655"/>
      <c r="X1018" s="655"/>
      <c r="Y1018" s="655"/>
      <c r="Z1018" s="655"/>
    </row>
    <row r="1019">
      <c r="B1019" s="462"/>
      <c r="C1019" s="671"/>
      <c r="D1019" s="462"/>
      <c r="E1019" s="654"/>
      <c r="F1019" s="650"/>
      <c r="G1019" s="654"/>
      <c r="H1019" s="654"/>
      <c r="I1019" s="650"/>
      <c r="J1019" s="650"/>
      <c r="K1019" s="655"/>
      <c r="L1019" s="655"/>
      <c r="M1019" s="655"/>
      <c r="N1019" s="655"/>
      <c r="O1019" s="655"/>
      <c r="P1019" s="655"/>
      <c r="Q1019" s="655"/>
      <c r="R1019" s="655"/>
      <c r="S1019" s="655"/>
      <c r="T1019" s="655"/>
      <c r="U1019" s="655"/>
      <c r="V1019" s="655"/>
      <c r="W1019" s="655"/>
      <c r="X1019" s="655"/>
      <c r="Y1019" s="655"/>
      <c r="Z1019" s="655"/>
    </row>
    <row r="1020">
      <c r="B1020" s="462"/>
      <c r="C1020" s="671"/>
      <c r="D1020" s="462"/>
      <c r="E1020" s="654"/>
      <c r="F1020" s="650"/>
      <c r="G1020" s="654"/>
      <c r="H1020" s="654"/>
      <c r="I1020" s="650"/>
      <c r="J1020" s="650"/>
      <c r="K1020" s="655"/>
      <c r="L1020" s="655"/>
      <c r="M1020" s="655"/>
      <c r="N1020" s="655"/>
      <c r="O1020" s="655"/>
      <c r="P1020" s="655"/>
      <c r="Q1020" s="655"/>
      <c r="R1020" s="655"/>
      <c r="S1020" s="655"/>
      <c r="T1020" s="655"/>
      <c r="U1020" s="655"/>
      <c r="V1020" s="655"/>
      <c r="W1020" s="655"/>
      <c r="X1020" s="655"/>
      <c r="Y1020" s="655"/>
      <c r="Z1020" s="655"/>
    </row>
    <row r="1021">
      <c r="B1021" s="462"/>
      <c r="C1021" s="671"/>
      <c r="D1021" s="462"/>
      <c r="E1021" s="654"/>
      <c r="F1021" s="650"/>
      <c r="G1021" s="654"/>
      <c r="H1021" s="654"/>
      <c r="I1021" s="650"/>
      <c r="J1021" s="650"/>
      <c r="K1021" s="655"/>
      <c r="L1021" s="655"/>
      <c r="M1021" s="655"/>
      <c r="N1021" s="655"/>
      <c r="O1021" s="655"/>
      <c r="P1021" s="655"/>
      <c r="Q1021" s="655"/>
      <c r="R1021" s="655"/>
      <c r="S1021" s="655"/>
      <c r="T1021" s="655"/>
      <c r="U1021" s="655"/>
      <c r="V1021" s="655"/>
      <c r="W1021" s="655"/>
      <c r="X1021" s="655"/>
      <c r="Y1021" s="655"/>
      <c r="Z1021" s="655"/>
    </row>
    <row r="1022">
      <c r="B1022" s="462"/>
      <c r="C1022" s="671"/>
      <c r="D1022" s="462"/>
      <c r="E1022" s="654"/>
      <c r="F1022" s="650"/>
      <c r="G1022" s="654"/>
      <c r="H1022" s="654"/>
      <c r="I1022" s="650"/>
      <c r="J1022" s="650"/>
      <c r="K1022" s="655"/>
      <c r="L1022" s="655"/>
      <c r="M1022" s="655"/>
      <c r="N1022" s="655"/>
      <c r="O1022" s="655"/>
      <c r="P1022" s="655"/>
      <c r="Q1022" s="655"/>
      <c r="R1022" s="655"/>
      <c r="S1022" s="655"/>
      <c r="T1022" s="655"/>
      <c r="U1022" s="655"/>
      <c r="V1022" s="655"/>
      <c r="W1022" s="655"/>
      <c r="X1022" s="655"/>
      <c r="Y1022" s="655"/>
      <c r="Z1022" s="655"/>
    </row>
    <row r="1023">
      <c r="B1023" s="462"/>
      <c r="C1023" s="671"/>
      <c r="D1023" s="462"/>
      <c r="E1023" s="654"/>
      <c r="F1023" s="650"/>
      <c r="G1023" s="654"/>
      <c r="H1023" s="654"/>
      <c r="I1023" s="650"/>
      <c r="J1023" s="650"/>
      <c r="K1023" s="655"/>
      <c r="L1023" s="655"/>
      <c r="M1023" s="655"/>
      <c r="N1023" s="655"/>
      <c r="O1023" s="655"/>
      <c r="P1023" s="655"/>
      <c r="Q1023" s="655"/>
      <c r="R1023" s="655"/>
      <c r="S1023" s="655"/>
      <c r="T1023" s="655"/>
      <c r="U1023" s="655"/>
      <c r="V1023" s="655"/>
      <c r="W1023" s="655"/>
      <c r="X1023" s="655"/>
      <c r="Y1023" s="655"/>
      <c r="Z1023" s="655"/>
    </row>
    <row r="1024">
      <c r="B1024" s="462"/>
      <c r="C1024" s="671"/>
      <c r="D1024" s="462"/>
      <c r="E1024" s="654"/>
      <c r="F1024" s="650"/>
      <c r="G1024" s="654"/>
      <c r="H1024" s="654"/>
      <c r="I1024" s="650"/>
      <c r="J1024" s="650"/>
      <c r="K1024" s="655"/>
      <c r="L1024" s="655"/>
      <c r="M1024" s="655"/>
      <c r="N1024" s="655"/>
      <c r="O1024" s="655"/>
      <c r="P1024" s="655"/>
      <c r="Q1024" s="655"/>
      <c r="R1024" s="655"/>
      <c r="S1024" s="655"/>
      <c r="T1024" s="655"/>
      <c r="U1024" s="655"/>
      <c r="V1024" s="655"/>
      <c r="W1024" s="655"/>
      <c r="X1024" s="655"/>
      <c r="Y1024" s="655"/>
      <c r="Z1024" s="655"/>
    </row>
    <row r="1025">
      <c r="B1025" s="462"/>
      <c r="C1025" s="671"/>
      <c r="D1025" s="462"/>
      <c r="E1025" s="654"/>
      <c r="F1025" s="650"/>
      <c r="G1025" s="654"/>
      <c r="H1025" s="654"/>
      <c r="I1025" s="650"/>
      <c r="J1025" s="650"/>
      <c r="K1025" s="655"/>
      <c r="L1025" s="655"/>
      <c r="M1025" s="655"/>
      <c r="N1025" s="655"/>
      <c r="O1025" s="655"/>
      <c r="P1025" s="655"/>
      <c r="Q1025" s="655"/>
      <c r="R1025" s="655"/>
      <c r="S1025" s="655"/>
      <c r="T1025" s="655"/>
      <c r="U1025" s="655"/>
      <c r="V1025" s="655"/>
      <c r="W1025" s="655"/>
      <c r="X1025" s="655"/>
      <c r="Y1025" s="655"/>
      <c r="Z1025" s="655"/>
    </row>
    <row r="1026">
      <c r="B1026" s="462"/>
      <c r="C1026" s="671"/>
      <c r="D1026" s="462"/>
      <c r="E1026" s="654"/>
      <c r="F1026" s="650"/>
      <c r="G1026" s="654"/>
      <c r="H1026" s="654"/>
      <c r="I1026" s="650"/>
      <c r="J1026" s="650"/>
      <c r="K1026" s="655"/>
      <c r="L1026" s="655"/>
      <c r="M1026" s="655"/>
      <c r="N1026" s="655"/>
      <c r="O1026" s="655"/>
      <c r="P1026" s="655"/>
      <c r="Q1026" s="655"/>
      <c r="R1026" s="655"/>
      <c r="S1026" s="655"/>
      <c r="T1026" s="655"/>
      <c r="U1026" s="655"/>
      <c r="V1026" s="655"/>
      <c r="W1026" s="655"/>
      <c r="X1026" s="655"/>
      <c r="Y1026" s="655"/>
      <c r="Z1026" s="655"/>
    </row>
    <row r="1027">
      <c r="B1027" s="462"/>
      <c r="C1027" s="671"/>
      <c r="D1027" s="462"/>
      <c r="E1027" s="654"/>
      <c r="F1027" s="650"/>
      <c r="G1027" s="654"/>
      <c r="H1027" s="654"/>
      <c r="I1027" s="650"/>
      <c r="J1027" s="650"/>
      <c r="K1027" s="655"/>
      <c r="L1027" s="655"/>
      <c r="M1027" s="655"/>
      <c r="N1027" s="655"/>
      <c r="O1027" s="655"/>
      <c r="P1027" s="655"/>
      <c r="Q1027" s="655"/>
      <c r="R1027" s="655"/>
      <c r="S1027" s="655"/>
      <c r="T1027" s="655"/>
      <c r="U1027" s="655"/>
      <c r="V1027" s="655"/>
      <c r="W1027" s="655"/>
      <c r="X1027" s="655"/>
      <c r="Y1027" s="655"/>
      <c r="Z1027" s="655"/>
    </row>
    <row r="1028">
      <c r="B1028" s="462"/>
      <c r="C1028" s="671"/>
      <c r="D1028" s="462"/>
      <c r="E1028" s="654"/>
      <c r="F1028" s="650"/>
      <c r="G1028" s="654"/>
      <c r="H1028" s="654"/>
      <c r="I1028" s="650"/>
      <c r="J1028" s="650"/>
      <c r="K1028" s="655"/>
      <c r="L1028" s="655"/>
      <c r="M1028" s="655"/>
      <c r="N1028" s="655"/>
      <c r="O1028" s="655"/>
      <c r="P1028" s="655"/>
      <c r="Q1028" s="655"/>
      <c r="R1028" s="655"/>
      <c r="S1028" s="655"/>
      <c r="T1028" s="655"/>
      <c r="U1028" s="655"/>
      <c r="V1028" s="655"/>
      <c r="W1028" s="655"/>
      <c r="X1028" s="655"/>
      <c r="Y1028" s="655"/>
      <c r="Z1028" s="655"/>
    </row>
    <row r="1029">
      <c r="B1029" s="462"/>
      <c r="C1029" s="671"/>
      <c r="D1029" s="462"/>
      <c r="E1029" s="654"/>
      <c r="F1029" s="650"/>
      <c r="G1029" s="654"/>
      <c r="H1029" s="654"/>
      <c r="I1029" s="650"/>
      <c r="J1029" s="650"/>
      <c r="K1029" s="655"/>
      <c r="L1029" s="655"/>
      <c r="M1029" s="655"/>
      <c r="N1029" s="655"/>
      <c r="O1029" s="655"/>
      <c r="P1029" s="655"/>
      <c r="Q1029" s="655"/>
      <c r="R1029" s="655"/>
      <c r="S1029" s="655"/>
      <c r="T1029" s="655"/>
      <c r="U1029" s="655"/>
      <c r="V1029" s="655"/>
      <c r="W1029" s="655"/>
      <c r="X1029" s="655"/>
      <c r="Y1029" s="655"/>
      <c r="Z1029" s="655"/>
    </row>
    <row r="1030">
      <c r="B1030" s="462"/>
      <c r="C1030" s="671"/>
      <c r="D1030" s="462"/>
      <c r="E1030" s="654"/>
      <c r="F1030" s="650"/>
      <c r="G1030" s="654"/>
      <c r="H1030" s="654"/>
      <c r="I1030" s="650"/>
      <c r="J1030" s="650"/>
      <c r="K1030" s="655"/>
      <c r="L1030" s="655"/>
      <c r="M1030" s="655"/>
      <c r="N1030" s="655"/>
      <c r="O1030" s="655"/>
      <c r="P1030" s="655"/>
      <c r="Q1030" s="655"/>
      <c r="R1030" s="655"/>
      <c r="S1030" s="655"/>
      <c r="T1030" s="655"/>
      <c r="U1030" s="655"/>
      <c r="V1030" s="655"/>
      <c r="W1030" s="655"/>
      <c r="X1030" s="655"/>
      <c r="Y1030" s="655"/>
      <c r="Z1030" s="655"/>
    </row>
    <row r="1031">
      <c r="B1031" s="462"/>
      <c r="C1031" s="671"/>
      <c r="D1031" s="462"/>
      <c r="E1031" s="654"/>
      <c r="F1031" s="650"/>
      <c r="G1031" s="654"/>
      <c r="H1031" s="654"/>
      <c r="I1031" s="650"/>
      <c r="J1031" s="650"/>
      <c r="K1031" s="655"/>
      <c r="L1031" s="655"/>
      <c r="M1031" s="655"/>
      <c r="N1031" s="655"/>
      <c r="O1031" s="655"/>
      <c r="P1031" s="655"/>
      <c r="Q1031" s="655"/>
      <c r="R1031" s="655"/>
      <c r="S1031" s="655"/>
      <c r="T1031" s="655"/>
      <c r="U1031" s="655"/>
      <c r="V1031" s="655"/>
      <c r="W1031" s="655"/>
      <c r="X1031" s="655"/>
      <c r="Y1031" s="655"/>
      <c r="Z1031" s="655"/>
    </row>
    <row r="1032">
      <c r="B1032" s="462"/>
      <c r="C1032" s="671"/>
      <c r="D1032" s="462"/>
      <c r="E1032" s="654"/>
      <c r="F1032" s="650"/>
      <c r="G1032" s="654"/>
      <c r="H1032" s="654"/>
      <c r="I1032" s="650"/>
      <c r="J1032" s="650"/>
      <c r="K1032" s="655"/>
      <c r="L1032" s="655"/>
      <c r="M1032" s="655"/>
      <c r="N1032" s="655"/>
      <c r="O1032" s="655"/>
      <c r="P1032" s="655"/>
      <c r="Q1032" s="655"/>
      <c r="R1032" s="655"/>
      <c r="S1032" s="655"/>
      <c r="T1032" s="655"/>
      <c r="U1032" s="655"/>
      <c r="V1032" s="655"/>
      <c r="W1032" s="655"/>
      <c r="X1032" s="655"/>
      <c r="Y1032" s="655"/>
      <c r="Z1032" s="655"/>
    </row>
    <row r="1033">
      <c r="B1033" s="462"/>
      <c r="C1033" s="671"/>
      <c r="D1033" s="462"/>
      <c r="E1033" s="654"/>
      <c r="F1033" s="650"/>
      <c r="G1033" s="654"/>
      <c r="H1033" s="654"/>
      <c r="I1033" s="650"/>
      <c r="J1033" s="650"/>
      <c r="K1033" s="655"/>
      <c r="L1033" s="655"/>
      <c r="M1033" s="655"/>
      <c r="N1033" s="655"/>
      <c r="O1033" s="655"/>
      <c r="P1033" s="655"/>
      <c r="Q1033" s="655"/>
      <c r="R1033" s="655"/>
      <c r="S1033" s="655"/>
      <c r="T1033" s="655"/>
      <c r="U1033" s="655"/>
      <c r="V1033" s="655"/>
      <c r="W1033" s="655"/>
      <c r="X1033" s="655"/>
      <c r="Y1033" s="655"/>
      <c r="Z1033" s="655"/>
    </row>
    <row r="1034">
      <c r="B1034" s="462"/>
      <c r="C1034" s="671"/>
      <c r="D1034" s="462"/>
      <c r="E1034" s="654"/>
      <c r="F1034" s="650"/>
      <c r="G1034" s="654"/>
      <c r="H1034" s="654"/>
      <c r="I1034" s="650"/>
      <c r="J1034" s="650"/>
      <c r="K1034" s="655"/>
      <c r="L1034" s="655"/>
      <c r="M1034" s="655"/>
      <c r="N1034" s="655"/>
      <c r="O1034" s="655"/>
      <c r="P1034" s="655"/>
      <c r="Q1034" s="655"/>
      <c r="R1034" s="655"/>
      <c r="S1034" s="655"/>
      <c r="T1034" s="655"/>
      <c r="U1034" s="655"/>
      <c r="V1034" s="655"/>
      <c r="W1034" s="655"/>
      <c r="X1034" s="655"/>
      <c r="Y1034" s="655"/>
      <c r="Z1034" s="655"/>
    </row>
    <row r="1035">
      <c r="B1035" s="462"/>
      <c r="C1035" s="671"/>
      <c r="D1035" s="462"/>
      <c r="E1035" s="654"/>
      <c r="F1035" s="650"/>
      <c r="G1035" s="654"/>
      <c r="H1035" s="654"/>
      <c r="I1035" s="650"/>
      <c r="J1035" s="650"/>
      <c r="K1035" s="655"/>
      <c r="L1035" s="655"/>
      <c r="M1035" s="655"/>
      <c r="N1035" s="655"/>
      <c r="O1035" s="655"/>
      <c r="P1035" s="655"/>
      <c r="Q1035" s="655"/>
      <c r="R1035" s="655"/>
      <c r="S1035" s="655"/>
      <c r="T1035" s="655"/>
      <c r="U1035" s="655"/>
      <c r="V1035" s="655"/>
      <c r="W1035" s="655"/>
      <c r="X1035" s="655"/>
      <c r="Y1035" s="655"/>
      <c r="Z1035" s="655"/>
    </row>
    <row r="1036">
      <c r="B1036" s="462"/>
      <c r="C1036" s="671"/>
      <c r="D1036" s="462"/>
      <c r="E1036" s="654"/>
      <c r="F1036" s="650"/>
      <c r="G1036" s="654"/>
      <c r="H1036" s="654"/>
      <c r="I1036" s="650"/>
      <c r="J1036" s="650"/>
      <c r="K1036" s="655"/>
      <c r="L1036" s="655"/>
      <c r="M1036" s="655"/>
      <c r="N1036" s="655"/>
      <c r="O1036" s="655"/>
      <c r="P1036" s="655"/>
      <c r="Q1036" s="655"/>
      <c r="R1036" s="655"/>
      <c r="S1036" s="655"/>
      <c r="T1036" s="655"/>
      <c r="U1036" s="655"/>
      <c r="V1036" s="655"/>
      <c r="W1036" s="655"/>
      <c r="X1036" s="655"/>
      <c r="Y1036" s="655"/>
      <c r="Z1036" s="655"/>
    </row>
    <row r="1037">
      <c r="B1037" s="462"/>
      <c r="C1037" s="671"/>
      <c r="D1037" s="462"/>
      <c r="E1037" s="654"/>
      <c r="F1037" s="650"/>
      <c r="G1037" s="654"/>
      <c r="H1037" s="654"/>
      <c r="I1037" s="650"/>
      <c r="J1037" s="650"/>
      <c r="K1037" s="655"/>
      <c r="L1037" s="655"/>
      <c r="M1037" s="655"/>
      <c r="N1037" s="655"/>
      <c r="O1037" s="655"/>
      <c r="P1037" s="655"/>
      <c r="Q1037" s="655"/>
      <c r="R1037" s="655"/>
      <c r="S1037" s="655"/>
      <c r="T1037" s="655"/>
      <c r="U1037" s="655"/>
      <c r="V1037" s="655"/>
      <c r="W1037" s="655"/>
      <c r="X1037" s="655"/>
      <c r="Y1037" s="655"/>
      <c r="Z1037" s="655"/>
    </row>
    <row r="1038">
      <c r="B1038" s="462"/>
      <c r="C1038" s="671"/>
      <c r="D1038" s="462"/>
      <c r="E1038" s="654"/>
      <c r="F1038" s="650"/>
      <c r="G1038" s="654"/>
      <c r="H1038" s="654"/>
      <c r="I1038" s="650"/>
      <c r="J1038" s="650"/>
      <c r="K1038" s="655"/>
      <c r="L1038" s="655"/>
      <c r="M1038" s="655"/>
      <c r="N1038" s="655"/>
      <c r="O1038" s="655"/>
      <c r="P1038" s="655"/>
      <c r="Q1038" s="655"/>
      <c r="R1038" s="655"/>
      <c r="S1038" s="655"/>
      <c r="T1038" s="655"/>
      <c r="U1038" s="655"/>
      <c r="V1038" s="655"/>
      <c r="W1038" s="655"/>
      <c r="X1038" s="655"/>
      <c r="Y1038" s="655"/>
      <c r="Z1038" s="655"/>
    </row>
    <row r="1039">
      <c r="B1039" s="462"/>
      <c r="C1039" s="671"/>
      <c r="D1039" s="462"/>
      <c r="E1039" s="654"/>
      <c r="F1039" s="650"/>
      <c r="G1039" s="654"/>
      <c r="H1039" s="654"/>
      <c r="I1039" s="650"/>
      <c r="J1039" s="650"/>
      <c r="K1039" s="655"/>
      <c r="L1039" s="655"/>
      <c r="M1039" s="655"/>
      <c r="N1039" s="655"/>
      <c r="O1039" s="655"/>
      <c r="P1039" s="655"/>
      <c r="Q1039" s="655"/>
      <c r="R1039" s="655"/>
      <c r="S1039" s="655"/>
      <c r="T1039" s="655"/>
      <c r="U1039" s="655"/>
      <c r="V1039" s="655"/>
      <c r="W1039" s="655"/>
      <c r="X1039" s="655"/>
      <c r="Y1039" s="655"/>
      <c r="Z1039" s="655"/>
    </row>
    <row r="1040">
      <c r="B1040" s="462"/>
      <c r="C1040" s="671"/>
      <c r="D1040" s="462"/>
      <c r="E1040" s="654"/>
      <c r="F1040" s="650"/>
      <c r="G1040" s="654"/>
      <c r="H1040" s="654"/>
      <c r="I1040" s="650"/>
      <c r="J1040" s="650"/>
      <c r="K1040" s="655"/>
      <c r="L1040" s="655"/>
      <c r="M1040" s="655"/>
      <c r="N1040" s="655"/>
      <c r="O1040" s="655"/>
      <c r="P1040" s="655"/>
      <c r="Q1040" s="655"/>
      <c r="R1040" s="655"/>
      <c r="S1040" s="655"/>
      <c r="T1040" s="655"/>
      <c r="U1040" s="655"/>
      <c r="V1040" s="655"/>
      <c r="W1040" s="655"/>
      <c r="X1040" s="655"/>
      <c r="Y1040" s="655"/>
      <c r="Z1040" s="655"/>
    </row>
    <row r="1041">
      <c r="B1041" s="462"/>
      <c r="C1041" s="671"/>
      <c r="D1041" s="462"/>
      <c r="E1041" s="654"/>
      <c r="F1041" s="650"/>
      <c r="G1041" s="654"/>
      <c r="H1041" s="654"/>
      <c r="I1041" s="650"/>
      <c r="J1041" s="650"/>
      <c r="K1041" s="655"/>
      <c r="L1041" s="655"/>
      <c r="M1041" s="655"/>
      <c r="N1041" s="655"/>
      <c r="O1041" s="655"/>
      <c r="P1041" s="655"/>
      <c r="Q1041" s="655"/>
      <c r="R1041" s="655"/>
      <c r="S1041" s="655"/>
      <c r="T1041" s="655"/>
      <c r="U1041" s="655"/>
      <c r="V1041" s="655"/>
      <c r="W1041" s="655"/>
      <c r="X1041" s="655"/>
      <c r="Y1041" s="655"/>
      <c r="Z1041" s="655"/>
    </row>
    <row r="1042">
      <c r="B1042" s="462"/>
      <c r="C1042" s="671"/>
      <c r="D1042" s="462"/>
      <c r="E1042" s="654"/>
      <c r="F1042" s="650"/>
      <c r="G1042" s="654"/>
      <c r="H1042" s="654"/>
      <c r="I1042" s="650"/>
      <c r="J1042" s="650"/>
      <c r="K1042" s="655"/>
      <c r="L1042" s="655"/>
      <c r="M1042" s="655"/>
      <c r="N1042" s="655"/>
      <c r="O1042" s="655"/>
      <c r="P1042" s="655"/>
      <c r="Q1042" s="655"/>
      <c r="R1042" s="655"/>
      <c r="S1042" s="655"/>
      <c r="T1042" s="655"/>
      <c r="U1042" s="655"/>
      <c r="V1042" s="655"/>
      <c r="W1042" s="655"/>
      <c r="X1042" s="655"/>
      <c r="Y1042" s="655"/>
      <c r="Z1042" s="655"/>
    </row>
    <row r="1043">
      <c r="B1043" s="462"/>
      <c r="C1043" s="671"/>
      <c r="D1043" s="462"/>
      <c r="E1043" s="654"/>
      <c r="F1043" s="650"/>
      <c r="G1043" s="654"/>
      <c r="H1043" s="654"/>
      <c r="I1043" s="650"/>
      <c r="J1043" s="650"/>
      <c r="K1043" s="655"/>
      <c r="L1043" s="655"/>
      <c r="M1043" s="655"/>
      <c r="N1043" s="655"/>
      <c r="O1043" s="655"/>
      <c r="P1043" s="655"/>
      <c r="Q1043" s="655"/>
      <c r="R1043" s="655"/>
      <c r="S1043" s="655"/>
      <c r="T1043" s="655"/>
      <c r="U1043" s="655"/>
      <c r="V1043" s="655"/>
      <c r="W1043" s="655"/>
      <c r="X1043" s="655"/>
      <c r="Y1043" s="655"/>
      <c r="Z1043" s="655"/>
    </row>
    <row r="1044">
      <c r="B1044" s="462"/>
      <c r="C1044" s="671"/>
      <c r="D1044" s="462"/>
      <c r="E1044" s="654"/>
      <c r="F1044" s="650"/>
      <c r="G1044" s="654"/>
      <c r="H1044" s="654"/>
      <c r="I1044" s="650"/>
      <c r="J1044" s="650"/>
      <c r="K1044" s="655"/>
      <c r="L1044" s="655"/>
      <c r="M1044" s="655"/>
      <c r="N1044" s="655"/>
      <c r="O1044" s="655"/>
      <c r="P1044" s="655"/>
      <c r="Q1044" s="655"/>
      <c r="R1044" s="655"/>
      <c r="S1044" s="655"/>
      <c r="T1044" s="655"/>
      <c r="U1044" s="655"/>
      <c r="V1044" s="655"/>
      <c r="W1044" s="655"/>
      <c r="X1044" s="655"/>
      <c r="Y1044" s="655"/>
      <c r="Z1044" s="655"/>
    </row>
    <row r="1045">
      <c r="B1045" s="462"/>
      <c r="C1045" s="671"/>
      <c r="D1045" s="462"/>
      <c r="E1045" s="654"/>
      <c r="F1045" s="650"/>
      <c r="G1045" s="654"/>
      <c r="H1045" s="654"/>
      <c r="I1045" s="650"/>
      <c r="J1045" s="650"/>
      <c r="K1045" s="655"/>
      <c r="L1045" s="655"/>
      <c r="M1045" s="655"/>
      <c r="N1045" s="655"/>
      <c r="O1045" s="655"/>
      <c r="P1045" s="655"/>
      <c r="Q1045" s="655"/>
      <c r="R1045" s="655"/>
      <c r="S1045" s="655"/>
      <c r="T1045" s="655"/>
      <c r="U1045" s="655"/>
      <c r="V1045" s="655"/>
      <c r="W1045" s="655"/>
      <c r="X1045" s="655"/>
      <c r="Y1045" s="655"/>
      <c r="Z1045" s="655"/>
    </row>
    <row r="1046">
      <c r="B1046" s="462"/>
      <c r="C1046" s="671"/>
      <c r="D1046" s="462"/>
      <c r="E1046" s="654"/>
      <c r="F1046" s="650"/>
      <c r="G1046" s="654"/>
      <c r="H1046" s="654"/>
      <c r="I1046" s="650"/>
      <c r="J1046" s="650"/>
      <c r="K1046" s="655"/>
      <c r="L1046" s="655"/>
      <c r="M1046" s="655"/>
      <c r="N1046" s="655"/>
      <c r="O1046" s="655"/>
      <c r="P1046" s="655"/>
      <c r="Q1046" s="655"/>
      <c r="R1046" s="655"/>
      <c r="S1046" s="655"/>
      <c r="T1046" s="655"/>
      <c r="U1046" s="655"/>
      <c r="V1046" s="655"/>
      <c r="W1046" s="655"/>
      <c r="X1046" s="655"/>
      <c r="Y1046" s="655"/>
      <c r="Z1046" s="655"/>
    </row>
    <row r="1047">
      <c r="B1047" s="462"/>
      <c r="C1047" s="671"/>
      <c r="D1047" s="462"/>
      <c r="E1047" s="654"/>
      <c r="F1047" s="650"/>
      <c r="G1047" s="654"/>
      <c r="H1047" s="654"/>
      <c r="I1047" s="650"/>
      <c r="J1047" s="650"/>
      <c r="K1047" s="655"/>
      <c r="L1047" s="655"/>
      <c r="M1047" s="655"/>
      <c r="N1047" s="655"/>
      <c r="O1047" s="655"/>
      <c r="P1047" s="655"/>
      <c r="Q1047" s="655"/>
      <c r="R1047" s="655"/>
      <c r="S1047" s="655"/>
      <c r="T1047" s="655"/>
      <c r="U1047" s="655"/>
      <c r="V1047" s="655"/>
      <c r="W1047" s="655"/>
      <c r="X1047" s="655"/>
      <c r="Y1047" s="655"/>
      <c r="Z1047" s="655"/>
    </row>
    <row r="1048">
      <c r="B1048" s="462"/>
      <c r="C1048" s="671"/>
      <c r="D1048" s="462"/>
      <c r="E1048" s="654"/>
      <c r="F1048" s="650"/>
      <c r="G1048" s="654"/>
      <c r="H1048" s="654"/>
      <c r="I1048" s="650"/>
      <c r="J1048" s="650"/>
      <c r="K1048" s="655"/>
      <c r="L1048" s="655"/>
      <c r="M1048" s="655"/>
      <c r="N1048" s="655"/>
      <c r="O1048" s="655"/>
      <c r="P1048" s="655"/>
      <c r="Q1048" s="655"/>
      <c r="R1048" s="655"/>
      <c r="S1048" s="655"/>
      <c r="T1048" s="655"/>
      <c r="U1048" s="655"/>
      <c r="V1048" s="655"/>
      <c r="W1048" s="655"/>
      <c r="X1048" s="655"/>
      <c r="Y1048" s="655"/>
      <c r="Z1048" s="655"/>
    </row>
    <row r="1049">
      <c r="B1049" s="462"/>
      <c r="C1049" s="671"/>
      <c r="D1049" s="462"/>
      <c r="E1049" s="654"/>
      <c r="F1049" s="650"/>
      <c r="G1049" s="654"/>
      <c r="H1049" s="654"/>
      <c r="I1049" s="650"/>
      <c r="J1049" s="650"/>
      <c r="K1049" s="655"/>
      <c r="L1049" s="655"/>
      <c r="M1049" s="655"/>
      <c r="N1049" s="655"/>
      <c r="O1049" s="655"/>
      <c r="P1049" s="655"/>
      <c r="Q1049" s="655"/>
      <c r="R1049" s="655"/>
      <c r="S1049" s="655"/>
      <c r="T1049" s="655"/>
      <c r="U1049" s="655"/>
      <c r="V1049" s="655"/>
      <c r="W1049" s="655"/>
      <c r="X1049" s="655"/>
      <c r="Y1049" s="655"/>
      <c r="Z1049" s="655"/>
    </row>
    <row r="1050">
      <c r="B1050" s="462"/>
      <c r="C1050" s="671"/>
      <c r="D1050" s="462"/>
      <c r="E1050" s="654"/>
      <c r="F1050" s="650"/>
      <c r="G1050" s="654"/>
      <c r="H1050" s="654"/>
      <c r="I1050" s="650"/>
      <c r="J1050" s="650"/>
      <c r="K1050" s="655"/>
      <c r="L1050" s="655"/>
      <c r="M1050" s="655"/>
      <c r="N1050" s="655"/>
      <c r="O1050" s="655"/>
      <c r="P1050" s="655"/>
      <c r="Q1050" s="655"/>
      <c r="R1050" s="655"/>
      <c r="S1050" s="655"/>
      <c r="T1050" s="655"/>
      <c r="U1050" s="655"/>
      <c r="V1050" s="655"/>
      <c r="W1050" s="655"/>
      <c r="X1050" s="655"/>
      <c r="Y1050" s="655"/>
      <c r="Z1050" s="655"/>
    </row>
    <row r="1051">
      <c r="B1051" s="462"/>
      <c r="C1051" s="671"/>
      <c r="D1051" s="462"/>
      <c r="E1051" s="654"/>
      <c r="F1051" s="650"/>
      <c r="G1051" s="654"/>
      <c r="H1051" s="654"/>
      <c r="I1051" s="650"/>
      <c r="J1051" s="650"/>
      <c r="K1051" s="655"/>
      <c r="L1051" s="655"/>
      <c r="M1051" s="655"/>
      <c r="N1051" s="655"/>
      <c r="O1051" s="655"/>
      <c r="P1051" s="655"/>
      <c r="Q1051" s="655"/>
      <c r="R1051" s="655"/>
      <c r="S1051" s="655"/>
      <c r="T1051" s="655"/>
      <c r="U1051" s="655"/>
      <c r="V1051" s="655"/>
      <c r="W1051" s="655"/>
      <c r="X1051" s="655"/>
      <c r="Y1051" s="655"/>
      <c r="Z1051" s="655"/>
    </row>
    <row r="1052">
      <c r="B1052" s="462"/>
      <c r="C1052" s="671"/>
      <c r="D1052" s="462"/>
      <c r="E1052" s="654"/>
      <c r="F1052" s="650"/>
      <c r="G1052" s="654"/>
      <c r="H1052" s="654"/>
      <c r="I1052" s="650"/>
      <c r="J1052" s="650"/>
      <c r="K1052" s="655"/>
      <c r="L1052" s="655"/>
      <c r="M1052" s="655"/>
      <c r="N1052" s="655"/>
      <c r="O1052" s="655"/>
      <c r="P1052" s="655"/>
      <c r="Q1052" s="655"/>
      <c r="R1052" s="655"/>
      <c r="S1052" s="655"/>
      <c r="T1052" s="655"/>
      <c r="U1052" s="655"/>
      <c r="V1052" s="655"/>
      <c r="W1052" s="655"/>
      <c r="X1052" s="655"/>
      <c r="Y1052" s="655"/>
      <c r="Z1052" s="655"/>
    </row>
    <row r="1053">
      <c r="B1053" s="462"/>
      <c r="C1053" s="671"/>
      <c r="D1053" s="462"/>
      <c r="E1053" s="654"/>
      <c r="F1053" s="650"/>
      <c r="G1053" s="654"/>
      <c r="H1053" s="654"/>
      <c r="I1053" s="650"/>
      <c r="J1053" s="650"/>
      <c r="K1053" s="655"/>
      <c r="L1053" s="655"/>
      <c r="M1053" s="655"/>
      <c r="N1053" s="655"/>
      <c r="O1053" s="655"/>
      <c r="P1053" s="655"/>
      <c r="Q1053" s="655"/>
      <c r="R1053" s="655"/>
      <c r="S1053" s="655"/>
      <c r="T1053" s="655"/>
      <c r="U1053" s="655"/>
      <c r="V1053" s="655"/>
      <c r="W1053" s="655"/>
      <c r="X1053" s="655"/>
      <c r="Y1053" s="655"/>
      <c r="Z1053" s="655"/>
    </row>
    <row r="1054">
      <c r="B1054" s="462"/>
      <c r="C1054" s="671"/>
      <c r="D1054" s="462"/>
      <c r="E1054" s="654"/>
      <c r="F1054" s="650"/>
      <c r="G1054" s="654"/>
      <c r="H1054" s="654"/>
      <c r="I1054" s="650"/>
      <c r="J1054" s="650"/>
      <c r="K1054" s="655"/>
      <c r="L1054" s="655"/>
      <c r="M1054" s="655"/>
      <c r="N1054" s="655"/>
      <c r="O1054" s="655"/>
      <c r="P1054" s="655"/>
      <c r="Q1054" s="655"/>
      <c r="R1054" s="655"/>
      <c r="S1054" s="655"/>
      <c r="T1054" s="655"/>
      <c r="U1054" s="655"/>
      <c r="V1054" s="655"/>
      <c r="W1054" s="655"/>
      <c r="X1054" s="655"/>
      <c r="Y1054" s="655"/>
      <c r="Z1054" s="655"/>
    </row>
    <row r="1055">
      <c r="B1055" s="462"/>
      <c r="C1055" s="671"/>
      <c r="D1055" s="462"/>
      <c r="E1055" s="654"/>
      <c r="F1055" s="650"/>
      <c r="G1055" s="654"/>
      <c r="H1055" s="654"/>
      <c r="I1055" s="650"/>
      <c r="J1055" s="650"/>
      <c r="K1055" s="655"/>
      <c r="L1055" s="655"/>
      <c r="M1055" s="655"/>
      <c r="N1055" s="655"/>
      <c r="O1055" s="655"/>
      <c r="P1055" s="655"/>
      <c r="Q1055" s="655"/>
      <c r="R1055" s="655"/>
      <c r="S1055" s="655"/>
      <c r="T1055" s="655"/>
      <c r="U1055" s="655"/>
      <c r="V1055" s="655"/>
      <c r="W1055" s="655"/>
      <c r="X1055" s="655"/>
      <c r="Y1055" s="655"/>
      <c r="Z1055" s="655"/>
    </row>
    <row r="1056">
      <c r="B1056" s="462"/>
      <c r="C1056" s="671"/>
      <c r="D1056" s="462"/>
      <c r="E1056" s="654"/>
      <c r="F1056" s="650"/>
      <c r="G1056" s="654"/>
      <c r="H1056" s="654"/>
      <c r="I1056" s="650"/>
      <c r="J1056" s="650"/>
      <c r="K1056" s="655"/>
      <c r="L1056" s="655"/>
      <c r="M1056" s="655"/>
      <c r="N1056" s="655"/>
      <c r="O1056" s="655"/>
      <c r="P1056" s="655"/>
      <c r="Q1056" s="655"/>
      <c r="R1056" s="655"/>
      <c r="S1056" s="655"/>
      <c r="T1056" s="655"/>
      <c r="U1056" s="655"/>
      <c r="V1056" s="655"/>
      <c r="W1056" s="655"/>
      <c r="X1056" s="655"/>
      <c r="Y1056" s="655"/>
      <c r="Z1056" s="655"/>
    </row>
    <row r="1057">
      <c r="B1057" s="462"/>
      <c r="C1057" s="671"/>
      <c r="D1057" s="462"/>
      <c r="E1057" s="654"/>
      <c r="F1057" s="650"/>
      <c r="G1057" s="654"/>
      <c r="H1057" s="654"/>
      <c r="I1057" s="650"/>
      <c r="J1057" s="650"/>
      <c r="K1057" s="655"/>
      <c r="L1057" s="655"/>
      <c r="M1057" s="655"/>
      <c r="N1057" s="655"/>
      <c r="O1057" s="655"/>
      <c r="P1057" s="655"/>
      <c r="Q1057" s="655"/>
      <c r="R1057" s="655"/>
      <c r="S1057" s="655"/>
      <c r="T1057" s="655"/>
      <c r="U1057" s="655"/>
      <c r="V1057" s="655"/>
      <c r="W1057" s="655"/>
      <c r="X1057" s="655"/>
      <c r="Y1057" s="655"/>
      <c r="Z1057" s="655"/>
    </row>
    <row r="1058">
      <c r="B1058" s="462"/>
      <c r="C1058" s="671"/>
      <c r="D1058" s="462"/>
      <c r="E1058" s="654"/>
      <c r="F1058" s="650"/>
      <c r="G1058" s="654"/>
      <c r="H1058" s="654"/>
      <c r="I1058" s="650"/>
      <c r="J1058" s="650"/>
      <c r="K1058" s="655"/>
      <c r="L1058" s="655"/>
      <c r="M1058" s="655"/>
      <c r="N1058" s="655"/>
      <c r="O1058" s="655"/>
      <c r="P1058" s="655"/>
      <c r="Q1058" s="655"/>
      <c r="R1058" s="655"/>
      <c r="S1058" s="655"/>
      <c r="T1058" s="655"/>
      <c r="U1058" s="655"/>
      <c r="V1058" s="655"/>
      <c r="W1058" s="655"/>
      <c r="X1058" s="655"/>
      <c r="Y1058" s="655"/>
      <c r="Z1058" s="655"/>
    </row>
    <row r="1059">
      <c r="B1059" s="462"/>
      <c r="C1059" s="671"/>
      <c r="D1059" s="462"/>
      <c r="E1059" s="654"/>
      <c r="F1059" s="650"/>
      <c r="G1059" s="654"/>
      <c r="H1059" s="654"/>
      <c r="I1059" s="650"/>
      <c r="J1059" s="650"/>
      <c r="K1059" s="655"/>
      <c r="L1059" s="655"/>
      <c r="M1059" s="655"/>
      <c r="N1059" s="655"/>
      <c r="O1059" s="655"/>
      <c r="P1059" s="655"/>
      <c r="Q1059" s="655"/>
      <c r="R1059" s="655"/>
      <c r="S1059" s="655"/>
      <c r="T1059" s="655"/>
      <c r="U1059" s="655"/>
      <c r="V1059" s="655"/>
      <c r="W1059" s="655"/>
      <c r="X1059" s="655"/>
      <c r="Y1059" s="655"/>
      <c r="Z1059" s="655"/>
    </row>
    <row r="1060">
      <c r="B1060" s="462"/>
      <c r="C1060" s="671"/>
      <c r="D1060" s="462"/>
      <c r="E1060" s="654"/>
      <c r="F1060" s="650"/>
      <c r="G1060" s="654"/>
      <c r="H1060" s="654"/>
      <c r="I1060" s="650"/>
      <c r="J1060" s="650"/>
      <c r="K1060" s="655"/>
      <c r="L1060" s="655"/>
      <c r="M1060" s="655"/>
      <c r="N1060" s="655"/>
      <c r="O1060" s="655"/>
      <c r="P1060" s="655"/>
      <c r="Q1060" s="655"/>
      <c r="R1060" s="655"/>
      <c r="S1060" s="655"/>
      <c r="T1060" s="655"/>
      <c r="U1060" s="655"/>
      <c r="V1060" s="655"/>
      <c r="W1060" s="655"/>
      <c r="X1060" s="655"/>
      <c r="Y1060" s="655"/>
      <c r="Z1060" s="655"/>
    </row>
    <row r="1061">
      <c r="B1061" s="462"/>
      <c r="C1061" s="671"/>
      <c r="D1061" s="462"/>
      <c r="E1061" s="654"/>
      <c r="F1061" s="650"/>
      <c r="G1061" s="654"/>
      <c r="H1061" s="654"/>
      <c r="I1061" s="650"/>
      <c r="J1061" s="650"/>
      <c r="K1061" s="655"/>
      <c r="L1061" s="655"/>
      <c r="M1061" s="655"/>
      <c r="N1061" s="655"/>
      <c r="O1061" s="655"/>
      <c r="P1061" s="655"/>
      <c r="Q1061" s="655"/>
      <c r="R1061" s="655"/>
      <c r="S1061" s="655"/>
      <c r="T1061" s="655"/>
      <c r="U1061" s="655"/>
      <c r="V1061" s="655"/>
      <c r="W1061" s="655"/>
      <c r="X1061" s="655"/>
      <c r="Y1061" s="655"/>
      <c r="Z1061" s="655"/>
    </row>
    <row r="1062">
      <c r="B1062" s="462"/>
      <c r="C1062" s="671"/>
      <c r="D1062" s="462"/>
      <c r="E1062" s="654"/>
      <c r="F1062" s="650"/>
      <c r="G1062" s="654"/>
      <c r="H1062" s="654"/>
      <c r="I1062" s="650"/>
      <c r="J1062" s="650"/>
      <c r="K1062" s="655"/>
      <c r="L1062" s="655"/>
      <c r="M1062" s="655"/>
      <c r="N1062" s="655"/>
      <c r="O1062" s="655"/>
      <c r="P1062" s="655"/>
      <c r="Q1062" s="655"/>
      <c r="R1062" s="655"/>
      <c r="S1062" s="655"/>
      <c r="T1062" s="655"/>
      <c r="U1062" s="655"/>
      <c r="V1062" s="655"/>
      <c r="W1062" s="655"/>
      <c r="X1062" s="655"/>
      <c r="Y1062" s="655"/>
      <c r="Z1062" s="655"/>
    </row>
    <row r="1063">
      <c r="B1063" s="462"/>
      <c r="C1063" s="671"/>
      <c r="D1063" s="462"/>
      <c r="E1063" s="654"/>
      <c r="F1063" s="650"/>
      <c r="G1063" s="654"/>
      <c r="H1063" s="654"/>
      <c r="I1063" s="650"/>
      <c r="J1063" s="650"/>
      <c r="K1063" s="655"/>
      <c r="L1063" s="655"/>
      <c r="M1063" s="655"/>
      <c r="N1063" s="655"/>
      <c r="O1063" s="655"/>
      <c r="P1063" s="655"/>
      <c r="Q1063" s="655"/>
      <c r="R1063" s="655"/>
      <c r="S1063" s="655"/>
      <c r="T1063" s="655"/>
      <c r="U1063" s="655"/>
      <c r="V1063" s="655"/>
      <c r="W1063" s="655"/>
      <c r="X1063" s="655"/>
      <c r="Y1063" s="655"/>
      <c r="Z1063" s="655"/>
    </row>
    <row r="1064">
      <c r="B1064" s="462"/>
      <c r="C1064" s="671"/>
      <c r="D1064" s="462"/>
      <c r="E1064" s="654"/>
      <c r="F1064" s="650"/>
      <c r="G1064" s="654"/>
      <c r="H1064" s="654"/>
      <c r="I1064" s="650"/>
      <c r="J1064" s="650"/>
      <c r="K1064" s="655"/>
      <c r="L1064" s="655"/>
      <c r="M1064" s="655"/>
      <c r="N1064" s="655"/>
      <c r="O1064" s="655"/>
      <c r="P1064" s="655"/>
      <c r="Q1064" s="655"/>
      <c r="R1064" s="655"/>
      <c r="S1064" s="655"/>
      <c r="T1064" s="655"/>
      <c r="U1064" s="655"/>
      <c r="V1064" s="655"/>
      <c r="W1064" s="655"/>
      <c r="X1064" s="655"/>
      <c r="Y1064" s="655"/>
      <c r="Z1064" s="655"/>
    </row>
    <row r="1065">
      <c r="B1065" s="462"/>
      <c r="C1065" s="671"/>
      <c r="D1065" s="462"/>
      <c r="E1065" s="654"/>
      <c r="F1065" s="650"/>
      <c r="G1065" s="654"/>
      <c r="H1065" s="654"/>
      <c r="I1065" s="650"/>
      <c r="J1065" s="650"/>
      <c r="K1065" s="655"/>
      <c r="L1065" s="655"/>
      <c r="M1065" s="655"/>
      <c r="N1065" s="655"/>
      <c r="O1065" s="655"/>
      <c r="P1065" s="655"/>
      <c r="Q1065" s="655"/>
      <c r="R1065" s="655"/>
      <c r="S1065" s="655"/>
      <c r="T1065" s="655"/>
      <c r="U1065" s="655"/>
      <c r="V1065" s="655"/>
      <c r="W1065" s="655"/>
      <c r="X1065" s="655"/>
      <c r="Y1065" s="655"/>
      <c r="Z1065" s="655"/>
    </row>
    <row r="1066">
      <c r="B1066" s="462"/>
      <c r="C1066" s="671"/>
      <c r="D1066" s="462"/>
      <c r="E1066" s="654"/>
      <c r="F1066" s="650"/>
      <c r="G1066" s="654"/>
      <c r="H1066" s="654"/>
      <c r="I1066" s="650"/>
      <c r="J1066" s="650"/>
      <c r="K1066" s="655"/>
      <c r="L1066" s="655"/>
      <c r="M1066" s="655"/>
      <c r="N1066" s="655"/>
      <c r="O1066" s="655"/>
      <c r="P1066" s="655"/>
      <c r="Q1066" s="655"/>
      <c r="R1066" s="655"/>
      <c r="S1066" s="655"/>
      <c r="T1066" s="655"/>
      <c r="U1066" s="655"/>
      <c r="V1066" s="655"/>
      <c r="W1066" s="655"/>
      <c r="X1066" s="655"/>
      <c r="Y1066" s="655"/>
      <c r="Z1066" s="655"/>
    </row>
    <row r="1067">
      <c r="B1067" s="462"/>
      <c r="C1067" s="671"/>
      <c r="D1067" s="462"/>
      <c r="E1067" s="654"/>
      <c r="F1067" s="650"/>
      <c r="G1067" s="654"/>
      <c r="H1067" s="654"/>
      <c r="I1067" s="650"/>
      <c r="J1067" s="650"/>
      <c r="K1067" s="655"/>
      <c r="L1067" s="655"/>
      <c r="M1067" s="655"/>
      <c r="N1067" s="655"/>
      <c r="O1067" s="655"/>
      <c r="P1067" s="655"/>
      <c r="Q1067" s="655"/>
      <c r="R1067" s="655"/>
      <c r="S1067" s="655"/>
      <c r="T1067" s="655"/>
      <c r="U1067" s="655"/>
      <c r="V1067" s="655"/>
      <c r="W1067" s="655"/>
      <c r="X1067" s="655"/>
      <c r="Y1067" s="655"/>
      <c r="Z1067" s="655"/>
    </row>
    <row r="1068">
      <c r="B1068" s="462"/>
      <c r="C1068" s="671"/>
      <c r="D1068" s="462"/>
      <c r="E1068" s="654"/>
      <c r="F1068" s="650"/>
      <c r="G1068" s="654"/>
      <c r="H1068" s="654"/>
      <c r="I1068" s="650"/>
      <c r="J1068" s="650"/>
      <c r="K1068" s="655"/>
      <c r="L1068" s="655"/>
      <c r="M1068" s="655"/>
      <c r="N1068" s="655"/>
      <c r="O1068" s="655"/>
      <c r="P1068" s="655"/>
      <c r="Q1068" s="655"/>
      <c r="R1068" s="655"/>
      <c r="S1068" s="655"/>
      <c r="T1068" s="655"/>
      <c r="U1068" s="655"/>
      <c r="V1068" s="655"/>
      <c r="W1068" s="655"/>
      <c r="X1068" s="655"/>
      <c r="Y1068" s="655"/>
      <c r="Z1068" s="655"/>
    </row>
    <row r="1069">
      <c r="B1069" s="462"/>
      <c r="C1069" s="671"/>
      <c r="D1069" s="462"/>
      <c r="E1069" s="654"/>
      <c r="F1069" s="650"/>
      <c r="G1069" s="654"/>
      <c r="H1069" s="654"/>
      <c r="I1069" s="650"/>
      <c r="J1069" s="650"/>
      <c r="K1069" s="655"/>
      <c r="L1069" s="655"/>
      <c r="M1069" s="655"/>
      <c r="N1069" s="655"/>
      <c r="O1069" s="655"/>
      <c r="P1069" s="655"/>
      <c r="Q1069" s="655"/>
      <c r="R1069" s="655"/>
      <c r="S1069" s="655"/>
      <c r="T1069" s="655"/>
      <c r="U1069" s="655"/>
      <c r="V1069" s="655"/>
      <c r="W1069" s="655"/>
      <c r="X1069" s="655"/>
      <c r="Y1069" s="655"/>
      <c r="Z1069" s="655"/>
    </row>
    <row r="1070">
      <c r="B1070" s="462"/>
      <c r="C1070" s="671"/>
      <c r="D1070" s="462"/>
      <c r="E1070" s="654"/>
      <c r="F1070" s="650"/>
      <c r="G1070" s="654"/>
      <c r="H1070" s="654"/>
      <c r="I1070" s="650"/>
      <c r="J1070" s="650"/>
      <c r="K1070" s="655"/>
      <c r="L1070" s="655"/>
      <c r="M1070" s="655"/>
      <c r="N1070" s="655"/>
      <c r="O1070" s="655"/>
      <c r="P1070" s="655"/>
      <c r="Q1070" s="655"/>
      <c r="R1070" s="655"/>
      <c r="S1070" s="655"/>
      <c r="T1070" s="655"/>
      <c r="U1070" s="655"/>
      <c r="V1070" s="655"/>
      <c r="W1070" s="655"/>
      <c r="X1070" s="655"/>
      <c r="Y1070" s="655"/>
      <c r="Z1070" s="655"/>
    </row>
    <row r="1071">
      <c r="B1071" s="462"/>
      <c r="C1071" s="671"/>
      <c r="D1071" s="462"/>
      <c r="E1071" s="654"/>
      <c r="F1071" s="650"/>
      <c r="G1071" s="654"/>
      <c r="H1071" s="654"/>
      <c r="I1071" s="650"/>
      <c r="J1071" s="650"/>
      <c r="K1071" s="655"/>
      <c r="L1071" s="655"/>
      <c r="M1071" s="655"/>
      <c r="N1071" s="655"/>
      <c r="O1071" s="655"/>
      <c r="P1071" s="655"/>
      <c r="Q1071" s="655"/>
      <c r="R1071" s="655"/>
      <c r="S1071" s="655"/>
      <c r="T1071" s="655"/>
      <c r="U1071" s="655"/>
      <c r="V1071" s="655"/>
      <c r="W1071" s="655"/>
      <c r="X1071" s="655"/>
      <c r="Y1071" s="655"/>
      <c r="Z1071" s="655"/>
    </row>
    <row r="1072">
      <c r="B1072" s="462"/>
      <c r="C1072" s="671"/>
      <c r="D1072" s="462"/>
      <c r="E1072" s="654"/>
      <c r="F1072" s="650"/>
      <c r="G1072" s="654"/>
      <c r="H1072" s="654"/>
      <c r="I1072" s="650"/>
      <c r="J1072" s="650"/>
      <c r="K1072" s="655"/>
      <c r="L1072" s="655"/>
      <c r="M1072" s="655"/>
      <c r="N1072" s="655"/>
      <c r="O1072" s="655"/>
      <c r="P1072" s="655"/>
      <c r="Q1072" s="655"/>
      <c r="R1072" s="655"/>
      <c r="S1072" s="655"/>
      <c r="T1072" s="655"/>
      <c r="U1072" s="655"/>
      <c r="V1072" s="655"/>
      <c r="W1072" s="655"/>
      <c r="X1072" s="655"/>
      <c r="Y1072" s="655"/>
      <c r="Z1072" s="655"/>
    </row>
    <row r="1073">
      <c r="B1073" s="462"/>
      <c r="C1073" s="671"/>
      <c r="D1073" s="462"/>
      <c r="E1073" s="654"/>
      <c r="F1073" s="650"/>
      <c r="G1073" s="654"/>
      <c r="H1073" s="654"/>
      <c r="I1073" s="650"/>
      <c r="J1073" s="650"/>
      <c r="K1073" s="655"/>
      <c r="L1073" s="655"/>
      <c r="M1073" s="655"/>
      <c r="N1073" s="655"/>
      <c r="O1073" s="655"/>
      <c r="P1073" s="655"/>
      <c r="Q1073" s="655"/>
      <c r="R1073" s="655"/>
      <c r="S1073" s="655"/>
      <c r="T1073" s="655"/>
      <c r="U1073" s="655"/>
      <c r="V1073" s="655"/>
      <c r="W1073" s="655"/>
      <c r="X1073" s="655"/>
      <c r="Y1073" s="655"/>
      <c r="Z1073" s="655"/>
    </row>
    <row r="1074">
      <c r="B1074" s="462"/>
      <c r="C1074" s="671"/>
      <c r="D1074" s="462"/>
      <c r="E1074" s="654"/>
      <c r="F1074" s="650"/>
      <c r="G1074" s="654"/>
      <c r="H1074" s="654"/>
      <c r="I1074" s="650"/>
      <c r="J1074" s="650"/>
      <c r="K1074" s="655"/>
      <c r="L1074" s="655"/>
      <c r="M1074" s="655"/>
      <c r="N1074" s="655"/>
      <c r="O1074" s="655"/>
      <c r="P1074" s="655"/>
      <c r="Q1074" s="655"/>
      <c r="R1074" s="655"/>
      <c r="S1074" s="655"/>
      <c r="T1074" s="655"/>
      <c r="U1074" s="655"/>
      <c r="V1074" s="655"/>
      <c r="W1074" s="655"/>
      <c r="X1074" s="655"/>
      <c r="Y1074" s="655"/>
      <c r="Z1074" s="655"/>
    </row>
    <row r="1075">
      <c r="B1075" s="462"/>
      <c r="C1075" s="671"/>
      <c r="D1075" s="462"/>
      <c r="E1075" s="654"/>
      <c r="F1075" s="650"/>
      <c r="G1075" s="654"/>
      <c r="H1075" s="654"/>
      <c r="I1075" s="650"/>
      <c r="J1075" s="650"/>
      <c r="K1075" s="655"/>
      <c r="L1075" s="655"/>
      <c r="M1075" s="655"/>
      <c r="N1075" s="655"/>
      <c r="O1075" s="655"/>
      <c r="P1075" s="655"/>
      <c r="Q1075" s="655"/>
      <c r="R1075" s="655"/>
      <c r="S1075" s="655"/>
      <c r="T1075" s="655"/>
      <c r="U1075" s="655"/>
      <c r="V1075" s="655"/>
      <c r="W1075" s="655"/>
      <c r="X1075" s="655"/>
      <c r="Y1075" s="655"/>
      <c r="Z1075" s="655"/>
    </row>
    <row r="1076">
      <c r="B1076" s="462"/>
      <c r="C1076" s="671"/>
      <c r="D1076" s="462"/>
      <c r="E1076" s="654"/>
      <c r="F1076" s="650"/>
      <c r="G1076" s="654"/>
      <c r="H1076" s="654"/>
      <c r="I1076" s="650"/>
      <c r="J1076" s="650"/>
      <c r="K1076" s="655"/>
      <c r="L1076" s="655"/>
      <c r="M1076" s="655"/>
      <c r="N1076" s="655"/>
      <c r="O1076" s="655"/>
      <c r="P1076" s="655"/>
      <c r="Q1076" s="655"/>
      <c r="R1076" s="655"/>
      <c r="S1076" s="655"/>
      <c r="T1076" s="655"/>
      <c r="U1076" s="655"/>
      <c r="V1076" s="655"/>
      <c r="W1076" s="655"/>
      <c r="X1076" s="655"/>
      <c r="Y1076" s="655"/>
      <c r="Z1076" s="655"/>
    </row>
  </sheetData>
  <autoFilter ref="$A$2:$Z$107"/>
  <hyperlinks>
    <hyperlink r:id="rId2" location="gid=1607319145" ref="A96"/>
    <hyperlink r:id="rId3" ref="B139"/>
  </hyperlink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25"/>
    <col customWidth="1" min="2" max="2" width="34.0"/>
    <col hidden="1" min="3" max="7" width="12.63"/>
    <col customWidth="1" hidden="1" min="8" max="12" width="15.0"/>
    <col customWidth="1" hidden="1" min="13" max="13" width="16.25"/>
    <col customWidth="1" hidden="1" min="14" max="14" width="15.0"/>
    <col hidden="1" min="15" max="22" width="12.63"/>
    <col customWidth="1" hidden="1" min="23" max="23" width="15.0"/>
    <col hidden="1" min="24" max="59" width="12.63"/>
  </cols>
  <sheetData>
    <row r="1" ht="20.25" customHeight="1">
      <c r="A1" s="122" t="s">
        <v>94</v>
      </c>
      <c r="B1" s="123"/>
      <c r="C1" s="124" t="s">
        <v>95</v>
      </c>
      <c r="D1" s="124" t="s">
        <v>96</v>
      </c>
      <c r="E1" s="124" t="s">
        <v>97</v>
      </c>
      <c r="F1" s="124" t="s">
        <v>98</v>
      </c>
      <c r="G1" s="124" t="s">
        <v>99</v>
      </c>
      <c r="H1" s="125" t="s">
        <v>100</v>
      </c>
      <c r="I1" s="123" t="s">
        <v>101</v>
      </c>
      <c r="J1" s="123" t="s">
        <v>102</v>
      </c>
      <c r="K1" s="123" t="s">
        <v>103</v>
      </c>
      <c r="L1" s="123" t="s">
        <v>104</v>
      </c>
      <c r="M1" s="123" t="s">
        <v>105</v>
      </c>
      <c r="N1" s="123" t="s">
        <v>106</v>
      </c>
      <c r="O1" s="123" t="s">
        <v>107</v>
      </c>
      <c r="P1" s="123" t="s">
        <v>108</v>
      </c>
      <c r="Q1" s="123" t="s">
        <v>109</v>
      </c>
      <c r="R1" s="123" t="s">
        <v>110</v>
      </c>
      <c r="S1" s="123" t="s">
        <v>111</v>
      </c>
      <c r="T1" s="123" t="s">
        <v>112</v>
      </c>
      <c r="U1" s="123" t="s">
        <v>113</v>
      </c>
      <c r="V1" s="123" t="s">
        <v>114</v>
      </c>
      <c r="W1" s="123" t="s">
        <v>115</v>
      </c>
      <c r="X1" s="123" t="s">
        <v>116</v>
      </c>
      <c r="Y1" s="123" t="s">
        <v>117</v>
      </c>
      <c r="Z1" s="123" t="s">
        <v>118</v>
      </c>
      <c r="AA1" s="126" t="s">
        <v>119</v>
      </c>
      <c r="AB1" s="126" t="s">
        <v>120</v>
      </c>
      <c r="AC1" s="126" t="s">
        <v>121</v>
      </c>
      <c r="AD1" s="126" t="s">
        <v>122</v>
      </c>
      <c r="AE1" s="126" t="s">
        <v>123</v>
      </c>
      <c r="AF1" s="126" t="s">
        <v>124</v>
      </c>
      <c r="AG1" s="126" t="s">
        <v>125</v>
      </c>
      <c r="AH1" s="127" t="s">
        <v>126</v>
      </c>
      <c r="AI1" s="126" t="s">
        <v>127</v>
      </c>
      <c r="AJ1" s="126" t="s">
        <v>128</v>
      </c>
      <c r="AK1" s="126" t="s">
        <v>129</v>
      </c>
      <c r="AL1" s="126" t="s">
        <v>130</v>
      </c>
      <c r="AM1" s="126" t="s">
        <v>131</v>
      </c>
      <c r="AN1" s="126" t="s">
        <v>132</v>
      </c>
      <c r="AO1" s="126" t="s">
        <v>133</v>
      </c>
      <c r="AP1" s="126" t="s">
        <v>134</v>
      </c>
      <c r="AQ1" s="126" t="s">
        <v>135</v>
      </c>
      <c r="AR1" s="126" t="s">
        <v>136</v>
      </c>
      <c r="AS1" s="126" t="s">
        <v>137</v>
      </c>
      <c r="AT1" s="126" t="s">
        <v>138</v>
      </c>
      <c r="AU1" s="126" t="s">
        <v>139</v>
      </c>
      <c r="AV1" s="126" t="s">
        <v>140</v>
      </c>
      <c r="AW1" s="126" t="s">
        <v>141</v>
      </c>
      <c r="AX1" s="126" t="s">
        <v>142</v>
      </c>
      <c r="AY1" s="126" t="s">
        <v>143</v>
      </c>
      <c r="AZ1" s="126" t="s">
        <v>144</v>
      </c>
      <c r="BA1" s="126" t="s">
        <v>145</v>
      </c>
      <c r="BB1" s="126" t="s">
        <v>146</v>
      </c>
      <c r="BC1" s="126" t="s">
        <v>147</v>
      </c>
      <c r="BD1" s="126" t="s">
        <v>148</v>
      </c>
      <c r="BE1" s="126" t="s">
        <v>149</v>
      </c>
      <c r="BF1" s="126" t="s">
        <v>150</v>
      </c>
      <c r="BG1" s="126" t="s">
        <v>151</v>
      </c>
      <c r="BH1" s="126" t="s">
        <v>152</v>
      </c>
      <c r="BI1" s="126" t="s">
        <v>153</v>
      </c>
      <c r="BJ1" s="126" t="s">
        <v>154</v>
      </c>
      <c r="BK1" s="128" t="s">
        <v>155</v>
      </c>
      <c r="BL1" s="126" t="s">
        <v>156</v>
      </c>
      <c r="BM1" s="126" t="s">
        <v>157</v>
      </c>
      <c r="BN1" s="126" t="s">
        <v>158</v>
      </c>
      <c r="BO1" s="126" t="s">
        <v>159</v>
      </c>
      <c r="BP1" s="126" t="s">
        <v>160</v>
      </c>
      <c r="BQ1" s="126" t="s">
        <v>161</v>
      </c>
      <c r="BR1" s="126" t="s">
        <v>162</v>
      </c>
      <c r="BS1" s="126" t="s">
        <v>163</v>
      </c>
      <c r="BT1" s="126" t="s">
        <v>164</v>
      </c>
      <c r="BU1" s="126" t="s">
        <v>165</v>
      </c>
      <c r="BV1" s="126" t="s">
        <v>166</v>
      </c>
      <c r="BW1" s="126" t="s">
        <v>167</v>
      </c>
    </row>
    <row r="2">
      <c r="A2" s="131" t="s">
        <v>195</v>
      </c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4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4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</row>
    <row r="3">
      <c r="A3" s="135" t="s">
        <v>196</v>
      </c>
      <c r="B3" s="136"/>
      <c r="C3" s="137"/>
      <c r="D3" s="137"/>
      <c r="E3" s="137"/>
      <c r="F3" s="137"/>
      <c r="G3" s="137"/>
      <c r="H3" s="137"/>
      <c r="I3" s="138"/>
      <c r="J3" s="138"/>
      <c r="K3" s="138"/>
      <c r="L3" s="138"/>
      <c r="M3" s="139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40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40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</row>
    <row r="4">
      <c r="A4" s="143"/>
      <c r="B4" s="144" t="s">
        <v>197</v>
      </c>
      <c r="C4" s="145">
        <v>10000.0</v>
      </c>
      <c r="D4" s="145">
        <v>10000.0</v>
      </c>
      <c r="E4" s="145">
        <v>10000.0</v>
      </c>
      <c r="F4" s="145">
        <v>10000.0</v>
      </c>
      <c r="G4" s="145">
        <v>10000.0</v>
      </c>
      <c r="H4" s="146">
        <v>10000.0</v>
      </c>
      <c r="I4" s="145">
        <v>10000.0</v>
      </c>
      <c r="J4" s="145">
        <f t="shared" ref="J4:P4" si="1">120000/12</f>
        <v>10000</v>
      </c>
      <c r="K4" s="145">
        <f t="shared" si="1"/>
        <v>10000</v>
      </c>
      <c r="L4" s="145">
        <f t="shared" si="1"/>
        <v>10000</v>
      </c>
      <c r="M4" s="145">
        <f t="shared" si="1"/>
        <v>10000</v>
      </c>
      <c r="N4" s="145">
        <f t="shared" si="1"/>
        <v>10000</v>
      </c>
      <c r="O4" s="145">
        <f t="shared" si="1"/>
        <v>10000</v>
      </c>
      <c r="P4" s="145">
        <f t="shared" si="1"/>
        <v>10000</v>
      </c>
      <c r="Q4" s="145">
        <f t="shared" ref="Q4:Y4" si="2">123000/12</f>
        <v>10250</v>
      </c>
      <c r="R4" s="145">
        <f t="shared" si="2"/>
        <v>10250</v>
      </c>
      <c r="S4" s="145">
        <f t="shared" si="2"/>
        <v>10250</v>
      </c>
      <c r="T4" s="145">
        <f t="shared" si="2"/>
        <v>10250</v>
      </c>
      <c r="U4" s="145">
        <f t="shared" si="2"/>
        <v>10250</v>
      </c>
      <c r="V4" s="145">
        <f t="shared" si="2"/>
        <v>10250</v>
      </c>
      <c r="W4" s="145">
        <f t="shared" si="2"/>
        <v>10250</v>
      </c>
      <c r="X4" s="145">
        <f t="shared" si="2"/>
        <v>10250</v>
      </c>
      <c r="Y4" s="145">
        <f t="shared" si="2"/>
        <v>10250</v>
      </c>
      <c r="Z4" s="685">
        <f t="shared" ref="Z4:AJ4" si="3">160000/12</f>
        <v>13333.33333</v>
      </c>
      <c r="AA4" s="685">
        <f t="shared" si="3"/>
        <v>13333.33333</v>
      </c>
      <c r="AB4" s="685">
        <f t="shared" si="3"/>
        <v>13333.33333</v>
      </c>
      <c r="AC4" s="685">
        <f t="shared" si="3"/>
        <v>13333.33333</v>
      </c>
      <c r="AD4" s="685">
        <f t="shared" si="3"/>
        <v>13333.33333</v>
      </c>
      <c r="AE4" s="685">
        <f t="shared" si="3"/>
        <v>13333.33333</v>
      </c>
      <c r="AF4" s="685">
        <f t="shared" si="3"/>
        <v>13333.33333</v>
      </c>
      <c r="AG4" s="685">
        <f t="shared" si="3"/>
        <v>13333.33333</v>
      </c>
      <c r="AH4" s="686">
        <f t="shared" si="3"/>
        <v>13333.33333</v>
      </c>
      <c r="AI4" s="685">
        <f t="shared" si="3"/>
        <v>13333.33333</v>
      </c>
      <c r="AJ4" s="685">
        <f t="shared" si="3"/>
        <v>13333.33333</v>
      </c>
      <c r="AK4" s="685">
        <f>165000/12</f>
        <v>13750</v>
      </c>
      <c r="AL4" s="685">
        <f t="shared" ref="AL4:AZ4" si="4">210000/12</f>
        <v>17500</v>
      </c>
      <c r="AM4" s="685">
        <f t="shared" si="4"/>
        <v>17500</v>
      </c>
      <c r="AN4" s="685">
        <f t="shared" si="4"/>
        <v>17500</v>
      </c>
      <c r="AO4" s="685">
        <f t="shared" si="4"/>
        <v>17500</v>
      </c>
      <c r="AP4" s="685">
        <f t="shared" si="4"/>
        <v>17500</v>
      </c>
      <c r="AQ4" s="685">
        <f t="shared" si="4"/>
        <v>17500</v>
      </c>
      <c r="AR4" s="685">
        <f t="shared" si="4"/>
        <v>17500</v>
      </c>
      <c r="AS4" s="685">
        <f t="shared" si="4"/>
        <v>17500</v>
      </c>
      <c r="AT4" s="685">
        <f t="shared" si="4"/>
        <v>17500</v>
      </c>
      <c r="AU4" s="685">
        <f t="shared" si="4"/>
        <v>17500</v>
      </c>
      <c r="AV4" s="685">
        <f t="shared" si="4"/>
        <v>17500</v>
      </c>
      <c r="AW4" s="685">
        <f t="shared" si="4"/>
        <v>17500</v>
      </c>
      <c r="AX4" s="685">
        <f t="shared" si="4"/>
        <v>17500</v>
      </c>
      <c r="AY4" s="685">
        <f t="shared" si="4"/>
        <v>17500</v>
      </c>
      <c r="AZ4" s="685">
        <f t="shared" si="4"/>
        <v>17500</v>
      </c>
      <c r="BA4" s="685">
        <f t="shared" ref="BA4:BE4" si="5">200000/12</f>
        <v>16666.66667</v>
      </c>
      <c r="BB4" s="685">
        <f t="shared" si="5"/>
        <v>16666.66667</v>
      </c>
      <c r="BC4" s="685">
        <f t="shared" si="5"/>
        <v>16666.66667</v>
      </c>
      <c r="BD4" s="685">
        <f t="shared" si="5"/>
        <v>16666.66667</v>
      </c>
      <c r="BE4" s="685">
        <f t="shared" si="5"/>
        <v>16666.66667</v>
      </c>
      <c r="BF4" s="161">
        <f t="shared" ref="BF4:BJ4" si="6">220000/12</f>
        <v>18333.33333</v>
      </c>
      <c r="BG4" s="161">
        <f t="shared" si="6"/>
        <v>18333.33333</v>
      </c>
      <c r="BH4" s="161">
        <f t="shared" si="6"/>
        <v>18333.33333</v>
      </c>
      <c r="BI4" s="161">
        <f t="shared" si="6"/>
        <v>18333.33333</v>
      </c>
      <c r="BJ4" s="161">
        <f t="shared" si="6"/>
        <v>18333.33333</v>
      </c>
      <c r="BK4" s="687"/>
      <c r="BL4" s="161">
        <f t="shared" ref="BL4:BO4" si="7">220000/12</f>
        <v>18333.33333</v>
      </c>
      <c r="BM4" s="161">
        <f t="shared" si="7"/>
        <v>18333.33333</v>
      </c>
      <c r="BN4" s="161">
        <f t="shared" si="7"/>
        <v>18333.33333</v>
      </c>
      <c r="BO4" s="161">
        <f t="shared" si="7"/>
        <v>18333.33333</v>
      </c>
      <c r="BP4" s="688">
        <f>200000/12</f>
        <v>16666.66667</v>
      </c>
      <c r="BQ4" s="688">
        <f t="shared" ref="BQ4:BW4" si="8">220000/12</f>
        <v>18333.33333</v>
      </c>
      <c r="BR4" s="688">
        <f t="shared" si="8"/>
        <v>18333.33333</v>
      </c>
      <c r="BS4" s="688">
        <f t="shared" si="8"/>
        <v>18333.33333</v>
      </c>
      <c r="BT4" s="688">
        <f t="shared" si="8"/>
        <v>18333.33333</v>
      </c>
      <c r="BU4" s="688">
        <f t="shared" si="8"/>
        <v>18333.33333</v>
      </c>
      <c r="BV4" s="688">
        <f t="shared" si="8"/>
        <v>18333.33333</v>
      </c>
      <c r="BW4" s="688">
        <f t="shared" si="8"/>
        <v>18333.33333</v>
      </c>
    </row>
    <row r="5">
      <c r="A5" s="149"/>
      <c r="B5" s="137" t="s">
        <v>198</v>
      </c>
      <c r="C5" s="145">
        <v>0.0</v>
      </c>
      <c r="D5" s="145">
        <v>3000.0</v>
      </c>
      <c r="E5" s="145">
        <v>0.0</v>
      </c>
      <c r="F5" s="145">
        <v>0.0</v>
      </c>
      <c r="G5" s="145">
        <v>0.0</v>
      </c>
      <c r="H5" s="146">
        <v>0.0</v>
      </c>
      <c r="I5" s="145">
        <v>5000.0</v>
      </c>
      <c r="J5" s="145">
        <v>5000.0</v>
      </c>
      <c r="K5" s="145">
        <v>0.0</v>
      </c>
      <c r="L5" s="145">
        <v>0.0</v>
      </c>
      <c r="M5" s="145">
        <v>800.0</v>
      </c>
      <c r="N5" s="145">
        <f>500</f>
        <v>500</v>
      </c>
      <c r="O5" s="145">
        <v>0.0</v>
      </c>
      <c r="P5" s="145">
        <f>5000</f>
        <v>5000</v>
      </c>
      <c r="Q5" s="145">
        <v>0.0</v>
      </c>
      <c r="R5" s="145">
        <v>0.0</v>
      </c>
      <c r="S5" s="145">
        <v>0.0</v>
      </c>
      <c r="T5" s="145">
        <v>0.0</v>
      </c>
      <c r="U5" s="145">
        <v>0.0</v>
      </c>
      <c r="V5" s="145">
        <v>0.0</v>
      </c>
      <c r="W5" s="145">
        <v>0.0</v>
      </c>
      <c r="X5" s="145">
        <v>0.0</v>
      </c>
      <c r="Y5" s="145">
        <v>0.0</v>
      </c>
      <c r="Z5" s="145">
        <v>0.0</v>
      </c>
      <c r="AA5" s="145">
        <v>0.0</v>
      </c>
      <c r="AB5" s="145">
        <v>0.0</v>
      </c>
      <c r="AC5" s="145">
        <v>0.0</v>
      </c>
      <c r="AD5" s="145">
        <v>0.0</v>
      </c>
      <c r="AE5" s="145">
        <v>0.0</v>
      </c>
      <c r="AF5" s="145">
        <v>0.0</v>
      </c>
      <c r="AG5" s="145">
        <v>0.0</v>
      </c>
      <c r="AH5" s="146">
        <v>0.0</v>
      </c>
      <c r="AI5" s="145">
        <v>0.0</v>
      </c>
      <c r="AJ5" s="145">
        <v>0.0</v>
      </c>
      <c r="AK5" s="145">
        <v>0.0</v>
      </c>
      <c r="AL5" s="145">
        <v>0.0</v>
      </c>
      <c r="AM5" s="145">
        <v>0.0</v>
      </c>
      <c r="AN5" s="145">
        <v>0.0</v>
      </c>
      <c r="AO5" s="145">
        <v>0.0</v>
      </c>
      <c r="AP5" s="145">
        <v>0.0</v>
      </c>
      <c r="AQ5" s="145">
        <v>0.0</v>
      </c>
      <c r="AR5" s="145">
        <v>0.0</v>
      </c>
      <c r="AS5" s="145">
        <v>0.0</v>
      </c>
      <c r="AT5" s="145">
        <v>0.0</v>
      </c>
      <c r="AU5" s="145">
        <v>0.0</v>
      </c>
      <c r="AV5" s="145">
        <v>0.0</v>
      </c>
      <c r="AW5" s="145">
        <v>0.0</v>
      </c>
      <c r="AX5" s="145">
        <v>0.0</v>
      </c>
      <c r="AY5" s="145">
        <v>0.0</v>
      </c>
      <c r="AZ5" s="145">
        <v>0.0</v>
      </c>
      <c r="BA5" s="145">
        <v>0.0</v>
      </c>
      <c r="BB5" s="145">
        <v>0.0</v>
      </c>
      <c r="BC5" s="145">
        <v>0.0</v>
      </c>
      <c r="BD5" s="145">
        <v>0.0</v>
      </c>
      <c r="BE5" s="145">
        <v>0.0</v>
      </c>
      <c r="BF5" s="145">
        <v>0.0</v>
      </c>
      <c r="BG5" s="145">
        <v>0.0</v>
      </c>
      <c r="BH5" s="145">
        <v>0.0</v>
      </c>
      <c r="BI5" s="145">
        <v>0.0</v>
      </c>
      <c r="BJ5" s="145">
        <v>0.0</v>
      </c>
      <c r="BK5" s="689"/>
      <c r="BL5" s="156">
        <v>0.0</v>
      </c>
      <c r="BM5" s="156">
        <v>0.0</v>
      </c>
      <c r="BN5" s="156">
        <v>12000.0</v>
      </c>
      <c r="BO5" s="156">
        <v>12000.0</v>
      </c>
      <c r="BP5" s="156">
        <v>12000.0</v>
      </c>
      <c r="BQ5" s="156">
        <v>12000.0</v>
      </c>
      <c r="BR5" s="156">
        <v>12000.0</v>
      </c>
      <c r="BS5" s="156">
        <v>12000.0</v>
      </c>
      <c r="BT5" s="156">
        <v>10000.0</v>
      </c>
      <c r="BU5" s="156">
        <v>10000.0</v>
      </c>
      <c r="BV5" s="156">
        <v>10000.0</v>
      </c>
      <c r="BW5" s="156">
        <v>10000.0</v>
      </c>
    </row>
    <row r="6">
      <c r="A6" s="135" t="s">
        <v>199</v>
      </c>
      <c r="B6" s="136"/>
      <c r="C6" s="137"/>
      <c r="D6" s="137"/>
      <c r="E6" s="137"/>
      <c r="F6" s="137"/>
      <c r="G6" s="137"/>
      <c r="H6" s="137"/>
      <c r="I6" s="138"/>
      <c r="J6" s="138"/>
      <c r="K6" s="138"/>
      <c r="L6" s="138"/>
      <c r="M6" s="139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40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8"/>
      <c r="BK6" s="140"/>
      <c r="BL6" s="138"/>
      <c r="BM6" s="138"/>
      <c r="BN6" s="138"/>
      <c r="BO6" s="138"/>
      <c r="BP6" s="138"/>
      <c r="BQ6" s="138"/>
      <c r="BR6" s="138"/>
      <c r="BS6" s="138"/>
      <c r="BT6" s="138"/>
      <c r="BU6" s="138"/>
      <c r="BV6" s="138"/>
      <c r="BW6" s="138"/>
    </row>
    <row r="7" ht="15.0" customHeight="1">
      <c r="A7" s="149"/>
      <c r="B7" s="137" t="s">
        <v>201</v>
      </c>
      <c r="C7" s="145">
        <v>0.0</v>
      </c>
      <c r="D7" s="145">
        <v>0.0</v>
      </c>
      <c r="E7" s="145">
        <v>0.0</v>
      </c>
      <c r="F7" s="145">
        <v>0.0</v>
      </c>
      <c r="G7" s="145">
        <v>0.0</v>
      </c>
      <c r="H7" s="146">
        <v>0.0</v>
      </c>
      <c r="I7" s="145">
        <v>0.0</v>
      </c>
      <c r="J7" s="145">
        <v>0.0</v>
      </c>
      <c r="K7" s="145">
        <v>0.0</v>
      </c>
      <c r="L7" s="145">
        <v>0.0</v>
      </c>
      <c r="M7" s="145">
        <v>0.0</v>
      </c>
      <c r="N7" s="145">
        <v>0.0</v>
      </c>
      <c r="O7" s="145">
        <v>0.0</v>
      </c>
      <c r="P7" s="161">
        <v>0.0</v>
      </c>
      <c r="Q7" s="690">
        <v>0.0</v>
      </c>
      <c r="R7" s="690">
        <v>0.0</v>
      </c>
      <c r="S7" s="690">
        <v>0.0</v>
      </c>
      <c r="T7" s="690">
        <f t="shared" ref="T7:W7" si="9">S7+S7*0.15</f>
        <v>0</v>
      </c>
      <c r="U7" s="691">
        <f t="shared" si="9"/>
        <v>0</v>
      </c>
      <c r="V7" s="150">
        <f t="shared" si="9"/>
        <v>0</v>
      </c>
      <c r="W7" s="150">
        <f t="shared" si="9"/>
        <v>0</v>
      </c>
      <c r="X7" s="151">
        <v>0.0</v>
      </c>
      <c r="Y7" s="151">
        <v>0.0</v>
      </c>
      <c r="Z7" s="691">
        <f t="shared" ref="Z7:AH7" si="10">Y7+Y7*0.1</f>
        <v>0</v>
      </c>
      <c r="AA7" s="691">
        <f t="shared" si="10"/>
        <v>0</v>
      </c>
      <c r="AB7" s="691">
        <f t="shared" si="10"/>
        <v>0</v>
      </c>
      <c r="AC7" s="691">
        <f t="shared" si="10"/>
        <v>0</v>
      </c>
      <c r="AD7" s="691">
        <f t="shared" si="10"/>
        <v>0</v>
      </c>
      <c r="AE7" s="691">
        <f t="shared" si="10"/>
        <v>0</v>
      </c>
      <c r="AF7" s="691">
        <f t="shared" si="10"/>
        <v>0</v>
      </c>
      <c r="AG7" s="691">
        <f t="shared" si="10"/>
        <v>0</v>
      </c>
      <c r="AH7" s="692">
        <f t="shared" si="10"/>
        <v>0</v>
      </c>
      <c r="AI7" s="691">
        <f t="shared" ref="AI7:AJ7" si="11">AG7+AG7*0.1</f>
        <v>0</v>
      </c>
      <c r="AJ7" s="691">
        <f t="shared" si="11"/>
        <v>0</v>
      </c>
      <c r="AK7" s="691">
        <f t="shared" ref="AK7:AT7" si="12">AJ7+AJ7*0.1</f>
        <v>0</v>
      </c>
      <c r="AL7" s="691">
        <f t="shared" si="12"/>
        <v>0</v>
      </c>
      <c r="AM7" s="691">
        <f t="shared" si="12"/>
        <v>0</v>
      </c>
      <c r="AN7" s="691">
        <f t="shared" si="12"/>
        <v>0</v>
      </c>
      <c r="AO7" s="691">
        <f t="shared" si="12"/>
        <v>0</v>
      </c>
      <c r="AP7" s="691">
        <f t="shared" si="12"/>
        <v>0</v>
      </c>
      <c r="AQ7" s="691">
        <f t="shared" si="12"/>
        <v>0</v>
      </c>
      <c r="AR7" s="691">
        <f t="shared" si="12"/>
        <v>0</v>
      </c>
      <c r="AS7" s="691">
        <f t="shared" si="12"/>
        <v>0</v>
      </c>
      <c r="AT7" s="691">
        <f t="shared" si="12"/>
        <v>0</v>
      </c>
      <c r="AU7" s="693">
        <v>0.0</v>
      </c>
      <c r="AV7" s="693">
        <v>0.0</v>
      </c>
      <c r="AW7" s="693">
        <v>0.0</v>
      </c>
      <c r="AX7" s="693">
        <v>0.0</v>
      </c>
      <c r="AY7" s="693">
        <v>0.0</v>
      </c>
      <c r="AZ7" s="693">
        <v>0.0</v>
      </c>
      <c r="BA7" s="693">
        <v>0.0</v>
      </c>
      <c r="BB7" s="693">
        <v>0.0</v>
      </c>
      <c r="BC7" s="693">
        <v>0.0</v>
      </c>
      <c r="BD7" s="693">
        <v>0.0</v>
      </c>
      <c r="BE7" s="693">
        <v>0.0</v>
      </c>
      <c r="BF7" s="693">
        <v>60000.0</v>
      </c>
      <c r="BG7" s="693">
        <v>0.0</v>
      </c>
      <c r="BH7" s="693">
        <v>0.0</v>
      </c>
      <c r="BI7" s="693">
        <v>0.0</v>
      </c>
      <c r="BJ7" s="693">
        <v>0.0</v>
      </c>
      <c r="BK7" s="694"/>
      <c r="BL7" s="693">
        <v>0.0</v>
      </c>
      <c r="BM7" s="693">
        <v>0.0</v>
      </c>
      <c r="BN7" s="693">
        <v>0.0</v>
      </c>
      <c r="BO7" s="693">
        <v>0.0</v>
      </c>
      <c r="BP7" s="693">
        <v>0.0</v>
      </c>
      <c r="BQ7" s="693">
        <v>0.0</v>
      </c>
      <c r="BR7" s="693">
        <v>0.0</v>
      </c>
      <c r="BS7" s="693">
        <v>0.0</v>
      </c>
      <c r="BT7" s="693">
        <v>0.0</v>
      </c>
      <c r="BU7" s="693">
        <v>0.0</v>
      </c>
      <c r="BV7" s="693">
        <v>0.0</v>
      </c>
      <c r="BW7" s="693">
        <v>0.0</v>
      </c>
    </row>
    <row r="8">
      <c r="A8" s="149"/>
      <c r="B8" s="137" t="s">
        <v>202</v>
      </c>
      <c r="C8" s="145"/>
      <c r="D8" s="145"/>
      <c r="E8" s="145"/>
      <c r="F8" s="145"/>
      <c r="G8" s="145"/>
      <c r="H8" s="146"/>
      <c r="I8" s="145"/>
      <c r="J8" s="145"/>
      <c r="K8" s="145"/>
      <c r="L8" s="145"/>
      <c r="M8" s="145"/>
      <c r="N8" s="145"/>
      <c r="O8" s="145">
        <f>1000</f>
        <v>1000</v>
      </c>
      <c r="P8" s="145">
        <f>2723</f>
        <v>2723</v>
      </c>
      <c r="Q8" s="145">
        <v>419.0</v>
      </c>
      <c r="R8" s="155">
        <f>200</f>
        <v>200</v>
      </c>
      <c r="S8" s="156">
        <f>900+2500</f>
        <v>3400</v>
      </c>
      <c r="T8" s="156">
        <v>0.0</v>
      </c>
      <c r="U8" s="145">
        <v>0.0</v>
      </c>
      <c r="V8" s="145">
        <v>300.0</v>
      </c>
      <c r="W8" s="145">
        <v>0.0</v>
      </c>
      <c r="X8" s="145">
        <v>0.0</v>
      </c>
      <c r="Y8" s="145">
        <v>5600.0</v>
      </c>
      <c r="Z8" s="145">
        <v>0.0</v>
      </c>
      <c r="AA8" s="155">
        <v>0.0</v>
      </c>
      <c r="AB8" s="145">
        <v>0.0</v>
      </c>
      <c r="AC8" s="157">
        <v>700.0</v>
      </c>
      <c r="AD8" s="145">
        <v>0.0</v>
      </c>
      <c r="AE8" s="145">
        <v>11000.0</v>
      </c>
      <c r="AF8" s="158">
        <v>1300.0</v>
      </c>
      <c r="AG8" s="159">
        <f>sum(1200,1200)</f>
        <v>2400</v>
      </c>
      <c r="AH8" s="160">
        <f>sum(7000,10000)</f>
        <v>17000</v>
      </c>
      <c r="AI8" s="161">
        <v>0.0</v>
      </c>
      <c r="AJ8" s="145">
        <v>0.0</v>
      </c>
      <c r="AK8" s="161">
        <f>2000+7700</f>
        <v>9700</v>
      </c>
      <c r="AL8" s="113">
        <v>0.0</v>
      </c>
      <c r="AM8" s="113">
        <v>0.0</v>
      </c>
      <c r="AN8" s="113">
        <v>10000.0</v>
      </c>
      <c r="AO8" s="113">
        <v>1000.0</v>
      </c>
      <c r="AP8" s="113">
        <v>21000.0</v>
      </c>
      <c r="AQ8" s="113">
        <v>0.0</v>
      </c>
      <c r="AR8" s="113">
        <v>0.0</v>
      </c>
      <c r="AS8" s="145">
        <v>0.0</v>
      </c>
      <c r="AT8" s="162">
        <f>sum(4751.11)</f>
        <v>4751.11</v>
      </c>
      <c r="AU8" s="145">
        <f>36000*0.45</f>
        <v>16200</v>
      </c>
      <c r="AV8" s="145">
        <v>0.0</v>
      </c>
      <c r="AW8" s="145">
        <v>0.0</v>
      </c>
      <c r="AX8" s="145">
        <f>SUM(1500,1844)</f>
        <v>3344</v>
      </c>
      <c r="AY8" s="156">
        <f>sum(1000,1800)</f>
        <v>2800</v>
      </c>
      <c r="AZ8" s="155">
        <v>16000.0</v>
      </c>
      <c r="BA8" s="161">
        <v>20000.0</v>
      </c>
      <c r="BB8" s="145">
        <v>0.0</v>
      </c>
      <c r="BC8" s="145">
        <v>2500.0</v>
      </c>
      <c r="BD8" s="163">
        <v>0.0</v>
      </c>
      <c r="BE8" s="113">
        <v>0.0</v>
      </c>
      <c r="BF8" s="113">
        <f>sum(-2000,-3000,-1200)</f>
        <v>-6200</v>
      </c>
      <c r="BG8" s="113">
        <f>sum(5000,2000)</f>
        <v>7000</v>
      </c>
      <c r="BH8" s="145">
        <f>sum(12000,10000,1000)</f>
        <v>23000</v>
      </c>
      <c r="BI8" s="155">
        <f>sum(250000)</f>
        <v>250000</v>
      </c>
      <c r="BJ8" s="145">
        <v>0.0</v>
      </c>
      <c r="BK8" s="146"/>
      <c r="BL8" s="145">
        <v>0.0</v>
      </c>
      <c r="BM8" s="145">
        <v>0.0</v>
      </c>
      <c r="BN8" s="145">
        <v>0.0</v>
      </c>
      <c r="BO8" s="145">
        <v>0.0</v>
      </c>
      <c r="BP8" s="145">
        <v>0.0</v>
      </c>
      <c r="BQ8" s="145">
        <v>0.0</v>
      </c>
      <c r="BR8" s="145">
        <v>0.0</v>
      </c>
      <c r="BS8" s="145">
        <v>0.0</v>
      </c>
      <c r="BT8" s="145">
        <v>0.0</v>
      </c>
      <c r="BU8" s="145">
        <v>0.0</v>
      </c>
      <c r="BV8" s="145">
        <v>0.0</v>
      </c>
      <c r="BW8" s="145">
        <v>0.0</v>
      </c>
    </row>
    <row r="9">
      <c r="A9" s="166"/>
      <c r="B9" s="167"/>
      <c r="C9" s="168"/>
      <c r="D9" s="168"/>
      <c r="E9" s="168"/>
      <c r="F9" s="168"/>
      <c r="G9" s="168"/>
      <c r="H9" s="169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9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9"/>
      <c r="BL9" s="168"/>
      <c r="BM9" s="168"/>
      <c r="BN9" s="168"/>
      <c r="BO9" s="168"/>
      <c r="BP9" s="168"/>
      <c r="BQ9" s="168"/>
      <c r="BR9" s="168"/>
      <c r="BS9" s="168"/>
      <c r="BT9" s="168"/>
      <c r="BU9" s="168"/>
      <c r="BV9" s="168"/>
      <c r="BW9" s="168"/>
    </row>
    <row r="10">
      <c r="A10" s="171" t="s">
        <v>203</v>
      </c>
      <c r="B10" s="172"/>
      <c r="C10" s="173">
        <f t="shared" ref="C10:O10" si="13">sum(C4:C7)</f>
        <v>10000</v>
      </c>
      <c r="D10" s="173">
        <f t="shared" si="13"/>
        <v>13000</v>
      </c>
      <c r="E10" s="173">
        <f t="shared" si="13"/>
        <v>10000</v>
      </c>
      <c r="F10" s="173">
        <f t="shared" si="13"/>
        <v>10000</v>
      </c>
      <c r="G10" s="173">
        <f t="shared" si="13"/>
        <v>10000</v>
      </c>
      <c r="H10" s="174">
        <f t="shared" si="13"/>
        <v>10000</v>
      </c>
      <c r="I10" s="173">
        <f t="shared" si="13"/>
        <v>15000</v>
      </c>
      <c r="J10" s="173">
        <f t="shared" si="13"/>
        <v>15000</v>
      </c>
      <c r="K10" s="173">
        <f t="shared" si="13"/>
        <v>10000</v>
      </c>
      <c r="L10" s="173">
        <f t="shared" si="13"/>
        <v>10000</v>
      </c>
      <c r="M10" s="173">
        <f t="shared" si="13"/>
        <v>10800</v>
      </c>
      <c r="N10" s="173">
        <f t="shared" si="13"/>
        <v>10500</v>
      </c>
      <c r="O10" s="173">
        <f t="shared" si="13"/>
        <v>10000</v>
      </c>
      <c r="P10" s="173">
        <f t="shared" ref="P10:BJ10" si="14">sum(P4:P8)</f>
        <v>17723</v>
      </c>
      <c r="Q10" s="173">
        <f t="shared" si="14"/>
        <v>10669</v>
      </c>
      <c r="R10" s="173">
        <f t="shared" si="14"/>
        <v>10450</v>
      </c>
      <c r="S10" s="173">
        <f t="shared" si="14"/>
        <v>13650</v>
      </c>
      <c r="T10" s="173">
        <f t="shared" si="14"/>
        <v>10250</v>
      </c>
      <c r="U10" s="173">
        <f t="shared" si="14"/>
        <v>10250</v>
      </c>
      <c r="V10" s="173">
        <f t="shared" si="14"/>
        <v>10550</v>
      </c>
      <c r="W10" s="173">
        <f t="shared" si="14"/>
        <v>10250</v>
      </c>
      <c r="X10" s="173">
        <f t="shared" si="14"/>
        <v>10250</v>
      </c>
      <c r="Y10" s="173">
        <f t="shared" si="14"/>
        <v>15850</v>
      </c>
      <c r="Z10" s="173">
        <f t="shared" si="14"/>
        <v>13333.33333</v>
      </c>
      <c r="AA10" s="173">
        <f t="shared" si="14"/>
        <v>13333.33333</v>
      </c>
      <c r="AB10" s="173">
        <f t="shared" si="14"/>
        <v>13333.33333</v>
      </c>
      <c r="AC10" s="173">
        <f t="shared" si="14"/>
        <v>14033.33333</v>
      </c>
      <c r="AD10" s="173">
        <f t="shared" si="14"/>
        <v>13333.33333</v>
      </c>
      <c r="AE10" s="173">
        <f t="shared" si="14"/>
        <v>24333.33333</v>
      </c>
      <c r="AF10" s="173">
        <f t="shared" si="14"/>
        <v>14633.33333</v>
      </c>
      <c r="AG10" s="173">
        <f t="shared" si="14"/>
        <v>15733.33333</v>
      </c>
      <c r="AH10" s="174">
        <f t="shared" si="14"/>
        <v>30333.33333</v>
      </c>
      <c r="AI10" s="173">
        <f t="shared" si="14"/>
        <v>13333.33333</v>
      </c>
      <c r="AJ10" s="173">
        <f t="shared" si="14"/>
        <v>13333.33333</v>
      </c>
      <c r="AK10" s="173">
        <f t="shared" si="14"/>
        <v>23450</v>
      </c>
      <c r="AL10" s="173">
        <f t="shared" si="14"/>
        <v>17500</v>
      </c>
      <c r="AM10" s="173">
        <f t="shared" si="14"/>
        <v>17500</v>
      </c>
      <c r="AN10" s="173">
        <f t="shared" si="14"/>
        <v>27500</v>
      </c>
      <c r="AO10" s="173">
        <f t="shared" si="14"/>
        <v>18500</v>
      </c>
      <c r="AP10" s="173">
        <f t="shared" si="14"/>
        <v>38500</v>
      </c>
      <c r="AQ10" s="173">
        <f t="shared" si="14"/>
        <v>17500</v>
      </c>
      <c r="AR10" s="173">
        <f t="shared" si="14"/>
        <v>17500</v>
      </c>
      <c r="AS10" s="173">
        <f t="shared" si="14"/>
        <v>17500</v>
      </c>
      <c r="AT10" s="173">
        <f t="shared" si="14"/>
        <v>22251.11</v>
      </c>
      <c r="AU10" s="173">
        <f t="shared" si="14"/>
        <v>33700</v>
      </c>
      <c r="AV10" s="173">
        <f t="shared" si="14"/>
        <v>17500</v>
      </c>
      <c r="AW10" s="173">
        <f t="shared" si="14"/>
        <v>17500</v>
      </c>
      <c r="AX10" s="173">
        <f t="shared" si="14"/>
        <v>20844</v>
      </c>
      <c r="AY10" s="173">
        <f t="shared" si="14"/>
        <v>20300</v>
      </c>
      <c r="AZ10" s="173">
        <f t="shared" si="14"/>
        <v>33500</v>
      </c>
      <c r="BA10" s="173">
        <f t="shared" si="14"/>
        <v>36666.66667</v>
      </c>
      <c r="BB10" s="173">
        <f t="shared" si="14"/>
        <v>16666.66667</v>
      </c>
      <c r="BC10" s="173">
        <f t="shared" si="14"/>
        <v>19166.66667</v>
      </c>
      <c r="BD10" s="173">
        <f t="shared" si="14"/>
        <v>16666.66667</v>
      </c>
      <c r="BE10" s="173">
        <f t="shared" si="14"/>
        <v>16666.66667</v>
      </c>
      <c r="BF10" s="173">
        <f t="shared" si="14"/>
        <v>72133.33333</v>
      </c>
      <c r="BG10" s="173">
        <f t="shared" si="14"/>
        <v>25333.33333</v>
      </c>
      <c r="BH10" s="173">
        <f t="shared" si="14"/>
        <v>41333.33333</v>
      </c>
      <c r="BI10" s="173">
        <f t="shared" si="14"/>
        <v>268333.3333</v>
      </c>
      <c r="BJ10" s="173">
        <f t="shared" si="14"/>
        <v>18333.33333</v>
      </c>
      <c r="BK10" s="174"/>
      <c r="BL10" s="173">
        <f t="shared" ref="BL10:BW10" si="15">sum(BL4:BL8)</f>
        <v>18333.33333</v>
      </c>
      <c r="BM10" s="173">
        <f t="shared" si="15"/>
        <v>18333.33333</v>
      </c>
      <c r="BN10" s="173">
        <f t="shared" si="15"/>
        <v>30333.33333</v>
      </c>
      <c r="BO10" s="173">
        <f t="shared" si="15"/>
        <v>30333.33333</v>
      </c>
      <c r="BP10" s="173">
        <f t="shared" si="15"/>
        <v>28666.66667</v>
      </c>
      <c r="BQ10" s="173">
        <f t="shared" si="15"/>
        <v>30333.33333</v>
      </c>
      <c r="BR10" s="173">
        <f t="shared" si="15"/>
        <v>30333.33333</v>
      </c>
      <c r="BS10" s="173">
        <f t="shared" si="15"/>
        <v>30333.33333</v>
      </c>
      <c r="BT10" s="173">
        <f t="shared" si="15"/>
        <v>28333.33333</v>
      </c>
      <c r="BU10" s="173">
        <f t="shared" si="15"/>
        <v>28333.33333</v>
      </c>
      <c r="BV10" s="173">
        <f t="shared" si="15"/>
        <v>28333.33333</v>
      </c>
      <c r="BW10" s="173">
        <f t="shared" si="15"/>
        <v>28333.33333</v>
      </c>
    </row>
    <row r="11">
      <c r="A11" s="171" t="s">
        <v>204</v>
      </c>
      <c r="B11" s="172"/>
      <c r="C11" s="137">
        <f>C10*0.38</f>
        <v>3800</v>
      </c>
      <c r="D11" s="137">
        <f t="shared" ref="D11:L11" si="16">D10*0.34</f>
        <v>4420</v>
      </c>
      <c r="E11" s="137">
        <f t="shared" si="16"/>
        <v>3400</v>
      </c>
      <c r="F11" s="137">
        <f t="shared" si="16"/>
        <v>3400</v>
      </c>
      <c r="G11" s="137">
        <f t="shared" si="16"/>
        <v>3400</v>
      </c>
      <c r="H11" s="175">
        <f t="shared" si="16"/>
        <v>3400</v>
      </c>
      <c r="I11" s="137">
        <f t="shared" si="16"/>
        <v>5100</v>
      </c>
      <c r="J11" s="137">
        <f t="shared" si="16"/>
        <v>5100</v>
      </c>
      <c r="K11" s="137">
        <f t="shared" si="16"/>
        <v>3400</v>
      </c>
      <c r="L11" s="137">
        <f t="shared" si="16"/>
        <v>3400</v>
      </c>
      <c r="M11" s="137">
        <f t="shared" ref="M11:N11" si="17">sum(M4:M7)*0.34</f>
        <v>3672</v>
      </c>
      <c r="N11" s="137">
        <f t="shared" si="17"/>
        <v>3570</v>
      </c>
      <c r="O11" s="137">
        <f>sum(O4:O7)*0.34+O5*0.41</f>
        <v>3400</v>
      </c>
      <c r="P11" s="137">
        <f>P4*0.34+P5*0.41+P7*0.34</f>
        <v>5450</v>
      </c>
      <c r="Q11" s="137">
        <f t="shared" ref="Q11:BE11" si="18">sum(Q4:Q7)*0.34+Q5*0.41</f>
        <v>3485</v>
      </c>
      <c r="R11" s="137">
        <f t="shared" si="18"/>
        <v>3485</v>
      </c>
      <c r="S11" s="137">
        <f t="shared" si="18"/>
        <v>3485</v>
      </c>
      <c r="T11" s="137">
        <f t="shared" si="18"/>
        <v>3485</v>
      </c>
      <c r="U11" s="137">
        <f t="shared" si="18"/>
        <v>3485</v>
      </c>
      <c r="V11" s="137">
        <f t="shared" si="18"/>
        <v>3485</v>
      </c>
      <c r="W11" s="137">
        <f t="shared" si="18"/>
        <v>3485</v>
      </c>
      <c r="X11" s="137">
        <f t="shared" si="18"/>
        <v>3485</v>
      </c>
      <c r="Y11" s="137">
        <f t="shared" si="18"/>
        <v>3485</v>
      </c>
      <c r="Z11" s="137">
        <f t="shared" si="18"/>
        <v>4533.333333</v>
      </c>
      <c r="AA11" s="137">
        <f t="shared" si="18"/>
        <v>4533.333333</v>
      </c>
      <c r="AB11" s="137">
        <f t="shared" si="18"/>
        <v>4533.333333</v>
      </c>
      <c r="AC11" s="137">
        <f t="shared" si="18"/>
        <v>4533.333333</v>
      </c>
      <c r="AD11" s="137">
        <f t="shared" si="18"/>
        <v>4533.333333</v>
      </c>
      <c r="AE11" s="137">
        <f t="shared" si="18"/>
        <v>4533.333333</v>
      </c>
      <c r="AF11" s="137">
        <f t="shared" si="18"/>
        <v>4533.333333</v>
      </c>
      <c r="AG11" s="137">
        <f t="shared" si="18"/>
        <v>4533.333333</v>
      </c>
      <c r="AH11" s="175">
        <f t="shared" si="18"/>
        <v>4533.333333</v>
      </c>
      <c r="AI11" s="137">
        <f t="shared" si="18"/>
        <v>4533.333333</v>
      </c>
      <c r="AJ11" s="137">
        <f t="shared" si="18"/>
        <v>4533.333333</v>
      </c>
      <c r="AK11" s="137">
        <f t="shared" si="18"/>
        <v>4675</v>
      </c>
      <c r="AL11" s="137">
        <f t="shared" si="18"/>
        <v>5950</v>
      </c>
      <c r="AM11" s="137">
        <f t="shared" si="18"/>
        <v>5950</v>
      </c>
      <c r="AN11" s="137">
        <f t="shared" si="18"/>
        <v>5950</v>
      </c>
      <c r="AO11" s="137">
        <f t="shared" si="18"/>
        <v>5950</v>
      </c>
      <c r="AP11" s="137">
        <f t="shared" si="18"/>
        <v>5950</v>
      </c>
      <c r="AQ11" s="137">
        <f t="shared" si="18"/>
        <v>5950</v>
      </c>
      <c r="AR11" s="137">
        <f t="shared" si="18"/>
        <v>5950</v>
      </c>
      <c r="AS11" s="137">
        <f t="shared" si="18"/>
        <v>5950</v>
      </c>
      <c r="AT11" s="137">
        <f t="shared" si="18"/>
        <v>5950</v>
      </c>
      <c r="AU11" s="137">
        <f t="shared" si="18"/>
        <v>5950</v>
      </c>
      <c r="AV11" s="137">
        <f t="shared" si="18"/>
        <v>5950</v>
      </c>
      <c r="AW11" s="137">
        <f t="shared" si="18"/>
        <v>5950</v>
      </c>
      <c r="AX11" s="137">
        <f t="shared" si="18"/>
        <v>5950</v>
      </c>
      <c r="AY11" s="137">
        <f t="shared" si="18"/>
        <v>5950</v>
      </c>
      <c r="AZ11" s="137">
        <f t="shared" si="18"/>
        <v>5950</v>
      </c>
      <c r="BA11" s="137">
        <f t="shared" si="18"/>
        <v>5666.666667</v>
      </c>
      <c r="BB11" s="137">
        <f t="shared" si="18"/>
        <v>5666.666667</v>
      </c>
      <c r="BC11" s="137">
        <f t="shared" si="18"/>
        <v>5666.666667</v>
      </c>
      <c r="BD11" s="137">
        <f t="shared" si="18"/>
        <v>5666.666667</v>
      </c>
      <c r="BE11" s="137">
        <f t="shared" si="18"/>
        <v>5666.666667</v>
      </c>
      <c r="BF11" s="137">
        <f>sum(BF4:BF7)*0.34+BF5*0.52</f>
        <v>26633.33333</v>
      </c>
      <c r="BG11" s="137">
        <f t="shared" ref="BG11:BJ11" si="19">sum(BG4:BG7)*0.34+BG5*0.41</f>
        <v>6233.333333</v>
      </c>
      <c r="BH11" s="137">
        <f t="shared" si="19"/>
        <v>6233.333333</v>
      </c>
      <c r="BI11" s="137">
        <f t="shared" si="19"/>
        <v>6233.333333</v>
      </c>
      <c r="BJ11" s="137">
        <f t="shared" si="19"/>
        <v>6233.333333</v>
      </c>
      <c r="BK11" s="175"/>
      <c r="BL11" s="137">
        <f t="shared" ref="BL11:BW11" si="20">sum(BL4:BL7)*0.34+BL5*0.41</f>
        <v>6233.333333</v>
      </c>
      <c r="BM11" s="137">
        <f t="shared" si="20"/>
        <v>6233.333333</v>
      </c>
      <c r="BN11" s="137">
        <f t="shared" si="20"/>
        <v>15233.33333</v>
      </c>
      <c r="BO11" s="137">
        <f t="shared" si="20"/>
        <v>15233.33333</v>
      </c>
      <c r="BP11" s="137">
        <f t="shared" si="20"/>
        <v>14666.66667</v>
      </c>
      <c r="BQ11" s="137">
        <f t="shared" si="20"/>
        <v>15233.33333</v>
      </c>
      <c r="BR11" s="137">
        <f t="shared" si="20"/>
        <v>15233.33333</v>
      </c>
      <c r="BS11" s="137">
        <f t="shared" si="20"/>
        <v>15233.33333</v>
      </c>
      <c r="BT11" s="137">
        <f t="shared" si="20"/>
        <v>13733.33333</v>
      </c>
      <c r="BU11" s="137">
        <f t="shared" si="20"/>
        <v>13733.33333</v>
      </c>
      <c r="BV11" s="137">
        <f t="shared" si="20"/>
        <v>13733.33333</v>
      </c>
      <c r="BW11" s="137">
        <f t="shared" si="20"/>
        <v>13733.33333</v>
      </c>
    </row>
    <row r="12">
      <c r="A12" s="171" t="s">
        <v>205</v>
      </c>
      <c r="B12" s="172"/>
      <c r="C12" s="137"/>
      <c r="D12" s="137"/>
      <c r="E12" s="137"/>
      <c r="F12" s="137"/>
      <c r="G12" s="137"/>
      <c r="H12" s="175"/>
      <c r="I12" s="137"/>
      <c r="J12" s="137"/>
      <c r="K12" s="137"/>
      <c r="L12" s="137"/>
      <c r="M12" s="137"/>
      <c r="N12" s="137"/>
      <c r="O12" s="137">
        <f t="shared" ref="O12:P12" si="21">O4*0.04</f>
        <v>400</v>
      </c>
      <c r="P12" s="137">
        <f t="shared" si="21"/>
        <v>400</v>
      </c>
      <c r="Q12" s="137">
        <f t="shared" ref="Q12:Y12" si="22">Q4*0.03</f>
        <v>307.5</v>
      </c>
      <c r="R12" s="137">
        <f t="shared" si="22"/>
        <v>307.5</v>
      </c>
      <c r="S12" s="137">
        <f t="shared" si="22"/>
        <v>307.5</v>
      </c>
      <c r="T12" s="137">
        <f t="shared" si="22"/>
        <v>307.5</v>
      </c>
      <c r="U12" s="137">
        <f t="shared" si="22"/>
        <v>307.5</v>
      </c>
      <c r="V12" s="137">
        <f t="shared" si="22"/>
        <v>307.5</v>
      </c>
      <c r="W12" s="137">
        <f t="shared" si="22"/>
        <v>307.5</v>
      </c>
      <c r="X12" s="137">
        <f t="shared" si="22"/>
        <v>307.5</v>
      </c>
      <c r="Y12" s="137">
        <f t="shared" si="22"/>
        <v>307.5</v>
      </c>
      <c r="Z12" s="137">
        <f t="shared" ref="Z12:AA12" si="23">Z4*0</f>
        <v>0</v>
      </c>
      <c r="AA12" s="137">
        <f t="shared" si="23"/>
        <v>0</v>
      </c>
      <c r="AB12" s="137">
        <v>0.0</v>
      </c>
      <c r="AC12" s="137">
        <f>AC4*0.025</f>
        <v>333.3333333</v>
      </c>
      <c r="AD12" s="137">
        <f t="shared" ref="AD12:AE12" si="24">AD4*0.004</f>
        <v>53.33333333</v>
      </c>
      <c r="AE12" s="137">
        <f t="shared" si="24"/>
        <v>53.33333333</v>
      </c>
      <c r="AF12" s="137">
        <f t="shared" ref="AF12:AH12" si="25">AF4*0</f>
        <v>0</v>
      </c>
      <c r="AG12" s="137">
        <f t="shared" si="25"/>
        <v>0</v>
      </c>
      <c r="AH12" s="175">
        <f t="shared" si="25"/>
        <v>0</v>
      </c>
      <c r="AI12" s="137">
        <f t="shared" ref="AI12:AJ12" si="26">AI4*0.025</f>
        <v>333.3333333</v>
      </c>
      <c r="AJ12" s="137">
        <f t="shared" si="26"/>
        <v>333.3333333</v>
      </c>
      <c r="AK12" s="137">
        <f t="shared" ref="AK12:BJ12" si="27">AK4*0</f>
        <v>0</v>
      </c>
      <c r="AL12" s="137">
        <f t="shared" si="27"/>
        <v>0</v>
      </c>
      <c r="AM12" s="137">
        <f t="shared" si="27"/>
        <v>0</v>
      </c>
      <c r="AN12" s="137">
        <f t="shared" si="27"/>
        <v>0</v>
      </c>
      <c r="AO12" s="137">
        <f t="shared" si="27"/>
        <v>0</v>
      </c>
      <c r="AP12" s="137">
        <f t="shared" si="27"/>
        <v>0</v>
      </c>
      <c r="AQ12" s="137">
        <f t="shared" si="27"/>
        <v>0</v>
      </c>
      <c r="AR12" s="137">
        <f t="shared" si="27"/>
        <v>0</v>
      </c>
      <c r="AS12" s="137">
        <f t="shared" si="27"/>
        <v>0</v>
      </c>
      <c r="AT12" s="137">
        <f t="shared" si="27"/>
        <v>0</v>
      </c>
      <c r="AU12" s="137">
        <f t="shared" si="27"/>
        <v>0</v>
      </c>
      <c r="AV12" s="137">
        <f t="shared" si="27"/>
        <v>0</v>
      </c>
      <c r="AW12" s="137">
        <f t="shared" si="27"/>
        <v>0</v>
      </c>
      <c r="AX12" s="137">
        <f t="shared" si="27"/>
        <v>0</v>
      </c>
      <c r="AY12" s="137">
        <f t="shared" si="27"/>
        <v>0</v>
      </c>
      <c r="AZ12" s="137">
        <f t="shared" si="27"/>
        <v>0</v>
      </c>
      <c r="BA12" s="137">
        <f t="shared" si="27"/>
        <v>0</v>
      </c>
      <c r="BB12" s="137">
        <f t="shared" si="27"/>
        <v>0</v>
      </c>
      <c r="BC12" s="137">
        <f t="shared" si="27"/>
        <v>0</v>
      </c>
      <c r="BD12" s="137">
        <f t="shared" si="27"/>
        <v>0</v>
      </c>
      <c r="BE12" s="137">
        <f t="shared" si="27"/>
        <v>0</v>
      </c>
      <c r="BF12" s="137">
        <f t="shared" si="27"/>
        <v>0</v>
      </c>
      <c r="BG12" s="137">
        <f t="shared" si="27"/>
        <v>0</v>
      </c>
      <c r="BH12" s="137">
        <f t="shared" si="27"/>
        <v>0</v>
      </c>
      <c r="BI12" s="137">
        <f t="shared" si="27"/>
        <v>0</v>
      </c>
      <c r="BJ12" s="137">
        <f t="shared" si="27"/>
        <v>0</v>
      </c>
      <c r="BK12" s="175"/>
      <c r="BL12" s="137">
        <f t="shared" ref="BL12:BW12" si="28">BL4*0</f>
        <v>0</v>
      </c>
      <c r="BM12" s="137">
        <f t="shared" si="28"/>
        <v>0</v>
      </c>
      <c r="BN12" s="137">
        <f t="shared" si="28"/>
        <v>0</v>
      </c>
      <c r="BO12" s="137">
        <f t="shared" si="28"/>
        <v>0</v>
      </c>
      <c r="BP12" s="137">
        <f t="shared" si="28"/>
        <v>0</v>
      </c>
      <c r="BQ12" s="137">
        <f t="shared" si="28"/>
        <v>0</v>
      </c>
      <c r="BR12" s="137">
        <f t="shared" si="28"/>
        <v>0</v>
      </c>
      <c r="BS12" s="137">
        <f t="shared" si="28"/>
        <v>0</v>
      </c>
      <c r="BT12" s="137">
        <f t="shared" si="28"/>
        <v>0</v>
      </c>
      <c r="BU12" s="137">
        <f t="shared" si="28"/>
        <v>0</v>
      </c>
      <c r="BV12" s="137">
        <f t="shared" si="28"/>
        <v>0</v>
      </c>
      <c r="BW12" s="137">
        <f t="shared" si="28"/>
        <v>0</v>
      </c>
    </row>
    <row r="13">
      <c r="A13" s="171" t="s">
        <v>206</v>
      </c>
      <c r="B13" s="176"/>
      <c r="C13" s="177">
        <f t="shared" ref="C13:L13" si="29">C10-C11+C5</f>
        <v>6200</v>
      </c>
      <c r="D13" s="177">
        <f t="shared" si="29"/>
        <v>11580</v>
      </c>
      <c r="E13" s="177">
        <f t="shared" si="29"/>
        <v>6600</v>
      </c>
      <c r="F13" s="177">
        <f t="shared" si="29"/>
        <v>6600</v>
      </c>
      <c r="G13" s="177">
        <f t="shared" si="29"/>
        <v>6600</v>
      </c>
      <c r="H13" s="178">
        <f t="shared" si="29"/>
        <v>6600</v>
      </c>
      <c r="I13" s="177">
        <f t="shared" si="29"/>
        <v>14900</v>
      </c>
      <c r="J13" s="177">
        <f t="shared" si="29"/>
        <v>14900</v>
      </c>
      <c r="K13" s="177">
        <f t="shared" si="29"/>
        <v>6600</v>
      </c>
      <c r="L13" s="177">
        <f t="shared" si="29"/>
        <v>6600</v>
      </c>
      <c r="M13" s="177">
        <f t="shared" ref="M13:N13" si="30">M10-M11</f>
        <v>7128</v>
      </c>
      <c r="N13" s="177">
        <f t="shared" si="30"/>
        <v>6930</v>
      </c>
      <c r="O13" s="177">
        <f>O4+O7+O5-O11-O12+O8</f>
        <v>7200</v>
      </c>
      <c r="P13" s="179">
        <f t="shared" ref="P13:BJ13" si="31">P10-P11-P12</f>
        <v>11873</v>
      </c>
      <c r="Q13" s="179">
        <f t="shared" si="31"/>
        <v>6876.5</v>
      </c>
      <c r="R13" s="179">
        <f t="shared" si="31"/>
        <v>6657.5</v>
      </c>
      <c r="S13" s="179">
        <f t="shared" si="31"/>
        <v>9857.5</v>
      </c>
      <c r="T13" s="179">
        <f t="shared" si="31"/>
        <v>6457.5</v>
      </c>
      <c r="U13" s="179">
        <f t="shared" si="31"/>
        <v>6457.5</v>
      </c>
      <c r="V13" s="179">
        <f t="shared" si="31"/>
        <v>6757.5</v>
      </c>
      <c r="W13" s="179">
        <f t="shared" si="31"/>
        <v>6457.5</v>
      </c>
      <c r="X13" s="179">
        <f t="shared" si="31"/>
        <v>6457.5</v>
      </c>
      <c r="Y13" s="179">
        <f t="shared" si="31"/>
        <v>12057.5</v>
      </c>
      <c r="Z13" s="179">
        <f t="shared" si="31"/>
        <v>8800</v>
      </c>
      <c r="AA13" s="179">
        <f t="shared" si="31"/>
        <v>8800</v>
      </c>
      <c r="AB13" s="179">
        <f t="shared" si="31"/>
        <v>8800</v>
      </c>
      <c r="AC13" s="179">
        <f t="shared" si="31"/>
        <v>9166.666667</v>
      </c>
      <c r="AD13" s="179">
        <f t="shared" si="31"/>
        <v>8746.666667</v>
      </c>
      <c r="AE13" s="179">
        <f t="shared" si="31"/>
        <v>19746.66667</v>
      </c>
      <c r="AF13" s="179">
        <f t="shared" si="31"/>
        <v>10100</v>
      </c>
      <c r="AG13" s="179">
        <f t="shared" si="31"/>
        <v>11200</v>
      </c>
      <c r="AH13" s="180">
        <f t="shared" si="31"/>
        <v>25800</v>
      </c>
      <c r="AI13" s="179">
        <f t="shared" si="31"/>
        <v>8466.666667</v>
      </c>
      <c r="AJ13" s="179">
        <f t="shared" si="31"/>
        <v>8466.666667</v>
      </c>
      <c r="AK13" s="179">
        <f t="shared" si="31"/>
        <v>18775</v>
      </c>
      <c r="AL13" s="179">
        <f t="shared" si="31"/>
        <v>11550</v>
      </c>
      <c r="AM13" s="179">
        <f t="shared" si="31"/>
        <v>11550</v>
      </c>
      <c r="AN13" s="179">
        <f t="shared" si="31"/>
        <v>21550</v>
      </c>
      <c r="AO13" s="179">
        <f t="shared" si="31"/>
        <v>12550</v>
      </c>
      <c r="AP13" s="179">
        <f t="shared" si="31"/>
        <v>32550</v>
      </c>
      <c r="AQ13" s="179">
        <f t="shared" si="31"/>
        <v>11550</v>
      </c>
      <c r="AR13" s="179">
        <f t="shared" si="31"/>
        <v>11550</v>
      </c>
      <c r="AS13" s="179">
        <f t="shared" si="31"/>
        <v>11550</v>
      </c>
      <c r="AT13" s="179">
        <f t="shared" si="31"/>
        <v>16301.11</v>
      </c>
      <c r="AU13" s="179">
        <f t="shared" si="31"/>
        <v>27750</v>
      </c>
      <c r="AV13" s="179">
        <f t="shared" si="31"/>
        <v>11550</v>
      </c>
      <c r="AW13" s="179">
        <f t="shared" si="31"/>
        <v>11550</v>
      </c>
      <c r="AX13" s="179">
        <f t="shared" si="31"/>
        <v>14894</v>
      </c>
      <c r="AY13" s="179">
        <f t="shared" si="31"/>
        <v>14350</v>
      </c>
      <c r="AZ13" s="179">
        <f t="shared" si="31"/>
        <v>27550</v>
      </c>
      <c r="BA13" s="179">
        <f t="shared" si="31"/>
        <v>31000</v>
      </c>
      <c r="BB13" s="179">
        <f t="shared" si="31"/>
        <v>11000</v>
      </c>
      <c r="BC13" s="179">
        <f t="shared" si="31"/>
        <v>13500</v>
      </c>
      <c r="BD13" s="179">
        <f t="shared" si="31"/>
        <v>11000</v>
      </c>
      <c r="BE13" s="179">
        <f t="shared" si="31"/>
        <v>11000</v>
      </c>
      <c r="BF13" s="179">
        <f t="shared" si="31"/>
        <v>45500</v>
      </c>
      <c r="BG13" s="179">
        <f t="shared" si="31"/>
        <v>19100</v>
      </c>
      <c r="BH13" s="179">
        <f t="shared" si="31"/>
        <v>35100</v>
      </c>
      <c r="BI13" s="179">
        <f t="shared" si="31"/>
        <v>262100</v>
      </c>
      <c r="BJ13" s="179">
        <f t="shared" si="31"/>
        <v>12100</v>
      </c>
      <c r="BK13" s="180"/>
      <c r="BL13" s="179">
        <f t="shared" ref="BL13:BW13" si="32">BL10-BL11-BL12</f>
        <v>12100</v>
      </c>
      <c r="BM13" s="179">
        <f t="shared" si="32"/>
        <v>12100</v>
      </c>
      <c r="BN13" s="179">
        <f t="shared" si="32"/>
        <v>15100</v>
      </c>
      <c r="BO13" s="179">
        <f t="shared" si="32"/>
        <v>15100</v>
      </c>
      <c r="BP13" s="179">
        <f t="shared" si="32"/>
        <v>14000</v>
      </c>
      <c r="BQ13" s="179">
        <f t="shared" si="32"/>
        <v>15100</v>
      </c>
      <c r="BR13" s="179">
        <f t="shared" si="32"/>
        <v>15100</v>
      </c>
      <c r="BS13" s="179">
        <f t="shared" si="32"/>
        <v>15100</v>
      </c>
      <c r="BT13" s="179">
        <f t="shared" si="32"/>
        <v>14600</v>
      </c>
      <c r="BU13" s="179">
        <f t="shared" si="32"/>
        <v>14600</v>
      </c>
      <c r="BV13" s="179">
        <f t="shared" si="32"/>
        <v>14600</v>
      </c>
      <c r="BW13" s="179">
        <f t="shared" si="32"/>
        <v>14600</v>
      </c>
    </row>
    <row r="14">
      <c r="A14" s="181"/>
      <c r="B14" s="182"/>
      <c r="C14" s="183"/>
      <c r="D14" s="183"/>
      <c r="E14" s="183"/>
      <c r="F14" s="183"/>
      <c r="G14" s="183"/>
      <c r="H14" s="184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4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4"/>
      <c r="BL14" s="183"/>
      <c r="BM14" s="183"/>
      <c r="BN14" s="183"/>
      <c r="BO14" s="183"/>
      <c r="BP14" s="183"/>
      <c r="BQ14" s="183"/>
      <c r="BR14" s="183"/>
      <c r="BS14" s="183"/>
      <c r="BT14" s="183"/>
      <c r="BU14" s="183"/>
      <c r="BV14" s="183"/>
      <c r="BW14" s="183"/>
    </row>
    <row r="15">
      <c r="A15" s="186" t="s">
        <v>207</v>
      </c>
      <c r="B15" s="187"/>
      <c r="C15" s="133"/>
      <c r="D15" s="133"/>
      <c r="E15" s="133"/>
      <c r="F15" s="133"/>
      <c r="G15" s="133"/>
      <c r="H15" s="134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4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4"/>
      <c r="BL15" s="133"/>
      <c r="BM15" s="133"/>
      <c r="BN15" s="133"/>
      <c r="BO15" s="133"/>
      <c r="BP15" s="133"/>
      <c r="BQ15" s="133"/>
      <c r="BR15" s="133"/>
      <c r="BS15" s="133"/>
      <c r="BT15" s="133"/>
      <c r="BU15" s="133"/>
      <c r="BV15" s="133"/>
      <c r="BW15" s="133"/>
    </row>
    <row r="16">
      <c r="A16" s="135" t="s">
        <v>208</v>
      </c>
      <c r="B16" s="136"/>
      <c r="C16" s="137"/>
      <c r="D16" s="137"/>
      <c r="E16" s="137"/>
      <c r="F16" s="137"/>
      <c r="G16" s="137"/>
      <c r="H16" s="137"/>
      <c r="I16" s="138"/>
      <c r="J16" s="138"/>
      <c r="K16" s="138"/>
      <c r="L16" s="138"/>
      <c r="M16" s="139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40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40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</row>
    <row r="17">
      <c r="A17" s="188" t="s">
        <v>209</v>
      </c>
      <c r="B17" s="144" t="s">
        <v>210</v>
      </c>
      <c r="C17" s="137">
        <v>1450.0</v>
      </c>
      <c r="D17" s="137">
        <v>1450.0</v>
      </c>
      <c r="E17" s="137">
        <v>1450.0</v>
      </c>
      <c r="F17" s="137">
        <v>1450.0</v>
      </c>
      <c r="G17" s="137">
        <v>1450.0</v>
      </c>
      <c r="H17" s="175">
        <f>1450+350</f>
        <v>1800</v>
      </c>
      <c r="I17" s="137">
        <f>1853+569</f>
        <v>2422</v>
      </c>
      <c r="J17" s="137">
        <v>0.0</v>
      </c>
      <c r="K17" s="137">
        <v>1000.0</v>
      </c>
      <c r="L17" s="137">
        <f>3383-1500</f>
        <v>1883</v>
      </c>
      <c r="M17" s="137">
        <f>1954</f>
        <v>1954</v>
      </c>
      <c r="N17" s="137">
        <v>1900.0</v>
      </c>
      <c r="O17" s="137">
        <v>1900.0</v>
      </c>
      <c r="P17" s="137">
        <v>1900.0</v>
      </c>
      <c r="Q17" s="137">
        <v>1900.0</v>
      </c>
      <c r="R17" s="137">
        <v>1921.0</v>
      </c>
      <c r="S17" s="137">
        <v>1921.0</v>
      </c>
      <c r="T17" s="189">
        <f>1921</f>
        <v>1921</v>
      </c>
      <c r="U17" s="190">
        <v>120.0</v>
      </c>
      <c r="V17" s="190">
        <f>120+700</f>
        <v>820</v>
      </c>
      <c r="W17" s="191">
        <f>sum(120+700)</f>
        <v>820</v>
      </c>
      <c r="X17" s="137">
        <f>sum(336,1740)</f>
        <v>2076</v>
      </c>
      <c r="Y17" s="137">
        <f>sum(1740)</f>
        <v>1740</v>
      </c>
      <c r="Z17" s="137">
        <v>1571.7</v>
      </c>
      <c r="AA17" s="137">
        <f t="shared" ref="AA17:AG17" si="33">sum(1740)</f>
        <v>1740</v>
      </c>
      <c r="AB17" s="137">
        <f t="shared" si="33"/>
        <v>1740</v>
      </c>
      <c r="AC17" s="137">
        <f t="shared" si="33"/>
        <v>1740</v>
      </c>
      <c r="AD17" s="137">
        <f t="shared" si="33"/>
        <v>1740</v>
      </c>
      <c r="AE17" s="137">
        <f t="shared" si="33"/>
        <v>1740</v>
      </c>
      <c r="AF17" s="137">
        <f t="shared" si="33"/>
        <v>1740</v>
      </c>
      <c r="AG17" s="137">
        <f t="shared" si="33"/>
        <v>1740</v>
      </c>
      <c r="AH17" s="175">
        <f>sum(4000,1700)</f>
        <v>5700</v>
      </c>
      <c r="AI17" s="137">
        <f>sum(2000)</f>
        <v>2000</v>
      </c>
      <c r="AJ17" s="137">
        <f t="shared" ref="AJ17:AT17" si="34">sum(2700)</f>
        <v>2700</v>
      </c>
      <c r="AK17" s="137">
        <f t="shared" si="34"/>
        <v>2700</v>
      </c>
      <c r="AL17" s="137">
        <f t="shared" si="34"/>
        <v>2700</v>
      </c>
      <c r="AM17" s="137">
        <f t="shared" si="34"/>
        <v>2700</v>
      </c>
      <c r="AN17" s="137">
        <f t="shared" si="34"/>
        <v>2700</v>
      </c>
      <c r="AO17" s="137">
        <f t="shared" si="34"/>
        <v>2700</v>
      </c>
      <c r="AP17" s="137">
        <f t="shared" si="34"/>
        <v>2700</v>
      </c>
      <c r="AQ17" s="137">
        <f t="shared" si="34"/>
        <v>2700</v>
      </c>
      <c r="AR17" s="137">
        <f t="shared" si="34"/>
        <v>2700</v>
      </c>
      <c r="AS17" s="137">
        <f t="shared" si="34"/>
        <v>2700</v>
      </c>
      <c r="AT17" s="137">
        <f t="shared" si="34"/>
        <v>2700</v>
      </c>
      <c r="AU17" s="137">
        <f t="shared" ref="AU17:AZ17" si="35">sum(2800)</f>
        <v>2800</v>
      </c>
      <c r="AV17" s="137">
        <f t="shared" si="35"/>
        <v>2800</v>
      </c>
      <c r="AW17" s="137">
        <f t="shared" si="35"/>
        <v>2800</v>
      </c>
      <c r="AX17" s="137">
        <f t="shared" si="35"/>
        <v>2800</v>
      </c>
      <c r="AY17" s="137">
        <f t="shared" si="35"/>
        <v>2800</v>
      </c>
      <c r="AZ17" s="137">
        <f t="shared" si="35"/>
        <v>2800</v>
      </c>
      <c r="BA17" s="137">
        <f t="shared" ref="BA17:BJ17" si="36">-sum(2800)</f>
        <v>-2800</v>
      </c>
      <c r="BB17" s="137">
        <f t="shared" si="36"/>
        <v>-2800</v>
      </c>
      <c r="BC17" s="137">
        <f t="shared" si="36"/>
        <v>-2800</v>
      </c>
      <c r="BD17" s="137">
        <f t="shared" si="36"/>
        <v>-2800</v>
      </c>
      <c r="BE17" s="137">
        <f t="shared" si="36"/>
        <v>-2800</v>
      </c>
      <c r="BF17" s="137">
        <f t="shared" si="36"/>
        <v>-2800</v>
      </c>
      <c r="BG17" s="137">
        <f t="shared" si="36"/>
        <v>-2800</v>
      </c>
      <c r="BH17" s="137">
        <f t="shared" si="36"/>
        <v>-2800</v>
      </c>
      <c r="BI17" s="137">
        <f t="shared" si="36"/>
        <v>-2800</v>
      </c>
      <c r="BJ17" s="137">
        <f t="shared" si="36"/>
        <v>-2800</v>
      </c>
      <c r="BK17" s="175"/>
      <c r="BL17" s="137">
        <f t="shared" ref="BL17:BW17" si="37">-sum(2800)</f>
        <v>-2800</v>
      </c>
      <c r="BM17" s="137">
        <f t="shared" si="37"/>
        <v>-2800</v>
      </c>
      <c r="BN17" s="137">
        <f t="shared" si="37"/>
        <v>-2800</v>
      </c>
      <c r="BO17" s="137">
        <f t="shared" si="37"/>
        <v>-2800</v>
      </c>
      <c r="BP17" s="137">
        <f t="shared" si="37"/>
        <v>-2800</v>
      </c>
      <c r="BQ17" s="137">
        <f t="shared" si="37"/>
        <v>-2800</v>
      </c>
      <c r="BR17" s="137">
        <f t="shared" si="37"/>
        <v>-2800</v>
      </c>
      <c r="BS17" s="137">
        <f t="shared" si="37"/>
        <v>-2800</v>
      </c>
      <c r="BT17" s="137">
        <f t="shared" si="37"/>
        <v>-2800</v>
      </c>
      <c r="BU17" s="137">
        <f t="shared" si="37"/>
        <v>-2800</v>
      </c>
      <c r="BV17" s="137">
        <f t="shared" si="37"/>
        <v>-2800</v>
      </c>
      <c r="BW17" s="137">
        <f t="shared" si="37"/>
        <v>-2800</v>
      </c>
    </row>
    <row r="18">
      <c r="A18" s="149"/>
      <c r="B18" s="144" t="s">
        <v>568</v>
      </c>
      <c r="C18" s="145">
        <v>9.0</v>
      </c>
      <c r="D18" s="145">
        <v>9.0</v>
      </c>
      <c r="E18" s="145">
        <v>9.0</v>
      </c>
      <c r="F18" s="145">
        <v>9.0</v>
      </c>
      <c r="G18" s="145">
        <v>9.0</v>
      </c>
      <c r="H18" s="146">
        <v>9.0</v>
      </c>
      <c r="I18" s="145">
        <v>9.0</v>
      </c>
      <c r="J18" s="145">
        <f t="shared" ref="J18:L18" si="38">18.42/2</f>
        <v>9.21</v>
      </c>
      <c r="K18" s="145">
        <f t="shared" si="38"/>
        <v>9.21</v>
      </c>
      <c r="L18" s="145">
        <f t="shared" si="38"/>
        <v>9.21</v>
      </c>
      <c r="M18" s="145">
        <v>11.0</v>
      </c>
      <c r="N18" s="145">
        <f t="shared" ref="N18:T18" si="39">18.42/2</f>
        <v>9.21</v>
      </c>
      <c r="O18" s="145">
        <f t="shared" si="39"/>
        <v>9.21</v>
      </c>
      <c r="P18" s="145">
        <f t="shared" si="39"/>
        <v>9.21</v>
      </c>
      <c r="Q18" s="145">
        <f t="shared" si="39"/>
        <v>9.21</v>
      </c>
      <c r="R18" s="145">
        <f t="shared" si="39"/>
        <v>9.21</v>
      </c>
      <c r="S18" s="145">
        <f t="shared" si="39"/>
        <v>9.21</v>
      </c>
      <c r="T18" s="145">
        <f t="shared" si="39"/>
        <v>9.21</v>
      </c>
      <c r="U18" s="695">
        <v>0.0</v>
      </c>
      <c r="V18" s="695">
        <v>0.0</v>
      </c>
      <c r="W18" s="145">
        <v>0.0</v>
      </c>
      <c r="X18" s="145">
        <v>0.0</v>
      </c>
      <c r="Y18" s="145">
        <v>0.0</v>
      </c>
      <c r="Z18" s="145">
        <v>0.0</v>
      </c>
      <c r="AA18" s="145">
        <v>9.0</v>
      </c>
      <c r="AB18" s="145">
        <v>9.0</v>
      </c>
      <c r="AC18" s="145">
        <v>0.0</v>
      </c>
      <c r="AD18" s="145">
        <v>0.0</v>
      </c>
      <c r="AE18" s="145">
        <v>0.0</v>
      </c>
      <c r="AF18" s="145">
        <v>0.0</v>
      </c>
      <c r="AG18" s="145">
        <v>0.0</v>
      </c>
      <c r="AH18" s="146">
        <v>0.0</v>
      </c>
      <c r="AI18" s="145">
        <v>0.0</v>
      </c>
      <c r="AJ18" s="145">
        <v>0.0</v>
      </c>
      <c r="AK18" s="145">
        <v>0.0</v>
      </c>
      <c r="AL18" s="145">
        <v>0.0</v>
      </c>
      <c r="AM18" s="145">
        <v>0.0</v>
      </c>
      <c r="AN18" s="145">
        <v>0.0</v>
      </c>
      <c r="AO18" s="145">
        <v>0.0</v>
      </c>
      <c r="AP18" s="145">
        <v>0.0</v>
      </c>
      <c r="AQ18" s="145">
        <v>0.0</v>
      </c>
      <c r="AR18" s="145">
        <v>0.0</v>
      </c>
      <c r="AS18" s="145">
        <v>0.0</v>
      </c>
      <c r="AT18" s="145">
        <v>0.0</v>
      </c>
      <c r="AU18" s="145">
        <v>0.0</v>
      </c>
      <c r="AV18" s="145">
        <v>0.0</v>
      </c>
      <c r="AW18" s="145">
        <v>0.0</v>
      </c>
      <c r="AX18" s="145">
        <v>0.0</v>
      </c>
      <c r="AY18" s="145">
        <v>0.0</v>
      </c>
      <c r="AZ18" s="145">
        <v>0.0</v>
      </c>
      <c r="BA18" s="145">
        <v>0.0</v>
      </c>
      <c r="BB18" s="145">
        <v>0.0</v>
      </c>
      <c r="BC18" s="145">
        <v>0.0</v>
      </c>
      <c r="BD18" s="145">
        <v>0.0</v>
      </c>
      <c r="BE18" s="145">
        <v>0.0</v>
      </c>
      <c r="BF18" s="145">
        <v>0.0</v>
      </c>
      <c r="BG18" s="145">
        <v>0.0</v>
      </c>
      <c r="BH18" s="145">
        <v>0.0</v>
      </c>
      <c r="BI18" s="145">
        <v>0.0</v>
      </c>
      <c r="BJ18" s="145">
        <v>0.0</v>
      </c>
      <c r="BK18" s="146"/>
      <c r="BL18" s="145">
        <v>0.0</v>
      </c>
      <c r="BM18" s="145">
        <v>0.0</v>
      </c>
      <c r="BN18" s="145">
        <v>0.0</v>
      </c>
      <c r="BO18" s="145">
        <v>0.0</v>
      </c>
      <c r="BP18" s="145">
        <v>0.0</v>
      </c>
      <c r="BQ18" s="145">
        <v>0.0</v>
      </c>
      <c r="BR18" s="145">
        <v>0.0</v>
      </c>
      <c r="BS18" s="145">
        <v>0.0</v>
      </c>
      <c r="BT18" s="145">
        <v>0.0</v>
      </c>
      <c r="BU18" s="145">
        <v>0.0</v>
      </c>
      <c r="BV18" s="145">
        <v>0.0</v>
      </c>
      <c r="BW18" s="145">
        <v>0.0</v>
      </c>
    </row>
    <row r="19">
      <c r="A19" s="149"/>
      <c r="B19" s="144" t="s">
        <v>211</v>
      </c>
      <c r="C19" s="137"/>
      <c r="D19" s="137"/>
      <c r="E19" s="137"/>
      <c r="F19" s="137"/>
      <c r="G19" s="137"/>
      <c r="H19" s="175"/>
      <c r="I19" s="137">
        <v>100.0</v>
      </c>
      <c r="J19" s="137">
        <v>35.0</v>
      </c>
      <c r="K19" s="137">
        <v>90.0</v>
      </c>
      <c r="L19" s="137">
        <f>90</f>
        <v>90</v>
      </c>
      <c r="M19" s="137">
        <v>20.0</v>
      </c>
      <c r="N19" s="137">
        <v>90.0</v>
      </c>
      <c r="O19" s="137">
        <v>90.0</v>
      </c>
      <c r="P19" s="137">
        <v>90.0</v>
      </c>
      <c r="Q19" s="137">
        <v>90.0</v>
      </c>
      <c r="R19" s="137">
        <v>90.0</v>
      </c>
      <c r="S19" s="137">
        <v>90.0</v>
      </c>
      <c r="T19" s="137">
        <v>90.0</v>
      </c>
      <c r="U19" s="191">
        <v>0.0</v>
      </c>
      <c r="V19" s="191">
        <v>0.0</v>
      </c>
      <c r="W19" s="145">
        <v>0.0</v>
      </c>
      <c r="X19" s="145">
        <v>0.0</v>
      </c>
      <c r="Y19" s="137">
        <v>90.0</v>
      </c>
      <c r="Z19" s="137">
        <v>90.0</v>
      </c>
      <c r="AA19" s="137">
        <v>90.0</v>
      </c>
      <c r="AB19" s="137">
        <v>90.0</v>
      </c>
      <c r="AC19" s="137">
        <v>90.0</v>
      </c>
      <c r="AD19" s="137">
        <v>90.0</v>
      </c>
      <c r="AE19" s="137">
        <v>90.0</v>
      </c>
      <c r="AF19" s="137">
        <v>90.0</v>
      </c>
      <c r="AG19" s="137">
        <v>90.0</v>
      </c>
      <c r="AH19" s="175">
        <v>90.0</v>
      </c>
      <c r="AI19" s="137">
        <v>90.0</v>
      </c>
      <c r="AJ19" s="137">
        <v>90.0</v>
      </c>
      <c r="AK19" s="137">
        <v>90.0</v>
      </c>
      <c r="AL19" s="137">
        <v>90.0</v>
      </c>
      <c r="AM19" s="137">
        <v>90.0</v>
      </c>
      <c r="AN19" s="137">
        <v>90.0</v>
      </c>
      <c r="AO19" s="137">
        <v>90.0</v>
      </c>
      <c r="AP19" s="137">
        <v>90.0</v>
      </c>
      <c r="AQ19" s="137">
        <v>90.0</v>
      </c>
      <c r="AR19" s="137">
        <v>90.0</v>
      </c>
      <c r="AS19" s="137">
        <v>90.0</v>
      </c>
      <c r="AT19" s="137">
        <v>90.0</v>
      </c>
      <c r="AU19" s="137">
        <v>90.0</v>
      </c>
      <c r="AV19" s="137">
        <v>90.0</v>
      </c>
      <c r="AW19" s="137">
        <v>90.0</v>
      </c>
      <c r="AX19" s="137">
        <v>90.0</v>
      </c>
      <c r="AY19" s="137">
        <v>90.0</v>
      </c>
      <c r="AZ19" s="137">
        <v>90.0</v>
      </c>
      <c r="BA19" s="137">
        <v>-90.0</v>
      </c>
      <c r="BB19" s="137">
        <v>-90.0</v>
      </c>
      <c r="BC19" s="137">
        <v>-90.0</v>
      </c>
      <c r="BD19" s="137">
        <v>-90.0</v>
      </c>
      <c r="BE19" s="137">
        <v>-90.0</v>
      </c>
      <c r="BF19" s="137">
        <v>-90.0</v>
      </c>
      <c r="BG19" s="137">
        <v>-90.0</v>
      </c>
      <c r="BH19" s="137">
        <v>-90.0</v>
      </c>
      <c r="BI19" s="137">
        <v>-90.0</v>
      </c>
      <c r="BJ19" s="137">
        <v>-90.0</v>
      </c>
      <c r="BK19" s="175"/>
      <c r="BL19" s="137">
        <v>-90.0</v>
      </c>
      <c r="BM19" s="137">
        <v>-90.0</v>
      </c>
      <c r="BN19" s="137">
        <v>-90.0</v>
      </c>
      <c r="BO19" s="137">
        <v>-90.0</v>
      </c>
      <c r="BP19" s="137">
        <v>-90.0</v>
      </c>
      <c r="BQ19" s="137">
        <v>-90.0</v>
      </c>
      <c r="BR19" s="137">
        <v>-90.0</v>
      </c>
      <c r="BS19" s="137">
        <v>-90.0</v>
      </c>
      <c r="BT19" s="137">
        <v>-90.0</v>
      </c>
      <c r="BU19" s="137">
        <v>-90.0</v>
      </c>
      <c r="BV19" s="137">
        <v>-90.0</v>
      </c>
      <c r="BW19" s="137">
        <v>-90.0</v>
      </c>
    </row>
    <row r="20">
      <c r="A20" s="149"/>
      <c r="B20" s="144" t="s">
        <v>212</v>
      </c>
      <c r="C20" s="145">
        <f t="shared" ref="C20:T20" si="40">62.95/2</f>
        <v>31.475</v>
      </c>
      <c r="D20" s="145">
        <f t="shared" si="40"/>
        <v>31.475</v>
      </c>
      <c r="E20" s="145">
        <f t="shared" si="40"/>
        <v>31.475</v>
      </c>
      <c r="F20" s="145">
        <f t="shared" si="40"/>
        <v>31.475</v>
      </c>
      <c r="G20" s="145">
        <f t="shared" si="40"/>
        <v>31.475</v>
      </c>
      <c r="H20" s="146">
        <f t="shared" si="40"/>
        <v>31.475</v>
      </c>
      <c r="I20" s="145">
        <f t="shared" si="40"/>
        <v>31.475</v>
      </c>
      <c r="J20" s="145">
        <f t="shared" si="40"/>
        <v>31.475</v>
      </c>
      <c r="K20" s="145">
        <f t="shared" si="40"/>
        <v>31.475</v>
      </c>
      <c r="L20" s="145">
        <f t="shared" si="40"/>
        <v>31.475</v>
      </c>
      <c r="M20" s="145">
        <f t="shared" si="40"/>
        <v>31.475</v>
      </c>
      <c r="N20" s="145">
        <f t="shared" si="40"/>
        <v>31.475</v>
      </c>
      <c r="O20" s="145">
        <f t="shared" si="40"/>
        <v>31.475</v>
      </c>
      <c r="P20" s="145">
        <f t="shared" si="40"/>
        <v>31.475</v>
      </c>
      <c r="Q20" s="145">
        <f t="shared" si="40"/>
        <v>31.475</v>
      </c>
      <c r="R20" s="145">
        <f t="shared" si="40"/>
        <v>31.475</v>
      </c>
      <c r="S20" s="145">
        <f t="shared" si="40"/>
        <v>31.475</v>
      </c>
      <c r="T20" s="145">
        <f t="shared" si="40"/>
        <v>31.475</v>
      </c>
      <c r="U20" s="145">
        <v>0.0</v>
      </c>
      <c r="V20" s="145">
        <v>0.0</v>
      </c>
      <c r="W20" s="145">
        <v>0.0</v>
      </c>
      <c r="X20" s="145">
        <v>0.0</v>
      </c>
      <c r="Y20" s="145">
        <f>62.95/2</f>
        <v>31.475</v>
      </c>
      <c r="Z20" s="145">
        <f>91/2</f>
        <v>45.5</v>
      </c>
      <c r="AA20" s="145">
        <f t="shared" ref="AA20:AG20" si="41">62.95/2</f>
        <v>31.475</v>
      </c>
      <c r="AB20" s="145">
        <f t="shared" si="41"/>
        <v>31.475</v>
      </c>
      <c r="AC20" s="145">
        <f t="shared" si="41"/>
        <v>31.475</v>
      </c>
      <c r="AD20" s="145">
        <f t="shared" si="41"/>
        <v>31.475</v>
      </c>
      <c r="AE20" s="145">
        <f t="shared" si="41"/>
        <v>31.475</v>
      </c>
      <c r="AF20" s="145">
        <f t="shared" si="41"/>
        <v>31.475</v>
      </c>
      <c r="AG20" s="145">
        <f t="shared" si="41"/>
        <v>31.475</v>
      </c>
      <c r="AH20" s="146">
        <f>0</f>
        <v>0</v>
      </c>
      <c r="AI20" s="145">
        <f t="shared" ref="AI20:AZ20" si="42">100/2</f>
        <v>50</v>
      </c>
      <c r="AJ20" s="145">
        <f t="shared" si="42"/>
        <v>50</v>
      </c>
      <c r="AK20" s="145">
        <f t="shared" si="42"/>
        <v>50</v>
      </c>
      <c r="AL20" s="145">
        <f t="shared" si="42"/>
        <v>50</v>
      </c>
      <c r="AM20" s="145">
        <f t="shared" si="42"/>
        <v>50</v>
      </c>
      <c r="AN20" s="145">
        <f t="shared" si="42"/>
        <v>50</v>
      </c>
      <c r="AO20" s="145">
        <f t="shared" si="42"/>
        <v>50</v>
      </c>
      <c r="AP20" s="145">
        <f t="shared" si="42"/>
        <v>50</v>
      </c>
      <c r="AQ20" s="145">
        <f t="shared" si="42"/>
        <v>50</v>
      </c>
      <c r="AR20" s="145">
        <f t="shared" si="42"/>
        <v>50</v>
      </c>
      <c r="AS20" s="145">
        <f t="shared" si="42"/>
        <v>50</v>
      </c>
      <c r="AT20" s="145">
        <f t="shared" si="42"/>
        <v>50</v>
      </c>
      <c r="AU20" s="145">
        <f t="shared" si="42"/>
        <v>50</v>
      </c>
      <c r="AV20" s="145">
        <f t="shared" si="42"/>
        <v>50</v>
      </c>
      <c r="AW20" s="145">
        <f t="shared" si="42"/>
        <v>50</v>
      </c>
      <c r="AX20" s="145">
        <f t="shared" si="42"/>
        <v>50</v>
      </c>
      <c r="AY20" s="145">
        <f t="shared" si="42"/>
        <v>50</v>
      </c>
      <c r="AZ20" s="145">
        <f t="shared" si="42"/>
        <v>50</v>
      </c>
      <c r="BA20" s="145">
        <f t="shared" ref="BA20:BJ20" si="43">-100/2</f>
        <v>-50</v>
      </c>
      <c r="BB20" s="145">
        <f t="shared" si="43"/>
        <v>-50</v>
      </c>
      <c r="BC20" s="145">
        <f t="shared" si="43"/>
        <v>-50</v>
      </c>
      <c r="BD20" s="145">
        <f t="shared" si="43"/>
        <v>-50</v>
      </c>
      <c r="BE20" s="145">
        <f t="shared" si="43"/>
        <v>-50</v>
      </c>
      <c r="BF20" s="145">
        <f t="shared" si="43"/>
        <v>-50</v>
      </c>
      <c r="BG20" s="145">
        <f t="shared" si="43"/>
        <v>-50</v>
      </c>
      <c r="BH20" s="145">
        <f t="shared" si="43"/>
        <v>-50</v>
      </c>
      <c r="BI20" s="145">
        <f t="shared" si="43"/>
        <v>-50</v>
      </c>
      <c r="BJ20" s="145">
        <f t="shared" si="43"/>
        <v>-50</v>
      </c>
      <c r="BK20" s="146"/>
      <c r="BL20" s="145">
        <f t="shared" ref="BL20:BW20" si="44">-100/2</f>
        <v>-50</v>
      </c>
      <c r="BM20" s="145">
        <f t="shared" si="44"/>
        <v>-50</v>
      </c>
      <c r="BN20" s="145">
        <f t="shared" si="44"/>
        <v>-50</v>
      </c>
      <c r="BO20" s="145">
        <f t="shared" si="44"/>
        <v>-50</v>
      </c>
      <c r="BP20" s="145">
        <f t="shared" si="44"/>
        <v>-50</v>
      </c>
      <c r="BQ20" s="145">
        <f t="shared" si="44"/>
        <v>-50</v>
      </c>
      <c r="BR20" s="145">
        <f t="shared" si="44"/>
        <v>-50</v>
      </c>
      <c r="BS20" s="145">
        <f t="shared" si="44"/>
        <v>-50</v>
      </c>
      <c r="BT20" s="145">
        <f t="shared" si="44"/>
        <v>-50</v>
      </c>
      <c r="BU20" s="145">
        <f t="shared" si="44"/>
        <v>-50</v>
      </c>
      <c r="BV20" s="145">
        <f t="shared" si="44"/>
        <v>-50</v>
      </c>
      <c r="BW20" s="145">
        <f t="shared" si="44"/>
        <v>-50</v>
      </c>
    </row>
    <row r="21">
      <c r="A21" s="149"/>
      <c r="B21" s="144" t="s">
        <v>22</v>
      </c>
      <c r="C21" s="137"/>
      <c r="D21" s="137"/>
      <c r="E21" s="137"/>
      <c r="F21" s="137"/>
      <c r="G21" s="137"/>
      <c r="H21" s="175"/>
      <c r="I21" s="137">
        <v>400.0</v>
      </c>
      <c r="J21" s="137">
        <f>75*4</f>
        <v>300</v>
      </c>
      <c r="K21" s="137">
        <f>50*4</f>
        <v>200</v>
      </c>
      <c r="L21" s="137">
        <f t="shared" ref="L21:O21" si="45">55*4</f>
        <v>220</v>
      </c>
      <c r="M21" s="137">
        <f t="shared" si="45"/>
        <v>220</v>
      </c>
      <c r="N21" s="137">
        <f t="shared" si="45"/>
        <v>220</v>
      </c>
      <c r="O21" s="137">
        <f t="shared" si="45"/>
        <v>220</v>
      </c>
      <c r="P21" s="137">
        <f>60*4</f>
        <v>240</v>
      </c>
      <c r="Q21" s="137">
        <f>200+150+250</f>
        <v>600</v>
      </c>
      <c r="R21" s="137">
        <f>195+200+150</f>
        <v>545</v>
      </c>
      <c r="S21" s="137">
        <f>100*4</f>
        <v>400</v>
      </c>
      <c r="T21" s="137">
        <f t="shared" ref="T21:AJ21" si="46">60*4</f>
        <v>240</v>
      </c>
      <c r="U21" s="137">
        <f t="shared" si="46"/>
        <v>240</v>
      </c>
      <c r="V21" s="137">
        <f t="shared" si="46"/>
        <v>240</v>
      </c>
      <c r="W21" s="137">
        <f t="shared" si="46"/>
        <v>240</v>
      </c>
      <c r="X21" s="137">
        <f t="shared" si="46"/>
        <v>240</v>
      </c>
      <c r="Y21" s="137">
        <f t="shared" si="46"/>
        <v>240</v>
      </c>
      <c r="Z21" s="137">
        <f t="shared" si="46"/>
        <v>240</v>
      </c>
      <c r="AA21" s="137">
        <f t="shared" si="46"/>
        <v>240</v>
      </c>
      <c r="AB21" s="137">
        <f t="shared" si="46"/>
        <v>240</v>
      </c>
      <c r="AC21" s="137">
        <f t="shared" si="46"/>
        <v>240</v>
      </c>
      <c r="AD21" s="137">
        <f t="shared" si="46"/>
        <v>240</v>
      </c>
      <c r="AE21" s="137">
        <f t="shared" si="46"/>
        <v>240</v>
      </c>
      <c r="AF21" s="137">
        <f t="shared" si="46"/>
        <v>240</v>
      </c>
      <c r="AG21" s="137">
        <f t="shared" si="46"/>
        <v>240</v>
      </c>
      <c r="AH21" s="175">
        <f t="shared" si="46"/>
        <v>240</v>
      </c>
      <c r="AI21" s="137">
        <f t="shared" si="46"/>
        <v>240</v>
      </c>
      <c r="AJ21" s="137">
        <f t="shared" si="46"/>
        <v>240</v>
      </c>
      <c r="AK21" s="137">
        <f t="shared" ref="AK21:AZ21" si="47">100*4</f>
        <v>400</v>
      </c>
      <c r="AL21" s="137">
        <f t="shared" si="47"/>
        <v>400</v>
      </c>
      <c r="AM21" s="137">
        <f t="shared" si="47"/>
        <v>400</v>
      </c>
      <c r="AN21" s="137">
        <f t="shared" si="47"/>
        <v>400</v>
      </c>
      <c r="AO21" s="137">
        <f t="shared" si="47"/>
        <v>400</v>
      </c>
      <c r="AP21" s="137">
        <f t="shared" si="47"/>
        <v>400</v>
      </c>
      <c r="AQ21" s="137">
        <f t="shared" si="47"/>
        <v>400</v>
      </c>
      <c r="AR21" s="137">
        <f t="shared" si="47"/>
        <v>400</v>
      </c>
      <c r="AS21" s="137">
        <f t="shared" si="47"/>
        <v>400</v>
      </c>
      <c r="AT21" s="137">
        <f t="shared" si="47"/>
        <v>400</v>
      </c>
      <c r="AU21" s="137">
        <f t="shared" si="47"/>
        <v>400</v>
      </c>
      <c r="AV21" s="137">
        <f t="shared" si="47"/>
        <v>400</v>
      </c>
      <c r="AW21" s="137">
        <f t="shared" si="47"/>
        <v>400</v>
      </c>
      <c r="AX21" s="137">
        <f t="shared" si="47"/>
        <v>400</v>
      </c>
      <c r="AY21" s="137">
        <f t="shared" si="47"/>
        <v>400</v>
      </c>
      <c r="AZ21" s="137">
        <f t="shared" si="47"/>
        <v>400</v>
      </c>
      <c r="BA21" s="137">
        <f t="shared" ref="BA21:BJ21" si="48">-100*4</f>
        <v>-400</v>
      </c>
      <c r="BB21" s="137">
        <f t="shared" si="48"/>
        <v>-400</v>
      </c>
      <c r="BC21" s="137">
        <f t="shared" si="48"/>
        <v>-400</v>
      </c>
      <c r="BD21" s="137">
        <f t="shared" si="48"/>
        <v>-400</v>
      </c>
      <c r="BE21" s="137">
        <f t="shared" si="48"/>
        <v>-400</v>
      </c>
      <c r="BF21" s="137">
        <f t="shared" si="48"/>
        <v>-400</v>
      </c>
      <c r="BG21" s="137">
        <f t="shared" si="48"/>
        <v>-400</v>
      </c>
      <c r="BH21" s="137">
        <f t="shared" si="48"/>
        <v>-400</v>
      </c>
      <c r="BI21" s="137">
        <f t="shared" si="48"/>
        <v>-400</v>
      </c>
      <c r="BJ21" s="137">
        <f t="shared" si="48"/>
        <v>-400</v>
      </c>
      <c r="BK21" s="175"/>
      <c r="BL21" s="137">
        <f t="shared" ref="BL21:BW21" si="49">-100*4</f>
        <v>-400</v>
      </c>
      <c r="BM21" s="137">
        <f t="shared" si="49"/>
        <v>-400</v>
      </c>
      <c r="BN21" s="137">
        <f t="shared" si="49"/>
        <v>-400</v>
      </c>
      <c r="BO21" s="137">
        <f t="shared" si="49"/>
        <v>-400</v>
      </c>
      <c r="BP21" s="137">
        <f t="shared" si="49"/>
        <v>-400</v>
      </c>
      <c r="BQ21" s="137">
        <f t="shared" si="49"/>
        <v>-400</v>
      </c>
      <c r="BR21" s="137">
        <f t="shared" si="49"/>
        <v>-400</v>
      </c>
      <c r="BS21" s="137">
        <f t="shared" si="49"/>
        <v>-400</v>
      </c>
      <c r="BT21" s="137">
        <f t="shared" si="49"/>
        <v>-400</v>
      </c>
      <c r="BU21" s="137">
        <f t="shared" si="49"/>
        <v>-400</v>
      </c>
      <c r="BV21" s="137">
        <f t="shared" si="49"/>
        <v>-400</v>
      </c>
      <c r="BW21" s="137">
        <f t="shared" si="49"/>
        <v>-400</v>
      </c>
    </row>
    <row r="22">
      <c r="A22" s="188" t="s">
        <v>213</v>
      </c>
      <c r="B22" s="144" t="s">
        <v>214</v>
      </c>
      <c r="C22" s="145"/>
      <c r="D22" s="145"/>
      <c r="E22" s="145">
        <v>100.0</v>
      </c>
      <c r="F22" s="145">
        <v>128.79</v>
      </c>
      <c r="G22" s="145">
        <v>120.0</v>
      </c>
      <c r="H22" s="146">
        <f>120+500</f>
        <v>620</v>
      </c>
      <c r="I22" s="145">
        <v>120.64</v>
      </c>
      <c r="J22" s="145">
        <v>120.64</v>
      </c>
      <c r="K22" s="145">
        <v>120.64</v>
      </c>
      <c r="L22" s="145">
        <v>150.0</v>
      </c>
      <c r="M22" s="145">
        <v>120.64</v>
      </c>
      <c r="N22" s="145">
        <v>120.64</v>
      </c>
      <c r="O22" s="145">
        <v>120.0</v>
      </c>
      <c r="P22" s="145">
        <v>120.0</v>
      </c>
      <c r="Q22" s="145">
        <v>120.0</v>
      </c>
      <c r="R22" s="145">
        <v>120.0</v>
      </c>
      <c r="S22" s="145">
        <v>120.0</v>
      </c>
      <c r="T22" s="145">
        <v>120.0</v>
      </c>
      <c r="U22" s="145">
        <v>120.0</v>
      </c>
      <c r="V22" s="145">
        <v>120.0</v>
      </c>
      <c r="W22" s="145">
        <v>120.0</v>
      </c>
      <c r="X22" s="145">
        <v>120.0</v>
      </c>
      <c r="Y22" s="145">
        <v>150.0</v>
      </c>
      <c r="Z22" s="145">
        <v>185.09</v>
      </c>
      <c r="AA22" s="145">
        <v>185.09</v>
      </c>
      <c r="AB22" s="145">
        <v>185.09</v>
      </c>
      <c r="AC22" s="145">
        <v>185.09</v>
      </c>
      <c r="AD22" s="145">
        <v>185.09</v>
      </c>
      <c r="AE22" s="145">
        <v>185.09</v>
      </c>
      <c r="AF22" s="145">
        <v>185.09</v>
      </c>
      <c r="AG22" s="145">
        <v>185.09</v>
      </c>
      <c r="AH22" s="146">
        <v>185.09</v>
      </c>
      <c r="AI22" s="145">
        <v>185.09</v>
      </c>
      <c r="AJ22" s="145">
        <v>185.09</v>
      </c>
      <c r="AK22" s="145">
        <v>0.0</v>
      </c>
      <c r="AL22" s="145">
        <v>0.0</v>
      </c>
      <c r="AM22" s="145">
        <v>0.0</v>
      </c>
      <c r="AN22" s="145">
        <v>0.0</v>
      </c>
      <c r="AO22" s="145">
        <v>0.0</v>
      </c>
      <c r="AP22" s="145">
        <v>0.0</v>
      </c>
      <c r="AQ22" s="145">
        <v>0.0</v>
      </c>
      <c r="AR22" s="145">
        <v>0.0</v>
      </c>
      <c r="AS22" s="145">
        <v>0.0</v>
      </c>
      <c r="AT22" s="145">
        <v>0.0</v>
      </c>
      <c r="AU22" s="145">
        <v>0.0</v>
      </c>
      <c r="AV22" s="145">
        <v>0.0</v>
      </c>
      <c r="AW22" s="145">
        <v>150.0</v>
      </c>
      <c r="AX22" s="145">
        <v>150.0</v>
      </c>
      <c r="AY22" s="145">
        <v>150.0</v>
      </c>
      <c r="AZ22" s="145">
        <v>150.0</v>
      </c>
      <c r="BA22" s="145">
        <v>-150.0</v>
      </c>
      <c r="BB22" s="145">
        <v>-150.0</v>
      </c>
      <c r="BC22" s="145">
        <v>-150.0</v>
      </c>
      <c r="BD22" s="145">
        <v>-150.0</v>
      </c>
      <c r="BE22" s="145">
        <v>-150.0</v>
      </c>
      <c r="BF22" s="145">
        <v>-150.0</v>
      </c>
      <c r="BG22" s="145">
        <v>-150.0</v>
      </c>
      <c r="BH22" s="145">
        <v>-150.0</v>
      </c>
      <c r="BI22" s="145">
        <v>-150.0</v>
      </c>
      <c r="BJ22" s="145">
        <v>-150.0</v>
      </c>
      <c r="BK22" s="146"/>
      <c r="BL22" s="145">
        <v>-150.0</v>
      </c>
      <c r="BM22" s="145">
        <v>-150.0</v>
      </c>
      <c r="BN22" s="145">
        <v>-150.0</v>
      </c>
      <c r="BO22" s="145">
        <v>-150.0</v>
      </c>
      <c r="BP22" s="145">
        <v>-150.0</v>
      </c>
      <c r="BQ22" s="145">
        <v>-150.0</v>
      </c>
      <c r="BR22" s="145">
        <v>-150.0</v>
      </c>
      <c r="BS22" s="145">
        <v>-150.0</v>
      </c>
      <c r="BT22" s="145">
        <v>-150.0</v>
      </c>
      <c r="BU22" s="145">
        <v>-150.0</v>
      </c>
      <c r="BV22" s="145">
        <v>-150.0</v>
      </c>
      <c r="BW22" s="145">
        <v>-150.0</v>
      </c>
    </row>
    <row r="23">
      <c r="A23" s="188" t="s">
        <v>215</v>
      </c>
      <c r="B23" s="144" t="s">
        <v>215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>
        <v>0.0</v>
      </c>
      <c r="O23" s="137">
        <v>0.0</v>
      </c>
      <c r="P23" s="137">
        <v>0.0</v>
      </c>
      <c r="Q23" s="137">
        <v>0.0</v>
      </c>
      <c r="R23" s="137">
        <v>0.0</v>
      </c>
      <c r="S23" s="189">
        <v>0.0</v>
      </c>
      <c r="T23" s="193">
        <v>200.0</v>
      </c>
      <c r="U23" s="189">
        <v>0.0</v>
      </c>
      <c r="V23" s="137">
        <f>sum(116,60,300,300)</f>
        <v>776</v>
      </c>
      <c r="W23" s="137">
        <f>sum(343,60,75)</f>
        <v>478</v>
      </c>
      <c r="X23" s="137">
        <f>sum(343,180,150)</f>
        <v>673</v>
      </c>
      <c r="Y23" s="137">
        <f t="shared" ref="Y23:AH23" si="50">sum(343,180,100)</f>
        <v>623</v>
      </c>
      <c r="Z23" s="137">
        <f t="shared" si="50"/>
        <v>623</v>
      </c>
      <c r="AA23" s="137">
        <f t="shared" si="50"/>
        <v>623</v>
      </c>
      <c r="AB23" s="137">
        <f t="shared" si="50"/>
        <v>623</v>
      </c>
      <c r="AC23" s="137">
        <f t="shared" si="50"/>
        <v>623</v>
      </c>
      <c r="AD23" s="137">
        <f t="shared" si="50"/>
        <v>623</v>
      </c>
      <c r="AE23" s="137">
        <f t="shared" si="50"/>
        <v>623</v>
      </c>
      <c r="AF23" s="194">
        <f t="shared" si="50"/>
        <v>623</v>
      </c>
      <c r="AG23" s="194">
        <f t="shared" si="50"/>
        <v>623</v>
      </c>
      <c r="AH23" s="195">
        <f t="shared" si="50"/>
        <v>623</v>
      </c>
      <c r="AI23" s="137">
        <v>400.0</v>
      </c>
      <c r="AJ23" s="137">
        <v>0.0</v>
      </c>
      <c r="AK23" s="137">
        <v>0.0</v>
      </c>
      <c r="AL23" s="137">
        <v>175.0</v>
      </c>
      <c r="AM23" s="137">
        <v>0.0</v>
      </c>
      <c r="AN23" s="137">
        <v>0.0</v>
      </c>
      <c r="AO23" s="137">
        <v>0.0</v>
      </c>
      <c r="AP23" s="137">
        <v>0.0</v>
      </c>
      <c r="AQ23" s="137">
        <v>0.0</v>
      </c>
      <c r="AR23" s="137">
        <v>0.0</v>
      </c>
      <c r="AS23" s="137">
        <v>0.0</v>
      </c>
      <c r="AT23" s="137">
        <v>0.0</v>
      </c>
      <c r="AU23" s="137">
        <v>0.0</v>
      </c>
      <c r="AV23" s="137">
        <v>0.0</v>
      </c>
      <c r="AW23" s="137">
        <v>0.0</v>
      </c>
      <c r="AX23" s="137">
        <v>0.0</v>
      </c>
      <c r="AY23" s="137">
        <v>0.0</v>
      </c>
      <c r="AZ23" s="137">
        <v>0.0</v>
      </c>
      <c r="BA23" s="137">
        <v>0.0</v>
      </c>
      <c r="BB23" s="137">
        <v>0.0</v>
      </c>
      <c r="BC23" s="137">
        <v>0.0</v>
      </c>
      <c r="BD23" s="137">
        <v>0.0</v>
      </c>
      <c r="BE23" s="137">
        <v>0.0</v>
      </c>
      <c r="BF23" s="137">
        <v>0.0</v>
      </c>
      <c r="BG23" s="137">
        <v>0.0</v>
      </c>
      <c r="BH23" s="137">
        <v>0.0</v>
      </c>
      <c r="BI23" s="137">
        <v>0.0</v>
      </c>
      <c r="BJ23" s="137">
        <v>0.0</v>
      </c>
      <c r="BK23" s="175"/>
      <c r="BL23" s="137">
        <v>0.0</v>
      </c>
      <c r="BM23" s="137">
        <v>0.0</v>
      </c>
      <c r="BN23" s="137">
        <v>0.0</v>
      </c>
      <c r="BO23" s="137">
        <v>0.0</v>
      </c>
      <c r="BP23" s="137">
        <v>0.0</v>
      </c>
      <c r="BQ23" s="137">
        <v>0.0</v>
      </c>
      <c r="BR23" s="137">
        <v>0.0</v>
      </c>
      <c r="BS23" s="137">
        <v>0.0</v>
      </c>
      <c r="BT23" s="137">
        <v>0.0</v>
      </c>
      <c r="BU23" s="137">
        <v>0.0</v>
      </c>
      <c r="BV23" s="137">
        <v>0.0</v>
      </c>
      <c r="BW23" s="137">
        <v>0.0</v>
      </c>
    </row>
    <row r="24">
      <c r="A24" s="188" t="s">
        <v>216</v>
      </c>
      <c r="B24" s="144" t="s">
        <v>217</v>
      </c>
      <c r="C24" s="137"/>
      <c r="D24" s="137"/>
      <c r="E24" s="137"/>
      <c r="F24" s="137"/>
      <c r="G24" s="137"/>
      <c r="H24" s="137"/>
      <c r="I24" s="137"/>
      <c r="J24" s="137">
        <f>170*4-20</f>
        <v>660</v>
      </c>
      <c r="K24" s="137">
        <f t="shared" ref="K24:L24" si="51">22*7*4</f>
        <v>616</v>
      </c>
      <c r="L24" s="137">
        <f t="shared" si="51"/>
        <v>616</v>
      </c>
      <c r="M24" s="137">
        <f t="shared" ref="M24:N24" si="52">20*4*4</f>
        <v>320</v>
      </c>
      <c r="N24" s="137">
        <f t="shared" si="52"/>
        <v>320</v>
      </c>
      <c r="O24" s="137">
        <f>15*7*4</f>
        <v>420</v>
      </c>
      <c r="P24" s="137">
        <f>15*30</f>
        <v>450</v>
      </c>
      <c r="Q24" s="137">
        <f>15*5</f>
        <v>75</v>
      </c>
      <c r="R24" s="137">
        <f t="shared" ref="R24:S24" si="53">10*4</f>
        <v>40</v>
      </c>
      <c r="S24" s="137">
        <f t="shared" si="53"/>
        <v>40</v>
      </c>
      <c r="T24" s="137">
        <f>10*20</f>
        <v>200</v>
      </c>
      <c r="U24" s="137">
        <f>10*10</f>
        <v>100</v>
      </c>
      <c r="V24" s="137">
        <v>0.0</v>
      </c>
      <c r="W24" s="137">
        <v>0.0</v>
      </c>
      <c r="X24" s="137">
        <v>25.0</v>
      </c>
      <c r="Y24" s="137">
        <v>25.0</v>
      </c>
      <c r="Z24" s="137">
        <v>25.0</v>
      </c>
      <c r="AA24" s="137">
        <v>25.0</v>
      </c>
      <c r="AB24" s="137">
        <v>25.0</v>
      </c>
      <c r="AC24" s="137">
        <v>25.0</v>
      </c>
      <c r="AD24" s="137">
        <v>25.0</v>
      </c>
      <c r="AE24" s="137">
        <v>25.0</v>
      </c>
      <c r="AF24" s="137">
        <v>25.0</v>
      </c>
      <c r="AG24" s="137">
        <v>25.0</v>
      </c>
      <c r="AH24" s="175">
        <v>100.0</v>
      </c>
      <c r="AI24" s="137">
        <v>200.0</v>
      </c>
      <c r="AJ24" s="137">
        <v>100.0</v>
      </c>
      <c r="AK24" s="137">
        <v>100.0</v>
      </c>
      <c r="AL24" s="137">
        <v>100.0</v>
      </c>
      <c r="AM24" s="137">
        <v>100.0</v>
      </c>
      <c r="AN24" s="137">
        <v>100.0</v>
      </c>
      <c r="AO24" s="137">
        <v>100.0</v>
      </c>
      <c r="AP24" s="137">
        <v>100.0</v>
      </c>
      <c r="AQ24" s="137">
        <v>100.0</v>
      </c>
      <c r="AR24" s="137">
        <v>100.0</v>
      </c>
      <c r="AS24" s="137">
        <v>100.0</v>
      </c>
      <c r="AT24" s="137">
        <v>100.0</v>
      </c>
      <c r="AU24" s="137">
        <v>100.0</v>
      </c>
      <c r="AV24" s="137">
        <v>100.0</v>
      </c>
      <c r="AW24" s="137">
        <v>100.0</v>
      </c>
      <c r="AX24" s="137">
        <v>100.0</v>
      </c>
      <c r="AY24" s="137">
        <v>100.0</v>
      </c>
      <c r="AZ24" s="137">
        <v>100.0</v>
      </c>
      <c r="BA24" s="137">
        <v>-100.0</v>
      </c>
      <c r="BB24" s="137">
        <v>-100.0</v>
      </c>
      <c r="BC24" s="137">
        <v>-100.0</v>
      </c>
      <c r="BD24" s="137">
        <v>-100.0</v>
      </c>
      <c r="BE24" s="137">
        <v>-200.0</v>
      </c>
      <c r="BF24" s="137">
        <v>-200.0</v>
      </c>
      <c r="BG24" s="137">
        <v>-200.0</v>
      </c>
      <c r="BH24" s="137">
        <v>-200.0</v>
      </c>
      <c r="BI24" s="137">
        <v>-200.0</v>
      </c>
      <c r="BJ24" s="137">
        <v>-200.0</v>
      </c>
      <c r="BK24" s="175"/>
      <c r="BL24" s="137">
        <v>-200.0</v>
      </c>
      <c r="BM24" s="137">
        <v>-200.0</v>
      </c>
      <c r="BN24" s="137">
        <v>-200.0</v>
      </c>
      <c r="BO24" s="137">
        <v>-200.0</v>
      </c>
      <c r="BP24" s="137">
        <v>-200.0</v>
      </c>
      <c r="BQ24" s="137">
        <v>-200.0</v>
      </c>
      <c r="BR24" s="137">
        <v>-200.0</v>
      </c>
      <c r="BS24" s="137">
        <v>-200.0</v>
      </c>
      <c r="BT24" s="137">
        <v>-200.0</v>
      </c>
      <c r="BU24" s="137">
        <v>-200.0</v>
      </c>
      <c r="BV24" s="137">
        <v>-200.0</v>
      </c>
      <c r="BW24" s="137">
        <v>-200.0</v>
      </c>
    </row>
    <row r="25">
      <c r="A25" s="149"/>
      <c r="B25" s="144" t="s">
        <v>218</v>
      </c>
      <c r="C25" s="137">
        <v>200.0</v>
      </c>
      <c r="D25" s="137">
        <v>200.0</v>
      </c>
      <c r="E25" s="137">
        <v>100.0</v>
      </c>
      <c r="F25" s="137">
        <v>200.0</v>
      </c>
      <c r="G25" s="137">
        <v>200.0</v>
      </c>
      <c r="H25" s="175">
        <v>200.0</v>
      </c>
      <c r="I25" s="137">
        <f>8*4*4+20*4</f>
        <v>208</v>
      </c>
      <c r="J25" s="137">
        <f>8*7*4</f>
        <v>224</v>
      </c>
      <c r="K25" s="137">
        <f>8*4*4</f>
        <v>128</v>
      </c>
      <c r="L25" s="137">
        <f>8*7*4</f>
        <v>224</v>
      </c>
      <c r="M25" s="137">
        <f>8*4*4</f>
        <v>128</v>
      </c>
      <c r="N25" s="137">
        <f>8*5*4</f>
        <v>160</v>
      </c>
      <c r="O25" s="137">
        <f>8*7*4</f>
        <v>224</v>
      </c>
      <c r="P25" s="137">
        <f>8*5*4</f>
        <v>160</v>
      </c>
      <c r="Q25" s="137">
        <f>40</f>
        <v>40</v>
      </c>
      <c r="R25" s="137">
        <f t="shared" ref="R25:S25" si="54">0</f>
        <v>0</v>
      </c>
      <c r="S25" s="137">
        <f t="shared" si="54"/>
        <v>0</v>
      </c>
      <c r="T25" s="137">
        <v>0.0</v>
      </c>
      <c r="U25" s="137">
        <v>0.0</v>
      </c>
      <c r="V25" s="137">
        <v>0.0</v>
      </c>
      <c r="W25" s="137">
        <v>0.0</v>
      </c>
      <c r="X25" s="137">
        <v>0.0</v>
      </c>
      <c r="Y25" s="137">
        <v>0.0</v>
      </c>
      <c r="Z25" s="137">
        <v>0.0</v>
      </c>
      <c r="AA25" s="137">
        <v>0.0</v>
      </c>
      <c r="AB25" s="137">
        <v>0.0</v>
      </c>
      <c r="AC25" s="137">
        <v>0.0</v>
      </c>
      <c r="AD25" s="137">
        <v>0.0</v>
      </c>
      <c r="AE25" s="137">
        <v>0.0</v>
      </c>
      <c r="AF25" s="137">
        <v>0.0</v>
      </c>
      <c r="AG25" s="137">
        <v>0.0</v>
      </c>
      <c r="AH25" s="175">
        <v>50.0</v>
      </c>
      <c r="AI25" s="137">
        <v>50.0</v>
      </c>
      <c r="AJ25" s="137">
        <v>50.0</v>
      </c>
      <c r="AK25" s="137">
        <v>50.0</v>
      </c>
      <c r="AL25" s="137">
        <v>50.0</v>
      </c>
      <c r="AM25" s="137">
        <v>25.0</v>
      </c>
      <c r="AN25" s="137">
        <v>25.0</v>
      </c>
      <c r="AO25" s="137">
        <v>25.0</v>
      </c>
      <c r="AP25" s="137">
        <v>50.0</v>
      </c>
      <c r="AQ25" s="137">
        <v>50.0</v>
      </c>
      <c r="AR25" s="137">
        <v>50.0</v>
      </c>
      <c r="AS25" s="137">
        <v>50.0</v>
      </c>
      <c r="AT25" s="137">
        <v>50.0</v>
      </c>
      <c r="AU25" s="137">
        <v>50.0</v>
      </c>
      <c r="AV25" s="137">
        <v>50.0</v>
      </c>
      <c r="AW25" s="137">
        <v>50.0</v>
      </c>
      <c r="AX25" s="137">
        <v>50.0</v>
      </c>
      <c r="AY25" s="137">
        <v>50.0</v>
      </c>
      <c r="AZ25" s="137">
        <v>50.0</v>
      </c>
      <c r="BA25" s="137">
        <v>-50.0</v>
      </c>
      <c r="BB25" s="137">
        <v>-50.0</v>
      </c>
      <c r="BC25" s="137">
        <v>-50.0</v>
      </c>
      <c r="BD25" s="137">
        <v>-50.0</v>
      </c>
      <c r="BE25" s="137">
        <v>-50.0</v>
      </c>
      <c r="BF25" s="137">
        <v>-50.0</v>
      </c>
      <c r="BG25" s="137">
        <v>-50.0</v>
      </c>
      <c r="BH25" s="137">
        <v>-50.0</v>
      </c>
      <c r="BI25" s="137">
        <v>-50.0</v>
      </c>
      <c r="BJ25" s="137">
        <v>-50.0</v>
      </c>
      <c r="BK25" s="175"/>
      <c r="BL25" s="137">
        <v>-50.0</v>
      </c>
      <c r="BM25" s="137">
        <v>-50.0</v>
      </c>
      <c r="BN25" s="137">
        <v>-50.0</v>
      </c>
      <c r="BO25" s="137">
        <v>-50.0</v>
      </c>
      <c r="BP25" s="137">
        <v>-50.0</v>
      </c>
      <c r="BQ25" s="137">
        <v>-50.0</v>
      </c>
      <c r="BR25" s="137">
        <v>-50.0</v>
      </c>
      <c r="BS25" s="137">
        <v>-50.0</v>
      </c>
      <c r="BT25" s="137">
        <v>-50.0</v>
      </c>
      <c r="BU25" s="137">
        <v>-50.0</v>
      </c>
      <c r="BV25" s="137">
        <v>-50.0</v>
      </c>
      <c r="BW25" s="137">
        <v>-50.0</v>
      </c>
    </row>
    <row r="26">
      <c r="A26" s="188"/>
      <c r="B26" s="136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96">
        <f t="shared" ref="P26:AZ26" si="55">sum(P17:P25)/P13</f>
        <v>0.2527318285</v>
      </c>
      <c r="Q26" s="196">
        <f t="shared" si="55"/>
        <v>0.4167359849</v>
      </c>
      <c r="R26" s="196">
        <f t="shared" si="55"/>
        <v>0.4140720991</v>
      </c>
      <c r="S26" s="196">
        <f t="shared" si="55"/>
        <v>0.2649439513</v>
      </c>
      <c r="T26" s="196">
        <f t="shared" si="55"/>
        <v>0.4354138599</v>
      </c>
      <c r="U26" s="196">
        <f t="shared" si="55"/>
        <v>0.08981804104</v>
      </c>
      <c r="V26" s="196">
        <f t="shared" si="55"/>
        <v>0.2894561598</v>
      </c>
      <c r="W26" s="196">
        <f t="shared" si="55"/>
        <v>0.2567557104</v>
      </c>
      <c r="X26" s="196">
        <f t="shared" si="55"/>
        <v>0.485327139</v>
      </c>
      <c r="Y26" s="196">
        <f t="shared" si="55"/>
        <v>0.2404706614</v>
      </c>
      <c r="Z26" s="196">
        <f t="shared" si="55"/>
        <v>0.3159420455</v>
      </c>
      <c r="AA26" s="196">
        <f t="shared" si="55"/>
        <v>0.3344960227</v>
      </c>
      <c r="AB26" s="196">
        <f t="shared" si="55"/>
        <v>0.3344960227</v>
      </c>
      <c r="AC26" s="196">
        <f t="shared" si="55"/>
        <v>0.3201343636</v>
      </c>
      <c r="AD26" s="196">
        <f t="shared" si="55"/>
        <v>0.3355066692</v>
      </c>
      <c r="AE26" s="196">
        <f t="shared" si="55"/>
        <v>0.1486106516</v>
      </c>
      <c r="AF26" s="196">
        <f t="shared" si="55"/>
        <v>0.2905509901</v>
      </c>
      <c r="AG26" s="196">
        <f t="shared" si="55"/>
        <v>0.2620147321</v>
      </c>
      <c r="AH26" s="197">
        <f t="shared" si="55"/>
        <v>0.2708562016</v>
      </c>
      <c r="AI26" s="196">
        <f t="shared" si="55"/>
        <v>0.3797350394</v>
      </c>
      <c r="AJ26" s="196">
        <f t="shared" si="55"/>
        <v>0.4033570866</v>
      </c>
      <c r="AK26" s="196">
        <f t="shared" si="55"/>
        <v>0.1805592543</v>
      </c>
      <c r="AL26" s="196">
        <f t="shared" si="55"/>
        <v>0.3086580087</v>
      </c>
      <c r="AM26" s="196">
        <f t="shared" si="55"/>
        <v>0.2913419913</v>
      </c>
      <c r="AN26" s="196">
        <f t="shared" si="55"/>
        <v>0.1561484919</v>
      </c>
      <c r="AO26" s="196">
        <f t="shared" si="55"/>
        <v>0.26812749</v>
      </c>
      <c r="AP26" s="196">
        <f t="shared" si="55"/>
        <v>0.1041474654</v>
      </c>
      <c r="AQ26" s="196">
        <f t="shared" si="55"/>
        <v>0.2935064935</v>
      </c>
      <c r="AR26" s="196">
        <f t="shared" si="55"/>
        <v>0.2935064935</v>
      </c>
      <c r="AS26" s="196">
        <f t="shared" si="55"/>
        <v>0.2935064935</v>
      </c>
      <c r="AT26" s="196">
        <f t="shared" si="55"/>
        <v>0.2079612983</v>
      </c>
      <c r="AU26" s="196">
        <f t="shared" si="55"/>
        <v>0.1257657658</v>
      </c>
      <c r="AV26" s="196">
        <f t="shared" si="55"/>
        <v>0.3021645022</v>
      </c>
      <c r="AW26" s="196">
        <f t="shared" si="55"/>
        <v>0.3151515152</v>
      </c>
      <c r="AX26" s="196">
        <f t="shared" si="55"/>
        <v>0.2443937156</v>
      </c>
      <c r="AY26" s="196">
        <f t="shared" si="55"/>
        <v>0.2536585366</v>
      </c>
      <c r="AZ26" s="196">
        <f t="shared" si="55"/>
        <v>0.132123412</v>
      </c>
      <c r="BA26" s="196"/>
      <c r="BB26" s="196"/>
      <c r="BC26" s="196"/>
      <c r="BD26" s="196"/>
      <c r="BE26" s="196"/>
      <c r="BF26" s="196"/>
      <c r="BG26" s="196"/>
      <c r="BH26" s="196"/>
      <c r="BI26" s="196"/>
      <c r="BJ26" s="196"/>
      <c r="BK26" s="197"/>
      <c r="BL26" s="196"/>
      <c r="BM26" s="196"/>
      <c r="BN26" s="196"/>
      <c r="BO26" s="196"/>
      <c r="BP26" s="196"/>
      <c r="BQ26" s="196"/>
      <c r="BR26" s="196"/>
      <c r="BS26" s="196"/>
      <c r="BT26" s="196"/>
      <c r="BU26" s="196"/>
      <c r="BV26" s="196"/>
      <c r="BW26" s="196"/>
    </row>
    <row r="27">
      <c r="A27" s="135" t="s">
        <v>219</v>
      </c>
      <c r="C27" s="137"/>
      <c r="D27" s="137"/>
      <c r="E27" s="137"/>
      <c r="F27" s="137"/>
      <c r="G27" s="137"/>
      <c r="H27" s="137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40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40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</row>
    <row r="28">
      <c r="A28" s="188" t="s">
        <v>220</v>
      </c>
      <c r="B28" s="144" t="s">
        <v>221</v>
      </c>
      <c r="C28" s="137">
        <v>1150.0</v>
      </c>
      <c r="D28" s="137">
        <v>1000.0</v>
      </c>
      <c r="E28" s="137">
        <v>1000.0</v>
      </c>
      <c r="F28" s="137">
        <v>1120.0</v>
      </c>
      <c r="G28" s="137">
        <v>1000.0</v>
      </c>
      <c r="H28" s="175">
        <v>500.0</v>
      </c>
      <c r="I28" s="137">
        <f>160*4</f>
        <v>640</v>
      </c>
      <c r="J28" s="137">
        <f>125*4</f>
        <v>500</v>
      </c>
      <c r="K28" s="137">
        <f>25*7*4</f>
        <v>700</v>
      </c>
      <c r="L28" s="137">
        <f>50*7*4</f>
        <v>1400</v>
      </c>
      <c r="M28" s="137">
        <f>25*7*4</f>
        <v>700</v>
      </c>
      <c r="N28" s="137">
        <v>1500.0</v>
      </c>
      <c r="O28" s="137">
        <f>30*5*4</f>
        <v>600</v>
      </c>
      <c r="P28" s="137">
        <f>30*20</f>
        <v>600</v>
      </c>
      <c r="Q28" s="137">
        <f>20*10</f>
        <v>200</v>
      </c>
      <c r="R28" s="137">
        <f>10*20</f>
        <v>200</v>
      </c>
      <c r="S28" s="137">
        <f>5*20</f>
        <v>100</v>
      </c>
      <c r="T28" s="137">
        <f>20*20</f>
        <v>400</v>
      </c>
      <c r="U28" s="137">
        <f t="shared" ref="U28:X28" si="56">15*20</f>
        <v>300</v>
      </c>
      <c r="V28" s="137">
        <f t="shared" si="56"/>
        <v>300</v>
      </c>
      <c r="W28" s="137">
        <f t="shared" si="56"/>
        <v>300</v>
      </c>
      <c r="X28" s="137">
        <f t="shared" si="56"/>
        <v>300</v>
      </c>
      <c r="Y28" s="137">
        <f>50*20</f>
        <v>1000</v>
      </c>
      <c r="Z28" s="137">
        <f>45*20</f>
        <v>900</v>
      </c>
      <c r="AA28" s="137">
        <f t="shared" ref="AA28:AB28" si="57">25*20</f>
        <v>500</v>
      </c>
      <c r="AB28" s="137">
        <f t="shared" si="57"/>
        <v>500</v>
      </c>
      <c r="AC28" s="137">
        <f>45*20</f>
        <v>900</v>
      </c>
      <c r="AD28" s="137">
        <f t="shared" ref="AD28:AH28" si="58">25*20</f>
        <v>500</v>
      </c>
      <c r="AE28" s="137">
        <f t="shared" si="58"/>
        <v>500</v>
      </c>
      <c r="AF28" s="137">
        <f t="shared" si="58"/>
        <v>500</v>
      </c>
      <c r="AG28" s="137">
        <f t="shared" si="58"/>
        <v>500</v>
      </c>
      <c r="AH28" s="175">
        <f t="shared" si="58"/>
        <v>500</v>
      </c>
      <c r="AI28" s="137">
        <f t="shared" ref="AI28:AK28" si="59">45*20</f>
        <v>900</v>
      </c>
      <c r="AJ28" s="137">
        <f t="shared" si="59"/>
        <v>900</v>
      </c>
      <c r="AK28" s="137">
        <f t="shared" si="59"/>
        <v>900</v>
      </c>
      <c r="AL28" s="137">
        <f t="shared" ref="AL28:AO28" si="60">75*20</f>
        <v>1500</v>
      </c>
      <c r="AM28" s="137">
        <f t="shared" si="60"/>
        <v>1500</v>
      </c>
      <c r="AN28" s="137">
        <f t="shared" si="60"/>
        <v>1500</v>
      </c>
      <c r="AO28" s="137">
        <f t="shared" si="60"/>
        <v>1500</v>
      </c>
      <c r="AP28" s="137">
        <f>150*20</f>
        <v>3000</v>
      </c>
      <c r="AQ28" s="137">
        <f t="shared" ref="AQ28:AZ28" si="61">75*20</f>
        <v>1500</v>
      </c>
      <c r="AR28" s="137">
        <f t="shared" si="61"/>
        <v>1500</v>
      </c>
      <c r="AS28" s="137">
        <f t="shared" si="61"/>
        <v>1500</v>
      </c>
      <c r="AT28" s="137">
        <f t="shared" si="61"/>
        <v>1500</v>
      </c>
      <c r="AU28" s="137">
        <f t="shared" si="61"/>
        <v>1500</v>
      </c>
      <c r="AV28" s="137">
        <f t="shared" si="61"/>
        <v>1500</v>
      </c>
      <c r="AW28" s="137">
        <f t="shared" si="61"/>
        <v>1500</v>
      </c>
      <c r="AX28" s="137">
        <f t="shared" si="61"/>
        <v>1500</v>
      </c>
      <c r="AY28" s="137">
        <f t="shared" si="61"/>
        <v>1500</v>
      </c>
      <c r="AZ28" s="137">
        <f t="shared" si="61"/>
        <v>1500</v>
      </c>
      <c r="BA28" s="137">
        <f t="shared" ref="BA28:BJ28" si="62">-75*20</f>
        <v>-1500</v>
      </c>
      <c r="BB28" s="137">
        <f t="shared" si="62"/>
        <v>-1500</v>
      </c>
      <c r="BC28" s="137">
        <f t="shared" si="62"/>
        <v>-1500</v>
      </c>
      <c r="BD28" s="137">
        <f t="shared" si="62"/>
        <v>-1500</v>
      </c>
      <c r="BE28" s="137">
        <f t="shared" si="62"/>
        <v>-1500</v>
      </c>
      <c r="BF28" s="137">
        <f t="shared" si="62"/>
        <v>-1500</v>
      </c>
      <c r="BG28" s="137">
        <f t="shared" si="62"/>
        <v>-1500</v>
      </c>
      <c r="BH28" s="137">
        <f t="shared" si="62"/>
        <v>-1500</v>
      </c>
      <c r="BI28" s="137">
        <f t="shared" si="62"/>
        <v>-1500</v>
      </c>
      <c r="BJ28" s="137">
        <f t="shared" si="62"/>
        <v>-1500</v>
      </c>
      <c r="BK28" s="175"/>
      <c r="BL28" s="137">
        <f t="shared" ref="BL28:BW28" si="63">-75*20</f>
        <v>-1500</v>
      </c>
      <c r="BM28" s="137">
        <f t="shared" si="63"/>
        <v>-1500</v>
      </c>
      <c r="BN28" s="137">
        <f t="shared" si="63"/>
        <v>-1500</v>
      </c>
      <c r="BO28" s="137">
        <f t="shared" si="63"/>
        <v>-1500</v>
      </c>
      <c r="BP28" s="137">
        <f t="shared" si="63"/>
        <v>-1500</v>
      </c>
      <c r="BQ28" s="137">
        <f t="shared" si="63"/>
        <v>-1500</v>
      </c>
      <c r="BR28" s="137">
        <f t="shared" si="63"/>
        <v>-1500</v>
      </c>
      <c r="BS28" s="137">
        <f t="shared" si="63"/>
        <v>-1500</v>
      </c>
      <c r="BT28" s="137">
        <f t="shared" si="63"/>
        <v>-1500</v>
      </c>
      <c r="BU28" s="137">
        <f t="shared" si="63"/>
        <v>-1500</v>
      </c>
      <c r="BV28" s="137">
        <f t="shared" si="63"/>
        <v>-1500</v>
      </c>
      <c r="BW28" s="137">
        <f t="shared" si="63"/>
        <v>-1500</v>
      </c>
    </row>
    <row r="29">
      <c r="A29" s="149"/>
      <c r="B29" s="144" t="s">
        <v>222</v>
      </c>
      <c r="C29" s="137"/>
      <c r="D29" s="137"/>
      <c r="E29" s="137"/>
      <c r="F29" s="137"/>
      <c r="G29" s="137"/>
      <c r="H29" s="175"/>
      <c r="I29" s="137">
        <f>100*4</f>
        <v>400</v>
      </c>
      <c r="J29" s="137">
        <f>200*4</f>
        <v>800</v>
      </c>
      <c r="K29" s="137">
        <f t="shared" ref="K29:L29" si="64">50*2*2*4</f>
        <v>800</v>
      </c>
      <c r="L29" s="137">
        <f t="shared" si="64"/>
        <v>800</v>
      </c>
      <c r="M29" s="137">
        <f>40*2*4</f>
        <v>320</v>
      </c>
      <c r="N29" s="137">
        <f t="shared" ref="N29:O29" si="65">50*2*4</f>
        <v>400</v>
      </c>
      <c r="O29" s="137">
        <f t="shared" si="65"/>
        <v>400</v>
      </c>
      <c r="P29" s="137">
        <f>100*4</f>
        <v>400</v>
      </c>
      <c r="Q29" s="137">
        <f>45*2</f>
        <v>90</v>
      </c>
      <c r="R29" s="137">
        <f>20*8</f>
        <v>160</v>
      </c>
      <c r="S29" s="137">
        <f>30*8</f>
        <v>240</v>
      </c>
      <c r="T29" s="137">
        <f>45*8</f>
        <v>360</v>
      </c>
      <c r="U29" s="137">
        <f>20*8</f>
        <v>160</v>
      </c>
      <c r="V29" s="137">
        <f>45*8</f>
        <v>360</v>
      </c>
      <c r="W29" s="137">
        <f t="shared" ref="W29:X29" si="66">40*8</f>
        <v>320</v>
      </c>
      <c r="X29" s="137">
        <f t="shared" si="66"/>
        <v>320</v>
      </c>
      <c r="Y29" s="137">
        <f t="shared" ref="Y29:AA29" si="67">100*8</f>
        <v>800</v>
      </c>
      <c r="Z29" s="137">
        <f t="shared" si="67"/>
        <v>800</v>
      </c>
      <c r="AA29" s="137">
        <f t="shared" si="67"/>
        <v>800</v>
      </c>
      <c r="AB29" s="137">
        <f>100*8+300</f>
        <v>1100</v>
      </c>
      <c r="AC29" s="137">
        <f>100*8</f>
        <v>800</v>
      </c>
      <c r="AD29" s="137">
        <f t="shared" ref="AD29:AH29" si="68">75*8</f>
        <v>600</v>
      </c>
      <c r="AE29" s="137">
        <f t="shared" si="68"/>
        <v>600</v>
      </c>
      <c r="AF29" s="137">
        <f t="shared" si="68"/>
        <v>600</v>
      </c>
      <c r="AG29" s="137">
        <f t="shared" si="68"/>
        <v>600</v>
      </c>
      <c r="AH29" s="175">
        <f t="shared" si="68"/>
        <v>600</v>
      </c>
      <c r="AI29" s="137">
        <f>100*10</f>
        <v>1000</v>
      </c>
      <c r="AJ29" s="137">
        <f t="shared" ref="AJ29:AO29" si="69">100*8</f>
        <v>800</v>
      </c>
      <c r="AK29" s="137">
        <f t="shared" si="69"/>
        <v>800</v>
      </c>
      <c r="AL29" s="137">
        <f t="shared" si="69"/>
        <v>800</v>
      </c>
      <c r="AM29" s="137">
        <f t="shared" si="69"/>
        <v>800</v>
      </c>
      <c r="AN29" s="137">
        <f t="shared" si="69"/>
        <v>800</v>
      </c>
      <c r="AO29" s="137">
        <f t="shared" si="69"/>
        <v>800</v>
      </c>
      <c r="AP29" s="137">
        <f>150*8</f>
        <v>1200</v>
      </c>
      <c r="AQ29" s="137">
        <f t="shared" ref="AQ29:AZ29" si="70">100*8</f>
        <v>800</v>
      </c>
      <c r="AR29" s="137">
        <f t="shared" si="70"/>
        <v>800</v>
      </c>
      <c r="AS29" s="137">
        <f t="shared" si="70"/>
        <v>800</v>
      </c>
      <c r="AT29" s="137">
        <f t="shared" si="70"/>
        <v>800</v>
      </c>
      <c r="AU29" s="137">
        <f t="shared" si="70"/>
        <v>800</v>
      </c>
      <c r="AV29" s="137">
        <f t="shared" si="70"/>
        <v>800</v>
      </c>
      <c r="AW29" s="137">
        <f t="shared" si="70"/>
        <v>800</v>
      </c>
      <c r="AX29" s="137">
        <f t="shared" si="70"/>
        <v>800</v>
      </c>
      <c r="AY29" s="137">
        <f t="shared" si="70"/>
        <v>800</v>
      </c>
      <c r="AZ29" s="137">
        <f t="shared" si="70"/>
        <v>800</v>
      </c>
      <c r="BA29" s="137">
        <f t="shared" ref="BA29:BJ29" si="71">-100*8</f>
        <v>-800</v>
      </c>
      <c r="BB29" s="137">
        <f t="shared" si="71"/>
        <v>-800</v>
      </c>
      <c r="BC29" s="137">
        <f t="shared" si="71"/>
        <v>-800</v>
      </c>
      <c r="BD29" s="137">
        <f t="shared" si="71"/>
        <v>-800</v>
      </c>
      <c r="BE29" s="137">
        <f t="shared" si="71"/>
        <v>-800</v>
      </c>
      <c r="BF29" s="137">
        <f t="shared" si="71"/>
        <v>-800</v>
      </c>
      <c r="BG29" s="137">
        <f t="shared" si="71"/>
        <v>-800</v>
      </c>
      <c r="BH29" s="137">
        <f t="shared" si="71"/>
        <v>-800</v>
      </c>
      <c r="BI29" s="137">
        <f t="shared" si="71"/>
        <v>-800</v>
      </c>
      <c r="BJ29" s="137">
        <f t="shared" si="71"/>
        <v>-800</v>
      </c>
      <c r="BK29" s="175"/>
      <c r="BL29" s="137">
        <f t="shared" ref="BL29:BW29" si="72">-100*8</f>
        <v>-800</v>
      </c>
      <c r="BM29" s="137">
        <f t="shared" si="72"/>
        <v>-800</v>
      </c>
      <c r="BN29" s="137">
        <f t="shared" si="72"/>
        <v>-800</v>
      </c>
      <c r="BO29" s="137">
        <f t="shared" si="72"/>
        <v>-800</v>
      </c>
      <c r="BP29" s="137">
        <f t="shared" si="72"/>
        <v>-800</v>
      </c>
      <c r="BQ29" s="137">
        <f t="shared" si="72"/>
        <v>-800</v>
      </c>
      <c r="BR29" s="137">
        <f t="shared" si="72"/>
        <v>-800</v>
      </c>
      <c r="BS29" s="137">
        <f t="shared" si="72"/>
        <v>-800</v>
      </c>
      <c r="BT29" s="137">
        <f t="shared" si="72"/>
        <v>-800</v>
      </c>
      <c r="BU29" s="137">
        <f t="shared" si="72"/>
        <v>-800</v>
      </c>
      <c r="BV29" s="137">
        <f t="shared" si="72"/>
        <v>-800</v>
      </c>
      <c r="BW29" s="137">
        <f t="shared" si="72"/>
        <v>-800</v>
      </c>
    </row>
    <row r="30">
      <c r="A30" s="199"/>
      <c r="B30" s="144" t="s">
        <v>223</v>
      </c>
      <c r="C30" s="137">
        <v>0.0</v>
      </c>
      <c r="D30" s="137">
        <v>0.0</v>
      </c>
      <c r="E30" s="137">
        <v>0.0</v>
      </c>
      <c r="F30" s="137">
        <v>0.0</v>
      </c>
      <c r="G30" s="137">
        <v>0.0</v>
      </c>
      <c r="H30" s="175">
        <v>0.0</v>
      </c>
      <c r="I30" s="137">
        <v>0.0</v>
      </c>
      <c r="J30" s="137">
        <v>0.0</v>
      </c>
      <c r="K30" s="137">
        <v>0.0</v>
      </c>
      <c r="L30" s="137">
        <v>0.0</v>
      </c>
      <c r="M30" s="137">
        <v>0.0</v>
      </c>
      <c r="N30" s="194">
        <v>200.0</v>
      </c>
      <c r="O30" s="194">
        <v>400.0</v>
      </c>
      <c r="P30" s="113">
        <v>0.0</v>
      </c>
      <c r="Q30" s="137">
        <v>0.0</v>
      </c>
      <c r="R30" s="137">
        <v>0.0</v>
      </c>
      <c r="S30" s="137">
        <v>0.0</v>
      </c>
      <c r="T30" s="137">
        <v>0.0</v>
      </c>
      <c r="U30" s="137">
        <v>0.0</v>
      </c>
      <c r="V30" s="137">
        <v>0.0</v>
      </c>
      <c r="W30" s="137">
        <v>0.0</v>
      </c>
      <c r="X30" s="137">
        <v>0.0</v>
      </c>
      <c r="Y30" s="137">
        <v>0.0</v>
      </c>
      <c r="Z30" s="137">
        <v>0.0</v>
      </c>
      <c r="AA30" s="137">
        <v>0.0</v>
      </c>
      <c r="AB30" s="137">
        <v>0.0</v>
      </c>
      <c r="AC30" s="137">
        <v>0.0</v>
      </c>
      <c r="AD30" s="137">
        <v>0.0</v>
      </c>
      <c r="AE30" s="137">
        <v>0.0</v>
      </c>
      <c r="AF30" s="137">
        <v>0.0</v>
      </c>
      <c r="AG30" s="137">
        <v>0.0</v>
      </c>
      <c r="AH30" s="175">
        <v>0.0</v>
      </c>
      <c r="AI30" s="137">
        <v>0.0</v>
      </c>
      <c r="AJ30" s="137">
        <v>0.0</v>
      </c>
      <c r="AK30" s="137">
        <v>0.0</v>
      </c>
      <c r="AL30" s="137">
        <v>0.0</v>
      </c>
      <c r="AM30" s="137">
        <v>0.0</v>
      </c>
      <c r="AN30" s="137">
        <v>0.0</v>
      </c>
      <c r="AO30" s="137">
        <v>0.0</v>
      </c>
      <c r="AP30" s="137">
        <v>0.0</v>
      </c>
      <c r="AQ30" s="137">
        <v>0.0</v>
      </c>
      <c r="AR30" s="137">
        <v>0.0</v>
      </c>
      <c r="AS30" s="137">
        <v>0.0</v>
      </c>
      <c r="AT30" s="137">
        <v>0.0</v>
      </c>
      <c r="AU30" s="137">
        <v>0.0</v>
      </c>
      <c r="AV30" s="137">
        <v>0.0</v>
      </c>
      <c r="AW30" s="137">
        <v>200.0</v>
      </c>
      <c r="AX30" s="137">
        <v>200.0</v>
      </c>
      <c r="AY30" s="137">
        <v>200.0</v>
      </c>
      <c r="AZ30" s="137">
        <v>200.0</v>
      </c>
      <c r="BA30" s="137">
        <v>-200.0</v>
      </c>
      <c r="BB30" s="137">
        <v>-200.0</v>
      </c>
      <c r="BC30" s="137">
        <v>-200.0</v>
      </c>
      <c r="BD30" s="137">
        <v>-200.0</v>
      </c>
      <c r="BE30" s="137">
        <v>-200.0</v>
      </c>
      <c r="BF30" s="137">
        <v>-200.0</v>
      </c>
      <c r="BG30" s="137">
        <v>-200.0</v>
      </c>
      <c r="BH30" s="137">
        <v>-200.0</v>
      </c>
      <c r="BI30" s="137">
        <v>-200.0</v>
      </c>
      <c r="BJ30" s="137">
        <v>-200.0</v>
      </c>
      <c r="BK30" s="175"/>
      <c r="BL30" s="137">
        <v>-200.0</v>
      </c>
      <c r="BM30" s="137">
        <v>-200.0</v>
      </c>
      <c r="BN30" s="137">
        <v>-200.0</v>
      </c>
      <c r="BO30" s="137">
        <v>-200.0</v>
      </c>
      <c r="BP30" s="137">
        <v>-200.0</v>
      </c>
      <c r="BQ30" s="137">
        <v>-200.0</v>
      </c>
      <c r="BR30" s="137">
        <v>-200.0</v>
      </c>
      <c r="BS30" s="137">
        <v>-200.0</v>
      </c>
      <c r="BT30" s="137">
        <v>-200.0</v>
      </c>
      <c r="BU30" s="137">
        <v>-200.0</v>
      </c>
      <c r="BV30" s="137">
        <v>-200.0</v>
      </c>
      <c r="BW30" s="137">
        <v>-200.0</v>
      </c>
    </row>
    <row r="31">
      <c r="A31" s="199"/>
      <c r="B31" s="144" t="s">
        <v>569</v>
      </c>
      <c r="C31" s="137">
        <v>10.0</v>
      </c>
      <c r="D31" s="137">
        <v>10.0</v>
      </c>
      <c r="E31" s="137">
        <v>10.0</v>
      </c>
      <c r="F31" s="137">
        <v>10.0</v>
      </c>
      <c r="G31" s="137">
        <f t="shared" ref="G31:H31" si="73">10+5+20</f>
        <v>35</v>
      </c>
      <c r="H31" s="137">
        <f t="shared" si="73"/>
        <v>35</v>
      </c>
      <c r="I31" s="137">
        <f>10+20+60</f>
        <v>90</v>
      </c>
      <c r="J31" s="137">
        <f>10+20+30+15</f>
        <v>75</v>
      </c>
      <c r="K31" s="137">
        <f>10+5+20+30</f>
        <v>65</v>
      </c>
      <c r="L31" s="137">
        <f t="shared" ref="L31:O31" si="74">10+5+20+60</f>
        <v>95</v>
      </c>
      <c r="M31" s="137">
        <f t="shared" si="74"/>
        <v>95</v>
      </c>
      <c r="N31" s="137">
        <f t="shared" si="74"/>
        <v>95</v>
      </c>
      <c r="O31" s="137">
        <f t="shared" si="74"/>
        <v>95</v>
      </c>
      <c r="P31" s="137">
        <f>10+5+20+60+4+4</f>
        <v>103</v>
      </c>
      <c r="Q31" s="137">
        <f>10+5+20+60+35.68</f>
        <v>130.68</v>
      </c>
      <c r="R31" s="137">
        <f>10+5+20+60</f>
        <v>95</v>
      </c>
      <c r="S31" s="137">
        <f t="shared" ref="S31:U31" si="75">10+13+20+60</f>
        <v>103</v>
      </c>
      <c r="T31" s="137">
        <f t="shared" si="75"/>
        <v>103</v>
      </c>
      <c r="U31" s="137">
        <f t="shared" si="75"/>
        <v>103</v>
      </c>
      <c r="V31" s="137">
        <f>sum(10,13,20,60,4,15,20)</f>
        <v>142</v>
      </c>
      <c r="W31" s="137">
        <f>sum(10,13,20,60,4,15,70)</f>
        <v>192</v>
      </c>
      <c r="X31" s="137">
        <f t="shared" ref="X31:Y31" si="76">sum(10,13,20,60,4,15,0)</f>
        <v>122</v>
      </c>
      <c r="Y31" s="137">
        <f t="shared" si="76"/>
        <v>122</v>
      </c>
      <c r="Z31" s="137">
        <f t="shared" ref="Z31:AZ31" si="77">sum(10,13,60,4,15,0)</f>
        <v>102</v>
      </c>
      <c r="AA31" s="137">
        <f t="shared" si="77"/>
        <v>102</v>
      </c>
      <c r="AB31" s="137">
        <f t="shared" si="77"/>
        <v>102</v>
      </c>
      <c r="AC31" s="137">
        <f t="shared" si="77"/>
        <v>102</v>
      </c>
      <c r="AD31" s="137">
        <f t="shared" si="77"/>
        <v>102</v>
      </c>
      <c r="AE31" s="137">
        <f t="shared" si="77"/>
        <v>102</v>
      </c>
      <c r="AF31" s="137">
        <f t="shared" si="77"/>
        <v>102</v>
      </c>
      <c r="AG31" s="137">
        <f t="shared" si="77"/>
        <v>102</v>
      </c>
      <c r="AH31" s="175">
        <f t="shared" si="77"/>
        <v>102</v>
      </c>
      <c r="AI31" s="137">
        <f t="shared" si="77"/>
        <v>102</v>
      </c>
      <c r="AJ31" s="137">
        <f t="shared" si="77"/>
        <v>102</v>
      </c>
      <c r="AK31" s="137">
        <f t="shared" si="77"/>
        <v>102</v>
      </c>
      <c r="AL31" s="137">
        <f t="shared" si="77"/>
        <v>102</v>
      </c>
      <c r="AM31" s="137">
        <f t="shared" si="77"/>
        <v>102</v>
      </c>
      <c r="AN31" s="137">
        <f t="shared" si="77"/>
        <v>102</v>
      </c>
      <c r="AO31" s="137">
        <f t="shared" si="77"/>
        <v>102</v>
      </c>
      <c r="AP31" s="137">
        <f t="shared" si="77"/>
        <v>102</v>
      </c>
      <c r="AQ31" s="137">
        <f t="shared" si="77"/>
        <v>102</v>
      </c>
      <c r="AR31" s="137">
        <f t="shared" si="77"/>
        <v>102</v>
      </c>
      <c r="AS31" s="137">
        <f t="shared" si="77"/>
        <v>102</v>
      </c>
      <c r="AT31" s="137">
        <f t="shared" si="77"/>
        <v>102</v>
      </c>
      <c r="AU31" s="137">
        <f t="shared" si="77"/>
        <v>102</v>
      </c>
      <c r="AV31" s="137">
        <f t="shared" si="77"/>
        <v>102</v>
      </c>
      <c r="AW31" s="137">
        <f t="shared" si="77"/>
        <v>102</v>
      </c>
      <c r="AX31" s="137">
        <f t="shared" si="77"/>
        <v>102</v>
      </c>
      <c r="AY31" s="137">
        <f t="shared" si="77"/>
        <v>102</v>
      </c>
      <c r="AZ31" s="137">
        <f t="shared" si="77"/>
        <v>102</v>
      </c>
      <c r="BA31" s="137">
        <f t="shared" ref="BA31:BJ31" si="78">-sum(10,13,60,4,15,0)</f>
        <v>-102</v>
      </c>
      <c r="BB31" s="137">
        <f t="shared" si="78"/>
        <v>-102</v>
      </c>
      <c r="BC31" s="137">
        <f t="shared" si="78"/>
        <v>-102</v>
      </c>
      <c r="BD31" s="137">
        <f t="shared" si="78"/>
        <v>-102</v>
      </c>
      <c r="BE31" s="137">
        <f t="shared" si="78"/>
        <v>-102</v>
      </c>
      <c r="BF31" s="137">
        <f t="shared" si="78"/>
        <v>-102</v>
      </c>
      <c r="BG31" s="137">
        <f t="shared" si="78"/>
        <v>-102</v>
      </c>
      <c r="BH31" s="137">
        <f t="shared" si="78"/>
        <v>-102</v>
      </c>
      <c r="BI31" s="137">
        <f t="shared" si="78"/>
        <v>-102</v>
      </c>
      <c r="BJ31" s="137">
        <f t="shared" si="78"/>
        <v>-102</v>
      </c>
      <c r="BK31" s="175"/>
      <c r="BL31" s="137">
        <f t="shared" ref="BL31:BW31" si="79">-sum(10,13,60,4,15,0)</f>
        <v>-102</v>
      </c>
      <c r="BM31" s="137">
        <f t="shared" si="79"/>
        <v>-102</v>
      </c>
      <c r="BN31" s="137">
        <f t="shared" si="79"/>
        <v>-102</v>
      </c>
      <c r="BO31" s="137">
        <f t="shared" si="79"/>
        <v>-102</v>
      </c>
      <c r="BP31" s="137">
        <f t="shared" si="79"/>
        <v>-102</v>
      </c>
      <c r="BQ31" s="137">
        <f t="shared" si="79"/>
        <v>-102</v>
      </c>
      <c r="BR31" s="137">
        <f t="shared" si="79"/>
        <v>-102</v>
      </c>
      <c r="BS31" s="137">
        <f t="shared" si="79"/>
        <v>-102</v>
      </c>
      <c r="BT31" s="137">
        <f t="shared" si="79"/>
        <v>-102</v>
      </c>
      <c r="BU31" s="137">
        <f t="shared" si="79"/>
        <v>-102</v>
      </c>
      <c r="BV31" s="137">
        <f t="shared" si="79"/>
        <v>-102</v>
      </c>
      <c r="BW31" s="137">
        <f t="shared" si="79"/>
        <v>-102</v>
      </c>
    </row>
    <row r="32">
      <c r="A32" s="199"/>
      <c r="B32" s="144" t="s">
        <v>225</v>
      </c>
      <c r="C32" s="137">
        <v>0.0</v>
      </c>
      <c r="D32" s="137">
        <v>0.0</v>
      </c>
      <c r="E32" s="137">
        <v>500.0</v>
      </c>
      <c r="F32" s="137">
        <v>500.0</v>
      </c>
      <c r="G32" s="137">
        <v>0.0</v>
      </c>
      <c r="H32" s="175">
        <v>0.0</v>
      </c>
      <c r="I32" s="137">
        <v>0.0</v>
      </c>
      <c r="J32" s="194">
        <v>500.0</v>
      </c>
      <c r="K32" s="194">
        <v>450.0</v>
      </c>
      <c r="L32" s="194">
        <v>300.0</v>
      </c>
      <c r="M32" s="194">
        <v>200.0</v>
      </c>
      <c r="N32" s="194">
        <v>100.0</v>
      </c>
      <c r="O32" s="137">
        <v>0.0</v>
      </c>
      <c r="P32" s="194">
        <f>250+179</f>
        <v>429</v>
      </c>
      <c r="Q32" s="200">
        <v>0.0</v>
      </c>
      <c r="R32" s="189">
        <f>260*2</f>
        <v>520</v>
      </c>
      <c r="S32" s="189">
        <v>0.0</v>
      </c>
      <c r="T32" s="189">
        <f>sum(500/2,185,25,84,257)</f>
        <v>801</v>
      </c>
      <c r="U32" s="189">
        <f>sum(270,250)</f>
        <v>520</v>
      </c>
      <c r="V32" s="193">
        <f>sum(300,600,240)</f>
        <v>1140</v>
      </c>
      <c r="W32" s="194">
        <f>375+74</f>
        <v>449</v>
      </c>
      <c r="X32" s="193">
        <v>0.0</v>
      </c>
      <c r="Y32" s="137">
        <v>0.0</v>
      </c>
      <c r="Z32" s="201">
        <f>sum(548.5,400,55.1,92.1,169.66,100)</f>
        <v>1365.36</v>
      </c>
      <c r="AA32" s="201">
        <f>'Travel Expenses - Tulum'!C32-Z32</f>
        <v>2256.425</v>
      </c>
      <c r="AB32" s="137">
        <v>90.0</v>
      </c>
      <c r="AC32" s="201">
        <v>1200.0</v>
      </c>
      <c r="AD32" s="137">
        <v>0.0</v>
      </c>
      <c r="AE32" s="202">
        <v>500.0</v>
      </c>
      <c r="AF32" s="137">
        <v>0.0</v>
      </c>
      <c r="AG32" s="137">
        <v>0.0</v>
      </c>
      <c r="AH32" s="175">
        <v>0.0</v>
      </c>
      <c r="AI32" s="137">
        <v>0.0</v>
      </c>
      <c r="AJ32" s="137">
        <v>0.0</v>
      </c>
      <c r="AK32" s="137">
        <v>0.0</v>
      </c>
      <c r="AL32" s="137">
        <f>1500+600</f>
        <v>2100</v>
      </c>
      <c r="AM32" s="137">
        <v>0.0</v>
      </c>
      <c r="AN32" s="137">
        <v>0.0</v>
      </c>
      <c r="AO32" s="137">
        <v>0.0</v>
      </c>
      <c r="AP32" s="137">
        <v>0.0</v>
      </c>
      <c r="AQ32" s="137">
        <v>0.0</v>
      </c>
      <c r="AR32" s="137">
        <v>0.0</v>
      </c>
      <c r="AS32" s="137">
        <v>0.0</v>
      </c>
      <c r="AT32" s="137">
        <v>0.0</v>
      </c>
      <c r="AU32" s="137">
        <v>0.0</v>
      </c>
      <c r="AV32" s="137">
        <v>0.0</v>
      </c>
      <c r="AW32" s="137">
        <v>0.0</v>
      </c>
      <c r="AX32" s="137">
        <v>0.0</v>
      </c>
      <c r="AY32" s="137">
        <v>0.0</v>
      </c>
      <c r="AZ32" s="137">
        <f>sum(650,375,300)</f>
        <v>1325</v>
      </c>
      <c r="BA32" s="137">
        <v>0.0</v>
      </c>
      <c r="BB32" s="137">
        <v>0.0</v>
      </c>
      <c r="BC32" s="203">
        <f>-1700</f>
        <v>-1700</v>
      </c>
      <c r="BD32" s="203">
        <f>-sum(3000,4396)</f>
        <v>-7396</v>
      </c>
      <c r="BE32" s="137">
        <v>0.0</v>
      </c>
      <c r="BF32" s="194">
        <v>300.0</v>
      </c>
      <c r="BG32" s="137">
        <v>0.0</v>
      </c>
      <c r="BH32" s="137">
        <v>0.0</v>
      </c>
      <c r="BI32" s="137">
        <v>0.0</v>
      </c>
      <c r="BJ32" s="194">
        <v>-10000.0</v>
      </c>
      <c r="BK32" s="175"/>
      <c r="BL32" s="137">
        <v>0.0</v>
      </c>
      <c r="BM32" s="137">
        <v>0.0</v>
      </c>
      <c r="BN32" s="137">
        <v>0.0</v>
      </c>
      <c r="BO32" s="137">
        <v>0.0</v>
      </c>
      <c r="BP32" s="137">
        <v>0.0</v>
      </c>
      <c r="BQ32" s="137">
        <v>0.0</v>
      </c>
      <c r="BR32" s="137">
        <v>0.0</v>
      </c>
      <c r="BS32" s="137">
        <v>0.0</v>
      </c>
      <c r="BT32" s="137">
        <v>0.0</v>
      </c>
      <c r="BU32" s="137">
        <v>0.0</v>
      </c>
      <c r="BV32" s="137">
        <v>0.0</v>
      </c>
      <c r="BW32" s="137">
        <v>0.0</v>
      </c>
    </row>
    <row r="33">
      <c r="A33" s="188" t="s">
        <v>209</v>
      </c>
      <c r="B33" s="144" t="s">
        <v>226</v>
      </c>
      <c r="C33" s="137"/>
      <c r="D33" s="137"/>
      <c r="E33" s="137"/>
      <c r="F33" s="137"/>
      <c r="G33" s="137"/>
      <c r="H33" s="137"/>
      <c r="I33" s="137">
        <v>600.0</v>
      </c>
      <c r="J33" s="137">
        <v>0.0</v>
      </c>
      <c r="K33" s="137">
        <v>0.0</v>
      </c>
      <c r="L33" s="137">
        <v>0.0</v>
      </c>
      <c r="M33" s="137">
        <v>0.0</v>
      </c>
      <c r="N33" s="137">
        <v>0.0</v>
      </c>
      <c r="O33" s="137">
        <v>0.0</v>
      </c>
      <c r="P33" s="137">
        <f>43+83</f>
        <v>126</v>
      </c>
      <c r="Q33" s="137">
        <f>90+266+80</f>
        <v>436</v>
      </c>
      <c r="R33" s="137">
        <v>0.0</v>
      </c>
      <c r="S33" s="137">
        <v>0.0</v>
      </c>
      <c r="T33" s="137">
        <v>0.0</v>
      </c>
      <c r="U33" s="137">
        <v>0.0</v>
      </c>
      <c r="V33" s="137">
        <v>0.0</v>
      </c>
      <c r="W33" s="137">
        <v>0.0</v>
      </c>
      <c r="X33" s="137">
        <v>1000.0</v>
      </c>
      <c r="Y33" s="137">
        <v>0.0</v>
      </c>
      <c r="Z33" s="137">
        <f>sum(250,100,250)</f>
        <v>600</v>
      </c>
      <c r="AA33" s="137">
        <v>0.0</v>
      </c>
      <c r="AB33" s="137">
        <v>0.0</v>
      </c>
      <c r="AC33" s="137">
        <v>0.0</v>
      </c>
      <c r="AD33" s="137">
        <v>0.0</v>
      </c>
      <c r="AE33" s="137">
        <v>0.0</v>
      </c>
      <c r="AF33" s="137">
        <v>0.0</v>
      </c>
      <c r="AG33" s="137">
        <v>0.0</v>
      </c>
      <c r="AH33" s="175">
        <v>2000.0</v>
      </c>
      <c r="AI33" s="137">
        <v>0.0</v>
      </c>
      <c r="AJ33" s="137">
        <v>0.0</v>
      </c>
      <c r="AK33" s="137">
        <v>0.0</v>
      </c>
      <c r="AL33" s="137">
        <v>25.0</v>
      </c>
      <c r="AM33" s="137">
        <v>0.0</v>
      </c>
      <c r="AN33" s="137">
        <v>0.0</v>
      </c>
      <c r="AO33" s="137">
        <v>0.0</v>
      </c>
      <c r="AP33" s="137">
        <v>0.0</v>
      </c>
      <c r="AQ33" s="137">
        <v>0.0</v>
      </c>
      <c r="AR33" s="137">
        <v>0.0</v>
      </c>
      <c r="AS33" s="137">
        <v>0.0</v>
      </c>
      <c r="AT33" s="137">
        <v>0.0</v>
      </c>
      <c r="AU33" s="137">
        <v>0.0</v>
      </c>
      <c r="AV33" s="137">
        <v>0.0</v>
      </c>
      <c r="AW33" s="137">
        <v>50.0</v>
      </c>
      <c r="AX33" s="137">
        <v>50.0</v>
      </c>
      <c r="AY33" s="137">
        <v>50.0</v>
      </c>
      <c r="AZ33" s="137">
        <v>50.0</v>
      </c>
      <c r="BA33" s="137">
        <v>-50.0</v>
      </c>
      <c r="BB33" s="137">
        <v>-50.0</v>
      </c>
      <c r="BC33" s="137">
        <v>-50.0</v>
      </c>
      <c r="BD33" s="110">
        <v>0.0</v>
      </c>
      <c r="BE33" s="137">
        <v>0.0</v>
      </c>
      <c r="BF33" s="137">
        <v>-50.0</v>
      </c>
      <c r="BG33" s="137">
        <f>sum(-50,-500)</f>
        <v>-550</v>
      </c>
      <c r="BH33" s="137">
        <v>-50.0</v>
      </c>
      <c r="BI33" s="137">
        <v>-50.0</v>
      </c>
      <c r="BJ33" s="137">
        <v>-50.0</v>
      </c>
      <c r="BK33" s="175"/>
      <c r="BL33" s="137">
        <v>-50.0</v>
      </c>
      <c r="BM33" s="137">
        <v>-50.0</v>
      </c>
      <c r="BN33" s="137">
        <v>-50.0</v>
      </c>
      <c r="BO33" s="137">
        <v>-50.0</v>
      </c>
      <c r="BP33" s="137">
        <v>-50.0</v>
      </c>
      <c r="BQ33" s="137">
        <v>-50.0</v>
      </c>
      <c r="BR33" s="137">
        <v>-50.0</v>
      </c>
      <c r="BS33" s="137">
        <v>-50.0</v>
      </c>
      <c r="BT33" s="137">
        <v>-50.0</v>
      </c>
      <c r="BU33" s="137">
        <v>-50.0</v>
      </c>
      <c r="BV33" s="137">
        <v>-50.0</v>
      </c>
      <c r="BW33" s="137">
        <v>-50.0</v>
      </c>
    </row>
    <row r="34" ht="15.75" customHeight="1">
      <c r="A34" s="149"/>
      <c r="B34" s="144" t="s">
        <v>227</v>
      </c>
      <c r="C34" s="137"/>
      <c r="D34" s="137"/>
      <c r="E34" s="137"/>
      <c r="F34" s="137"/>
      <c r="G34" s="137"/>
      <c r="H34" s="137"/>
      <c r="I34" s="137">
        <v>10.0</v>
      </c>
      <c r="J34" s="137">
        <v>0.0</v>
      </c>
      <c r="K34" s="137">
        <f>12*2</f>
        <v>24</v>
      </c>
      <c r="L34" s="137">
        <v>0.0</v>
      </c>
      <c r="M34" s="137">
        <v>0.0</v>
      </c>
      <c r="N34" s="137">
        <f t="shared" ref="N34:O34" si="80">12*1</f>
        <v>12</v>
      </c>
      <c r="O34" s="137">
        <f t="shared" si="80"/>
        <v>12</v>
      </c>
      <c r="P34" s="137">
        <f>13</f>
        <v>13</v>
      </c>
      <c r="Q34" s="137">
        <v>0.0</v>
      </c>
      <c r="R34" s="137">
        <f t="shared" ref="R34:AJ34" si="81">12*1</f>
        <v>12</v>
      </c>
      <c r="S34" s="137">
        <f t="shared" si="81"/>
        <v>12</v>
      </c>
      <c r="T34" s="137">
        <f t="shared" si="81"/>
        <v>12</v>
      </c>
      <c r="U34" s="137">
        <f t="shared" si="81"/>
        <v>12</v>
      </c>
      <c r="V34" s="137">
        <f t="shared" si="81"/>
        <v>12</v>
      </c>
      <c r="W34" s="137">
        <f t="shared" si="81"/>
        <v>12</v>
      </c>
      <c r="X34" s="137">
        <f t="shared" si="81"/>
        <v>12</v>
      </c>
      <c r="Y34" s="137">
        <f t="shared" si="81"/>
        <v>12</v>
      </c>
      <c r="Z34" s="137">
        <f t="shared" si="81"/>
        <v>12</v>
      </c>
      <c r="AA34" s="137">
        <f t="shared" si="81"/>
        <v>12</v>
      </c>
      <c r="AB34" s="137">
        <f t="shared" si="81"/>
        <v>12</v>
      </c>
      <c r="AC34" s="137">
        <f t="shared" si="81"/>
        <v>12</v>
      </c>
      <c r="AD34" s="137">
        <f t="shared" si="81"/>
        <v>12</v>
      </c>
      <c r="AE34" s="137">
        <f t="shared" si="81"/>
        <v>12</v>
      </c>
      <c r="AF34" s="137">
        <f t="shared" si="81"/>
        <v>12</v>
      </c>
      <c r="AG34" s="137">
        <f t="shared" si="81"/>
        <v>12</v>
      </c>
      <c r="AH34" s="175">
        <f t="shared" si="81"/>
        <v>12</v>
      </c>
      <c r="AI34" s="137">
        <f t="shared" si="81"/>
        <v>12</v>
      </c>
      <c r="AJ34" s="137">
        <f t="shared" si="81"/>
        <v>12</v>
      </c>
      <c r="AK34" s="137">
        <v>0.0</v>
      </c>
      <c r="AL34" s="137">
        <v>0.0</v>
      </c>
      <c r="AM34" s="137">
        <f t="shared" ref="AM34:AR34" si="82">12*1</f>
        <v>12</v>
      </c>
      <c r="AN34" s="137">
        <f t="shared" si="82"/>
        <v>12</v>
      </c>
      <c r="AO34" s="137">
        <f t="shared" si="82"/>
        <v>12</v>
      </c>
      <c r="AP34" s="137">
        <f t="shared" si="82"/>
        <v>12</v>
      </c>
      <c r="AQ34" s="137">
        <f t="shared" si="82"/>
        <v>12</v>
      </c>
      <c r="AR34" s="137">
        <f t="shared" si="82"/>
        <v>12</v>
      </c>
      <c r="AS34" s="137">
        <v>50.0</v>
      </c>
      <c r="AT34" s="137">
        <f t="shared" ref="AT34:AZ34" si="83">12*1</f>
        <v>12</v>
      </c>
      <c r="AU34" s="137">
        <f t="shared" si="83"/>
        <v>12</v>
      </c>
      <c r="AV34" s="137">
        <f t="shared" si="83"/>
        <v>12</v>
      </c>
      <c r="AW34" s="137">
        <f t="shared" si="83"/>
        <v>12</v>
      </c>
      <c r="AX34" s="137">
        <f t="shared" si="83"/>
        <v>12</v>
      </c>
      <c r="AY34" s="137">
        <f t="shared" si="83"/>
        <v>12</v>
      </c>
      <c r="AZ34" s="137">
        <f t="shared" si="83"/>
        <v>12</v>
      </c>
      <c r="BA34" s="137">
        <f t="shared" ref="BA34:BJ34" si="84">-20*1</f>
        <v>-20</v>
      </c>
      <c r="BB34" s="137">
        <f t="shared" si="84"/>
        <v>-20</v>
      </c>
      <c r="BC34" s="137">
        <f t="shared" si="84"/>
        <v>-20</v>
      </c>
      <c r="BD34" s="137">
        <f t="shared" si="84"/>
        <v>-20</v>
      </c>
      <c r="BE34" s="137">
        <f t="shared" si="84"/>
        <v>-20</v>
      </c>
      <c r="BF34" s="137">
        <f t="shared" si="84"/>
        <v>-20</v>
      </c>
      <c r="BG34" s="137">
        <f t="shared" si="84"/>
        <v>-20</v>
      </c>
      <c r="BH34" s="137">
        <f t="shared" si="84"/>
        <v>-20</v>
      </c>
      <c r="BI34" s="137">
        <f t="shared" si="84"/>
        <v>-20</v>
      </c>
      <c r="BJ34" s="137">
        <f t="shared" si="84"/>
        <v>-20</v>
      </c>
      <c r="BK34" s="175"/>
      <c r="BL34" s="137">
        <f t="shared" ref="BL34:BW34" si="85">-20*1</f>
        <v>-20</v>
      </c>
      <c r="BM34" s="137">
        <f t="shared" si="85"/>
        <v>-20</v>
      </c>
      <c r="BN34" s="137">
        <f t="shared" si="85"/>
        <v>-20</v>
      </c>
      <c r="BO34" s="137">
        <f t="shared" si="85"/>
        <v>-20</v>
      </c>
      <c r="BP34" s="137">
        <f t="shared" si="85"/>
        <v>-20</v>
      </c>
      <c r="BQ34" s="137">
        <f t="shared" si="85"/>
        <v>-20</v>
      </c>
      <c r="BR34" s="137">
        <f t="shared" si="85"/>
        <v>-20</v>
      </c>
      <c r="BS34" s="137">
        <f t="shared" si="85"/>
        <v>-20</v>
      </c>
      <c r="BT34" s="137">
        <f t="shared" si="85"/>
        <v>-20</v>
      </c>
      <c r="BU34" s="137">
        <f t="shared" si="85"/>
        <v>-20</v>
      </c>
      <c r="BV34" s="137">
        <f t="shared" si="85"/>
        <v>-20</v>
      </c>
      <c r="BW34" s="137">
        <f t="shared" si="85"/>
        <v>-20</v>
      </c>
    </row>
    <row r="35">
      <c r="A35" s="149"/>
      <c r="B35" s="144" t="s">
        <v>29</v>
      </c>
      <c r="C35" s="137"/>
      <c r="D35" s="137"/>
      <c r="E35" s="137"/>
      <c r="F35" s="137"/>
      <c r="G35" s="137"/>
      <c r="H35" s="137"/>
      <c r="I35" s="137">
        <v>100.0</v>
      </c>
      <c r="J35" s="137">
        <v>60.0</v>
      </c>
      <c r="K35" s="137">
        <v>250.0</v>
      </c>
      <c r="L35" s="137">
        <v>0.0</v>
      </c>
      <c r="M35" s="137">
        <v>50.0</v>
      </c>
      <c r="N35" s="137">
        <v>0.0</v>
      </c>
      <c r="O35" s="137">
        <v>100.0</v>
      </c>
      <c r="P35" s="137">
        <v>0.0</v>
      </c>
      <c r="Q35" s="137">
        <v>0.0</v>
      </c>
      <c r="R35" s="137">
        <v>0.0</v>
      </c>
      <c r="S35" s="137">
        <v>0.0</v>
      </c>
      <c r="T35" s="137">
        <v>300.0</v>
      </c>
      <c r="U35" s="137">
        <v>100.0</v>
      </c>
      <c r="V35" s="137">
        <v>100.0</v>
      </c>
      <c r="W35" s="137">
        <v>100.0</v>
      </c>
      <c r="X35" s="137">
        <v>100.0</v>
      </c>
      <c r="Y35" s="137">
        <v>100.0</v>
      </c>
      <c r="Z35" s="137">
        <v>100.0</v>
      </c>
      <c r="AA35" s="137">
        <v>100.0</v>
      </c>
      <c r="AB35" s="137">
        <v>100.0</v>
      </c>
      <c r="AC35" s="137">
        <v>100.0</v>
      </c>
      <c r="AD35" s="137">
        <v>100.0</v>
      </c>
      <c r="AE35" s="137">
        <v>100.0</v>
      </c>
      <c r="AF35" s="137">
        <v>100.0</v>
      </c>
      <c r="AG35" s="137">
        <v>100.0</v>
      </c>
      <c r="AH35" s="175">
        <v>100.0</v>
      </c>
      <c r="AI35" s="137">
        <v>100.0</v>
      </c>
      <c r="AJ35" s="137">
        <v>100.0</v>
      </c>
      <c r="AK35" s="137">
        <v>100.0</v>
      </c>
      <c r="AL35" s="137">
        <v>300.0</v>
      </c>
      <c r="AM35" s="137">
        <v>300.0</v>
      </c>
      <c r="AN35" s="137">
        <v>300.0</v>
      </c>
      <c r="AO35" s="137">
        <v>300.0</v>
      </c>
      <c r="AP35" s="137">
        <v>300.0</v>
      </c>
      <c r="AQ35" s="137">
        <v>300.0</v>
      </c>
      <c r="AR35" s="137">
        <v>300.0</v>
      </c>
      <c r="AS35" s="137">
        <v>300.0</v>
      </c>
      <c r="AT35" s="137">
        <v>300.0</v>
      </c>
      <c r="AU35" s="137">
        <v>300.0</v>
      </c>
      <c r="AV35" s="137">
        <v>300.0</v>
      </c>
      <c r="AW35" s="137">
        <v>300.0</v>
      </c>
      <c r="AX35" s="137">
        <v>300.0</v>
      </c>
      <c r="AY35" s="137">
        <v>300.0</v>
      </c>
      <c r="AZ35" s="137">
        <v>300.0</v>
      </c>
      <c r="BA35" s="137">
        <v>-500.0</v>
      </c>
      <c r="BB35" s="137">
        <v>-500.0</v>
      </c>
      <c r="BC35" s="137">
        <v>-500.0</v>
      </c>
      <c r="BD35" s="137">
        <v>-500.0</v>
      </c>
      <c r="BE35" s="137">
        <v>-500.0</v>
      </c>
      <c r="BF35" s="137">
        <v>-200.0</v>
      </c>
      <c r="BG35" s="137">
        <v>-500.0</v>
      </c>
      <c r="BH35" s="137">
        <v>-500.0</v>
      </c>
      <c r="BI35" s="194">
        <f>sum(-10000,-2000)</f>
        <v>-12000</v>
      </c>
      <c r="BJ35" s="137">
        <f>sum(-500,-1200,-800)</f>
        <v>-2500</v>
      </c>
      <c r="BK35" s="175"/>
      <c r="BL35" s="137">
        <f t="shared" ref="BL35:BQ35" si="86">sum(-500,-1200,-800)</f>
        <v>-2500</v>
      </c>
      <c r="BM35" s="137">
        <f t="shared" si="86"/>
        <v>-2500</v>
      </c>
      <c r="BN35" s="137">
        <f t="shared" si="86"/>
        <v>-2500</v>
      </c>
      <c r="BO35" s="137">
        <f t="shared" si="86"/>
        <v>-2500</v>
      </c>
      <c r="BP35" s="137">
        <f t="shared" si="86"/>
        <v>-2500</v>
      </c>
      <c r="BQ35" s="137">
        <f t="shared" si="86"/>
        <v>-2500</v>
      </c>
      <c r="BR35" s="137">
        <f t="shared" ref="BR35:BW35" si="87">sum(-500,-1200)</f>
        <v>-1700</v>
      </c>
      <c r="BS35" s="137">
        <f t="shared" si="87"/>
        <v>-1700</v>
      </c>
      <c r="BT35" s="137">
        <f t="shared" si="87"/>
        <v>-1700</v>
      </c>
      <c r="BU35" s="137">
        <f t="shared" si="87"/>
        <v>-1700</v>
      </c>
      <c r="BV35" s="137">
        <f t="shared" si="87"/>
        <v>-1700</v>
      </c>
      <c r="BW35" s="137">
        <f t="shared" si="87"/>
        <v>-1700</v>
      </c>
    </row>
    <row r="36">
      <c r="A36" s="206" t="s">
        <v>228</v>
      </c>
      <c r="B36" s="144" t="s">
        <v>229</v>
      </c>
      <c r="C36" s="137">
        <v>0.0</v>
      </c>
      <c r="D36" s="137">
        <v>0.0</v>
      </c>
      <c r="E36" s="137">
        <v>0.0</v>
      </c>
      <c r="F36" s="137">
        <v>0.0</v>
      </c>
      <c r="G36" s="137">
        <v>0.0</v>
      </c>
      <c r="H36" s="175">
        <v>0.0</v>
      </c>
      <c r="I36" s="137">
        <v>25.0</v>
      </c>
      <c r="J36" s="137">
        <v>0.0</v>
      </c>
      <c r="K36" s="137">
        <v>0.0</v>
      </c>
      <c r="L36" s="137">
        <v>0.0</v>
      </c>
      <c r="M36" s="137">
        <v>0.0</v>
      </c>
      <c r="N36" s="137">
        <v>0.0</v>
      </c>
      <c r="O36" s="137">
        <v>0.0</v>
      </c>
      <c r="P36" s="137">
        <v>0.0</v>
      </c>
      <c r="Q36" s="137">
        <v>0.0</v>
      </c>
      <c r="R36" s="137">
        <v>0.0</v>
      </c>
      <c r="S36" s="137">
        <v>0.0</v>
      </c>
      <c r="T36" s="137">
        <v>0.0</v>
      </c>
      <c r="U36" s="137">
        <v>0.0</v>
      </c>
      <c r="V36" s="137">
        <v>0.0</v>
      </c>
      <c r="W36" s="137">
        <v>0.0</v>
      </c>
      <c r="X36" s="137">
        <v>0.0</v>
      </c>
      <c r="Y36" s="137">
        <v>0.0</v>
      </c>
      <c r="Z36" s="137">
        <v>0.0</v>
      </c>
      <c r="AA36" s="137">
        <v>0.0</v>
      </c>
      <c r="AB36" s="137">
        <v>0.0</v>
      </c>
      <c r="AC36" s="137">
        <v>0.0</v>
      </c>
      <c r="AD36" s="137">
        <v>0.0</v>
      </c>
      <c r="AE36" s="137">
        <v>0.0</v>
      </c>
      <c r="AF36" s="137">
        <v>0.0</v>
      </c>
      <c r="AG36" s="137">
        <v>0.0</v>
      </c>
      <c r="AH36" s="175">
        <v>0.0</v>
      </c>
      <c r="AI36" s="137">
        <v>0.0</v>
      </c>
      <c r="AJ36" s="137">
        <v>0.0</v>
      </c>
      <c r="AK36" s="137">
        <v>0.0</v>
      </c>
      <c r="AL36" s="137">
        <v>0.0</v>
      </c>
      <c r="AM36" s="137">
        <v>0.0</v>
      </c>
      <c r="AN36" s="137">
        <v>0.0</v>
      </c>
      <c r="AO36" s="137">
        <v>0.0</v>
      </c>
      <c r="AP36" s="137">
        <v>0.0</v>
      </c>
      <c r="AQ36" s="137">
        <v>0.0</v>
      </c>
      <c r="AR36" s="137">
        <v>0.0</v>
      </c>
      <c r="AS36" s="137">
        <v>0.0</v>
      </c>
      <c r="AT36" s="137">
        <v>0.0</v>
      </c>
      <c r="AU36" s="137">
        <v>0.0</v>
      </c>
      <c r="AV36" s="137">
        <v>0.0</v>
      </c>
      <c r="AW36" s="137">
        <v>0.0</v>
      </c>
      <c r="AX36" s="137">
        <v>0.0</v>
      </c>
      <c r="AY36" s="137">
        <v>0.0</v>
      </c>
      <c r="AZ36" s="137">
        <v>0.0</v>
      </c>
      <c r="BA36" s="137">
        <v>0.0</v>
      </c>
      <c r="BB36" s="137">
        <v>0.0</v>
      </c>
      <c r="BC36" s="137">
        <v>0.0</v>
      </c>
      <c r="BD36" s="137">
        <v>0.0</v>
      </c>
      <c r="BE36" s="137">
        <v>0.0</v>
      </c>
      <c r="BF36" s="137">
        <v>0.0</v>
      </c>
      <c r="BG36" s="137">
        <v>0.0</v>
      </c>
      <c r="BH36" s="137">
        <v>0.0</v>
      </c>
      <c r="BI36" s="137">
        <v>0.0</v>
      </c>
      <c r="BJ36" s="137">
        <v>0.0</v>
      </c>
      <c r="BK36" s="175"/>
      <c r="BL36" s="137">
        <v>0.0</v>
      </c>
      <c r="BM36" s="137">
        <v>0.0</v>
      </c>
      <c r="BN36" s="137">
        <v>0.0</v>
      </c>
      <c r="BO36" s="137">
        <v>0.0</v>
      </c>
      <c r="BP36" s="137">
        <v>0.0</v>
      </c>
      <c r="BQ36" s="137">
        <v>0.0</v>
      </c>
      <c r="BR36" s="137">
        <v>0.0</v>
      </c>
      <c r="BS36" s="137">
        <v>0.0</v>
      </c>
      <c r="BT36" s="137">
        <v>0.0</v>
      </c>
      <c r="BU36" s="137">
        <v>0.0</v>
      </c>
      <c r="BV36" s="137">
        <v>0.0</v>
      </c>
      <c r="BW36" s="137">
        <v>0.0</v>
      </c>
    </row>
    <row r="37">
      <c r="A37" s="199"/>
      <c r="B37" s="144" t="s">
        <v>30</v>
      </c>
      <c r="C37" s="137"/>
      <c r="D37" s="137"/>
      <c r="E37" s="137"/>
      <c r="F37" s="137"/>
      <c r="G37" s="137"/>
      <c r="H37" s="175"/>
      <c r="I37" s="137"/>
      <c r="J37" s="137">
        <v>0.0</v>
      </c>
      <c r="K37" s="137">
        <v>0.0</v>
      </c>
      <c r="L37" s="137">
        <v>0.0</v>
      </c>
      <c r="M37" s="137">
        <v>0.0</v>
      </c>
      <c r="N37" s="137">
        <v>0.0</v>
      </c>
      <c r="O37" s="137">
        <v>0.0</v>
      </c>
      <c r="P37" s="137">
        <v>0.0</v>
      </c>
      <c r="Q37" s="137">
        <v>0.0</v>
      </c>
      <c r="R37" s="137">
        <v>0.0</v>
      </c>
      <c r="S37" s="137">
        <v>0.0</v>
      </c>
      <c r="T37" s="137">
        <v>0.0</v>
      </c>
      <c r="U37" s="192">
        <v>0.0</v>
      </c>
      <c r="V37" s="194">
        <f>490</f>
        <v>490</v>
      </c>
      <c r="W37" s="137">
        <v>0.0</v>
      </c>
      <c r="X37" s="137">
        <v>0.0</v>
      </c>
      <c r="Y37" s="137">
        <v>0.0</v>
      </c>
      <c r="Z37" s="137">
        <v>0.0</v>
      </c>
      <c r="AA37" s="137">
        <v>0.0</v>
      </c>
      <c r="AB37" s="137">
        <v>0.0</v>
      </c>
      <c r="AC37" s="137">
        <v>0.0</v>
      </c>
      <c r="AD37" s="137">
        <v>0.0</v>
      </c>
      <c r="AE37" s="137">
        <v>0.0</v>
      </c>
      <c r="AF37" s="137">
        <v>0.0</v>
      </c>
      <c r="AG37" s="137">
        <v>0.0</v>
      </c>
      <c r="AH37" s="175">
        <v>0.0</v>
      </c>
      <c r="AI37" s="137">
        <v>0.0</v>
      </c>
      <c r="AJ37" s="137">
        <v>0.0</v>
      </c>
      <c r="AK37" s="137">
        <v>250.0</v>
      </c>
      <c r="AL37" s="137">
        <v>0.0</v>
      </c>
      <c r="AM37" s="137">
        <v>0.0</v>
      </c>
      <c r="AN37" s="137">
        <v>0.0</v>
      </c>
      <c r="AO37" s="137">
        <v>0.0</v>
      </c>
      <c r="AP37" s="137">
        <v>0.0</v>
      </c>
      <c r="AQ37" s="137">
        <v>0.0</v>
      </c>
      <c r="AR37" s="137">
        <v>0.0</v>
      </c>
      <c r="AS37" s="137">
        <v>0.0</v>
      </c>
      <c r="AT37" s="137">
        <v>0.0</v>
      </c>
      <c r="AU37" s="137">
        <v>0.0</v>
      </c>
      <c r="AV37" s="137">
        <v>0.0</v>
      </c>
      <c r="AW37" s="137">
        <v>0.0</v>
      </c>
      <c r="AX37" s="137">
        <v>0.0</v>
      </c>
      <c r="AY37" s="137">
        <v>0.0</v>
      </c>
      <c r="AZ37" s="137">
        <v>0.0</v>
      </c>
      <c r="BA37" s="137">
        <v>0.0</v>
      </c>
      <c r="BB37" s="137">
        <v>0.0</v>
      </c>
      <c r="BC37" s="137">
        <v>0.0</v>
      </c>
      <c r="BD37" s="137">
        <v>0.0</v>
      </c>
      <c r="BE37" s="137">
        <v>0.0</v>
      </c>
      <c r="BF37" s="137">
        <v>0.0</v>
      </c>
      <c r="BG37" s="137">
        <v>0.0</v>
      </c>
      <c r="BH37" s="137">
        <v>0.0</v>
      </c>
      <c r="BI37" s="137">
        <v>0.0</v>
      </c>
      <c r="BJ37" s="137">
        <v>0.0</v>
      </c>
      <c r="BK37" s="175"/>
      <c r="BL37" s="137">
        <v>0.0</v>
      </c>
      <c r="BM37" s="137">
        <v>0.0</v>
      </c>
      <c r="BN37" s="137">
        <v>0.0</v>
      </c>
      <c r="BO37" s="137">
        <v>0.0</v>
      </c>
      <c r="BP37" s="137">
        <v>0.0</v>
      </c>
      <c r="BQ37" s="137">
        <v>0.0</v>
      </c>
      <c r="BR37" s="137">
        <v>0.0</v>
      </c>
      <c r="BS37" s="137">
        <v>0.0</v>
      </c>
      <c r="BT37" s="137">
        <v>0.0</v>
      </c>
      <c r="BU37" s="137">
        <v>0.0</v>
      </c>
      <c r="BV37" s="137">
        <v>0.0</v>
      </c>
      <c r="BW37" s="137">
        <v>0.0</v>
      </c>
    </row>
    <row r="38">
      <c r="A38" s="149"/>
      <c r="B38" s="144" t="s">
        <v>230</v>
      </c>
      <c r="C38" s="137"/>
      <c r="D38" s="137"/>
      <c r="E38" s="137"/>
      <c r="F38" s="137"/>
      <c r="G38" s="137"/>
      <c r="H38" s="137"/>
      <c r="I38" s="137">
        <v>100.0</v>
      </c>
      <c r="J38" s="137">
        <f>60+20+350</f>
        <v>430</v>
      </c>
      <c r="K38" s="137">
        <v>50.0</v>
      </c>
      <c r="L38" s="137">
        <v>60.0</v>
      </c>
      <c r="M38" s="137">
        <v>60.0</v>
      </c>
      <c r="N38" s="137">
        <v>95.0</v>
      </c>
      <c r="O38" s="137">
        <v>100.0</v>
      </c>
      <c r="P38" s="137">
        <v>100.0</v>
      </c>
      <c r="Q38" s="137">
        <v>60.0</v>
      </c>
      <c r="R38" s="137">
        <v>0.0</v>
      </c>
      <c r="S38" s="137">
        <v>0.0</v>
      </c>
      <c r="T38" s="137">
        <v>100.0</v>
      </c>
      <c r="U38" s="137">
        <v>50.0</v>
      </c>
      <c r="V38" s="137">
        <v>100.0</v>
      </c>
      <c r="W38" s="137">
        <v>100.0</v>
      </c>
      <c r="X38" s="137">
        <v>100.0</v>
      </c>
      <c r="Y38" s="137">
        <v>100.0</v>
      </c>
      <c r="Z38" s="137">
        <v>100.0</v>
      </c>
      <c r="AA38" s="137">
        <v>100.0</v>
      </c>
      <c r="AB38" s="137">
        <v>100.0</v>
      </c>
      <c r="AC38" s="137">
        <v>100.0</v>
      </c>
      <c r="AD38" s="137">
        <v>100.0</v>
      </c>
      <c r="AE38" s="137">
        <v>100.0</v>
      </c>
      <c r="AF38" s="137">
        <v>100.0</v>
      </c>
      <c r="AG38" s="137">
        <v>100.0</v>
      </c>
      <c r="AH38" s="175">
        <v>100.0</v>
      </c>
      <c r="AI38" s="137">
        <v>100.0</v>
      </c>
      <c r="AJ38" s="137">
        <v>100.0</v>
      </c>
      <c r="AK38" s="137">
        <v>100.0</v>
      </c>
      <c r="AL38" s="137">
        <v>100.0</v>
      </c>
      <c r="AM38" s="137">
        <v>100.0</v>
      </c>
      <c r="AN38" s="137">
        <v>100.0</v>
      </c>
      <c r="AO38" s="137">
        <v>100.0</v>
      </c>
      <c r="AP38" s="137">
        <v>100.0</v>
      </c>
      <c r="AQ38" s="137">
        <v>100.0</v>
      </c>
      <c r="AR38" s="137">
        <v>100.0</v>
      </c>
      <c r="AS38" s="137">
        <v>100.0</v>
      </c>
      <c r="AT38" s="137">
        <v>100.0</v>
      </c>
      <c r="AU38" s="137">
        <v>100.0</v>
      </c>
      <c r="AV38" s="137">
        <v>100.0</v>
      </c>
      <c r="AW38" s="137">
        <v>100.0</v>
      </c>
      <c r="AX38" s="137">
        <v>100.0</v>
      </c>
      <c r="AY38" s="137">
        <v>100.0</v>
      </c>
      <c r="AZ38" s="137">
        <v>100.0</v>
      </c>
      <c r="BA38" s="137">
        <v>-100.0</v>
      </c>
      <c r="BB38" s="137">
        <v>-100.0</v>
      </c>
      <c r="BC38" s="137">
        <v>-100.0</v>
      </c>
      <c r="BD38" s="137">
        <v>-100.0</v>
      </c>
      <c r="BE38" s="137">
        <v>-100.0</v>
      </c>
      <c r="BF38" s="137">
        <v>-100.0</v>
      </c>
      <c r="BG38" s="137">
        <v>-100.0</v>
      </c>
      <c r="BH38" s="137">
        <v>-100.0</v>
      </c>
      <c r="BI38" s="137">
        <v>-100.0</v>
      </c>
      <c r="BJ38" s="137">
        <v>-100.0</v>
      </c>
      <c r="BK38" s="175"/>
      <c r="BL38" s="137">
        <v>-100.0</v>
      </c>
      <c r="BM38" s="137">
        <v>-100.0</v>
      </c>
      <c r="BN38" s="137">
        <v>-100.0</v>
      </c>
      <c r="BO38" s="137">
        <v>-100.0</v>
      </c>
      <c r="BP38" s="137">
        <v>-100.0</v>
      </c>
      <c r="BQ38" s="137">
        <v>-100.0</v>
      </c>
      <c r="BR38" s="137">
        <v>-100.0</v>
      </c>
      <c r="BS38" s="137">
        <v>-100.0</v>
      </c>
      <c r="BT38" s="137">
        <v>-100.0</v>
      </c>
      <c r="BU38" s="137">
        <v>-100.0</v>
      </c>
      <c r="BV38" s="137">
        <v>-100.0</v>
      </c>
      <c r="BW38" s="137">
        <v>-100.0</v>
      </c>
    </row>
    <row r="39">
      <c r="A39" s="199"/>
      <c r="B39" s="144" t="s">
        <v>231</v>
      </c>
      <c r="C39" s="137">
        <v>0.0</v>
      </c>
      <c r="D39" s="137">
        <v>0.0</v>
      </c>
      <c r="E39" s="137">
        <v>0.0</v>
      </c>
      <c r="F39" s="137">
        <v>0.0</v>
      </c>
      <c r="G39" s="137">
        <v>0.0</v>
      </c>
      <c r="H39" s="175">
        <v>0.0</v>
      </c>
      <c r="I39" s="137">
        <v>0.0</v>
      </c>
      <c r="J39" s="137">
        <v>0.0</v>
      </c>
      <c r="K39" s="137">
        <v>0.0</v>
      </c>
      <c r="L39" s="137">
        <v>0.0</v>
      </c>
      <c r="M39" s="137">
        <v>0.0</v>
      </c>
      <c r="N39" s="137">
        <v>0.0</v>
      </c>
      <c r="O39" s="137">
        <v>0.0</v>
      </c>
      <c r="P39" s="137">
        <v>0.0</v>
      </c>
      <c r="Q39" s="137">
        <v>0.0</v>
      </c>
      <c r="R39" s="137">
        <v>0.0</v>
      </c>
      <c r="S39" s="137">
        <v>0.0</v>
      </c>
      <c r="T39" s="137">
        <v>0.0</v>
      </c>
      <c r="U39" s="137">
        <v>0.0</v>
      </c>
      <c r="V39" s="137">
        <v>0.0</v>
      </c>
      <c r="W39" s="137">
        <v>0.0</v>
      </c>
      <c r="X39" s="137">
        <v>0.0</v>
      </c>
      <c r="Y39" s="137">
        <v>0.0</v>
      </c>
      <c r="Z39" s="137">
        <v>0.0</v>
      </c>
      <c r="AA39" s="137">
        <v>0.0</v>
      </c>
      <c r="AB39" s="137">
        <v>0.0</v>
      </c>
      <c r="AC39" s="137">
        <v>0.0</v>
      </c>
      <c r="AD39" s="137">
        <v>0.0</v>
      </c>
      <c r="AE39" s="137">
        <v>0.0</v>
      </c>
      <c r="AF39" s="137">
        <v>0.0</v>
      </c>
      <c r="AG39" s="137">
        <v>0.0</v>
      </c>
      <c r="AH39" s="175">
        <v>100.0</v>
      </c>
      <c r="AI39" s="137">
        <v>300.0</v>
      </c>
      <c r="AJ39" s="137">
        <v>100.0</v>
      </c>
      <c r="AK39" s="137">
        <v>175.0</v>
      </c>
      <c r="AL39" s="137">
        <v>175.0</v>
      </c>
      <c r="AM39" s="137">
        <v>175.0</v>
      </c>
      <c r="AN39" s="137">
        <v>175.0</v>
      </c>
      <c r="AO39" s="137">
        <v>175.0</v>
      </c>
      <c r="AP39" s="137">
        <v>175.0</v>
      </c>
      <c r="AQ39" s="137">
        <v>175.0</v>
      </c>
      <c r="AR39" s="137">
        <v>175.0</v>
      </c>
      <c r="AS39" s="137">
        <v>175.0</v>
      </c>
      <c r="AT39" s="137">
        <v>175.0</v>
      </c>
      <c r="AU39" s="137">
        <v>175.0</v>
      </c>
      <c r="AV39" s="137">
        <v>175.0</v>
      </c>
      <c r="AW39" s="137">
        <v>175.0</v>
      </c>
      <c r="AX39" s="137">
        <v>175.0</v>
      </c>
      <c r="AY39" s="137">
        <v>175.0</v>
      </c>
      <c r="AZ39" s="137">
        <v>175.0</v>
      </c>
      <c r="BA39" s="137">
        <v>-175.0</v>
      </c>
      <c r="BB39" s="137">
        <v>-175.0</v>
      </c>
      <c r="BC39" s="137">
        <v>-175.0</v>
      </c>
      <c r="BD39" s="137">
        <v>-175.0</v>
      </c>
      <c r="BE39" s="191">
        <f>sum(-175,-1200)</f>
        <v>-1375</v>
      </c>
      <c r="BF39" s="194">
        <f>sum(-175)</f>
        <v>-175</v>
      </c>
      <c r="BG39" s="194">
        <f>sum(-175,-185)</f>
        <v>-360</v>
      </c>
      <c r="BH39" s="194">
        <f t="shared" ref="BH39:BI39" si="88">sum(-175,-800)</f>
        <v>-975</v>
      </c>
      <c r="BI39" s="194">
        <f t="shared" si="88"/>
        <v>-975</v>
      </c>
      <c r="BJ39" s="194">
        <f>sum(-175)</f>
        <v>-175</v>
      </c>
      <c r="BK39" s="195"/>
      <c r="BL39" s="194">
        <f>sum(-175)</f>
        <v>-175</v>
      </c>
      <c r="BM39" s="194">
        <f t="shared" ref="BM39:BV39" si="89">sum(-175,-800)</f>
        <v>-975</v>
      </c>
      <c r="BN39" s="194">
        <f t="shared" si="89"/>
        <v>-975</v>
      </c>
      <c r="BO39" s="194">
        <f t="shared" si="89"/>
        <v>-975</v>
      </c>
      <c r="BP39" s="194">
        <f t="shared" si="89"/>
        <v>-975</v>
      </c>
      <c r="BQ39" s="194">
        <f t="shared" si="89"/>
        <v>-975</v>
      </c>
      <c r="BR39" s="194">
        <f t="shared" si="89"/>
        <v>-975</v>
      </c>
      <c r="BS39" s="194">
        <f t="shared" si="89"/>
        <v>-975</v>
      </c>
      <c r="BT39" s="194">
        <f t="shared" si="89"/>
        <v>-975</v>
      </c>
      <c r="BU39" s="194">
        <f t="shared" si="89"/>
        <v>-975</v>
      </c>
      <c r="BV39" s="194">
        <f t="shared" si="89"/>
        <v>-975</v>
      </c>
      <c r="BW39" s="194">
        <f>sum(-175)</f>
        <v>-175</v>
      </c>
    </row>
    <row r="40">
      <c r="A40" s="188" t="s">
        <v>232</v>
      </c>
      <c r="B40" s="144" t="s">
        <v>233</v>
      </c>
      <c r="C40" s="137"/>
      <c r="D40" s="137"/>
      <c r="E40" s="137">
        <v>50.0</v>
      </c>
      <c r="F40" s="137">
        <v>50.0</v>
      </c>
      <c r="G40" s="137">
        <v>50.0</v>
      </c>
      <c r="H40" s="137">
        <v>50.0</v>
      </c>
      <c r="I40" s="137">
        <v>100.0</v>
      </c>
      <c r="J40" s="137">
        <f>30+40</f>
        <v>70</v>
      </c>
      <c r="K40" s="137">
        <v>0.0</v>
      </c>
      <c r="L40" s="137">
        <v>50.0</v>
      </c>
      <c r="M40" s="137">
        <v>50.0</v>
      </c>
      <c r="N40" s="137">
        <v>20.0</v>
      </c>
      <c r="O40" s="137">
        <v>0.0</v>
      </c>
      <c r="P40" s="137">
        <v>50.0</v>
      </c>
      <c r="Q40" s="137">
        <v>30.0</v>
      </c>
      <c r="R40" s="137">
        <f>15+35</f>
        <v>50</v>
      </c>
      <c r="S40" s="137">
        <v>10.0</v>
      </c>
      <c r="T40" s="137">
        <v>40.0</v>
      </c>
      <c r="U40" s="137">
        <v>30.0</v>
      </c>
      <c r="V40" s="137">
        <f>sum(30,100)</f>
        <v>130</v>
      </c>
      <c r="W40" s="137">
        <v>30.0</v>
      </c>
      <c r="X40" s="137">
        <v>30.0</v>
      </c>
      <c r="Y40" s="137">
        <v>30.0</v>
      </c>
      <c r="Z40" s="137">
        <v>10.0</v>
      </c>
      <c r="AA40" s="137">
        <v>10.0</v>
      </c>
      <c r="AB40" s="137">
        <v>10.0</v>
      </c>
      <c r="AC40" s="137">
        <v>10.0</v>
      </c>
      <c r="AD40" s="137">
        <v>10.0</v>
      </c>
      <c r="AE40" s="137">
        <v>10.0</v>
      </c>
      <c r="AF40" s="137">
        <v>10.0</v>
      </c>
      <c r="AG40" s="137">
        <v>10.0</v>
      </c>
      <c r="AH40" s="175">
        <v>10.0</v>
      </c>
      <c r="AI40" s="137">
        <v>10.0</v>
      </c>
      <c r="AJ40" s="137">
        <v>10.0</v>
      </c>
      <c r="AK40" s="137">
        <v>10.0</v>
      </c>
      <c r="AL40" s="137">
        <v>10.0</v>
      </c>
      <c r="AM40" s="137">
        <v>10.0</v>
      </c>
      <c r="AN40" s="137">
        <v>10.0</v>
      </c>
      <c r="AO40" s="137">
        <v>10.0</v>
      </c>
      <c r="AP40" s="137">
        <v>10.0</v>
      </c>
      <c r="AQ40" s="137">
        <v>10.0</v>
      </c>
      <c r="AR40" s="137">
        <v>10.0</v>
      </c>
      <c r="AS40" s="137">
        <v>0.0</v>
      </c>
      <c r="AT40" s="137">
        <v>10.0</v>
      </c>
      <c r="AU40" s="137">
        <v>10.0</v>
      </c>
      <c r="AV40" s="137">
        <v>10.0</v>
      </c>
      <c r="AW40" s="137">
        <v>30.0</v>
      </c>
      <c r="AX40" s="137">
        <v>30.0</v>
      </c>
      <c r="AY40" s="137">
        <v>30.0</v>
      </c>
      <c r="AZ40" s="137">
        <v>30.0</v>
      </c>
      <c r="BA40" s="137">
        <v>-30.0</v>
      </c>
      <c r="BB40" s="137">
        <v>-30.0</v>
      </c>
      <c r="BC40" s="137">
        <v>-30.0</v>
      </c>
      <c r="BD40" s="137">
        <f t="shared" ref="BD40:BJ40" si="90">sum(-30,-50)</f>
        <v>-80</v>
      </c>
      <c r="BE40" s="137">
        <f t="shared" si="90"/>
        <v>-80</v>
      </c>
      <c r="BF40" s="137">
        <f t="shared" si="90"/>
        <v>-80</v>
      </c>
      <c r="BG40" s="137">
        <f t="shared" si="90"/>
        <v>-80</v>
      </c>
      <c r="BH40" s="137">
        <f t="shared" si="90"/>
        <v>-80</v>
      </c>
      <c r="BI40" s="137">
        <f t="shared" si="90"/>
        <v>-80</v>
      </c>
      <c r="BJ40" s="137">
        <f t="shared" si="90"/>
        <v>-80</v>
      </c>
      <c r="BK40" s="175"/>
      <c r="BL40" s="137">
        <f t="shared" ref="BL40:BW40" si="91">sum(-30,-50)</f>
        <v>-80</v>
      </c>
      <c r="BM40" s="137">
        <f t="shared" si="91"/>
        <v>-80</v>
      </c>
      <c r="BN40" s="137">
        <f t="shared" si="91"/>
        <v>-80</v>
      </c>
      <c r="BO40" s="137">
        <f t="shared" si="91"/>
        <v>-80</v>
      </c>
      <c r="BP40" s="137">
        <f t="shared" si="91"/>
        <v>-80</v>
      </c>
      <c r="BQ40" s="137">
        <f t="shared" si="91"/>
        <v>-80</v>
      </c>
      <c r="BR40" s="137">
        <f t="shared" si="91"/>
        <v>-80</v>
      </c>
      <c r="BS40" s="137">
        <f t="shared" si="91"/>
        <v>-80</v>
      </c>
      <c r="BT40" s="137">
        <f t="shared" si="91"/>
        <v>-80</v>
      </c>
      <c r="BU40" s="137">
        <f t="shared" si="91"/>
        <v>-80</v>
      </c>
      <c r="BV40" s="137">
        <f t="shared" si="91"/>
        <v>-80</v>
      </c>
      <c r="BW40" s="137">
        <f t="shared" si="91"/>
        <v>-80</v>
      </c>
    </row>
    <row r="41">
      <c r="A41" s="199"/>
      <c r="B41" s="144" t="s">
        <v>234</v>
      </c>
      <c r="C41" s="137"/>
      <c r="D41" s="137"/>
      <c r="E41" s="137"/>
      <c r="F41" s="137"/>
      <c r="G41" s="137"/>
      <c r="H41" s="175"/>
      <c r="I41" s="137"/>
      <c r="J41" s="137"/>
      <c r="K41" s="137">
        <v>0.0</v>
      </c>
      <c r="L41" s="137">
        <v>0.0</v>
      </c>
      <c r="M41" s="137">
        <v>0.0</v>
      </c>
      <c r="N41" s="194">
        <v>250.0</v>
      </c>
      <c r="O41" s="137">
        <v>0.0</v>
      </c>
      <c r="P41" s="194">
        <v>200.0</v>
      </c>
      <c r="Q41" s="189">
        <v>0.0</v>
      </c>
      <c r="R41" s="137">
        <v>0.0</v>
      </c>
      <c r="S41" s="193">
        <f>0</f>
        <v>0</v>
      </c>
      <c r="T41" s="193">
        <f>840+450</f>
        <v>1290</v>
      </c>
      <c r="U41" s="137">
        <v>0.0</v>
      </c>
      <c r="V41" s="137">
        <v>0.0</v>
      </c>
      <c r="W41" s="137">
        <v>0.0</v>
      </c>
      <c r="X41" s="137">
        <v>0.0</v>
      </c>
      <c r="Y41" s="137">
        <v>0.0</v>
      </c>
      <c r="Z41" s="137">
        <v>0.0</v>
      </c>
      <c r="AA41" s="137">
        <v>0.0</v>
      </c>
      <c r="AB41" s="137">
        <v>0.0</v>
      </c>
      <c r="AC41" s="137">
        <v>0.0</v>
      </c>
      <c r="AD41" s="137">
        <v>0.0</v>
      </c>
      <c r="AE41" s="137">
        <v>0.0</v>
      </c>
      <c r="AF41" s="137">
        <v>0.0</v>
      </c>
      <c r="AG41" s="137">
        <v>0.0</v>
      </c>
      <c r="AH41" s="175">
        <v>0.0</v>
      </c>
      <c r="AI41" s="137">
        <v>0.0</v>
      </c>
      <c r="AJ41" s="137">
        <v>0.0</v>
      </c>
      <c r="AK41" s="137">
        <v>0.0</v>
      </c>
      <c r="AL41" s="137">
        <v>0.0</v>
      </c>
      <c r="AM41" s="137">
        <v>0.0</v>
      </c>
      <c r="AN41" s="137">
        <v>0.0</v>
      </c>
      <c r="AO41" s="137">
        <v>0.0</v>
      </c>
      <c r="AP41" s="137">
        <v>0.0</v>
      </c>
      <c r="AQ41" s="137">
        <v>0.0</v>
      </c>
      <c r="AR41" s="137">
        <v>0.0</v>
      </c>
      <c r="AS41" s="137">
        <v>0.0</v>
      </c>
      <c r="AT41" s="137">
        <v>0.0</v>
      </c>
      <c r="AU41" s="137">
        <v>0.0</v>
      </c>
      <c r="AV41" s="137">
        <v>0.0</v>
      </c>
      <c r="AW41" s="137">
        <v>0.0</v>
      </c>
      <c r="AX41" s="137">
        <v>0.0</v>
      </c>
      <c r="AY41" s="137">
        <v>0.0</v>
      </c>
      <c r="AZ41" s="137">
        <v>0.0</v>
      </c>
      <c r="BA41" s="137">
        <v>0.0</v>
      </c>
      <c r="BB41" s="137">
        <v>0.0</v>
      </c>
      <c r="BC41" s="137">
        <v>0.0</v>
      </c>
      <c r="BD41" s="137">
        <v>0.0</v>
      </c>
      <c r="BE41" s="137">
        <v>0.0</v>
      </c>
      <c r="BF41" s="137">
        <v>0.0</v>
      </c>
      <c r="BG41" s="137">
        <v>0.0</v>
      </c>
      <c r="BH41" s="137">
        <v>0.0</v>
      </c>
      <c r="BI41" s="137">
        <v>0.0</v>
      </c>
      <c r="BJ41" s="137">
        <v>0.0</v>
      </c>
      <c r="BK41" s="175"/>
      <c r="BL41" s="137">
        <v>0.0</v>
      </c>
      <c r="BM41" s="137">
        <v>0.0</v>
      </c>
      <c r="BN41" s="137">
        <v>0.0</v>
      </c>
      <c r="BO41" s="137">
        <v>0.0</v>
      </c>
      <c r="BP41" s="137">
        <v>0.0</v>
      </c>
      <c r="BQ41" s="137">
        <v>0.0</v>
      </c>
      <c r="BR41" s="137">
        <v>0.0</v>
      </c>
      <c r="BS41" s="137">
        <v>0.0</v>
      </c>
      <c r="BT41" s="137">
        <v>0.0</v>
      </c>
      <c r="BU41" s="137">
        <v>0.0</v>
      </c>
      <c r="BV41" s="137">
        <v>0.0</v>
      </c>
      <c r="BW41" s="137">
        <v>0.0</v>
      </c>
    </row>
    <row r="42">
      <c r="A42" s="199"/>
      <c r="B42" s="144" t="s">
        <v>235</v>
      </c>
      <c r="C42" s="137"/>
      <c r="D42" s="137"/>
      <c r="E42" s="137"/>
      <c r="F42" s="137"/>
      <c r="G42" s="137"/>
      <c r="H42" s="175"/>
      <c r="I42" s="137"/>
      <c r="J42" s="137"/>
      <c r="K42" s="137"/>
      <c r="L42" s="137"/>
      <c r="M42" s="137"/>
      <c r="N42" s="194"/>
      <c r="O42" s="137"/>
      <c r="P42" s="194"/>
      <c r="Q42" s="189"/>
      <c r="R42" s="137"/>
      <c r="S42" s="193"/>
      <c r="T42" s="193"/>
      <c r="U42" s="137"/>
      <c r="V42" s="137"/>
      <c r="W42" s="137"/>
      <c r="X42" s="194">
        <f>272+375</f>
        <v>647</v>
      </c>
      <c r="Y42" s="137">
        <v>0.0</v>
      </c>
      <c r="Z42" s="137">
        <v>0.0</v>
      </c>
      <c r="AA42" s="137">
        <v>0.0</v>
      </c>
      <c r="AB42" s="137">
        <v>0.0</v>
      </c>
      <c r="AC42" s="137">
        <v>0.0</v>
      </c>
      <c r="AD42" s="137">
        <v>0.0</v>
      </c>
      <c r="AE42" s="137">
        <v>0.0</v>
      </c>
      <c r="AF42" s="137">
        <v>0.0</v>
      </c>
      <c r="AG42" s="137">
        <v>0.0</v>
      </c>
      <c r="AH42" s="175">
        <v>0.0</v>
      </c>
      <c r="AI42" s="137">
        <v>0.0</v>
      </c>
      <c r="AJ42" s="137">
        <v>0.0</v>
      </c>
      <c r="AK42" s="137">
        <v>0.0</v>
      </c>
      <c r="AL42" s="137">
        <v>0.0</v>
      </c>
      <c r="AM42" s="137">
        <v>0.0</v>
      </c>
      <c r="AN42" s="137">
        <v>0.0</v>
      </c>
      <c r="AO42" s="137">
        <v>0.0</v>
      </c>
      <c r="AP42" s="137">
        <v>0.0</v>
      </c>
      <c r="AQ42" s="137">
        <v>0.0</v>
      </c>
      <c r="AR42" s="137">
        <v>0.0</v>
      </c>
      <c r="AS42" s="137">
        <v>0.0</v>
      </c>
      <c r="AT42" s="137">
        <v>0.0</v>
      </c>
      <c r="AU42" s="137">
        <v>0.0</v>
      </c>
      <c r="AV42" s="137">
        <v>0.0</v>
      </c>
      <c r="AW42" s="137">
        <v>0.0</v>
      </c>
      <c r="AX42" s="137">
        <v>0.0</v>
      </c>
      <c r="AY42" s="137">
        <v>0.0</v>
      </c>
      <c r="AZ42" s="137">
        <v>0.0</v>
      </c>
      <c r="BA42" s="137">
        <v>0.0</v>
      </c>
      <c r="BB42" s="137">
        <v>0.0</v>
      </c>
      <c r="BC42" s="137">
        <v>0.0</v>
      </c>
      <c r="BD42" s="137">
        <v>0.0</v>
      </c>
      <c r="BE42" s="137">
        <v>0.0</v>
      </c>
      <c r="BF42" s="137">
        <v>0.0</v>
      </c>
      <c r="BG42" s="137">
        <v>0.0</v>
      </c>
      <c r="BH42" s="137">
        <v>0.0</v>
      </c>
      <c r="BI42" s="137">
        <v>0.0</v>
      </c>
      <c r="BJ42" s="137">
        <v>0.0</v>
      </c>
      <c r="BK42" s="175"/>
      <c r="BL42" s="137">
        <v>0.0</v>
      </c>
      <c r="BM42" s="137">
        <v>0.0</v>
      </c>
      <c r="BN42" s="137">
        <v>0.0</v>
      </c>
      <c r="BO42" s="137">
        <v>0.0</v>
      </c>
      <c r="BP42" s="137">
        <v>0.0</v>
      </c>
      <c r="BQ42" s="137">
        <v>0.0</v>
      </c>
      <c r="BR42" s="137">
        <v>0.0</v>
      </c>
      <c r="BS42" s="137">
        <v>0.0</v>
      </c>
      <c r="BT42" s="137">
        <v>0.0</v>
      </c>
      <c r="BU42" s="137">
        <v>0.0</v>
      </c>
      <c r="BV42" s="137">
        <v>0.0</v>
      </c>
      <c r="BW42" s="137">
        <v>0.0</v>
      </c>
    </row>
    <row r="43">
      <c r="A43" s="199"/>
      <c r="B43" s="144" t="s">
        <v>31</v>
      </c>
      <c r="C43" s="137"/>
      <c r="D43" s="137"/>
      <c r="E43" s="137"/>
      <c r="F43" s="137"/>
      <c r="G43" s="137"/>
      <c r="H43" s="175"/>
      <c r="I43" s="137"/>
      <c r="J43" s="137"/>
      <c r="K43" s="137"/>
      <c r="L43" s="137"/>
      <c r="M43" s="137"/>
      <c r="N43" s="194"/>
      <c r="O43" s="137"/>
      <c r="P43" s="194"/>
      <c r="Q43" s="189"/>
      <c r="R43" s="137"/>
      <c r="S43" s="193"/>
      <c r="T43" s="194">
        <v>0.0</v>
      </c>
      <c r="U43" s="192">
        <v>0.0</v>
      </c>
      <c r="V43" s="137">
        <v>0.0</v>
      </c>
      <c r="W43" s="137">
        <v>0.0</v>
      </c>
      <c r="X43" s="194">
        <f>sum(700/2,50,500)</f>
        <v>900</v>
      </c>
      <c r="Y43" s="137">
        <v>0.0</v>
      </c>
      <c r="Z43" s="137">
        <v>0.0</v>
      </c>
      <c r="AA43" s="137">
        <v>0.0</v>
      </c>
      <c r="AB43" s="137">
        <v>0.0</v>
      </c>
      <c r="AC43" s="137">
        <v>0.0</v>
      </c>
      <c r="AD43" s="137">
        <v>0.0</v>
      </c>
      <c r="AE43" s="137">
        <v>0.0</v>
      </c>
      <c r="AF43" s="137">
        <v>0.0</v>
      </c>
      <c r="AG43" s="137">
        <v>0.0</v>
      </c>
      <c r="AH43" s="175">
        <v>0.0</v>
      </c>
      <c r="AI43" s="137">
        <v>0.0</v>
      </c>
      <c r="AJ43" s="137">
        <v>0.0</v>
      </c>
      <c r="AK43" s="137">
        <v>0.0</v>
      </c>
      <c r="AL43" s="137">
        <v>1500.0</v>
      </c>
      <c r="AM43" s="137">
        <v>0.0</v>
      </c>
      <c r="AN43" s="137">
        <v>0.0</v>
      </c>
      <c r="AO43" s="137">
        <v>0.0</v>
      </c>
      <c r="AP43" s="137">
        <v>0.0</v>
      </c>
      <c r="AQ43" s="137">
        <v>0.0</v>
      </c>
      <c r="AR43" s="137">
        <v>0.0</v>
      </c>
      <c r="AS43" s="137">
        <v>0.0</v>
      </c>
      <c r="AT43" s="137">
        <v>0.0</v>
      </c>
      <c r="AU43" s="137">
        <v>0.0</v>
      </c>
      <c r="AV43" s="137">
        <v>0.0</v>
      </c>
      <c r="AW43" s="137">
        <v>0.0</v>
      </c>
      <c r="AX43" s="194">
        <v>500.0</v>
      </c>
      <c r="AY43" s="137">
        <v>0.0</v>
      </c>
      <c r="AZ43" s="137">
        <v>0.0</v>
      </c>
      <c r="BA43" s="137">
        <v>0.0</v>
      </c>
      <c r="BB43" s="137">
        <v>0.0</v>
      </c>
      <c r="BC43" s="137">
        <v>0.0</v>
      </c>
      <c r="BD43" s="137">
        <v>0.0</v>
      </c>
      <c r="BE43" s="137">
        <v>0.0</v>
      </c>
      <c r="BF43" s="137">
        <v>0.0</v>
      </c>
      <c r="BG43" s="137">
        <v>0.0</v>
      </c>
      <c r="BH43" s="137">
        <v>0.0</v>
      </c>
      <c r="BI43" s="137">
        <v>0.0</v>
      </c>
      <c r="BJ43" s="137">
        <v>0.0</v>
      </c>
      <c r="BK43" s="175"/>
      <c r="BL43" s="137">
        <v>0.0</v>
      </c>
      <c r="BM43" s="137">
        <v>0.0</v>
      </c>
      <c r="BN43" s="137">
        <v>0.0</v>
      </c>
      <c r="BO43" s="137">
        <v>0.0</v>
      </c>
      <c r="BP43" s="137">
        <v>0.0</v>
      </c>
      <c r="BQ43" s="137">
        <v>0.0</v>
      </c>
      <c r="BR43" s="137">
        <v>0.0</v>
      </c>
      <c r="BS43" s="137">
        <v>0.0</v>
      </c>
      <c r="BT43" s="137">
        <v>0.0</v>
      </c>
      <c r="BU43" s="137">
        <v>0.0</v>
      </c>
      <c r="BV43" s="137">
        <v>0.0</v>
      </c>
      <c r="BW43" s="137">
        <v>0.0</v>
      </c>
    </row>
    <row r="44">
      <c r="A44" s="208"/>
      <c r="B44" s="209"/>
      <c r="C44" s="168"/>
      <c r="D44" s="210"/>
      <c r="E44" s="210"/>
      <c r="F44" s="210"/>
      <c r="G44" s="210"/>
      <c r="H44" s="211"/>
      <c r="I44" s="210"/>
      <c r="J44" s="210"/>
      <c r="K44" s="210"/>
      <c r="L44" s="210"/>
      <c r="M44" s="210"/>
      <c r="N44" s="210"/>
      <c r="O44" s="210"/>
      <c r="P44" s="212">
        <f>sum(P17:P41)/P13</f>
        <v>0.4229712568</v>
      </c>
      <c r="Q44" s="212">
        <f t="shared" ref="Q44:S44" si="92">sum(Q28:Q41)/Q13</f>
        <v>0.1376688722</v>
      </c>
      <c r="R44" s="212">
        <f t="shared" si="92"/>
        <v>0.1557641757</v>
      </c>
      <c r="S44" s="212">
        <f t="shared" si="92"/>
        <v>0.04717220391</v>
      </c>
      <c r="T44" s="212">
        <f t="shared" ref="T44:AZ44" si="93">sum(T28:T43)/T13</f>
        <v>0.5274487031</v>
      </c>
      <c r="U44" s="212">
        <f t="shared" si="93"/>
        <v>0.1974448316</v>
      </c>
      <c r="V44" s="212">
        <f t="shared" si="93"/>
        <v>0.4105068442</v>
      </c>
      <c r="W44" s="212">
        <f t="shared" si="93"/>
        <v>0.2327526132</v>
      </c>
      <c r="X44" s="212">
        <f t="shared" si="93"/>
        <v>0.5468060395</v>
      </c>
      <c r="Y44" s="212">
        <f t="shared" si="93"/>
        <v>0.1794733568</v>
      </c>
      <c r="Z44" s="212">
        <f t="shared" si="93"/>
        <v>0.4533363636</v>
      </c>
      <c r="AA44" s="212">
        <f t="shared" si="93"/>
        <v>0.4409573864</v>
      </c>
      <c r="AB44" s="212">
        <f t="shared" si="93"/>
        <v>0.2288636364</v>
      </c>
      <c r="AC44" s="212">
        <f t="shared" si="93"/>
        <v>0.3517090909</v>
      </c>
      <c r="AD44" s="212">
        <f t="shared" si="93"/>
        <v>0.162804878</v>
      </c>
      <c r="AE44" s="212">
        <f t="shared" si="93"/>
        <v>0.0974341661</v>
      </c>
      <c r="AF44" s="212">
        <f t="shared" si="93"/>
        <v>0.140990099</v>
      </c>
      <c r="AG44" s="212">
        <f t="shared" si="93"/>
        <v>0.1271428571</v>
      </c>
      <c r="AH44" s="213">
        <f t="shared" si="93"/>
        <v>0.1365891473</v>
      </c>
      <c r="AI44" s="212">
        <f t="shared" si="93"/>
        <v>0.2981102362</v>
      </c>
      <c r="AJ44" s="212">
        <f t="shared" si="93"/>
        <v>0.2508661417</v>
      </c>
      <c r="AK44" s="212">
        <f t="shared" si="93"/>
        <v>0.1298002663</v>
      </c>
      <c r="AL44" s="212">
        <f t="shared" si="93"/>
        <v>0.5724675325</v>
      </c>
      <c r="AM44" s="212">
        <f t="shared" si="93"/>
        <v>0.2596536797</v>
      </c>
      <c r="AN44" s="212">
        <f t="shared" si="93"/>
        <v>0.1391647332</v>
      </c>
      <c r="AO44" s="212">
        <f t="shared" si="93"/>
        <v>0.2389641434</v>
      </c>
      <c r="AP44" s="212">
        <f t="shared" si="93"/>
        <v>0.1505069124</v>
      </c>
      <c r="AQ44" s="212">
        <f t="shared" si="93"/>
        <v>0.2596536797</v>
      </c>
      <c r="AR44" s="212">
        <f t="shared" si="93"/>
        <v>0.2596536797</v>
      </c>
      <c r="AS44" s="212">
        <f t="shared" si="93"/>
        <v>0.2620779221</v>
      </c>
      <c r="AT44" s="212">
        <f t="shared" si="93"/>
        <v>0.1839752017</v>
      </c>
      <c r="AU44" s="212">
        <f t="shared" si="93"/>
        <v>0.1080720721</v>
      </c>
      <c r="AV44" s="212">
        <f t="shared" si="93"/>
        <v>0.2596536797</v>
      </c>
      <c r="AW44" s="212">
        <f t="shared" si="93"/>
        <v>0.283030303</v>
      </c>
      <c r="AX44" s="212">
        <f t="shared" si="93"/>
        <v>0.2530549214</v>
      </c>
      <c r="AY44" s="212">
        <f t="shared" si="93"/>
        <v>0.227804878</v>
      </c>
      <c r="AZ44" s="212">
        <f t="shared" si="93"/>
        <v>0.1667513612</v>
      </c>
      <c r="BA44" s="212"/>
      <c r="BB44" s="212"/>
      <c r="BC44" s="212"/>
      <c r="BD44" s="212"/>
      <c r="BE44" s="212"/>
      <c r="BF44" s="212"/>
      <c r="BG44" s="212"/>
      <c r="BH44" s="212"/>
      <c r="BI44" s="212"/>
      <c r="BJ44" s="212"/>
      <c r="BK44" s="213"/>
      <c r="BL44" s="212"/>
      <c r="BM44" s="212"/>
      <c r="BN44" s="212"/>
      <c r="BO44" s="212"/>
      <c r="BP44" s="212"/>
      <c r="BQ44" s="212"/>
      <c r="BR44" s="212"/>
      <c r="BS44" s="212"/>
      <c r="BT44" s="212"/>
      <c r="BU44" s="212"/>
      <c r="BV44" s="212"/>
      <c r="BW44" s="212"/>
    </row>
    <row r="45">
      <c r="A45" s="171" t="s">
        <v>236</v>
      </c>
      <c r="B45" s="172"/>
      <c r="C45" s="137">
        <f t="shared" ref="C45:G45" si="94">sum(C17:C40)</f>
        <v>2850.475</v>
      </c>
      <c r="D45" s="137">
        <f t="shared" si="94"/>
        <v>2700.475</v>
      </c>
      <c r="E45" s="137">
        <f t="shared" si="94"/>
        <v>3250.475</v>
      </c>
      <c r="F45" s="137">
        <f t="shared" si="94"/>
        <v>3499.265</v>
      </c>
      <c r="G45" s="137">
        <f t="shared" si="94"/>
        <v>2895.475</v>
      </c>
      <c r="H45" s="175">
        <f t="shared" ref="H45:M45" si="95">sum(H23:H40)</f>
        <v>785</v>
      </c>
      <c r="I45" s="137">
        <f t="shared" si="95"/>
        <v>2273</v>
      </c>
      <c r="J45" s="137">
        <f t="shared" si="95"/>
        <v>3319</v>
      </c>
      <c r="K45" s="137">
        <f t="shared" si="95"/>
        <v>3083</v>
      </c>
      <c r="L45" s="137">
        <f t="shared" si="95"/>
        <v>3545</v>
      </c>
      <c r="M45" s="137">
        <f t="shared" si="95"/>
        <v>1923</v>
      </c>
      <c r="N45" s="137">
        <f t="shared" ref="N45:O45" si="96">sum(N23:N41)</f>
        <v>3152</v>
      </c>
      <c r="O45" s="137">
        <f t="shared" si="96"/>
        <v>2351</v>
      </c>
      <c r="P45" s="137">
        <f t="shared" ref="P45:S45" si="97">sum(P17:P41)</f>
        <v>5021.937732</v>
      </c>
      <c r="Q45" s="137">
        <f t="shared" si="97"/>
        <v>3812.781736</v>
      </c>
      <c r="R45" s="137">
        <f t="shared" si="97"/>
        <v>3794.099072</v>
      </c>
      <c r="S45" s="137">
        <f t="shared" si="97"/>
        <v>3076.949944</v>
      </c>
      <c r="T45" s="137">
        <f t="shared" ref="T45:X45" si="98">sum(T17:T43)</f>
        <v>6218.120414</v>
      </c>
      <c r="U45" s="137">
        <f t="shared" si="98"/>
        <v>1855.089818</v>
      </c>
      <c r="V45" s="137">
        <f t="shared" si="98"/>
        <v>4730.289456</v>
      </c>
      <c r="W45" s="137">
        <f t="shared" si="98"/>
        <v>3161.256756</v>
      </c>
      <c r="X45" s="137">
        <f t="shared" si="98"/>
        <v>6665.485327</v>
      </c>
      <c r="Y45" s="137">
        <f t="shared" ref="Y45:BJ45" si="99">sum(Y17:Y25,Y28:Y43)</f>
        <v>5063.475</v>
      </c>
      <c r="Z45" s="137">
        <f t="shared" si="99"/>
        <v>6769.65</v>
      </c>
      <c r="AA45" s="137">
        <f t="shared" si="99"/>
        <v>6823.99</v>
      </c>
      <c r="AB45" s="137">
        <f t="shared" si="99"/>
        <v>4957.565</v>
      </c>
      <c r="AC45" s="137">
        <f t="shared" si="99"/>
        <v>6158.565</v>
      </c>
      <c r="AD45" s="137">
        <f t="shared" si="99"/>
        <v>4358.565</v>
      </c>
      <c r="AE45" s="137">
        <f t="shared" si="99"/>
        <v>4858.565</v>
      </c>
      <c r="AF45" s="137">
        <f t="shared" si="99"/>
        <v>4358.565</v>
      </c>
      <c r="AG45" s="137">
        <f t="shared" si="99"/>
        <v>4358.565</v>
      </c>
      <c r="AH45" s="175">
        <f t="shared" si="99"/>
        <v>10512.09</v>
      </c>
      <c r="AI45" s="137">
        <f t="shared" si="99"/>
        <v>5739.09</v>
      </c>
      <c r="AJ45" s="137">
        <f t="shared" si="99"/>
        <v>5539.09</v>
      </c>
      <c r="AK45" s="137">
        <f t="shared" si="99"/>
        <v>5827</v>
      </c>
      <c r="AL45" s="137">
        <f t="shared" si="99"/>
        <v>10177</v>
      </c>
      <c r="AM45" s="137">
        <f t="shared" si="99"/>
        <v>6364</v>
      </c>
      <c r="AN45" s="137">
        <f t="shared" si="99"/>
        <v>6364</v>
      </c>
      <c r="AO45" s="137">
        <f t="shared" si="99"/>
        <v>6364</v>
      </c>
      <c r="AP45" s="137">
        <f t="shared" si="99"/>
        <v>8289</v>
      </c>
      <c r="AQ45" s="137">
        <f t="shared" si="99"/>
        <v>6389</v>
      </c>
      <c r="AR45" s="137">
        <f t="shared" si="99"/>
        <v>6389</v>
      </c>
      <c r="AS45" s="137">
        <f t="shared" si="99"/>
        <v>6417</v>
      </c>
      <c r="AT45" s="137">
        <f t="shared" si="99"/>
        <v>6389</v>
      </c>
      <c r="AU45" s="137">
        <f t="shared" si="99"/>
        <v>6489</v>
      </c>
      <c r="AV45" s="137">
        <f t="shared" si="99"/>
        <v>6489</v>
      </c>
      <c r="AW45" s="137">
        <f t="shared" si="99"/>
        <v>6909</v>
      </c>
      <c r="AX45" s="137">
        <f t="shared" si="99"/>
        <v>7409</v>
      </c>
      <c r="AY45" s="137">
        <f t="shared" si="99"/>
        <v>6909</v>
      </c>
      <c r="AZ45" s="137">
        <f t="shared" si="99"/>
        <v>8234</v>
      </c>
      <c r="BA45" s="137">
        <f t="shared" si="99"/>
        <v>-7117</v>
      </c>
      <c r="BB45" s="137">
        <f t="shared" si="99"/>
        <v>-7117</v>
      </c>
      <c r="BC45" s="137">
        <f t="shared" si="99"/>
        <v>-8817</v>
      </c>
      <c r="BD45" s="137">
        <f t="shared" si="99"/>
        <v>-14513</v>
      </c>
      <c r="BE45" s="137">
        <f t="shared" si="99"/>
        <v>-8417</v>
      </c>
      <c r="BF45" s="137">
        <f t="shared" si="99"/>
        <v>-6667</v>
      </c>
      <c r="BG45" s="137">
        <f t="shared" si="99"/>
        <v>-7952</v>
      </c>
      <c r="BH45" s="137">
        <f t="shared" si="99"/>
        <v>-8067</v>
      </c>
      <c r="BI45" s="137">
        <f t="shared" si="99"/>
        <v>-19567</v>
      </c>
      <c r="BJ45" s="137">
        <f t="shared" si="99"/>
        <v>-19267</v>
      </c>
      <c r="BK45" s="175"/>
      <c r="BL45" s="137">
        <f t="shared" ref="BL45:BW45" si="100">sum(BL17:BL25,BL28:BL43)</f>
        <v>-9267</v>
      </c>
      <c r="BM45" s="137">
        <f t="shared" si="100"/>
        <v>-10067</v>
      </c>
      <c r="BN45" s="137">
        <f t="shared" si="100"/>
        <v>-10067</v>
      </c>
      <c r="BO45" s="137">
        <f t="shared" si="100"/>
        <v>-10067</v>
      </c>
      <c r="BP45" s="137">
        <f t="shared" si="100"/>
        <v>-10067</v>
      </c>
      <c r="BQ45" s="137">
        <f t="shared" si="100"/>
        <v>-10067</v>
      </c>
      <c r="BR45" s="137">
        <f t="shared" si="100"/>
        <v>-9267</v>
      </c>
      <c r="BS45" s="137">
        <f t="shared" si="100"/>
        <v>-9267</v>
      </c>
      <c r="BT45" s="137">
        <f t="shared" si="100"/>
        <v>-9267</v>
      </c>
      <c r="BU45" s="137">
        <f t="shared" si="100"/>
        <v>-9267</v>
      </c>
      <c r="BV45" s="137">
        <f t="shared" si="100"/>
        <v>-9267</v>
      </c>
      <c r="BW45" s="137">
        <f t="shared" si="100"/>
        <v>-8467</v>
      </c>
    </row>
    <row r="46">
      <c r="A46" s="215"/>
      <c r="B46" s="183"/>
      <c r="C46" s="183"/>
      <c r="D46" s="183"/>
      <c r="E46" s="183"/>
      <c r="F46" s="183"/>
      <c r="G46" s="183"/>
      <c r="H46" s="184"/>
      <c r="I46" s="183"/>
      <c r="J46" s="183"/>
      <c r="K46" s="183"/>
      <c r="L46" s="183"/>
      <c r="M46" s="183"/>
      <c r="N46" s="183"/>
      <c r="O46" s="183"/>
      <c r="P46" s="183"/>
      <c r="Q46" s="216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4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  <c r="BA46" s="183"/>
      <c r="BB46" s="183"/>
      <c r="BC46" s="183"/>
      <c r="BD46" s="183"/>
      <c r="BE46" s="183"/>
      <c r="BF46" s="183"/>
      <c r="BG46" s="183"/>
      <c r="BH46" s="183"/>
      <c r="BI46" s="183"/>
      <c r="BJ46" s="183"/>
      <c r="BK46" s="184"/>
      <c r="BL46" s="183"/>
      <c r="BM46" s="183"/>
      <c r="BN46" s="183"/>
      <c r="BO46" s="183"/>
      <c r="BP46" s="183"/>
      <c r="BQ46" s="183"/>
      <c r="BR46" s="183"/>
      <c r="BS46" s="183"/>
      <c r="BT46" s="183"/>
      <c r="BU46" s="183"/>
      <c r="BV46" s="183"/>
      <c r="BW46" s="183"/>
    </row>
    <row r="47">
      <c r="A47" s="186" t="s">
        <v>570</v>
      </c>
      <c r="B47" s="187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4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4"/>
      <c r="BL47" s="133"/>
      <c r="BM47" s="133"/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</row>
    <row r="48">
      <c r="A48" s="135" t="s">
        <v>571</v>
      </c>
      <c r="B48" s="136"/>
      <c r="C48" s="137"/>
      <c r="D48" s="137"/>
      <c r="E48" s="137"/>
      <c r="F48" s="137"/>
      <c r="G48" s="137"/>
      <c r="H48" s="137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40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40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</row>
    <row r="49">
      <c r="A49" s="199"/>
      <c r="B49" s="144" t="s">
        <v>239</v>
      </c>
      <c r="C49" s="137">
        <v>2500.0</v>
      </c>
      <c r="D49" s="137">
        <v>4500.0</v>
      </c>
      <c r="E49" s="137">
        <v>2800.0</v>
      </c>
      <c r="F49" s="137">
        <v>2800.0</v>
      </c>
      <c r="G49" s="137">
        <v>2000.0</v>
      </c>
      <c r="H49" s="175">
        <v>3093.0</v>
      </c>
      <c r="I49" s="137">
        <v>1600.0</v>
      </c>
      <c r="J49" s="137">
        <f>'PAYMENT SCHEDULE'!C13+'PAYMENT SCHEDULE'!C29</f>
        <v>3200</v>
      </c>
      <c r="K49" s="194">
        <f>LIABILITIES!E26</f>
        <v>1000</v>
      </c>
      <c r="L49" s="194">
        <f>LIABILITIES!E26</f>
        <v>1000</v>
      </c>
      <c r="M49" s="217" t="str">
        <f>'PAYMENT SCHEDULE'!C33</f>
        <v/>
      </c>
      <c r="N49" s="194">
        <f>N13*0.25</f>
        <v>1732.5</v>
      </c>
      <c r="O49" s="194">
        <f>O13*0.35</f>
        <v>2520</v>
      </c>
      <c r="P49" s="194">
        <v>5956.0</v>
      </c>
      <c r="Q49" s="194">
        <v>2008.0</v>
      </c>
      <c r="R49" s="194">
        <f>R13*0.4</f>
        <v>2663</v>
      </c>
      <c r="S49" s="194">
        <v>5600.0</v>
      </c>
      <c r="T49" s="194">
        <f>T13*0.25</f>
        <v>1614.375</v>
      </c>
      <c r="U49" s="194">
        <f>U13*0.4</f>
        <v>2583</v>
      </c>
      <c r="V49" s="194">
        <f>3397</f>
        <v>3397</v>
      </c>
      <c r="W49" s="194">
        <f>W13*0.3</f>
        <v>1937.25</v>
      </c>
      <c r="X49" s="137">
        <f>X$13*0.11</f>
        <v>710.325</v>
      </c>
      <c r="Y49" s="137">
        <f t="shared" ref="Y49:Z49" si="101">Y$13*0.1</f>
        <v>1205.75</v>
      </c>
      <c r="Z49" s="137">
        <f t="shared" si="101"/>
        <v>880</v>
      </c>
      <c r="AA49" s="202">
        <f>AA$13*0.33</f>
        <v>2904</v>
      </c>
      <c r="AB49" s="203">
        <f t="shared" ref="AB49:AC49" si="102">AB$13*0.2</f>
        <v>1760</v>
      </c>
      <c r="AC49" s="203">
        <f t="shared" si="102"/>
        <v>1833.333333</v>
      </c>
      <c r="AD49" s="203">
        <f>AD$13*0.25</f>
        <v>2186.666667</v>
      </c>
      <c r="AE49" s="203">
        <f>AE$13*0.7</f>
        <v>13822.66667</v>
      </c>
      <c r="AF49" s="137">
        <f>AF$13*0.25</f>
        <v>2525</v>
      </c>
      <c r="AG49" s="137">
        <f t="shared" ref="AG49:AH49" si="103">AG$13*0.15</f>
        <v>1680</v>
      </c>
      <c r="AH49" s="175">
        <f t="shared" si="103"/>
        <v>3870</v>
      </c>
      <c r="AI49" s="137">
        <f t="shared" ref="AI49:AK49" si="104">AI$13*0.18</f>
        <v>1524</v>
      </c>
      <c r="AJ49" s="137">
        <f t="shared" si="104"/>
        <v>1524</v>
      </c>
      <c r="AK49" s="137">
        <f t="shared" si="104"/>
        <v>3379.5</v>
      </c>
      <c r="AL49" s="137">
        <f>AL$13*0.05</f>
        <v>577.5</v>
      </c>
      <c r="AM49" s="137">
        <f>AM$13*0.1</f>
        <v>1155</v>
      </c>
      <c r="AN49" s="137">
        <f>AN$13*0.4</f>
        <v>8620</v>
      </c>
      <c r="AO49" s="137">
        <f>AO$13*0.1</f>
        <v>1255</v>
      </c>
      <c r="AP49" s="137">
        <f>17000</f>
        <v>17000</v>
      </c>
      <c r="AQ49" s="137">
        <f>AQ$13*0.1</f>
        <v>1155</v>
      </c>
      <c r="AR49" s="137">
        <f t="shared" ref="AR49:AS49" si="105">AR$13*0.3</f>
        <v>3465</v>
      </c>
      <c r="AS49" s="137">
        <f t="shared" si="105"/>
        <v>3465</v>
      </c>
      <c r="AT49" s="137">
        <f>AT$13*0.5</f>
        <v>8150.555</v>
      </c>
      <c r="AU49" s="137">
        <f>AU$13*0.2</f>
        <v>5550</v>
      </c>
      <c r="AV49" s="137">
        <f>AV$13*0.1</f>
        <v>1155</v>
      </c>
      <c r="AW49" s="137">
        <f>AW$13*0.1+2530</f>
        <v>3685</v>
      </c>
      <c r="AX49" s="194">
        <f>AX$13*0.1+2000</f>
        <v>3489.4</v>
      </c>
      <c r="AY49" s="137">
        <f>AY$13*0.1</f>
        <v>1435</v>
      </c>
      <c r="AZ49" s="218">
        <v>16000.0</v>
      </c>
      <c r="BA49" s="137">
        <v>-15000.0</v>
      </c>
      <c r="BB49" s="137">
        <v>-2400.0</v>
      </c>
      <c r="BC49" s="137">
        <v>-5000.0</v>
      </c>
      <c r="BD49" s="137">
        <v>-2400.0</v>
      </c>
      <c r="BE49" s="137">
        <v>-2400.0</v>
      </c>
      <c r="BF49" s="137">
        <v>-5000.0</v>
      </c>
      <c r="BG49" s="137">
        <f>-4500</f>
        <v>-4500</v>
      </c>
      <c r="BH49" s="194">
        <f>sum(-2500,-10000)</f>
        <v>-12500</v>
      </c>
      <c r="BI49" s="194">
        <f>sum(-95000,-95000)</f>
        <v>-190000</v>
      </c>
      <c r="BJ49" s="194">
        <f>sum(0)</f>
        <v>0</v>
      </c>
      <c r="BK49" s="175"/>
      <c r="BL49" s="137">
        <v>0.0</v>
      </c>
      <c r="BM49" s="137">
        <v>0.0</v>
      </c>
      <c r="BN49" s="137">
        <v>0.0</v>
      </c>
      <c r="BO49" s="137">
        <v>0.0</v>
      </c>
      <c r="BP49" s="137">
        <v>0.0</v>
      </c>
      <c r="BQ49" s="137">
        <v>0.0</v>
      </c>
      <c r="BR49" s="137">
        <v>0.0</v>
      </c>
      <c r="BS49" s="137">
        <v>0.0</v>
      </c>
      <c r="BT49" s="137">
        <v>0.0</v>
      </c>
      <c r="BU49" s="137">
        <v>0.0</v>
      </c>
      <c r="BV49" s="137">
        <v>0.0</v>
      </c>
      <c r="BW49" s="137">
        <v>0.0</v>
      </c>
    </row>
    <row r="50">
      <c r="A50" s="135" t="s">
        <v>572</v>
      </c>
      <c r="B50" s="136"/>
      <c r="C50" s="137"/>
      <c r="D50" s="137"/>
      <c r="E50" s="137"/>
      <c r="F50" s="137"/>
      <c r="G50" s="137"/>
      <c r="H50" s="137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40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40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</row>
    <row r="51">
      <c r="A51" s="219"/>
      <c r="B51" s="220" t="s">
        <v>241</v>
      </c>
      <c r="C51" s="137"/>
      <c r="D51" s="137"/>
      <c r="E51" s="137"/>
      <c r="F51" s="137"/>
      <c r="G51" s="137"/>
      <c r="H51" s="175"/>
      <c r="I51" s="137">
        <v>0.0</v>
      </c>
      <c r="J51" s="137">
        <v>0.0</v>
      </c>
      <c r="K51" s="137">
        <f t="shared" ref="K51:L51" si="106">K13*0</f>
        <v>0</v>
      </c>
      <c r="L51" s="137">
        <f t="shared" si="106"/>
        <v>0</v>
      </c>
      <c r="M51" s="137">
        <v>0.0</v>
      </c>
      <c r="N51" s="137">
        <v>25.0</v>
      </c>
      <c r="O51" s="137">
        <v>25.0</v>
      </c>
      <c r="P51" s="137">
        <v>20.0</v>
      </c>
      <c r="Q51" s="137">
        <v>25.0</v>
      </c>
      <c r="R51" s="137">
        <v>0.0</v>
      </c>
      <c r="S51" s="137">
        <v>0.0</v>
      </c>
      <c r="T51" s="137">
        <v>0.0</v>
      </c>
      <c r="U51" s="137">
        <v>0.0</v>
      </c>
      <c r="V51" s="137">
        <v>0.0</v>
      </c>
      <c r="W51" s="137">
        <v>0.0</v>
      </c>
      <c r="X51" s="137">
        <f t="shared" ref="X51:Y51" si="107">$X$13*0.03</f>
        <v>193.725</v>
      </c>
      <c r="Y51" s="137">
        <f t="shared" si="107"/>
        <v>193.725</v>
      </c>
      <c r="Z51" s="137">
        <f t="shared" ref="Z51:Z52" si="115">$X$13*0.1</f>
        <v>645.75</v>
      </c>
      <c r="AA51" s="137">
        <f t="shared" ref="AA51:AC51" si="108">$X$13*0.03</f>
        <v>193.725</v>
      </c>
      <c r="AB51" s="137">
        <f t="shared" si="108"/>
        <v>193.725</v>
      </c>
      <c r="AC51" s="137">
        <f t="shared" si="108"/>
        <v>193.725</v>
      </c>
      <c r="AD51" s="137">
        <f t="shared" ref="AD51:AH51" si="109">$X$13*0</f>
        <v>0</v>
      </c>
      <c r="AE51" s="137">
        <f t="shared" si="109"/>
        <v>0</v>
      </c>
      <c r="AF51" s="137">
        <f t="shared" si="109"/>
        <v>0</v>
      </c>
      <c r="AG51" s="137">
        <f t="shared" si="109"/>
        <v>0</v>
      </c>
      <c r="AH51" s="175">
        <f t="shared" si="109"/>
        <v>0</v>
      </c>
      <c r="AI51" s="137">
        <f t="shared" ref="AI51:AJ51" si="110">$X$13*0.03</f>
        <v>193.725</v>
      </c>
      <c r="AJ51" s="137">
        <f t="shared" si="110"/>
        <v>193.725</v>
      </c>
      <c r="AK51" s="137">
        <f t="shared" ref="AK51:AM51" si="111">$X$13*0.032</f>
        <v>206.64</v>
      </c>
      <c r="AL51" s="137">
        <f t="shared" si="111"/>
        <v>206.64</v>
      </c>
      <c r="AM51" s="137">
        <f t="shared" si="111"/>
        <v>206.64</v>
      </c>
      <c r="AN51" s="137">
        <f t="shared" ref="AN51:AR51" si="112">$X$13*0.05</f>
        <v>322.875</v>
      </c>
      <c r="AO51" s="137">
        <f t="shared" si="112"/>
        <v>322.875</v>
      </c>
      <c r="AP51" s="137">
        <f t="shared" si="112"/>
        <v>322.875</v>
      </c>
      <c r="AQ51" s="137">
        <f t="shared" si="112"/>
        <v>322.875</v>
      </c>
      <c r="AR51" s="137">
        <f t="shared" si="112"/>
        <v>322.875</v>
      </c>
      <c r="AS51" s="137">
        <f>$X$13*0</f>
        <v>0</v>
      </c>
      <c r="AT51" s="137">
        <f t="shared" ref="AT51:AV51" si="113">$X$13*0.05</f>
        <v>322.875</v>
      </c>
      <c r="AU51" s="137">
        <f t="shared" si="113"/>
        <v>322.875</v>
      </c>
      <c r="AV51" s="137">
        <f t="shared" si="113"/>
        <v>322.875</v>
      </c>
      <c r="AW51" s="137">
        <v>0.0</v>
      </c>
      <c r="AX51" s="137">
        <v>0.0</v>
      </c>
      <c r="AY51" s="137">
        <v>0.0</v>
      </c>
      <c r="AZ51" s="137">
        <v>0.0</v>
      </c>
      <c r="BA51" s="137">
        <v>0.0</v>
      </c>
      <c r="BB51" s="137">
        <v>0.0</v>
      </c>
      <c r="BC51" s="137">
        <v>0.0</v>
      </c>
      <c r="BD51" s="137">
        <v>0.0</v>
      </c>
      <c r="BE51" s="137">
        <v>0.0</v>
      </c>
      <c r="BF51" s="137">
        <v>0.0</v>
      </c>
      <c r="BG51" s="137">
        <v>0.0</v>
      </c>
      <c r="BH51" s="137">
        <v>0.0</v>
      </c>
      <c r="BI51" s="137">
        <v>-300.0</v>
      </c>
      <c r="BJ51" s="137">
        <v>-300.0</v>
      </c>
      <c r="BK51" s="175"/>
      <c r="BL51" s="137">
        <v>-300.0</v>
      </c>
      <c r="BM51" s="137">
        <v>-300.0</v>
      </c>
      <c r="BN51" s="137">
        <v>-300.0</v>
      </c>
      <c r="BO51" s="137">
        <v>-300.0</v>
      </c>
      <c r="BP51" s="137">
        <v>-300.0</v>
      </c>
      <c r="BQ51" s="137">
        <v>-300.0</v>
      </c>
      <c r="BR51" s="137">
        <v>-300.0</v>
      </c>
      <c r="BS51" s="137">
        <v>-300.0</v>
      </c>
      <c r="BT51" s="137">
        <v>-300.0</v>
      </c>
      <c r="BU51" s="137">
        <v>-300.0</v>
      </c>
      <c r="BV51" s="137">
        <v>-300.0</v>
      </c>
      <c r="BW51" s="137">
        <v>-300.0</v>
      </c>
    </row>
    <row r="52">
      <c r="A52" s="219"/>
      <c r="B52" s="221" t="s">
        <v>242</v>
      </c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>
        <v>0.0</v>
      </c>
      <c r="S52" s="137">
        <v>500.0</v>
      </c>
      <c r="T52" s="137">
        <f>T13*0.02</f>
        <v>129.15</v>
      </c>
      <c r="U52" s="137">
        <f>U13*0.0387</f>
        <v>249.90525</v>
      </c>
      <c r="V52" s="137">
        <v>200.0</v>
      </c>
      <c r="W52" s="137">
        <v>200.0</v>
      </c>
      <c r="X52" s="137">
        <f t="shared" ref="X52:Y52" si="114">$X$13*0.04</f>
        <v>258.3</v>
      </c>
      <c r="Y52" s="137">
        <f t="shared" si="114"/>
        <v>258.3</v>
      </c>
      <c r="Z52" s="137">
        <f t="shared" si="115"/>
        <v>645.75</v>
      </c>
      <c r="AA52" s="137">
        <f>$X$13*0.047</f>
        <v>303.5025</v>
      </c>
      <c r="AB52" s="137">
        <f t="shared" ref="AB52:AC52" si="116">$X$13*0.04</f>
        <v>258.3</v>
      </c>
      <c r="AC52" s="137">
        <f t="shared" si="116"/>
        <v>258.3</v>
      </c>
      <c r="AD52" s="137">
        <f>$X$13*0.05</f>
        <v>322.875</v>
      </c>
      <c r="AE52" s="137">
        <f>$X$13*0.063</f>
        <v>406.8225</v>
      </c>
      <c r="AF52" s="137">
        <f t="shared" ref="AF52:AG52" si="117">$X$13*0.2</f>
        <v>1291.5</v>
      </c>
      <c r="AG52" s="137">
        <f t="shared" si="117"/>
        <v>1291.5</v>
      </c>
      <c r="AH52" s="175">
        <f>$X$13*0</f>
        <v>0</v>
      </c>
      <c r="AI52" s="137">
        <f t="shared" ref="AI52:AM52" si="118">$X$13*0.04</f>
        <v>258.3</v>
      </c>
      <c r="AJ52" s="137">
        <f t="shared" si="118"/>
        <v>258.3</v>
      </c>
      <c r="AK52" s="137">
        <f t="shared" si="118"/>
        <v>258.3</v>
      </c>
      <c r="AL52" s="137">
        <f t="shared" si="118"/>
        <v>258.3</v>
      </c>
      <c r="AM52" s="137">
        <f t="shared" si="118"/>
        <v>258.3</v>
      </c>
      <c r="AN52" s="137">
        <f t="shared" ref="AN52:AW52" si="119">$X$13*0.05</f>
        <v>322.875</v>
      </c>
      <c r="AO52" s="137">
        <f t="shared" si="119"/>
        <v>322.875</v>
      </c>
      <c r="AP52" s="137">
        <f t="shared" si="119"/>
        <v>322.875</v>
      </c>
      <c r="AQ52" s="137">
        <f t="shared" si="119"/>
        <v>322.875</v>
      </c>
      <c r="AR52" s="137">
        <f t="shared" si="119"/>
        <v>322.875</v>
      </c>
      <c r="AS52" s="137">
        <f t="shared" si="119"/>
        <v>322.875</v>
      </c>
      <c r="AT52" s="137">
        <f t="shared" si="119"/>
        <v>322.875</v>
      </c>
      <c r="AU52" s="137">
        <f t="shared" si="119"/>
        <v>322.875</v>
      </c>
      <c r="AV52" s="137">
        <f t="shared" si="119"/>
        <v>322.875</v>
      </c>
      <c r="AW52" s="137">
        <f t="shared" si="119"/>
        <v>322.875</v>
      </c>
      <c r="AX52" s="137">
        <f t="shared" ref="AX52:AY52" si="120">$X$13*0</f>
        <v>0</v>
      </c>
      <c r="AY52" s="137">
        <f t="shared" si="120"/>
        <v>0</v>
      </c>
      <c r="AZ52" s="137">
        <f>$X$13*0.05</f>
        <v>322.875</v>
      </c>
      <c r="BA52" s="137">
        <v>0.0</v>
      </c>
      <c r="BB52" s="137">
        <v>0.0</v>
      </c>
      <c r="BC52" s="137">
        <v>-100.0</v>
      </c>
      <c r="BD52" s="137">
        <v>-100.0</v>
      </c>
      <c r="BE52" s="137">
        <v>-100.0</v>
      </c>
      <c r="BF52" s="137">
        <v>-100.0</v>
      </c>
      <c r="BG52" s="137">
        <v>-100.0</v>
      </c>
      <c r="BH52" s="137">
        <v>-100.0</v>
      </c>
      <c r="BI52" s="222">
        <v>-10000.0</v>
      </c>
      <c r="BJ52" s="137">
        <v>-100.0</v>
      </c>
      <c r="BK52" s="175"/>
      <c r="BL52" s="137">
        <v>-100.0</v>
      </c>
      <c r="BM52" s="137">
        <v>-100.0</v>
      </c>
      <c r="BN52" s="137">
        <v>-100.0</v>
      </c>
      <c r="BO52" s="137">
        <v>-100.0</v>
      </c>
      <c r="BP52" s="137">
        <v>-100.0</v>
      </c>
      <c r="BQ52" s="137">
        <v>-100.0</v>
      </c>
      <c r="BR52" s="137">
        <v>-100.0</v>
      </c>
      <c r="BS52" s="137">
        <v>-100.0</v>
      </c>
      <c r="BT52" s="137">
        <v>-100.0</v>
      </c>
      <c r="BU52" s="137">
        <v>-100.0</v>
      </c>
      <c r="BV52" s="137">
        <v>-100.0</v>
      </c>
      <c r="BW52" s="137">
        <v>-100.0</v>
      </c>
    </row>
    <row r="53">
      <c r="A53" s="135" t="s">
        <v>573</v>
      </c>
      <c r="B53" s="136"/>
      <c r="C53" s="137"/>
      <c r="D53" s="137"/>
      <c r="E53" s="137"/>
      <c r="F53" s="137"/>
      <c r="G53" s="137"/>
      <c r="H53" s="137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40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40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</row>
    <row r="54">
      <c r="A54" s="219"/>
      <c r="B54" s="223" t="s">
        <v>574</v>
      </c>
      <c r="C54" s="137"/>
      <c r="D54" s="137"/>
      <c r="E54" s="137"/>
      <c r="F54" s="137"/>
      <c r="G54" s="137"/>
      <c r="H54" s="137"/>
      <c r="I54" s="137"/>
      <c r="J54" s="137"/>
      <c r="K54" s="137">
        <v>0.0</v>
      </c>
      <c r="L54" s="137">
        <f>150+345</f>
        <v>495</v>
      </c>
      <c r="M54" s="137">
        <v>0.0</v>
      </c>
      <c r="N54" s="137">
        <v>0.0</v>
      </c>
      <c r="O54" s="137">
        <f>O13*0</f>
        <v>0</v>
      </c>
      <c r="P54" s="137">
        <v>78.0</v>
      </c>
      <c r="Q54" s="137">
        <v>0.0</v>
      </c>
      <c r="R54" s="137">
        <v>0.0</v>
      </c>
      <c r="S54" s="137">
        <v>50.0</v>
      </c>
      <c r="T54" s="137">
        <f t="shared" ref="T54:W54" si="121">$Q13*0</f>
        <v>0</v>
      </c>
      <c r="U54" s="137">
        <f t="shared" si="121"/>
        <v>0</v>
      </c>
      <c r="V54" s="137">
        <f t="shared" si="121"/>
        <v>0</v>
      </c>
      <c r="W54" s="137">
        <f t="shared" si="121"/>
        <v>0</v>
      </c>
      <c r="X54" s="137">
        <f t="shared" ref="X54:AA54" si="122">$X$13*0.01</f>
        <v>64.575</v>
      </c>
      <c r="Y54" s="137">
        <f t="shared" si="122"/>
        <v>64.575</v>
      </c>
      <c r="Z54" s="137">
        <f t="shared" si="122"/>
        <v>64.575</v>
      </c>
      <c r="AA54" s="137">
        <f t="shared" si="122"/>
        <v>64.575</v>
      </c>
      <c r="AB54" s="194">
        <f t="shared" ref="AB54:AF54" si="123">$X$13*0</f>
        <v>0</v>
      </c>
      <c r="AC54" s="137">
        <f t="shared" si="123"/>
        <v>0</v>
      </c>
      <c r="AD54" s="137">
        <f t="shared" si="123"/>
        <v>0</v>
      </c>
      <c r="AE54" s="137">
        <f t="shared" si="123"/>
        <v>0</v>
      </c>
      <c r="AF54" s="137">
        <f t="shared" si="123"/>
        <v>0</v>
      </c>
      <c r="AG54" s="224">
        <f>sum(2500,1200)</f>
        <v>3700</v>
      </c>
      <c r="AH54" s="224">
        <f>sum(2500,500,5000)</f>
        <v>8000</v>
      </c>
      <c r="AI54" s="137">
        <f>2000</f>
        <v>2000</v>
      </c>
      <c r="AJ54" s="137">
        <f t="shared" ref="AJ54:AK54" si="124">$X$13*0</f>
        <v>0</v>
      </c>
      <c r="AK54" s="137">
        <f t="shared" si="124"/>
        <v>0</v>
      </c>
      <c r="AL54" s="137">
        <f>7000</f>
        <v>7000</v>
      </c>
      <c r="AM54" s="194">
        <v>3600.0</v>
      </c>
      <c r="AN54" s="194">
        <v>3500.0</v>
      </c>
      <c r="AO54" s="137">
        <f>$X$13*0</f>
        <v>0</v>
      </c>
      <c r="AP54" s="137">
        <f>6000</f>
        <v>6000</v>
      </c>
      <c r="AQ54" s="137">
        <f>$X$13*0</f>
        <v>0</v>
      </c>
      <c r="AR54" s="137">
        <f>$X$13*1</f>
        <v>6457.5</v>
      </c>
      <c r="AS54" s="137">
        <f t="shared" ref="AS54:AT54" si="125">$X$13*0</f>
        <v>0</v>
      </c>
      <c r="AT54" s="137">
        <f t="shared" si="125"/>
        <v>0</v>
      </c>
      <c r="AU54" s="137">
        <v>10000.0</v>
      </c>
      <c r="AV54" s="137">
        <v>0.0</v>
      </c>
      <c r="AW54" s="137">
        <f>$X$13*0</f>
        <v>0</v>
      </c>
      <c r="AX54" s="137">
        <v>1000.0</v>
      </c>
      <c r="AY54" s="194">
        <v>900.0</v>
      </c>
      <c r="AZ54" s="194">
        <v>900.0</v>
      </c>
      <c r="BA54" s="137">
        <f>-sum(3509,1490,500)</f>
        <v>-5499</v>
      </c>
      <c r="BB54" s="137">
        <f>-800</f>
        <v>-800</v>
      </c>
      <c r="BC54" s="137">
        <f>sum(-800,-1200)</f>
        <v>-2000</v>
      </c>
      <c r="BD54" s="137">
        <f>sum(-800)</f>
        <v>-800</v>
      </c>
      <c r="BE54" s="137">
        <f>sum(-6200,-800)</f>
        <v>-7000</v>
      </c>
      <c r="BF54" s="203">
        <f>sum(-400,-7400,-25000)</f>
        <v>-32800</v>
      </c>
      <c r="BG54" s="203">
        <f>sum(-800,-5000)</f>
        <v>-5800</v>
      </c>
      <c r="BH54" s="137">
        <f>sum(-400,-400,-12000)</f>
        <v>-12800</v>
      </c>
      <c r="BI54" s="194">
        <v>0.0</v>
      </c>
      <c r="BJ54" s="194">
        <v>0.0</v>
      </c>
      <c r="BK54" s="195"/>
      <c r="BL54" s="194">
        <v>0.0</v>
      </c>
      <c r="BM54" s="194">
        <v>0.0</v>
      </c>
      <c r="BN54" s="194">
        <v>0.0</v>
      </c>
      <c r="BO54" s="194">
        <v>0.0</v>
      </c>
      <c r="BP54" s="194">
        <v>0.0</v>
      </c>
      <c r="BQ54" s="194">
        <v>0.0</v>
      </c>
      <c r="BR54" s="194">
        <v>0.0</v>
      </c>
      <c r="BS54" s="194">
        <v>0.0</v>
      </c>
      <c r="BT54" s="194">
        <v>0.0</v>
      </c>
      <c r="BU54" s="194">
        <v>0.0</v>
      </c>
      <c r="BV54" s="194">
        <v>0.0</v>
      </c>
      <c r="BW54" s="194">
        <v>0.0</v>
      </c>
    </row>
    <row r="55">
      <c r="A55" s="219"/>
      <c r="B55" s="223" t="s">
        <v>246</v>
      </c>
      <c r="C55" s="137"/>
      <c r="D55" s="137"/>
      <c r="E55" s="137"/>
      <c r="F55" s="137"/>
      <c r="G55" s="137"/>
      <c r="H55" s="137"/>
      <c r="I55" s="137"/>
      <c r="J55" s="137">
        <v>0.0</v>
      </c>
      <c r="K55" s="137">
        <v>0.0</v>
      </c>
      <c r="L55" s="137">
        <v>0.0</v>
      </c>
      <c r="M55" s="137">
        <f>M13*0</f>
        <v>0</v>
      </c>
      <c r="N55" s="137">
        <v>0.0</v>
      </c>
      <c r="O55" s="137">
        <f>O10*0</f>
        <v>0</v>
      </c>
      <c r="P55" s="137">
        <v>0.0</v>
      </c>
      <c r="Q55" s="137">
        <f>175+100</f>
        <v>275</v>
      </c>
      <c r="R55" s="137">
        <f>R13*0.0063</f>
        <v>41.94225</v>
      </c>
      <c r="S55" s="137">
        <v>300.0</v>
      </c>
      <c r="T55" s="137">
        <f>T13*0.02</f>
        <v>129.15</v>
      </c>
      <c r="U55" s="137">
        <v>120.0</v>
      </c>
      <c r="V55" s="137">
        <v>100.0</v>
      </c>
      <c r="W55" s="222">
        <f>sum(100,-790)</f>
        <v>-690</v>
      </c>
      <c r="X55" s="137">
        <f t="shared" ref="X55:Y55" si="126">$X$13*0.02</f>
        <v>129.15</v>
      </c>
      <c r="Y55" s="137">
        <f t="shared" si="126"/>
        <v>129.15</v>
      </c>
      <c r="Z55" s="137">
        <f>$X$13*0.05</f>
        <v>322.875</v>
      </c>
      <c r="AA55" s="137">
        <f t="shared" ref="AA55:AF55" si="127">$X$13*0.02</f>
        <v>129.15</v>
      </c>
      <c r="AB55" s="137">
        <f t="shared" si="127"/>
        <v>129.15</v>
      </c>
      <c r="AC55" s="137">
        <f t="shared" si="127"/>
        <v>129.15</v>
      </c>
      <c r="AD55" s="137">
        <f t="shared" si="127"/>
        <v>129.15</v>
      </c>
      <c r="AE55" s="137">
        <f t="shared" si="127"/>
        <v>129.15</v>
      </c>
      <c r="AF55" s="137">
        <f t="shared" si="127"/>
        <v>129.15</v>
      </c>
      <c r="AG55" s="137">
        <f t="shared" ref="AG55:AH55" si="128">$X$13*0</f>
        <v>0</v>
      </c>
      <c r="AH55" s="175">
        <f t="shared" si="128"/>
        <v>0</v>
      </c>
      <c r="AI55" s="137">
        <f t="shared" ref="AI55:AR55" si="129">$X$13*0.02</f>
        <v>129.15</v>
      </c>
      <c r="AJ55" s="137">
        <f t="shared" si="129"/>
        <v>129.15</v>
      </c>
      <c r="AK55" s="137">
        <f t="shared" si="129"/>
        <v>129.15</v>
      </c>
      <c r="AL55" s="137">
        <f t="shared" si="129"/>
        <v>129.15</v>
      </c>
      <c r="AM55" s="137">
        <f t="shared" si="129"/>
        <v>129.15</v>
      </c>
      <c r="AN55" s="137">
        <f t="shared" si="129"/>
        <v>129.15</v>
      </c>
      <c r="AO55" s="137">
        <f t="shared" si="129"/>
        <v>129.15</v>
      </c>
      <c r="AP55" s="137">
        <f t="shared" si="129"/>
        <v>129.15</v>
      </c>
      <c r="AQ55" s="137">
        <f t="shared" si="129"/>
        <v>129.15</v>
      </c>
      <c r="AR55" s="137">
        <f t="shared" si="129"/>
        <v>129.15</v>
      </c>
      <c r="AS55" s="137">
        <v>0.0</v>
      </c>
      <c r="AT55" s="137">
        <f t="shared" ref="AT55:AW55" si="130">$X$13*0.02</f>
        <v>129.15</v>
      </c>
      <c r="AU55" s="137">
        <f t="shared" si="130"/>
        <v>129.15</v>
      </c>
      <c r="AV55" s="137">
        <f t="shared" si="130"/>
        <v>129.15</v>
      </c>
      <c r="AW55" s="137">
        <f t="shared" si="130"/>
        <v>129.15</v>
      </c>
      <c r="AX55" s="137">
        <v>0.0</v>
      </c>
      <c r="AY55" s="137">
        <v>0.0</v>
      </c>
      <c r="AZ55" s="137">
        <f>$X$13*0.02</f>
        <v>129.15</v>
      </c>
      <c r="BA55" s="137">
        <v>-400.0</v>
      </c>
      <c r="BB55" s="137">
        <v>-400.0</v>
      </c>
      <c r="BC55" s="137">
        <v>0.0</v>
      </c>
      <c r="BD55" s="137">
        <v>0.0</v>
      </c>
      <c r="BE55" s="137">
        <v>0.0</v>
      </c>
      <c r="BF55" s="137">
        <v>0.0</v>
      </c>
      <c r="BG55" s="137">
        <v>0.0</v>
      </c>
      <c r="BH55" s="137">
        <v>0.0</v>
      </c>
      <c r="BI55" s="137">
        <v>-400.0</v>
      </c>
      <c r="BJ55" s="137">
        <v>-400.0</v>
      </c>
      <c r="BK55" s="175"/>
      <c r="BL55" s="137">
        <v>-400.0</v>
      </c>
      <c r="BM55" s="137">
        <v>-400.0</v>
      </c>
      <c r="BN55" s="137">
        <v>-400.0</v>
      </c>
      <c r="BO55" s="137">
        <v>-400.0</v>
      </c>
      <c r="BP55" s="137">
        <v>-400.0</v>
      </c>
      <c r="BQ55" s="137">
        <v>-400.0</v>
      </c>
      <c r="BR55" s="137">
        <v>-400.0</v>
      </c>
      <c r="BS55" s="137">
        <v>-400.0</v>
      </c>
      <c r="BT55" s="137">
        <v>-400.0</v>
      </c>
      <c r="BU55" s="137">
        <v>-400.0</v>
      </c>
      <c r="BV55" s="137">
        <v>-400.0</v>
      </c>
      <c r="BW55" s="137">
        <v>-400.0</v>
      </c>
    </row>
    <row r="56">
      <c r="A56" s="219"/>
      <c r="B56" s="223" t="s">
        <v>247</v>
      </c>
      <c r="C56" s="137"/>
      <c r="D56" s="137"/>
      <c r="E56" s="137"/>
      <c r="F56" s="137"/>
      <c r="G56" s="137"/>
      <c r="H56" s="137"/>
      <c r="I56" s="137"/>
      <c r="J56" s="137">
        <v>0.0</v>
      </c>
      <c r="K56" s="137">
        <v>0.0</v>
      </c>
      <c r="L56" s="137">
        <v>0.0</v>
      </c>
      <c r="M56" s="137">
        <v>0.0</v>
      </c>
      <c r="N56" s="137">
        <v>0.0</v>
      </c>
      <c r="O56" s="137">
        <f>O13*0</f>
        <v>0</v>
      </c>
      <c r="P56" s="137">
        <v>500.0</v>
      </c>
      <c r="Q56" s="137">
        <f>25+100+100+450</f>
        <v>675</v>
      </c>
      <c r="R56" s="137">
        <f>R13*0.065</f>
        <v>432.7375</v>
      </c>
      <c r="S56" s="137">
        <v>225.0</v>
      </c>
      <c r="T56" s="137">
        <f>T13*0.02</f>
        <v>129.15</v>
      </c>
      <c r="U56" s="137">
        <v>0.0</v>
      </c>
      <c r="V56" s="137">
        <v>200.0</v>
      </c>
      <c r="W56" s="137">
        <v>100.0</v>
      </c>
      <c r="X56" s="137">
        <f t="shared" ref="X56:Y56" si="131">$X$13*0.06</f>
        <v>387.45</v>
      </c>
      <c r="Y56" s="137">
        <f t="shared" si="131"/>
        <v>387.45</v>
      </c>
      <c r="Z56" s="137">
        <f>$X$13*0.1</f>
        <v>645.75</v>
      </c>
      <c r="AA56" s="194">
        <f>AA13*0.1</f>
        <v>880</v>
      </c>
      <c r="AB56" s="137">
        <f>$X$13*0.07</f>
        <v>452.025</v>
      </c>
      <c r="AC56" s="137">
        <f>$X$13*0.06</f>
        <v>387.45</v>
      </c>
      <c r="AD56" s="137">
        <f>$X$13*0.08</f>
        <v>516.6</v>
      </c>
      <c r="AE56" s="137">
        <f t="shared" ref="AE56:AF56" si="132">$X$13*0.06</f>
        <v>387.45</v>
      </c>
      <c r="AF56" s="137">
        <f t="shared" si="132"/>
        <v>387.45</v>
      </c>
      <c r="AG56" s="137">
        <f t="shared" ref="AG56:AH56" si="133">$X$13*0</f>
        <v>0</v>
      </c>
      <c r="AH56" s="175">
        <f t="shared" si="133"/>
        <v>0</v>
      </c>
      <c r="AI56" s="137">
        <f t="shared" ref="AI56:AO56" si="134">$X$13*0.078</f>
        <v>503.685</v>
      </c>
      <c r="AJ56" s="137">
        <f t="shared" si="134"/>
        <v>503.685</v>
      </c>
      <c r="AK56" s="137">
        <f t="shared" si="134"/>
        <v>503.685</v>
      </c>
      <c r="AL56" s="137">
        <f t="shared" si="134"/>
        <v>503.685</v>
      </c>
      <c r="AM56" s="137">
        <f t="shared" si="134"/>
        <v>503.685</v>
      </c>
      <c r="AN56" s="137">
        <f t="shared" si="134"/>
        <v>503.685</v>
      </c>
      <c r="AO56" s="137">
        <f t="shared" si="134"/>
        <v>503.685</v>
      </c>
      <c r="AP56" s="137">
        <f>$X$13*0.5</f>
        <v>3228.75</v>
      </c>
      <c r="AQ56" s="137">
        <f t="shared" ref="AQ56:AW56" si="135">$X$13*0.078</f>
        <v>503.685</v>
      </c>
      <c r="AR56" s="137">
        <f t="shared" si="135"/>
        <v>503.685</v>
      </c>
      <c r="AS56" s="137">
        <f t="shared" si="135"/>
        <v>503.685</v>
      </c>
      <c r="AT56" s="137">
        <f t="shared" si="135"/>
        <v>503.685</v>
      </c>
      <c r="AU56" s="137">
        <f t="shared" si="135"/>
        <v>503.685</v>
      </c>
      <c r="AV56" s="137">
        <f t="shared" si="135"/>
        <v>503.685</v>
      </c>
      <c r="AW56" s="137">
        <f t="shared" si="135"/>
        <v>503.685</v>
      </c>
      <c r="AX56" s="137">
        <v>0.0</v>
      </c>
      <c r="AY56" s="137">
        <v>0.0</v>
      </c>
      <c r="AZ56" s="137">
        <f>$X$13*0.078</f>
        <v>503.685</v>
      </c>
      <c r="BA56" s="137">
        <v>-500.0</v>
      </c>
      <c r="BB56" s="137">
        <v>-500.0</v>
      </c>
      <c r="BC56" s="137">
        <v>0.0</v>
      </c>
      <c r="BD56" s="137">
        <v>0.0</v>
      </c>
      <c r="BE56" s="137">
        <v>0.0</v>
      </c>
      <c r="BF56" s="137">
        <v>0.0</v>
      </c>
      <c r="BG56" s="137">
        <v>0.0</v>
      </c>
      <c r="BH56" s="137">
        <v>0.0</v>
      </c>
      <c r="BI56" s="222">
        <v>-5000.0</v>
      </c>
      <c r="BJ56" s="137">
        <v>-500.0</v>
      </c>
      <c r="BK56" s="175"/>
      <c r="BL56" s="137">
        <v>-500.0</v>
      </c>
      <c r="BM56" s="137">
        <v>-500.0</v>
      </c>
      <c r="BN56" s="137">
        <v>-500.0</v>
      </c>
      <c r="BO56" s="137">
        <v>-500.0</v>
      </c>
      <c r="BP56" s="137">
        <v>-500.0</v>
      </c>
      <c r="BQ56" s="137">
        <v>-500.0</v>
      </c>
      <c r="BR56" s="137">
        <v>-500.0</v>
      </c>
      <c r="BS56" s="137">
        <v>-500.0</v>
      </c>
      <c r="BT56" s="137">
        <v>-500.0</v>
      </c>
      <c r="BU56" s="137">
        <v>-500.0</v>
      </c>
      <c r="BV56" s="137">
        <v>-500.0</v>
      </c>
      <c r="BW56" s="137">
        <v>-500.0</v>
      </c>
    </row>
    <row r="57">
      <c r="A57" s="228"/>
      <c r="B57" s="696" t="s">
        <v>248</v>
      </c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>
        <f t="shared" ref="M57:N57" si="136">M4*0.03</f>
        <v>300</v>
      </c>
      <c r="N57" s="222">
        <f t="shared" si="136"/>
        <v>300</v>
      </c>
      <c r="O57" s="222">
        <f t="shared" ref="O57:BB57" si="137">O12</f>
        <v>400</v>
      </c>
      <c r="P57" s="222">
        <f t="shared" si="137"/>
        <v>400</v>
      </c>
      <c r="Q57" s="222">
        <f t="shared" si="137"/>
        <v>307.5</v>
      </c>
      <c r="R57" s="222">
        <f t="shared" si="137"/>
        <v>307.5</v>
      </c>
      <c r="S57" s="222">
        <f t="shared" si="137"/>
        <v>307.5</v>
      </c>
      <c r="T57" s="222">
        <f t="shared" si="137"/>
        <v>307.5</v>
      </c>
      <c r="U57" s="222">
        <f t="shared" si="137"/>
        <v>307.5</v>
      </c>
      <c r="V57" s="222">
        <f t="shared" si="137"/>
        <v>307.5</v>
      </c>
      <c r="W57" s="222">
        <f t="shared" si="137"/>
        <v>307.5</v>
      </c>
      <c r="X57" s="222">
        <f t="shared" si="137"/>
        <v>307.5</v>
      </c>
      <c r="Y57" s="222">
        <f t="shared" si="137"/>
        <v>307.5</v>
      </c>
      <c r="Z57" s="222">
        <f t="shared" si="137"/>
        <v>0</v>
      </c>
      <c r="AA57" s="222">
        <f t="shared" si="137"/>
        <v>0</v>
      </c>
      <c r="AB57" s="222">
        <f t="shared" si="137"/>
        <v>0</v>
      </c>
      <c r="AC57" s="222">
        <f t="shared" si="137"/>
        <v>333.3333333</v>
      </c>
      <c r="AD57" s="222">
        <f t="shared" si="137"/>
        <v>53.33333333</v>
      </c>
      <c r="AE57" s="222">
        <f t="shared" si="137"/>
        <v>53.33333333</v>
      </c>
      <c r="AF57" s="222">
        <f t="shared" si="137"/>
        <v>0</v>
      </c>
      <c r="AG57" s="222">
        <f t="shared" si="137"/>
        <v>0</v>
      </c>
      <c r="AH57" s="230">
        <f t="shared" si="137"/>
        <v>0</v>
      </c>
      <c r="AI57" s="222">
        <f t="shared" si="137"/>
        <v>333.3333333</v>
      </c>
      <c r="AJ57" s="222">
        <f t="shared" si="137"/>
        <v>333.3333333</v>
      </c>
      <c r="AK57" s="222">
        <f t="shared" si="137"/>
        <v>0</v>
      </c>
      <c r="AL57" s="222">
        <f t="shared" si="137"/>
        <v>0</v>
      </c>
      <c r="AM57" s="222">
        <f t="shared" si="137"/>
        <v>0</v>
      </c>
      <c r="AN57" s="222">
        <f t="shared" si="137"/>
        <v>0</v>
      </c>
      <c r="AO57" s="222">
        <f t="shared" si="137"/>
        <v>0</v>
      </c>
      <c r="AP57" s="222">
        <f t="shared" si="137"/>
        <v>0</v>
      </c>
      <c r="AQ57" s="222">
        <f t="shared" si="137"/>
        <v>0</v>
      </c>
      <c r="AR57" s="222">
        <f t="shared" si="137"/>
        <v>0</v>
      </c>
      <c r="AS57" s="222">
        <f t="shared" si="137"/>
        <v>0</v>
      </c>
      <c r="AT57" s="222">
        <f t="shared" si="137"/>
        <v>0</v>
      </c>
      <c r="AU57" s="222">
        <f t="shared" si="137"/>
        <v>0</v>
      </c>
      <c r="AV57" s="222">
        <f t="shared" si="137"/>
        <v>0</v>
      </c>
      <c r="AW57" s="222">
        <f t="shared" si="137"/>
        <v>0</v>
      </c>
      <c r="AX57" s="222">
        <f t="shared" si="137"/>
        <v>0</v>
      </c>
      <c r="AY57" s="222">
        <f t="shared" si="137"/>
        <v>0</v>
      </c>
      <c r="AZ57" s="222">
        <f t="shared" si="137"/>
        <v>0</v>
      </c>
      <c r="BA57" s="137">
        <f t="shared" si="137"/>
        <v>0</v>
      </c>
      <c r="BB57" s="137">
        <f t="shared" si="137"/>
        <v>0</v>
      </c>
      <c r="BC57" s="137">
        <v>0.0</v>
      </c>
      <c r="BD57" s="137">
        <v>0.0</v>
      </c>
      <c r="BE57" s="137">
        <v>0.0</v>
      </c>
      <c r="BF57" s="137">
        <v>0.0</v>
      </c>
      <c r="BG57" s="137">
        <f t="shared" ref="BG57:BH57" si="138">-0</f>
        <v>0</v>
      </c>
      <c r="BH57" s="137">
        <f t="shared" si="138"/>
        <v>0</v>
      </c>
      <c r="BI57" s="137">
        <f t="shared" ref="BI57:BJ57" si="139">-250</f>
        <v>-250</v>
      </c>
      <c r="BJ57" s="137">
        <f t="shared" si="139"/>
        <v>-250</v>
      </c>
      <c r="BK57" s="175"/>
      <c r="BL57" s="137">
        <f t="shared" ref="BL57:BW57" si="140">-250</f>
        <v>-250</v>
      </c>
      <c r="BM57" s="137">
        <f t="shared" si="140"/>
        <v>-250</v>
      </c>
      <c r="BN57" s="137">
        <f t="shared" si="140"/>
        <v>-250</v>
      </c>
      <c r="BO57" s="137">
        <f t="shared" si="140"/>
        <v>-250</v>
      </c>
      <c r="BP57" s="137">
        <f t="shared" si="140"/>
        <v>-250</v>
      </c>
      <c r="BQ57" s="137">
        <f t="shared" si="140"/>
        <v>-250</v>
      </c>
      <c r="BR57" s="137">
        <f t="shared" si="140"/>
        <v>-250</v>
      </c>
      <c r="BS57" s="137">
        <f t="shared" si="140"/>
        <v>-250</v>
      </c>
      <c r="BT57" s="137">
        <f t="shared" si="140"/>
        <v>-250</v>
      </c>
      <c r="BU57" s="137">
        <f t="shared" si="140"/>
        <v>-250</v>
      </c>
      <c r="BV57" s="137">
        <f t="shared" si="140"/>
        <v>-250</v>
      </c>
      <c r="BW57" s="137">
        <f t="shared" si="140"/>
        <v>-250</v>
      </c>
    </row>
    <row r="58">
      <c r="A58" s="171" t="s">
        <v>575</v>
      </c>
      <c r="B58" s="176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75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75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</row>
    <row r="59">
      <c r="A59" s="199"/>
      <c r="B59" s="137" t="s">
        <v>251</v>
      </c>
      <c r="C59" s="137"/>
      <c r="D59" s="137"/>
      <c r="E59" s="137"/>
      <c r="F59" s="137"/>
      <c r="G59" s="137"/>
      <c r="H59" s="175"/>
      <c r="I59" s="137">
        <v>0.0</v>
      </c>
      <c r="J59" s="137">
        <v>0.0</v>
      </c>
      <c r="K59" s="137">
        <f t="shared" ref="K59:L59" si="141">K14*0</f>
        <v>0</v>
      </c>
      <c r="L59" s="137">
        <f t="shared" si="141"/>
        <v>0</v>
      </c>
      <c r="M59" s="137">
        <v>0.0</v>
      </c>
      <c r="N59" s="137">
        <v>0.0</v>
      </c>
      <c r="O59" s="137">
        <f>O13*0.01</f>
        <v>72</v>
      </c>
      <c r="P59" s="137">
        <v>0.0</v>
      </c>
      <c r="Q59" s="137">
        <f>70+20+20</f>
        <v>110</v>
      </c>
      <c r="R59" s="137">
        <v>0.0</v>
      </c>
      <c r="S59" s="137">
        <v>0.0</v>
      </c>
      <c r="T59" s="137">
        <v>125.0</v>
      </c>
      <c r="U59" s="137">
        <v>0.0</v>
      </c>
      <c r="V59" s="137">
        <f t="shared" ref="V59:W59" si="142">V13*0.01</f>
        <v>67.575</v>
      </c>
      <c r="W59" s="137">
        <f t="shared" si="142"/>
        <v>64.575</v>
      </c>
      <c r="X59" s="137">
        <f t="shared" ref="X59:Z59" si="143">X13*0.02</f>
        <v>129.15</v>
      </c>
      <c r="Y59" s="137">
        <f t="shared" si="143"/>
        <v>241.15</v>
      </c>
      <c r="Z59" s="137">
        <f t="shared" si="143"/>
        <v>176</v>
      </c>
      <c r="AA59" s="137">
        <f>AA13*0</f>
        <v>0</v>
      </c>
      <c r="AB59" s="137">
        <f>AB13*0.02</f>
        <v>176</v>
      </c>
      <c r="AC59" s="137">
        <f t="shared" ref="AC59:AE59" si="144">AC13*0.01</f>
        <v>91.66666667</v>
      </c>
      <c r="AD59" s="137">
        <f t="shared" si="144"/>
        <v>87.46666667</v>
      </c>
      <c r="AE59" s="137">
        <f t="shared" si="144"/>
        <v>197.4666667</v>
      </c>
      <c r="AF59" s="137">
        <f t="shared" ref="AF59:AH59" si="145">AF13*0</f>
        <v>0</v>
      </c>
      <c r="AG59" s="137">
        <f t="shared" si="145"/>
        <v>0</v>
      </c>
      <c r="AH59" s="175">
        <f t="shared" si="145"/>
        <v>0</v>
      </c>
      <c r="AI59" s="137">
        <f t="shared" ref="AI59:AN59" si="146">AI13*0.01</f>
        <v>84.66666667</v>
      </c>
      <c r="AJ59" s="137">
        <f t="shared" si="146"/>
        <v>84.66666667</v>
      </c>
      <c r="AK59" s="137">
        <f t="shared" si="146"/>
        <v>187.75</v>
      </c>
      <c r="AL59" s="137">
        <f t="shared" si="146"/>
        <v>115.5</v>
      </c>
      <c r="AM59" s="137">
        <f t="shared" si="146"/>
        <v>115.5</v>
      </c>
      <c r="AN59" s="137">
        <f t="shared" si="146"/>
        <v>215.5</v>
      </c>
      <c r="AO59" s="137">
        <f>AO13*0</f>
        <v>0</v>
      </c>
      <c r="AP59" s="137">
        <f>1000</f>
        <v>1000</v>
      </c>
      <c r="AQ59" s="137">
        <f t="shared" ref="AQ59:AR59" si="147">AQ13*0.01</f>
        <v>115.5</v>
      </c>
      <c r="AR59" s="137">
        <f t="shared" si="147"/>
        <v>115.5</v>
      </c>
      <c r="AS59" s="137">
        <v>400.0</v>
      </c>
      <c r="AT59" s="137">
        <v>0.0</v>
      </c>
      <c r="AU59" s="137">
        <f t="shared" ref="AU59:AX59" si="148">AU13*0.01</f>
        <v>277.5</v>
      </c>
      <c r="AV59" s="137">
        <f t="shared" si="148"/>
        <v>115.5</v>
      </c>
      <c r="AW59" s="137">
        <f t="shared" si="148"/>
        <v>115.5</v>
      </c>
      <c r="AX59" s="137">
        <f t="shared" si="148"/>
        <v>148.94</v>
      </c>
      <c r="AY59" s="137">
        <f t="shared" ref="AY59:BA59" si="149">AY13*0</f>
        <v>0</v>
      </c>
      <c r="AZ59" s="137">
        <f t="shared" si="149"/>
        <v>0</v>
      </c>
      <c r="BA59" s="137">
        <f t="shared" si="149"/>
        <v>0</v>
      </c>
      <c r="BB59" s="137">
        <f t="shared" ref="BB59:BE59" si="150">-100</f>
        <v>-100</v>
      </c>
      <c r="BC59" s="137">
        <f t="shared" si="150"/>
        <v>-100</v>
      </c>
      <c r="BD59" s="137">
        <f t="shared" si="150"/>
        <v>-100</v>
      </c>
      <c r="BE59" s="137">
        <f t="shared" si="150"/>
        <v>-100</v>
      </c>
      <c r="BF59" s="137">
        <f t="shared" ref="BF59:BH59" si="151">-50</f>
        <v>-50</v>
      </c>
      <c r="BG59" s="137">
        <f t="shared" si="151"/>
        <v>-50</v>
      </c>
      <c r="BH59" s="137">
        <f t="shared" si="151"/>
        <v>-50</v>
      </c>
      <c r="BI59" s="137">
        <f t="shared" ref="BI59:BJ59" si="152">-100</f>
        <v>-100</v>
      </c>
      <c r="BJ59" s="137">
        <f t="shared" si="152"/>
        <v>-100</v>
      </c>
      <c r="BK59" s="175"/>
      <c r="BL59" s="137">
        <f t="shared" ref="BL59:BW59" si="153">-100</f>
        <v>-100</v>
      </c>
      <c r="BM59" s="137">
        <f t="shared" si="153"/>
        <v>-100</v>
      </c>
      <c r="BN59" s="137">
        <f t="shared" si="153"/>
        <v>-100</v>
      </c>
      <c r="BO59" s="137">
        <f t="shared" si="153"/>
        <v>-100</v>
      </c>
      <c r="BP59" s="137">
        <f t="shared" si="153"/>
        <v>-100</v>
      </c>
      <c r="BQ59" s="137">
        <f t="shared" si="153"/>
        <v>-100</v>
      </c>
      <c r="BR59" s="137">
        <f t="shared" si="153"/>
        <v>-100</v>
      </c>
      <c r="BS59" s="137">
        <f t="shared" si="153"/>
        <v>-100</v>
      </c>
      <c r="BT59" s="137">
        <f t="shared" si="153"/>
        <v>-100</v>
      </c>
      <c r="BU59" s="137">
        <f t="shared" si="153"/>
        <v>-100</v>
      </c>
      <c r="BV59" s="137">
        <f t="shared" si="153"/>
        <v>-100</v>
      </c>
      <c r="BW59" s="137">
        <f t="shared" si="153"/>
        <v>-100</v>
      </c>
    </row>
    <row r="60">
      <c r="A60" s="234" t="s">
        <v>252</v>
      </c>
      <c r="B60" s="235"/>
      <c r="C60" s="236" t="str">
        <f>C13-C45-#REF!-C49+'BUDGET 2018 (Archive)'!O35</f>
        <v>#REF!</v>
      </c>
      <c r="D60" s="236" t="str">
        <f>D13-D45-#REF!-D49+'BUDGET 2018 (Archive)'!P35</f>
        <v>#REF!</v>
      </c>
      <c r="E60" s="236" t="str">
        <f>E13-E45-#REF!-E49+'BUDGET 2018 (Archive)'!Q35</f>
        <v>#REF!</v>
      </c>
      <c r="F60" s="236" t="str">
        <f>F13-F45-#REF!-F49+'BUDGET 2018 (Archive)'!R35</f>
        <v>#REF!</v>
      </c>
      <c r="G60" s="236" t="str">
        <f>G13-G45-#REF!-G49+'BUDGET 2018 (Archive)'!S35</f>
        <v>#REF!</v>
      </c>
      <c r="H60" s="237" t="str">
        <f>H13-H45-#REF!-H49+'BUDGET 2018 (Archive)'!T35</f>
        <v>#REF!</v>
      </c>
      <c r="I60" s="236" t="str">
        <f>H60+I13-I45-#REF!-#REF!-I49</f>
        <v>#REF!</v>
      </c>
      <c r="J60" s="236">
        <f t="shared" ref="J60:L60" si="154">sum(J49:J59)</f>
        <v>3200</v>
      </c>
      <c r="K60" s="236">
        <f t="shared" si="154"/>
        <v>1000</v>
      </c>
      <c r="L60" s="236">
        <f t="shared" si="154"/>
        <v>1495</v>
      </c>
      <c r="M60" s="236">
        <f t="shared" ref="M60:O60" si="155">sum(M49:M56)+M59</f>
        <v>0</v>
      </c>
      <c r="N60" s="236">
        <f t="shared" si="155"/>
        <v>1757.5</v>
      </c>
      <c r="O60" s="236">
        <f t="shared" si="155"/>
        <v>2617</v>
      </c>
      <c r="P60" s="236">
        <f>sum(P49:P59)</f>
        <v>6954</v>
      </c>
      <c r="Q60" s="236">
        <f t="shared" ref="Q60:W60" si="156">sum(Q49:Q56)+Q59</f>
        <v>3093</v>
      </c>
      <c r="R60" s="236">
        <f t="shared" si="156"/>
        <v>3137.67975</v>
      </c>
      <c r="S60" s="236">
        <f t="shared" si="156"/>
        <v>6675</v>
      </c>
      <c r="T60" s="236">
        <f t="shared" si="156"/>
        <v>2126.825</v>
      </c>
      <c r="U60" s="236">
        <f t="shared" si="156"/>
        <v>2952.90525</v>
      </c>
      <c r="V60" s="236">
        <f t="shared" si="156"/>
        <v>3964.575</v>
      </c>
      <c r="W60" s="236">
        <f t="shared" si="156"/>
        <v>1611.825</v>
      </c>
      <c r="X60" s="236">
        <f t="shared" ref="X60:AO60" si="157">sum(X49:X57)</f>
        <v>2051.025</v>
      </c>
      <c r="Y60" s="236">
        <f t="shared" si="157"/>
        <v>2546.45</v>
      </c>
      <c r="Z60" s="236">
        <f t="shared" si="157"/>
        <v>3204.7</v>
      </c>
      <c r="AA60" s="236">
        <f t="shared" si="157"/>
        <v>4474.9525</v>
      </c>
      <c r="AB60" s="236">
        <f t="shared" si="157"/>
        <v>2793.2</v>
      </c>
      <c r="AC60" s="236">
        <f t="shared" si="157"/>
        <v>3135.291667</v>
      </c>
      <c r="AD60" s="236">
        <f t="shared" si="157"/>
        <v>3208.625</v>
      </c>
      <c r="AE60" s="236">
        <f t="shared" si="157"/>
        <v>14799.4225</v>
      </c>
      <c r="AF60" s="236">
        <f t="shared" si="157"/>
        <v>4333.1</v>
      </c>
      <c r="AG60" s="236">
        <f t="shared" si="157"/>
        <v>6671.5</v>
      </c>
      <c r="AH60" s="237">
        <f t="shared" si="157"/>
        <v>11870</v>
      </c>
      <c r="AI60" s="236">
        <f t="shared" si="157"/>
        <v>4942.193333</v>
      </c>
      <c r="AJ60" s="236">
        <f t="shared" si="157"/>
        <v>2942.193333</v>
      </c>
      <c r="AK60" s="236">
        <f t="shared" si="157"/>
        <v>4477.275</v>
      </c>
      <c r="AL60" s="236">
        <f t="shared" si="157"/>
        <v>8675.275</v>
      </c>
      <c r="AM60" s="236">
        <f t="shared" si="157"/>
        <v>5852.775</v>
      </c>
      <c r="AN60" s="236">
        <f t="shared" si="157"/>
        <v>13398.585</v>
      </c>
      <c r="AO60" s="236">
        <f t="shared" si="157"/>
        <v>2533.585</v>
      </c>
      <c r="AP60" s="236">
        <f>sum(AP49:AP59)</f>
        <v>28003.65</v>
      </c>
      <c r="AQ60" s="236">
        <f t="shared" ref="AQ60:AZ60" si="158">sum(AQ49:AQ57)</f>
        <v>2433.585</v>
      </c>
      <c r="AR60" s="236">
        <f t="shared" si="158"/>
        <v>11201.085</v>
      </c>
      <c r="AS60" s="236">
        <f t="shared" si="158"/>
        <v>4291.56</v>
      </c>
      <c r="AT60" s="236">
        <f t="shared" si="158"/>
        <v>9429.14</v>
      </c>
      <c r="AU60" s="236">
        <f t="shared" si="158"/>
        <v>16828.585</v>
      </c>
      <c r="AV60" s="236">
        <f t="shared" si="158"/>
        <v>2433.585</v>
      </c>
      <c r="AW60" s="236">
        <f t="shared" si="158"/>
        <v>4640.71</v>
      </c>
      <c r="AX60" s="236">
        <f t="shared" si="158"/>
        <v>4489.4</v>
      </c>
      <c r="AY60" s="236">
        <f t="shared" si="158"/>
        <v>2335</v>
      </c>
      <c r="AZ60" s="236">
        <f t="shared" si="158"/>
        <v>17855.71</v>
      </c>
      <c r="BA60" s="238">
        <f t="shared" ref="BA60:BJ60" si="159">sum(BA49:BA59)</f>
        <v>-21399</v>
      </c>
      <c r="BB60" s="238">
        <f t="shared" si="159"/>
        <v>-4200</v>
      </c>
      <c r="BC60" s="238">
        <f t="shared" si="159"/>
        <v>-7200</v>
      </c>
      <c r="BD60" s="238">
        <f t="shared" si="159"/>
        <v>-3400</v>
      </c>
      <c r="BE60" s="238">
        <f t="shared" si="159"/>
        <v>-9600</v>
      </c>
      <c r="BF60" s="238">
        <f t="shared" si="159"/>
        <v>-37950</v>
      </c>
      <c r="BG60" s="238">
        <f t="shared" si="159"/>
        <v>-10450</v>
      </c>
      <c r="BH60" s="238">
        <f t="shared" si="159"/>
        <v>-25450</v>
      </c>
      <c r="BI60" s="238">
        <f t="shared" si="159"/>
        <v>-206050</v>
      </c>
      <c r="BJ60" s="238">
        <f t="shared" si="159"/>
        <v>-1650</v>
      </c>
      <c r="BK60" s="239"/>
      <c r="BL60" s="238">
        <f t="shared" ref="BL60:BW60" si="160">sum(BL49:BL59)</f>
        <v>-1650</v>
      </c>
      <c r="BM60" s="238">
        <f t="shared" si="160"/>
        <v>-1650</v>
      </c>
      <c r="BN60" s="238">
        <f t="shared" si="160"/>
        <v>-1650</v>
      </c>
      <c r="BO60" s="238">
        <f t="shared" si="160"/>
        <v>-1650</v>
      </c>
      <c r="BP60" s="238">
        <f t="shared" si="160"/>
        <v>-1650</v>
      </c>
      <c r="BQ60" s="238">
        <f t="shared" si="160"/>
        <v>-1650</v>
      </c>
      <c r="BR60" s="238">
        <f t="shared" si="160"/>
        <v>-1650</v>
      </c>
      <c r="BS60" s="238">
        <f t="shared" si="160"/>
        <v>-1650</v>
      </c>
      <c r="BT60" s="238">
        <f t="shared" si="160"/>
        <v>-1650</v>
      </c>
      <c r="BU60" s="238">
        <f t="shared" si="160"/>
        <v>-1650</v>
      </c>
      <c r="BV60" s="238">
        <f t="shared" si="160"/>
        <v>-1650</v>
      </c>
      <c r="BW60" s="238">
        <f t="shared" si="160"/>
        <v>-1650</v>
      </c>
    </row>
    <row r="61">
      <c r="A61" s="240"/>
      <c r="B61" s="241"/>
      <c r="C61" s="177"/>
      <c r="D61" s="177"/>
      <c r="E61" s="177"/>
      <c r="F61" s="177"/>
      <c r="G61" s="177"/>
      <c r="H61" s="178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8"/>
      <c r="AI61" s="177"/>
      <c r="AJ61" s="177"/>
      <c r="AK61" s="177"/>
      <c r="AL61" s="177"/>
      <c r="AM61" s="177"/>
      <c r="AN61" s="177"/>
      <c r="AO61" s="177"/>
      <c r="AP61" s="177"/>
      <c r="AQ61" s="177"/>
      <c r="AR61" s="177"/>
      <c r="AS61" s="177"/>
      <c r="AT61" s="177"/>
      <c r="AU61" s="177"/>
      <c r="AV61" s="177"/>
      <c r="AW61" s="177"/>
      <c r="AX61" s="177"/>
      <c r="AY61" s="177"/>
      <c r="AZ61" s="177"/>
      <c r="BA61" s="177"/>
      <c r="BB61" s="177"/>
      <c r="BC61" s="177"/>
      <c r="BD61" s="177"/>
      <c r="BE61" s="177"/>
      <c r="BF61" s="177"/>
      <c r="BG61" s="177"/>
      <c r="BH61" s="177"/>
      <c r="BI61" s="177"/>
      <c r="BJ61" s="177"/>
      <c r="BK61" s="178"/>
      <c r="BL61" s="177"/>
      <c r="BM61" s="177"/>
      <c r="BN61" s="177"/>
      <c r="BO61" s="177"/>
      <c r="BP61" s="177"/>
      <c r="BQ61" s="177"/>
      <c r="BR61" s="177"/>
      <c r="BS61" s="177"/>
      <c r="BT61" s="177"/>
      <c r="BU61" s="177"/>
      <c r="BV61" s="177"/>
      <c r="BW61" s="177"/>
    </row>
    <row r="62">
      <c r="A62" s="243"/>
      <c r="B62" s="244"/>
      <c r="C62" s="245"/>
      <c r="D62" s="245"/>
      <c r="E62" s="245"/>
      <c r="F62" s="245"/>
      <c r="G62" s="245"/>
      <c r="H62" s="246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  <c r="AH62" s="246"/>
      <c r="AI62" s="245"/>
      <c r="AJ62" s="245"/>
      <c r="AK62" s="245"/>
      <c r="AL62" s="245"/>
      <c r="AM62" s="245"/>
      <c r="AN62" s="245"/>
      <c r="AO62" s="245"/>
      <c r="AP62" s="245"/>
      <c r="AQ62" s="245"/>
      <c r="AR62" s="245"/>
      <c r="AS62" s="245"/>
      <c r="AT62" s="245"/>
      <c r="AU62" s="245"/>
      <c r="AV62" s="245"/>
      <c r="AW62" s="245"/>
      <c r="AX62" s="245"/>
      <c r="AY62" s="245"/>
      <c r="AZ62" s="245"/>
      <c r="BA62" s="245"/>
      <c r="BB62" s="245"/>
      <c r="BC62" s="245"/>
      <c r="BD62" s="245"/>
      <c r="BE62" s="245"/>
      <c r="BF62" s="245"/>
      <c r="BG62" s="245"/>
      <c r="BH62" s="245"/>
      <c r="BI62" s="245"/>
      <c r="BJ62" s="245"/>
      <c r="BK62" s="246"/>
      <c r="BL62" s="245"/>
      <c r="BM62" s="245"/>
      <c r="BN62" s="245"/>
      <c r="BO62" s="245"/>
      <c r="BP62" s="245"/>
      <c r="BQ62" s="245"/>
      <c r="BR62" s="245"/>
      <c r="BS62" s="245"/>
      <c r="BT62" s="245"/>
      <c r="BU62" s="245"/>
      <c r="BV62" s="245"/>
      <c r="BW62" s="245"/>
    </row>
    <row r="63">
      <c r="A63" s="249" t="s">
        <v>253</v>
      </c>
      <c r="B63" s="250"/>
      <c r="C63" s="177"/>
      <c r="D63" s="177"/>
      <c r="E63" s="177"/>
      <c r="F63" s="177"/>
      <c r="G63" s="177"/>
      <c r="H63" s="178"/>
      <c r="I63" s="177"/>
      <c r="J63" s="177" t="str">
        <f t="shared" ref="J63:K63" si="161">J13-#REF!-J45-J60</f>
        <v>#REF!</v>
      </c>
      <c r="K63" s="177" t="str">
        <f t="shared" si="161"/>
        <v>#REF!</v>
      </c>
      <c r="L63" s="177" t="str">
        <f t="shared" ref="L63:M63" si="162">L13-#REF!-L45-L60+K63</f>
        <v>#REF!</v>
      </c>
      <c r="M63" s="177" t="str">
        <f t="shared" si="162"/>
        <v>#REF!</v>
      </c>
      <c r="N63" s="177">
        <f>N13-N45-N60</f>
        <v>2020.5</v>
      </c>
      <c r="O63" s="177">
        <f>N63+O13-O45-O60</f>
        <v>4252.5</v>
      </c>
      <c r="P63" s="177">
        <f>P13-P45-P60+P57</f>
        <v>297.0622682</v>
      </c>
      <c r="Q63" s="177">
        <f t="shared" ref="Q63:R63" si="163">Q13-Q45-Q60+Q57+P63</f>
        <v>575.2805322</v>
      </c>
      <c r="R63" s="177">
        <f t="shared" si="163"/>
        <v>608.5017101</v>
      </c>
      <c r="S63" s="177">
        <f>S13-S45-S60+S57+100</f>
        <v>513.050056</v>
      </c>
      <c r="T63" s="177">
        <f t="shared" ref="T63:W63" si="164">T13-T45-T60+T57+S63</f>
        <v>-1066.895358</v>
      </c>
      <c r="U63" s="177">
        <f t="shared" si="164"/>
        <v>890.1095741</v>
      </c>
      <c r="V63" s="177">
        <f t="shared" si="164"/>
        <v>-739.754882</v>
      </c>
      <c r="W63" s="177">
        <f t="shared" si="164"/>
        <v>1252.163362</v>
      </c>
      <c r="X63" s="177">
        <f>X13-X45-X60+X57</f>
        <v>-1951.510327</v>
      </c>
      <c r="Y63" s="177">
        <f t="shared" ref="Y63:AH63" si="165">Y13-Y45-Y60+Y57+X63</f>
        <v>2803.564673</v>
      </c>
      <c r="Z63" s="177">
        <f t="shared" si="165"/>
        <v>1629.214673</v>
      </c>
      <c r="AA63" s="177">
        <f t="shared" si="165"/>
        <v>-869.7278271</v>
      </c>
      <c r="AB63" s="177">
        <f t="shared" si="165"/>
        <v>179.5071729</v>
      </c>
      <c r="AC63" s="177">
        <f t="shared" si="165"/>
        <v>385.6505062</v>
      </c>
      <c r="AD63" s="177">
        <f t="shared" si="165"/>
        <v>1618.460506</v>
      </c>
      <c r="AE63" s="177">
        <f t="shared" si="165"/>
        <v>1760.473006</v>
      </c>
      <c r="AF63" s="177">
        <f t="shared" si="165"/>
        <v>3168.808006</v>
      </c>
      <c r="AG63" s="177">
        <f t="shared" si="165"/>
        <v>3338.743006</v>
      </c>
      <c r="AH63" s="178">
        <f t="shared" si="165"/>
        <v>6756.653006</v>
      </c>
      <c r="AI63" s="177">
        <f>AI13-AI45-AI60+AI57+AG63</f>
        <v>1457.459673</v>
      </c>
      <c r="AJ63" s="177">
        <f t="shared" ref="AJ63:AK63" si="166">AJ13-AJ45-AJ60+AJ57</f>
        <v>318.7166667</v>
      </c>
      <c r="AK63" s="177">
        <f t="shared" si="166"/>
        <v>8470.725</v>
      </c>
      <c r="AL63" s="177">
        <f t="shared" ref="AL63:AU63" si="167">AL13-AL45-AL60+AL57+AK63</f>
        <v>1168.45</v>
      </c>
      <c r="AM63" s="177">
        <f t="shared" si="167"/>
        <v>501.675</v>
      </c>
      <c r="AN63" s="177">
        <f t="shared" si="167"/>
        <v>2289.09</v>
      </c>
      <c r="AO63" s="177">
        <f t="shared" si="167"/>
        <v>5941.505</v>
      </c>
      <c r="AP63" s="177">
        <f t="shared" si="167"/>
        <v>2198.855</v>
      </c>
      <c r="AQ63" s="177">
        <f t="shared" si="167"/>
        <v>4926.27</v>
      </c>
      <c r="AR63" s="177">
        <f t="shared" si="167"/>
        <v>-1113.815</v>
      </c>
      <c r="AS63" s="177">
        <f t="shared" si="167"/>
        <v>-272.375</v>
      </c>
      <c r="AT63" s="177">
        <f t="shared" si="167"/>
        <v>210.595</v>
      </c>
      <c r="AU63" s="177">
        <f t="shared" si="167"/>
        <v>4643.01</v>
      </c>
      <c r="AV63" s="177">
        <f>0</f>
        <v>0</v>
      </c>
      <c r="AW63" s="177">
        <f t="shared" ref="AW63:AY63" si="168">AW13-AW45-AW60+AW57</f>
        <v>0.29</v>
      </c>
      <c r="AX63" s="177">
        <f t="shared" si="168"/>
        <v>2995.6</v>
      </c>
      <c r="AY63" s="177">
        <f t="shared" si="168"/>
        <v>5106</v>
      </c>
      <c r="AZ63" s="177">
        <f>AZ13-AZ45-AZ60+AZ57+AY63</f>
        <v>6566.29</v>
      </c>
      <c r="BA63" s="177">
        <f>sum(BA13,BA45,BA60)</f>
        <v>2484</v>
      </c>
      <c r="BB63" s="177">
        <f t="shared" ref="BB63:BE63" si="169">sum(BB13,BB45,BB60,BA63)</f>
        <v>2167</v>
      </c>
      <c r="BC63" s="177">
        <f t="shared" si="169"/>
        <v>-350</v>
      </c>
      <c r="BD63" s="177">
        <f t="shared" si="169"/>
        <v>-7263</v>
      </c>
      <c r="BE63" s="177">
        <f t="shared" si="169"/>
        <v>-14280</v>
      </c>
      <c r="BF63" s="177">
        <f>sum(BF13,BF45,BF60)</f>
        <v>883</v>
      </c>
      <c r="BG63" s="177">
        <f t="shared" ref="BG63:BJ63" si="170">sum(BG13,BG45,BG60,BF63)</f>
        <v>1581</v>
      </c>
      <c r="BH63" s="177">
        <f t="shared" si="170"/>
        <v>3164</v>
      </c>
      <c r="BI63" s="177">
        <f t="shared" si="170"/>
        <v>39647</v>
      </c>
      <c r="BJ63" s="177">
        <f t="shared" si="170"/>
        <v>30830</v>
      </c>
      <c r="BK63" s="178"/>
      <c r="BL63" s="177">
        <f>sum(BL13,BL45,BL60,BJ63)</f>
        <v>32013</v>
      </c>
      <c r="BM63" s="177">
        <f t="shared" ref="BM63:BW63" si="171">sum(BM13,BM45,BM60,BL63)</f>
        <v>32396</v>
      </c>
      <c r="BN63" s="177">
        <f t="shared" si="171"/>
        <v>35779</v>
      </c>
      <c r="BO63" s="177">
        <f t="shared" si="171"/>
        <v>39162</v>
      </c>
      <c r="BP63" s="177">
        <f t="shared" si="171"/>
        <v>41445</v>
      </c>
      <c r="BQ63" s="177">
        <f t="shared" si="171"/>
        <v>44828</v>
      </c>
      <c r="BR63" s="177">
        <f t="shared" si="171"/>
        <v>49011</v>
      </c>
      <c r="BS63" s="177">
        <f t="shared" si="171"/>
        <v>53194</v>
      </c>
      <c r="BT63" s="177">
        <f t="shared" si="171"/>
        <v>56877</v>
      </c>
      <c r="BU63" s="177">
        <f t="shared" si="171"/>
        <v>60560</v>
      </c>
      <c r="BV63" s="177">
        <f t="shared" si="171"/>
        <v>64243</v>
      </c>
      <c r="BW63" s="177">
        <f t="shared" si="171"/>
        <v>68726</v>
      </c>
    </row>
    <row r="64">
      <c r="A64" s="251"/>
      <c r="B64" s="252"/>
      <c r="C64" s="177"/>
      <c r="D64" s="177"/>
      <c r="E64" s="177"/>
      <c r="F64" s="177"/>
      <c r="G64" s="177"/>
      <c r="H64" s="178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8"/>
      <c r="AI64" s="177"/>
      <c r="AJ64" s="177"/>
      <c r="AK64" s="177"/>
      <c r="AL64" s="177"/>
      <c r="AM64" s="177"/>
      <c r="AN64" s="177"/>
      <c r="AO64" s="177"/>
      <c r="AP64" s="177"/>
      <c r="AQ64" s="177"/>
      <c r="AR64" s="177"/>
      <c r="AS64" s="177"/>
      <c r="AT64" s="177"/>
      <c r="AU64" s="177"/>
      <c r="AV64" s="177"/>
      <c r="AW64" s="177"/>
      <c r="AX64" s="177"/>
      <c r="AY64" s="177"/>
      <c r="AZ64" s="177"/>
      <c r="BA64" s="177"/>
      <c r="BB64" s="177"/>
      <c r="BC64" s="177"/>
      <c r="BD64" s="177"/>
      <c r="BE64" s="177"/>
      <c r="BF64" s="177"/>
      <c r="BG64" s="177"/>
      <c r="BH64" s="177"/>
      <c r="BI64" s="177"/>
      <c r="BJ64" s="177"/>
      <c r="BK64" s="178"/>
      <c r="BL64" s="177"/>
      <c r="BM64" s="177"/>
      <c r="BN64" s="177"/>
      <c r="BO64" s="177"/>
      <c r="BP64" s="177"/>
      <c r="BQ64" s="177"/>
      <c r="BR64" s="177"/>
      <c r="BS64" s="177"/>
      <c r="BT64" s="177"/>
      <c r="BU64" s="177"/>
      <c r="BV64" s="177"/>
      <c r="BW64" s="177"/>
    </row>
    <row r="65">
      <c r="A65" s="251"/>
      <c r="B65" s="252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  <c r="AM65" s="177"/>
      <c r="AN65" s="177"/>
      <c r="AO65" s="177"/>
      <c r="AP65" s="177"/>
      <c r="AQ65" s="177"/>
      <c r="AR65" s="177"/>
      <c r="AS65" s="177"/>
      <c r="AT65" s="177"/>
      <c r="AU65" s="177"/>
      <c r="AV65" s="177"/>
      <c r="AW65" s="177"/>
      <c r="AX65" s="177"/>
      <c r="AY65" s="177"/>
      <c r="AZ65" s="177"/>
      <c r="BA65" s="177"/>
      <c r="BB65" s="177"/>
      <c r="BC65" s="177"/>
      <c r="BD65" s="179"/>
      <c r="BF65" s="177"/>
      <c r="BG65" s="177"/>
      <c r="BH65" s="177"/>
      <c r="BI65" s="177"/>
      <c r="BJ65" s="177"/>
      <c r="BK65" s="178"/>
      <c r="BL65" s="177"/>
      <c r="BM65" s="177"/>
      <c r="BN65" s="177"/>
      <c r="BO65" s="177"/>
      <c r="BP65" s="177"/>
      <c r="BQ65" s="177"/>
      <c r="BR65" s="177"/>
      <c r="BS65" s="177"/>
      <c r="BT65" s="177"/>
      <c r="BU65" s="177"/>
      <c r="BV65" s="177"/>
      <c r="BW65" s="177"/>
    </row>
    <row r="66">
      <c r="A66" s="251"/>
      <c r="B66" s="252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177"/>
      <c r="AZ66" s="177"/>
      <c r="BA66" s="177"/>
      <c r="BB66" s="177"/>
      <c r="BC66" s="177"/>
      <c r="BD66" s="177"/>
      <c r="BE66" s="179"/>
      <c r="BF66" s="177"/>
      <c r="BG66" s="177"/>
      <c r="BH66" s="177"/>
      <c r="BI66" s="177"/>
      <c r="BJ66" s="177"/>
      <c r="BK66" s="246"/>
      <c r="BL66" s="177"/>
      <c r="BM66" s="177"/>
      <c r="BN66" s="177"/>
      <c r="BO66" s="177"/>
      <c r="BP66" s="177"/>
      <c r="BQ66" s="177"/>
      <c r="BR66" s="177"/>
      <c r="BS66" s="177"/>
      <c r="BT66" s="177"/>
      <c r="BU66" s="177"/>
      <c r="BV66" s="177"/>
      <c r="BW66" s="177"/>
    </row>
  </sheetData>
  <conditionalFormatting sqref="J63:BW63">
    <cfRule type="cellIs" dxfId="0" priority="1" operator="greaterThan">
      <formula>0</formula>
    </cfRule>
  </conditionalFormatting>
  <conditionalFormatting sqref="J63:BW63">
    <cfRule type="cellIs" dxfId="1" priority="2" operator="lessThan">
      <formula>0</formula>
    </cfRule>
  </conditionalFormatting>
  <conditionalFormatting sqref="Q26:BW26">
    <cfRule type="cellIs" dxfId="2" priority="3" operator="lessThanOrEqual">
      <formula>"50%"</formula>
    </cfRule>
  </conditionalFormatting>
  <conditionalFormatting sqref="Q26:BW26">
    <cfRule type="cellIs" dxfId="3" priority="4" operator="greaterThanOrEqual">
      <formula>"50%"</formula>
    </cfRule>
  </conditionalFormatting>
  <conditionalFormatting sqref="Q44:BW44">
    <cfRule type="cellIs" dxfId="2" priority="5" operator="lessThanOrEqual">
      <formula>"30%"</formula>
    </cfRule>
  </conditionalFormatting>
  <conditionalFormatting sqref="Q44:BW44">
    <cfRule type="cellIs" dxfId="3" priority="6" operator="greaterThanOrEqual">
      <formula>"30%"</formula>
    </cfRule>
  </conditionalFormatting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25"/>
    <col customWidth="1" min="2" max="2" width="34.0"/>
    <col hidden="1" min="3" max="7" width="12.63"/>
    <col customWidth="1" hidden="1" min="8" max="12" width="15.0"/>
    <col customWidth="1" hidden="1" min="13" max="13" width="16.25"/>
    <col customWidth="1" hidden="1" min="14" max="14" width="15.0"/>
    <col hidden="1" min="15" max="22" width="12.63"/>
    <col customWidth="1" hidden="1" min="23" max="23" width="15.0"/>
    <col hidden="1" min="24" max="52" width="12.63"/>
  </cols>
  <sheetData>
    <row r="1" ht="20.25" customHeight="1">
      <c r="A1" s="122" t="s">
        <v>94</v>
      </c>
      <c r="B1" s="123"/>
      <c r="C1" s="124" t="s">
        <v>95</v>
      </c>
      <c r="D1" s="124" t="s">
        <v>96</v>
      </c>
      <c r="E1" s="124" t="s">
        <v>97</v>
      </c>
      <c r="F1" s="124" t="s">
        <v>98</v>
      </c>
      <c r="G1" s="124" t="s">
        <v>99</v>
      </c>
      <c r="H1" s="125" t="s">
        <v>100</v>
      </c>
      <c r="I1" s="123" t="s">
        <v>101</v>
      </c>
      <c r="J1" s="123" t="s">
        <v>102</v>
      </c>
      <c r="K1" s="123" t="s">
        <v>103</v>
      </c>
      <c r="L1" s="123" t="s">
        <v>104</v>
      </c>
      <c r="M1" s="123" t="s">
        <v>105</v>
      </c>
      <c r="N1" s="123" t="s">
        <v>106</v>
      </c>
      <c r="O1" s="123" t="s">
        <v>107</v>
      </c>
      <c r="P1" s="123" t="s">
        <v>108</v>
      </c>
      <c r="Q1" s="123" t="s">
        <v>109</v>
      </c>
      <c r="R1" s="123" t="s">
        <v>110</v>
      </c>
      <c r="S1" s="123" t="s">
        <v>111</v>
      </c>
      <c r="T1" s="123" t="s">
        <v>112</v>
      </c>
      <c r="U1" s="123" t="s">
        <v>113</v>
      </c>
      <c r="V1" s="123" t="s">
        <v>114</v>
      </c>
      <c r="W1" s="123" t="s">
        <v>115</v>
      </c>
      <c r="X1" s="123" t="s">
        <v>116</v>
      </c>
      <c r="Y1" s="123" t="s">
        <v>117</v>
      </c>
      <c r="Z1" s="123" t="s">
        <v>118</v>
      </c>
      <c r="AA1" s="126" t="s">
        <v>119</v>
      </c>
      <c r="AB1" s="126" t="s">
        <v>120</v>
      </c>
      <c r="AC1" s="126" t="s">
        <v>121</v>
      </c>
      <c r="AD1" s="126" t="s">
        <v>122</v>
      </c>
      <c r="AE1" s="126" t="s">
        <v>123</v>
      </c>
      <c r="AF1" s="126" t="s">
        <v>124</v>
      </c>
      <c r="AG1" s="126" t="s">
        <v>125</v>
      </c>
      <c r="AH1" s="127" t="s">
        <v>126</v>
      </c>
      <c r="AI1" s="126" t="s">
        <v>127</v>
      </c>
      <c r="AJ1" s="126" t="s">
        <v>128</v>
      </c>
      <c r="AK1" s="126" t="s">
        <v>129</v>
      </c>
      <c r="AL1" s="126" t="s">
        <v>130</v>
      </c>
      <c r="AM1" s="126" t="s">
        <v>131</v>
      </c>
      <c r="AN1" s="126" t="s">
        <v>132</v>
      </c>
      <c r="AO1" s="126" t="s">
        <v>133</v>
      </c>
      <c r="AP1" s="126" t="s">
        <v>134</v>
      </c>
      <c r="AQ1" s="126" t="s">
        <v>135</v>
      </c>
      <c r="AR1" s="126" t="s">
        <v>136</v>
      </c>
      <c r="AS1" s="126" t="s">
        <v>137</v>
      </c>
      <c r="AT1" s="126" t="s">
        <v>138</v>
      </c>
      <c r="AU1" s="126" t="s">
        <v>139</v>
      </c>
      <c r="AV1" s="126" t="s">
        <v>140</v>
      </c>
      <c r="AW1" s="126" t="s">
        <v>141</v>
      </c>
      <c r="AX1" s="126" t="s">
        <v>142</v>
      </c>
      <c r="AY1" s="126" t="s">
        <v>143</v>
      </c>
      <c r="AZ1" s="126" t="s">
        <v>144</v>
      </c>
      <c r="BA1" s="126" t="s">
        <v>145</v>
      </c>
      <c r="BB1" s="126" t="s">
        <v>146</v>
      </c>
      <c r="BC1" s="126" t="s">
        <v>147</v>
      </c>
      <c r="BD1" s="126" t="s">
        <v>148</v>
      </c>
      <c r="BE1" s="126" t="s">
        <v>149</v>
      </c>
      <c r="BF1" s="126" t="s">
        <v>149</v>
      </c>
      <c r="BG1" s="126" t="s">
        <v>150</v>
      </c>
      <c r="BH1" s="126" t="s">
        <v>151</v>
      </c>
      <c r="BI1" s="126" t="s">
        <v>152</v>
      </c>
      <c r="BJ1" s="126" t="s">
        <v>153</v>
      </c>
      <c r="BK1" s="126" t="s">
        <v>154</v>
      </c>
    </row>
    <row r="2">
      <c r="A2" s="131" t="s">
        <v>195</v>
      </c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4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</row>
    <row r="3">
      <c r="A3" s="135" t="s">
        <v>196</v>
      </c>
      <c r="B3" s="136"/>
      <c r="C3" s="137"/>
      <c r="D3" s="137"/>
      <c r="E3" s="137"/>
      <c r="F3" s="137"/>
      <c r="G3" s="137"/>
      <c r="H3" s="137"/>
      <c r="I3" s="138"/>
      <c r="J3" s="138"/>
      <c r="K3" s="138"/>
      <c r="L3" s="138"/>
      <c r="M3" s="139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40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</row>
    <row r="4">
      <c r="A4" s="149"/>
      <c r="B4" s="144" t="s">
        <v>197</v>
      </c>
      <c r="C4" s="145">
        <v>10000.0</v>
      </c>
      <c r="D4" s="145">
        <v>10000.0</v>
      </c>
      <c r="E4" s="145">
        <v>10000.0</v>
      </c>
      <c r="F4" s="145">
        <v>10000.0</v>
      </c>
      <c r="G4" s="145">
        <v>10000.0</v>
      </c>
      <c r="H4" s="146">
        <v>10000.0</v>
      </c>
      <c r="I4" s="145">
        <v>10000.0</v>
      </c>
      <c r="J4" s="145">
        <f t="shared" ref="J4:P4" si="1">120000/12</f>
        <v>10000</v>
      </c>
      <c r="K4" s="145">
        <f t="shared" si="1"/>
        <v>10000</v>
      </c>
      <c r="L4" s="145">
        <f t="shared" si="1"/>
        <v>10000</v>
      </c>
      <c r="M4" s="145">
        <f t="shared" si="1"/>
        <v>10000</v>
      </c>
      <c r="N4" s="145">
        <f t="shared" si="1"/>
        <v>10000</v>
      </c>
      <c r="O4" s="145">
        <f t="shared" si="1"/>
        <v>10000</v>
      </c>
      <c r="P4" s="145">
        <f t="shared" si="1"/>
        <v>10000</v>
      </c>
      <c r="Q4" s="145">
        <f t="shared" ref="Q4:Y4" si="2">123000/12</f>
        <v>10250</v>
      </c>
      <c r="R4" s="145">
        <f t="shared" si="2"/>
        <v>10250</v>
      </c>
      <c r="S4" s="145">
        <f t="shared" si="2"/>
        <v>10250</v>
      </c>
      <c r="T4" s="145">
        <f t="shared" si="2"/>
        <v>10250</v>
      </c>
      <c r="U4" s="145">
        <f t="shared" si="2"/>
        <v>10250</v>
      </c>
      <c r="V4" s="145">
        <f t="shared" si="2"/>
        <v>10250</v>
      </c>
      <c r="W4" s="145">
        <f t="shared" si="2"/>
        <v>10250</v>
      </c>
      <c r="X4" s="145">
        <f t="shared" si="2"/>
        <v>10250</v>
      </c>
      <c r="Y4" s="145">
        <f t="shared" si="2"/>
        <v>10250</v>
      </c>
      <c r="Z4" s="685">
        <f t="shared" ref="Z4:AJ4" si="3">160000/12</f>
        <v>13333.33333</v>
      </c>
      <c r="AA4" s="685">
        <f t="shared" si="3"/>
        <v>13333.33333</v>
      </c>
      <c r="AB4" s="685">
        <f t="shared" si="3"/>
        <v>13333.33333</v>
      </c>
      <c r="AC4" s="685">
        <f t="shared" si="3"/>
        <v>13333.33333</v>
      </c>
      <c r="AD4" s="685">
        <f t="shared" si="3"/>
        <v>13333.33333</v>
      </c>
      <c r="AE4" s="685">
        <f t="shared" si="3"/>
        <v>13333.33333</v>
      </c>
      <c r="AF4" s="685">
        <f t="shared" si="3"/>
        <v>13333.33333</v>
      </c>
      <c r="AG4" s="685">
        <f t="shared" si="3"/>
        <v>13333.33333</v>
      </c>
      <c r="AH4" s="686">
        <f t="shared" si="3"/>
        <v>13333.33333</v>
      </c>
      <c r="AI4" s="685">
        <f t="shared" si="3"/>
        <v>13333.33333</v>
      </c>
      <c r="AJ4" s="685">
        <f t="shared" si="3"/>
        <v>13333.33333</v>
      </c>
      <c r="AK4" s="685">
        <f>165000/12</f>
        <v>13750</v>
      </c>
      <c r="AL4" s="685">
        <f t="shared" ref="AL4:AZ4" si="4">210000/12</f>
        <v>17500</v>
      </c>
      <c r="AM4" s="685">
        <f t="shared" si="4"/>
        <v>17500</v>
      </c>
      <c r="AN4" s="685">
        <f t="shared" si="4"/>
        <v>17500</v>
      </c>
      <c r="AO4" s="685">
        <f t="shared" si="4"/>
        <v>17500</v>
      </c>
      <c r="AP4" s="685">
        <f t="shared" si="4"/>
        <v>17500</v>
      </c>
      <c r="AQ4" s="685">
        <f t="shared" si="4"/>
        <v>17500</v>
      </c>
      <c r="AR4" s="685">
        <f t="shared" si="4"/>
        <v>17500</v>
      </c>
      <c r="AS4" s="685">
        <f t="shared" si="4"/>
        <v>17500</v>
      </c>
      <c r="AT4" s="685">
        <f t="shared" si="4"/>
        <v>17500</v>
      </c>
      <c r="AU4" s="685">
        <f t="shared" si="4"/>
        <v>17500</v>
      </c>
      <c r="AV4" s="685">
        <f t="shared" si="4"/>
        <v>17500</v>
      </c>
      <c r="AW4" s="685">
        <f t="shared" si="4"/>
        <v>17500</v>
      </c>
      <c r="AX4" s="685">
        <f t="shared" si="4"/>
        <v>17500</v>
      </c>
      <c r="AY4" s="685">
        <f t="shared" si="4"/>
        <v>17500</v>
      </c>
      <c r="AZ4" s="685">
        <f t="shared" si="4"/>
        <v>17500</v>
      </c>
      <c r="BA4" s="697">
        <f t="shared" ref="BA4:BD4" si="5">200000/12</f>
        <v>16666.66667</v>
      </c>
      <c r="BB4" s="697">
        <f t="shared" si="5"/>
        <v>16666.66667</v>
      </c>
      <c r="BC4" s="697">
        <f t="shared" si="5"/>
        <v>16666.66667</v>
      </c>
      <c r="BD4" s="697">
        <f t="shared" si="5"/>
        <v>16666.66667</v>
      </c>
      <c r="BE4" s="698">
        <f t="shared" ref="BE4:BF4" si="6">250000/12</f>
        <v>20833.33333</v>
      </c>
      <c r="BF4" s="698">
        <f t="shared" si="6"/>
        <v>20833.33333</v>
      </c>
      <c r="BG4" s="698">
        <f t="shared" ref="BG4:BK4" si="7">sum(1000000/12)</f>
        <v>83333.33333</v>
      </c>
      <c r="BH4" s="698">
        <f t="shared" si="7"/>
        <v>83333.33333</v>
      </c>
      <c r="BI4" s="698">
        <f t="shared" si="7"/>
        <v>83333.33333</v>
      </c>
      <c r="BJ4" s="698">
        <f t="shared" si="7"/>
        <v>83333.33333</v>
      </c>
      <c r="BK4" s="698">
        <f t="shared" si="7"/>
        <v>83333.33333</v>
      </c>
    </row>
    <row r="5">
      <c r="A5" s="149"/>
      <c r="B5" s="137" t="s">
        <v>198</v>
      </c>
      <c r="C5" s="145">
        <v>0.0</v>
      </c>
      <c r="D5" s="145">
        <v>3000.0</v>
      </c>
      <c r="E5" s="145">
        <v>0.0</v>
      </c>
      <c r="F5" s="145">
        <v>0.0</v>
      </c>
      <c r="G5" s="145">
        <v>0.0</v>
      </c>
      <c r="H5" s="146">
        <v>0.0</v>
      </c>
      <c r="I5" s="145">
        <v>5000.0</v>
      </c>
      <c r="J5" s="145">
        <v>5000.0</v>
      </c>
      <c r="K5" s="145">
        <v>0.0</v>
      </c>
      <c r="L5" s="145">
        <v>0.0</v>
      </c>
      <c r="M5" s="145">
        <v>800.0</v>
      </c>
      <c r="N5" s="145">
        <f>500</f>
        <v>500</v>
      </c>
      <c r="O5" s="145">
        <v>0.0</v>
      </c>
      <c r="P5" s="145">
        <f>5000</f>
        <v>5000</v>
      </c>
      <c r="Q5" s="145">
        <v>0.0</v>
      </c>
      <c r="R5" s="145">
        <v>0.0</v>
      </c>
      <c r="S5" s="145">
        <v>0.0</v>
      </c>
      <c r="T5" s="145">
        <v>0.0</v>
      </c>
      <c r="U5" s="145">
        <v>0.0</v>
      </c>
      <c r="V5" s="145">
        <v>0.0</v>
      </c>
      <c r="W5" s="145">
        <v>0.0</v>
      </c>
      <c r="X5" s="145">
        <v>0.0</v>
      </c>
      <c r="Y5" s="145">
        <v>0.0</v>
      </c>
      <c r="Z5" s="145">
        <v>0.0</v>
      </c>
      <c r="AA5" s="145">
        <v>0.0</v>
      </c>
      <c r="AB5" s="145">
        <v>0.0</v>
      </c>
      <c r="AC5" s="145">
        <v>0.0</v>
      </c>
      <c r="AD5" s="145">
        <v>0.0</v>
      </c>
      <c r="AE5" s="145">
        <v>0.0</v>
      </c>
      <c r="AF5" s="145">
        <v>0.0</v>
      </c>
      <c r="AG5" s="145">
        <v>0.0</v>
      </c>
      <c r="AH5" s="146">
        <v>0.0</v>
      </c>
      <c r="AI5" s="145">
        <v>0.0</v>
      </c>
      <c r="AJ5" s="145">
        <v>0.0</v>
      </c>
      <c r="AK5" s="145">
        <v>0.0</v>
      </c>
      <c r="AL5" s="145">
        <v>0.0</v>
      </c>
      <c r="AM5" s="145">
        <v>0.0</v>
      </c>
      <c r="AN5" s="145">
        <v>0.0</v>
      </c>
      <c r="AO5" s="145">
        <v>0.0</v>
      </c>
      <c r="AP5" s="145">
        <v>0.0</v>
      </c>
      <c r="AQ5" s="145">
        <v>0.0</v>
      </c>
      <c r="AR5" s="145">
        <v>0.0</v>
      </c>
      <c r="AS5" s="145">
        <v>0.0</v>
      </c>
      <c r="AT5" s="145">
        <v>0.0</v>
      </c>
      <c r="AU5" s="145">
        <v>0.0</v>
      </c>
      <c r="AV5" s="145">
        <v>0.0</v>
      </c>
      <c r="AW5" s="145">
        <v>0.0</v>
      </c>
      <c r="AX5" s="145">
        <v>0.0</v>
      </c>
      <c r="AY5" s="145">
        <v>0.0</v>
      </c>
      <c r="AZ5" s="145">
        <v>0.0</v>
      </c>
      <c r="BA5" s="145">
        <v>0.0</v>
      </c>
      <c r="BB5" s="145">
        <v>0.0</v>
      </c>
      <c r="BC5" s="145">
        <v>0.0</v>
      </c>
      <c r="BD5" s="145">
        <v>0.0</v>
      </c>
      <c r="BE5" s="155"/>
      <c r="BF5" s="145">
        <v>0.0</v>
      </c>
      <c r="BG5" s="145">
        <v>0.0</v>
      </c>
      <c r="BH5" s="145">
        <v>0.0</v>
      </c>
      <c r="BI5" s="145">
        <v>0.0</v>
      </c>
      <c r="BJ5" s="145">
        <v>0.0</v>
      </c>
      <c r="BK5" s="145">
        <v>0.0</v>
      </c>
    </row>
    <row r="6">
      <c r="A6" s="135" t="s">
        <v>199</v>
      </c>
      <c r="B6" s="136"/>
      <c r="C6" s="137"/>
      <c r="D6" s="137"/>
      <c r="E6" s="137"/>
      <c r="F6" s="137"/>
      <c r="G6" s="137"/>
      <c r="H6" s="137"/>
      <c r="I6" s="138"/>
      <c r="J6" s="138"/>
      <c r="K6" s="138"/>
      <c r="L6" s="138"/>
      <c r="M6" s="139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40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8"/>
      <c r="BK6" s="138"/>
    </row>
    <row r="7" ht="15.0" customHeight="1">
      <c r="A7" s="149"/>
      <c r="B7" s="137" t="s">
        <v>201</v>
      </c>
      <c r="C7" s="145">
        <v>0.0</v>
      </c>
      <c r="D7" s="145">
        <v>0.0</v>
      </c>
      <c r="E7" s="145">
        <v>0.0</v>
      </c>
      <c r="F7" s="145">
        <v>0.0</v>
      </c>
      <c r="G7" s="145">
        <v>0.0</v>
      </c>
      <c r="H7" s="146">
        <v>0.0</v>
      </c>
      <c r="I7" s="145">
        <v>0.0</v>
      </c>
      <c r="J7" s="145">
        <v>0.0</v>
      </c>
      <c r="K7" s="145">
        <v>0.0</v>
      </c>
      <c r="L7" s="145">
        <v>0.0</v>
      </c>
      <c r="M7" s="145">
        <v>0.0</v>
      </c>
      <c r="N7" s="145">
        <v>0.0</v>
      </c>
      <c r="O7" s="145">
        <v>0.0</v>
      </c>
      <c r="P7" s="161">
        <v>0.0</v>
      </c>
      <c r="Q7" s="690">
        <v>0.0</v>
      </c>
      <c r="R7" s="690">
        <v>0.0</v>
      </c>
      <c r="S7" s="690">
        <v>0.0</v>
      </c>
      <c r="T7" s="690">
        <f t="shared" ref="T7:W7" si="8">S7+S7*0.15</f>
        <v>0</v>
      </c>
      <c r="U7" s="691">
        <f t="shared" si="8"/>
        <v>0</v>
      </c>
      <c r="V7" s="150">
        <f t="shared" si="8"/>
        <v>0</v>
      </c>
      <c r="W7" s="150">
        <f t="shared" si="8"/>
        <v>0</v>
      </c>
      <c r="X7" s="151">
        <v>0.0</v>
      </c>
      <c r="Y7" s="151">
        <v>0.0</v>
      </c>
      <c r="Z7" s="691">
        <f t="shared" ref="Z7:AH7" si="9">Y7+Y7*0.1</f>
        <v>0</v>
      </c>
      <c r="AA7" s="691">
        <f t="shared" si="9"/>
        <v>0</v>
      </c>
      <c r="AB7" s="691">
        <f t="shared" si="9"/>
        <v>0</v>
      </c>
      <c r="AC7" s="691">
        <f t="shared" si="9"/>
        <v>0</v>
      </c>
      <c r="AD7" s="691">
        <f t="shared" si="9"/>
        <v>0</v>
      </c>
      <c r="AE7" s="691">
        <f t="shared" si="9"/>
        <v>0</v>
      </c>
      <c r="AF7" s="691">
        <f t="shared" si="9"/>
        <v>0</v>
      </c>
      <c r="AG7" s="691">
        <f t="shared" si="9"/>
        <v>0</v>
      </c>
      <c r="AH7" s="692">
        <f t="shared" si="9"/>
        <v>0</v>
      </c>
      <c r="AI7" s="691">
        <f t="shared" ref="AI7:AJ7" si="10">AG7+AG7*0.1</f>
        <v>0</v>
      </c>
      <c r="AJ7" s="691">
        <f t="shared" si="10"/>
        <v>0</v>
      </c>
      <c r="AK7" s="691">
        <f t="shared" ref="AK7:AT7" si="11">AJ7+AJ7*0.1</f>
        <v>0</v>
      </c>
      <c r="AL7" s="691">
        <f t="shared" si="11"/>
        <v>0</v>
      </c>
      <c r="AM7" s="691">
        <f t="shared" si="11"/>
        <v>0</v>
      </c>
      <c r="AN7" s="691">
        <f t="shared" si="11"/>
        <v>0</v>
      </c>
      <c r="AO7" s="691">
        <f t="shared" si="11"/>
        <v>0</v>
      </c>
      <c r="AP7" s="691">
        <f t="shared" si="11"/>
        <v>0</v>
      </c>
      <c r="AQ7" s="691">
        <f t="shared" si="11"/>
        <v>0</v>
      </c>
      <c r="AR7" s="691">
        <f t="shared" si="11"/>
        <v>0</v>
      </c>
      <c r="AS7" s="691">
        <f t="shared" si="11"/>
        <v>0</v>
      </c>
      <c r="AT7" s="691">
        <f t="shared" si="11"/>
        <v>0</v>
      </c>
      <c r="AU7" s="693">
        <v>0.0</v>
      </c>
      <c r="AV7" s="693">
        <v>0.0</v>
      </c>
      <c r="AW7" s="693">
        <v>0.0</v>
      </c>
      <c r="AX7" s="693">
        <v>0.0</v>
      </c>
      <c r="AY7" s="693">
        <v>0.0</v>
      </c>
      <c r="AZ7" s="693">
        <v>0.0</v>
      </c>
      <c r="BA7" s="693">
        <v>0.0</v>
      </c>
      <c r="BB7" s="693">
        <v>0.0</v>
      </c>
      <c r="BC7" s="693">
        <v>0.0</v>
      </c>
      <c r="BD7" s="693">
        <v>0.0</v>
      </c>
      <c r="BE7" s="693">
        <f t="shared" ref="BE7:BK7" si="12">sum(50000/12)</f>
        <v>4166.666667</v>
      </c>
      <c r="BF7" s="693">
        <f t="shared" si="12"/>
        <v>4166.666667</v>
      </c>
      <c r="BG7" s="693">
        <f t="shared" si="12"/>
        <v>4166.666667</v>
      </c>
      <c r="BH7" s="693">
        <f t="shared" si="12"/>
        <v>4166.666667</v>
      </c>
      <c r="BI7" s="693">
        <f t="shared" si="12"/>
        <v>4166.666667</v>
      </c>
      <c r="BJ7" s="693">
        <f t="shared" si="12"/>
        <v>4166.666667</v>
      </c>
      <c r="BK7" s="693">
        <f t="shared" si="12"/>
        <v>4166.666667</v>
      </c>
    </row>
    <row r="8">
      <c r="A8" s="149"/>
      <c r="B8" s="137" t="s">
        <v>202</v>
      </c>
      <c r="C8" s="145"/>
      <c r="D8" s="145"/>
      <c r="E8" s="145"/>
      <c r="F8" s="145"/>
      <c r="G8" s="145"/>
      <c r="H8" s="146"/>
      <c r="I8" s="145"/>
      <c r="J8" s="145"/>
      <c r="K8" s="145"/>
      <c r="L8" s="145"/>
      <c r="M8" s="145"/>
      <c r="N8" s="145"/>
      <c r="O8" s="145">
        <f>1000</f>
        <v>1000</v>
      </c>
      <c r="P8" s="145">
        <f>2723</f>
        <v>2723</v>
      </c>
      <c r="Q8" s="145">
        <v>419.0</v>
      </c>
      <c r="R8" s="155">
        <f>200</f>
        <v>200</v>
      </c>
      <c r="S8" s="156">
        <f>900+2500</f>
        <v>3400</v>
      </c>
      <c r="T8" s="156">
        <v>0.0</v>
      </c>
      <c r="U8" s="145">
        <v>0.0</v>
      </c>
      <c r="V8" s="145">
        <v>300.0</v>
      </c>
      <c r="W8" s="145">
        <v>0.0</v>
      </c>
      <c r="X8" s="145">
        <v>0.0</v>
      </c>
      <c r="Y8" s="145">
        <v>5600.0</v>
      </c>
      <c r="Z8" s="145">
        <v>0.0</v>
      </c>
      <c r="AA8" s="155">
        <v>0.0</v>
      </c>
      <c r="AB8" s="145">
        <v>0.0</v>
      </c>
      <c r="AC8" s="157">
        <v>700.0</v>
      </c>
      <c r="AD8" s="145">
        <v>0.0</v>
      </c>
      <c r="AE8" s="145">
        <v>11000.0</v>
      </c>
      <c r="AF8" s="158">
        <v>1300.0</v>
      </c>
      <c r="AG8" s="159">
        <f>sum(1200,1200)</f>
        <v>2400</v>
      </c>
      <c r="AH8" s="160">
        <f>sum(7000,10000)</f>
        <v>17000</v>
      </c>
      <c r="AI8" s="161">
        <v>0.0</v>
      </c>
      <c r="AJ8" s="145">
        <v>0.0</v>
      </c>
      <c r="AK8" s="161">
        <f>2000+7700</f>
        <v>9700</v>
      </c>
      <c r="AL8" s="113">
        <v>0.0</v>
      </c>
      <c r="AM8" s="113">
        <v>0.0</v>
      </c>
      <c r="AN8" s="113">
        <v>10000.0</v>
      </c>
      <c r="AO8" s="113">
        <v>1000.0</v>
      </c>
      <c r="AP8" s="113">
        <v>21000.0</v>
      </c>
      <c r="AQ8" s="113">
        <v>0.0</v>
      </c>
      <c r="AR8" s="113">
        <v>0.0</v>
      </c>
      <c r="AS8" s="145">
        <v>0.0</v>
      </c>
      <c r="AT8" s="162">
        <f>sum(4751.11)</f>
        <v>4751.11</v>
      </c>
      <c r="AU8" s="145">
        <f>36000*0.45</f>
        <v>16200</v>
      </c>
      <c r="AV8" s="145">
        <v>0.0</v>
      </c>
      <c r="AW8" s="145">
        <v>0.0</v>
      </c>
      <c r="AX8" s="145">
        <f>SUM(1500,1844)</f>
        <v>3344</v>
      </c>
      <c r="AY8" s="156">
        <f>sum(1000,1800)</f>
        <v>2800</v>
      </c>
      <c r="AZ8" s="155">
        <v>16000.0</v>
      </c>
      <c r="BA8" s="161">
        <v>20000.0</v>
      </c>
      <c r="BB8" s="145">
        <v>0.0</v>
      </c>
      <c r="BC8" s="145">
        <v>0.0</v>
      </c>
      <c r="BD8" s="698">
        <v>300000.0</v>
      </c>
      <c r="BE8" s="145">
        <v>0.0</v>
      </c>
      <c r="BF8" s="145">
        <v>0.0</v>
      </c>
      <c r="BG8" s="161">
        <f>sum(100000)</f>
        <v>100000</v>
      </c>
      <c r="BH8" s="145">
        <v>0.0</v>
      </c>
      <c r="BI8" s="145">
        <v>0.0</v>
      </c>
      <c r="BJ8" s="145">
        <v>0.0</v>
      </c>
      <c r="BK8" s="145">
        <v>0.0</v>
      </c>
    </row>
    <row r="9">
      <c r="A9" s="166"/>
      <c r="B9" s="167"/>
      <c r="C9" s="168"/>
      <c r="D9" s="168"/>
      <c r="E9" s="168"/>
      <c r="F9" s="168"/>
      <c r="G9" s="168"/>
      <c r="H9" s="169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9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/>
    </row>
    <row r="10">
      <c r="A10" s="171" t="s">
        <v>203</v>
      </c>
      <c r="B10" s="172"/>
      <c r="C10" s="173">
        <f t="shared" ref="C10:O10" si="13">sum(C4:C7)</f>
        <v>10000</v>
      </c>
      <c r="D10" s="173">
        <f t="shared" si="13"/>
        <v>13000</v>
      </c>
      <c r="E10" s="173">
        <f t="shared" si="13"/>
        <v>10000</v>
      </c>
      <c r="F10" s="173">
        <f t="shared" si="13"/>
        <v>10000</v>
      </c>
      <c r="G10" s="173">
        <f t="shared" si="13"/>
        <v>10000</v>
      </c>
      <c r="H10" s="174">
        <f t="shared" si="13"/>
        <v>10000</v>
      </c>
      <c r="I10" s="173">
        <f t="shared" si="13"/>
        <v>15000</v>
      </c>
      <c r="J10" s="173">
        <f t="shared" si="13"/>
        <v>15000</v>
      </c>
      <c r="K10" s="173">
        <f t="shared" si="13"/>
        <v>10000</v>
      </c>
      <c r="L10" s="173">
        <f t="shared" si="13"/>
        <v>10000</v>
      </c>
      <c r="M10" s="173">
        <f t="shared" si="13"/>
        <v>10800</v>
      </c>
      <c r="N10" s="173">
        <f t="shared" si="13"/>
        <v>10500</v>
      </c>
      <c r="O10" s="173">
        <f t="shared" si="13"/>
        <v>10000</v>
      </c>
      <c r="P10" s="173">
        <f t="shared" ref="P10:BK10" si="14">sum(P4:P8)</f>
        <v>17723</v>
      </c>
      <c r="Q10" s="173">
        <f t="shared" si="14"/>
        <v>10669</v>
      </c>
      <c r="R10" s="173">
        <f t="shared" si="14"/>
        <v>10450</v>
      </c>
      <c r="S10" s="173">
        <f t="shared" si="14"/>
        <v>13650</v>
      </c>
      <c r="T10" s="173">
        <f t="shared" si="14"/>
        <v>10250</v>
      </c>
      <c r="U10" s="173">
        <f t="shared" si="14"/>
        <v>10250</v>
      </c>
      <c r="V10" s="173">
        <f t="shared" si="14"/>
        <v>10550</v>
      </c>
      <c r="W10" s="173">
        <f t="shared" si="14"/>
        <v>10250</v>
      </c>
      <c r="X10" s="173">
        <f t="shared" si="14"/>
        <v>10250</v>
      </c>
      <c r="Y10" s="173">
        <f t="shared" si="14"/>
        <v>15850</v>
      </c>
      <c r="Z10" s="173">
        <f t="shared" si="14"/>
        <v>13333.33333</v>
      </c>
      <c r="AA10" s="173">
        <f t="shared" si="14"/>
        <v>13333.33333</v>
      </c>
      <c r="AB10" s="173">
        <f t="shared" si="14"/>
        <v>13333.33333</v>
      </c>
      <c r="AC10" s="173">
        <f t="shared" si="14"/>
        <v>14033.33333</v>
      </c>
      <c r="AD10" s="173">
        <f t="shared" si="14"/>
        <v>13333.33333</v>
      </c>
      <c r="AE10" s="173">
        <f t="shared" si="14"/>
        <v>24333.33333</v>
      </c>
      <c r="AF10" s="173">
        <f t="shared" si="14"/>
        <v>14633.33333</v>
      </c>
      <c r="AG10" s="173">
        <f t="shared" si="14"/>
        <v>15733.33333</v>
      </c>
      <c r="AH10" s="174">
        <f t="shared" si="14"/>
        <v>30333.33333</v>
      </c>
      <c r="AI10" s="173">
        <f t="shared" si="14"/>
        <v>13333.33333</v>
      </c>
      <c r="AJ10" s="173">
        <f t="shared" si="14"/>
        <v>13333.33333</v>
      </c>
      <c r="AK10" s="173">
        <f t="shared" si="14"/>
        <v>23450</v>
      </c>
      <c r="AL10" s="173">
        <f t="shared" si="14"/>
        <v>17500</v>
      </c>
      <c r="AM10" s="173">
        <f t="shared" si="14"/>
        <v>17500</v>
      </c>
      <c r="AN10" s="173">
        <f t="shared" si="14"/>
        <v>27500</v>
      </c>
      <c r="AO10" s="173">
        <f t="shared" si="14"/>
        <v>18500</v>
      </c>
      <c r="AP10" s="173">
        <f t="shared" si="14"/>
        <v>38500</v>
      </c>
      <c r="AQ10" s="173">
        <f t="shared" si="14"/>
        <v>17500</v>
      </c>
      <c r="AR10" s="173">
        <f t="shared" si="14"/>
        <v>17500</v>
      </c>
      <c r="AS10" s="173">
        <f t="shared" si="14"/>
        <v>17500</v>
      </c>
      <c r="AT10" s="173">
        <f t="shared" si="14"/>
        <v>22251.11</v>
      </c>
      <c r="AU10" s="173">
        <f t="shared" si="14"/>
        <v>33700</v>
      </c>
      <c r="AV10" s="173">
        <f t="shared" si="14"/>
        <v>17500</v>
      </c>
      <c r="AW10" s="173">
        <f t="shared" si="14"/>
        <v>17500</v>
      </c>
      <c r="AX10" s="173">
        <f t="shared" si="14"/>
        <v>20844</v>
      </c>
      <c r="AY10" s="173">
        <f t="shared" si="14"/>
        <v>20300</v>
      </c>
      <c r="AZ10" s="173">
        <f t="shared" si="14"/>
        <v>33500</v>
      </c>
      <c r="BA10" s="173">
        <f t="shared" si="14"/>
        <v>36666.66667</v>
      </c>
      <c r="BB10" s="173">
        <f t="shared" si="14"/>
        <v>16666.66667</v>
      </c>
      <c r="BC10" s="173">
        <f t="shared" si="14"/>
        <v>16666.66667</v>
      </c>
      <c r="BD10" s="173">
        <f t="shared" si="14"/>
        <v>316666.6667</v>
      </c>
      <c r="BE10" s="173">
        <f t="shared" si="14"/>
        <v>25000</v>
      </c>
      <c r="BF10" s="173">
        <f t="shared" si="14"/>
        <v>25000</v>
      </c>
      <c r="BG10" s="173">
        <f t="shared" si="14"/>
        <v>187500</v>
      </c>
      <c r="BH10" s="173">
        <f t="shared" si="14"/>
        <v>87500</v>
      </c>
      <c r="BI10" s="173">
        <f t="shared" si="14"/>
        <v>87500</v>
      </c>
      <c r="BJ10" s="173">
        <f t="shared" si="14"/>
        <v>87500</v>
      </c>
      <c r="BK10" s="173">
        <f t="shared" si="14"/>
        <v>87500</v>
      </c>
    </row>
    <row r="11">
      <c r="A11" s="171" t="s">
        <v>204</v>
      </c>
      <c r="B11" s="172"/>
      <c r="C11" s="137">
        <f>C10*0.38</f>
        <v>3800</v>
      </c>
      <c r="D11" s="137">
        <f t="shared" ref="D11:L11" si="15">D10*0.34</f>
        <v>4420</v>
      </c>
      <c r="E11" s="137">
        <f t="shared" si="15"/>
        <v>3400</v>
      </c>
      <c r="F11" s="137">
        <f t="shared" si="15"/>
        <v>3400</v>
      </c>
      <c r="G11" s="137">
        <f t="shared" si="15"/>
        <v>3400</v>
      </c>
      <c r="H11" s="175">
        <f t="shared" si="15"/>
        <v>3400</v>
      </c>
      <c r="I11" s="137">
        <f t="shared" si="15"/>
        <v>5100</v>
      </c>
      <c r="J11" s="137">
        <f t="shared" si="15"/>
        <v>5100</v>
      </c>
      <c r="K11" s="137">
        <f t="shared" si="15"/>
        <v>3400</v>
      </c>
      <c r="L11" s="137">
        <f t="shared" si="15"/>
        <v>3400</v>
      </c>
      <c r="M11" s="137">
        <f t="shared" ref="M11:N11" si="16">sum(M4:M7)*0.34</f>
        <v>3672</v>
      </c>
      <c r="N11" s="137">
        <f t="shared" si="16"/>
        <v>3570</v>
      </c>
      <c r="O11" s="137">
        <f>sum(O4:O7)*0.34+O5*0.41</f>
        <v>3400</v>
      </c>
      <c r="P11" s="137">
        <f>P4*0.34+P5*0.41+P7*0.34</f>
        <v>5450</v>
      </c>
      <c r="Q11" s="137">
        <f t="shared" ref="Q11:BK11" si="17">sum(Q4:Q7)*0.34+Q5*0.41</f>
        <v>3485</v>
      </c>
      <c r="R11" s="137">
        <f t="shared" si="17"/>
        <v>3485</v>
      </c>
      <c r="S11" s="137">
        <f t="shared" si="17"/>
        <v>3485</v>
      </c>
      <c r="T11" s="137">
        <f t="shared" si="17"/>
        <v>3485</v>
      </c>
      <c r="U11" s="137">
        <f t="shared" si="17"/>
        <v>3485</v>
      </c>
      <c r="V11" s="137">
        <f t="shared" si="17"/>
        <v>3485</v>
      </c>
      <c r="W11" s="137">
        <f t="shared" si="17"/>
        <v>3485</v>
      </c>
      <c r="X11" s="137">
        <f t="shared" si="17"/>
        <v>3485</v>
      </c>
      <c r="Y11" s="137">
        <f t="shared" si="17"/>
        <v>3485</v>
      </c>
      <c r="Z11" s="137">
        <f t="shared" si="17"/>
        <v>4533.333333</v>
      </c>
      <c r="AA11" s="137">
        <f t="shared" si="17"/>
        <v>4533.333333</v>
      </c>
      <c r="AB11" s="137">
        <f t="shared" si="17"/>
        <v>4533.333333</v>
      </c>
      <c r="AC11" s="137">
        <f t="shared" si="17"/>
        <v>4533.333333</v>
      </c>
      <c r="AD11" s="137">
        <f t="shared" si="17"/>
        <v>4533.333333</v>
      </c>
      <c r="AE11" s="137">
        <f t="shared" si="17"/>
        <v>4533.333333</v>
      </c>
      <c r="AF11" s="137">
        <f t="shared" si="17"/>
        <v>4533.333333</v>
      </c>
      <c r="AG11" s="137">
        <f t="shared" si="17"/>
        <v>4533.333333</v>
      </c>
      <c r="AH11" s="175">
        <f t="shared" si="17"/>
        <v>4533.333333</v>
      </c>
      <c r="AI11" s="137">
        <f t="shared" si="17"/>
        <v>4533.333333</v>
      </c>
      <c r="AJ11" s="137">
        <f t="shared" si="17"/>
        <v>4533.333333</v>
      </c>
      <c r="AK11" s="137">
        <f t="shared" si="17"/>
        <v>4675</v>
      </c>
      <c r="AL11" s="137">
        <f t="shared" si="17"/>
        <v>5950</v>
      </c>
      <c r="AM11" s="137">
        <f t="shared" si="17"/>
        <v>5950</v>
      </c>
      <c r="AN11" s="137">
        <f t="shared" si="17"/>
        <v>5950</v>
      </c>
      <c r="AO11" s="137">
        <f t="shared" si="17"/>
        <v>5950</v>
      </c>
      <c r="AP11" s="137">
        <f t="shared" si="17"/>
        <v>5950</v>
      </c>
      <c r="AQ11" s="137">
        <f t="shared" si="17"/>
        <v>5950</v>
      </c>
      <c r="AR11" s="137">
        <f t="shared" si="17"/>
        <v>5950</v>
      </c>
      <c r="AS11" s="137">
        <f t="shared" si="17"/>
        <v>5950</v>
      </c>
      <c r="AT11" s="137">
        <f t="shared" si="17"/>
        <v>5950</v>
      </c>
      <c r="AU11" s="137">
        <f t="shared" si="17"/>
        <v>5950</v>
      </c>
      <c r="AV11" s="137">
        <f t="shared" si="17"/>
        <v>5950</v>
      </c>
      <c r="AW11" s="137">
        <f t="shared" si="17"/>
        <v>5950</v>
      </c>
      <c r="AX11" s="137">
        <f t="shared" si="17"/>
        <v>5950</v>
      </c>
      <c r="AY11" s="137">
        <f t="shared" si="17"/>
        <v>5950</v>
      </c>
      <c r="AZ11" s="137">
        <f t="shared" si="17"/>
        <v>5950</v>
      </c>
      <c r="BA11" s="137">
        <f t="shared" si="17"/>
        <v>5666.666667</v>
      </c>
      <c r="BB11" s="137">
        <f t="shared" si="17"/>
        <v>5666.666667</v>
      </c>
      <c r="BC11" s="137">
        <f t="shared" si="17"/>
        <v>5666.666667</v>
      </c>
      <c r="BD11" s="137">
        <f t="shared" si="17"/>
        <v>5666.666667</v>
      </c>
      <c r="BE11" s="137">
        <f t="shared" si="17"/>
        <v>8500</v>
      </c>
      <c r="BF11" s="137">
        <f t="shared" si="17"/>
        <v>8500</v>
      </c>
      <c r="BG11" s="137">
        <f t="shared" si="17"/>
        <v>29750</v>
      </c>
      <c r="BH11" s="137">
        <f t="shared" si="17"/>
        <v>29750</v>
      </c>
      <c r="BI11" s="137">
        <f t="shared" si="17"/>
        <v>29750</v>
      </c>
      <c r="BJ11" s="137">
        <f t="shared" si="17"/>
        <v>29750</v>
      </c>
      <c r="BK11" s="137">
        <f t="shared" si="17"/>
        <v>29750</v>
      </c>
    </row>
    <row r="12">
      <c r="A12" s="171" t="s">
        <v>205</v>
      </c>
      <c r="B12" s="172"/>
      <c r="C12" s="137"/>
      <c r="D12" s="137"/>
      <c r="E12" s="137"/>
      <c r="F12" s="137"/>
      <c r="G12" s="137"/>
      <c r="H12" s="175"/>
      <c r="I12" s="137"/>
      <c r="J12" s="137"/>
      <c r="K12" s="137"/>
      <c r="L12" s="137"/>
      <c r="M12" s="137"/>
      <c r="N12" s="137"/>
      <c r="O12" s="137">
        <f t="shared" ref="O12:P12" si="18">O4*0.04</f>
        <v>400</v>
      </c>
      <c r="P12" s="137">
        <f t="shared" si="18"/>
        <v>400</v>
      </c>
      <c r="Q12" s="137">
        <f t="shared" ref="Q12:Y12" si="19">Q4*0.03</f>
        <v>307.5</v>
      </c>
      <c r="R12" s="137">
        <f t="shared" si="19"/>
        <v>307.5</v>
      </c>
      <c r="S12" s="137">
        <f t="shared" si="19"/>
        <v>307.5</v>
      </c>
      <c r="T12" s="137">
        <f t="shared" si="19"/>
        <v>307.5</v>
      </c>
      <c r="U12" s="137">
        <f t="shared" si="19"/>
        <v>307.5</v>
      </c>
      <c r="V12" s="137">
        <f t="shared" si="19"/>
        <v>307.5</v>
      </c>
      <c r="W12" s="137">
        <f t="shared" si="19"/>
        <v>307.5</v>
      </c>
      <c r="X12" s="137">
        <f t="shared" si="19"/>
        <v>307.5</v>
      </c>
      <c r="Y12" s="137">
        <f t="shared" si="19"/>
        <v>307.5</v>
      </c>
      <c r="Z12" s="137">
        <f t="shared" ref="Z12:AA12" si="20">Z4*0</f>
        <v>0</v>
      </c>
      <c r="AA12" s="137">
        <f t="shared" si="20"/>
        <v>0</v>
      </c>
      <c r="AB12" s="137">
        <v>0.0</v>
      </c>
      <c r="AC12" s="137">
        <f>AC4*0.025</f>
        <v>333.3333333</v>
      </c>
      <c r="AD12" s="137">
        <f t="shared" ref="AD12:AE12" si="21">AD4*0.004</f>
        <v>53.33333333</v>
      </c>
      <c r="AE12" s="137">
        <f t="shared" si="21"/>
        <v>53.33333333</v>
      </c>
      <c r="AF12" s="137">
        <f t="shared" ref="AF12:AH12" si="22">AF4*0</f>
        <v>0</v>
      </c>
      <c r="AG12" s="137">
        <f t="shared" si="22"/>
        <v>0</v>
      </c>
      <c r="AH12" s="175">
        <f t="shared" si="22"/>
        <v>0</v>
      </c>
      <c r="AI12" s="137">
        <f t="shared" ref="AI12:AJ12" si="23">AI4*0.025</f>
        <v>333.3333333</v>
      </c>
      <c r="AJ12" s="137">
        <f t="shared" si="23"/>
        <v>333.3333333</v>
      </c>
      <c r="AK12" s="137">
        <f t="shared" ref="AK12:BK12" si="24">AK4*0</f>
        <v>0</v>
      </c>
      <c r="AL12" s="137">
        <f t="shared" si="24"/>
        <v>0</v>
      </c>
      <c r="AM12" s="137">
        <f t="shared" si="24"/>
        <v>0</v>
      </c>
      <c r="AN12" s="137">
        <f t="shared" si="24"/>
        <v>0</v>
      </c>
      <c r="AO12" s="137">
        <f t="shared" si="24"/>
        <v>0</v>
      </c>
      <c r="AP12" s="137">
        <f t="shared" si="24"/>
        <v>0</v>
      </c>
      <c r="AQ12" s="137">
        <f t="shared" si="24"/>
        <v>0</v>
      </c>
      <c r="AR12" s="137">
        <f t="shared" si="24"/>
        <v>0</v>
      </c>
      <c r="AS12" s="137">
        <f t="shared" si="24"/>
        <v>0</v>
      </c>
      <c r="AT12" s="137">
        <f t="shared" si="24"/>
        <v>0</v>
      </c>
      <c r="AU12" s="137">
        <f t="shared" si="24"/>
        <v>0</v>
      </c>
      <c r="AV12" s="137">
        <f t="shared" si="24"/>
        <v>0</v>
      </c>
      <c r="AW12" s="137">
        <f t="shared" si="24"/>
        <v>0</v>
      </c>
      <c r="AX12" s="137">
        <f t="shared" si="24"/>
        <v>0</v>
      </c>
      <c r="AY12" s="137">
        <f t="shared" si="24"/>
        <v>0</v>
      </c>
      <c r="AZ12" s="137">
        <f t="shared" si="24"/>
        <v>0</v>
      </c>
      <c r="BA12" s="137">
        <f t="shared" si="24"/>
        <v>0</v>
      </c>
      <c r="BB12" s="137">
        <f t="shared" si="24"/>
        <v>0</v>
      </c>
      <c r="BC12" s="137">
        <f t="shared" si="24"/>
        <v>0</v>
      </c>
      <c r="BD12" s="137">
        <f t="shared" si="24"/>
        <v>0</v>
      </c>
      <c r="BE12" s="137">
        <f t="shared" si="24"/>
        <v>0</v>
      </c>
      <c r="BF12" s="137">
        <f t="shared" si="24"/>
        <v>0</v>
      </c>
      <c r="BG12" s="137">
        <f t="shared" si="24"/>
        <v>0</v>
      </c>
      <c r="BH12" s="137">
        <f t="shared" si="24"/>
        <v>0</v>
      </c>
      <c r="BI12" s="137">
        <f t="shared" si="24"/>
        <v>0</v>
      </c>
      <c r="BJ12" s="137">
        <f t="shared" si="24"/>
        <v>0</v>
      </c>
      <c r="BK12" s="137">
        <f t="shared" si="24"/>
        <v>0</v>
      </c>
    </row>
    <row r="13">
      <c r="A13" s="171" t="s">
        <v>206</v>
      </c>
      <c r="B13" s="176"/>
      <c r="C13" s="177">
        <f t="shared" ref="C13:L13" si="25">C10-C11+C5</f>
        <v>6200</v>
      </c>
      <c r="D13" s="177">
        <f t="shared" si="25"/>
        <v>11580</v>
      </c>
      <c r="E13" s="177">
        <f t="shared" si="25"/>
        <v>6600</v>
      </c>
      <c r="F13" s="177">
        <f t="shared" si="25"/>
        <v>6600</v>
      </c>
      <c r="G13" s="177">
        <f t="shared" si="25"/>
        <v>6600</v>
      </c>
      <c r="H13" s="178">
        <f t="shared" si="25"/>
        <v>6600</v>
      </c>
      <c r="I13" s="177">
        <f t="shared" si="25"/>
        <v>14900</v>
      </c>
      <c r="J13" s="177">
        <f t="shared" si="25"/>
        <v>14900</v>
      </c>
      <c r="K13" s="177">
        <f t="shared" si="25"/>
        <v>6600</v>
      </c>
      <c r="L13" s="177">
        <f t="shared" si="25"/>
        <v>6600</v>
      </c>
      <c r="M13" s="177">
        <f t="shared" ref="M13:N13" si="26">M10-M11</f>
        <v>7128</v>
      </c>
      <c r="N13" s="177">
        <f t="shared" si="26"/>
        <v>6930</v>
      </c>
      <c r="O13" s="177">
        <f>O4+O7+O5-O11-O12+O8</f>
        <v>7200</v>
      </c>
      <c r="P13" s="179">
        <f t="shared" ref="P13:BK13" si="27">P10-P11-P12</f>
        <v>11873</v>
      </c>
      <c r="Q13" s="179">
        <f t="shared" si="27"/>
        <v>6876.5</v>
      </c>
      <c r="R13" s="179">
        <f t="shared" si="27"/>
        <v>6657.5</v>
      </c>
      <c r="S13" s="179">
        <f t="shared" si="27"/>
        <v>9857.5</v>
      </c>
      <c r="T13" s="179">
        <f t="shared" si="27"/>
        <v>6457.5</v>
      </c>
      <c r="U13" s="179">
        <f t="shared" si="27"/>
        <v>6457.5</v>
      </c>
      <c r="V13" s="179">
        <f t="shared" si="27"/>
        <v>6757.5</v>
      </c>
      <c r="W13" s="179">
        <f t="shared" si="27"/>
        <v>6457.5</v>
      </c>
      <c r="X13" s="179">
        <f t="shared" si="27"/>
        <v>6457.5</v>
      </c>
      <c r="Y13" s="179">
        <f t="shared" si="27"/>
        <v>12057.5</v>
      </c>
      <c r="Z13" s="179">
        <f t="shared" si="27"/>
        <v>8800</v>
      </c>
      <c r="AA13" s="179">
        <f t="shared" si="27"/>
        <v>8800</v>
      </c>
      <c r="AB13" s="179">
        <f t="shared" si="27"/>
        <v>8800</v>
      </c>
      <c r="AC13" s="179">
        <f t="shared" si="27"/>
        <v>9166.666667</v>
      </c>
      <c r="AD13" s="179">
        <f t="shared" si="27"/>
        <v>8746.666667</v>
      </c>
      <c r="AE13" s="179">
        <f t="shared" si="27"/>
        <v>19746.66667</v>
      </c>
      <c r="AF13" s="179">
        <f t="shared" si="27"/>
        <v>10100</v>
      </c>
      <c r="AG13" s="179">
        <f t="shared" si="27"/>
        <v>11200</v>
      </c>
      <c r="AH13" s="180">
        <f t="shared" si="27"/>
        <v>25800</v>
      </c>
      <c r="AI13" s="179">
        <f t="shared" si="27"/>
        <v>8466.666667</v>
      </c>
      <c r="AJ13" s="179">
        <f t="shared" si="27"/>
        <v>8466.666667</v>
      </c>
      <c r="AK13" s="179">
        <f t="shared" si="27"/>
        <v>18775</v>
      </c>
      <c r="AL13" s="179">
        <f t="shared" si="27"/>
        <v>11550</v>
      </c>
      <c r="AM13" s="179">
        <f t="shared" si="27"/>
        <v>11550</v>
      </c>
      <c r="AN13" s="179">
        <f t="shared" si="27"/>
        <v>21550</v>
      </c>
      <c r="AO13" s="179">
        <f t="shared" si="27"/>
        <v>12550</v>
      </c>
      <c r="AP13" s="179">
        <f t="shared" si="27"/>
        <v>32550</v>
      </c>
      <c r="AQ13" s="179">
        <f t="shared" si="27"/>
        <v>11550</v>
      </c>
      <c r="AR13" s="179">
        <f t="shared" si="27"/>
        <v>11550</v>
      </c>
      <c r="AS13" s="179">
        <f t="shared" si="27"/>
        <v>11550</v>
      </c>
      <c r="AT13" s="179">
        <f t="shared" si="27"/>
        <v>16301.11</v>
      </c>
      <c r="AU13" s="179">
        <f t="shared" si="27"/>
        <v>27750</v>
      </c>
      <c r="AV13" s="179">
        <f t="shared" si="27"/>
        <v>11550</v>
      </c>
      <c r="AW13" s="179">
        <f t="shared" si="27"/>
        <v>11550</v>
      </c>
      <c r="AX13" s="179">
        <f t="shared" si="27"/>
        <v>14894</v>
      </c>
      <c r="AY13" s="179">
        <f t="shared" si="27"/>
        <v>14350</v>
      </c>
      <c r="AZ13" s="179">
        <f t="shared" si="27"/>
        <v>27550</v>
      </c>
      <c r="BA13" s="179">
        <f t="shared" si="27"/>
        <v>31000</v>
      </c>
      <c r="BB13" s="179">
        <f t="shared" si="27"/>
        <v>11000</v>
      </c>
      <c r="BC13" s="179">
        <f t="shared" si="27"/>
        <v>11000</v>
      </c>
      <c r="BD13" s="699">
        <f t="shared" si="27"/>
        <v>311000</v>
      </c>
      <c r="BE13" s="699">
        <f t="shared" si="27"/>
        <v>16500</v>
      </c>
      <c r="BF13" s="699">
        <f t="shared" si="27"/>
        <v>16500</v>
      </c>
      <c r="BG13" s="179">
        <f t="shared" si="27"/>
        <v>157750</v>
      </c>
      <c r="BH13" s="179">
        <f t="shared" si="27"/>
        <v>57750</v>
      </c>
      <c r="BI13" s="179">
        <f t="shared" si="27"/>
        <v>57750</v>
      </c>
      <c r="BJ13" s="179">
        <f t="shared" si="27"/>
        <v>57750</v>
      </c>
      <c r="BK13" s="179">
        <f t="shared" si="27"/>
        <v>57750</v>
      </c>
    </row>
    <row r="14">
      <c r="A14" s="181"/>
      <c r="B14" s="182"/>
      <c r="C14" s="183"/>
      <c r="D14" s="183"/>
      <c r="E14" s="183"/>
      <c r="F14" s="183"/>
      <c r="G14" s="183"/>
      <c r="H14" s="184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4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</row>
    <row r="15">
      <c r="A15" s="186" t="s">
        <v>207</v>
      </c>
      <c r="B15" s="187"/>
      <c r="C15" s="133"/>
      <c r="D15" s="133"/>
      <c r="E15" s="133"/>
      <c r="F15" s="133"/>
      <c r="G15" s="133"/>
      <c r="H15" s="134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4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</row>
    <row r="16">
      <c r="A16" s="135" t="s">
        <v>208</v>
      </c>
      <c r="B16" s="136"/>
      <c r="C16" s="137"/>
      <c r="D16" s="137"/>
      <c r="E16" s="137"/>
      <c r="F16" s="137"/>
      <c r="G16" s="137"/>
      <c r="H16" s="137"/>
      <c r="I16" s="138"/>
      <c r="J16" s="138"/>
      <c r="K16" s="138"/>
      <c r="L16" s="138"/>
      <c r="M16" s="139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40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</row>
    <row r="17">
      <c r="A17" s="188" t="s">
        <v>209</v>
      </c>
      <c r="B17" s="144" t="s">
        <v>210</v>
      </c>
      <c r="C17" s="137">
        <v>1450.0</v>
      </c>
      <c r="D17" s="137">
        <v>1450.0</v>
      </c>
      <c r="E17" s="137">
        <v>1450.0</v>
      </c>
      <c r="F17" s="137">
        <v>1450.0</v>
      </c>
      <c r="G17" s="137">
        <v>1450.0</v>
      </c>
      <c r="H17" s="175">
        <f>1450+350</f>
        <v>1800</v>
      </c>
      <c r="I17" s="137">
        <f>1853+569</f>
        <v>2422</v>
      </c>
      <c r="J17" s="137">
        <v>0.0</v>
      </c>
      <c r="K17" s="137">
        <v>1000.0</v>
      </c>
      <c r="L17" s="137">
        <f>3383-1500</f>
        <v>1883</v>
      </c>
      <c r="M17" s="137">
        <f>1954</f>
        <v>1954</v>
      </c>
      <c r="N17" s="137">
        <v>1900.0</v>
      </c>
      <c r="O17" s="137">
        <v>1900.0</v>
      </c>
      <c r="P17" s="137">
        <v>1900.0</v>
      </c>
      <c r="Q17" s="137">
        <v>1900.0</v>
      </c>
      <c r="R17" s="137">
        <v>1921.0</v>
      </c>
      <c r="S17" s="137">
        <v>1921.0</v>
      </c>
      <c r="T17" s="189">
        <f>1921</f>
        <v>1921</v>
      </c>
      <c r="U17" s="190">
        <v>120.0</v>
      </c>
      <c r="V17" s="190">
        <f>120+700</f>
        <v>820</v>
      </c>
      <c r="W17" s="191">
        <f>sum(120+700)</f>
        <v>820</v>
      </c>
      <c r="X17" s="137">
        <f>sum(336,1740)</f>
        <v>2076</v>
      </c>
      <c r="Y17" s="137">
        <f>sum(1740)</f>
        <v>1740</v>
      </c>
      <c r="Z17" s="137">
        <v>1571.7</v>
      </c>
      <c r="AA17" s="137">
        <f t="shared" ref="AA17:AG17" si="28">sum(1740)</f>
        <v>1740</v>
      </c>
      <c r="AB17" s="137">
        <f t="shared" si="28"/>
        <v>1740</v>
      </c>
      <c r="AC17" s="137">
        <f t="shared" si="28"/>
        <v>1740</v>
      </c>
      <c r="AD17" s="137">
        <f t="shared" si="28"/>
        <v>1740</v>
      </c>
      <c r="AE17" s="137">
        <f t="shared" si="28"/>
        <v>1740</v>
      </c>
      <c r="AF17" s="137">
        <f t="shared" si="28"/>
        <v>1740</v>
      </c>
      <c r="AG17" s="137">
        <f t="shared" si="28"/>
        <v>1740</v>
      </c>
      <c r="AH17" s="175">
        <f>sum(4000,1700)</f>
        <v>5700</v>
      </c>
      <c r="AI17" s="137">
        <f>sum(2000)</f>
        <v>2000</v>
      </c>
      <c r="AJ17" s="137">
        <f t="shared" ref="AJ17:AT17" si="29">sum(2700)</f>
        <v>2700</v>
      </c>
      <c r="AK17" s="137">
        <f t="shared" si="29"/>
        <v>2700</v>
      </c>
      <c r="AL17" s="137">
        <f t="shared" si="29"/>
        <v>2700</v>
      </c>
      <c r="AM17" s="137">
        <f t="shared" si="29"/>
        <v>2700</v>
      </c>
      <c r="AN17" s="137">
        <f t="shared" si="29"/>
        <v>2700</v>
      </c>
      <c r="AO17" s="137">
        <f t="shared" si="29"/>
        <v>2700</v>
      </c>
      <c r="AP17" s="137">
        <f t="shared" si="29"/>
        <v>2700</v>
      </c>
      <c r="AQ17" s="137">
        <f t="shared" si="29"/>
        <v>2700</v>
      </c>
      <c r="AR17" s="137">
        <f t="shared" si="29"/>
        <v>2700</v>
      </c>
      <c r="AS17" s="137">
        <f t="shared" si="29"/>
        <v>2700</v>
      </c>
      <c r="AT17" s="137">
        <f t="shared" si="29"/>
        <v>2700</v>
      </c>
      <c r="AU17" s="137">
        <f t="shared" ref="AU17:BK17" si="30">sum(2800)</f>
        <v>2800</v>
      </c>
      <c r="AV17" s="137">
        <f t="shared" si="30"/>
        <v>2800</v>
      </c>
      <c r="AW17" s="137">
        <f t="shared" si="30"/>
        <v>2800</v>
      </c>
      <c r="AX17" s="137">
        <f t="shared" si="30"/>
        <v>2800</v>
      </c>
      <c r="AY17" s="137">
        <f t="shared" si="30"/>
        <v>2800</v>
      </c>
      <c r="AZ17" s="137">
        <f t="shared" si="30"/>
        <v>2800</v>
      </c>
      <c r="BA17" s="137">
        <f t="shared" si="30"/>
        <v>2800</v>
      </c>
      <c r="BB17" s="137">
        <f t="shared" si="30"/>
        <v>2800</v>
      </c>
      <c r="BC17" s="137">
        <f t="shared" si="30"/>
        <v>2800</v>
      </c>
      <c r="BD17" s="137">
        <f t="shared" si="30"/>
        <v>2800</v>
      </c>
      <c r="BE17" s="137">
        <f t="shared" si="30"/>
        <v>2800</v>
      </c>
      <c r="BF17" s="137">
        <f t="shared" si="30"/>
        <v>2800</v>
      </c>
      <c r="BG17" s="137">
        <f t="shared" si="30"/>
        <v>2800</v>
      </c>
      <c r="BH17" s="137">
        <f t="shared" si="30"/>
        <v>2800</v>
      </c>
      <c r="BI17" s="137">
        <f t="shared" si="30"/>
        <v>2800</v>
      </c>
      <c r="BJ17" s="137">
        <f t="shared" si="30"/>
        <v>2800</v>
      </c>
      <c r="BK17" s="137">
        <f t="shared" si="30"/>
        <v>2800</v>
      </c>
    </row>
    <row r="18">
      <c r="A18" s="149"/>
      <c r="B18" s="144" t="s">
        <v>568</v>
      </c>
      <c r="C18" s="145">
        <v>9.0</v>
      </c>
      <c r="D18" s="145">
        <v>9.0</v>
      </c>
      <c r="E18" s="145">
        <v>9.0</v>
      </c>
      <c r="F18" s="145">
        <v>9.0</v>
      </c>
      <c r="G18" s="145">
        <v>9.0</v>
      </c>
      <c r="H18" s="146">
        <v>9.0</v>
      </c>
      <c r="I18" s="145">
        <v>9.0</v>
      </c>
      <c r="J18" s="145">
        <f t="shared" ref="J18:L18" si="31">18.42/2</f>
        <v>9.21</v>
      </c>
      <c r="K18" s="145">
        <f t="shared" si="31"/>
        <v>9.21</v>
      </c>
      <c r="L18" s="145">
        <f t="shared" si="31"/>
        <v>9.21</v>
      </c>
      <c r="M18" s="145">
        <v>11.0</v>
      </c>
      <c r="N18" s="145">
        <f t="shared" ref="N18:T18" si="32">18.42/2</f>
        <v>9.21</v>
      </c>
      <c r="O18" s="145">
        <f t="shared" si="32"/>
        <v>9.21</v>
      </c>
      <c r="P18" s="145">
        <f t="shared" si="32"/>
        <v>9.21</v>
      </c>
      <c r="Q18" s="145">
        <f t="shared" si="32"/>
        <v>9.21</v>
      </c>
      <c r="R18" s="145">
        <f t="shared" si="32"/>
        <v>9.21</v>
      </c>
      <c r="S18" s="145">
        <f t="shared" si="32"/>
        <v>9.21</v>
      </c>
      <c r="T18" s="145">
        <f t="shared" si="32"/>
        <v>9.21</v>
      </c>
      <c r="U18" s="695">
        <v>0.0</v>
      </c>
      <c r="V18" s="695">
        <v>0.0</v>
      </c>
      <c r="W18" s="145">
        <v>0.0</v>
      </c>
      <c r="X18" s="145">
        <v>0.0</v>
      </c>
      <c r="Y18" s="145">
        <v>0.0</v>
      </c>
      <c r="Z18" s="145">
        <v>0.0</v>
      </c>
      <c r="AA18" s="145">
        <v>9.0</v>
      </c>
      <c r="AB18" s="145">
        <v>9.0</v>
      </c>
      <c r="AC18" s="145">
        <v>0.0</v>
      </c>
      <c r="AD18" s="145">
        <v>0.0</v>
      </c>
      <c r="AE18" s="145">
        <v>0.0</v>
      </c>
      <c r="AF18" s="145">
        <v>0.0</v>
      </c>
      <c r="AG18" s="145">
        <v>0.0</v>
      </c>
      <c r="AH18" s="146">
        <v>0.0</v>
      </c>
      <c r="AI18" s="145">
        <v>0.0</v>
      </c>
      <c r="AJ18" s="145">
        <v>0.0</v>
      </c>
      <c r="AK18" s="145">
        <v>0.0</v>
      </c>
      <c r="AL18" s="145">
        <v>0.0</v>
      </c>
      <c r="AM18" s="145">
        <v>0.0</v>
      </c>
      <c r="AN18" s="145">
        <v>0.0</v>
      </c>
      <c r="AO18" s="145">
        <v>0.0</v>
      </c>
      <c r="AP18" s="145">
        <v>0.0</v>
      </c>
      <c r="AQ18" s="145">
        <v>0.0</v>
      </c>
      <c r="AR18" s="145">
        <v>0.0</v>
      </c>
      <c r="AS18" s="145">
        <v>0.0</v>
      </c>
      <c r="AT18" s="145">
        <v>0.0</v>
      </c>
      <c r="AU18" s="145">
        <v>0.0</v>
      </c>
      <c r="AV18" s="145">
        <v>0.0</v>
      </c>
      <c r="AW18" s="145">
        <v>0.0</v>
      </c>
      <c r="AX18" s="145">
        <v>0.0</v>
      </c>
      <c r="AY18" s="145">
        <v>0.0</v>
      </c>
      <c r="AZ18" s="145">
        <v>0.0</v>
      </c>
      <c r="BA18" s="145">
        <v>0.0</v>
      </c>
      <c r="BB18" s="145">
        <v>0.0</v>
      </c>
      <c r="BC18" s="145">
        <v>0.0</v>
      </c>
      <c r="BD18" s="145">
        <v>0.0</v>
      </c>
      <c r="BE18" s="145">
        <v>0.0</v>
      </c>
      <c r="BF18" s="145">
        <v>0.0</v>
      </c>
      <c r="BG18" s="145">
        <v>0.0</v>
      </c>
      <c r="BH18" s="145">
        <v>0.0</v>
      </c>
      <c r="BI18" s="145">
        <v>0.0</v>
      </c>
      <c r="BJ18" s="145">
        <v>0.0</v>
      </c>
      <c r="BK18" s="145">
        <v>0.0</v>
      </c>
    </row>
    <row r="19">
      <c r="A19" s="149"/>
      <c r="B19" s="144" t="s">
        <v>211</v>
      </c>
      <c r="C19" s="137"/>
      <c r="D19" s="137"/>
      <c r="E19" s="137"/>
      <c r="F19" s="137"/>
      <c r="G19" s="137"/>
      <c r="H19" s="175"/>
      <c r="I19" s="137">
        <v>100.0</v>
      </c>
      <c r="J19" s="137">
        <v>35.0</v>
      </c>
      <c r="K19" s="137">
        <v>90.0</v>
      </c>
      <c r="L19" s="137">
        <f>90</f>
        <v>90</v>
      </c>
      <c r="M19" s="137">
        <v>20.0</v>
      </c>
      <c r="N19" s="137">
        <v>90.0</v>
      </c>
      <c r="O19" s="137">
        <v>90.0</v>
      </c>
      <c r="P19" s="137">
        <v>90.0</v>
      </c>
      <c r="Q19" s="137">
        <v>90.0</v>
      </c>
      <c r="R19" s="137">
        <v>90.0</v>
      </c>
      <c r="S19" s="137">
        <v>90.0</v>
      </c>
      <c r="T19" s="137">
        <v>90.0</v>
      </c>
      <c r="U19" s="191">
        <v>0.0</v>
      </c>
      <c r="V19" s="191">
        <v>0.0</v>
      </c>
      <c r="W19" s="145">
        <v>0.0</v>
      </c>
      <c r="X19" s="145">
        <v>0.0</v>
      </c>
      <c r="Y19" s="137">
        <v>90.0</v>
      </c>
      <c r="Z19" s="137">
        <v>90.0</v>
      </c>
      <c r="AA19" s="137">
        <v>90.0</v>
      </c>
      <c r="AB19" s="137">
        <v>90.0</v>
      </c>
      <c r="AC19" s="137">
        <v>90.0</v>
      </c>
      <c r="AD19" s="137">
        <v>90.0</v>
      </c>
      <c r="AE19" s="137">
        <v>90.0</v>
      </c>
      <c r="AF19" s="137">
        <v>90.0</v>
      </c>
      <c r="AG19" s="137">
        <v>90.0</v>
      </c>
      <c r="AH19" s="175">
        <v>90.0</v>
      </c>
      <c r="AI19" s="137">
        <v>90.0</v>
      </c>
      <c r="AJ19" s="137">
        <v>90.0</v>
      </c>
      <c r="AK19" s="137">
        <v>90.0</v>
      </c>
      <c r="AL19" s="137">
        <v>90.0</v>
      </c>
      <c r="AM19" s="137">
        <v>90.0</v>
      </c>
      <c r="AN19" s="137">
        <v>90.0</v>
      </c>
      <c r="AO19" s="137">
        <v>90.0</v>
      </c>
      <c r="AP19" s="137">
        <v>90.0</v>
      </c>
      <c r="AQ19" s="137">
        <v>90.0</v>
      </c>
      <c r="AR19" s="137">
        <v>90.0</v>
      </c>
      <c r="AS19" s="137">
        <v>90.0</v>
      </c>
      <c r="AT19" s="137">
        <v>90.0</v>
      </c>
      <c r="AU19" s="137">
        <v>90.0</v>
      </c>
      <c r="AV19" s="137">
        <v>90.0</v>
      </c>
      <c r="AW19" s="137">
        <v>90.0</v>
      </c>
      <c r="AX19" s="137">
        <v>90.0</v>
      </c>
      <c r="AY19" s="137">
        <v>90.0</v>
      </c>
      <c r="AZ19" s="137">
        <v>90.0</v>
      </c>
      <c r="BA19" s="137">
        <v>90.0</v>
      </c>
      <c r="BB19" s="137">
        <v>90.0</v>
      </c>
      <c r="BC19" s="137">
        <v>90.0</v>
      </c>
      <c r="BD19" s="137">
        <v>90.0</v>
      </c>
      <c r="BE19" s="137">
        <v>90.0</v>
      </c>
      <c r="BF19" s="137">
        <v>90.0</v>
      </c>
      <c r="BG19" s="137">
        <v>90.0</v>
      </c>
      <c r="BH19" s="137">
        <v>90.0</v>
      </c>
      <c r="BI19" s="137">
        <v>90.0</v>
      </c>
      <c r="BJ19" s="137">
        <v>90.0</v>
      </c>
      <c r="BK19" s="137">
        <v>90.0</v>
      </c>
    </row>
    <row r="20">
      <c r="A20" s="149"/>
      <c r="B20" s="144" t="s">
        <v>212</v>
      </c>
      <c r="C20" s="145">
        <f t="shared" ref="C20:T20" si="33">62.95/2</f>
        <v>31.475</v>
      </c>
      <c r="D20" s="145">
        <f t="shared" si="33"/>
        <v>31.475</v>
      </c>
      <c r="E20" s="145">
        <f t="shared" si="33"/>
        <v>31.475</v>
      </c>
      <c r="F20" s="145">
        <f t="shared" si="33"/>
        <v>31.475</v>
      </c>
      <c r="G20" s="145">
        <f t="shared" si="33"/>
        <v>31.475</v>
      </c>
      <c r="H20" s="146">
        <f t="shared" si="33"/>
        <v>31.475</v>
      </c>
      <c r="I20" s="145">
        <f t="shared" si="33"/>
        <v>31.475</v>
      </c>
      <c r="J20" s="145">
        <f t="shared" si="33"/>
        <v>31.475</v>
      </c>
      <c r="K20" s="145">
        <f t="shared" si="33"/>
        <v>31.475</v>
      </c>
      <c r="L20" s="145">
        <f t="shared" si="33"/>
        <v>31.475</v>
      </c>
      <c r="M20" s="145">
        <f t="shared" si="33"/>
        <v>31.475</v>
      </c>
      <c r="N20" s="145">
        <f t="shared" si="33"/>
        <v>31.475</v>
      </c>
      <c r="O20" s="145">
        <f t="shared" si="33"/>
        <v>31.475</v>
      </c>
      <c r="P20" s="145">
        <f t="shared" si="33"/>
        <v>31.475</v>
      </c>
      <c r="Q20" s="145">
        <f t="shared" si="33"/>
        <v>31.475</v>
      </c>
      <c r="R20" s="145">
        <f t="shared" si="33"/>
        <v>31.475</v>
      </c>
      <c r="S20" s="145">
        <f t="shared" si="33"/>
        <v>31.475</v>
      </c>
      <c r="T20" s="145">
        <f t="shared" si="33"/>
        <v>31.475</v>
      </c>
      <c r="U20" s="145">
        <v>0.0</v>
      </c>
      <c r="V20" s="145">
        <v>0.0</v>
      </c>
      <c r="W20" s="145">
        <v>0.0</v>
      </c>
      <c r="X20" s="145">
        <v>0.0</v>
      </c>
      <c r="Y20" s="145">
        <f>62.95/2</f>
        <v>31.475</v>
      </c>
      <c r="Z20" s="145">
        <f>91/2</f>
        <v>45.5</v>
      </c>
      <c r="AA20" s="145">
        <f t="shared" ref="AA20:AG20" si="34">62.95/2</f>
        <v>31.475</v>
      </c>
      <c r="AB20" s="145">
        <f t="shared" si="34"/>
        <v>31.475</v>
      </c>
      <c r="AC20" s="145">
        <f t="shared" si="34"/>
        <v>31.475</v>
      </c>
      <c r="AD20" s="145">
        <f t="shared" si="34"/>
        <v>31.475</v>
      </c>
      <c r="AE20" s="145">
        <f t="shared" si="34"/>
        <v>31.475</v>
      </c>
      <c r="AF20" s="145">
        <f t="shared" si="34"/>
        <v>31.475</v>
      </c>
      <c r="AG20" s="145">
        <f t="shared" si="34"/>
        <v>31.475</v>
      </c>
      <c r="AH20" s="146">
        <f>0</f>
        <v>0</v>
      </c>
      <c r="AI20" s="145">
        <f t="shared" ref="AI20:BK20" si="35">100/2</f>
        <v>50</v>
      </c>
      <c r="AJ20" s="145">
        <f t="shared" si="35"/>
        <v>50</v>
      </c>
      <c r="AK20" s="145">
        <f t="shared" si="35"/>
        <v>50</v>
      </c>
      <c r="AL20" s="145">
        <f t="shared" si="35"/>
        <v>50</v>
      </c>
      <c r="AM20" s="145">
        <f t="shared" si="35"/>
        <v>50</v>
      </c>
      <c r="AN20" s="145">
        <f t="shared" si="35"/>
        <v>50</v>
      </c>
      <c r="AO20" s="145">
        <f t="shared" si="35"/>
        <v>50</v>
      </c>
      <c r="AP20" s="145">
        <f t="shared" si="35"/>
        <v>50</v>
      </c>
      <c r="AQ20" s="145">
        <f t="shared" si="35"/>
        <v>50</v>
      </c>
      <c r="AR20" s="145">
        <f t="shared" si="35"/>
        <v>50</v>
      </c>
      <c r="AS20" s="145">
        <f t="shared" si="35"/>
        <v>50</v>
      </c>
      <c r="AT20" s="145">
        <f t="shared" si="35"/>
        <v>50</v>
      </c>
      <c r="AU20" s="145">
        <f t="shared" si="35"/>
        <v>50</v>
      </c>
      <c r="AV20" s="145">
        <f t="shared" si="35"/>
        <v>50</v>
      </c>
      <c r="AW20" s="145">
        <f t="shared" si="35"/>
        <v>50</v>
      </c>
      <c r="AX20" s="145">
        <f t="shared" si="35"/>
        <v>50</v>
      </c>
      <c r="AY20" s="145">
        <f t="shared" si="35"/>
        <v>50</v>
      </c>
      <c r="AZ20" s="145">
        <f t="shared" si="35"/>
        <v>50</v>
      </c>
      <c r="BA20" s="145">
        <f t="shared" si="35"/>
        <v>50</v>
      </c>
      <c r="BB20" s="145">
        <f t="shared" si="35"/>
        <v>50</v>
      </c>
      <c r="BC20" s="145">
        <f t="shared" si="35"/>
        <v>50</v>
      </c>
      <c r="BD20" s="145">
        <f t="shared" si="35"/>
        <v>50</v>
      </c>
      <c r="BE20" s="145">
        <f t="shared" si="35"/>
        <v>50</v>
      </c>
      <c r="BF20" s="145">
        <f t="shared" si="35"/>
        <v>50</v>
      </c>
      <c r="BG20" s="145">
        <f t="shared" si="35"/>
        <v>50</v>
      </c>
      <c r="BH20" s="145">
        <f t="shared" si="35"/>
        <v>50</v>
      </c>
      <c r="BI20" s="145">
        <f t="shared" si="35"/>
        <v>50</v>
      </c>
      <c r="BJ20" s="145">
        <f t="shared" si="35"/>
        <v>50</v>
      </c>
      <c r="BK20" s="145">
        <f t="shared" si="35"/>
        <v>50</v>
      </c>
    </row>
    <row r="21">
      <c r="A21" s="149"/>
      <c r="B21" s="144" t="s">
        <v>22</v>
      </c>
      <c r="C21" s="137"/>
      <c r="D21" s="137"/>
      <c r="E21" s="137"/>
      <c r="F21" s="137"/>
      <c r="G21" s="137"/>
      <c r="H21" s="175"/>
      <c r="I21" s="137">
        <v>400.0</v>
      </c>
      <c r="J21" s="137">
        <f>75*4</f>
        <v>300</v>
      </c>
      <c r="K21" s="137">
        <f>50*4</f>
        <v>200</v>
      </c>
      <c r="L21" s="137">
        <f t="shared" ref="L21:O21" si="36">55*4</f>
        <v>220</v>
      </c>
      <c r="M21" s="137">
        <f t="shared" si="36"/>
        <v>220</v>
      </c>
      <c r="N21" s="137">
        <f t="shared" si="36"/>
        <v>220</v>
      </c>
      <c r="O21" s="137">
        <f t="shared" si="36"/>
        <v>220</v>
      </c>
      <c r="P21" s="137">
        <f>60*4</f>
        <v>240</v>
      </c>
      <c r="Q21" s="137">
        <f>200+150+250</f>
        <v>600</v>
      </c>
      <c r="R21" s="137">
        <f>195+200+150</f>
        <v>545</v>
      </c>
      <c r="S21" s="137">
        <f>100*4</f>
        <v>400</v>
      </c>
      <c r="T21" s="137">
        <f t="shared" ref="T21:AJ21" si="37">60*4</f>
        <v>240</v>
      </c>
      <c r="U21" s="137">
        <f t="shared" si="37"/>
        <v>240</v>
      </c>
      <c r="V21" s="137">
        <f t="shared" si="37"/>
        <v>240</v>
      </c>
      <c r="W21" s="137">
        <f t="shared" si="37"/>
        <v>240</v>
      </c>
      <c r="X21" s="137">
        <f t="shared" si="37"/>
        <v>240</v>
      </c>
      <c r="Y21" s="137">
        <f t="shared" si="37"/>
        <v>240</v>
      </c>
      <c r="Z21" s="137">
        <f t="shared" si="37"/>
        <v>240</v>
      </c>
      <c r="AA21" s="137">
        <f t="shared" si="37"/>
        <v>240</v>
      </c>
      <c r="AB21" s="137">
        <f t="shared" si="37"/>
        <v>240</v>
      </c>
      <c r="AC21" s="137">
        <f t="shared" si="37"/>
        <v>240</v>
      </c>
      <c r="AD21" s="137">
        <f t="shared" si="37"/>
        <v>240</v>
      </c>
      <c r="AE21" s="137">
        <f t="shared" si="37"/>
        <v>240</v>
      </c>
      <c r="AF21" s="137">
        <f t="shared" si="37"/>
        <v>240</v>
      </c>
      <c r="AG21" s="137">
        <f t="shared" si="37"/>
        <v>240</v>
      </c>
      <c r="AH21" s="175">
        <f t="shared" si="37"/>
        <v>240</v>
      </c>
      <c r="AI21" s="137">
        <f t="shared" si="37"/>
        <v>240</v>
      </c>
      <c r="AJ21" s="137">
        <f t="shared" si="37"/>
        <v>240</v>
      </c>
      <c r="AK21" s="137">
        <f t="shared" ref="AK21:BK21" si="38">100*4</f>
        <v>400</v>
      </c>
      <c r="AL21" s="137">
        <f t="shared" si="38"/>
        <v>400</v>
      </c>
      <c r="AM21" s="137">
        <f t="shared" si="38"/>
        <v>400</v>
      </c>
      <c r="AN21" s="137">
        <f t="shared" si="38"/>
        <v>400</v>
      </c>
      <c r="AO21" s="137">
        <f t="shared" si="38"/>
        <v>400</v>
      </c>
      <c r="AP21" s="137">
        <f t="shared" si="38"/>
        <v>400</v>
      </c>
      <c r="AQ21" s="137">
        <f t="shared" si="38"/>
        <v>400</v>
      </c>
      <c r="AR21" s="137">
        <f t="shared" si="38"/>
        <v>400</v>
      </c>
      <c r="AS21" s="137">
        <f t="shared" si="38"/>
        <v>400</v>
      </c>
      <c r="AT21" s="137">
        <f t="shared" si="38"/>
        <v>400</v>
      </c>
      <c r="AU21" s="137">
        <f t="shared" si="38"/>
        <v>400</v>
      </c>
      <c r="AV21" s="137">
        <f t="shared" si="38"/>
        <v>400</v>
      </c>
      <c r="AW21" s="137">
        <f t="shared" si="38"/>
        <v>400</v>
      </c>
      <c r="AX21" s="137">
        <f t="shared" si="38"/>
        <v>400</v>
      </c>
      <c r="AY21" s="137">
        <f t="shared" si="38"/>
        <v>400</v>
      </c>
      <c r="AZ21" s="137">
        <f t="shared" si="38"/>
        <v>400</v>
      </c>
      <c r="BA21" s="137">
        <f t="shared" si="38"/>
        <v>400</v>
      </c>
      <c r="BB21" s="137">
        <f t="shared" si="38"/>
        <v>400</v>
      </c>
      <c r="BC21" s="137">
        <f t="shared" si="38"/>
        <v>400</v>
      </c>
      <c r="BD21" s="137">
        <f t="shared" si="38"/>
        <v>400</v>
      </c>
      <c r="BE21" s="137">
        <f t="shared" si="38"/>
        <v>400</v>
      </c>
      <c r="BF21" s="137">
        <f t="shared" si="38"/>
        <v>400</v>
      </c>
      <c r="BG21" s="137">
        <f t="shared" si="38"/>
        <v>400</v>
      </c>
      <c r="BH21" s="137">
        <f t="shared" si="38"/>
        <v>400</v>
      </c>
      <c r="BI21" s="137">
        <f t="shared" si="38"/>
        <v>400</v>
      </c>
      <c r="BJ21" s="137">
        <f t="shared" si="38"/>
        <v>400</v>
      </c>
      <c r="BK21" s="137">
        <f t="shared" si="38"/>
        <v>400</v>
      </c>
    </row>
    <row r="22">
      <c r="A22" s="188" t="s">
        <v>213</v>
      </c>
      <c r="B22" s="144" t="s">
        <v>214</v>
      </c>
      <c r="C22" s="145"/>
      <c r="D22" s="145"/>
      <c r="E22" s="145">
        <v>100.0</v>
      </c>
      <c r="F22" s="145">
        <v>128.79</v>
      </c>
      <c r="G22" s="145">
        <v>120.0</v>
      </c>
      <c r="H22" s="146">
        <f>120+500</f>
        <v>620</v>
      </c>
      <c r="I22" s="145">
        <v>120.64</v>
      </c>
      <c r="J22" s="145">
        <v>120.64</v>
      </c>
      <c r="K22" s="145">
        <v>120.64</v>
      </c>
      <c r="L22" s="145">
        <v>150.0</v>
      </c>
      <c r="M22" s="145">
        <v>120.64</v>
      </c>
      <c r="N22" s="145">
        <v>120.64</v>
      </c>
      <c r="O22" s="145">
        <v>120.0</v>
      </c>
      <c r="P22" s="145">
        <v>120.0</v>
      </c>
      <c r="Q22" s="145">
        <v>120.0</v>
      </c>
      <c r="R22" s="145">
        <v>120.0</v>
      </c>
      <c r="S22" s="145">
        <v>120.0</v>
      </c>
      <c r="T22" s="145">
        <v>120.0</v>
      </c>
      <c r="U22" s="145">
        <v>120.0</v>
      </c>
      <c r="V22" s="145">
        <v>120.0</v>
      </c>
      <c r="W22" s="145">
        <v>120.0</v>
      </c>
      <c r="X22" s="145">
        <v>120.0</v>
      </c>
      <c r="Y22" s="145">
        <v>150.0</v>
      </c>
      <c r="Z22" s="145">
        <v>185.09</v>
      </c>
      <c r="AA22" s="145">
        <v>185.09</v>
      </c>
      <c r="AB22" s="145">
        <v>185.09</v>
      </c>
      <c r="AC22" s="145">
        <v>185.09</v>
      </c>
      <c r="AD22" s="145">
        <v>185.09</v>
      </c>
      <c r="AE22" s="145">
        <v>185.09</v>
      </c>
      <c r="AF22" s="145">
        <v>185.09</v>
      </c>
      <c r="AG22" s="145">
        <v>185.09</v>
      </c>
      <c r="AH22" s="146">
        <v>185.09</v>
      </c>
      <c r="AI22" s="145">
        <v>185.09</v>
      </c>
      <c r="AJ22" s="145">
        <v>185.09</v>
      </c>
      <c r="AK22" s="145">
        <v>0.0</v>
      </c>
      <c r="AL22" s="145">
        <v>0.0</v>
      </c>
      <c r="AM22" s="145">
        <v>0.0</v>
      </c>
      <c r="AN22" s="145">
        <v>0.0</v>
      </c>
      <c r="AO22" s="145">
        <v>0.0</v>
      </c>
      <c r="AP22" s="145">
        <v>0.0</v>
      </c>
      <c r="AQ22" s="145">
        <v>0.0</v>
      </c>
      <c r="AR22" s="145">
        <v>0.0</v>
      </c>
      <c r="AS22" s="145">
        <v>0.0</v>
      </c>
      <c r="AT22" s="145">
        <v>0.0</v>
      </c>
      <c r="AU22" s="145">
        <v>0.0</v>
      </c>
      <c r="AV22" s="145">
        <v>0.0</v>
      </c>
      <c r="AW22" s="145">
        <v>150.0</v>
      </c>
      <c r="AX22" s="145">
        <v>150.0</v>
      </c>
      <c r="AY22" s="145">
        <v>150.0</v>
      </c>
      <c r="AZ22" s="145">
        <v>150.0</v>
      </c>
      <c r="BA22" s="145">
        <v>150.0</v>
      </c>
      <c r="BB22" s="145">
        <v>150.0</v>
      </c>
      <c r="BC22" s="145">
        <v>150.0</v>
      </c>
      <c r="BD22" s="145">
        <v>150.0</v>
      </c>
      <c r="BE22" s="145">
        <v>150.0</v>
      </c>
      <c r="BF22" s="145">
        <v>150.0</v>
      </c>
      <c r="BG22" s="145">
        <v>150.0</v>
      </c>
      <c r="BH22" s="145">
        <v>150.0</v>
      </c>
      <c r="BI22" s="145">
        <v>150.0</v>
      </c>
      <c r="BJ22" s="145">
        <v>150.0</v>
      </c>
      <c r="BK22" s="145">
        <v>150.0</v>
      </c>
    </row>
    <row r="23">
      <c r="A23" s="188" t="s">
        <v>215</v>
      </c>
      <c r="B23" s="144" t="s">
        <v>215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>
        <v>0.0</v>
      </c>
      <c r="O23" s="137">
        <v>0.0</v>
      </c>
      <c r="P23" s="137">
        <v>0.0</v>
      </c>
      <c r="Q23" s="137">
        <v>0.0</v>
      </c>
      <c r="R23" s="137">
        <v>0.0</v>
      </c>
      <c r="S23" s="189">
        <v>0.0</v>
      </c>
      <c r="T23" s="193">
        <v>200.0</v>
      </c>
      <c r="U23" s="189">
        <v>0.0</v>
      </c>
      <c r="V23" s="137">
        <f>sum(116,60,300,300)</f>
        <v>776</v>
      </c>
      <c r="W23" s="137">
        <f>sum(343,60,75)</f>
        <v>478</v>
      </c>
      <c r="X23" s="137">
        <f>sum(343,180,150)</f>
        <v>673</v>
      </c>
      <c r="Y23" s="137">
        <f t="shared" ref="Y23:AH23" si="39">sum(343,180,100)</f>
        <v>623</v>
      </c>
      <c r="Z23" s="137">
        <f t="shared" si="39"/>
        <v>623</v>
      </c>
      <c r="AA23" s="137">
        <f t="shared" si="39"/>
        <v>623</v>
      </c>
      <c r="AB23" s="137">
        <f t="shared" si="39"/>
        <v>623</v>
      </c>
      <c r="AC23" s="137">
        <f t="shared" si="39"/>
        <v>623</v>
      </c>
      <c r="AD23" s="137">
        <f t="shared" si="39"/>
        <v>623</v>
      </c>
      <c r="AE23" s="137">
        <f t="shared" si="39"/>
        <v>623</v>
      </c>
      <c r="AF23" s="194">
        <f t="shared" si="39"/>
        <v>623</v>
      </c>
      <c r="AG23" s="194">
        <f t="shared" si="39"/>
        <v>623</v>
      </c>
      <c r="AH23" s="195">
        <f t="shared" si="39"/>
        <v>623</v>
      </c>
      <c r="AI23" s="137">
        <v>400.0</v>
      </c>
      <c r="AJ23" s="137">
        <v>0.0</v>
      </c>
      <c r="AK23" s="137">
        <v>0.0</v>
      </c>
      <c r="AL23" s="137">
        <v>175.0</v>
      </c>
      <c r="AM23" s="137">
        <v>0.0</v>
      </c>
      <c r="AN23" s="137">
        <v>0.0</v>
      </c>
      <c r="AO23" s="137">
        <v>0.0</v>
      </c>
      <c r="AP23" s="137">
        <v>0.0</v>
      </c>
      <c r="AQ23" s="137">
        <v>0.0</v>
      </c>
      <c r="AR23" s="137">
        <v>0.0</v>
      </c>
      <c r="AS23" s="137">
        <v>0.0</v>
      </c>
      <c r="AT23" s="137">
        <v>0.0</v>
      </c>
      <c r="AU23" s="137">
        <v>0.0</v>
      </c>
      <c r="AV23" s="137">
        <v>0.0</v>
      </c>
      <c r="AW23" s="137">
        <v>0.0</v>
      </c>
      <c r="AX23" s="137">
        <v>0.0</v>
      </c>
      <c r="AY23" s="137">
        <v>0.0</v>
      </c>
      <c r="AZ23" s="137">
        <v>0.0</v>
      </c>
      <c r="BA23" s="137">
        <v>0.0</v>
      </c>
      <c r="BB23" s="137">
        <v>0.0</v>
      </c>
      <c r="BC23" s="137">
        <v>0.0</v>
      </c>
      <c r="BD23" s="137">
        <v>0.0</v>
      </c>
      <c r="BE23" s="137">
        <v>0.0</v>
      </c>
      <c r="BF23" s="137">
        <v>0.0</v>
      </c>
      <c r="BG23" s="137">
        <v>0.0</v>
      </c>
      <c r="BH23" s="137">
        <v>0.0</v>
      </c>
      <c r="BI23" s="137">
        <v>0.0</v>
      </c>
      <c r="BJ23" s="137">
        <v>0.0</v>
      </c>
      <c r="BK23" s="137">
        <v>0.0</v>
      </c>
    </row>
    <row r="24">
      <c r="A24" s="188" t="s">
        <v>216</v>
      </c>
      <c r="B24" s="144" t="s">
        <v>217</v>
      </c>
      <c r="C24" s="137"/>
      <c r="D24" s="137"/>
      <c r="E24" s="137"/>
      <c r="F24" s="137"/>
      <c r="G24" s="137"/>
      <c r="H24" s="137"/>
      <c r="I24" s="137"/>
      <c r="J24" s="137">
        <f>170*4-20</f>
        <v>660</v>
      </c>
      <c r="K24" s="137">
        <f t="shared" ref="K24:L24" si="40">22*7*4</f>
        <v>616</v>
      </c>
      <c r="L24" s="137">
        <f t="shared" si="40"/>
        <v>616</v>
      </c>
      <c r="M24" s="137">
        <f t="shared" ref="M24:N24" si="41">20*4*4</f>
        <v>320</v>
      </c>
      <c r="N24" s="137">
        <f t="shared" si="41"/>
        <v>320</v>
      </c>
      <c r="O24" s="137">
        <f>15*7*4</f>
        <v>420</v>
      </c>
      <c r="P24" s="137">
        <f>15*30</f>
        <v>450</v>
      </c>
      <c r="Q24" s="137">
        <f>15*5</f>
        <v>75</v>
      </c>
      <c r="R24" s="137">
        <f t="shared" ref="R24:S24" si="42">10*4</f>
        <v>40</v>
      </c>
      <c r="S24" s="137">
        <f t="shared" si="42"/>
        <v>40</v>
      </c>
      <c r="T24" s="137">
        <f>10*20</f>
        <v>200</v>
      </c>
      <c r="U24" s="137">
        <f>10*10</f>
        <v>100</v>
      </c>
      <c r="V24" s="137">
        <v>0.0</v>
      </c>
      <c r="W24" s="137">
        <v>0.0</v>
      </c>
      <c r="X24" s="137">
        <v>25.0</v>
      </c>
      <c r="Y24" s="137">
        <v>25.0</v>
      </c>
      <c r="Z24" s="137">
        <v>25.0</v>
      </c>
      <c r="AA24" s="137">
        <v>25.0</v>
      </c>
      <c r="AB24" s="137">
        <v>25.0</v>
      </c>
      <c r="AC24" s="137">
        <v>25.0</v>
      </c>
      <c r="AD24" s="137">
        <v>25.0</v>
      </c>
      <c r="AE24" s="137">
        <v>25.0</v>
      </c>
      <c r="AF24" s="137">
        <v>25.0</v>
      </c>
      <c r="AG24" s="137">
        <v>25.0</v>
      </c>
      <c r="AH24" s="175">
        <v>100.0</v>
      </c>
      <c r="AI24" s="137">
        <v>200.0</v>
      </c>
      <c r="AJ24" s="137">
        <v>100.0</v>
      </c>
      <c r="AK24" s="137">
        <v>100.0</v>
      </c>
      <c r="AL24" s="137">
        <v>100.0</v>
      </c>
      <c r="AM24" s="137">
        <v>100.0</v>
      </c>
      <c r="AN24" s="137">
        <v>100.0</v>
      </c>
      <c r="AO24" s="137">
        <v>100.0</v>
      </c>
      <c r="AP24" s="137">
        <v>100.0</v>
      </c>
      <c r="AQ24" s="137">
        <v>100.0</v>
      </c>
      <c r="AR24" s="137">
        <v>100.0</v>
      </c>
      <c r="AS24" s="137">
        <v>100.0</v>
      </c>
      <c r="AT24" s="137">
        <v>100.0</v>
      </c>
      <c r="AU24" s="137">
        <v>100.0</v>
      </c>
      <c r="AV24" s="137">
        <v>100.0</v>
      </c>
      <c r="AW24" s="137">
        <v>100.0</v>
      </c>
      <c r="AX24" s="137">
        <v>100.0</v>
      </c>
      <c r="AY24" s="137">
        <v>100.0</v>
      </c>
      <c r="AZ24" s="137">
        <v>100.0</v>
      </c>
      <c r="BA24" s="137">
        <v>100.0</v>
      </c>
      <c r="BB24" s="137">
        <v>100.0</v>
      </c>
      <c r="BC24" s="137">
        <v>100.0</v>
      </c>
      <c r="BD24" s="137">
        <v>100.0</v>
      </c>
      <c r="BE24" s="137">
        <v>100.0</v>
      </c>
      <c r="BF24" s="137">
        <v>100.0</v>
      </c>
      <c r="BG24" s="137">
        <v>100.0</v>
      </c>
      <c r="BH24" s="137">
        <v>100.0</v>
      </c>
      <c r="BI24" s="137">
        <v>100.0</v>
      </c>
      <c r="BJ24" s="137">
        <v>100.0</v>
      </c>
      <c r="BK24" s="137">
        <v>100.0</v>
      </c>
    </row>
    <row r="25">
      <c r="A25" s="149"/>
      <c r="B25" s="144" t="s">
        <v>218</v>
      </c>
      <c r="C25" s="137">
        <v>200.0</v>
      </c>
      <c r="D25" s="137">
        <v>200.0</v>
      </c>
      <c r="E25" s="137">
        <v>100.0</v>
      </c>
      <c r="F25" s="137">
        <v>200.0</v>
      </c>
      <c r="G25" s="137">
        <v>200.0</v>
      </c>
      <c r="H25" s="175">
        <v>200.0</v>
      </c>
      <c r="I25" s="137">
        <f>8*4*4+20*4</f>
        <v>208</v>
      </c>
      <c r="J25" s="137">
        <f>8*7*4</f>
        <v>224</v>
      </c>
      <c r="K25" s="137">
        <f>8*4*4</f>
        <v>128</v>
      </c>
      <c r="L25" s="137">
        <f>8*7*4</f>
        <v>224</v>
      </c>
      <c r="M25" s="137">
        <f>8*4*4</f>
        <v>128</v>
      </c>
      <c r="N25" s="137">
        <f>8*5*4</f>
        <v>160</v>
      </c>
      <c r="O25" s="137">
        <f>8*7*4</f>
        <v>224</v>
      </c>
      <c r="P25" s="137">
        <f>8*5*4</f>
        <v>160</v>
      </c>
      <c r="Q25" s="137">
        <f>40</f>
        <v>40</v>
      </c>
      <c r="R25" s="137">
        <f t="shared" ref="R25:S25" si="43">0</f>
        <v>0</v>
      </c>
      <c r="S25" s="137">
        <f t="shared" si="43"/>
        <v>0</v>
      </c>
      <c r="T25" s="137">
        <v>0.0</v>
      </c>
      <c r="U25" s="137">
        <v>0.0</v>
      </c>
      <c r="V25" s="137">
        <v>0.0</v>
      </c>
      <c r="W25" s="137">
        <v>0.0</v>
      </c>
      <c r="X25" s="137">
        <v>0.0</v>
      </c>
      <c r="Y25" s="137">
        <v>0.0</v>
      </c>
      <c r="Z25" s="137">
        <v>0.0</v>
      </c>
      <c r="AA25" s="137">
        <v>0.0</v>
      </c>
      <c r="AB25" s="137">
        <v>0.0</v>
      </c>
      <c r="AC25" s="137">
        <v>0.0</v>
      </c>
      <c r="AD25" s="137">
        <v>0.0</v>
      </c>
      <c r="AE25" s="137">
        <v>0.0</v>
      </c>
      <c r="AF25" s="137">
        <v>0.0</v>
      </c>
      <c r="AG25" s="137">
        <v>0.0</v>
      </c>
      <c r="AH25" s="175">
        <v>50.0</v>
      </c>
      <c r="AI25" s="137">
        <v>50.0</v>
      </c>
      <c r="AJ25" s="137">
        <v>50.0</v>
      </c>
      <c r="AK25" s="137">
        <v>50.0</v>
      </c>
      <c r="AL25" s="137">
        <v>50.0</v>
      </c>
      <c r="AM25" s="137">
        <v>25.0</v>
      </c>
      <c r="AN25" s="137">
        <v>25.0</v>
      </c>
      <c r="AO25" s="137">
        <v>25.0</v>
      </c>
      <c r="AP25" s="137">
        <v>50.0</v>
      </c>
      <c r="AQ25" s="137">
        <v>50.0</v>
      </c>
      <c r="AR25" s="137">
        <v>50.0</v>
      </c>
      <c r="AS25" s="137">
        <v>50.0</v>
      </c>
      <c r="AT25" s="137">
        <v>50.0</v>
      </c>
      <c r="AU25" s="137">
        <v>50.0</v>
      </c>
      <c r="AV25" s="137">
        <v>50.0</v>
      </c>
      <c r="AW25" s="137">
        <v>50.0</v>
      </c>
      <c r="AX25" s="137">
        <v>50.0</v>
      </c>
      <c r="AY25" s="137">
        <v>50.0</v>
      </c>
      <c r="AZ25" s="137">
        <v>50.0</v>
      </c>
      <c r="BA25" s="137">
        <v>50.0</v>
      </c>
      <c r="BB25" s="137">
        <v>50.0</v>
      </c>
      <c r="BC25" s="137">
        <v>50.0</v>
      </c>
      <c r="BD25" s="137">
        <v>50.0</v>
      </c>
      <c r="BE25" s="137">
        <v>50.0</v>
      </c>
      <c r="BF25" s="137">
        <v>50.0</v>
      </c>
      <c r="BG25" s="137">
        <v>50.0</v>
      </c>
      <c r="BH25" s="137">
        <v>50.0</v>
      </c>
      <c r="BI25" s="137">
        <v>50.0</v>
      </c>
      <c r="BJ25" s="137">
        <v>50.0</v>
      </c>
      <c r="BK25" s="137">
        <v>50.0</v>
      </c>
    </row>
    <row r="26">
      <c r="A26" s="188"/>
      <c r="B26" s="136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96">
        <f t="shared" ref="P26:BK26" si="44">sum(P17:P25)/P13</f>
        <v>0.2527318285</v>
      </c>
      <c r="Q26" s="196">
        <f t="shared" si="44"/>
        <v>0.4167359849</v>
      </c>
      <c r="R26" s="196">
        <f t="shared" si="44"/>
        <v>0.4140720991</v>
      </c>
      <c r="S26" s="196">
        <f t="shared" si="44"/>
        <v>0.2649439513</v>
      </c>
      <c r="T26" s="196">
        <f t="shared" si="44"/>
        <v>0.4354138599</v>
      </c>
      <c r="U26" s="196">
        <f t="shared" si="44"/>
        <v>0.08981804104</v>
      </c>
      <c r="V26" s="196">
        <f t="shared" si="44"/>
        <v>0.2894561598</v>
      </c>
      <c r="W26" s="196">
        <f t="shared" si="44"/>
        <v>0.2567557104</v>
      </c>
      <c r="X26" s="196">
        <f t="shared" si="44"/>
        <v>0.485327139</v>
      </c>
      <c r="Y26" s="196">
        <f t="shared" si="44"/>
        <v>0.2404706614</v>
      </c>
      <c r="Z26" s="196">
        <f t="shared" si="44"/>
        <v>0.3159420455</v>
      </c>
      <c r="AA26" s="196">
        <f t="shared" si="44"/>
        <v>0.3344960227</v>
      </c>
      <c r="AB26" s="196">
        <f t="shared" si="44"/>
        <v>0.3344960227</v>
      </c>
      <c r="AC26" s="196">
        <f t="shared" si="44"/>
        <v>0.3201343636</v>
      </c>
      <c r="AD26" s="196">
        <f t="shared" si="44"/>
        <v>0.3355066692</v>
      </c>
      <c r="AE26" s="196">
        <f t="shared" si="44"/>
        <v>0.1486106516</v>
      </c>
      <c r="AF26" s="196">
        <f t="shared" si="44"/>
        <v>0.2905509901</v>
      </c>
      <c r="AG26" s="196">
        <f t="shared" si="44"/>
        <v>0.2620147321</v>
      </c>
      <c r="AH26" s="197">
        <f t="shared" si="44"/>
        <v>0.2708562016</v>
      </c>
      <c r="AI26" s="196">
        <f t="shared" si="44"/>
        <v>0.3797350394</v>
      </c>
      <c r="AJ26" s="196">
        <f t="shared" si="44"/>
        <v>0.4033570866</v>
      </c>
      <c r="AK26" s="196">
        <f t="shared" si="44"/>
        <v>0.1805592543</v>
      </c>
      <c r="AL26" s="196">
        <f t="shared" si="44"/>
        <v>0.3086580087</v>
      </c>
      <c r="AM26" s="196">
        <f t="shared" si="44"/>
        <v>0.2913419913</v>
      </c>
      <c r="AN26" s="196">
        <f t="shared" si="44"/>
        <v>0.1561484919</v>
      </c>
      <c r="AO26" s="196">
        <f t="shared" si="44"/>
        <v>0.26812749</v>
      </c>
      <c r="AP26" s="196">
        <f t="shared" si="44"/>
        <v>0.1041474654</v>
      </c>
      <c r="AQ26" s="196">
        <f t="shared" si="44"/>
        <v>0.2935064935</v>
      </c>
      <c r="AR26" s="196">
        <f t="shared" si="44"/>
        <v>0.2935064935</v>
      </c>
      <c r="AS26" s="196">
        <f t="shared" si="44"/>
        <v>0.2935064935</v>
      </c>
      <c r="AT26" s="196">
        <f t="shared" si="44"/>
        <v>0.2079612983</v>
      </c>
      <c r="AU26" s="196">
        <f t="shared" si="44"/>
        <v>0.1257657658</v>
      </c>
      <c r="AV26" s="196">
        <f t="shared" si="44"/>
        <v>0.3021645022</v>
      </c>
      <c r="AW26" s="196">
        <f t="shared" si="44"/>
        <v>0.3151515152</v>
      </c>
      <c r="AX26" s="196">
        <f t="shared" si="44"/>
        <v>0.2443937156</v>
      </c>
      <c r="AY26" s="196">
        <f t="shared" si="44"/>
        <v>0.2536585366</v>
      </c>
      <c r="AZ26" s="196">
        <f t="shared" si="44"/>
        <v>0.132123412</v>
      </c>
      <c r="BA26" s="196">
        <f t="shared" si="44"/>
        <v>0.1174193548</v>
      </c>
      <c r="BB26" s="196">
        <f t="shared" si="44"/>
        <v>0.3309090909</v>
      </c>
      <c r="BC26" s="196">
        <f t="shared" si="44"/>
        <v>0.3309090909</v>
      </c>
      <c r="BD26" s="196">
        <f t="shared" si="44"/>
        <v>0.01170418006</v>
      </c>
      <c r="BE26" s="196">
        <f t="shared" si="44"/>
        <v>0.2206060606</v>
      </c>
      <c r="BF26" s="196">
        <f t="shared" si="44"/>
        <v>0.2206060606</v>
      </c>
      <c r="BG26" s="196">
        <f t="shared" si="44"/>
        <v>0.02307448494</v>
      </c>
      <c r="BH26" s="196">
        <f t="shared" si="44"/>
        <v>0.06303030303</v>
      </c>
      <c r="BI26" s="196">
        <f t="shared" si="44"/>
        <v>0.06303030303</v>
      </c>
      <c r="BJ26" s="196">
        <f t="shared" si="44"/>
        <v>0.06303030303</v>
      </c>
      <c r="BK26" s="196">
        <f t="shared" si="44"/>
        <v>0.06303030303</v>
      </c>
    </row>
    <row r="27">
      <c r="A27" s="135" t="s">
        <v>219</v>
      </c>
      <c r="C27" s="137"/>
      <c r="D27" s="137"/>
      <c r="E27" s="137"/>
      <c r="F27" s="137"/>
      <c r="G27" s="137"/>
      <c r="H27" s="137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40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</row>
    <row r="28">
      <c r="A28" s="188" t="s">
        <v>220</v>
      </c>
      <c r="B28" s="144" t="s">
        <v>221</v>
      </c>
      <c r="C28" s="137">
        <v>1150.0</v>
      </c>
      <c r="D28" s="137">
        <v>1000.0</v>
      </c>
      <c r="E28" s="137">
        <v>1000.0</v>
      </c>
      <c r="F28" s="137">
        <v>1120.0</v>
      </c>
      <c r="G28" s="137">
        <v>1000.0</v>
      </c>
      <c r="H28" s="175">
        <v>500.0</v>
      </c>
      <c r="I28" s="137">
        <f>160*4</f>
        <v>640</v>
      </c>
      <c r="J28" s="137">
        <f>125*4</f>
        <v>500</v>
      </c>
      <c r="K28" s="137">
        <f>25*7*4</f>
        <v>700</v>
      </c>
      <c r="L28" s="137">
        <f>50*7*4</f>
        <v>1400</v>
      </c>
      <c r="M28" s="137">
        <f>25*7*4</f>
        <v>700</v>
      </c>
      <c r="N28" s="137">
        <v>1500.0</v>
      </c>
      <c r="O28" s="137">
        <f>30*5*4</f>
        <v>600</v>
      </c>
      <c r="P28" s="137">
        <f>30*20</f>
        <v>600</v>
      </c>
      <c r="Q28" s="137">
        <f>20*10</f>
        <v>200</v>
      </c>
      <c r="R28" s="137">
        <f>10*20</f>
        <v>200</v>
      </c>
      <c r="S28" s="137">
        <f>5*20</f>
        <v>100</v>
      </c>
      <c r="T28" s="137">
        <f>20*20</f>
        <v>400</v>
      </c>
      <c r="U28" s="137">
        <f t="shared" ref="U28:X28" si="45">15*20</f>
        <v>300</v>
      </c>
      <c r="V28" s="137">
        <f t="shared" si="45"/>
        <v>300</v>
      </c>
      <c r="W28" s="137">
        <f t="shared" si="45"/>
        <v>300</v>
      </c>
      <c r="X28" s="137">
        <f t="shared" si="45"/>
        <v>300</v>
      </c>
      <c r="Y28" s="137">
        <f>50*20</f>
        <v>1000</v>
      </c>
      <c r="Z28" s="137">
        <f>45*20</f>
        <v>900</v>
      </c>
      <c r="AA28" s="137">
        <f t="shared" ref="AA28:AB28" si="46">25*20</f>
        <v>500</v>
      </c>
      <c r="AB28" s="137">
        <f t="shared" si="46"/>
        <v>500</v>
      </c>
      <c r="AC28" s="137">
        <f>45*20</f>
        <v>900</v>
      </c>
      <c r="AD28" s="137">
        <f t="shared" ref="AD28:AH28" si="47">25*20</f>
        <v>500</v>
      </c>
      <c r="AE28" s="137">
        <f t="shared" si="47"/>
        <v>500</v>
      </c>
      <c r="AF28" s="137">
        <f t="shared" si="47"/>
        <v>500</v>
      </c>
      <c r="AG28" s="137">
        <f t="shared" si="47"/>
        <v>500</v>
      </c>
      <c r="AH28" s="175">
        <f t="shared" si="47"/>
        <v>500</v>
      </c>
      <c r="AI28" s="137">
        <f t="shared" ref="AI28:AK28" si="48">45*20</f>
        <v>900</v>
      </c>
      <c r="AJ28" s="137">
        <f t="shared" si="48"/>
        <v>900</v>
      </c>
      <c r="AK28" s="137">
        <f t="shared" si="48"/>
        <v>900</v>
      </c>
      <c r="AL28" s="137">
        <f t="shared" ref="AL28:AO28" si="49">75*20</f>
        <v>1500</v>
      </c>
      <c r="AM28" s="137">
        <f t="shared" si="49"/>
        <v>1500</v>
      </c>
      <c r="AN28" s="137">
        <f t="shared" si="49"/>
        <v>1500</v>
      </c>
      <c r="AO28" s="137">
        <f t="shared" si="49"/>
        <v>1500</v>
      </c>
      <c r="AP28" s="137">
        <f>150*20</f>
        <v>3000</v>
      </c>
      <c r="AQ28" s="137">
        <f t="shared" ref="AQ28:BK28" si="50">75*20</f>
        <v>1500</v>
      </c>
      <c r="AR28" s="137">
        <f t="shared" si="50"/>
        <v>1500</v>
      </c>
      <c r="AS28" s="137">
        <f t="shared" si="50"/>
        <v>1500</v>
      </c>
      <c r="AT28" s="137">
        <f t="shared" si="50"/>
        <v>1500</v>
      </c>
      <c r="AU28" s="137">
        <f t="shared" si="50"/>
        <v>1500</v>
      </c>
      <c r="AV28" s="137">
        <f t="shared" si="50"/>
        <v>1500</v>
      </c>
      <c r="AW28" s="137">
        <f t="shared" si="50"/>
        <v>1500</v>
      </c>
      <c r="AX28" s="137">
        <f t="shared" si="50"/>
        <v>1500</v>
      </c>
      <c r="AY28" s="137">
        <f t="shared" si="50"/>
        <v>1500</v>
      </c>
      <c r="AZ28" s="137">
        <f t="shared" si="50"/>
        <v>1500</v>
      </c>
      <c r="BA28" s="137">
        <f t="shared" si="50"/>
        <v>1500</v>
      </c>
      <c r="BB28" s="137">
        <f t="shared" si="50"/>
        <v>1500</v>
      </c>
      <c r="BC28" s="137">
        <f t="shared" si="50"/>
        <v>1500</v>
      </c>
      <c r="BD28" s="137">
        <f t="shared" si="50"/>
        <v>1500</v>
      </c>
      <c r="BE28" s="137">
        <f t="shared" si="50"/>
        <v>1500</v>
      </c>
      <c r="BF28" s="137">
        <f t="shared" si="50"/>
        <v>1500</v>
      </c>
      <c r="BG28" s="137">
        <f t="shared" si="50"/>
        <v>1500</v>
      </c>
      <c r="BH28" s="137">
        <f t="shared" si="50"/>
        <v>1500</v>
      </c>
      <c r="BI28" s="137">
        <f t="shared" si="50"/>
        <v>1500</v>
      </c>
      <c r="BJ28" s="137">
        <f t="shared" si="50"/>
        <v>1500</v>
      </c>
      <c r="BK28" s="137">
        <f t="shared" si="50"/>
        <v>1500</v>
      </c>
    </row>
    <row r="29">
      <c r="A29" s="149"/>
      <c r="B29" s="144" t="s">
        <v>222</v>
      </c>
      <c r="C29" s="137"/>
      <c r="D29" s="137"/>
      <c r="E29" s="137"/>
      <c r="F29" s="137"/>
      <c r="G29" s="137"/>
      <c r="H29" s="175"/>
      <c r="I29" s="137">
        <f>100*4</f>
        <v>400</v>
      </c>
      <c r="J29" s="137">
        <f>200*4</f>
        <v>800</v>
      </c>
      <c r="K29" s="137">
        <f t="shared" ref="K29:L29" si="51">50*2*2*4</f>
        <v>800</v>
      </c>
      <c r="L29" s="137">
        <f t="shared" si="51"/>
        <v>800</v>
      </c>
      <c r="M29" s="137">
        <f>40*2*4</f>
        <v>320</v>
      </c>
      <c r="N29" s="137">
        <f t="shared" ref="N29:O29" si="52">50*2*4</f>
        <v>400</v>
      </c>
      <c r="O29" s="137">
        <f t="shared" si="52"/>
        <v>400</v>
      </c>
      <c r="P29" s="137">
        <f>100*4</f>
        <v>400</v>
      </c>
      <c r="Q29" s="137">
        <f>45*2</f>
        <v>90</v>
      </c>
      <c r="R29" s="137">
        <f>20*8</f>
        <v>160</v>
      </c>
      <c r="S29" s="137">
        <f>30*8</f>
        <v>240</v>
      </c>
      <c r="T29" s="137">
        <f>45*8</f>
        <v>360</v>
      </c>
      <c r="U29" s="137">
        <f>20*8</f>
        <v>160</v>
      </c>
      <c r="V29" s="137">
        <f>45*8</f>
        <v>360</v>
      </c>
      <c r="W29" s="137">
        <f t="shared" ref="W29:X29" si="53">40*8</f>
        <v>320</v>
      </c>
      <c r="X29" s="137">
        <f t="shared" si="53"/>
        <v>320</v>
      </c>
      <c r="Y29" s="137">
        <f t="shared" ref="Y29:AA29" si="54">100*8</f>
        <v>800</v>
      </c>
      <c r="Z29" s="137">
        <f t="shared" si="54"/>
        <v>800</v>
      </c>
      <c r="AA29" s="137">
        <f t="shared" si="54"/>
        <v>800</v>
      </c>
      <c r="AB29" s="137">
        <f>100*8+300</f>
        <v>1100</v>
      </c>
      <c r="AC29" s="137">
        <f>100*8</f>
        <v>800</v>
      </c>
      <c r="AD29" s="137">
        <f t="shared" ref="AD29:AH29" si="55">75*8</f>
        <v>600</v>
      </c>
      <c r="AE29" s="137">
        <f t="shared" si="55"/>
        <v>600</v>
      </c>
      <c r="AF29" s="137">
        <f t="shared" si="55"/>
        <v>600</v>
      </c>
      <c r="AG29" s="137">
        <f t="shared" si="55"/>
        <v>600</v>
      </c>
      <c r="AH29" s="175">
        <f t="shared" si="55"/>
        <v>600</v>
      </c>
      <c r="AI29" s="137">
        <f>100*10</f>
        <v>1000</v>
      </c>
      <c r="AJ29" s="137">
        <f t="shared" ref="AJ29:AO29" si="56">100*8</f>
        <v>800</v>
      </c>
      <c r="AK29" s="137">
        <f t="shared" si="56"/>
        <v>800</v>
      </c>
      <c r="AL29" s="137">
        <f t="shared" si="56"/>
        <v>800</v>
      </c>
      <c r="AM29" s="137">
        <f t="shared" si="56"/>
        <v>800</v>
      </c>
      <c r="AN29" s="137">
        <f t="shared" si="56"/>
        <v>800</v>
      </c>
      <c r="AO29" s="137">
        <f t="shared" si="56"/>
        <v>800</v>
      </c>
      <c r="AP29" s="137">
        <f>150*8</f>
        <v>1200</v>
      </c>
      <c r="AQ29" s="137">
        <f t="shared" ref="AQ29:BK29" si="57">100*8</f>
        <v>800</v>
      </c>
      <c r="AR29" s="137">
        <f t="shared" si="57"/>
        <v>800</v>
      </c>
      <c r="AS29" s="137">
        <f t="shared" si="57"/>
        <v>800</v>
      </c>
      <c r="AT29" s="137">
        <f t="shared" si="57"/>
        <v>800</v>
      </c>
      <c r="AU29" s="137">
        <f t="shared" si="57"/>
        <v>800</v>
      </c>
      <c r="AV29" s="137">
        <f t="shared" si="57"/>
        <v>800</v>
      </c>
      <c r="AW29" s="137">
        <f t="shared" si="57"/>
        <v>800</v>
      </c>
      <c r="AX29" s="137">
        <f t="shared" si="57"/>
        <v>800</v>
      </c>
      <c r="AY29" s="137">
        <f t="shared" si="57"/>
        <v>800</v>
      </c>
      <c r="AZ29" s="137">
        <f t="shared" si="57"/>
        <v>800</v>
      </c>
      <c r="BA29" s="137">
        <f t="shared" si="57"/>
        <v>800</v>
      </c>
      <c r="BB29" s="137">
        <f t="shared" si="57"/>
        <v>800</v>
      </c>
      <c r="BC29" s="137">
        <f t="shared" si="57"/>
        <v>800</v>
      </c>
      <c r="BD29" s="137">
        <f t="shared" si="57"/>
        <v>800</v>
      </c>
      <c r="BE29" s="137">
        <f t="shared" si="57"/>
        <v>800</v>
      </c>
      <c r="BF29" s="137">
        <f t="shared" si="57"/>
        <v>800</v>
      </c>
      <c r="BG29" s="137">
        <f t="shared" si="57"/>
        <v>800</v>
      </c>
      <c r="BH29" s="137">
        <f t="shared" si="57"/>
        <v>800</v>
      </c>
      <c r="BI29" s="137">
        <f t="shared" si="57"/>
        <v>800</v>
      </c>
      <c r="BJ29" s="137">
        <f t="shared" si="57"/>
        <v>800</v>
      </c>
      <c r="BK29" s="137">
        <f t="shared" si="57"/>
        <v>800</v>
      </c>
    </row>
    <row r="30">
      <c r="A30" s="199"/>
      <c r="B30" s="144" t="s">
        <v>223</v>
      </c>
      <c r="C30" s="137">
        <v>0.0</v>
      </c>
      <c r="D30" s="137">
        <v>0.0</v>
      </c>
      <c r="E30" s="137">
        <v>0.0</v>
      </c>
      <c r="F30" s="137">
        <v>0.0</v>
      </c>
      <c r="G30" s="137">
        <v>0.0</v>
      </c>
      <c r="H30" s="175">
        <v>0.0</v>
      </c>
      <c r="I30" s="137">
        <v>0.0</v>
      </c>
      <c r="J30" s="137">
        <v>0.0</v>
      </c>
      <c r="K30" s="137">
        <v>0.0</v>
      </c>
      <c r="L30" s="137">
        <v>0.0</v>
      </c>
      <c r="M30" s="137">
        <v>0.0</v>
      </c>
      <c r="N30" s="194">
        <v>200.0</v>
      </c>
      <c r="O30" s="194">
        <v>400.0</v>
      </c>
      <c r="P30" s="113">
        <v>0.0</v>
      </c>
      <c r="Q30" s="137">
        <v>0.0</v>
      </c>
      <c r="R30" s="137">
        <v>0.0</v>
      </c>
      <c r="S30" s="137">
        <v>0.0</v>
      </c>
      <c r="T30" s="137">
        <v>0.0</v>
      </c>
      <c r="U30" s="137">
        <v>0.0</v>
      </c>
      <c r="V30" s="137">
        <v>0.0</v>
      </c>
      <c r="W30" s="137">
        <v>0.0</v>
      </c>
      <c r="X30" s="137">
        <v>0.0</v>
      </c>
      <c r="Y30" s="137">
        <v>0.0</v>
      </c>
      <c r="Z30" s="137">
        <v>0.0</v>
      </c>
      <c r="AA30" s="137">
        <v>0.0</v>
      </c>
      <c r="AB30" s="137">
        <v>0.0</v>
      </c>
      <c r="AC30" s="137">
        <v>0.0</v>
      </c>
      <c r="AD30" s="137">
        <v>0.0</v>
      </c>
      <c r="AE30" s="137">
        <v>0.0</v>
      </c>
      <c r="AF30" s="137">
        <v>0.0</v>
      </c>
      <c r="AG30" s="137">
        <v>0.0</v>
      </c>
      <c r="AH30" s="175">
        <v>0.0</v>
      </c>
      <c r="AI30" s="137">
        <v>0.0</v>
      </c>
      <c r="AJ30" s="137">
        <v>0.0</v>
      </c>
      <c r="AK30" s="137">
        <v>0.0</v>
      </c>
      <c r="AL30" s="137">
        <v>0.0</v>
      </c>
      <c r="AM30" s="137">
        <v>0.0</v>
      </c>
      <c r="AN30" s="137">
        <v>0.0</v>
      </c>
      <c r="AO30" s="137">
        <v>0.0</v>
      </c>
      <c r="AP30" s="137">
        <v>0.0</v>
      </c>
      <c r="AQ30" s="137">
        <v>0.0</v>
      </c>
      <c r="AR30" s="137">
        <v>0.0</v>
      </c>
      <c r="AS30" s="137">
        <v>0.0</v>
      </c>
      <c r="AT30" s="137">
        <v>0.0</v>
      </c>
      <c r="AU30" s="137">
        <v>0.0</v>
      </c>
      <c r="AV30" s="137">
        <v>0.0</v>
      </c>
      <c r="AW30" s="137">
        <v>200.0</v>
      </c>
      <c r="AX30" s="137">
        <v>200.0</v>
      </c>
      <c r="AY30" s="137">
        <v>200.0</v>
      </c>
      <c r="AZ30" s="137">
        <v>200.0</v>
      </c>
      <c r="BA30" s="137">
        <v>200.0</v>
      </c>
      <c r="BB30" s="137">
        <v>200.0</v>
      </c>
      <c r="BC30" s="137">
        <v>200.0</v>
      </c>
      <c r="BD30" s="137">
        <v>200.0</v>
      </c>
      <c r="BE30" s="137">
        <v>200.0</v>
      </c>
      <c r="BF30" s="137">
        <v>200.0</v>
      </c>
      <c r="BG30" s="137">
        <v>200.0</v>
      </c>
      <c r="BH30" s="137">
        <v>200.0</v>
      </c>
      <c r="BI30" s="137">
        <v>200.0</v>
      </c>
      <c r="BJ30" s="137">
        <v>200.0</v>
      </c>
      <c r="BK30" s="137">
        <v>200.0</v>
      </c>
    </row>
    <row r="31">
      <c r="A31" s="199"/>
      <c r="B31" s="144" t="s">
        <v>569</v>
      </c>
      <c r="C31" s="137">
        <v>10.0</v>
      </c>
      <c r="D31" s="137">
        <v>10.0</v>
      </c>
      <c r="E31" s="137">
        <v>10.0</v>
      </c>
      <c r="F31" s="137">
        <v>10.0</v>
      </c>
      <c r="G31" s="137">
        <f t="shared" ref="G31:H31" si="58">10+5+20</f>
        <v>35</v>
      </c>
      <c r="H31" s="137">
        <f t="shared" si="58"/>
        <v>35</v>
      </c>
      <c r="I31" s="137">
        <f>10+20+60</f>
        <v>90</v>
      </c>
      <c r="J31" s="137">
        <f>10+20+30+15</f>
        <v>75</v>
      </c>
      <c r="K31" s="137">
        <f>10+5+20+30</f>
        <v>65</v>
      </c>
      <c r="L31" s="137">
        <f t="shared" ref="L31:O31" si="59">10+5+20+60</f>
        <v>95</v>
      </c>
      <c r="M31" s="137">
        <f t="shared" si="59"/>
        <v>95</v>
      </c>
      <c r="N31" s="137">
        <f t="shared" si="59"/>
        <v>95</v>
      </c>
      <c r="O31" s="137">
        <f t="shared" si="59"/>
        <v>95</v>
      </c>
      <c r="P31" s="137">
        <f>10+5+20+60+4+4</f>
        <v>103</v>
      </c>
      <c r="Q31" s="137">
        <f>10+5+20+60+35.68</f>
        <v>130.68</v>
      </c>
      <c r="R31" s="137">
        <f>10+5+20+60</f>
        <v>95</v>
      </c>
      <c r="S31" s="137">
        <f t="shared" ref="S31:U31" si="60">10+13+20+60</f>
        <v>103</v>
      </c>
      <c r="T31" s="137">
        <f t="shared" si="60"/>
        <v>103</v>
      </c>
      <c r="U31" s="137">
        <f t="shared" si="60"/>
        <v>103</v>
      </c>
      <c r="V31" s="137">
        <f>sum(10,13,20,60,4,15,20)</f>
        <v>142</v>
      </c>
      <c r="W31" s="137">
        <f>sum(10,13,20,60,4,15,70)</f>
        <v>192</v>
      </c>
      <c r="X31" s="137">
        <f t="shared" ref="X31:Y31" si="61">sum(10,13,20,60,4,15,0)</f>
        <v>122</v>
      </c>
      <c r="Y31" s="137">
        <f t="shared" si="61"/>
        <v>122</v>
      </c>
      <c r="Z31" s="137">
        <f t="shared" ref="Z31:BK31" si="62">sum(10,13,60,4,15,0)</f>
        <v>102</v>
      </c>
      <c r="AA31" s="137">
        <f t="shared" si="62"/>
        <v>102</v>
      </c>
      <c r="AB31" s="137">
        <f t="shared" si="62"/>
        <v>102</v>
      </c>
      <c r="AC31" s="137">
        <f t="shared" si="62"/>
        <v>102</v>
      </c>
      <c r="AD31" s="137">
        <f t="shared" si="62"/>
        <v>102</v>
      </c>
      <c r="AE31" s="137">
        <f t="shared" si="62"/>
        <v>102</v>
      </c>
      <c r="AF31" s="137">
        <f t="shared" si="62"/>
        <v>102</v>
      </c>
      <c r="AG31" s="137">
        <f t="shared" si="62"/>
        <v>102</v>
      </c>
      <c r="AH31" s="175">
        <f t="shared" si="62"/>
        <v>102</v>
      </c>
      <c r="AI31" s="137">
        <f t="shared" si="62"/>
        <v>102</v>
      </c>
      <c r="AJ31" s="137">
        <f t="shared" si="62"/>
        <v>102</v>
      </c>
      <c r="AK31" s="137">
        <f t="shared" si="62"/>
        <v>102</v>
      </c>
      <c r="AL31" s="137">
        <f t="shared" si="62"/>
        <v>102</v>
      </c>
      <c r="AM31" s="137">
        <f t="shared" si="62"/>
        <v>102</v>
      </c>
      <c r="AN31" s="137">
        <f t="shared" si="62"/>
        <v>102</v>
      </c>
      <c r="AO31" s="137">
        <f t="shared" si="62"/>
        <v>102</v>
      </c>
      <c r="AP31" s="137">
        <f t="shared" si="62"/>
        <v>102</v>
      </c>
      <c r="AQ31" s="137">
        <f t="shared" si="62"/>
        <v>102</v>
      </c>
      <c r="AR31" s="137">
        <f t="shared" si="62"/>
        <v>102</v>
      </c>
      <c r="AS31" s="137">
        <f t="shared" si="62"/>
        <v>102</v>
      </c>
      <c r="AT31" s="137">
        <f t="shared" si="62"/>
        <v>102</v>
      </c>
      <c r="AU31" s="137">
        <f t="shared" si="62"/>
        <v>102</v>
      </c>
      <c r="AV31" s="137">
        <f t="shared" si="62"/>
        <v>102</v>
      </c>
      <c r="AW31" s="137">
        <f t="shared" si="62"/>
        <v>102</v>
      </c>
      <c r="AX31" s="137">
        <f t="shared" si="62"/>
        <v>102</v>
      </c>
      <c r="AY31" s="137">
        <f t="shared" si="62"/>
        <v>102</v>
      </c>
      <c r="AZ31" s="137">
        <f t="shared" si="62"/>
        <v>102</v>
      </c>
      <c r="BA31" s="137">
        <f t="shared" si="62"/>
        <v>102</v>
      </c>
      <c r="BB31" s="137">
        <f t="shared" si="62"/>
        <v>102</v>
      </c>
      <c r="BC31" s="137">
        <f t="shared" si="62"/>
        <v>102</v>
      </c>
      <c r="BD31" s="137">
        <f t="shared" si="62"/>
        <v>102</v>
      </c>
      <c r="BE31" s="137">
        <f t="shared" si="62"/>
        <v>102</v>
      </c>
      <c r="BF31" s="137">
        <f t="shared" si="62"/>
        <v>102</v>
      </c>
      <c r="BG31" s="137">
        <f t="shared" si="62"/>
        <v>102</v>
      </c>
      <c r="BH31" s="137">
        <f t="shared" si="62"/>
        <v>102</v>
      </c>
      <c r="BI31" s="137">
        <f t="shared" si="62"/>
        <v>102</v>
      </c>
      <c r="BJ31" s="137">
        <f t="shared" si="62"/>
        <v>102</v>
      </c>
      <c r="BK31" s="137">
        <f t="shared" si="62"/>
        <v>102</v>
      </c>
    </row>
    <row r="32">
      <c r="A32" s="199"/>
      <c r="B32" s="144" t="s">
        <v>225</v>
      </c>
      <c r="C32" s="137">
        <v>0.0</v>
      </c>
      <c r="D32" s="137">
        <v>0.0</v>
      </c>
      <c r="E32" s="137">
        <v>500.0</v>
      </c>
      <c r="F32" s="137">
        <v>500.0</v>
      </c>
      <c r="G32" s="137">
        <v>0.0</v>
      </c>
      <c r="H32" s="175">
        <v>0.0</v>
      </c>
      <c r="I32" s="137">
        <v>0.0</v>
      </c>
      <c r="J32" s="194">
        <v>500.0</v>
      </c>
      <c r="K32" s="194">
        <v>450.0</v>
      </c>
      <c r="L32" s="194">
        <v>300.0</v>
      </c>
      <c r="M32" s="194">
        <v>200.0</v>
      </c>
      <c r="N32" s="194">
        <v>100.0</v>
      </c>
      <c r="O32" s="137">
        <v>0.0</v>
      </c>
      <c r="P32" s="194">
        <f>250+179</f>
        <v>429</v>
      </c>
      <c r="Q32" s="200">
        <v>0.0</v>
      </c>
      <c r="R32" s="189">
        <f>260*2</f>
        <v>520</v>
      </c>
      <c r="S32" s="189">
        <v>0.0</v>
      </c>
      <c r="T32" s="189">
        <f>sum(500/2,185,25,84,257)</f>
        <v>801</v>
      </c>
      <c r="U32" s="189">
        <f>sum(270,250)</f>
        <v>520</v>
      </c>
      <c r="V32" s="193">
        <f>sum(300,600,240)</f>
        <v>1140</v>
      </c>
      <c r="W32" s="194">
        <f>375+74</f>
        <v>449</v>
      </c>
      <c r="X32" s="193">
        <v>0.0</v>
      </c>
      <c r="Y32" s="137">
        <v>0.0</v>
      </c>
      <c r="Z32" s="201">
        <f>sum(548.5,400,55.1,92.1,169.66,100)</f>
        <v>1365.36</v>
      </c>
      <c r="AA32" s="201">
        <f>'Travel Expenses - Tulum'!C32-Z32</f>
        <v>2256.425</v>
      </c>
      <c r="AB32" s="137">
        <v>90.0</v>
      </c>
      <c r="AC32" s="201">
        <v>1200.0</v>
      </c>
      <c r="AD32" s="137">
        <v>0.0</v>
      </c>
      <c r="AE32" s="202">
        <v>500.0</v>
      </c>
      <c r="AF32" s="137">
        <v>0.0</v>
      </c>
      <c r="AG32" s="137">
        <v>0.0</v>
      </c>
      <c r="AH32" s="175">
        <v>0.0</v>
      </c>
      <c r="AI32" s="137">
        <v>0.0</v>
      </c>
      <c r="AJ32" s="137">
        <v>0.0</v>
      </c>
      <c r="AK32" s="137">
        <v>0.0</v>
      </c>
      <c r="AL32" s="137">
        <f>1500+600</f>
        <v>2100</v>
      </c>
      <c r="AM32" s="137">
        <v>0.0</v>
      </c>
      <c r="AN32" s="137">
        <v>0.0</v>
      </c>
      <c r="AO32" s="137">
        <v>0.0</v>
      </c>
      <c r="AP32" s="137">
        <v>0.0</v>
      </c>
      <c r="AQ32" s="137">
        <v>0.0</v>
      </c>
      <c r="AR32" s="137">
        <v>0.0</v>
      </c>
      <c r="AS32" s="137">
        <v>0.0</v>
      </c>
      <c r="AT32" s="137">
        <v>0.0</v>
      </c>
      <c r="AU32" s="137">
        <v>0.0</v>
      </c>
      <c r="AV32" s="137">
        <v>0.0</v>
      </c>
      <c r="AW32" s="137">
        <v>0.0</v>
      </c>
      <c r="AX32" s="137">
        <v>0.0</v>
      </c>
      <c r="AY32" s="137">
        <v>0.0</v>
      </c>
      <c r="AZ32" s="137">
        <f>sum(650,375,300)</f>
        <v>1325</v>
      </c>
      <c r="BA32" s="137">
        <v>0.0</v>
      </c>
      <c r="BB32" s="137">
        <v>0.0</v>
      </c>
      <c r="BC32" s="137">
        <f>1700</f>
        <v>1700</v>
      </c>
      <c r="BD32" s="137">
        <f>sum(1850)</f>
        <v>1850</v>
      </c>
      <c r="BE32" s="137">
        <v>0.0</v>
      </c>
      <c r="BF32" s="137">
        <v>0.0</v>
      </c>
      <c r="BG32" s="137">
        <v>0.0</v>
      </c>
      <c r="BH32" s="137">
        <v>0.0</v>
      </c>
      <c r="BI32" s="137">
        <v>0.0</v>
      </c>
      <c r="BJ32" s="137">
        <v>0.0</v>
      </c>
      <c r="BK32" s="137">
        <v>0.0</v>
      </c>
    </row>
    <row r="33">
      <c r="A33" s="188" t="s">
        <v>209</v>
      </c>
      <c r="B33" s="144" t="s">
        <v>226</v>
      </c>
      <c r="C33" s="137"/>
      <c r="D33" s="137"/>
      <c r="E33" s="137"/>
      <c r="F33" s="137"/>
      <c r="G33" s="137"/>
      <c r="H33" s="137"/>
      <c r="I33" s="137">
        <v>600.0</v>
      </c>
      <c r="J33" s="137">
        <v>0.0</v>
      </c>
      <c r="K33" s="137">
        <v>0.0</v>
      </c>
      <c r="L33" s="137">
        <v>0.0</v>
      </c>
      <c r="M33" s="137">
        <v>0.0</v>
      </c>
      <c r="N33" s="137">
        <v>0.0</v>
      </c>
      <c r="O33" s="137">
        <v>0.0</v>
      </c>
      <c r="P33" s="137">
        <f>43+83</f>
        <v>126</v>
      </c>
      <c r="Q33" s="137">
        <f>90+266+80</f>
        <v>436</v>
      </c>
      <c r="R33" s="137">
        <v>0.0</v>
      </c>
      <c r="S33" s="137">
        <v>0.0</v>
      </c>
      <c r="T33" s="137">
        <v>0.0</v>
      </c>
      <c r="U33" s="137">
        <v>0.0</v>
      </c>
      <c r="V33" s="137">
        <v>0.0</v>
      </c>
      <c r="W33" s="137">
        <v>0.0</v>
      </c>
      <c r="X33" s="137">
        <v>1000.0</v>
      </c>
      <c r="Y33" s="137">
        <v>0.0</v>
      </c>
      <c r="Z33" s="137">
        <f>sum(250,100,250)</f>
        <v>600</v>
      </c>
      <c r="AA33" s="137">
        <v>0.0</v>
      </c>
      <c r="AB33" s="137">
        <v>0.0</v>
      </c>
      <c r="AC33" s="137">
        <v>0.0</v>
      </c>
      <c r="AD33" s="137">
        <v>0.0</v>
      </c>
      <c r="AE33" s="137">
        <v>0.0</v>
      </c>
      <c r="AF33" s="137">
        <v>0.0</v>
      </c>
      <c r="AG33" s="137">
        <v>0.0</v>
      </c>
      <c r="AH33" s="175">
        <v>2000.0</v>
      </c>
      <c r="AI33" s="137">
        <v>0.0</v>
      </c>
      <c r="AJ33" s="137">
        <v>0.0</v>
      </c>
      <c r="AK33" s="137">
        <v>0.0</v>
      </c>
      <c r="AL33" s="137">
        <v>25.0</v>
      </c>
      <c r="AM33" s="137">
        <v>0.0</v>
      </c>
      <c r="AN33" s="137">
        <v>0.0</v>
      </c>
      <c r="AO33" s="137">
        <v>0.0</v>
      </c>
      <c r="AP33" s="137">
        <v>0.0</v>
      </c>
      <c r="AQ33" s="137">
        <v>0.0</v>
      </c>
      <c r="AR33" s="137">
        <v>0.0</v>
      </c>
      <c r="AS33" s="137">
        <v>0.0</v>
      </c>
      <c r="AT33" s="137">
        <v>0.0</v>
      </c>
      <c r="AU33" s="137">
        <v>0.0</v>
      </c>
      <c r="AV33" s="137">
        <v>0.0</v>
      </c>
      <c r="AW33" s="137">
        <v>50.0</v>
      </c>
      <c r="AX33" s="137">
        <v>50.0</v>
      </c>
      <c r="AY33" s="137">
        <v>50.0</v>
      </c>
      <c r="AZ33" s="137">
        <v>50.0</v>
      </c>
      <c r="BA33" s="137">
        <v>50.0</v>
      </c>
      <c r="BB33" s="137">
        <v>50.0</v>
      </c>
      <c r="BC33" s="194">
        <v>1500.0</v>
      </c>
      <c r="BD33" s="137">
        <v>50.0</v>
      </c>
      <c r="BE33" s="137">
        <v>50.0</v>
      </c>
      <c r="BF33" s="137">
        <v>50.0</v>
      </c>
      <c r="BG33" s="137">
        <v>50.0</v>
      </c>
      <c r="BH33" s="137">
        <v>50.0</v>
      </c>
      <c r="BI33" s="137">
        <v>50.0</v>
      </c>
      <c r="BJ33" s="137">
        <v>50.0</v>
      </c>
      <c r="BK33" s="137">
        <v>50.0</v>
      </c>
    </row>
    <row r="34" ht="15.75" customHeight="1">
      <c r="A34" s="149"/>
      <c r="B34" s="144" t="s">
        <v>227</v>
      </c>
      <c r="C34" s="137"/>
      <c r="D34" s="137"/>
      <c r="E34" s="137"/>
      <c r="F34" s="137"/>
      <c r="G34" s="137"/>
      <c r="H34" s="137"/>
      <c r="I34" s="137">
        <v>10.0</v>
      </c>
      <c r="J34" s="137">
        <v>0.0</v>
      </c>
      <c r="K34" s="137">
        <f>12*2</f>
        <v>24</v>
      </c>
      <c r="L34" s="137">
        <v>0.0</v>
      </c>
      <c r="M34" s="137">
        <v>0.0</v>
      </c>
      <c r="N34" s="137">
        <f t="shared" ref="N34:O34" si="63">12*1</f>
        <v>12</v>
      </c>
      <c r="O34" s="137">
        <f t="shared" si="63"/>
        <v>12</v>
      </c>
      <c r="P34" s="137">
        <f>13</f>
        <v>13</v>
      </c>
      <c r="Q34" s="137">
        <v>0.0</v>
      </c>
      <c r="R34" s="137">
        <f t="shared" ref="R34:AJ34" si="64">12*1</f>
        <v>12</v>
      </c>
      <c r="S34" s="137">
        <f t="shared" si="64"/>
        <v>12</v>
      </c>
      <c r="T34" s="137">
        <f t="shared" si="64"/>
        <v>12</v>
      </c>
      <c r="U34" s="137">
        <f t="shared" si="64"/>
        <v>12</v>
      </c>
      <c r="V34" s="137">
        <f t="shared" si="64"/>
        <v>12</v>
      </c>
      <c r="W34" s="137">
        <f t="shared" si="64"/>
        <v>12</v>
      </c>
      <c r="X34" s="137">
        <f t="shared" si="64"/>
        <v>12</v>
      </c>
      <c r="Y34" s="137">
        <f t="shared" si="64"/>
        <v>12</v>
      </c>
      <c r="Z34" s="137">
        <f t="shared" si="64"/>
        <v>12</v>
      </c>
      <c r="AA34" s="137">
        <f t="shared" si="64"/>
        <v>12</v>
      </c>
      <c r="AB34" s="137">
        <f t="shared" si="64"/>
        <v>12</v>
      </c>
      <c r="AC34" s="137">
        <f t="shared" si="64"/>
        <v>12</v>
      </c>
      <c r="AD34" s="137">
        <f t="shared" si="64"/>
        <v>12</v>
      </c>
      <c r="AE34" s="137">
        <f t="shared" si="64"/>
        <v>12</v>
      </c>
      <c r="AF34" s="137">
        <f t="shared" si="64"/>
        <v>12</v>
      </c>
      <c r="AG34" s="137">
        <f t="shared" si="64"/>
        <v>12</v>
      </c>
      <c r="AH34" s="175">
        <f t="shared" si="64"/>
        <v>12</v>
      </c>
      <c r="AI34" s="137">
        <f t="shared" si="64"/>
        <v>12</v>
      </c>
      <c r="AJ34" s="137">
        <f t="shared" si="64"/>
        <v>12</v>
      </c>
      <c r="AK34" s="137">
        <v>0.0</v>
      </c>
      <c r="AL34" s="137">
        <v>0.0</v>
      </c>
      <c r="AM34" s="137">
        <f t="shared" ref="AM34:AR34" si="65">12*1</f>
        <v>12</v>
      </c>
      <c r="AN34" s="137">
        <f t="shared" si="65"/>
        <v>12</v>
      </c>
      <c r="AO34" s="137">
        <f t="shared" si="65"/>
        <v>12</v>
      </c>
      <c r="AP34" s="137">
        <f t="shared" si="65"/>
        <v>12</v>
      </c>
      <c r="AQ34" s="137">
        <f t="shared" si="65"/>
        <v>12</v>
      </c>
      <c r="AR34" s="137">
        <f t="shared" si="65"/>
        <v>12</v>
      </c>
      <c r="AS34" s="137">
        <v>50.0</v>
      </c>
      <c r="AT34" s="137">
        <f t="shared" ref="AT34:BK34" si="66">12*1</f>
        <v>12</v>
      </c>
      <c r="AU34" s="137">
        <f t="shared" si="66"/>
        <v>12</v>
      </c>
      <c r="AV34" s="137">
        <f t="shared" si="66"/>
        <v>12</v>
      </c>
      <c r="AW34" s="137">
        <f t="shared" si="66"/>
        <v>12</v>
      </c>
      <c r="AX34" s="137">
        <f t="shared" si="66"/>
        <v>12</v>
      </c>
      <c r="AY34" s="137">
        <f t="shared" si="66"/>
        <v>12</v>
      </c>
      <c r="AZ34" s="137">
        <f t="shared" si="66"/>
        <v>12</v>
      </c>
      <c r="BA34" s="137">
        <f t="shared" si="66"/>
        <v>12</v>
      </c>
      <c r="BB34" s="137">
        <f t="shared" si="66"/>
        <v>12</v>
      </c>
      <c r="BC34" s="137">
        <f t="shared" si="66"/>
        <v>12</v>
      </c>
      <c r="BD34" s="137">
        <f t="shared" si="66"/>
        <v>12</v>
      </c>
      <c r="BE34" s="137">
        <f t="shared" si="66"/>
        <v>12</v>
      </c>
      <c r="BF34" s="137">
        <f t="shared" si="66"/>
        <v>12</v>
      </c>
      <c r="BG34" s="137">
        <f t="shared" si="66"/>
        <v>12</v>
      </c>
      <c r="BH34" s="137">
        <f t="shared" si="66"/>
        <v>12</v>
      </c>
      <c r="BI34" s="137">
        <f t="shared" si="66"/>
        <v>12</v>
      </c>
      <c r="BJ34" s="137">
        <f t="shared" si="66"/>
        <v>12</v>
      </c>
      <c r="BK34" s="137">
        <f t="shared" si="66"/>
        <v>12</v>
      </c>
    </row>
    <row r="35">
      <c r="A35" s="149"/>
      <c r="B35" s="144" t="s">
        <v>29</v>
      </c>
      <c r="C35" s="137"/>
      <c r="D35" s="137"/>
      <c r="E35" s="137"/>
      <c r="F35" s="137"/>
      <c r="G35" s="137"/>
      <c r="H35" s="137"/>
      <c r="I35" s="137">
        <v>100.0</v>
      </c>
      <c r="J35" s="137">
        <v>60.0</v>
      </c>
      <c r="K35" s="137">
        <v>250.0</v>
      </c>
      <c r="L35" s="137">
        <v>0.0</v>
      </c>
      <c r="M35" s="137">
        <v>50.0</v>
      </c>
      <c r="N35" s="137">
        <v>0.0</v>
      </c>
      <c r="O35" s="137">
        <v>100.0</v>
      </c>
      <c r="P35" s="137">
        <v>0.0</v>
      </c>
      <c r="Q35" s="137">
        <v>0.0</v>
      </c>
      <c r="R35" s="137">
        <v>0.0</v>
      </c>
      <c r="S35" s="137">
        <v>0.0</v>
      </c>
      <c r="T35" s="137">
        <v>300.0</v>
      </c>
      <c r="U35" s="137">
        <v>100.0</v>
      </c>
      <c r="V35" s="137">
        <v>100.0</v>
      </c>
      <c r="W35" s="137">
        <v>100.0</v>
      </c>
      <c r="X35" s="137">
        <v>100.0</v>
      </c>
      <c r="Y35" s="137">
        <v>100.0</v>
      </c>
      <c r="Z35" s="137">
        <v>100.0</v>
      </c>
      <c r="AA35" s="137">
        <v>100.0</v>
      </c>
      <c r="AB35" s="137">
        <v>100.0</v>
      </c>
      <c r="AC35" s="137">
        <v>100.0</v>
      </c>
      <c r="AD35" s="137">
        <v>100.0</v>
      </c>
      <c r="AE35" s="137">
        <v>100.0</v>
      </c>
      <c r="AF35" s="137">
        <v>100.0</v>
      </c>
      <c r="AG35" s="137">
        <v>100.0</v>
      </c>
      <c r="AH35" s="175">
        <v>100.0</v>
      </c>
      <c r="AI35" s="137">
        <v>100.0</v>
      </c>
      <c r="AJ35" s="137">
        <v>100.0</v>
      </c>
      <c r="AK35" s="137">
        <v>100.0</v>
      </c>
      <c r="AL35" s="137">
        <v>300.0</v>
      </c>
      <c r="AM35" s="137">
        <v>300.0</v>
      </c>
      <c r="AN35" s="137">
        <v>300.0</v>
      </c>
      <c r="AO35" s="137">
        <v>300.0</v>
      </c>
      <c r="AP35" s="137">
        <v>300.0</v>
      </c>
      <c r="AQ35" s="137">
        <v>300.0</v>
      </c>
      <c r="AR35" s="137">
        <v>300.0</v>
      </c>
      <c r="AS35" s="137">
        <v>300.0</v>
      </c>
      <c r="AT35" s="137">
        <v>300.0</v>
      </c>
      <c r="AU35" s="137">
        <v>300.0</v>
      </c>
      <c r="AV35" s="137">
        <v>300.0</v>
      </c>
      <c r="AW35" s="137">
        <v>300.0</v>
      </c>
      <c r="AX35" s="137">
        <v>300.0</v>
      </c>
      <c r="AY35" s="137">
        <v>300.0</v>
      </c>
      <c r="AZ35" s="137">
        <v>300.0</v>
      </c>
      <c r="BA35" s="137">
        <v>300.0</v>
      </c>
      <c r="BB35" s="137">
        <v>300.0</v>
      </c>
      <c r="BC35" s="202">
        <f>sum(300,2000)</f>
        <v>2300</v>
      </c>
      <c r="BD35" s="137">
        <v>300.0</v>
      </c>
      <c r="BE35" s="137">
        <v>300.0</v>
      </c>
      <c r="BF35" s="137">
        <v>300.0</v>
      </c>
      <c r="BG35" s="137">
        <v>300.0</v>
      </c>
      <c r="BH35" s="137">
        <v>300.0</v>
      </c>
      <c r="BI35" s="137">
        <v>300.0</v>
      </c>
      <c r="BJ35" s="137">
        <v>300.0</v>
      </c>
      <c r="BK35" s="137">
        <v>300.0</v>
      </c>
    </row>
    <row r="36">
      <c r="A36" s="206" t="s">
        <v>228</v>
      </c>
      <c r="B36" s="144" t="s">
        <v>229</v>
      </c>
      <c r="C36" s="137">
        <v>0.0</v>
      </c>
      <c r="D36" s="137">
        <v>0.0</v>
      </c>
      <c r="E36" s="137">
        <v>0.0</v>
      </c>
      <c r="F36" s="137">
        <v>0.0</v>
      </c>
      <c r="G36" s="137">
        <v>0.0</v>
      </c>
      <c r="H36" s="175">
        <v>0.0</v>
      </c>
      <c r="I36" s="137">
        <v>25.0</v>
      </c>
      <c r="J36" s="137">
        <v>0.0</v>
      </c>
      <c r="K36" s="137">
        <v>0.0</v>
      </c>
      <c r="L36" s="137">
        <v>0.0</v>
      </c>
      <c r="M36" s="137">
        <v>0.0</v>
      </c>
      <c r="N36" s="137">
        <v>0.0</v>
      </c>
      <c r="O36" s="137">
        <v>0.0</v>
      </c>
      <c r="P36" s="137">
        <v>0.0</v>
      </c>
      <c r="Q36" s="137">
        <v>0.0</v>
      </c>
      <c r="R36" s="137">
        <v>0.0</v>
      </c>
      <c r="S36" s="137">
        <v>0.0</v>
      </c>
      <c r="T36" s="137">
        <v>0.0</v>
      </c>
      <c r="U36" s="137">
        <v>0.0</v>
      </c>
      <c r="V36" s="137">
        <v>0.0</v>
      </c>
      <c r="W36" s="137">
        <v>0.0</v>
      </c>
      <c r="X36" s="137">
        <v>0.0</v>
      </c>
      <c r="Y36" s="137">
        <v>0.0</v>
      </c>
      <c r="Z36" s="137">
        <v>0.0</v>
      </c>
      <c r="AA36" s="137">
        <v>0.0</v>
      </c>
      <c r="AB36" s="137">
        <v>0.0</v>
      </c>
      <c r="AC36" s="137">
        <v>0.0</v>
      </c>
      <c r="AD36" s="137">
        <v>0.0</v>
      </c>
      <c r="AE36" s="137">
        <v>0.0</v>
      </c>
      <c r="AF36" s="137">
        <v>0.0</v>
      </c>
      <c r="AG36" s="137">
        <v>0.0</v>
      </c>
      <c r="AH36" s="175">
        <v>0.0</v>
      </c>
      <c r="AI36" s="137">
        <v>0.0</v>
      </c>
      <c r="AJ36" s="137">
        <v>0.0</v>
      </c>
      <c r="AK36" s="137">
        <v>0.0</v>
      </c>
      <c r="AL36" s="137">
        <v>0.0</v>
      </c>
      <c r="AM36" s="137">
        <v>0.0</v>
      </c>
      <c r="AN36" s="137">
        <v>0.0</v>
      </c>
      <c r="AO36" s="137">
        <v>0.0</v>
      </c>
      <c r="AP36" s="137">
        <v>0.0</v>
      </c>
      <c r="AQ36" s="137">
        <v>0.0</v>
      </c>
      <c r="AR36" s="137">
        <v>0.0</v>
      </c>
      <c r="AS36" s="137">
        <v>0.0</v>
      </c>
      <c r="AT36" s="137">
        <v>0.0</v>
      </c>
      <c r="AU36" s="137">
        <v>0.0</v>
      </c>
      <c r="AV36" s="137">
        <v>0.0</v>
      </c>
      <c r="AW36" s="137">
        <v>0.0</v>
      </c>
      <c r="AX36" s="137">
        <v>0.0</v>
      </c>
      <c r="AY36" s="137">
        <v>0.0</v>
      </c>
      <c r="AZ36" s="137">
        <v>0.0</v>
      </c>
      <c r="BA36" s="137">
        <v>0.0</v>
      </c>
      <c r="BB36" s="137">
        <v>0.0</v>
      </c>
      <c r="BC36" s="194">
        <v>0.0</v>
      </c>
      <c r="BD36" s="137">
        <v>0.0</v>
      </c>
      <c r="BE36" s="137">
        <v>0.0</v>
      </c>
      <c r="BF36" s="137">
        <v>0.0</v>
      </c>
      <c r="BG36" s="137">
        <v>0.0</v>
      </c>
      <c r="BH36" s="137">
        <v>0.0</v>
      </c>
      <c r="BI36" s="137">
        <v>0.0</v>
      </c>
      <c r="BJ36" s="137">
        <v>0.0</v>
      </c>
      <c r="BK36" s="137">
        <v>0.0</v>
      </c>
    </row>
    <row r="37">
      <c r="A37" s="199"/>
      <c r="B37" s="144" t="s">
        <v>30</v>
      </c>
      <c r="C37" s="137"/>
      <c r="D37" s="137"/>
      <c r="E37" s="137"/>
      <c r="F37" s="137"/>
      <c r="G37" s="137"/>
      <c r="H37" s="175"/>
      <c r="I37" s="137"/>
      <c r="J37" s="137">
        <v>0.0</v>
      </c>
      <c r="K37" s="137">
        <v>0.0</v>
      </c>
      <c r="L37" s="137">
        <v>0.0</v>
      </c>
      <c r="M37" s="137">
        <v>0.0</v>
      </c>
      <c r="N37" s="137">
        <v>0.0</v>
      </c>
      <c r="O37" s="137">
        <v>0.0</v>
      </c>
      <c r="P37" s="137">
        <v>0.0</v>
      </c>
      <c r="Q37" s="137">
        <v>0.0</v>
      </c>
      <c r="R37" s="137">
        <v>0.0</v>
      </c>
      <c r="S37" s="137">
        <v>0.0</v>
      </c>
      <c r="T37" s="137">
        <v>0.0</v>
      </c>
      <c r="U37" s="192">
        <v>0.0</v>
      </c>
      <c r="V37" s="194">
        <f>490</f>
        <v>490</v>
      </c>
      <c r="W37" s="137">
        <v>0.0</v>
      </c>
      <c r="X37" s="137">
        <v>0.0</v>
      </c>
      <c r="Y37" s="137">
        <v>0.0</v>
      </c>
      <c r="Z37" s="137">
        <v>0.0</v>
      </c>
      <c r="AA37" s="137">
        <v>0.0</v>
      </c>
      <c r="AB37" s="137">
        <v>0.0</v>
      </c>
      <c r="AC37" s="137">
        <v>0.0</v>
      </c>
      <c r="AD37" s="137">
        <v>0.0</v>
      </c>
      <c r="AE37" s="137">
        <v>0.0</v>
      </c>
      <c r="AF37" s="137">
        <v>0.0</v>
      </c>
      <c r="AG37" s="137">
        <v>0.0</v>
      </c>
      <c r="AH37" s="175">
        <v>0.0</v>
      </c>
      <c r="AI37" s="137">
        <v>0.0</v>
      </c>
      <c r="AJ37" s="137">
        <v>0.0</v>
      </c>
      <c r="AK37" s="137">
        <v>250.0</v>
      </c>
      <c r="AL37" s="137">
        <v>0.0</v>
      </c>
      <c r="AM37" s="137">
        <v>0.0</v>
      </c>
      <c r="AN37" s="137">
        <v>0.0</v>
      </c>
      <c r="AO37" s="137">
        <v>0.0</v>
      </c>
      <c r="AP37" s="137">
        <v>0.0</v>
      </c>
      <c r="AQ37" s="137">
        <v>0.0</v>
      </c>
      <c r="AR37" s="137">
        <v>0.0</v>
      </c>
      <c r="AS37" s="137">
        <v>0.0</v>
      </c>
      <c r="AT37" s="137">
        <v>0.0</v>
      </c>
      <c r="AU37" s="137">
        <v>0.0</v>
      </c>
      <c r="AV37" s="137">
        <v>0.0</v>
      </c>
      <c r="AW37" s="137">
        <v>0.0</v>
      </c>
      <c r="AX37" s="137">
        <v>0.0</v>
      </c>
      <c r="AY37" s="137">
        <v>0.0</v>
      </c>
      <c r="AZ37" s="137">
        <v>0.0</v>
      </c>
      <c r="BA37" s="137">
        <v>0.0</v>
      </c>
      <c r="BB37" s="137">
        <v>0.0</v>
      </c>
      <c r="BC37" s="137">
        <v>0.0</v>
      </c>
      <c r="BD37" s="137">
        <v>0.0</v>
      </c>
      <c r="BE37" s="137">
        <v>0.0</v>
      </c>
      <c r="BF37" s="137">
        <v>0.0</v>
      </c>
      <c r="BG37" s="137">
        <v>0.0</v>
      </c>
      <c r="BH37" s="137">
        <v>0.0</v>
      </c>
      <c r="BI37" s="137">
        <v>0.0</v>
      </c>
      <c r="BJ37" s="137">
        <v>0.0</v>
      </c>
      <c r="BK37" s="137">
        <v>0.0</v>
      </c>
    </row>
    <row r="38">
      <c r="A38" s="149"/>
      <c r="B38" s="144" t="s">
        <v>230</v>
      </c>
      <c r="C38" s="137"/>
      <c r="D38" s="137"/>
      <c r="E38" s="137"/>
      <c r="F38" s="137"/>
      <c r="G38" s="137"/>
      <c r="H38" s="137"/>
      <c r="I38" s="137">
        <v>100.0</v>
      </c>
      <c r="J38" s="137">
        <f>60+20+350</f>
        <v>430</v>
      </c>
      <c r="K38" s="137">
        <v>50.0</v>
      </c>
      <c r="L38" s="137">
        <v>60.0</v>
      </c>
      <c r="M38" s="137">
        <v>60.0</v>
      </c>
      <c r="N38" s="137">
        <v>95.0</v>
      </c>
      <c r="O38" s="137">
        <v>100.0</v>
      </c>
      <c r="P38" s="137">
        <v>100.0</v>
      </c>
      <c r="Q38" s="137">
        <v>60.0</v>
      </c>
      <c r="R38" s="137">
        <v>0.0</v>
      </c>
      <c r="S38" s="137">
        <v>0.0</v>
      </c>
      <c r="T38" s="137">
        <v>100.0</v>
      </c>
      <c r="U38" s="137">
        <v>50.0</v>
      </c>
      <c r="V38" s="137">
        <v>100.0</v>
      </c>
      <c r="W38" s="137">
        <v>100.0</v>
      </c>
      <c r="X38" s="137">
        <v>100.0</v>
      </c>
      <c r="Y38" s="137">
        <v>100.0</v>
      </c>
      <c r="Z38" s="137">
        <v>100.0</v>
      </c>
      <c r="AA38" s="137">
        <v>100.0</v>
      </c>
      <c r="AB38" s="137">
        <v>100.0</v>
      </c>
      <c r="AC38" s="137">
        <v>100.0</v>
      </c>
      <c r="AD38" s="137">
        <v>100.0</v>
      </c>
      <c r="AE38" s="137">
        <v>100.0</v>
      </c>
      <c r="AF38" s="137">
        <v>100.0</v>
      </c>
      <c r="AG38" s="137">
        <v>100.0</v>
      </c>
      <c r="AH38" s="175">
        <v>100.0</v>
      </c>
      <c r="AI38" s="137">
        <v>100.0</v>
      </c>
      <c r="AJ38" s="137">
        <v>100.0</v>
      </c>
      <c r="AK38" s="137">
        <v>100.0</v>
      </c>
      <c r="AL38" s="137">
        <v>100.0</v>
      </c>
      <c r="AM38" s="137">
        <v>100.0</v>
      </c>
      <c r="AN38" s="137">
        <v>100.0</v>
      </c>
      <c r="AO38" s="137">
        <v>100.0</v>
      </c>
      <c r="AP38" s="137">
        <v>100.0</v>
      </c>
      <c r="AQ38" s="137">
        <v>100.0</v>
      </c>
      <c r="AR38" s="137">
        <v>100.0</v>
      </c>
      <c r="AS38" s="137">
        <v>100.0</v>
      </c>
      <c r="AT38" s="137">
        <v>100.0</v>
      </c>
      <c r="AU38" s="137">
        <v>100.0</v>
      </c>
      <c r="AV38" s="137">
        <v>100.0</v>
      </c>
      <c r="AW38" s="137">
        <v>100.0</v>
      </c>
      <c r="AX38" s="137">
        <v>100.0</v>
      </c>
      <c r="AY38" s="137">
        <v>100.0</v>
      </c>
      <c r="AZ38" s="137">
        <v>100.0</v>
      </c>
      <c r="BA38" s="137">
        <v>100.0</v>
      </c>
      <c r="BB38" s="137">
        <v>100.0</v>
      </c>
      <c r="BC38" s="137">
        <v>100.0</v>
      </c>
      <c r="BD38" s="137">
        <v>100.0</v>
      </c>
      <c r="BE38" s="137">
        <v>100.0</v>
      </c>
      <c r="BF38" s="137">
        <v>100.0</v>
      </c>
      <c r="BG38" s="137">
        <v>100.0</v>
      </c>
      <c r="BH38" s="137">
        <v>100.0</v>
      </c>
      <c r="BI38" s="137">
        <v>100.0</v>
      </c>
      <c r="BJ38" s="137">
        <v>100.0</v>
      </c>
      <c r="BK38" s="137">
        <v>100.0</v>
      </c>
    </row>
    <row r="39">
      <c r="A39" s="199"/>
      <c r="B39" s="144" t="s">
        <v>231</v>
      </c>
      <c r="C39" s="137">
        <v>0.0</v>
      </c>
      <c r="D39" s="137">
        <v>0.0</v>
      </c>
      <c r="E39" s="137">
        <v>0.0</v>
      </c>
      <c r="F39" s="137">
        <v>0.0</v>
      </c>
      <c r="G39" s="137">
        <v>0.0</v>
      </c>
      <c r="H39" s="175">
        <v>0.0</v>
      </c>
      <c r="I39" s="137">
        <v>0.0</v>
      </c>
      <c r="J39" s="137">
        <v>0.0</v>
      </c>
      <c r="K39" s="137">
        <v>0.0</v>
      </c>
      <c r="L39" s="137">
        <v>0.0</v>
      </c>
      <c r="M39" s="137">
        <v>0.0</v>
      </c>
      <c r="N39" s="137">
        <v>0.0</v>
      </c>
      <c r="O39" s="137">
        <v>0.0</v>
      </c>
      <c r="P39" s="137">
        <v>0.0</v>
      </c>
      <c r="Q39" s="137">
        <v>0.0</v>
      </c>
      <c r="R39" s="137">
        <v>0.0</v>
      </c>
      <c r="S39" s="137">
        <v>0.0</v>
      </c>
      <c r="T39" s="137">
        <v>0.0</v>
      </c>
      <c r="U39" s="137">
        <v>0.0</v>
      </c>
      <c r="V39" s="137">
        <v>0.0</v>
      </c>
      <c r="W39" s="137">
        <v>0.0</v>
      </c>
      <c r="X39" s="137">
        <v>0.0</v>
      </c>
      <c r="Y39" s="137">
        <v>0.0</v>
      </c>
      <c r="Z39" s="137">
        <v>0.0</v>
      </c>
      <c r="AA39" s="137">
        <v>0.0</v>
      </c>
      <c r="AB39" s="137">
        <v>0.0</v>
      </c>
      <c r="AC39" s="137">
        <v>0.0</v>
      </c>
      <c r="AD39" s="137">
        <v>0.0</v>
      </c>
      <c r="AE39" s="137">
        <v>0.0</v>
      </c>
      <c r="AF39" s="137">
        <v>0.0</v>
      </c>
      <c r="AG39" s="137">
        <v>0.0</v>
      </c>
      <c r="AH39" s="175">
        <v>100.0</v>
      </c>
      <c r="AI39" s="137">
        <v>300.0</v>
      </c>
      <c r="AJ39" s="137">
        <v>100.0</v>
      </c>
      <c r="AK39" s="137">
        <v>175.0</v>
      </c>
      <c r="AL39" s="137">
        <v>175.0</v>
      </c>
      <c r="AM39" s="137">
        <v>175.0</v>
      </c>
      <c r="AN39" s="137">
        <v>175.0</v>
      </c>
      <c r="AO39" s="137">
        <v>175.0</v>
      </c>
      <c r="AP39" s="137">
        <v>175.0</v>
      </c>
      <c r="AQ39" s="137">
        <v>175.0</v>
      </c>
      <c r="AR39" s="137">
        <v>175.0</v>
      </c>
      <c r="AS39" s="137">
        <v>175.0</v>
      </c>
      <c r="AT39" s="137">
        <v>175.0</v>
      </c>
      <c r="AU39" s="137">
        <v>175.0</v>
      </c>
      <c r="AV39" s="137">
        <v>175.0</v>
      </c>
      <c r="AW39" s="137">
        <v>175.0</v>
      </c>
      <c r="AX39" s="137">
        <v>175.0</v>
      </c>
      <c r="AY39" s="137">
        <v>175.0</v>
      </c>
      <c r="AZ39" s="137">
        <v>175.0</v>
      </c>
      <c r="BA39" s="137">
        <v>175.0</v>
      </c>
      <c r="BB39" s="137">
        <v>175.0</v>
      </c>
      <c r="BC39" s="137">
        <v>175.0</v>
      </c>
      <c r="BD39" s="137">
        <v>175.0</v>
      </c>
      <c r="BE39" s="137">
        <v>175.0</v>
      </c>
      <c r="BF39" s="137">
        <v>175.0</v>
      </c>
      <c r="BG39" s="137">
        <v>175.0</v>
      </c>
      <c r="BH39" s="137">
        <v>175.0</v>
      </c>
      <c r="BI39" s="137">
        <v>175.0</v>
      </c>
      <c r="BJ39" s="137">
        <v>175.0</v>
      </c>
      <c r="BK39" s="137">
        <v>175.0</v>
      </c>
    </row>
    <row r="40">
      <c r="A40" s="188" t="s">
        <v>232</v>
      </c>
      <c r="B40" s="144" t="s">
        <v>233</v>
      </c>
      <c r="C40" s="137"/>
      <c r="D40" s="137"/>
      <c r="E40" s="137">
        <v>50.0</v>
      </c>
      <c r="F40" s="137">
        <v>50.0</v>
      </c>
      <c r="G40" s="137">
        <v>50.0</v>
      </c>
      <c r="H40" s="137">
        <v>50.0</v>
      </c>
      <c r="I40" s="137">
        <v>100.0</v>
      </c>
      <c r="J40" s="137">
        <f>30+40</f>
        <v>70</v>
      </c>
      <c r="K40" s="137">
        <v>0.0</v>
      </c>
      <c r="L40" s="137">
        <v>50.0</v>
      </c>
      <c r="M40" s="137">
        <v>50.0</v>
      </c>
      <c r="N40" s="137">
        <v>20.0</v>
      </c>
      <c r="O40" s="137">
        <v>0.0</v>
      </c>
      <c r="P40" s="137">
        <v>50.0</v>
      </c>
      <c r="Q40" s="137">
        <v>30.0</v>
      </c>
      <c r="R40" s="137">
        <f>15+35</f>
        <v>50</v>
      </c>
      <c r="S40" s="137">
        <v>10.0</v>
      </c>
      <c r="T40" s="137">
        <v>40.0</v>
      </c>
      <c r="U40" s="137">
        <v>30.0</v>
      </c>
      <c r="V40" s="137">
        <f>sum(30,100)</f>
        <v>130</v>
      </c>
      <c r="W40" s="137">
        <v>30.0</v>
      </c>
      <c r="X40" s="137">
        <v>30.0</v>
      </c>
      <c r="Y40" s="137">
        <v>30.0</v>
      </c>
      <c r="Z40" s="137">
        <v>10.0</v>
      </c>
      <c r="AA40" s="137">
        <v>10.0</v>
      </c>
      <c r="AB40" s="137">
        <v>10.0</v>
      </c>
      <c r="AC40" s="137">
        <v>10.0</v>
      </c>
      <c r="AD40" s="137">
        <v>10.0</v>
      </c>
      <c r="AE40" s="137">
        <v>10.0</v>
      </c>
      <c r="AF40" s="137">
        <v>10.0</v>
      </c>
      <c r="AG40" s="137">
        <v>10.0</v>
      </c>
      <c r="AH40" s="175">
        <v>10.0</v>
      </c>
      <c r="AI40" s="137">
        <v>10.0</v>
      </c>
      <c r="AJ40" s="137">
        <v>10.0</v>
      </c>
      <c r="AK40" s="137">
        <v>10.0</v>
      </c>
      <c r="AL40" s="137">
        <v>10.0</v>
      </c>
      <c r="AM40" s="137">
        <v>10.0</v>
      </c>
      <c r="AN40" s="137">
        <v>10.0</v>
      </c>
      <c r="AO40" s="137">
        <v>10.0</v>
      </c>
      <c r="AP40" s="137">
        <v>10.0</v>
      </c>
      <c r="AQ40" s="137">
        <v>10.0</v>
      </c>
      <c r="AR40" s="137">
        <v>10.0</v>
      </c>
      <c r="AS40" s="137">
        <v>0.0</v>
      </c>
      <c r="AT40" s="137">
        <v>10.0</v>
      </c>
      <c r="AU40" s="137">
        <v>10.0</v>
      </c>
      <c r="AV40" s="137">
        <v>10.0</v>
      </c>
      <c r="AW40" s="137">
        <v>30.0</v>
      </c>
      <c r="AX40" s="137">
        <v>30.0</v>
      </c>
      <c r="AY40" s="137">
        <v>30.0</v>
      </c>
      <c r="AZ40" s="137">
        <v>30.0</v>
      </c>
      <c r="BA40" s="137">
        <v>30.0</v>
      </c>
      <c r="BB40" s="137">
        <v>30.0</v>
      </c>
      <c r="BC40" s="137">
        <v>30.0</v>
      </c>
      <c r="BD40" s="137">
        <v>30.0</v>
      </c>
      <c r="BE40" s="137">
        <v>30.0</v>
      </c>
      <c r="BF40" s="137">
        <v>30.0</v>
      </c>
      <c r="BG40" s="137">
        <v>30.0</v>
      </c>
      <c r="BH40" s="137">
        <v>30.0</v>
      </c>
      <c r="BI40" s="137">
        <v>30.0</v>
      </c>
      <c r="BJ40" s="137">
        <v>30.0</v>
      </c>
      <c r="BK40" s="137">
        <v>30.0</v>
      </c>
    </row>
    <row r="41">
      <c r="A41" s="199"/>
      <c r="B41" s="144" t="s">
        <v>234</v>
      </c>
      <c r="C41" s="137"/>
      <c r="D41" s="137"/>
      <c r="E41" s="137"/>
      <c r="F41" s="137"/>
      <c r="G41" s="137"/>
      <c r="H41" s="175"/>
      <c r="I41" s="137"/>
      <c r="J41" s="137"/>
      <c r="K41" s="137">
        <v>0.0</v>
      </c>
      <c r="L41" s="137">
        <v>0.0</v>
      </c>
      <c r="M41" s="137">
        <v>0.0</v>
      </c>
      <c r="N41" s="194">
        <v>250.0</v>
      </c>
      <c r="O41" s="137">
        <v>0.0</v>
      </c>
      <c r="P41" s="194">
        <v>200.0</v>
      </c>
      <c r="Q41" s="189">
        <v>0.0</v>
      </c>
      <c r="R41" s="137">
        <v>0.0</v>
      </c>
      <c r="S41" s="193">
        <f>0</f>
        <v>0</v>
      </c>
      <c r="T41" s="193">
        <f>840+450</f>
        <v>1290</v>
      </c>
      <c r="U41" s="137">
        <v>0.0</v>
      </c>
      <c r="V41" s="137">
        <v>0.0</v>
      </c>
      <c r="W41" s="137">
        <v>0.0</v>
      </c>
      <c r="X41" s="137">
        <v>0.0</v>
      </c>
      <c r="Y41" s="137">
        <v>0.0</v>
      </c>
      <c r="Z41" s="137">
        <v>0.0</v>
      </c>
      <c r="AA41" s="137">
        <v>0.0</v>
      </c>
      <c r="AB41" s="137">
        <v>0.0</v>
      </c>
      <c r="AC41" s="137">
        <v>0.0</v>
      </c>
      <c r="AD41" s="137">
        <v>0.0</v>
      </c>
      <c r="AE41" s="137">
        <v>0.0</v>
      </c>
      <c r="AF41" s="137">
        <v>0.0</v>
      </c>
      <c r="AG41" s="137">
        <v>0.0</v>
      </c>
      <c r="AH41" s="175">
        <v>0.0</v>
      </c>
      <c r="AI41" s="137">
        <v>0.0</v>
      </c>
      <c r="AJ41" s="137">
        <v>0.0</v>
      </c>
      <c r="AK41" s="137">
        <v>0.0</v>
      </c>
      <c r="AL41" s="137">
        <v>0.0</v>
      </c>
      <c r="AM41" s="137">
        <v>0.0</v>
      </c>
      <c r="AN41" s="137">
        <v>0.0</v>
      </c>
      <c r="AO41" s="137">
        <v>0.0</v>
      </c>
      <c r="AP41" s="137">
        <v>0.0</v>
      </c>
      <c r="AQ41" s="137">
        <v>0.0</v>
      </c>
      <c r="AR41" s="137">
        <v>0.0</v>
      </c>
      <c r="AS41" s="137">
        <v>0.0</v>
      </c>
      <c r="AT41" s="137">
        <v>0.0</v>
      </c>
      <c r="AU41" s="137">
        <v>0.0</v>
      </c>
      <c r="AV41" s="137">
        <v>0.0</v>
      </c>
      <c r="AW41" s="137">
        <v>0.0</v>
      </c>
      <c r="AX41" s="137">
        <v>0.0</v>
      </c>
      <c r="AY41" s="137">
        <v>0.0</v>
      </c>
      <c r="AZ41" s="137">
        <v>0.0</v>
      </c>
      <c r="BA41" s="137">
        <v>0.0</v>
      </c>
      <c r="BB41" s="137">
        <v>0.0</v>
      </c>
      <c r="BC41" s="137">
        <v>0.0</v>
      </c>
      <c r="BD41" s="137">
        <v>0.0</v>
      </c>
      <c r="BE41" s="137">
        <v>0.0</v>
      </c>
      <c r="BF41" s="137">
        <v>0.0</v>
      </c>
      <c r="BG41" s="137">
        <v>0.0</v>
      </c>
      <c r="BH41" s="137">
        <v>0.0</v>
      </c>
      <c r="BI41" s="137">
        <v>0.0</v>
      </c>
      <c r="BJ41" s="137">
        <v>0.0</v>
      </c>
      <c r="BK41" s="137">
        <v>0.0</v>
      </c>
    </row>
    <row r="42">
      <c r="A42" s="199"/>
      <c r="B42" s="144" t="s">
        <v>235</v>
      </c>
      <c r="C42" s="137"/>
      <c r="D42" s="137"/>
      <c r="E42" s="137"/>
      <c r="F42" s="137"/>
      <c r="G42" s="137"/>
      <c r="H42" s="175"/>
      <c r="I42" s="137"/>
      <c r="J42" s="137"/>
      <c r="K42" s="137"/>
      <c r="L42" s="137"/>
      <c r="M42" s="137"/>
      <c r="N42" s="194"/>
      <c r="O42" s="137"/>
      <c r="P42" s="194"/>
      <c r="Q42" s="189"/>
      <c r="R42" s="137"/>
      <c r="S42" s="193"/>
      <c r="T42" s="193"/>
      <c r="U42" s="137"/>
      <c r="V42" s="137"/>
      <c r="W42" s="137"/>
      <c r="X42" s="194">
        <f>272+375</f>
        <v>647</v>
      </c>
      <c r="Y42" s="137">
        <v>0.0</v>
      </c>
      <c r="Z42" s="137">
        <v>0.0</v>
      </c>
      <c r="AA42" s="137">
        <v>0.0</v>
      </c>
      <c r="AB42" s="137">
        <v>0.0</v>
      </c>
      <c r="AC42" s="137">
        <v>0.0</v>
      </c>
      <c r="AD42" s="137">
        <v>0.0</v>
      </c>
      <c r="AE42" s="137">
        <v>0.0</v>
      </c>
      <c r="AF42" s="137">
        <v>0.0</v>
      </c>
      <c r="AG42" s="137">
        <v>0.0</v>
      </c>
      <c r="AH42" s="175">
        <v>0.0</v>
      </c>
      <c r="AI42" s="137">
        <v>0.0</v>
      </c>
      <c r="AJ42" s="137">
        <v>0.0</v>
      </c>
      <c r="AK42" s="137">
        <v>0.0</v>
      </c>
      <c r="AL42" s="137">
        <v>0.0</v>
      </c>
      <c r="AM42" s="137">
        <v>0.0</v>
      </c>
      <c r="AN42" s="137">
        <v>0.0</v>
      </c>
      <c r="AO42" s="137">
        <v>0.0</v>
      </c>
      <c r="AP42" s="137">
        <v>0.0</v>
      </c>
      <c r="AQ42" s="137">
        <v>0.0</v>
      </c>
      <c r="AR42" s="137">
        <v>0.0</v>
      </c>
      <c r="AS42" s="137">
        <v>0.0</v>
      </c>
      <c r="AT42" s="137">
        <v>0.0</v>
      </c>
      <c r="AU42" s="137">
        <v>0.0</v>
      </c>
      <c r="AV42" s="137">
        <v>0.0</v>
      </c>
      <c r="AW42" s="137">
        <v>0.0</v>
      </c>
      <c r="AX42" s="137">
        <v>0.0</v>
      </c>
      <c r="AY42" s="137">
        <v>0.0</v>
      </c>
      <c r="AZ42" s="137">
        <v>0.0</v>
      </c>
      <c r="BA42" s="137">
        <v>0.0</v>
      </c>
      <c r="BB42" s="137">
        <v>0.0</v>
      </c>
      <c r="BC42" s="137">
        <v>0.0</v>
      </c>
      <c r="BD42" s="137">
        <v>0.0</v>
      </c>
      <c r="BE42" s="137">
        <v>0.0</v>
      </c>
      <c r="BF42" s="137">
        <v>0.0</v>
      </c>
      <c r="BG42" s="137">
        <v>0.0</v>
      </c>
      <c r="BH42" s="137">
        <v>0.0</v>
      </c>
      <c r="BI42" s="137">
        <v>0.0</v>
      </c>
      <c r="BJ42" s="137">
        <v>0.0</v>
      </c>
      <c r="BK42" s="137">
        <v>0.0</v>
      </c>
    </row>
    <row r="43">
      <c r="A43" s="199"/>
      <c r="B43" s="144" t="s">
        <v>31</v>
      </c>
      <c r="C43" s="137"/>
      <c r="D43" s="137"/>
      <c r="E43" s="137"/>
      <c r="F43" s="137"/>
      <c r="G43" s="137"/>
      <c r="H43" s="175"/>
      <c r="I43" s="137"/>
      <c r="J43" s="137"/>
      <c r="K43" s="137"/>
      <c r="L43" s="137"/>
      <c r="M43" s="137"/>
      <c r="N43" s="194"/>
      <c r="O43" s="137"/>
      <c r="P43" s="194"/>
      <c r="Q43" s="189"/>
      <c r="R43" s="137"/>
      <c r="S43" s="193"/>
      <c r="T43" s="194">
        <v>0.0</v>
      </c>
      <c r="U43" s="192">
        <v>0.0</v>
      </c>
      <c r="V43" s="137">
        <v>0.0</v>
      </c>
      <c r="W43" s="137">
        <v>0.0</v>
      </c>
      <c r="X43" s="194">
        <f>sum(700/2,50,500)</f>
        <v>900</v>
      </c>
      <c r="Y43" s="137">
        <v>0.0</v>
      </c>
      <c r="Z43" s="137">
        <v>0.0</v>
      </c>
      <c r="AA43" s="137">
        <v>0.0</v>
      </c>
      <c r="AB43" s="137">
        <v>0.0</v>
      </c>
      <c r="AC43" s="137">
        <v>0.0</v>
      </c>
      <c r="AD43" s="137">
        <v>0.0</v>
      </c>
      <c r="AE43" s="137">
        <v>0.0</v>
      </c>
      <c r="AF43" s="137">
        <v>0.0</v>
      </c>
      <c r="AG43" s="137">
        <v>0.0</v>
      </c>
      <c r="AH43" s="175">
        <v>0.0</v>
      </c>
      <c r="AI43" s="137">
        <v>0.0</v>
      </c>
      <c r="AJ43" s="137">
        <v>0.0</v>
      </c>
      <c r="AK43" s="137">
        <v>0.0</v>
      </c>
      <c r="AL43" s="137">
        <v>1500.0</v>
      </c>
      <c r="AM43" s="137">
        <v>0.0</v>
      </c>
      <c r="AN43" s="137">
        <v>0.0</v>
      </c>
      <c r="AO43" s="137">
        <v>0.0</v>
      </c>
      <c r="AP43" s="137">
        <v>0.0</v>
      </c>
      <c r="AQ43" s="137">
        <v>0.0</v>
      </c>
      <c r="AR43" s="137">
        <v>0.0</v>
      </c>
      <c r="AS43" s="137">
        <v>0.0</v>
      </c>
      <c r="AT43" s="137">
        <v>0.0</v>
      </c>
      <c r="AU43" s="137">
        <v>0.0</v>
      </c>
      <c r="AV43" s="137">
        <v>0.0</v>
      </c>
      <c r="AW43" s="137">
        <v>0.0</v>
      </c>
      <c r="AX43" s="194">
        <v>500.0</v>
      </c>
      <c r="AY43" s="137">
        <v>0.0</v>
      </c>
      <c r="AZ43" s="137">
        <v>0.0</v>
      </c>
      <c r="BA43" s="137">
        <v>0.0</v>
      </c>
      <c r="BB43" s="137">
        <v>0.0</v>
      </c>
      <c r="BC43" s="137">
        <v>0.0</v>
      </c>
      <c r="BD43" s="137">
        <v>0.0</v>
      </c>
      <c r="BE43" s="137">
        <v>0.0</v>
      </c>
      <c r="BF43" s="137">
        <v>0.0</v>
      </c>
      <c r="BG43" s="137">
        <v>0.0</v>
      </c>
      <c r="BH43" s="137">
        <v>0.0</v>
      </c>
      <c r="BI43" s="137">
        <v>0.0</v>
      </c>
      <c r="BJ43" s="137">
        <v>0.0</v>
      </c>
      <c r="BK43" s="137">
        <v>0.0</v>
      </c>
    </row>
    <row r="44">
      <c r="A44" s="208"/>
      <c r="B44" s="209"/>
      <c r="C44" s="168"/>
      <c r="D44" s="210"/>
      <c r="E44" s="210"/>
      <c r="F44" s="210"/>
      <c r="G44" s="210"/>
      <c r="H44" s="211"/>
      <c r="I44" s="210"/>
      <c r="J44" s="210"/>
      <c r="K44" s="210"/>
      <c r="L44" s="210"/>
      <c r="M44" s="210"/>
      <c r="N44" s="210"/>
      <c r="O44" s="210"/>
      <c r="P44" s="212">
        <f>sum(P17:P41)/P13</f>
        <v>0.4229712568</v>
      </c>
      <c r="Q44" s="212">
        <f t="shared" ref="Q44:S44" si="67">sum(Q28:Q41)/Q13</f>
        <v>0.1376688722</v>
      </c>
      <c r="R44" s="212">
        <f t="shared" si="67"/>
        <v>0.1557641757</v>
      </c>
      <c r="S44" s="212">
        <f t="shared" si="67"/>
        <v>0.04717220391</v>
      </c>
      <c r="T44" s="212">
        <f t="shared" ref="T44:BK44" si="68">sum(T28:T43)/T13</f>
        <v>0.5274487031</v>
      </c>
      <c r="U44" s="212">
        <f t="shared" si="68"/>
        <v>0.1974448316</v>
      </c>
      <c r="V44" s="212">
        <f t="shared" si="68"/>
        <v>0.4105068442</v>
      </c>
      <c r="W44" s="212">
        <f t="shared" si="68"/>
        <v>0.2327526132</v>
      </c>
      <c r="X44" s="212">
        <f t="shared" si="68"/>
        <v>0.5468060395</v>
      </c>
      <c r="Y44" s="212">
        <f t="shared" si="68"/>
        <v>0.1794733568</v>
      </c>
      <c r="Z44" s="212">
        <f t="shared" si="68"/>
        <v>0.4533363636</v>
      </c>
      <c r="AA44" s="212">
        <f t="shared" si="68"/>
        <v>0.4409573864</v>
      </c>
      <c r="AB44" s="212">
        <f t="shared" si="68"/>
        <v>0.2288636364</v>
      </c>
      <c r="AC44" s="212">
        <f t="shared" si="68"/>
        <v>0.3517090909</v>
      </c>
      <c r="AD44" s="212">
        <f t="shared" si="68"/>
        <v>0.162804878</v>
      </c>
      <c r="AE44" s="212">
        <f t="shared" si="68"/>
        <v>0.0974341661</v>
      </c>
      <c r="AF44" s="212">
        <f t="shared" si="68"/>
        <v>0.140990099</v>
      </c>
      <c r="AG44" s="212">
        <f t="shared" si="68"/>
        <v>0.1271428571</v>
      </c>
      <c r="AH44" s="213">
        <f t="shared" si="68"/>
        <v>0.1365891473</v>
      </c>
      <c r="AI44" s="212">
        <f t="shared" si="68"/>
        <v>0.2981102362</v>
      </c>
      <c r="AJ44" s="212">
        <f t="shared" si="68"/>
        <v>0.2508661417</v>
      </c>
      <c r="AK44" s="212">
        <f t="shared" si="68"/>
        <v>0.1298002663</v>
      </c>
      <c r="AL44" s="212">
        <f t="shared" si="68"/>
        <v>0.5724675325</v>
      </c>
      <c r="AM44" s="212">
        <f t="shared" si="68"/>
        <v>0.2596536797</v>
      </c>
      <c r="AN44" s="212">
        <f t="shared" si="68"/>
        <v>0.1391647332</v>
      </c>
      <c r="AO44" s="212">
        <f t="shared" si="68"/>
        <v>0.2389641434</v>
      </c>
      <c r="AP44" s="212">
        <f t="shared" si="68"/>
        <v>0.1505069124</v>
      </c>
      <c r="AQ44" s="212">
        <f t="shared" si="68"/>
        <v>0.2596536797</v>
      </c>
      <c r="AR44" s="212">
        <f t="shared" si="68"/>
        <v>0.2596536797</v>
      </c>
      <c r="AS44" s="212">
        <f t="shared" si="68"/>
        <v>0.2620779221</v>
      </c>
      <c r="AT44" s="212">
        <f t="shared" si="68"/>
        <v>0.1839752017</v>
      </c>
      <c r="AU44" s="212">
        <f t="shared" si="68"/>
        <v>0.1080720721</v>
      </c>
      <c r="AV44" s="212">
        <f t="shared" si="68"/>
        <v>0.2596536797</v>
      </c>
      <c r="AW44" s="212">
        <f t="shared" si="68"/>
        <v>0.283030303</v>
      </c>
      <c r="AX44" s="212">
        <f t="shared" si="68"/>
        <v>0.2530549214</v>
      </c>
      <c r="AY44" s="212">
        <f t="shared" si="68"/>
        <v>0.227804878</v>
      </c>
      <c r="AZ44" s="212">
        <f t="shared" si="68"/>
        <v>0.1667513612</v>
      </c>
      <c r="BA44" s="212">
        <f t="shared" si="68"/>
        <v>0.1054516129</v>
      </c>
      <c r="BB44" s="212">
        <f t="shared" si="68"/>
        <v>0.2971818182</v>
      </c>
      <c r="BC44" s="212">
        <f t="shared" si="68"/>
        <v>0.7653636364</v>
      </c>
      <c r="BD44" s="212">
        <f t="shared" si="68"/>
        <v>0.01645980707</v>
      </c>
      <c r="BE44" s="212">
        <f t="shared" si="68"/>
        <v>0.1981212121</v>
      </c>
      <c r="BF44" s="212">
        <f t="shared" si="68"/>
        <v>0.1981212121</v>
      </c>
      <c r="BG44" s="212">
        <f t="shared" si="68"/>
        <v>0.02072266244</v>
      </c>
      <c r="BH44" s="212">
        <f t="shared" si="68"/>
        <v>0.05660606061</v>
      </c>
      <c r="BI44" s="212">
        <f t="shared" si="68"/>
        <v>0.05660606061</v>
      </c>
      <c r="BJ44" s="212">
        <f t="shared" si="68"/>
        <v>0.05660606061</v>
      </c>
      <c r="BK44" s="212">
        <f t="shared" si="68"/>
        <v>0.05660606061</v>
      </c>
    </row>
    <row r="45">
      <c r="A45" s="171" t="s">
        <v>236</v>
      </c>
      <c r="B45" s="172"/>
      <c r="C45" s="137">
        <f t="shared" ref="C45:G45" si="69">sum(C17:C40)</f>
        <v>2850.475</v>
      </c>
      <c r="D45" s="137">
        <f t="shared" si="69"/>
        <v>2700.475</v>
      </c>
      <c r="E45" s="137">
        <f t="shared" si="69"/>
        <v>3250.475</v>
      </c>
      <c r="F45" s="137">
        <f t="shared" si="69"/>
        <v>3499.265</v>
      </c>
      <c r="G45" s="137">
        <f t="shared" si="69"/>
        <v>2895.475</v>
      </c>
      <c r="H45" s="175">
        <f t="shared" ref="H45:M45" si="70">sum(H23:H40)</f>
        <v>785</v>
      </c>
      <c r="I45" s="137">
        <f t="shared" si="70"/>
        <v>2273</v>
      </c>
      <c r="J45" s="137">
        <f t="shared" si="70"/>
        <v>3319</v>
      </c>
      <c r="K45" s="137">
        <f t="shared" si="70"/>
        <v>3083</v>
      </c>
      <c r="L45" s="137">
        <f t="shared" si="70"/>
        <v>3545</v>
      </c>
      <c r="M45" s="137">
        <f t="shared" si="70"/>
        <v>1923</v>
      </c>
      <c r="N45" s="137">
        <f t="shared" ref="N45:O45" si="71">sum(N23:N41)</f>
        <v>3152</v>
      </c>
      <c r="O45" s="137">
        <f t="shared" si="71"/>
        <v>2351</v>
      </c>
      <c r="P45" s="137">
        <f t="shared" ref="P45:S45" si="72">sum(P17:P41)</f>
        <v>5021.937732</v>
      </c>
      <c r="Q45" s="137">
        <f t="shared" si="72"/>
        <v>3812.781736</v>
      </c>
      <c r="R45" s="137">
        <f t="shared" si="72"/>
        <v>3794.099072</v>
      </c>
      <c r="S45" s="137">
        <f t="shared" si="72"/>
        <v>3076.949944</v>
      </c>
      <c r="T45" s="137">
        <f t="shared" ref="T45:X45" si="73">sum(T17:T43)</f>
        <v>6218.120414</v>
      </c>
      <c r="U45" s="137">
        <f t="shared" si="73"/>
        <v>1855.089818</v>
      </c>
      <c r="V45" s="137">
        <f t="shared" si="73"/>
        <v>4730.289456</v>
      </c>
      <c r="W45" s="137">
        <f t="shared" si="73"/>
        <v>3161.256756</v>
      </c>
      <c r="X45" s="137">
        <f t="shared" si="73"/>
        <v>6665.485327</v>
      </c>
      <c r="Y45" s="137">
        <f t="shared" ref="Y45:BK45" si="74">sum(Y17:Y25,Y28:Y43)</f>
        <v>5063.475</v>
      </c>
      <c r="Z45" s="137">
        <f t="shared" si="74"/>
        <v>6769.65</v>
      </c>
      <c r="AA45" s="137">
        <f t="shared" si="74"/>
        <v>6823.99</v>
      </c>
      <c r="AB45" s="137">
        <f t="shared" si="74"/>
        <v>4957.565</v>
      </c>
      <c r="AC45" s="137">
        <f t="shared" si="74"/>
        <v>6158.565</v>
      </c>
      <c r="AD45" s="137">
        <f t="shared" si="74"/>
        <v>4358.565</v>
      </c>
      <c r="AE45" s="137">
        <f t="shared" si="74"/>
        <v>4858.565</v>
      </c>
      <c r="AF45" s="137">
        <f t="shared" si="74"/>
        <v>4358.565</v>
      </c>
      <c r="AG45" s="137">
        <f t="shared" si="74"/>
        <v>4358.565</v>
      </c>
      <c r="AH45" s="175">
        <f t="shared" si="74"/>
        <v>10512.09</v>
      </c>
      <c r="AI45" s="137">
        <f t="shared" si="74"/>
        <v>5739.09</v>
      </c>
      <c r="AJ45" s="137">
        <f t="shared" si="74"/>
        <v>5539.09</v>
      </c>
      <c r="AK45" s="137">
        <f t="shared" si="74"/>
        <v>5827</v>
      </c>
      <c r="AL45" s="137">
        <f t="shared" si="74"/>
        <v>10177</v>
      </c>
      <c r="AM45" s="137">
        <f t="shared" si="74"/>
        <v>6364</v>
      </c>
      <c r="AN45" s="137">
        <f t="shared" si="74"/>
        <v>6364</v>
      </c>
      <c r="AO45" s="137">
        <f t="shared" si="74"/>
        <v>6364</v>
      </c>
      <c r="AP45" s="137">
        <f t="shared" si="74"/>
        <v>8289</v>
      </c>
      <c r="AQ45" s="137">
        <f t="shared" si="74"/>
        <v>6389</v>
      </c>
      <c r="AR45" s="137">
        <f t="shared" si="74"/>
        <v>6389</v>
      </c>
      <c r="AS45" s="137">
        <f t="shared" si="74"/>
        <v>6417</v>
      </c>
      <c r="AT45" s="137">
        <f t="shared" si="74"/>
        <v>6389</v>
      </c>
      <c r="AU45" s="137">
        <f t="shared" si="74"/>
        <v>6489</v>
      </c>
      <c r="AV45" s="137">
        <f t="shared" si="74"/>
        <v>6489</v>
      </c>
      <c r="AW45" s="137">
        <f t="shared" si="74"/>
        <v>6909</v>
      </c>
      <c r="AX45" s="137">
        <f t="shared" si="74"/>
        <v>7409</v>
      </c>
      <c r="AY45" s="137">
        <f t="shared" si="74"/>
        <v>6909</v>
      </c>
      <c r="AZ45" s="137">
        <f t="shared" si="74"/>
        <v>8234</v>
      </c>
      <c r="BA45" s="137">
        <f t="shared" si="74"/>
        <v>6909</v>
      </c>
      <c r="BB45" s="137">
        <f t="shared" si="74"/>
        <v>6909</v>
      </c>
      <c r="BC45" s="137">
        <f t="shared" si="74"/>
        <v>12059</v>
      </c>
      <c r="BD45" s="137">
        <f t="shared" si="74"/>
        <v>8759</v>
      </c>
      <c r="BE45" s="137">
        <f t="shared" si="74"/>
        <v>6909</v>
      </c>
      <c r="BF45" s="137">
        <f t="shared" si="74"/>
        <v>6909</v>
      </c>
      <c r="BG45" s="137">
        <f t="shared" si="74"/>
        <v>6909</v>
      </c>
      <c r="BH45" s="137">
        <f t="shared" si="74"/>
        <v>6909</v>
      </c>
      <c r="BI45" s="137">
        <f t="shared" si="74"/>
        <v>6909</v>
      </c>
      <c r="BJ45" s="137">
        <f t="shared" si="74"/>
        <v>6909</v>
      </c>
      <c r="BK45" s="137">
        <f t="shared" si="74"/>
        <v>6909</v>
      </c>
    </row>
    <row r="46">
      <c r="A46" s="215"/>
      <c r="B46" s="183"/>
      <c r="C46" s="183"/>
      <c r="D46" s="183"/>
      <c r="E46" s="183"/>
      <c r="F46" s="183"/>
      <c r="G46" s="183"/>
      <c r="H46" s="184"/>
      <c r="I46" s="183"/>
      <c r="J46" s="183"/>
      <c r="K46" s="183"/>
      <c r="L46" s="183"/>
      <c r="M46" s="183"/>
      <c r="N46" s="183"/>
      <c r="O46" s="183"/>
      <c r="P46" s="183"/>
      <c r="Q46" s="216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4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  <c r="BA46" s="183"/>
      <c r="BB46" s="183"/>
      <c r="BC46" s="183"/>
      <c r="BD46" s="183"/>
      <c r="BE46" s="183"/>
      <c r="BF46" s="183"/>
      <c r="BG46" s="183"/>
      <c r="BH46" s="183"/>
      <c r="BI46" s="183"/>
      <c r="BJ46" s="183"/>
      <c r="BK46" s="183"/>
    </row>
    <row r="47">
      <c r="A47" s="186" t="s">
        <v>576</v>
      </c>
      <c r="B47" s="187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4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</row>
    <row r="48">
      <c r="A48" s="135" t="s">
        <v>577</v>
      </c>
      <c r="B48" s="136"/>
      <c r="C48" s="137"/>
      <c r="D48" s="137"/>
      <c r="E48" s="137"/>
      <c r="F48" s="137"/>
      <c r="G48" s="137"/>
      <c r="H48" s="137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40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</row>
    <row r="49">
      <c r="A49" s="199"/>
      <c r="B49" s="700" t="s">
        <v>578</v>
      </c>
      <c r="C49" s="137"/>
      <c r="D49" s="137"/>
      <c r="E49" s="137"/>
      <c r="F49" s="137"/>
      <c r="G49" s="137"/>
      <c r="H49" s="137"/>
      <c r="I49" s="137"/>
      <c r="J49" s="137"/>
      <c r="K49" s="194"/>
      <c r="L49" s="194"/>
      <c r="M49" s="217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37">
        <f>X$13*0.24</f>
        <v>1549.8</v>
      </c>
      <c r="Y49" s="137">
        <f t="shared" ref="Y49:BK49" si="75">sum(Y45-Y17)</f>
        <v>3323.475</v>
      </c>
      <c r="Z49" s="137">
        <f t="shared" si="75"/>
        <v>5197.95</v>
      </c>
      <c r="AA49" s="137">
        <f t="shared" si="75"/>
        <v>5083.99</v>
      </c>
      <c r="AB49" s="137">
        <f t="shared" si="75"/>
        <v>3217.565</v>
      </c>
      <c r="AC49" s="137">
        <f t="shared" si="75"/>
        <v>4418.565</v>
      </c>
      <c r="AD49" s="137">
        <f t="shared" si="75"/>
        <v>2618.565</v>
      </c>
      <c r="AE49" s="137">
        <f t="shared" si="75"/>
        <v>3118.565</v>
      </c>
      <c r="AF49" s="137">
        <f t="shared" si="75"/>
        <v>2618.565</v>
      </c>
      <c r="AG49" s="137">
        <f t="shared" si="75"/>
        <v>2618.565</v>
      </c>
      <c r="AH49" s="175">
        <f t="shared" si="75"/>
        <v>4812.09</v>
      </c>
      <c r="AI49" s="137">
        <f t="shared" si="75"/>
        <v>3739.09</v>
      </c>
      <c r="AJ49" s="137">
        <f t="shared" si="75"/>
        <v>2839.09</v>
      </c>
      <c r="AK49" s="137">
        <f t="shared" si="75"/>
        <v>3127</v>
      </c>
      <c r="AL49" s="137">
        <f t="shared" si="75"/>
        <v>7477</v>
      </c>
      <c r="AM49" s="137">
        <f t="shared" si="75"/>
        <v>3664</v>
      </c>
      <c r="AN49" s="137">
        <f t="shared" si="75"/>
        <v>3664</v>
      </c>
      <c r="AO49" s="137">
        <f t="shared" si="75"/>
        <v>3664</v>
      </c>
      <c r="AP49" s="137">
        <f t="shared" si="75"/>
        <v>5589</v>
      </c>
      <c r="AQ49" s="137">
        <f t="shared" si="75"/>
        <v>3689</v>
      </c>
      <c r="AR49" s="137">
        <f t="shared" si="75"/>
        <v>3689</v>
      </c>
      <c r="AS49" s="137">
        <f t="shared" si="75"/>
        <v>3717</v>
      </c>
      <c r="AT49" s="137">
        <f t="shared" si="75"/>
        <v>3689</v>
      </c>
      <c r="AU49" s="137">
        <f t="shared" si="75"/>
        <v>3689</v>
      </c>
      <c r="AV49" s="137">
        <f t="shared" si="75"/>
        <v>3689</v>
      </c>
      <c r="AW49" s="137">
        <f t="shared" si="75"/>
        <v>4109</v>
      </c>
      <c r="AX49" s="137">
        <f t="shared" si="75"/>
        <v>4609</v>
      </c>
      <c r="AY49" s="137">
        <f t="shared" si="75"/>
        <v>4109</v>
      </c>
      <c r="AZ49" s="137">
        <f t="shared" si="75"/>
        <v>5434</v>
      </c>
      <c r="BA49" s="137">
        <f t="shared" si="75"/>
        <v>4109</v>
      </c>
      <c r="BB49" s="137">
        <f t="shared" si="75"/>
        <v>4109</v>
      </c>
      <c r="BC49" s="137">
        <f t="shared" si="75"/>
        <v>9259</v>
      </c>
      <c r="BD49" s="137">
        <f t="shared" si="75"/>
        <v>5959</v>
      </c>
      <c r="BE49" s="137">
        <f t="shared" si="75"/>
        <v>4109</v>
      </c>
      <c r="BF49" s="137">
        <f t="shared" si="75"/>
        <v>4109</v>
      </c>
      <c r="BG49" s="137">
        <f t="shared" si="75"/>
        <v>4109</v>
      </c>
      <c r="BH49" s="137">
        <f t="shared" si="75"/>
        <v>4109</v>
      </c>
      <c r="BI49" s="137">
        <f t="shared" si="75"/>
        <v>4109</v>
      </c>
      <c r="BJ49" s="137">
        <f t="shared" si="75"/>
        <v>4109</v>
      </c>
      <c r="BK49" s="137">
        <f t="shared" si="75"/>
        <v>4109</v>
      </c>
    </row>
    <row r="50">
      <c r="A50" s="199"/>
      <c r="B50" s="144" t="s">
        <v>239</v>
      </c>
      <c r="C50" s="137">
        <v>2500.0</v>
      </c>
      <c r="D50" s="137">
        <v>4500.0</v>
      </c>
      <c r="E50" s="137">
        <v>2800.0</v>
      </c>
      <c r="F50" s="137">
        <v>2800.0</v>
      </c>
      <c r="G50" s="137">
        <v>2000.0</v>
      </c>
      <c r="H50" s="175">
        <v>3093.0</v>
      </c>
      <c r="I50" s="137">
        <v>1600.0</v>
      </c>
      <c r="J50" s="137">
        <f>'PAYMENT SCHEDULE'!C13+'PAYMENT SCHEDULE'!C29</f>
        <v>3200</v>
      </c>
      <c r="K50" s="194">
        <f>LIABILITIES!E26</f>
        <v>1000</v>
      </c>
      <c r="L50" s="194">
        <f>LIABILITIES!E26</f>
        <v>1000</v>
      </c>
      <c r="M50" s="217" t="str">
        <f>'PAYMENT SCHEDULE'!C33</f>
        <v/>
      </c>
      <c r="N50" s="194">
        <f>N13*0.25</f>
        <v>1732.5</v>
      </c>
      <c r="O50" s="194">
        <f>O13*0.35</f>
        <v>2520</v>
      </c>
      <c r="P50" s="194">
        <v>5956.0</v>
      </c>
      <c r="Q50" s="194">
        <v>2008.0</v>
      </c>
      <c r="R50" s="194">
        <f>R13*0.4</f>
        <v>2663</v>
      </c>
      <c r="S50" s="194">
        <v>5600.0</v>
      </c>
      <c r="T50" s="194">
        <f>T13*0.25</f>
        <v>1614.375</v>
      </c>
      <c r="U50" s="194">
        <f>U13*0.4</f>
        <v>2583</v>
      </c>
      <c r="V50" s="194">
        <f>3397</f>
        <v>3397</v>
      </c>
      <c r="W50" s="194">
        <f>W13*0.3</f>
        <v>1937.25</v>
      </c>
      <c r="X50" s="137">
        <f>X$13*0.11</f>
        <v>710.325</v>
      </c>
      <c r="Y50" s="137">
        <f t="shared" ref="Y50:Z50" si="76">Y$13*0.1</f>
        <v>1205.75</v>
      </c>
      <c r="Z50" s="137">
        <f t="shared" si="76"/>
        <v>880</v>
      </c>
      <c r="AA50" s="202">
        <f>AA$13*0.33</f>
        <v>2904</v>
      </c>
      <c r="AB50" s="203">
        <f t="shared" ref="AB50:AC50" si="77">AB$13*0.2</f>
        <v>1760</v>
      </c>
      <c r="AC50" s="203">
        <f t="shared" si="77"/>
        <v>1833.333333</v>
      </c>
      <c r="AD50" s="203">
        <f>AD$13*0.25</f>
        <v>2186.666667</v>
      </c>
      <c r="AE50" s="203">
        <f>AE$13*0.7</f>
        <v>13822.66667</v>
      </c>
      <c r="AF50" s="137">
        <f>AF$13*0.25</f>
        <v>2525</v>
      </c>
      <c r="AG50" s="137">
        <f t="shared" ref="AG50:AH50" si="78">AG$13*0.15</f>
        <v>1680</v>
      </c>
      <c r="AH50" s="175">
        <f t="shared" si="78"/>
        <v>3870</v>
      </c>
      <c r="AI50" s="137">
        <f t="shared" ref="AI50:AK50" si="79">AI$13*0.18</f>
        <v>1524</v>
      </c>
      <c r="AJ50" s="137">
        <f t="shared" si="79"/>
        <v>1524</v>
      </c>
      <c r="AK50" s="137">
        <f t="shared" si="79"/>
        <v>3379.5</v>
      </c>
      <c r="AL50" s="137">
        <f>AL$13*0.05</f>
        <v>577.5</v>
      </c>
      <c r="AM50" s="137">
        <f>AM$13*0.1</f>
        <v>1155</v>
      </c>
      <c r="AN50" s="137">
        <f>AN$13*0.4</f>
        <v>8620</v>
      </c>
      <c r="AO50" s="137">
        <f>AO$13*0.1</f>
        <v>1255</v>
      </c>
      <c r="AP50" s="137">
        <f>17000</f>
        <v>17000</v>
      </c>
      <c r="AQ50" s="137">
        <f>AQ$13*0.1</f>
        <v>1155</v>
      </c>
      <c r="AR50" s="137">
        <f t="shared" ref="AR50:AS50" si="80">AR$13*0.3</f>
        <v>3465</v>
      </c>
      <c r="AS50" s="137">
        <f t="shared" si="80"/>
        <v>3465</v>
      </c>
      <c r="AT50" s="137">
        <f>AT$13*0.5</f>
        <v>8150.555</v>
      </c>
      <c r="AU50" s="137">
        <f>AU$13*0.2</f>
        <v>5550</v>
      </c>
      <c r="AV50" s="137">
        <f>AV$13*0.1</f>
        <v>1155</v>
      </c>
      <c r="AW50" s="137">
        <f>AW$13*0.1+2530</f>
        <v>3685</v>
      </c>
      <c r="AX50" s="194">
        <f>AX$13*0.1+2000</f>
        <v>3489.4</v>
      </c>
      <c r="AY50" s="137">
        <f>AY$13*0.1</f>
        <v>1435</v>
      </c>
      <c r="AZ50" s="218">
        <v>16000.0</v>
      </c>
      <c r="BA50" s="218">
        <v>15000.0</v>
      </c>
      <c r="BB50" s="218">
        <v>2400.0</v>
      </c>
      <c r="BC50" s="218">
        <v>2400.0</v>
      </c>
      <c r="BD50" s="218">
        <v>2400.0</v>
      </c>
      <c r="BE50" s="218">
        <v>2400.0</v>
      </c>
      <c r="BF50" s="218">
        <v>2400.0</v>
      </c>
      <c r="BG50" s="218">
        <v>2400.0</v>
      </c>
      <c r="BH50" s="218">
        <v>2400.0</v>
      </c>
      <c r="BI50" s="218">
        <v>2400.0</v>
      </c>
      <c r="BJ50" s="218">
        <v>2400.0</v>
      </c>
      <c r="BK50" s="218">
        <v>2400.0</v>
      </c>
    </row>
    <row r="51">
      <c r="A51" s="135" t="s">
        <v>579</v>
      </c>
      <c r="B51" s="136"/>
      <c r="C51" s="137"/>
      <c r="D51" s="137"/>
      <c r="E51" s="137"/>
      <c r="F51" s="137"/>
      <c r="G51" s="137"/>
      <c r="H51" s="137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40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</row>
    <row r="52">
      <c r="A52" s="219"/>
      <c r="B52" s="220" t="s">
        <v>241</v>
      </c>
      <c r="C52" s="137"/>
      <c r="D52" s="137"/>
      <c r="E52" s="137"/>
      <c r="F52" s="137"/>
      <c r="G52" s="137"/>
      <c r="H52" s="175"/>
      <c r="I52" s="137">
        <v>0.0</v>
      </c>
      <c r="J52" s="137">
        <v>0.0</v>
      </c>
      <c r="K52" s="137">
        <f t="shared" ref="K52:L52" si="81">K13*0</f>
        <v>0</v>
      </c>
      <c r="L52" s="137">
        <f t="shared" si="81"/>
        <v>0</v>
      </c>
      <c r="M52" s="137">
        <v>0.0</v>
      </c>
      <c r="N52" s="137">
        <v>25.0</v>
      </c>
      <c r="O52" s="137">
        <v>25.0</v>
      </c>
      <c r="P52" s="137">
        <v>20.0</v>
      </c>
      <c r="Q52" s="137">
        <v>25.0</v>
      </c>
      <c r="R52" s="137">
        <v>0.0</v>
      </c>
      <c r="S52" s="137">
        <v>0.0</v>
      </c>
      <c r="T52" s="137">
        <v>0.0</v>
      </c>
      <c r="U52" s="137">
        <v>0.0</v>
      </c>
      <c r="V52" s="137">
        <v>0.0</v>
      </c>
      <c r="W52" s="137">
        <v>0.0</v>
      </c>
      <c r="X52" s="137">
        <f t="shared" ref="X52:Y52" si="82">$X$13*0.03</f>
        <v>193.725</v>
      </c>
      <c r="Y52" s="137">
        <f t="shared" si="82"/>
        <v>193.725</v>
      </c>
      <c r="Z52" s="137">
        <f t="shared" ref="Z52:Z53" si="90">$X$13*0.1</f>
        <v>645.75</v>
      </c>
      <c r="AA52" s="137">
        <f t="shared" ref="AA52:AC52" si="83">$X$13*0.03</f>
        <v>193.725</v>
      </c>
      <c r="AB52" s="137">
        <f t="shared" si="83"/>
        <v>193.725</v>
      </c>
      <c r="AC52" s="137">
        <f t="shared" si="83"/>
        <v>193.725</v>
      </c>
      <c r="AD52" s="137">
        <f t="shared" ref="AD52:AH52" si="84">$X$13*0</f>
        <v>0</v>
      </c>
      <c r="AE52" s="137">
        <f t="shared" si="84"/>
        <v>0</v>
      </c>
      <c r="AF52" s="137">
        <f t="shared" si="84"/>
        <v>0</v>
      </c>
      <c r="AG52" s="137">
        <f t="shared" si="84"/>
        <v>0</v>
      </c>
      <c r="AH52" s="175">
        <f t="shared" si="84"/>
        <v>0</v>
      </c>
      <c r="AI52" s="137">
        <f t="shared" ref="AI52:AJ52" si="85">$X$13*0.03</f>
        <v>193.725</v>
      </c>
      <c r="AJ52" s="137">
        <f t="shared" si="85"/>
        <v>193.725</v>
      </c>
      <c r="AK52" s="137">
        <f t="shared" ref="AK52:AM52" si="86">$X$13*0.032</f>
        <v>206.64</v>
      </c>
      <c r="AL52" s="137">
        <f t="shared" si="86"/>
        <v>206.64</v>
      </c>
      <c r="AM52" s="137">
        <f t="shared" si="86"/>
        <v>206.64</v>
      </c>
      <c r="AN52" s="137">
        <f t="shared" ref="AN52:AR52" si="87">$X$13*0.05</f>
        <v>322.875</v>
      </c>
      <c r="AO52" s="137">
        <f t="shared" si="87"/>
        <v>322.875</v>
      </c>
      <c r="AP52" s="137">
        <f t="shared" si="87"/>
        <v>322.875</v>
      </c>
      <c r="AQ52" s="137">
        <f t="shared" si="87"/>
        <v>322.875</v>
      </c>
      <c r="AR52" s="137">
        <f t="shared" si="87"/>
        <v>322.875</v>
      </c>
      <c r="AS52" s="137">
        <f>$X$13*0</f>
        <v>0</v>
      </c>
      <c r="AT52" s="137">
        <f t="shared" ref="AT52:AV52" si="88">$X$13*0.05</f>
        <v>322.875</v>
      </c>
      <c r="AU52" s="137">
        <f t="shared" si="88"/>
        <v>322.875</v>
      </c>
      <c r="AV52" s="137">
        <f t="shared" si="88"/>
        <v>322.875</v>
      </c>
      <c r="AW52" s="137">
        <v>0.0</v>
      </c>
      <c r="AX52" s="137">
        <v>0.0</v>
      </c>
      <c r="AY52" s="137">
        <v>0.0</v>
      </c>
      <c r="AZ52" s="137">
        <v>0.0</v>
      </c>
      <c r="BA52" s="137">
        <v>0.0</v>
      </c>
      <c r="BB52" s="137">
        <v>0.0</v>
      </c>
      <c r="BC52" s="137">
        <f>$X$13*0.05</f>
        <v>322.875</v>
      </c>
      <c r="BD52" s="137">
        <v>1000.0</v>
      </c>
      <c r="BE52" s="137">
        <v>1000.0</v>
      </c>
      <c r="BF52" s="137">
        <v>1000.0</v>
      </c>
      <c r="BG52" s="137">
        <v>1000.0</v>
      </c>
      <c r="BH52" s="137">
        <v>1000.0</v>
      </c>
      <c r="BI52" s="137">
        <v>1000.0</v>
      </c>
      <c r="BJ52" s="137">
        <v>1000.0</v>
      </c>
      <c r="BK52" s="137">
        <v>1000.0</v>
      </c>
    </row>
    <row r="53">
      <c r="A53" s="219"/>
      <c r="B53" s="221" t="s">
        <v>242</v>
      </c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>
        <v>0.0</v>
      </c>
      <c r="S53" s="137">
        <v>500.0</v>
      </c>
      <c r="T53" s="137">
        <f>T13*0.02</f>
        <v>129.15</v>
      </c>
      <c r="U53" s="137">
        <f>U13*0.0387</f>
        <v>249.90525</v>
      </c>
      <c r="V53" s="137">
        <v>200.0</v>
      </c>
      <c r="W53" s="137">
        <v>200.0</v>
      </c>
      <c r="X53" s="137">
        <f t="shared" ref="X53:Y53" si="89">$X$13*0.04</f>
        <v>258.3</v>
      </c>
      <c r="Y53" s="137">
        <f t="shared" si="89"/>
        <v>258.3</v>
      </c>
      <c r="Z53" s="137">
        <f t="shared" si="90"/>
        <v>645.75</v>
      </c>
      <c r="AA53" s="137">
        <f>$X$13*0.047</f>
        <v>303.5025</v>
      </c>
      <c r="AB53" s="137">
        <f t="shared" ref="AB53:AC53" si="91">$X$13*0.04</f>
        <v>258.3</v>
      </c>
      <c r="AC53" s="137">
        <f t="shared" si="91"/>
        <v>258.3</v>
      </c>
      <c r="AD53" s="137">
        <f>$X$13*0.05</f>
        <v>322.875</v>
      </c>
      <c r="AE53" s="137">
        <f>$X$13*0.063</f>
        <v>406.8225</v>
      </c>
      <c r="AF53" s="137">
        <f t="shared" ref="AF53:AG53" si="92">$X$13*0.2</f>
        <v>1291.5</v>
      </c>
      <c r="AG53" s="137">
        <f t="shared" si="92"/>
        <v>1291.5</v>
      </c>
      <c r="AH53" s="175">
        <f>$X$13*0</f>
        <v>0</v>
      </c>
      <c r="AI53" s="137">
        <f t="shared" ref="AI53:AM53" si="93">$X$13*0.04</f>
        <v>258.3</v>
      </c>
      <c r="AJ53" s="137">
        <f t="shared" si="93"/>
        <v>258.3</v>
      </c>
      <c r="AK53" s="137">
        <f t="shared" si="93"/>
        <v>258.3</v>
      </c>
      <c r="AL53" s="137">
        <f t="shared" si="93"/>
        <v>258.3</v>
      </c>
      <c r="AM53" s="137">
        <f t="shared" si="93"/>
        <v>258.3</v>
      </c>
      <c r="AN53" s="137">
        <f t="shared" ref="AN53:AW53" si="94">$X$13*0.05</f>
        <v>322.875</v>
      </c>
      <c r="AO53" s="137">
        <f t="shared" si="94"/>
        <v>322.875</v>
      </c>
      <c r="AP53" s="137">
        <f t="shared" si="94"/>
        <v>322.875</v>
      </c>
      <c r="AQ53" s="137">
        <f t="shared" si="94"/>
        <v>322.875</v>
      </c>
      <c r="AR53" s="137">
        <f t="shared" si="94"/>
        <v>322.875</v>
      </c>
      <c r="AS53" s="137">
        <f t="shared" si="94"/>
        <v>322.875</v>
      </c>
      <c r="AT53" s="137">
        <f t="shared" si="94"/>
        <v>322.875</v>
      </c>
      <c r="AU53" s="137">
        <f t="shared" si="94"/>
        <v>322.875</v>
      </c>
      <c r="AV53" s="137">
        <f t="shared" si="94"/>
        <v>322.875</v>
      </c>
      <c r="AW53" s="137">
        <f t="shared" si="94"/>
        <v>322.875</v>
      </c>
      <c r="AX53" s="137">
        <f t="shared" ref="AX53:AY53" si="95">$X$13*0</f>
        <v>0</v>
      </c>
      <c r="AY53" s="137">
        <f t="shared" si="95"/>
        <v>0</v>
      </c>
      <c r="AZ53" s="137">
        <f>$X$13*0.05</f>
        <v>322.875</v>
      </c>
      <c r="BA53" s="137">
        <v>0.0</v>
      </c>
      <c r="BB53" s="137">
        <v>0.0</v>
      </c>
      <c r="BC53" s="194">
        <v>0.0</v>
      </c>
      <c r="BD53" s="137">
        <f t="shared" ref="BD53:BK53" si="96">$X$13*0.05</f>
        <v>322.875</v>
      </c>
      <c r="BE53" s="137">
        <f t="shared" si="96"/>
        <v>322.875</v>
      </c>
      <c r="BF53" s="137">
        <f t="shared" si="96"/>
        <v>322.875</v>
      </c>
      <c r="BG53" s="137">
        <f t="shared" si="96"/>
        <v>322.875</v>
      </c>
      <c r="BH53" s="137">
        <f t="shared" si="96"/>
        <v>322.875</v>
      </c>
      <c r="BI53" s="137">
        <f t="shared" si="96"/>
        <v>322.875</v>
      </c>
      <c r="BJ53" s="137">
        <f t="shared" si="96"/>
        <v>322.875</v>
      </c>
      <c r="BK53" s="137">
        <f t="shared" si="96"/>
        <v>322.875</v>
      </c>
    </row>
    <row r="54">
      <c r="A54" s="135" t="s">
        <v>580</v>
      </c>
      <c r="B54" s="136"/>
      <c r="C54" s="137"/>
      <c r="D54" s="137"/>
      <c r="E54" s="137"/>
      <c r="F54" s="137"/>
      <c r="G54" s="137"/>
      <c r="H54" s="137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40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</row>
    <row r="55">
      <c r="A55" s="219"/>
      <c r="B55" s="223" t="s">
        <v>581</v>
      </c>
      <c r="C55" s="137"/>
      <c r="D55" s="137"/>
      <c r="E55" s="137"/>
      <c r="F55" s="137"/>
      <c r="G55" s="137"/>
      <c r="H55" s="137"/>
      <c r="I55" s="137"/>
      <c r="J55" s="137"/>
      <c r="K55" s="137">
        <v>0.0</v>
      </c>
      <c r="L55" s="137">
        <f>150+345</f>
        <v>495</v>
      </c>
      <c r="M55" s="137">
        <v>0.0</v>
      </c>
      <c r="N55" s="137">
        <v>0.0</v>
      </c>
      <c r="O55" s="137">
        <f>O13*0</f>
        <v>0</v>
      </c>
      <c r="P55" s="137">
        <v>78.0</v>
      </c>
      <c r="Q55" s="137">
        <v>0.0</v>
      </c>
      <c r="R55" s="137">
        <v>0.0</v>
      </c>
      <c r="S55" s="137">
        <v>50.0</v>
      </c>
      <c r="T55" s="137">
        <f t="shared" ref="T55:W55" si="97">$Q13*0</f>
        <v>0</v>
      </c>
      <c r="U55" s="137">
        <f t="shared" si="97"/>
        <v>0</v>
      </c>
      <c r="V55" s="137">
        <f t="shared" si="97"/>
        <v>0</v>
      </c>
      <c r="W55" s="137">
        <f t="shared" si="97"/>
        <v>0</v>
      </c>
      <c r="X55" s="137">
        <f t="shared" ref="X55:AA55" si="98">$X$13*0.01</f>
        <v>64.575</v>
      </c>
      <c r="Y55" s="137">
        <f t="shared" si="98"/>
        <v>64.575</v>
      </c>
      <c r="Z55" s="137">
        <f t="shared" si="98"/>
        <v>64.575</v>
      </c>
      <c r="AA55" s="137">
        <f t="shared" si="98"/>
        <v>64.575</v>
      </c>
      <c r="AB55" s="194">
        <f t="shared" ref="AB55:AF55" si="99">$X$13*0</f>
        <v>0</v>
      </c>
      <c r="AC55" s="137">
        <f t="shared" si="99"/>
        <v>0</v>
      </c>
      <c r="AD55" s="137">
        <f t="shared" si="99"/>
        <v>0</v>
      </c>
      <c r="AE55" s="137">
        <f t="shared" si="99"/>
        <v>0</v>
      </c>
      <c r="AF55" s="137">
        <f t="shared" si="99"/>
        <v>0</v>
      </c>
      <c r="AG55" s="224">
        <f>sum(2500,1200)</f>
        <v>3700</v>
      </c>
      <c r="AH55" s="224">
        <f>sum(2500,500,5000)</f>
        <v>8000</v>
      </c>
      <c r="AI55" s="137">
        <f>2000</f>
        <v>2000</v>
      </c>
      <c r="AJ55" s="137">
        <f t="shared" ref="AJ55:AK55" si="100">$X$13*0</f>
        <v>0</v>
      </c>
      <c r="AK55" s="137">
        <f t="shared" si="100"/>
        <v>0</v>
      </c>
      <c r="AL55" s="137">
        <f>7000</f>
        <v>7000</v>
      </c>
      <c r="AM55" s="194">
        <v>3600.0</v>
      </c>
      <c r="AN55" s="194">
        <v>3500.0</v>
      </c>
      <c r="AO55" s="137">
        <f>$X$13*0</f>
        <v>0</v>
      </c>
      <c r="AP55" s="137">
        <f>6000</f>
        <v>6000</v>
      </c>
      <c r="AQ55" s="137">
        <f>$X$13*0</f>
        <v>0</v>
      </c>
      <c r="AR55" s="137">
        <f>$X$13*1</f>
        <v>6457.5</v>
      </c>
      <c r="AS55" s="137">
        <f t="shared" ref="AS55:AT55" si="101">$X$13*0</f>
        <v>0</v>
      </c>
      <c r="AT55" s="137">
        <f t="shared" si="101"/>
        <v>0</v>
      </c>
      <c r="AU55" s="137">
        <v>10000.0</v>
      </c>
      <c r="AV55" s="137">
        <v>0.0</v>
      </c>
      <c r="AW55" s="137">
        <f>$X$13*0</f>
        <v>0</v>
      </c>
      <c r="AX55" s="137">
        <v>1000.0</v>
      </c>
      <c r="AY55" s="194">
        <v>900.0</v>
      </c>
      <c r="AZ55" s="194">
        <v>900.0</v>
      </c>
      <c r="BA55" s="194">
        <f>sum(3509,1490,500)</f>
        <v>5499</v>
      </c>
      <c r="BB55" s="137">
        <v>0.0</v>
      </c>
      <c r="BC55" s="137">
        <v>0.0</v>
      </c>
      <c r="BD55" s="137">
        <f t="shared" ref="BD55:BJ55" si="102">sum(900)</f>
        <v>900</v>
      </c>
      <c r="BE55" s="137">
        <f t="shared" si="102"/>
        <v>900</v>
      </c>
      <c r="BF55" s="137">
        <f t="shared" si="102"/>
        <v>900</v>
      </c>
      <c r="BG55" s="137">
        <f t="shared" si="102"/>
        <v>900</v>
      </c>
      <c r="BH55" s="137">
        <f t="shared" si="102"/>
        <v>900</v>
      </c>
      <c r="BI55" s="137">
        <f t="shared" si="102"/>
        <v>900</v>
      </c>
      <c r="BJ55" s="137">
        <f t="shared" si="102"/>
        <v>900</v>
      </c>
      <c r="BK55" s="137">
        <v>0.0</v>
      </c>
    </row>
    <row r="56">
      <c r="A56" s="219"/>
      <c r="B56" s="223" t="s">
        <v>246</v>
      </c>
      <c r="C56" s="137"/>
      <c r="D56" s="137"/>
      <c r="E56" s="137"/>
      <c r="F56" s="137"/>
      <c r="G56" s="137"/>
      <c r="H56" s="137"/>
      <c r="I56" s="137"/>
      <c r="J56" s="137">
        <v>0.0</v>
      </c>
      <c r="K56" s="137">
        <v>0.0</v>
      </c>
      <c r="L56" s="137">
        <v>0.0</v>
      </c>
      <c r="M56" s="137">
        <f>M13*0</f>
        <v>0</v>
      </c>
      <c r="N56" s="137">
        <v>0.0</v>
      </c>
      <c r="O56" s="137">
        <f>O10*0</f>
        <v>0</v>
      </c>
      <c r="P56" s="137">
        <v>0.0</v>
      </c>
      <c r="Q56" s="137">
        <f>175+100</f>
        <v>275</v>
      </c>
      <c r="R56" s="137">
        <f>R13*0.0063</f>
        <v>41.94225</v>
      </c>
      <c r="S56" s="137">
        <v>300.0</v>
      </c>
      <c r="T56" s="137">
        <f>T13*0.02</f>
        <v>129.15</v>
      </c>
      <c r="U56" s="137">
        <v>120.0</v>
      </c>
      <c r="V56" s="137">
        <v>100.0</v>
      </c>
      <c r="W56" s="222">
        <f>sum(100,-790)</f>
        <v>-690</v>
      </c>
      <c r="X56" s="137">
        <f t="shared" ref="X56:Y56" si="103">$X$13*0.02</f>
        <v>129.15</v>
      </c>
      <c r="Y56" s="137">
        <f t="shared" si="103"/>
        <v>129.15</v>
      </c>
      <c r="Z56" s="137">
        <f>$X$13*0.05</f>
        <v>322.875</v>
      </c>
      <c r="AA56" s="137">
        <f t="shared" ref="AA56:AF56" si="104">$X$13*0.02</f>
        <v>129.15</v>
      </c>
      <c r="AB56" s="137">
        <f t="shared" si="104"/>
        <v>129.15</v>
      </c>
      <c r="AC56" s="137">
        <f t="shared" si="104"/>
        <v>129.15</v>
      </c>
      <c r="AD56" s="137">
        <f t="shared" si="104"/>
        <v>129.15</v>
      </c>
      <c r="AE56" s="137">
        <f t="shared" si="104"/>
        <v>129.15</v>
      </c>
      <c r="AF56" s="137">
        <f t="shared" si="104"/>
        <v>129.15</v>
      </c>
      <c r="AG56" s="137">
        <f t="shared" ref="AG56:AH56" si="105">$X$13*0</f>
        <v>0</v>
      </c>
      <c r="AH56" s="175">
        <f t="shared" si="105"/>
        <v>0</v>
      </c>
      <c r="AI56" s="137">
        <f t="shared" ref="AI56:AR56" si="106">$X$13*0.02</f>
        <v>129.15</v>
      </c>
      <c r="AJ56" s="137">
        <f t="shared" si="106"/>
        <v>129.15</v>
      </c>
      <c r="AK56" s="137">
        <f t="shared" si="106"/>
        <v>129.15</v>
      </c>
      <c r="AL56" s="137">
        <f t="shared" si="106"/>
        <v>129.15</v>
      </c>
      <c r="AM56" s="137">
        <f t="shared" si="106"/>
        <v>129.15</v>
      </c>
      <c r="AN56" s="137">
        <f t="shared" si="106"/>
        <v>129.15</v>
      </c>
      <c r="AO56" s="137">
        <f t="shared" si="106"/>
        <v>129.15</v>
      </c>
      <c r="AP56" s="137">
        <f t="shared" si="106"/>
        <v>129.15</v>
      </c>
      <c r="AQ56" s="137">
        <f t="shared" si="106"/>
        <v>129.15</v>
      </c>
      <c r="AR56" s="137">
        <f t="shared" si="106"/>
        <v>129.15</v>
      </c>
      <c r="AS56" s="137">
        <v>0.0</v>
      </c>
      <c r="AT56" s="137">
        <f t="shared" ref="AT56:AW56" si="107">$X$13*0.02</f>
        <v>129.15</v>
      </c>
      <c r="AU56" s="137">
        <f t="shared" si="107"/>
        <v>129.15</v>
      </c>
      <c r="AV56" s="137">
        <f t="shared" si="107"/>
        <v>129.15</v>
      </c>
      <c r="AW56" s="137">
        <f t="shared" si="107"/>
        <v>129.15</v>
      </c>
      <c r="AX56" s="137">
        <v>0.0</v>
      </c>
      <c r="AY56" s="137">
        <v>0.0</v>
      </c>
      <c r="AZ56" s="137">
        <f>$X$13*0.02</f>
        <v>129.15</v>
      </c>
      <c r="BA56" s="137">
        <v>400.0</v>
      </c>
      <c r="BB56" s="137">
        <v>400.0</v>
      </c>
      <c r="BC56" s="194">
        <v>0.0</v>
      </c>
      <c r="BD56" s="137">
        <v>400.0</v>
      </c>
      <c r="BE56" s="137">
        <v>400.0</v>
      </c>
      <c r="BF56" s="137">
        <v>400.0</v>
      </c>
      <c r="BG56" s="137">
        <v>400.0</v>
      </c>
      <c r="BH56" s="137">
        <v>400.0</v>
      </c>
      <c r="BI56" s="137">
        <v>400.0</v>
      </c>
      <c r="BJ56" s="137">
        <v>400.0</v>
      </c>
      <c r="BK56" s="137">
        <v>400.0</v>
      </c>
    </row>
    <row r="57">
      <c r="A57" s="219"/>
      <c r="B57" s="223" t="s">
        <v>247</v>
      </c>
      <c r="C57" s="137"/>
      <c r="D57" s="137"/>
      <c r="E57" s="137"/>
      <c r="F57" s="137"/>
      <c r="G57" s="137"/>
      <c r="H57" s="137"/>
      <c r="I57" s="137"/>
      <c r="J57" s="137">
        <v>0.0</v>
      </c>
      <c r="K57" s="137">
        <v>0.0</v>
      </c>
      <c r="L57" s="137">
        <v>0.0</v>
      </c>
      <c r="M57" s="137">
        <v>0.0</v>
      </c>
      <c r="N57" s="137">
        <v>0.0</v>
      </c>
      <c r="O57" s="137">
        <f>O13*0</f>
        <v>0</v>
      </c>
      <c r="P57" s="137">
        <v>500.0</v>
      </c>
      <c r="Q57" s="137">
        <f>25+100+100+450</f>
        <v>675</v>
      </c>
      <c r="R57" s="137">
        <f>R13*0.065</f>
        <v>432.7375</v>
      </c>
      <c r="S57" s="137">
        <v>225.0</v>
      </c>
      <c r="T57" s="137">
        <f>T13*0.02</f>
        <v>129.15</v>
      </c>
      <c r="U57" s="137">
        <v>0.0</v>
      </c>
      <c r="V57" s="137">
        <v>200.0</v>
      </c>
      <c r="W57" s="137">
        <v>100.0</v>
      </c>
      <c r="X57" s="137">
        <f t="shared" ref="X57:Y57" si="108">$X$13*0.06</f>
        <v>387.45</v>
      </c>
      <c r="Y57" s="137">
        <f t="shared" si="108"/>
        <v>387.45</v>
      </c>
      <c r="Z57" s="137">
        <f>$X$13*0.1</f>
        <v>645.75</v>
      </c>
      <c r="AA57" s="194">
        <f>AA13*0.1</f>
        <v>880</v>
      </c>
      <c r="AB57" s="137">
        <f>$X$13*0.07</f>
        <v>452.025</v>
      </c>
      <c r="AC57" s="137">
        <f>$X$13*0.06</f>
        <v>387.45</v>
      </c>
      <c r="AD57" s="137">
        <f>$X$13*0.08</f>
        <v>516.6</v>
      </c>
      <c r="AE57" s="137">
        <f t="shared" ref="AE57:AF57" si="109">$X$13*0.06</f>
        <v>387.45</v>
      </c>
      <c r="AF57" s="137">
        <f t="shared" si="109"/>
        <v>387.45</v>
      </c>
      <c r="AG57" s="137">
        <f t="shared" ref="AG57:AH57" si="110">$X$13*0</f>
        <v>0</v>
      </c>
      <c r="AH57" s="175">
        <f t="shared" si="110"/>
        <v>0</v>
      </c>
      <c r="AI57" s="137">
        <f t="shared" ref="AI57:AO57" si="111">$X$13*0.078</f>
        <v>503.685</v>
      </c>
      <c r="AJ57" s="137">
        <f t="shared" si="111"/>
        <v>503.685</v>
      </c>
      <c r="AK57" s="137">
        <f t="shared" si="111"/>
        <v>503.685</v>
      </c>
      <c r="AL57" s="137">
        <f t="shared" si="111"/>
        <v>503.685</v>
      </c>
      <c r="AM57" s="137">
        <f t="shared" si="111"/>
        <v>503.685</v>
      </c>
      <c r="AN57" s="137">
        <f t="shared" si="111"/>
        <v>503.685</v>
      </c>
      <c r="AO57" s="137">
        <f t="shared" si="111"/>
        <v>503.685</v>
      </c>
      <c r="AP57" s="137">
        <f>$X$13*0.5</f>
        <v>3228.75</v>
      </c>
      <c r="AQ57" s="137">
        <f t="shared" ref="AQ57:AW57" si="112">$X$13*0.078</f>
        <v>503.685</v>
      </c>
      <c r="AR57" s="137">
        <f t="shared" si="112"/>
        <v>503.685</v>
      </c>
      <c r="AS57" s="137">
        <f t="shared" si="112"/>
        <v>503.685</v>
      </c>
      <c r="AT57" s="137">
        <f t="shared" si="112"/>
        <v>503.685</v>
      </c>
      <c r="AU57" s="137">
        <f t="shared" si="112"/>
        <v>503.685</v>
      </c>
      <c r="AV57" s="137">
        <f t="shared" si="112"/>
        <v>503.685</v>
      </c>
      <c r="AW57" s="137">
        <f t="shared" si="112"/>
        <v>503.685</v>
      </c>
      <c r="AX57" s="137">
        <v>0.0</v>
      </c>
      <c r="AY57" s="137">
        <v>0.0</v>
      </c>
      <c r="AZ57" s="137">
        <f>$X$13*0.078</f>
        <v>503.685</v>
      </c>
      <c r="BA57" s="137">
        <v>500.0</v>
      </c>
      <c r="BB57" s="137">
        <v>500.0</v>
      </c>
      <c r="BC57" s="194">
        <v>0.0</v>
      </c>
      <c r="BD57" s="137">
        <v>500.0</v>
      </c>
      <c r="BE57" s="137">
        <v>500.0</v>
      </c>
      <c r="BF57" s="137">
        <v>500.0</v>
      </c>
      <c r="BG57" s="137">
        <v>500.0</v>
      </c>
      <c r="BH57" s="137">
        <v>500.0</v>
      </c>
      <c r="BI57" s="137">
        <v>500.0</v>
      </c>
      <c r="BJ57" s="137">
        <v>500.0</v>
      </c>
      <c r="BK57" s="137">
        <v>500.0</v>
      </c>
    </row>
    <row r="58">
      <c r="A58" s="228"/>
      <c r="B58" s="696" t="s">
        <v>248</v>
      </c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>
        <f t="shared" ref="M58:N58" si="113">M4*0.03</f>
        <v>300</v>
      </c>
      <c r="N58" s="222">
        <f t="shared" si="113"/>
        <v>300</v>
      </c>
      <c r="O58" s="222">
        <f t="shared" ref="O58:BC58" si="114">O12</f>
        <v>400</v>
      </c>
      <c r="P58" s="222">
        <f t="shared" si="114"/>
        <v>400</v>
      </c>
      <c r="Q58" s="222">
        <f t="shared" si="114"/>
        <v>307.5</v>
      </c>
      <c r="R58" s="222">
        <f t="shared" si="114"/>
        <v>307.5</v>
      </c>
      <c r="S58" s="222">
        <f t="shared" si="114"/>
        <v>307.5</v>
      </c>
      <c r="T58" s="222">
        <f t="shared" si="114"/>
        <v>307.5</v>
      </c>
      <c r="U58" s="222">
        <f t="shared" si="114"/>
        <v>307.5</v>
      </c>
      <c r="V58" s="222">
        <f t="shared" si="114"/>
        <v>307.5</v>
      </c>
      <c r="W58" s="222">
        <f t="shared" si="114"/>
        <v>307.5</v>
      </c>
      <c r="X58" s="222">
        <f t="shared" si="114"/>
        <v>307.5</v>
      </c>
      <c r="Y58" s="222">
        <f t="shared" si="114"/>
        <v>307.5</v>
      </c>
      <c r="Z58" s="222">
        <f t="shared" si="114"/>
        <v>0</v>
      </c>
      <c r="AA58" s="222">
        <f t="shared" si="114"/>
        <v>0</v>
      </c>
      <c r="AB58" s="222">
        <f t="shared" si="114"/>
        <v>0</v>
      </c>
      <c r="AC58" s="222">
        <f t="shared" si="114"/>
        <v>333.3333333</v>
      </c>
      <c r="AD58" s="222">
        <f t="shared" si="114"/>
        <v>53.33333333</v>
      </c>
      <c r="AE58" s="222">
        <f t="shared" si="114"/>
        <v>53.33333333</v>
      </c>
      <c r="AF58" s="222">
        <f t="shared" si="114"/>
        <v>0</v>
      </c>
      <c r="AG58" s="222">
        <f t="shared" si="114"/>
        <v>0</v>
      </c>
      <c r="AH58" s="230">
        <f t="shared" si="114"/>
        <v>0</v>
      </c>
      <c r="AI58" s="222">
        <f t="shared" si="114"/>
        <v>333.3333333</v>
      </c>
      <c r="AJ58" s="222">
        <f t="shared" si="114"/>
        <v>333.3333333</v>
      </c>
      <c r="AK58" s="222">
        <f t="shared" si="114"/>
        <v>0</v>
      </c>
      <c r="AL58" s="222">
        <f t="shared" si="114"/>
        <v>0</v>
      </c>
      <c r="AM58" s="222">
        <f t="shared" si="114"/>
        <v>0</v>
      </c>
      <c r="AN58" s="222">
        <f t="shared" si="114"/>
        <v>0</v>
      </c>
      <c r="AO58" s="222">
        <f t="shared" si="114"/>
        <v>0</v>
      </c>
      <c r="AP58" s="222">
        <f t="shared" si="114"/>
        <v>0</v>
      </c>
      <c r="AQ58" s="222">
        <f t="shared" si="114"/>
        <v>0</v>
      </c>
      <c r="AR58" s="222">
        <f t="shared" si="114"/>
        <v>0</v>
      </c>
      <c r="AS58" s="222">
        <f t="shared" si="114"/>
        <v>0</v>
      </c>
      <c r="AT58" s="222">
        <f t="shared" si="114"/>
        <v>0</v>
      </c>
      <c r="AU58" s="222">
        <f t="shared" si="114"/>
        <v>0</v>
      </c>
      <c r="AV58" s="222">
        <f t="shared" si="114"/>
        <v>0</v>
      </c>
      <c r="AW58" s="222">
        <f t="shared" si="114"/>
        <v>0</v>
      </c>
      <c r="AX58" s="222">
        <f t="shared" si="114"/>
        <v>0</v>
      </c>
      <c r="AY58" s="222">
        <f t="shared" si="114"/>
        <v>0</v>
      </c>
      <c r="AZ58" s="222">
        <f t="shared" si="114"/>
        <v>0</v>
      </c>
      <c r="BA58" s="222">
        <f t="shared" si="114"/>
        <v>0</v>
      </c>
      <c r="BB58" s="222">
        <f t="shared" si="114"/>
        <v>0</v>
      </c>
      <c r="BC58" s="222">
        <f t="shared" si="114"/>
        <v>0</v>
      </c>
      <c r="BD58" s="222">
        <v>500.0</v>
      </c>
      <c r="BE58" s="222">
        <v>500.0</v>
      </c>
      <c r="BF58" s="222">
        <v>500.0</v>
      </c>
      <c r="BG58" s="222">
        <v>500.0</v>
      </c>
      <c r="BH58" s="222">
        <v>500.0</v>
      </c>
      <c r="BI58" s="222">
        <v>500.0</v>
      </c>
      <c r="BJ58" s="222">
        <v>500.0</v>
      </c>
      <c r="BK58" s="222">
        <v>500.0</v>
      </c>
    </row>
    <row r="59">
      <c r="A59" s="171" t="s">
        <v>582</v>
      </c>
      <c r="B59" s="176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75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</row>
    <row r="60">
      <c r="A60" s="199"/>
      <c r="B60" s="137" t="s">
        <v>251</v>
      </c>
      <c r="C60" s="137"/>
      <c r="D60" s="137"/>
      <c r="E60" s="137"/>
      <c r="F60" s="137"/>
      <c r="G60" s="137"/>
      <c r="H60" s="175"/>
      <c r="I60" s="137">
        <v>0.0</v>
      </c>
      <c r="J60" s="137">
        <v>0.0</v>
      </c>
      <c r="K60" s="137">
        <f t="shared" ref="K60:L60" si="115">K14*0</f>
        <v>0</v>
      </c>
      <c r="L60" s="137">
        <f t="shared" si="115"/>
        <v>0</v>
      </c>
      <c r="M60" s="137">
        <v>0.0</v>
      </c>
      <c r="N60" s="137">
        <v>0.0</v>
      </c>
      <c r="O60" s="137">
        <f>O13*0.01</f>
        <v>72</v>
      </c>
      <c r="P60" s="137">
        <v>0.0</v>
      </c>
      <c r="Q60" s="137">
        <f>70+20+20</f>
        <v>110</v>
      </c>
      <c r="R60" s="137">
        <v>0.0</v>
      </c>
      <c r="S60" s="137">
        <v>0.0</v>
      </c>
      <c r="T60" s="137">
        <v>125.0</v>
      </c>
      <c r="U60" s="137">
        <v>0.0</v>
      </c>
      <c r="V60" s="137">
        <f t="shared" ref="V60:W60" si="116">V13*0.01</f>
        <v>67.575</v>
      </c>
      <c r="W60" s="137">
        <f t="shared" si="116"/>
        <v>64.575</v>
      </c>
      <c r="X60" s="137">
        <f t="shared" ref="X60:Z60" si="117">X13*0.02</f>
        <v>129.15</v>
      </c>
      <c r="Y60" s="137">
        <f t="shared" si="117"/>
        <v>241.15</v>
      </c>
      <c r="Z60" s="137">
        <f t="shared" si="117"/>
        <v>176</v>
      </c>
      <c r="AA60" s="137">
        <f>AA13*0</f>
        <v>0</v>
      </c>
      <c r="AB60" s="137">
        <f>AB13*0.02</f>
        <v>176</v>
      </c>
      <c r="AC60" s="137">
        <f t="shared" ref="AC60:AE60" si="118">AC13*0.01</f>
        <v>91.66666667</v>
      </c>
      <c r="AD60" s="137">
        <f t="shared" si="118"/>
        <v>87.46666667</v>
      </c>
      <c r="AE60" s="137">
        <f t="shared" si="118"/>
        <v>197.4666667</v>
      </c>
      <c r="AF60" s="137">
        <f t="shared" ref="AF60:AH60" si="119">AF13*0</f>
        <v>0</v>
      </c>
      <c r="AG60" s="137">
        <f t="shared" si="119"/>
        <v>0</v>
      </c>
      <c r="AH60" s="175">
        <f t="shared" si="119"/>
        <v>0</v>
      </c>
      <c r="AI60" s="137">
        <f t="shared" ref="AI60:AN60" si="120">AI13*0.01</f>
        <v>84.66666667</v>
      </c>
      <c r="AJ60" s="137">
        <f t="shared" si="120"/>
        <v>84.66666667</v>
      </c>
      <c r="AK60" s="137">
        <f t="shared" si="120"/>
        <v>187.75</v>
      </c>
      <c r="AL60" s="137">
        <f t="shared" si="120"/>
        <v>115.5</v>
      </c>
      <c r="AM60" s="137">
        <f t="shared" si="120"/>
        <v>115.5</v>
      </c>
      <c r="AN60" s="137">
        <f t="shared" si="120"/>
        <v>215.5</v>
      </c>
      <c r="AO60" s="137">
        <f>AO13*0</f>
        <v>0</v>
      </c>
      <c r="AP60" s="137">
        <f>1000</f>
        <v>1000</v>
      </c>
      <c r="AQ60" s="137">
        <f t="shared" ref="AQ60:AR60" si="121">AQ13*0.01</f>
        <v>115.5</v>
      </c>
      <c r="AR60" s="137">
        <f t="shared" si="121"/>
        <v>115.5</v>
      </c>
      <c r="AS60" s="137">
        <v>400.0</v>
      </c>
      <c r="AT60" s="137">
        <v>0.0</v>
      </c>
      <c r="AU60" s="137">
        <f t="shared" ref="AU60:AX60" si="122">AU13*0.01</f>
        <v>277.5</v>
      </c>
      <c r="AV60" s="137">
        <f t="shared" si="122"/>
        <v>115.5</v>
      </c>
      <c r="AW60" s="137">
        <f t="shared" si="122"/>
        <v>115.5</v>
      </c>
      <c r="AX60" s="137">
        <f t="shared" si="122"/>
        <v>148.94</v>
      </c>
      <c r="AY60" s="137">
        <f t="shared" ref="AY60:BB60" si="123">AY13*0</f>
        <v>0</v>
      </c>
      <c r="AZ60" s="137">
        <f t="shared" si="123"/>
        <v>0</v>
      </c>
      <c r="BA60" s="137">
        <f t="shared" si="123"/>
        <v>0</v>
      </c>
      <c r="BB60" s="137">
        <f t="shared" si="123"/>
        <v>0</v>
      </c>
      <c r="BC60" s="137">
        <v>100.0</v>
      </c>
      <c r="BD60" s="137">
        <v>100.0</v>
      </c>
      <c r="BE60" s="137">
        <v>100.0</v>
      </c>
      <c r="BF60" s="137">
        <v>100.0</v>
      </c>
      <c r="BG60" s="137">
        <v>100.0</v>
      </c>
      <c r="BH60" s="137">
        <v>100.0</v>
      </c>
      <c r="BI60" s="137">
        <v>100.0</v>
      </c>
      <c r="BJ60" s="137">
        <v>100.0</v>
      </c>
      <c r="BK60" s="137">
        <v>100.0</v>
      </c>
    </row>
    <row r="61">
      <c r="A61" s="701"/>
      <c r="B61" s="702"/>
      <c r="C61" s="167"/>
      <c r="D61" s="167"/>
      <c r="E61" s="167"/>
      <c r="F61" s="167"/>
      <c r="G61" s="167"/>
      <c r="H61" s="703"/>
      <c r="I61" s="167"/>
      <c r="J61" s="167"/>
      <c r="K61" s="167"/>
      <c r="L61" s="167"/>
      <c r="M61" s="167"/>
      <c r="N61" s="167"/>
      <c r="O61" s="167"/>
      <c r="P61" s="704">
        <f t="shared" ref="P61:V61" si="124">sum(P50:P57)/P13</f>
        <v>0.5520087594</v>
      </c>
      <c r="Q61" s="704">
        <f t="shared" si="124"/>
        <v>0.4337962626</v>
      </c>
      <c r="R61" s="704">
        <f t="shared" si="124"/>
        <v>0.4713</v>
      </c>
      <c r="S61" s="704">
        <f t="shared" si="124"/>
        <v>0.6771493786</v>
      </c>
      <c r="T61" s="704">
        <f t="shared" si="124"/>
        <v>0.31</v>
      </c>
      <c r="U61" s="704">
        <f t="shared" si="124"/>
        <v>0.457283043</v>
      </c>
      <c r="V61" s="704">
        <f t="shared" si="124"/>
        <v>0.5766925638</v>
      </c>
      <c r="W61" s="704">
        <f t="shared" ref="W61:X61" si="125">sum(W50:W58)/sum(W12:W13)</f>
        <v>0.2741685144</v>
      </c>
      <c r="X61" s="704">
        <f t="shared" si="125"/>
        <v>0.3031818182</v>
      </c>
      <c r="Y61" s="704">
        <f t="shared" ref="Y61:BK61" si="126">sum(Y50:Y58,Y60)/sum(Y12:Y13)</f>
        <v>0.225442782</v>
      </c>
      <c r="Z61" s="704">
        <f t="shared" si="126"/>
        <v>0.3841704545</v>
      </c>
      <c r="AA61" s="704">
        <f t="shared" si="126"/>
        <v>0.5085173295</v>
      </c>
      <c r="AB61" s="704">
        <f t="shared" si="126"/>
        <v>0.3374090909</v>
      </c>
      <c r="AC61" s="704">
        <f t="shared" si="126"/>
        <v>0.3396798246</v>
      </c>
      <c r="AD61" s="704">
        <f t="shared" si="126"/>
        <v>0.3745558712</v>
      </c>
      <c r="AE61" s="704">
        <f t="shared" si="126"/>
        <v>0.7574186448</v>
      </c>
      <c r="AF61" s="704">
        <f t="shared" si="126"/>
        <v>0.429019802</v>
      </c>
      <c r="AG61" s="704">
        <f t="shared" si="126"/>
        <v>0.5956696429</v>
      </c>
      <c r="AH61" s="705">
        <f t="shared" si="126"/>
        <v>0.4600775194</v>
      </c>
      <c r="AI61" s="704">
        <f t="shared" si="126"/>
        <v>0.5712340909</v>
      </c>
      <c r="AJ61" s="704">
        <f t="shared" si="126"/>
        <v>0.3439613636</v>
      </c>
      <c r="AK61" s="704">
        <f t="shared" si="126"/>
        <v>0.2484700399</v>
      </c>
      <c r="AL61" s="704">
        <f t="shared" si="126"/>
        <v>0.7611060606</v>
      </c>
      <c r="AM61" s="704">
        <f t="shared" si="126"/>
        <v>0.5167337662</v>
      </c>
      <c r="AN61" s="704">
        <f t="shared" si="126"/>
        <v>0.6317440835</v>
      </c>
      <c r="AO61" s="704">
        <f t="shared" si="126"/>
        <v>0.2018792829</v>
      </c>
      <c r="AP61" s="704">
        <f t="shared" si="126"/>
        <v>0.8603271889</v>
      </c>
      <c r="AQ61" s="704">
        <f t="shared" si="126"/>
        <v>0.2207</v>
      </c>
      <c r="AR61" s="704">
        <f t="shared" si="126"/>
        <v>0.9797909091</v>
      </c>
      <c r="AS61" s="704">
        <f t="shared" si="126"/>
        <v>0.406195671</v>
      </c>
      <c r="AT61" s="704">
        <f t="shared" si="126"/>
        <v>0.5784354562</v>
      </c>
      <c r="AU61" s="704">
        <f t="shared" si="126"/>
        <v>0.6164354955</v>
      </c>
      <c r="AV61" s="704">
        <f t="shared" si="126"/>
        <v>0.2207</v>
      </c>
      <c r="AW61" s="704">
        <f t="shared" si="126"/>
        <v>0.4117930736</v>
      </c>
      <c r="AX61" s="704">
        <f t="shared" si="126"/>
        <v>0.311423392</v>
      </c>
      <c r="AY61" s="704">
        <f t="shared" si="126"/>
        <v>0.16271777</v>
      </c>
      <c r="AZ61" s="704">
        <f t="shared" si="126"/>
        <v>0.6481201452</v>
      </c>
      <c r="BA61" s="704">
        <f t="shared" si="126"/>
        <v>0.6902903226</v>
      </c>
      <c r="BB61" s="704">
        <f t="shared" si="126"/>
        <v>0.3</v>
      </c>
      <c r="BC61" s="704">
        <f t="shared" si="126"/>
        <v>0.256625</v>
      </c>
      <c r="BD61" s="704">
        <f t="shared" si="126"/>
        <v>0.01968770096</v>
      </c>
      <c r="BE61" s="704">
        <f t="shared" si="126"/>
        <v>0.3710833333</v>
      </c>
      <c r="BF61" s="704">
        <f t="shared" si="126"/>
        <v>0.3710833333</v>
      </c>
      <c r="BG61" s="704">
        <f t="shared" si="126"/>
        <v>0.03881378764</v>
      </c>
      <c r="BH61" s="704">
        <f t="shared" si="126"/>
        <v>0.1060238095</v>
      </c>
      <c r="BI61" s="704">
        <f t="shared" si="126"/>
        <v>0.1060238095</v>
      </c>
      <c r="BJ61" s="704">
        <f t="shared" si="126"/>
        <v>0.1060238095</v>
      </c>
      <c r="BK61" s="704">
        <f t="shared" si="126"/>
        <v>0.09043939394</v>
      </c>
    </row>
    <row r="62">
      <c r="A62" s="171" t="s">
        <v>252</v>
      </c>
      <c r="B62" s="172"/>
      <c r="C62" s="706" t="str">
        <f>C13-C45-#REF!-C50+'BUDGET 2018 (Archive)'!O35</f>
        <v>#REF!</v>
      </c>
      <c r="D62" s="706" t="str">
        <f>D13-D45-#REF!-D50+'BUDGET 2018 (Archive)'!P35</f>
        <v>#REF!</v>
      </c>
      <c r="E62" s="706" t="str">
        <f>E13-E45-#REF!-E50+'BUDGET 2018 (Archive)'!Q35</f>
        <v>#REF!</v>
      </c>
      <c r="F62" s="706" t="str">
        <f>F13-F45-#REF!-F50+'BUDGET 2018 (Archive)'!R35</f>
        <v>#REF!</v>
      </c>
      <c r="G62" s="706" t="str">
        <f>G13-G45-#REF!-G50+'BUDGET 2018 (Archive)'!S35</f>
        <v>#REF!</v>
      </c>
      <c r="H62" s="707" t="str">
        <f>H13-H45-#REF!-H50+'BUDGET 2018 (Archive)'!T35</f>
        <v>#REF!</v>
      </c>
      <c r="I62" s="706" t="str">
        <f>H62+I13-I45-#REF!-#REF!-I50</f>
        <v>#REF!</v>
      </c>
      <c r="J62" s="706">
        <f t="shared" ref="J62:L62" si="127">sum(J50:J60)</f>
        <v>3200</v>
      </c>
      <c r="K62" s="706">
        <f t="shared" si="127"/>
        <v>1000</v>
      </c>
      <c r="L62" s="706">
        <f t="shared" si="127"/>
        <v>1495</v>
      </c>
      <c r="M62" s="706">
        <f t="shared" ref="M62:O62" si="128">sum(M50:M57)+M60</f>
        <v>0</v>
      </c>
      <c r="N62" s="706">
        <f t="shared" si="128"/>
        <v>1757.5</v>
      </c>
      <c r="O62" s="706">
        <f t="shared" si="128"/>
        <v>2617</v>
      </c>
      <c r="P62" s="706">
        <f>sum(P50:P60)</f>
        <v>6954</v>
      </c>
      <c r="Q62" s="706">
        <f t="shared" ref="Q62:W62" si="129">sum(Q50:Q57)+Q60</f>
        <v>3093</v>
      </c>
      <c r="R62" s="706">
        <f t="shared" si="129"/>
        <v>3137.67975</v>
      </c>
      <c r="S62" s="706">
        <f t="shared" si="129"/>
        <v>6675</v>
      </c>
      <c r="T62" s="706">
        <f t="shared" si="129"/>
        <v>2126.825</v>
      </c>
      <c r="U62" s="706">
        <f t="shared" si="129"/>
        <v>2952.90525</v>
      </c>
      <c r="V62" s="706">
        <f t="shared" si="129"/>
        <v>3964.575</v>
      </c>
      <c r="W62" s="706">
        <f t="shared" si="129"/>
        <v>1611.825</v>
      </c>
      <c r="X62" s="706">
        <f t="shared" ref="X62:AO62" si="130">sum(X50:X58)</f>
        <v>2051.025</v>
      </c>
      <c r="Y62" s="706">
        <f t="shared" si="130"/>
        <v>2546.45</v>
      </c>
      <c r="Z62" s="706">
        <f t="shared" si="130"/>
        <v>3204.7</v>
      </c>
      <c r="AA62" s="706">
        <f t="shared" si="130"/>
        <v>4474.9525</v>
      </c>
      <c r="AB62" s="706">
        <f t="shared" si="130"/>
        <v>2793.2</v>
      </c>
      <c r="AC62" s="706">
        <f t="shared" si="130"/>
        <v>3135.291667</v>
      </c>
      <c r="AD62" s="706">
        <f t="shared" si="130"/>
        <v>3208.625</v>
      </c>
      <c r="AE62" s="706">
        <f t="shared" si="130"/>
        <v>14799.4225</v>
      </c>
      <c r="AF62" s="706">
        <f t="shared" si="130"/>
        <v>4333.1</v>
      </c>
      <c r="AG62" s="706">
        <f t="shared" si="130"/>
        <v>6671.5</v>
      </c>
      <c r="AH62" s="707">
        <f t="shared" si="130"/>
        <v>11870</v>
      </c>
      <c r="AI62" s="706">
        <f t="shared" si="130"/>
        <v>4942.193333</v>
      </c>
      <c r="AJ62" s="706">
        <f t="shared" si="130"/>
        <v>2942.193333</v>
      </c>
      <c r="AK62" s="706">
        <f t="shared" si="130"/>
        <v>4477.275</v>
      </c>
      <c r="AL62" s="706">
        <f t="shared" si="130"/>
        <v>8675.275</v>
      </c>
      <c r="AM62" s="706">
        <f t="shared" si="130"/>
        <v>5852.775</v>
      </c>
      <c r="AN62" s="706">
        <f t="shared" si="130"/>
        <v>13398.585</v>
      </c>
      <c r="AO62" s="706">
        <f t="shared" si="130"/>
        <v>2533.585</v>
      </c>
      <c r="AP62" s="706">
        <f>sum(AP50:AP60)</f>
        <v>28003.65</v>
      </c>
      <c r="AQ62" s="706">
        <f t="shared" ref="AQ62:BK62" si="131">sum(AQ50:AQ58)</f>
        <v>2433.585</v>
      </c>
      <c r="AR62" s="706">
        <f t="shared" si="131"/>
        <v>11201.085</v>
      </c>
      <c r="AS62" s="706">
        <f t="shared" si="131"/>
        <v>4291.56</v>
      </c>
      <c r="AT62" s="706">
        <f t="shared" si="131"/>
        <v>9429.14</v>
      </c>
      <c r="AU62" s="706">
        <f t="shared" si="131"/>
        <v>16828.585</v>
      </c>
      <c r="AV62" s="706">
        <f t="shared" si="131"/>
        <v>2433.585</v>
      </c>
      <c r="AW62" s="706">
        <f t="shared" si="131"/>
        <v>4640.71</v>
      </c>
      <c r="AX62" s="706">
        <f t="shared" si="131"/>
        <v>4489.4</v>
      </c>
      <c r="AY62" s="706">
        <f t="shared" si="131"/>
        <v>2335</v>
      </c>
      <c r="AZ62" s="706">
        <f t="shared" si="131"/>
        <v>17855.71</v>
      </c>
      <c r="BA62" s="706">
        <f t="shared" si="131"/>
        <v>21399</v>
      </c>
      <c r="BB62" s="706">
        <f t="shared" si="131"/>
        <v>3300</v>
      </c>
      <c r="BC62" s="706">
        <f t="shared" si="131"/>
        <v>2722.875</v>
      </c>
      <c r="BD62" s="706">
        <f t="shared" si="131"/>
        <v>6022.875</v>
      </c>
      <c r="BE62" s="706">
        <f t="shared" si="131"/>
        <v>6022.875</v>
      </c>
      <c r="BF62" s="706">
        <f t="shared" si="131"/>
        <v>6022.875</v>
      </c>
      <c r="BG62" s="706">
        <f t="shared" si="131"/>
        <v>6022.875</v>
      </c>
      <c r="BH62" s="706">
        <f t="shared" si="131"/>
        <v>6022.875</v>
      </c>
      <c r="BI62" s="706">
        <f t="shared" si="131"/>
        <v>6022.875</v>
      </c>
      <c r="BJ62" s="706">
        <f t="shared" si="131"/>
        <v>6022.875</v>
      </c>
      <c r="BK62" s="706">
        <f t="shared" si="131"/>
        <v>5122.875</v>
      </c>
    </row>
    <row r="63">
      <c r="A63" s="240"/>
      <c r="B63" s="241"/>
      <c r="C63" s="177"/>
      <c r="D63" s="177"/>
      <c r="E63" s="177"/>
      <c r="F63" s="177"/>
      <c r="G63" s="177"/>
      <c r="H63" s="178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8"/>
      <c r="AI63" s="177"/>
      <c r="AJ63" s="177"/>
      <c r="AK63" s="177"/>
      <c r="AL63" s="177"/>
      <c r="AM63" s="177"/>
      <c r="AN63" s="177"/>
      <c r="AO63" s="177"/>
      <c r="AP63" s="177"/>
      <c r="AQ63" s="177"/>
      <c r="AR63" s="177"/>
      <c r="AS63" s="177"/>
      <c r="AT63" s="177"/>
      <c r="AU63" s="177"/>
      <c r="AV63" s="177"/>
      <c r="AW63" s="177"/>
      <c r="AX63" s="177"/>
      <c r="AY63" s="177"/>
      <c r="AZ63" s="177"/>
      <c r="BA63" s="177"/>
      <c r="BB63" s="177"/>
      <c r="BC63" s="177"/>
      <c r="BD63" s="177"/>
      <c r="BE63" s="177"/>
      <c r="BF63" s="177"/>
      <c r="BG63" s="177"/>
      <c r="BH63" s="177"/>
      <c r="BI63" s="177"/>
      <c r="BJ63" s="177"/>
      <c r="BK63" s="177"/>
    </row>
    <row r="64">
      <c r="A64" s="243"/>
      <c r="B64" s="244"/>
      <c r="C64" s="245"/>
      <c r="D64" s="245"/>
      <c r="E64" s="245"/>
      <c r="F64" s="245"/>
      <c r="G64" s="245"/>
      <c r="H64" s="246"/>
      <c r="I64" s="245"/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  <c r="AB64" s="245"/>
      <c r="AC64" s="245"/>
      <c r="AD64" s="245"/>
      <c r="AE64" s="245"/>
      <c r="AF64" s="245"/>
      <c r="AG64" s="245"/>
      <c r="AH64" s="246"/>
      <c r="AI64" s="245"/>
      <c r="AJ64" s="245"/>
      <c r="AK64" s="245"/>
      <c r="AL64" s="245"/>
      <c r="AM64" s="245"/>
      <c r="AN64" s="245"/>
      <c r="AO64" s="245"/>
      <c r="AP64" s="245"/>
      <c r="AQ64" s="245"/>
      <c r="AR64" s="245"/>
      <c r="AS64" s="245"/>
      <c r="AT64" s="245"/>
      <c r="AU64" s="245"/>
      <c r="AV64" s="245"/>
      <c r="AW64" s="245"/>
      <c r="AX64" s="245"/>
      <c r="AY64" s="245"/>
      <c r="AZ64" s="245"/>
      <c r="BA64" s="245"/>
      <c r="BB64" s="245"/>
      <c r="BC64" s="245"/>
      <c r="BD64" s="245"/>
      <c r="BE64" s="245"/>
      <c r="BF64" s="245"/>
      <c r="BG64" s="245"/>
      <c r="BH64" s="245"/>
      <c r="BI64" s="245"/>
      <c r="BJ64" s="245"/>
      <c r="BK64" s="245"/>
    </row>
    <row r="65">
      <c r="A65" s="249" t="s">
        <v>253</v>
      </c>
      <c r="B65" s="708"/>
      <c r="C65" s="177"/>
      <c r="D65" s="177"/>
      <c r="E65" s="177"/>
      <c r="F65" s="177"/>
      <c r="G65" s="177"/>
      <c r="H65" s="178"/>
      <c r="I65" s="177"/>
      <c r="J65" s="177" t="str">
        <f t="shared" ref="J65:K65" si="132">J13-#REF!-J45-J62</f>
        <v>#REF!</v>
      </c>
      <c r="K65" s="177" t="str">
        <f t="shared" si="132"/>
        <v>#REF!</v>
      </c>
      <c r="L65" s="177" t="str">
        <f t="shared" ref="L65:M65" si="133">L13-#REF!-L45-L62+K65</f>
        <v>#REF!</v>
      </c>
      <c r="M65" s="177" t="str">
        <f t="shared" si="133"/>
        <v>#REF!</v>
      </c>
      <c r="N65" s="177">
        <f>N13-N45-N62</f>
        <v>2020.5</v>
      </c>
      <c r="O65" s="177">
        <f>N65+O13-O45-O62</f>
        <v>4252.5</v>
      </c>
      <c r="P65" s="177">
        <f>P13-P45-P62+P58</f>
        <v>297.0622682</v>
      </c>
      <c r="Q65" s="709">
        <f t="shared" ref="Q65:R65" si="134">Q13-Q45-Q62+Q58+P65</f>
        <v>575.2805322</v>
      </c>
      <c r="R65" s="709">
        <f t="shared" si="134"/>
        <v>608.5017101</v>
      </c>
      <c r="S65" s="709">
        <f>S13-S45-S62+S58+100</f>
        <v>513.050056</v>
      </c>
      <c r="T65" s="709">
        <f t="shared" ref="T65:W65" si="135">T13-T45-T62+T58+S65</f>
        <v>-1066.895358</v>
      </c>
      <c r="U65" s="709">
        <f t="shared" si="135"/>
        <v>890.1095741</v>
      </c>
      <c r="V65" s="709">
        <f t="shared" si="135"/>
        <v>-739.754882</v>
      </c>
      <c r="W65" s="709">
        <f t="shared" si="135"/>
        <v>1252.163362</v>
      </c>
      <c r="X65" s="709">
        <f>X13-X45-X62+X58</f>
        <v>-1951.510327</v>
      </c>
      <c r="Y65" s="709">
        <f t="shared" ref="Y65:AH65" si="136">Y13-Y45-Y62+Y58+X65</f>
        <v>2803.564673</v>
      </c>
      <c r="Z65" s="709">
        <f t="shared" si="136"/>
        <v>1629.214673</v>
      </c>
      <c r="AA65" s="709">
        <f t="shared" si="136"/>
        <v>-869.7278271</v>
      </c>
      <c r="AB65" s="709">
        <f t="shared" si="136"/>
        <v>179.5071729</v>
      </c>
      <c r="AC65" s="709">
        <f t="shared" si="136"/>
        <v>385.6505062</v>
      </c>
      <c r="AD65" s="709">
        <f t="shared" si="136"/>
        <v>1618.460506</v>
      </c>
      <c r="AE65" s="709">
        <f t="shared" si="136"/>
        <v>1760.473006</v>
      </c>
      <c r="AF65" s="709">
        <f t="shared" si="136"/>
        <v>3168.808006</v>
      </c>
      <c r="AG65" s="709">
        <f t="shared" si="136"/>
        <v>3338.743006</v>
      </c>
      <c r="AH65" s="710">
        <f t="shared" si="136"/>
        <v>6756.653006</v>
      </c>
      <c r="AI65" s="709">
        <f>AI13-AI45-AI62+AI58+AG65</f>
        <v>1457.459673</v>
      </c>
      <c r="AJ65" s="709">
        <f t="shared" ref="AJ65:AK65" si="137">AJ13-AJ45-AJ62+AJ58</f>
        <v>318.7166667</v>
      </c>
      <c r="AK65" s="709">
        <f t="shared" si="137"/>
        <v>8470.725</v>
      </c>
      <c r="AL65" s="709">
        <f t="shared" ref="AL65:AU65" si="138">AL13-AL45-AL62+AL58+AK65</f>
        <v>1168.45</v>
      </c>
      <c r="AM65" s="709">
        <f t="shared" si="138"/>
        <v>501.675</v>
      </c>
      <c r="AN65" s="709">
        <f t="shared" si="138"/>
        <v>2289.09</v>
      </c>
      <c r="AO65" s="709">
        <f t="shared" si="138"/>
        <v>5941.505</v>
      </c>
      <c r="AP65" s="709">
        <f t="shared" si="138"/>
        <v>2198.855</v>
      </c>
      <c r="AQ65" s="709">
        <f t="shared" si="138"/>
        <v>4926.27</v>
      </c>
      <c r="AR65" s="709">
        <f t="shared" si="138"/>
        <v>-1113.815</v>
      </c>
      <c r="AS65" s="709">
        <f t="shared" si="138"/>
        <v>-272.375</v>
      </c>
      <c r="AT65" s="709">
        <f t="shared" si="138"/>
        <v>210.595</v>
      </c>
      <c r="AU65" s="709">
        <f t="shared" si="138"/>
        <v>4643.01</v>
      </c>
      <c r="AV65" s="709">
        <f>0</f>
        <v>0</v>
      </c>
      <c r="AW65" s="709">
        <f t="shared" ref="AW65:AY65" si="139">AW13-AW45-AW62+AW58</f>
        <v>0.29</v>
      </c>
      <c r="AX65" s="709">
        <f t="shared" si="139"/>
        <v>2995.6</v>
      </c>
      <c r="AY65" s="709">
        <f t="shared" si="139"/>
        <v>5106</v>
      </c>
      <c r="AZ65" s="709">
        <f>AZ13-AZ45-AZ62+AZ58+AY65</f>
        <v>6566.29</v>
      </c>
      <c r="BA65" s="709">
        <f>BA13-BA45-BA62+BA58</f>
        <v>2692</v>
      </c>
      <c r="BB65" s="709">
        <f t="shared" ref="BB65:BK65" si="140">BB13-BB45-BB62+BB58+BA65</f>
        <v>3483</v>
      </c>
      <c r="BC65" s="709">
        <f t="shared" si="140"/>
        <v>-298.875</v>
      </c>
      <c r="BD65" s="709">
        <f t="shared" si="140"/>
        <v>296419.25</v>
      </c>
      <c r="BE65" s="709">
        <f t="shared" si="140"/>
        <v>300487.375</v>
      </c>
      <c r="BF65" s="709">
        <f t="shared" si="140"/>
        <v>304555.5</v>
      </c>
      <c r="BG65" s="709">
        <f t="shared" si="140"/>
        <v>449873.625</v>
      </c>
      <c r="BH65" s="709">
        <f t="shared" si="140"/>
        <v>495191.75</v>
      </c>
      <c r="BI65" s="709">
        <f t="shared" si="140"/>
        <v>540509.875</v>
      </c>
      <c r="BJ65" s="709">
        <f t="shared" si="140"/>
        <v>585828</v>
      </c>
      <c r="BK65" s="709">
        <f t="shared" si="140"/>
        <v>632046.125</v>
      </c>
    </row>
    <row r="66">
      <c r="A66" s="251"/>
      <c r="B66" s="252"/>
      <c r="C66" s="177"/>
      <c r="D66" s="177"/>
      <c r="E66" s="177"/>
      <c r="F66" s="177"/>
      <c r="G66" s="177"/>
      <c r="H66" s="178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8"/>
      <c r="AI66" s="177"/>
      <c r="AJ66" s="177"/>
      <c r="AK66" s="177"/>
      <c r="AL66" s="177"/>
      <c r="AM66" s="177"/>
      <c r="AN66" s="177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177"/>
      <c r="AZ66" s="177"/>
      <c r="BA66" s="177"/>
      <c r="BB66" s="177"/>
      <c r="BC66" s="177"/>
      <c r="BD66" s="177"/>
      <c r="BE66" s="177"/>
      <c r="BF66" s="177"/>
      <c r="BG66" s="177"/>
      <c r="BH66" s="177"/>
      <c r="BI66" s="177"/>
      <c r="BJ66" s="177"/>
      <c r="BK66" s="177"/>
    </row>
    <row r="67">
      <c r="A67" s="251"/>
      <c r="B67" s="252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  <c r="AJ67" s="177"/>
      <c r="AK67" s="177"/>
      <c r="AL67" s="177"/>
      <c r="AM67" s="177"/>
      <c r="AN67" s="177"/>
      <c r="AO67" s="177"/>
      <c r="AP67" s="177"/>
      <c r="AQ67" s="177"/>
      <c r="AR67" s="177"/>
      <c r="AS67" s="177"/>
      <c r="AT67" s="177"/>
      <c r="AU67" s="177"/>
      <c r="AV67" s="177"/>
      <c r="AW67" s="177"/>
      <c r="AX67" s="177"/>
      <c r="AY67" s="177"/>
      <c r="AZ67" s="177"/>
      <c r="BA67" s="177"/>
      <c r="BB67" s="177"/>
      <c r="BC67" s="177"/>
      <c r="BD67" s="177"/>
      <c r="BE67" s="177"/>
      <c r="BF67" s="177"/>
      <c r="BG67" s="177"/>
      <c r="BH67" s="177"/>
      <c r="BI67" s="177"/>
      <c r="BJ67" s="177"/>
      <c r="BK67" s="177"/>
    </row>
    <row r="68">
      <c r="A68" s="251"/>
      <c r="B68" s="252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77"/>
      <c r="AI68" s="177"/>
      <c r="AJ68" s="177"/>
      <c r="AK68" s="177"/>
      <c r="AL68" s="177"/>
      <c r="AM68" s="177"/>
      <c r="AN68" s="177"/>
      <c r="AO68" s="177"/>
      <c r="AP68" s="177"/>
      <c r="AQ68" s="177"/>
      <c r="AR68" s="177"/>
      <c r="AS68" s="177"/>
      <c r="AT68" s="177"/>
      <c r="AU68" s="177"/>
      <c r="AV68" s="177"/>
      <c r="AW68" s="177"/>
      <c r="AX68" s="177"/>
      <c r="AY68" s="177"/>
      <c r="AZ68" s="177"/>
      <c r="BA68" s="177"/>
      <c r="BB68" s="177"/>
      <c r="BC68" s="177"/>
      <c r="BD68" s="177"/>
      <c r="BE68" s="177"/>
      <c r="BF68" s="177"/>
      <c r="BG68" s="177"/>
      <c r="BH68" s="177"/>
      <c r="BI68" s="177"/>
      <c r="BJ68" s="177"/>
      <c r="BK68" s="177"/>
    </row>
  </sheetData>
  <conditionalFormatting sqref="J65:BK65">
    <cfRule type="cellIs" dxfId="0" priority="1" operator="greaterThan">
      <formula>0</formula>
    </cfRule>
  </conditionalFormatting>
  <conditionalFormatting sqref="J65:BK65">
    <cfRule type="cellIs" dxfId="1" priority="2" operator="lessThan">
      <formula>0</formula>
    </cfRule>
  </conditionalFormatting>
  <conditionalFormatting sqref="Q26:BK26">
    <cfRule type="cellIs" dxfId="2" priority="3" operator="lessThanOrEqual">
      <formula>"50%"</formula>
    </cfRule>
  </conditionalFormatting>
  <conditionalFormatting sqref="Q26:BK26">
    <cfRule type="cellIs" dxfId="3" priority="4" operator="greaterThanOrEqual">
      <formula>"50%"</formula>
    </cfRule>
  </conditionalFormatting>
  <conditionalFormatting sqref="Q44:BK44">
    <cfRule type="cellIs" dxfId="2" priority="5" operator="lessThanOrEqual">
      <formula>"30%"</formula>
    </cfRule>
  </conditionalFormatting>
  <conditionalFormatting sqref="Q44:BK44">
    <cfRule type="cellIs" dxfId="3" priority="6" operator="greaterThanOrEqual">
      <formula>"30%"</formula>
    </cfRule>
  </conditionalFormatting>
  <conditionalFormatting sqref="Q61:BK61">
    <cfRule type="cellIs" dxfId="2" priority="7" operator="between">
      <formula>"20%"</formula>
      <formula>"30%"</formula>
    </cfRule>
  </conditionalFormatting>
  <conditionalFormatting sqref="Q61:BK61">
    <cfRule type="cellIs" dxfId="3" priority="8" operator="lessThanOrEqual">
      <formula>"20%"</formula>
    </cfRule>
  </conditionalFormatting>
  <conditionalFormatting sqref="R61:BK61">
    <cfRule type="cellIs" dxfId="8" priority="9" operator="greaterThan">
      <formula>"30%"</formula>
    </cfRule>
  </conditionalFormatting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25"/>
    <col customWidth="1" min="3" max="3" width="19.88"/>
    <col customWidth="1" min="4" max="4" width="16.0"/>
    <col customWidth="1" min="5" max="5" width="55.38"/>
  </cols>
  <sheetData>
    <row r="1">
      <c r="A1" s="711" t="s">
        <v>583</v>
      </c>
      <c r="B1" s="711" t="s">
        <v>584</v>
      </c>
      <c r="C1" s="711" t="s">
        <v>585</v>
      </c>
      <c r="D1" s="711" t="s">
        <v>352</v>
      </c>
      <c r="E1" s="712" t="s">
        <v>404</v>
      </c>
    </row>
    <row r="2" hidden="1">
      <c r="A2" s="713" t="s">
        <v>586</v>
      </c>
      <c r="B2" s="714">
        <v>1.0</v>
      </c>
      <c r="C2" s="715">
        <v>43678.0</v>
      </c>
      <c r="D2" s="716" t="s">
        <v>587</v>
      </c>
      <c r="E2" s="717"/>
    </row>
    <row r="3" hidden="1">
      <c r="A3" s="718" t="s">
        <v>588</v>
      </c>
      <c r="B3" s="719">
        <v>1.0</v>
      </c>
      <c r="C3" s="715">
        <v>43678.0</v>
      </c>
      <c r="D3" s="716" t="s">
        <v>587</v>
      </c>
      <c r="E3" s="720"/>
    </row>
    <row r="4" hidden="1">
      <c r="A4" s="721" t="s">
        <v>589</v>
      </c>
      <c r="B4" s="719">
        <v>1.0</v>
      </c>
      <c r="C4" s="715">
        <v>43709.0</v>
      </c>
      <c r="D4" s="716" t="s">
        <v>587</v>
      </c>
      <c r="E4" s="720"/>
    </row>
    <row r="5" hidden="1">
      <c r="A5" s="722" t="s">
        <v>590</v>
      </c>
      <c r="B5" s="714">
        <v>2.0</v>
      </c>
      <c r="C5" s="723">
        <v>43709.0</v>
      </c>
      <c r="D5" s="716" t="s">
        <v>587</v>
      </c>
      <c r="E5" s="717"/>
    </row>
    <row r="6">
      <c r="A6" s="724" t="s">
        <v>591</v>
      </c>
      <c r="B6" s="725">
        <v>1.0</v>
      </c>
      <c r="C6" s="726">
        <v>43819.0</v>
      </c>
      <c r="D6" s="727" t="s">
        <v>592</v>
      </c>
      <c r="E6" s="728" t="s">
        <v>593</v>
      </c>
    </row>
    <row r="7">
      <c r="A7" s="729" t="s">
        <v>594</v>
      </c>
      <c r="B7" s="725">
        <v>1.0</v>
      </c>
      <c r="C7" s="726">
        <v>43831.0</v>
      </c>
      <c r="D7" s="730" t="s">
        <v>595</v>
      </c>
      <c r="E7" s="731"/>
    </row>
    <row r="8">
      <c r="A8" s="732" t="s">
        <v>596</v>
      </c>
      <c r="B8" s="733">
        <v>1.0</v>
      </c>
      <c r="C8" s="734">
        <v>43831.0</v>
      </c>
      <c r="D8" s="735" t="s">
        <v>595</v>
      </c>
      <c r="E8" s="736"/>
    </row>
    <row r="9">
      <c r="A9" s="737" t="s">
        <v>597</v>
      </c>
      <c r="B9" s="738">
        <v>2.0</v>
      </c>
      <c r="C9" s="739">
        <v>43862.0</v>
      </c>
      <c r="D9" s="730" t="s">
        <v>595</v>
      </c>
      <c r="E9" s="740"/>
    </row>
    <row r="10">
      <c r="A10" s="737" t="s">
        <v>598</v>
      </c>
      <c r="B10" s="738">
        <v>2.0</v>
      </c>
      <c r="C10" s="739">
        <v>43862.0</v>
      </c>
      <c r="D10" s="741" t="s">
        <v>599</v>
      </c>
      <c r="E10" s="742"/>
    </row>
    <row r="11">
      <c r="A11" s="737" t="s">
        <v>600</v>
      </c>
      <c r="B11" s="738">
        <v>2.0</v>
      </c>
      <c r="C11" s="739">
        <v>43862.0</v>
      </c>
      <c r="D11" s="741" t="s">
        <v>599</v>
      </c>
      <c r="E11" s="743"/>
    </row>
    <row r="12">
      <c r="A12" s="744" t="s">
        <v>601</v>
      </c>
      <c r="B12" s="738">
        <v>2.0</v>
      </c>
      <c r="C12" s="739">
        <v>43864.0</v>
      </c>
      <c r="D12" s="741" t="s">
        <v>599</v>
      </c>
      <c r="E12" s="740"/>
    </row>
    <row r="13">
      <c r="A13" s="744" t="s">
        <v>602</v>
      </c>
      <c r="B13" s="738">
        <v>1.0</v>
      </c>
      <c r="C13" s="739">
        <v>43865.0</v>
      </c>
      <c r="D13" s="741" t="s">
        <v>599</v>
      </c>
      <c r="E13" s="740"/>
    </row>
    <row r="14">
      <c r="A14" s="744" t="s">
        <v>603</v>
      </c>
      <c r="B14" s="738">
        <v>2.0</v>
      </c>
      <c r="C14" s="739">
        <v>43862.0</v>
      </c>
      <c r="D14" s="741" t="s">
        <v>599</v>
      </c>
      <c r="E14" s="740"/>
    </row>
    <row r="15">
      <c r="A15" s="744" t="s">
        <v>604</v>
      </c>
      <c r="B15" s="738">
        <v>2.0</v>
      </c>
      <c r="C15" s="739">
        <v>43862.0</v>
      </c>
      <c r="D15" s="730" t="s">
        <v>595</v>
      </c>
      <c r="E15" s="745" t="s">
        <v>605</v>
      </c>
    </row>
    <row r="16">
      <c r="A16" s="746" t="s">
        <v>606</v>
      </c>
      <c r="B16" s="747">
        <v>2.0</v>
      </c>
      <c r="C16" s="748">
        <v>43864.0</v>
      </c>
      <c r="D16" s="749" t="s">
        <v>595</v>
      </c>
      <c r="E16" s="750" t="s">
        <v>607</v>
      </c>
    </row>
    <row r="17">
      <c r="A17" s="751" t="s">
        <v>608</v>
      </c>
      <c r="B17" s="738">
        <v>2.0</v>
      </c>
      <c r="C17" s="739">
        <v>43862.0</v>
      </c>
      <c r="D17" s="741" t="s">
        <v>599</v>
      </c>
      <c r="E17" s="752" t="s">
        <v>609</v>
      </c>
    </row>
    <row r="18">
      <c r="A18" s="753" t="s">
        <v>610</v>
      </c>
      <c r="B18" s="754">
        <v>3.0</v>
      </c>
      <c r="C18" s="755">
        <v>43891.0</v>
      </c>
      <c r="D18" s="730" t="s">
        <v>595</v>
      </c>
      <c r="E18" s="756" t="s">
        <v>611</v>
      </c>
    </row>
    <row r="19">
      <c r="A19" s="757" t="s">
        <v>612</v>
      </c>
      <c r="B19" s="754">
        <v>3.0</v>
      </c>
      <c r="C19" s="755">
        <v>43892.0</v>
      </c>
      <c r="D19" s="741" t="s">
        <v>599</v>
      </c>
      <c r="E19" s="758"/>
    </row>
    <row r="20">
      <c r="A20" s="753" t="s">
        <v>613</v>
      </c>
      <c r="B20" s="754">
        <v>3.0</v>
      </c>
      <c r="C20" s="755">
        <v>43893.0</v>
      </c>
      <c r="D20" s="730" t="s">
        <v>595</v>
      </c>
      <c r="E20" s="756" t="s">
        <v>614</v>
      </c>
    </row>
    <row r="21">
      <c r="A21" s="757" t="s">
        <v>615</v>
      </c>
      <c r="B21" s="754">
        <v>3.0</v>
      </c>
      <c r="C21" s="755">
        <v>43894.0</v>
      </c>
      <c r="D21" s="730" t="s">
        <v>595</v>
      </c>
      <c r="E21" s="759"/>
    </row>
    <row r="22">
      <c r="A22" s="753" t="s">
        <v>616</v>
      </c>
      <c r="B22" s="754">
        <v>3.0</v>
      </c>
      <c r="C22" s="755">
        <v>43923.0</v>
      </c>
      <c r="D22" s="730" t="s">
        <v>595</v>
      </c>
      <c r="E22" s="760"/>
    </row>
    <row r="23">
      <c r="A23" s="753" t="s">
        <v>617</v>
      </c>
      <c r="B23" s="754">
        <v>3.0</v>
      </c>
      <c r="C23" s="755">
        <v>43922.0</v>
      </c>
      <c r="D23" s="730" t="s">
        <v>595</v>
      </c>
      <c r="E23" s="760" t="s">
        <v>618</v>
      </c>
    </row>
    <row r="24">
      <c r="A24" s="757" t="s">
        <v>619</v>
      </c>
      <c r="B24" s="754">
        <v>3.0</v>
      </c>
      <c r="C24" s="755">
        <v>43983.0</v>
      </c>
      <c r="D24" s="730" t="s">
        <v>595</v>
      </c>
      <c r="E24" s="761"/>
    </row>
    <row r="25">
      <c r="A25" s="762" t="s">
        <v>620</v>
      </c>
      <c r="B25" s="763">
        <v>3.0</v>
      </c>
      <c r="C25" s="764">
        <v>43924.0</v>
      </c>
      <c r="D25" s="749" t="s">
        <v>595</v>
      </c>
      <c r="E25" s="765"/>
    </row>
    <row r="26">
      <c r="A26" s="757" t="s">
        <v>621</v>
      </c>
      <c r="B26" s="754">
        <v>4.0</v>
      </c>
      <c r="C26" s="755">
        <v>44166.0</v>
      </c>
      <c r="D26" s="730" t="s">
        <v>595</v>
      </c>
      <c r="E26" s="754" t="s">
        <v>622</v>
      </c>
    </row>
    <row r="27">
      <c r="A27" s="757" t="s">
        <v>623</v>
      </c>
      <c r="B27" s="754">
        <v>4.0</v>
      </c>
      <c r="C27" s="755">
        <v>44166.0</v>
      </c>
      <c r="D27" s="730" t="s">
        <v>595</v>
      </c>
      <c r="E27" s="754" t="s">
        <v>622</v>
      </c>
    </row>
    <row r="28">
      <c r="A28" s="753" t="s">
        <v>624</v>
      </c>
      <c r="B28" s="754">
        <v>4.0</v>
      </c>
      <c r="C28" s="755">
        <v>44166.0</v>
      </c>
      <c r="D28" s="730" t="s">
        <v>595</v>
      </c>
      <c r="E28" s="766"/>
    </row>
    <row r="29">
      <c r="A29" s="757" t="s">
        <v>625</v>
      </c>
      <c r="B29" s="754">
        <v>4.0</v>
      </c>
      <c r="C29" s="754">
        <v>2022.0</v>
      </c>
      <c r="D29" s="730" t="s">
        <v>595</v>
      </c>
      <c r="E29" s="761"/>
    </row>
    <row r="30">
      <c r="A30" s="757" t="s">
        <v>626</v>
      </c>
      <c r="B30" s="754">
        <v>4.0</v>
      </c>
      <c r="C30" s="754">
        <v>2022.0</v>
      </c>
      <c r="D30" s="730" t="s">
        <v>595</v>
      </c>
      <c r="E30" s="761"/>
    </row>
    <row r="31">
      <c r="A31" s="757" t="s">
        <v>627</v>
      </c>
      <c r="B31" s="754">
        <v>4.0</v>
      </c>
      <c r="C31" s="754">
        <v>2022.0</v>
      </c>
      <c r="D31" s="730" t="s">
        <v>595</v>
      </c>
      <c r="E31" s="761"/>
    </row>
    <row r="32">
      <c r="A32" s="757" t="s">
        <v>628</v>
      </c>
      <c r="B32" s="754">
        <v>4.0</v>
      </c>
      <c r="C32" s="754">
        <v>2022.0</v>
      </c>
      <c r="D32" s="730" t="s">
        <v>595</v>
      </c>
      <c r="E32" s="761"/>
    </row>
    <row r="33">
      <c r="A33" s="757" t="s">
        <v>629</v>
      </c>
      <c r="B33" s="754">
        <v>4.0</v>
      </c>
      <c r="C33" s="754">
        <v>2022.0</v>
      </c>
      <c r="D33" s="730" t="s">
        <v>595</v>
      </c>
      <c r="E33" s="761"/>
    </row>
    <row r="34">
      <c r="A34" s="767"/>
      <c r="B34" s="754"/>
      <c r="C34" s="767"/>
      <c r="D34" s="754"/>
      <c r="E34" s="767"/>
    </row>
    <row r="35">
      <c r="A35" s="767"/>
      <c r="B35" s="767"/>
      <c r="C35" s="767"/>
      <c r="D35" s="767"/>
      <c r="E35" s="767"/>
    </row>
    <row r="36">
      <c r="A36" s="767"/>
      <c r="B36" s="767"/>
      <c r="C36" s="767"/>
      <c r="D36" s="767"/>
      <c r="E36" s="767"/>
    </row>
    <row r="37">
      <c r="A37" s="767"/>
      <c r="B37" s="767"/>
      <c r="C37" s="767"/>
      <c r="D37" s="767"/>
      <c r="E37" s="767"/>
    </row>
    <row r="38">
      <c r="A38" s="767"/>
      <c r="B38" s="767"/>
      <c r="C38" s="767"/>
      <c r="D38" s="767"/>
      <c r="E38" s="767"/>
    </row>
    <row r="39">
      <c r="A39" s="767"/>
      <c r="B39" s="767"/>
      <c r="C39" s="767"/>
      <c r="D39" s="767"/>
      <c r="E39" s="767"/>
    </row>
    <row r="40">
      <c r="A40" s="767"/>
      <c r="B40" s="767"/>
      <c r="C40" s="767"/>
      <c r="D40" s="767"/>
      <c r="E40" s="767"/>
    </row>
    <row r="41">
      <c r="A41" s="767"/>
      <c r="B41" s="767"/>
      <c r="C41" s="767"/>
      <c r="D41" s="767"/>
      <c r="E41" s="767"/>
    </row>
    <row r="42">
      <c r="A42" s="767"/>
      <c r="B42" s="767"/>
      <c r="C42" s="767"/>
      <c r="D42" s="767"/>
      <c r="E42" s="767"/>
    </row>
    <row r="43">
      <c r="A43" s="767"/>
      <c r="B43" s="767"/>
      <c r="C43" s="767"/>
      <c r="D43" s="767"/>
      <c r="E43" s="767"/>
    </row>
    <row r="44">
      <c r="A44" s="767"/>
      <c r="B44" s="767"/>
      <c r="C44" s="767"/>
      <c r="D44" s="767"/>
      <c r="E44" s="767"/>
    </row>
    <row r="45">
      <c r="A45" s="767"/>
      <c r="B45" s="767"/>
      <c r="C45" s="767"/>
      <c r="D45" s="767"/>
      <c r="E45" s="767"/>
    </row>
    <row r="46">
      <c r="A46" s="767"/>
      <c r="B46" s="767"/>
      <c r="C46" s="767"/>
      <c r="D46" s="767"/>
      <c r="E46" s="767"/>
    </row>
    <row r="47">
      <c r="A47" s="767"/>
      <c r="B47" s="767"/>
      <c r="C47" s="767"/>
      <c r="D47" s="767"/>
      <c r="E47" s="767"/>
    </row>
    <row r="48">
      <c r="A48" s="767"/>
      <c r="B48" s="767"/>
      <c r="C48" s="767"/>
      <c r="D48" s="767"/>
      <c r="E48" s="767"/>
    </row>
    <row r="49">
      <c r="A49" s="767"/>
      <c r="B49" s="767"/>
      <c r="C49" s="767"/>
      <c r="D49" s="767"/>
      <c r="E49" s="767"/>
    </row>
    <row r="50">
      <c r="A50" s="767"/>
      <c r="B50" s="767"/>
      <c r="C50" s="767"/>
      <c r="D50" s="767"/>
      <c r="E50" s="767"/>
    </row>
    <row r="51">
      <c r="A51" s="767"/>
      <c r="B51" s="767"/>
      <c r="C51" s="767"/>
      <c r="D51" s="767"/>
      <c r="E51" s="767"/>
    </row>
    <row r="52">
      <c r="A52" s="767"/>
      <c r="B52" s="767"/>
      <c r="C52" s="767"/>
      <c r="D52" s="767"/>
      <c r="E52" s="767"/>
    </row>
    <row r="53">
      <c r="A53" s="767"/>
      <c r="B53" s="767"/>
      <c r="C53" s="767"/>
      <c r="D53" s="767"/>
      <c r="E53" s="767"/>
    </row>
    <row r="54">
      <c r="A54" s="767"/>
      <c r="B54" s="767"/>
      <c r="C54" s="767"/>
      <c r="D54" s="767"/>
      <c r="E54" s="767"/>
    </row>
    <row r="55">
      <c r="A55" s="767"/>
      <c r="B55" s="767"/>
      <c r="C55" s="767"/>
      <c r="D55" s="767"/>
      <c r="E55" s="767"/>
    </row>
    <row r="56">
      <c r="A56" s="767"/>
      <c r="B56" s="767"/>
      <c r="C56" s="767"/>
      <c r="D56" s="767"/>
      <c r="E56" s="767"/>
    </row>
    <row r="57">
      <c r="A57" s="767"/>
      <c r="B57" s="767"/>
      <c r="C57" s="767"/>
      <c r="D57" s="767"/>
      <c r="E57" s="767"/>
    </row>
    <row r="58">
      <c r="A58" s="767"/>
      <c r="B58" s="767"/>
      <c r="C58" s="767"/>
      <c r="D58" s="767"/>
      <c r="E58" s="767"/>
    </row>
    <row r="59">
      <c r="A59" s="767"/>
      <c r="B59" s="767"/>
      <c r="C59" s="767"/>
      <c r="D59" s="767"/>
      <c r="E59" s="767"/>
    </row>
    <row r="60">
      <c r="A60" s="767"/>
      <c r="B60" s="767"/>
      <c r="C60" s="767"/>
      <c r="D60" s="767"/>
      <c r="E60" s="767"/>
    </row>
    <row r="61">
      <c r="A61" s="767"/>
      <c r="B61" s="767"/>
      <c r="C61" s="767"/>
      <c r="D61" s="767"/>
      <c r="E61" s="767"/>
    </row>
    <row r="62">
      <c r="A62" s="767"/>
      <c r="B62" s="767"/>
      <c r="C62" s="767"/>
      <c r="D62" s="767"/>
      <c r="E62" s="767"/>
    </row>
    <row r="63">
      <c r="A63" s="767"/>
      <c r="B63" s="767"/>
      <c r="C63" s="767"/>
      <c r="D63" s="767"/>
      <c r="E63" s="767"/>
    </row>
    <row r="64">
      <c r="A64" s="767"/>
      <c r="B64" s="767"/>
      <c r="C64" s="767"/>
      <c r="D64" s="767"/>
      <c r="E64" s="767"/>
    </row>
    <row r="65">
      <c r="A65" s="767"/>
      <c r="B65" s="767"/>
      <c r="C65" s="767"/>
      <c r="D65" s="767"/>
      <c r="E65" s="767"/>
    </row>
    <row r="66">
      <c r="A66" s="767"/>
      <c r="B66" s="767"/>
      <c r="C66" s="767"/>
      <c r="D66" s="767"/>
      <c r="E66" s="767"/>
    </row>
    <row r="67">
      <c r="A67" s="767"/>
      <c r="B67" s="767"/>
      <c r="C67" s="767"/>
      <c r="D67" s="767"/>
      <c r="E67" s="767"/>
    </row>
    <row r="68">
      <c r="A68" s="767"/>
      <c r="B68" s="767"/>
      <c r="C68" s="767"/>
      <c r="D68" s="767"/>
      <c r="E68" s="767"/>
    </row>
    <row r="69">
      <c r="A69" s="767"/>
      <c r="B69" s="767"/>
      <c r="C69" s="767"/>
      <c r="D69" s="767"/>
      <c r="E69" s="767"/>
    </row>
    <row r="70">
      <c r="A70" s="767"/>
      <c r="B70" s="767"/>
      <c r="C70" s="767"/>
      <c r="D70" s="767"/>
      <c r="E70" s="767"/>
    </row>
    <row r="71">
      <c r="A71" s="767"/>
      <c r="B71" s="767"/>
      <c r="C71" s="767"/>
      <c r="D71" s="767"/>
      <c r="E71" s="767"/>
    </row>
    <row r="72">
      <c r="A72" s="767"/>
      <c r="B72" s="767"/>
      <c r="C72" s="767"/>
      <c r="D72" s="767"/>
      <c r="E72" s="767"/>
    </row>
    <row r="73">
      <c r="A73" s="767"/>
      <c r="B73" s="767"/>
      <c r="C73" s="767"/>
      <c r="D73" s="767"/>
      <c r="E73" s="767"/>
    </row>
    <row r="74">
      <c r="A74" s="767"/>
      <c r="B74" s="767"/>
      <c r="C74" s="767"/>
      <c r="D74" s="767"/>
      <c r="E74" s="767"/>
    </row>
    <row r="75">
      <c r="A75" s="767"/>
      <c r="B75" s="767"/>
      <c r="C75" s="767"/>
      <c r="D75" s="767"/>
      <c r="E75" s="767"/>
    </row>
    <row r="76">
      <c r="A76" s="767"/>
      <c r="B76" s="767"/>
      <c r="C76" s="767"/>
      <c r="D76" s="767"/>
      <c r="E76" s="767"/>
    </row>
    <row r="77">
      <c r="A77" s="767"/>
      <c r="B77" s="767"/>
      <c r="C77" s="767"/>
      <c r="D77" s="767"/>
      <c r="E77" s="767"/>
    </row>
    <row r="78">
      <c r="A78" s="767"/>
      <c r="B78" s="767"/>
      <c r="C78" s="767"/>
      <c r="D78" s="767"/>
      <c r="E78" s="767"/>
    </row>
    <row r="79">
      <c r="A79" s="767"/>
      <c r="B79" s="767"/>
      <c r="C79" s="767"/>
      <c r="D79" s="767"/>
      <c r="E79" s="767"/>
    </row>
    <row r="80">
      <c r="A80" s="767"/>
      <c r="B80" s="767"/>
      <c r="C80" s="767"/>
      <c r="D80" s="767"/>
      <c r="E80" s="767"/>
    </row>
    <row r="81">
      <c r="A81" s="767"/>
      <c r="B81" s="767"/>
      <c r="C81" s="767"/>
      <c r="D81" s="767"/>
      <c r="E81" s="767"/>
    </row>
    <row r="82">
      <c r="A82" s="767"/>
      <c r="B82" s="767"/>
      <c r="C82" s="767"/>
      <c r="D82" s="767"/>
      <c r="E82" s="767"/>
    </row>
    <row r="83">
      <c r="A83" s="767"/>
      <c r="B83" s="767"/>
      <c r="C83" s="767"/>
      <c r="D83" s="767"/>
      <c r="E83" s="767"/>
    </row>
    <row r="84">
      <c r="A84" s="767"/>
      <c r="B84" s="767"/>
      <c r="C84" s="767"/>
      <c r="D84" s="767"/>
      <c r="E84" s="767"/>
    </row>
    <row r="85">
      <c r="A85" s="767"/>
      <c r="B85" s="767"/>
      <c r="C85" s="767"/>
      <c r="D85" s="767"/>
      <c r="E85" s="767"/>
    </row>
    <row r="86">
      <c r="A86" s="767"/>
      <c r="B86" s="767"/>
      <c r="C86" s="767"/>
      <c r="D86" s="767"/>
      <c r="E86" s="767"/>
    </row>
    <row r="87">
      <c r="A87" s="767"/>
      <c r="B87" s="767"/>
      <c r="C87" s="767"/>
      <c r="D87" s="767"/>
      <c r="E87" s="767"/>
    </row>
    <row r="88">
      <c r="A88" s="767"/>
      <c r="B88" s="767"/>
      <c r="C88" s="767"/>
      <c r="D88" s="767"/>
      <c r="E88" s="767"/>
    </row>
    <row r="89">
      <c r="A89" s="767"/>
      <c r="B89" s="767"/>
      <c r="C89" s="767"/>
      <c r="D89" s="767"/>
      <c r="E89" s="767"/>
    </row>
    <row r="90">
      <c r="A90" s="767"/>
      <c r="B90" s="767"/>
      <c r="C90" s="767"/>
      <c r="D90" s="767"/>
      <c r="E90" s="767"/>
    </row>
    <row r="91">
      <c r="A91" s="767"/>
      <c r="B91" s="767"/>
      <c r="C91" s="767"/>
      <c r="D91" s="767"/>
      <c r="E91" s="767"/>
    </row>
    <row r="92">
      <c r="A92" s="767"/>
      <c r="B92" s="767"/>
      <c r="C92" s="767"/>
      <c r="D92" s="767"/>
      <c r="E92" s="767"/>
    </row>
    <row r="93">
      <c r="A93" s="767"/>
      <c r="B93" s="767"/>
      <c r="C93" s="767"/>
      <c r="D93" s="767"/>
      <c r="E93" s="767"/>
    </row>
    <row r="94">
      <c r="A94" s="767"/>
      <c r="B94" s="767"/>
      <c r="C94" s="767"/>
      <c r="D94" s="767"/>
      <c r="E94" s="767"/>
    </row>
    <row r="95">
      <c r="A95" s="767"/>
      <c r="B95" s="767"/>
      <c r="C95" s="767"/>
      <c r="D95" s="767"/>
      <c r="E95" s="767"/>
    </row>
    <row r="96">
      <c r="A96" s="767"/>
      <c r="B96" s="767"/>
      <c r="C96" s="767"/>
      <c r="D96" s="767"/>
      <c r="E96" s="767"/>
    </row>
    <row r="97">
      <c r="A97" s="767"/>
      <c r="B97" s="767"/>
      <c r="C97" s="767"/>
      <c r="D97" s="767"/>
      <c r="E97" s="767"/>
    </row>
    <row r="98">
      <c r="A98" s="767"/>
      <c r="B98" s="767"/>
      <c r="C98" s="767"/>
      <c r="D98" s="767"/>
      <c r="E98" s="767"/>
    </row>
    <row r="99">
      <c r="A99" s="767"/>
      <c r="B99" s="767"/>
      <c r="C99" s="767"/>
      <c r="D99" s="767"/>
      <c r="E99" s="767"/>
    </row>
    <row r="100">
      <c r="A100" s="767"/>
      <c r="B100" s="767"/>
      <c r="C100" s="767"/>
      <c r="D100" s="767"/>
      <c r="E100" s="767"/>
    </row>
    <row r="101">
      <c r="A101" s="767"/>
      <c r="B101" s="767"/>
      <c r="C101" s="767"/>
      <c r="D101" s="767"/>
      <c r="E101" s="767"/>
    </row>
    <row r="102">
      <c r="A102" s="767"/>
      <c r="B102" s="767"/>
      <c r="C102" s="767"/>
      <c r="D102" s="767"/>
      <c r="E102" s="767"/>
    </row>
    <row r="103">
      <c r="A103" s="767"/>
      <c r="B103" s="767"/>
      <c r="C103" s="767"/>
      <c r="D103" s="767"/>
      <c r="E103" s="767"/>
    </row>
    <row r="104">
      <c r="A104" s="767"/>
      <c r="B104" s="767"/>
      <c r="C104" s="767"/>
      <c r="D104" s="767"/>
      <c r="E104" s="767"/>
    </row>
    <row r="105">
      <c r="A105" s="767"/>
      <c r="B105" s="767"/>
      <c r="C105" s="767"/>
      <c r="D105" s="767"/>
      <c r="E105" s="767"/>
    </row>
    <row r="106">
      <c r="A106" s="767"/>
      <c r="B106" s="767"/>
      <c r="C106" s="767"/>
      <c r="D106" s="767"/>
      <c r="E106" s="767"/>
    </row>
    <row r="107">
      <c r="A107" s="767"/>
      <c r="B107" s="767"/>
      <c r="C107" s="767"/>
      <c r="D107" s="767"/>
      <c r="E107" s="767"/>
    </row>
    <row r="108">
      <c r="A108" s="767"/>
      <c r="B108" s="767"/>
      <c r="C108" s="767"/>
      <c r="D108" s="767"/>
      <c r="E108" s="767"/>
    </row>
    <row r="109">
      <c r="A109" s="767"/>
      <c r="B109" s="767"/>
      <c r="C109" s="767"/>
      <c r="D109" s="767"/>
      <c r="E109" s="767"/>
    </row>
    <row r="110">
      <c r="A110" s="767"/>
      <c r="B110" s="767"/>
      <c r="C110" s="767"/>
      <c r="D110" s="767"/>
      <c r="E110" s="767"/>
    </row>
    <row r="111">
      <c r="A111" s="767"/>
      <c r="B111" s="767"/>
      <c r="C111" s="767"/>
      <c r="D111" s="767"/>
      <c r="E111" s="767"/>
    </row>
    <row r="112">
      <c r="A112" s="767"/>
      <c r="B112" s="767"/>
      <c r="C112" s="767"/>
      <c r="D112" s="767"/>
      <c r="E112" s="767"/>
    </row>
    <row r="113">
      <c r="A113" s="767"/>
      <c r="B113" s="767"/>
      <c r="C113" s="767"/>
      <c r="D113" s="767"/>
      <c r="E113" s="767"/>
    </row>
    <row r="114">
      <c r="A114" s="767"/>
      <c r="B114" s="767"/>
      <c r="C114" s="767"/>
      <c r="D114" s="767"/>
      <c r="E114" s="767"/>
    </row>
    <row r="115">
      <c r="A115" s="767"/>
      <c r="B115" s="767"/>
      <c r="C115" s="767"/>
      <c r="D115" s="767"/>
      <c r="E115" s="767"/>
    </row>
    <row r="116">
      <c r="A116" s="767"/>
      <c r="B116" s="767"/>
      <c r="C116" s="767"/>
      <c r="D116" s="767"/>
      <c r="E116" s="767"/>
    </row>
    <row r="117">
      <c r="A117" s="767"/>
      <c r="B117" s="767"/>
      <c r="C117" s="767"/>
      <c r="D117" s="767"/>
      <c r="E117" s="767"/>
    </row>
    <row r="118">
      <c r="A118" s="767"/>
      <c r="B118" s="767"/>
      <c r="C118" s="767"/>
      <c r="D118" s="767"/>
      <c r="E118" s="767"/>
    </row>
    <row r="119">
      <c r="A119" s="767"/>
      <c r="B119" s="767"/>
      <c r="C119" s="767"/>
      <c r="D119" s="767"/>
      <c r="E119" s="767"/>
    </row>
    <row r="120">
      <c r="A120" s="767"/>
      <c r="B120" s="767"/>
      <c r="C120" s="767"/>
      <c r="D120" s="767"/>
      <c r="E120" s="767"/>
    </row>
    <row r="121">
      <c r="A121" s="767"/>
      <c r="B121" s="767"/>
      <c r="C121" s="767"/>
      <c r="D121" s="767"/>
      <c r="E121" s="767"/>
    </row>
    <row r="122">
      <c r="A122" s="767"/>
      <c r="B122" s="767"/>
      <c r="C122" s="767"/>
      <c r="D122" s="767"/>
      <c r="E122" s="767"/>
    </row>
    <row r="123">
      <c r="A123" s="767"/>
      <c r="B123" s="767"/>
      <c r="C123" s="767"/>
      <c r="D123" s="767"/>
      <c r="E123" s="767"/>
    </row>
    <row r="124">
      <c r="A124" s="767"/>
      <c r="B124" s="767"/>
      <c r="C124" s="767"/>
      <c r="D124" s="767"/>
      <c r="E124" s="767"/>
    </row>
    <row r="125">
      <c r="A125" s="767"/>
      <c r="B125" s="767"/>
      <c r="C125" s="767"/>
      <c r="D125" s="767"/>
      <c r="E125" s="767"/>
    </row>
    <row r="126">
      <c r="A126" s="767"/>
      <c r="B126" s="767"/>
      <c r="C126" s="767"/>
      <c r="D126" s="767"/>
      <c r="E126" s="767"/>
    </row>
    <row r="127">
      <c r="A127" s="767"/>
      <c r="B127" s="767"/>
      <c r="C127" s="767"/>
      <c r="D127" s="767"/>
      <c r="E127" s="767"/>
    </row>
    <row r="128">
      <c r="A128" s="767"/>
      <c r="B128" s="767"/>
      <c r="C128" s="767"/>
      <c r="D128" s="767"/>
      <c r="E128" s="767"/>
    </row>
    <row r="129">
      <c r="A129" s="767"/>
      <c r="B129" s="767"/>
      <c r="C129" s="767"/>
      <c r="D129" s="767"/>
      <c r="E129" s="767"/>
    </row>
    <row r="130">
      <c r="A130" s="767"/>
      <c r="B130" s="767"/>
      <c r="C130" s="767"/>
      <c r="D130" s="767"/>
      <c r="E130" s="767"/>
    </row>
    <row r="131">
      <c r="A131" s="767"/>
      <c r="B131" s="767"/>
      <c r="C131" s="767"/>
      <c r="D131" s="767"/>
      <c r="E131" s="767"/>
    </row>
    <row r="132">
      <c r="A132" s="767"/>
      <c r="B132" s="767"/>
      <c r="C132" s="767"/>
      <c r="D132" s="767"/>
      <c r="E132" s="767"/>
    </row>
    <row r="133">
      <c r="A133" s="767"/>
      <c r="B133" s="767"/>
      <c r="C133" s="767"/>
      <c r="D133" s="767"/>
      <c r="E133" s="767"/>
    </row>
    <row r="134">
      <c r="A134" s="767"/>
      <c r="B134" s="767"/>
      <c r="C134" s="767"/>
      <c r="D134" s="767"/>
      <c r="E134" s="767"/>
    </row>
    <row r="135">
      <c r="A135" s="767"/>
      <c r="B135" s="767"/>
      <c r="C135" s="767"/>
      <c r="D135" s="767"/>
      <c r="E135" s="767"/>
    </row>
    <row r="136">
      <c r="A136" s="767"/>
      <c r="B136" s="767"/>
      <c r="C136" s="767"/>
      <c r="D136" s="767"/>
      <c r="E136" s="767"/>
    </row>
    <row r="137">
      <c r="A137" s="767"/>
      <c r="B137" s="767"/>
      <c r="C137" s="767"/>
      <c r="D137" s="767"/>
      <c r="E137" s="767"/>
    </row>
    <row r="138">
      <c r="A138" s="767"/>
      <c r="B138" s="767"/>
      <c r="C138" s="767"/>
      <c r="D138" s="767"/>
      <c r="E138" s="767"/>
    </row>
    <row r="139">
      <c r="A139" s="767"/>
      <c r="B139" s="767"/>
      <c r="C139" s="767"/>
      <c r="D139" s="767"/>
      <c r="E139" s="767"/>
    </row>
    <row r="140">
      <c r="A140" s="767"/>
      <c r="B140" s="767"/>
      <c r="C140" s="767"/>
      <c r="D140" s="767"/>
      <c r="E140" s="767"/>
    </row>
    <row r="141">
      <c r="A141" s="767"/>
      <c r="B141" s="767"/>
      <c r="C141" s="767"/>
      <c r="D141" s="767"/>
      <c r="E141" s="767"/>
    </row>
    <row r="142">
      <c r="A142" s="767"/>
      <c r="B142" s="767"/>
      <c r="C142" s="767"/>
      <c r="D142" s="767"/>
      <c r="E142" s="767"/>
    </row>
    <row r="143">
      <c r="A143" s="767"/>
      <c r="B143" s="767"/>
      <c r="C143" s="767"/>
      <c r="D143" s="767"/>
      <c r="E143" s="767"/>
    </row>
    <row r="144">
      <c r="A144" s="767"/>
      <c r="B144" s="767"/>
      <c r="C144" s="767"/>
      <c r="D144" s="767"/>
      <c r="E144" s="767"/>
    </row>
    <row r="145">
      <c r="A145" s="767"/>
      <c r="B145" s="767"/>
      <c r="C145" s="767"/>
      <c r="D145" s="767"/>
      <c r="E145" s="767"/>
    </row>
    <row r="146">
      <c r="A146" s="767"/>
      <c r="B146" s="767"/>
      <c r="C146" s="767"/>
      <c r="D146" s="767"/>
      <c r="E146" s="767"/>
    </row>
    <row r="147">
      <c r="A147" s="767"/>
      <c r="B147" s="767"/>
      <c r="C147" s="767"/>
      <c r="D147" s="767"/>
      <c r="E147" s="767"/>
    </row>
    <row r="148">
      <c r="A148" s="767"/>
      <c r="B148" s="767"/>
      <c r="C148" s="767"/>
      <c r="D148" s="767"/>
      <c r="E148" s="767"/>
    </row>
    <row r="149">
      <c r="A149" s="767"/>
      <c r="B149" s="767"/>
      <c r="C149" s="767"/>
      <c r="D149" s="767"/>
      <c r="E149" s="767"/>
    </row>
    <row r="150">
      <c r="A150" s="767"/>
      <c r="B150" s="767"/>
      <c r="C150" s="767"/>
      <c r="D150" s="767"/>
      <c r="E150" s="767"/>
    </row>
    <row r="151">
      <c r="A151" s="767"/>
      <c r="B151" s="767"/>
      <c r="C151" s="767"/>
      <c r="D151" s="767"/>
      <c r="E151" s="767"/>
    </row>
    <row r="152">
      <c r="A152" s="767"/>
      <c r="B152" s="767"/>
      <c r="C152" s="767"/>
      <c r="D152" s="767"/>
      <c r="E152" s="767"/>
    </row>
    <row r="153">
      <c r="A153" s="767"/>
      <c r="B153" s="767"/>
      <c r="C153" s="767"/>
      <c r="D153" s="767"/>
      <c r="E153" s="767"/>
    </row>
    <row r="154">
      <c r="A154" s="767"/>
      <c r="B154" s="767"/>
      <c r="C154" s="767"/>
      <c r="D154" s="767"/>
      <c r="E154" s="767"/>
    </row>
    <row r="155">
      <c r="A155" s="767"/>
      <c r="B155" s="767"/>
      <c r="C155" s="767"/>
      <c r="D155" s="767"/>
      <c r="E155" s="767"/>
    </row>
    <row r="156">
      <c r="A156" s="767"/>
      <c r="B156" s="767"/>
      <c r="C156" s="767"/>
      <c r="D156" s="767"/>
      <c r="E156" s="767"/>
    </row>
    <row r="157">
      <c r="A157" s="767"/>
      <c r="B157" s="767"/>
      <c r="C157" s="767"/>
      <c r="D157" s="767"/>
      <c r="E157" s="767"/>
    </row>
    <row r="158">
      <c r="A158" s="767"/>
      <c r="B158" s="767"/>
      <c r="C158" s="767"/>
      <c r="D158" s="767"/>
      <c r="E158" s="767"/>
    </row>
    <row r="159">
      <c r="A159" s="767"/>
      <c r="B159" s="767"/>
      <c r="C159" s="767"/>
      <c r="D159" s="767"/>
      <c r="E159" s="767"/>
    </row>
    <row r="160">
      <c r="A160" s="767"/>
      <c r="B160" s="767"/>
      <c r="C160" s="767"/>
      <c r="D160" s="767"/>
      <c r="E160" s="767"/>
    </row>
    <row r="161">
      <c r="A161" s="767"/>
      <c r="B161" s="767"/>
      <c r="C161" s="767"/>
      <c r="D161" s="767"/>
      <c r="E161" s="767"/>
    </row>
    <row r="162">
      <c r="A162" s="767"/>
      <c r="B162" s="767"/>
      <c r="C162" s="767"/>
      <c r="D162" s="767"/>
      <c r="E162" s="767"/>
    </row>
    <row r="163">
      <c r="A163" s="767"/>
      <c r="B163" s="767"/>
      <c r="C163" s="767"/>
      <c r="D163" s="767"/>
      <c r="E163" s="767"/>
    </row>
    <row r="164">
      <c r="A164" s="767"/>
      <c r="B164" s="767"/>
      <c r="C164" s="767"/>
      <c r="D164" s="767"/>
      <c r="E164" s="767"/>
    </row>
    <row r="165">
      <c r="A165" s="767"/>
      <c r="B165" s="767"/>
      <c r="C165" s="767"/>
      <c r="D165" s="767"/>
      <c r="E165" s="767"/>
    </row>
    <row r="166">
      <c r="A166" s="767"/>
      <c r="B166" s="767"/>
      <c r="C166" s="767"/>
      <c r="D166" s="767"/>
      <c r="E166" s="767"/>
    </row>
    <row r="167">
      <c r="A167" s="767"/>
      <c r="B167" s="767"/>
      <c r="C167" s="767"/>
      <c r="D167" s="767"/>
      <c r="E167" s="767"/>
    </row>
    <row r="168">
      <c r="A168" s="767"/>
      <c r="B168" s="767"/>
      <c r="C168" s="767"/>
      <c r="D168" s="767"/>
      <c r="E168" s="767"/>
    </row>
    <row r="169">
      <c r="A169" s="767"/>
      <c r="B169" s="767"/>
      <c r="C169" s="767"/>
      <c r="D169" s="767"/>
      <c r="E169" s="767"/>
    </row>
    <row r="170">
      <c r="A170" s="767"/>
      <c r="B170" s="767"/>
      <c r="C170" s="767"/>
      <c r="D170" s="767"/>
      <c r="E170" s="767"/>
    </row>
    <row r="171">
      <c r="A171" s="767"/>
      <c r="B171" s="767"/>
      <c r="C171" s="767"/>
      <c r="D171" s="767"/>
      <c r="E171" s="767"/>
    </row>
    <row r="172">
      <c r="A172" s="767"/>
      <c r="B172" s="767"/>
      <c r="C172" s="767"/>
      <c r="D172" s="767"/>
      <c r="E172" s="767"/>
    </row>
    <row r="173">
      <c r="A173" s="767"/>
      <c r="B173" s="767"/>
      <c r="C173" s="767"/>
      <c r="D173" s="767"/>
      <c r="E173" s="767"/>
    </row>
    <row r="174">
      <c r="A174" s="767"/>
      <c r="B174" s="767"/>
      <c r="C174" s="767"/>
      <c r="D174" s="767"/>
      <c r="E174" s="767"/>
    </row>
    <row r="175">
      <c r="A175" s="767"/>
      <c r="B175" s="767"/>
      <c r="C175" s="767"/>
      <c r="D175" s="767"/>
      <c r="E175" s="767"/>
    </row>
    <row r="176">
      <c r="A176" s="767"/>
      <c r="B176" s="767"/>
      <c r="C176" s="767"/>
      <c r="D176" s="767"/>
      <c r="E176" s="767"/>
    </row>
    <row r="177">
      <c r="A177" s="767"/>
      <c r="B177" s="767"/>
      <c r="C177" s="767"/>
      <c r="D177" s="767"/>
      <c r="E177" s="767"/>
    </row>
    <row r="178">
      <c r="A178" s="767"/>
      <c r="B178" s="767"/>
      <c r="C178" s="767"/>
      <c r="D178" s="767"/>
      <c r="E178" s="767"/>
    </row>
    <row r="179">
      <c r="A179" s="767"/>
      <c r="B179" s="767"/>
      <c r="C179" s="767"/>
      <c r="D179" s="767"/>
      <c r="E179" s="767"/>
    </row>
    <row r="180">
      <c r="A180" s="767"/>
      <c r="B180" s="767"/>
      <c r="C180" s="767"/>
      <c r="D180" s="767"/>
      <c r="E180" s="767"/>
    </row>
    <row r="181">
      <c r="A181" s="767"/>
      <c r="B181" s="767"/>
      <c r="C181" s="767"/>
      <c r="D181" s="767"/>
      <c r="E181" s="767"/>
    </row>
    <row r="182">
      <c r="A182" s="767"/>
      <c r="B182" s="767"/>
      <c r="C182" s="767"/>
      <c r="D182" s="767"/>
      <c r="E182" s="767"/>
    </row>
    <row r="183">
      <c r="A183" s="767"/>
      <c r="B183" s="767"/>
      <c r="C183" s="767"/>
      <c r="D183" s="767"/>
      <c r="E183" s="767"/>
    </row>
    <row r="184">
      <c r="A184" s="767"/>
      <c r="B184" s="767"/>
      <c r="C184" s="767"/>
      <c r="D184" s="767"/>
      <c r="E184" s="767"/>
    </row>
    <row r="185">
      <c r="A185" s="767"/>
      <c r="B185" s="767"/>
      <c r="C185" s="767"/>
      <c r="D185" s="767"/>
      <c r="E185" s="767"/>
    </row>
    <row r="186">
      <c r="A186" s="767"/>
      <c r="B186" s="767"/>
      <c r="C186" s="767"/>
      <c r="D186" s="767"/>
      <c r="E186" s="767"/>
    </row>
    <row r="187">
      <c r="A187" s="767"/>
      <c r="B187" s="767"/>
      <c r="C187" s="767"/>
      <c r="D187" s="767"/>
      <c r="E187" s="767"/>
    </row>
    <row r="188">
      <c r="A188" s="767"/>
      <c r="B188" s="767"/>
      <c r="C188" s="767"/>
      <c r="D188" s="767"/>
      <c r="E188" s="767"/>
    </row>
    <row r="189">
      <c r="A189" s="767"/>
      <c r="B189" s="767"/>
      <c r="C189" s="767"/>
      <c r="D189" s="767"/>
      <c r="E189" s="767"/>
    </row>
    <row r="190">
      <c r="A190" s="767"/>
      <c r="B190" s="767"/>
      <c r="C190" s="767"/>
      <c r="D190" s="767"/>
      <c r="E190" s="767"/>
    </row>
    <row r="191">
      <c r="A191" s="767"/>
      <c r="B191" s="767"/>
      <c r="C191" s="767"/>
      <c r="D191" s="767"/>
      <c r="E191" s="767"/>
    </row>
    <row r="192">
      <c r="A192" s="767"/>
      <c r="B192" s="767"/>
      <c r="C192" s="767"/>
      <c r="D192" s="767"/>
      <c r="E192" s="767"/>
    </row>
    <row r="193">
      <c r="A193" s="767"/>
      <c r="B193" s="767"/>
      <c r="C193" s="767"/>
      <c r="D193" s="767"/>
      <c r="E193" s="767"/>
    </row>
    <row r="194">
      <c r="A194" s="767"/>
      <c r="B194" s="767"/>
      <c r="C194" s="767"/>
      <c r="D194" s="767"/>
      <c r="E194" s="767"/>
    </row>
    <row r="195">
      <c r="A195" s="767"/>
      <c r="B195" s="767"/>
      <c r="C195" s="767"/>
      <c r="D195" s="767"/>
      <c r="E195" s="767"/>
    </row>
    <row r="196">
      <c r="A196" s="767"/>
      <c r="B196" s="767"/>
      <c r="C196" s="767"/>
      <c r="D196" s="767"/>
      <c r="E196" s="767"/>
    </row>
    <row r="197">
      <c r="A197" s="767"/>
      <c r="B197" s="767"/>
      <c r="C197" s="767"/>
      <c r="D197" s="767"/>
      <c r="E197" s="767"/>
    </row>
    <row r="198">
      <c r="A198" s="767"/>
      <c r="B198" s="767"/>
      <c r="C198" s="767"/>
      <c r="D198" s="767"/>
      <c r="E198" s="767"/>
    </row>
    <row r="199">
      <c r="A199" s="767"/>
      <c r="B199" s="767"/>
      <c r="C199" s="767"/>
      <c r="D199" s="767"/>
      <c r="E199" s="767"/>
    </row>
    <row r="200">
      <c r="A200" s="767"/>
      <c r="B200" s="767"/>
      <c r="C200" s="767"/>
      <c r="D200" s="767"/>
      <c r="E200" s="767"/>
    </row>
    <row r="201">
      <c r="A201" s="767"/>
      <c r="B201" s="767"/>
      <c r="C201" s="767"/>
      <c r="D201" s="767"/>
      <c r="E201" s="767"/>
    </row>
    <row r="202">
      <c r="A202" s="767"/>
      <c r="B202" s="767"/>
      <c r="C202" s="767"/>
      <c r="D202" s="767"/>
      <c r="E202" s="767"/>
    </row>
    <row r="203">
      <c r="A203" s="767"/>
      <c r="B203" s="767"/>
      <c r="C203" s="767"/>
      <c r="D203" s="767"/>
      <c r="E203" s="767"/>
    </row>
    <row r="204">
      <c r="A204" s="767"/>
      <c r="B204" s="767"/>
      <c r="C204" s="767"/>
      <c r="D204" s="767"/>
      <c r="E204" s="767"/>
    </row>
    <row r="205">
      <c r="A205" s="767"/>
      <c r="B205" s="767"/>
      <c r="C205" s="767"/>
      <c r="D205" s="767"/>
      <c r="E205" s="767"/>
    </row>
    <row r="206">
      <c r="A206" s="767"/>
      <c r="B206" s="767"/>
      <c r="C206" s="767"/>
      <c r="D206" s="767"/>
      <c r="E206" s="767"/>
    </row>
    <row r="207">
      <c r="A207" s="767"/>
      <c r="B207" s="767"/>
      <c r="C207" s="767"/>
      <c r="D207" s="767"/>
      <c r="E207" s="767"/>
    </row>
    <row r="208">
      <c r="A208" s="767"/>
      <c r="B208" s="767"/>
      <c r="C208" s="767"/>
      <c r="D208" s="767"/>
      <c r="E208" s="767"/>
    </row>
    <row r="209">
      <c r="A209" s="767"/>
      <c r="B209" s="767"/>
      <c r="C209" s="767"/>
      <c r="D209" s="767"/>
      <c r="E209" s="767"/>
    </row>
    <row r="210">
      <c r="A210" s="767"/>
      <c r="B210" s="767"/>
      <c r="C210" s="767"/>
      <c r="D210" s="767"/>
      <c r="E210" s="767"/>
    </row>
    <row r="211">
      <c r="A211" s="767"/>
      <c r="B211" s="767"/>
      <c r="C211" s="767"/>
      <c r="D211" s="767"/>
      <c r="E211" s="767"/>
    </row>
    <row r="212">
      <c r="A212" s="767"/>
      <c r="B212" s="767"/>
      <c r="C212" s="767"/>
      <c r="D212" s="767"/>
      <c r="E212" s="767"/>
    </row>
    <row r="213">
      <c r="A213" s="767"/>
      <c r="B213" s="767"/>
      <c r="C213" s="767"/>
      <c r="D213" s="767"/>
      <c r="E213" s="767"/>
    </row>
    <row r="214">
      <c r="A214" s="767"/>
      <c r="B214" s="767"/>
      <c r="C214" s="767"/>
      <c r="D214" s="767"/>
      <c r="E214" s="767"/>
    </row>
    <row r="215">
      <c r="A215" s="767"/>
      <c r="B215" s="767"/>
      <c r="C215" s="767"/>
      <c r="D215" s="767"/>
      <c r="E215" s="767"/>
    </row>
    <row r="216">
      <c r="A216" s="767"/>
      <c r="B216" s="767"/>
      <c r="C216" s="767"/>
      <c r="D216" s="767"/>
      <c r="E216" s="767"/>
    </row>
    <row r="217">
      <c r="A217" s="767"/>
      <c r="B217" s="767"/>
      <c r="C217" s="767"/>
      <c r="D217" s="767"/>
      <c r="E217" s="767"/>
    </row>
    <row r="218">
      <c r="A218" s="767"/>
      <c r="B218" s="767"/>
      <c r="C218" s="767"/>
      <c r="D218" s="767"/>
      <c r="E218" s="767"/>
    </row>
    <row r="219">
      <c r="A219" s="767"/>
      <c r="B219" s="767"/>
      <c r="C219" s="767"/>
      <c r="D219" s="767"/>
      <c r="E219" s="767"/>
    </row>
    <row r="220">
      <c r="A220" s="767"/>
      <c r="B220" s="767"/>
      <c r="C220" s="767"/>
      <c r="D220" s="767"/>
      <c r="E220" s="767"/>
    </row>
    <row r="221">
      <c r="A221" s="767"/>
      <c r="B221" s="767"/>
      <c r="C221" s="767"/>
      <c r="D221" s="767"/>
      <c r="E221" s="767"/>
    </row>
    <row r="222">
      <c r="A222" s="767"/>
      <c r="B222" s="767"/>
      <c r="C222" s="767"/>
      <c r="D222" s="767"/>
      <c r="E222" s="767"/>
    </row>
    <row r="223">
      <c r="A223" s="767"/>
      <c r="B223" s="767"/>
      <c r="C223" s="767"/>
      <c r="D223" s="767"/>
      <c r="E223" s="767"/>
    </row>
    <row r="224">
      <c r="A224" s="767"/>
      <c r="B224" s="767"/>
      <c r="C224" s="767"/>
      <c r="D224" s="767"/>
      <c r="E224" s="767"/>
    </row>
    <row r="225">
      <c r="A225" s="767"/>
      <c r="B225" s="767"/>
      <c r="C225" s="767"/>
      <c r="D225" s="767"/>
      <c r="E225" s="767"/>
    </row>
    <row r="226">
      <c r="A226" s="767"/>
      <c r="B226" s="767"/>
      <c r="C226" s="767"/>
      <c r="D226" s="767"/>
      <c r="E226" s="767"/>
    </row>
    <row r="227">
      <c r="A227" s="767"/>
      <c r="B227" s="767"/>
      <c r="C227" s="767"/>
      <c r="D227" s="767"/>
      <c r="E227" s="767"/>
    </row>
    <row r="228">
      <c r="A228" s="767"/>
      <c r="B228" s="767"/>
      <c r="C228" s="767"/>
      <c r="D228" s="767"/>
      <c r="E228" s="767"/>
    </row>
    <row r="229">
      <c r="A229" s="767"/>
      <c r="B229" s="767"/>
      <c r="C229" s="767"/>
      <c r="D229" s="767"/>
      <c r="E229" s="767"/>
    </row>
    <row r="230">
      <c r="A230" s="767"/>
      <c r="B230" s="767"/>
      <c r="C230" s="767"/>
      <c r="D230" s="767"/>
      <c r="E230" s="767"/>
    </row>
    <row r="231">
      <c r="A231" s="767"/>
      <c r="B231" s="767"/>
      <c r="C231" s="767"/>
      <c r="D231" s="767"/>
      <c r="E231" s="767"/>
    </row>
    <row r="232">
      <c r="A232" s="767"/>
      <c r="B232" s="767"/>
      <c r="C232" s="767"/>
      <c r="D232" s="767"/>
      <c r="E232" s="767"/>
    </row>
    <row r="233">
      <c r="A233" s="767"/>
      <c r="B233" s="767"/>
      <c r="C233" s="767"/>
      <c r="D233" s="767"/>
      <c r="E233" s="767"/>
    </row>
    <row r="234">
      <c r="A234" s="767"/>
      <c r="B234" s="767"/>
      <c r="C234" s="767"/>
      <c r="D234" s="767"/>
      <c r="E234" s="767"/>
    </row>
    <row r="235">
      <c r="A235" s="767"/>
      <c r="B235" s="767"/>
      <c r="C235" s="767"/>
      <c r="D235" s="767"/>
      <c r="E235" s="767"/>
    </row>
    <row r="236">
      <c r="A236" s="767"/>
      <c r="B236" s="767"/>
      <c r="C236" s="767"/>
      <c r="D236" s="767"/>
      <c r="E236" s="767"/>
    </row>
    <row r="237">
      <c r="A237" s="767"/>
      <c r="B237" s="767"/>
      <c r="C237" s="767"/>
      <c r="D237" s="767"/>
      <c r="E237" s="767"/>
    </row>
    <row r="238">
      <c r="A238" s="767"/>
      <c r="B238" s="767"/>
      <c r="C238" s="767"/>
      <c r="D238" s="767"/>
      <c r="E238" s="767"/>
    </row>
    <row r="239">
      <c r="A239" s="767"/>
      <c r="B239" s="767"/>
      <c r="C239" s="767"/>
      <c r="D239" s="767"/>
      <c r="E239" s="767"/>
    </row>
    <row r="240">
      <c r="A240" s="767"/>
      <c r="B240" s="767"/>
      <c r="C240" s="767"/>
      <c r="D240" s="767"/>
      <c r="E240" s="767"/>
    </row>
    <row r="241">
      <c r="A241" s="767"/>
      <c r="B241" s="767"/>
      <c r="C241" s="767"/>
      <c r="D241" s="767"/>
      <c r="E241" s="767"/>
    </row>
    <row r="242">
      <c r="A242" s="767"/>
      <c r="B242" s="767"/>
      <c r="C242" s="767"/>
      <c r="D242" s="767"/>
      <c r="E242" s="767"/>
    </row>
    <row r="243">
      <c r="A243" s="767"/>
      <c r="B243" s="767"/>
      <c r="C243" s="767"/>
      <c r="D243" s="767"/>
      <c r="E243" s="767"/>
    </row>
    <row r="244">
      <c r="A244" s="767"/>
      <c r="B244" s="767"/>
      <c r="C244" s="767"/>
      <c r="D244" s="767"/>
      <c r="E244" s="767"/>
    </row>
    <row r="245">
      <c r="A245" s="767"/>
      <c r="B245" s="767"/>
      <c r="C245" s="767"/>
      <c r="D245" s="767"/>
      <c r="E245" s="767"/>
    </row>
    <row r="246">
      <c r="A246" s="767"/>
      <c r="B246" s="767"/>
      <c r="C246" s="767"/>
      <c r="D246" s="767"/>
      <c r="E246" s="767"/>
    </row>
    <row r="247">
      <c r="A247" s="767"/>
      <c r="B247" s="767"/>
      <c r="C247" s="767"/>
      <c r="D247" s="767"/>
      <c r="E247" s="767"/>
    </row>
    <row r="248">
      <c r="A248" s="767"/>
      <c r="B248" s="767"/>
      <c r="C248" s="767"/>
      <c r="D248" s="767"/>
      <c r="E248" s="767"/>
    </row>
    <row r="249">
      <c r="A249" s="767"/>
      <c r="B249" s="767"/>
      <c r="C249" s="767"/>
      <c r="D249" s="767"/>
      <c r="E249" s="767"/>
    </row>
    <row r="250">
      <c r="A250" s="767"/>
      <c r="B250" s="767"/>
      <c r="C250" s="767"/>
      <c r="D250" s="767"/>
      <c r="E250" s="767"/>
    </row>
    <row r="251">
      <c r="A251" s="767"/>
      <c r="B251" s="767"/>
      <c r="C251" s="767"/>
      <c r="D251" s="767"/>
      <c r="E251" s="767"/>
    </row>
    <row r="252">
      <c r="A252" s="767"/>
      <c r="B252" s="767"/>
      <c r="C252" s="767"/>
      <c r="D252" s="767"/>
      <c r="E252" s="767"/>
    </row>
    <row r="253">
      <c r="A253" s="767"/>
      <c r="B253" s="767"/>
      <c r="C253" s="767"/>
      <c r="D253" s="767"/>
      <c r="E253" s="767"/>
    </row>
    <row r="254">
      <c r="A254" s="767"/>
      <c r="B254" s="767"/>
      <c r="C254" s="767"/>
      <c r="D254" s="767"/>
      <c r="E254" s="767"/>
    </row>
    <row r="255">
      <c r="A255" s="767"/>
      <c r="B255" s="767"/>
      <c r="C255" s="767"/>
      <c r="D255" s="767"/>
      <c r="E255" s="767"/>
    </row>
    <row r="256">
      <c r="A256" s="767"/>
      <c r="B256" s="767"/>
      <c r="C256" s="767"/>
      <c r="D256" s="767"/>
      <c r="E256" s="767"/>
    </row>
    <row r="257">
      <c r="A257" s="767"/>
      <c r="B257" s="767"/>
      <c r="C257" s="767"/>
      <c r="D257" s="767"/>
      <c r="E257" s="767"/>
    </row>
    <row r="258">
      <c r="A258" s="767"/>
      <c r="B258" s="767"/>
      <c r="C258" s="767"/>
      <c r="D258" s="767"/>
      <c r="E258" s="767"/>
    </row>
    <row r="259">
      <c r="A259" s="767"/>
      <c r="B259" s="767"/>
      <c r="C259" s="767"/>
      <c r="D259" s="767"/>
      <c r="E259" s="767"/>
    </row>
    <row r="260">
      <c r="A260" s="767"/>
      <c r="B260" s="767"/>
      <c r="C260" s="767"/>
      <c r="D260" s="767"/>
      <c r="E260" s="767"/>
    </row>
    <row r="261">
      <c r="A261" s="767"/>
      <c r="B261" s="767"/>
      <c r="C261" s="767"/>
      <c r="D261" s="767"/>
      <c r="E261" s="767"/>
    </row>
    <row r="262">
      <c r="A262" s="767"/>
      <c r="B262" s="767"/>
      <c r="C262" s="767"/>
      <c r="D262" s="767"/>
      <c r="E262" s="767"/>
    </row>
    <row r="263">
      <c r="A263" s="767"/>
      <c r="B263" s="767"/>
      <c r="C263" s="767"/>
      <c r="D263" s="767"/>
      <c r="E263" s="767"/>
    </row>
    <row r="264">
      <c r="A264" s="767"/>
      <c r="B264" s="767"/>
      <c r="C264" s="767"/>
      <c r="D264" s="767"/>
      <c r="E264" s="767"/>
    </row>
    <row r="265">
      <c r="A265" s="767"/>
      <c r="B265" s="767"/>
      <c r="C265" s="767"/>
      <c r="D265" s="767"/>
      <c r="E265" s="767"/>
    </row>
    <row r="266">
      <c r="A266" s="767"/>
      <c r="B266" s="767"/>
      <c r="C266" s="767"/>
      <c r="D266" s="767"/>
      <c r="E266" s="767"/>
    </row>
    <row r="267">
      <c r="A267" s="767"/>
      <c r="B267" s="767"/>
      <c r="C267" s="767"/>
      <c r="D267" s="767"/>
      <c r="E267" s="767"/>
    </row>
    <row r="268">
      <c r="A268" s="767"/>
      <c r="B268" s="767"/>
      <c r="C268" s="767"/>
      <c r="D268" s="767"/>
      <c r="E268" s="767"/>
    </row>
    <row r="269">
      <c r="A269" s="767"/>
      <c r="B269" s="767"/>
      <c r="C269" s="767"/>
      <c r="D269" s="767"/>
      <c r="E269" s="767"/>
    </row>
    <row r="270">
      <c r="A270" s="767"/>
      <c r="B270" s="767"/>
      <c r="C270" s="767"/>
      <c r="D270" s="767"/>
      <c r="E270" s="767"/>
    </row>
    <row r="271">
      <c r="A271" s="767"/>
      <c r="B271" s="767"/>
      <c r="C271" s="767"/>
      <c r="D271" s="767"/>
      <c r="E271" s="767"/>
    </row>
    <row r="272">
      <c r="A272" s="767"/>
      <c r="B272" s="767"/>
      <c r="C272" s="767"/>
      <c r="D272" s="767"/>
      <c r="E272" s="767"/>
    </row>
    <row r="273">
      <c r="A273" s="767"/>
      <c r="B273" s="767"/>
      <c r="C273" s="767"/>
      <c r="D273" s="767"/>
      <c r="E273" s="767"/>
    </row>
    <row r="274">
      <c r="A274" s="767"/>
      <c r="B274" s="767"/>
      <c r="C274" s="767"/>
      <c r="D274" s="767"/>
      <c r="E274" s="767"/>
    </row>
    <row r="275">
      <c r="A275" s="767"/>
      <c r="B275" s="767"/>
      <c r="C275" s="767"/>
      <c r="D275" s="767"/>
      <c r="E275" s="767"/>
    </row>
    <row r="276">
      <c r="A276" s="767"/>
      <c r="B276" s="767"/>
      <c r="C276" s="767"/>
      <c r="D276" s="767"/>
      <c r="E276" s="767"/>
    </row>
    <row r="277">
      <c r="A277" s="767"/>
      <c r="B277" s="767"/>
      <c r="C277" s="767"/>
      <c r="D277" s="767"/>
      <c r="E277" s="767"/>
    </row>
    <row r="278">
      <c r="A278" s="767"/>
      <c r="B278" s="767"/>
      <c r="C278" s="767"/>
      <c r="D278" s="767"/>
      <c r="E278" s="767"/>
    </row>
    <row r="279">
      <c r="A279" s="767"/>
      <c r="B279" s="767"/>
      <c r="C279" s="767"/>
      <c r="D279" s="767"/>
      <c r="E279" s="767"/>
    </row>
    <row r="280">
      <c r="A280" s="767"/>
      <c r="B280" s="767"/>
      <c r="C280" s="767"/>
      <c r="D280" s="767"/>
      <c r="E280" s="767"/>
    </row>
    <row r="281">
      <c r="A281" s="767"/>
      <c r="B281" s="767"/>
      <c r="C281" s="767"/>
      <c r="D281" s="767"/>
      <c r="E281" s="767"/>
    </row>
    <row r="282">
      <c r="A282" s="767"/>
      <c r="B282" s="767"/>
      <c r="C282" s="767"/>
      <c r="D282" s="767"/>
      <c r="E282" s="767"/>
    </row>
    <row r="283">
      <c r="A283" s="767"/>
      <c r="B283" s="767"/>
      <c r="C283" s="767"/>
      <c r="D283" s="767"/>
      <c r="E283" s="767"/>
    </row>
    <row r="284">
      <c r="A284" s="767"/>
      <c r="B284" s="767"/>
      <c r="C284" s="767"/>
      <c r="D284" s="767"/>
      <c r="E284" s="767"/>
    </row>
    <row r="285">
      <c r="A285" s="767"/>
      <c r="B285" s="767"/>
      <c r="C285" s="767"/>
      <c r="D285" s="767"/>
      <c r="E285" s="767"/>
    </row>
    <row r="286">
      <c r="A286" s="767"/>
      <c r="B286" s="767"/>
      <c r="C286" s="767"/>
      <c r="D286" s="767"/>
      <c r="E286" s="767"/>
    </row>
    <row r="287">
      <c r="A287" s="767"/>
      <c r="B287" s="767"/>
      <c r="C287" s="767"/>
      <c r="D287" s="767"/>
      <c r="E287" s="767"/>
    </row>
    <row r="288">
      <c r="A288" s="767"/>
      <c r="B288" s="767"/>
      <c r="C288" s="767"/>
      <c r="D288" s="767"/>
      <c r="E288" s="767"/>
    </row>
    <row r="289">
      <c r="A289" s="767"/>
      <c r="B289" s="767"/>
      <c r="C289" s="767"/>
      <c r="D289" s="767"/>
      <c r="E289" s="767"/>
    </row>
    <row r="290">
      <c r="A290" s="767"/>
      <c r="B290" s="767"/>
      <c r="C290" s="767"/>
      <c r="D290" s="767"/>
      <c r="E290" s="767"/>
    </row>
    <row r="291">
      <c r="A291" s="767"/>
      <c r="B291" s="767"/>
      <c r="C291" s="767"/>
      <c r="D291" s="767"/>
      <c r="E291" s="767"/>
    </row>
    <row r="292">
      <c r="A292" s="767"/>
      <c r="B292" s="767"/>
      <c r="C292" s="767"/>
      <c r="D292" s="767"/>
      <c r="E292" s="767"/>
    </row>
    <row r="293">
      <c r="A293" s="767"/>
      <c r="B293" s="767"/>
      <c r="C293" s="767"/>
      <c r="D293" s="767"/>
      <c r="E293" s="767"/>
    </row>
    <row r="294">
      <c r="A294" s="767"/>
      <c r="B294" s="767"/>
      <c r="C294" s="767"/>
      <c r="D294" s="767"/>
      <c r="E294" s="767"/>
    </row>
    <row r="295">
      <c r="A295" s="767"/>
      <c r="B295" s="767"/>
      <c r="C295" s="767"/>
      <c r="D295" s="767"/>
      <c r="E295" s="767"/>
    </row>
    <row r="296">
      <c r="A296" s="767"/>
      <c r="B296" s="767"/>
      <c r="C296" s="767"/>
      <c r="D296" s="767"/>
      <c r="E296" s="767"/>
    </row>
    <row r="297">
      <c r="A297" s="767"/>
      <c r="B297" s="767"/>
      <c r="C297" s="767"/>
      <c r="D297" s="767"/>
      <c r="E297" s="767"/>
    </row>
    <row r="298">
      <c r="A298" s="767"/>
      <c r="B298" s="767"/>
      <c r="C298" s="767"/>
      <c r="D298" s="767"/>
      <c r="E298" s="767"/>
    </row>
    <row r="299">
      <c r="A299" s="767"/>
      <c r="B299" s="767"/>
      <c r="C299" s="767"/>
      <c r="D299" s="767"/>
      <c r="E299" s="767"/>
    </row>
    <row r="300">
      <c r="A300" s="767"/>
      <c r="B300" s="767"/>
      <c r="C300" s="767"/>
      <c r="D300" s="767"/>
      <c r="E300" s="767"/>
    </row>
    <row r="301">
      <c r="A301" s="767"/>
      <c r="B301" s="767"/>
      <c r="C301" s="767"/>
      <c r="D301" s="767"/>
      <c r="E301" s="767"/>
    </row>
    <row r="302">
      <c r="A302" s="767"/>
      <c r="B302" s="767"/>
      <c r="C302" s="767"/>
      <c r="D302" s="767"/>
      <c r="E302" s="767"/>
    </row>
    <row r="303">
      <c r="A303" s="767"/>
      <c r="B303" s="767"/>
      <c r="C303" s="767"/>
      <c r="D303" s="767"/>
      <c r="E303" s="767"/>
    </row>
    <row r="304">
      <c r="A304" s="767"/>
      <c r="B304" s="767"/>
      <c r="C304" s="767"/>
      <c r="D304" s="767"/>
      <c r="E304" s="767"/>
    </row>
    <row r="305">
      <c r="A305" s="767"/>
      <c r="B305" s="767"/>
      <c r="C305" s="767"/>
      <c r="D305" s="767"/>
      <c r="E305" s="767"/>
    </row>
    <row r="306">
      <c r="A306" s="767"/>
      <c r="B306" s="767"/>
      <c r="C306" s="767"/>
      <c r="D306" s="767"/>
      <c r="E306" s="767"/>
    </row>
    <row r="307">
      <c r="A307" s="767"/>
      <c r="B307" s="767"/>
      <c r="C307" s="767"/>
      <c r="D307" s="767"/>
      <c r="E307" s="767"/>
    </row>
    <row r="308">
      <c r="A308" s="767"/>
      <c r="B308" s="767"/>
      <c r="C308" s="767"/>
      <c r="D308" s="767"/>
      <c r="E308" s="767"/>
    </row>
    <row r="309">
      <c r="A309" s="767"/>
      <c r="B309" s="767"/>
      <c r="C309" s="767"/>
      <c r="D309" s="767"/>
      <c r="E309" s="767"/>
    </row>
    <row r="310">
      <c r="A310" s="767"/>
      <c r="B310" s="767"/>
      <c r="C310" s="767"/>
      <c r="D310" s="767"/>
      <c r="E310" s="767"/>
    </row>
    <row r="311">
      <c r="A311" s="767"/>
      <c r="B311" s="767"/>
      <c r="C311" s="767"/>
      <c r="D311" s="767"/>
      <c r="E311" s="767"/>
    </row>
    <row r="312">
      <c r="A312" s="767"/>
      <c r="B312" s="767"/>
      <c r="C312" s="767"/>
      <c r="D312" s="767"/>
      <c r="E312" s="767"/>
    </row>
    <row r="313">
      <c r="A313" s="767"/>
      <c r="B313" s="767"/>
      <c r="C313" s="767"/>
      <c r="D313" s="767"/>
      <c r="E313" s="767"/>
    </row>
    <row r="314">
      <c r="A314" s="767"/>
      <c r="B314" s="767"/>
      <c r="C314" s="767"/>
      <c r="D314" s="767"/>
      <c r="E314" s="767"/>
    </row>
    <row r="315">
      <c r="A315" s="767"/>
      <c r="B315" s="767"/>
      <c r="C315" s="767"/>
      <c r="D315" s="767"/>
      <c r="E315" s="767"/>
    </row>
    <row r="316">
      <c r="A316" s="767"/>
      <c r="B316" s="767"/>
      <c r="C316" s="767"/>
      <c r="D316" s="767"/>
      <c r="E316" s="767"/>
    </row>
    <row r="317">
      <c r="A317" s="767"/>
      <c r="B317" s="767"/>
      <c r="C317" s="767"/>
      <c r="D317" s="767"/>
      <c r="E317" s="767"/>
    </row>
    <row r="318">
      <c r="A318" s="767"/>
      <c r="B318" s="767"/>
      <c r="C318" s="767"/>
      <c r="D318" s="767"/>
      <c r="E318" s="767"/>
    </row>
    <row r="319">
      <c r="A319" s="767"/>
      <c r="B319" s="767"/>
      <c r="C319" s="767"/>
      <c r="D319" s="767"/>
      <c r="E319" s="767"/>
    </row>
    <row r="320">
      <c r="A320" s="767"/>
      <c r="B320" s="767"/>
      <c r="C320" s="767"/>
      <c r="D320" s="767"/>
      <c r="E320" s="767"/>
    </row>
    <row r="321">
      <c r="A321" s="767"/>
      <c r="B321" s="767"/>
      <c r="C321" s="767"/>
      <c r="D321" s="767"/>
      <c r="E321" s="767"/>
    </row>
    <row r="322">
      <c r="A322" s="767"/>
      <c r="B322" s="767"/>
      <c r="C322" s="767"/>
      <c r="D322" s="767"/>
      <c r="E322" s="767"/>
    </row>
    <row r="323">
      <c r="A323" s="767"/>
      <c r="B323" s="767"/>
      <c r="C323" s="767"/>
      <c r="D323" s="767"/>
      <c r="E323" s="767"/>
    </row>
    <row r="324">
      <c r="A324" s="767"/>
      <c r="B324" s="767"/>
      <c r="C324" s="767"/>
      <c r="D324" s="767"/>
      <c r="E324" s="767"/>
    </row>
    <row r="325">
      <c r="A325" s="767"/>
      <c r="B325" s="767"/>
      <c r="C325" s="767"/>
      <c r="D325" s="767"/>
      <c r="E325" s="767"/>
    </row>
    <row r="326">
      <c r="A326" s="767"/>
      <c r="B326" s="767"/>
      <c r="C326" s="767"/>
      <c r="D326" s="767"/>
      <c r="E326" s="767"/>
    </row>
    <row r="327">
      <c r="A327" s="767"/>
      <c r="B327" s="767"/>
      <c r="C327" s="767"/>
      <c r="D327" s="767"/>
      <c r="E327" s="767"/>
    </row>
    <row r="328">
      <c r="A328" s="767"/>
      <c r="B328" s="767"/>
      <c r="C328" s="767"/>
      <c r="D328" s="767"/>
      <c r="E328" s="767"/>
    </row>
    <row r="329">
      <c r="A329" s="767"/>
      <c r="B329" s="767"/>
      <c r="C329" s="767"/>
      <c r="D329" s="767"/>
      <c r="E329" s="767"/>
    </row>
    <row r="330">
      <c r="A330" s="767"/>
      <c r="B330" s="767"/>
      <c r="C330" s="767"/>
      <c r="D330" s="767"/>
      <c r="E330" s="767"/>
    </row>
    <row r="331">
      <c r="A331" s="767"/>
      <c r="B331" s="767"/>
      <c r="C331" s="767"/>
      <c r="D331" s="767"/>
      <c r="E331" s="767"/>
    </row>
    <row r="332">
      <c r="A332" s="767"/>
      <c r="B332" s="767"/>
      <c r="C332" s="767"/>
      <c r="D332" s="767"/>
      <c r="E332" s="767"/>
    </row>
    <row r="333">
      <c r="A333" s="767"/>
      <c r="B333" s="767"/>
      <c r="C333" s="767"/>
      <c r="D333" s="767"/>
      <c r="E333" s="767"/>
    </row>
    <row r="334">
      <c r="A334" s="767"/>
      <c r="B334" s="767"/>
      <c r="C334" s="767"/>
      <c r="D334" s="767"/>
      <c r="E334" s="767"/>
    </row>
    <row r="335">
      <c r="A335" s="767"/>
      <c r="B335" s="767"/>
      <c r="C335" s="767"/>
      <c r="D335" s="767"/>
      <c r="E335" s="767"/>
    </row>
    <row r="336">
      <c r="A336" s="767"/>
      <c r="B336" s="767"/>
      <c r="C336" s="767"/>
      <c r="D336" s="767"/>
      <c r="E336" s="767"/>
    </row>
    <row r="337">
      <c r="A337" s="767"/>
      <c r="B337" s="767"/>
      <c r="C337" s="767"/>
      <c r="D337" s="767"/>
      <c r="E337" s="767"/>
    </row>
    <row r="338">
      <c r="A338" s="767"/>
      <c r="B338" s="767"/>
      <c r="C338" s="767"/>
      <c r="D338" s="767"/>
      <c r="E338" s="767"/>
    </row>
    <row r="339">
      <c r="A339" s="767"/>
      <c r="B339" s="767"/>
      <c r="C339" s="767"/>
      <c r="D339" s="767"/>
      <c r="E339" s="767"/>
    </row>
    <row r="340">
      <c r="A340" s="767"/>
      <c r="B340" s="767"/>
      <c r="C340" s="767"/>
      <c r="D340" s="767"/>
      <c r="E340" s="767"/>
    </row>
    <row r="341">
      <c r="A341" s="767"/>
      <c r="B341" s="767"/>
      <c r="C341" s="767"/>
      <c r="D341" s="767"/>
      <c r="E341" s="767"/>
    </row>
    <row r="342">
      <c r="A342" s="767"/>
      <c r="B342" s="767"/>
      <c r="C342" s="767"/>
      <c r="D342" s="767"/>
      <c r="E342" s="767"/>
    </row>
    <row r="343">
      <c r="A343" s="767"/>
      <c r="B343" s="767"/>
      <c r="C343" s="767"/>
      <c r="D343" s="767"/>
      <c r="E343" s="767"/>
    </row>
    <row r="344">
      <c r="A344" s="767"/>
      <c r="B344" s="767"/>
      <c r="C344" s="767"/>
      <c r="D344" s="767"/>
      <c r="E344" s="767"/>
    </row>
    <row r="345">
      <c r="A345" s="767"/>
      <c r="B345" s="767"/>
      <c r="C345" s="767"/>
      <c r="D345" s="767"/>
      <c r="E345" s="767"/>
    </row>
    <row r="346">
      <c r="A346" s="767"/>
      <c r="B346" s="767"/>
      <c r="C346" s="767"/>
      <c r="D346" s="767"/>
      <c r="E346" s="767"/>
    </row>
    <row r="347">
      <c r="A347" s="767"/>
      <c r="B347" s="767"/>
      <c r="C347" s="767"/>
      <c r="D347" s="767"/>
      <c r="E347" s="767"/>
    </row>
    <row r="348">
      <c r="A348" s="767"/>
      <c r="B348" s="767"/>
      <c r="C348" s="767"/>
      <c r="D348" s="767"/>
      <c r="E348" s="767"/>
    </row>
    <row r="349">
      <c r="A349" s="767"/>
      <c r="B349" s="767"/>
      <c r="C349" s="767"/>
      <c r="D349" s="767"/>
      <c r="E349" s="767"/>
    </row>
    <row r="350">
      <c r="A350" s="767"/>
      <c r="B350" s="767"/>
      <c r="C350" s="767"/>
      <c r="D350" s="767"/>
      <c r="E350" s="767"/>
    </row>
    <row r="351">
      <c r="A351" s="767"/>
      <c r="B351" s="767"/>
      <c r="C351" s="767"/>
      <c r="D351" s="767"/>
      <c r="E351" s="767"/>
    </row>
    <row r="352">
      <c r="A352" s="767"/>
      <c r="B352" s="767"/>
      <c r="C352" s="767"/>
      <c r="D352" s="767"/>
      <c r="E352" s="767"/>
    </row>
    <row r="353">
      <c r="A353" s="767"/>
      <c r="B353" s="767"/>
      <c r="C353" s="767"/>
      <c r="D353" s="767"/>
      <c r="E353" s="767"/>
    </row>
    <row r="354">
      <c r="A354" s="767"/>
      <c r="B354" s="767"/>
      <c r="C354" s="767"/>
      <c r="D354" s="767"/>
      <c r="E354" s="767"/>
    </row>
    <row r="355">
      <c r="A355" s="767"/>
      <c r="B355" s="767"/>
      <c r="C355" s="767"/>
      <c r="D355" s="767"/>
      <c r="E355" s="767"/>
    </row>
    <row r="356">
      <c r="A356" s="767"/>
      <c r="B356" s="767"/>
      <c r="C356" s="767"/>
      <c r="D356" s="767"/>
      <c r="E356" s="767"/>
    </row>
    <row r="357">
      <c r="A357" s="767"/>
      <c r="B357" s="767"/>
      <c r="C357" s="767"/>
      <c r="D357" s="767"/>
      <c r="E357" s="767"/>
    </row>
    <row r="358">
      <c r="A358" s="767"/>
      <c r="B358" s="767"/>
      <c r="C358" s="767"/>
      <c r="D358" s="767"/>
      <c r="E358" s="767"/>
    </row>
    <row r="359">
      <c r="A359" s="767"/>
      <c r="B359" s="767"/>
      <c r="C359" s="767"/>
      <c r="D359" s="767"/>
      <c r="E359" s="767"/>
    </row>
    <row r="360">
      <c r="A360" s="767"/>
      <c r="B360" s="767"/>
      <c r="C360" s="767"/>
      <c r="D360" s="767"/>
      <c r="E360" s="767"/>
    </row>
    <row r="361">
      <c r="A361" s="767"/>
      <c r="B361" s="767"/>
      <c r="C361" s="767"/>
      <c r="D361" s="767"/>
      <c r="E361" s="767"/>
    </row>
    <row r="362">
      <c r="A362" s="767"/>
      <c r="B362" s="767"/>
      <c r="C362" s="767"/>
      <c r="D362" s="767"/>
      <c r="E362" s="767"/>
    </row>
    <row r="363">
      <c r="A363" s="767"/>
      <c r="B363" s="767"/>
      <c r="C363" s="767"/>
      <c r="D363" s="767"/>
      <c r="E363" s="767"/>
    </row>
    <row r="364">
      <c r="A364" s="767"/>
      <c r="B364" s="767"/>
      <c r="C364" s="767"/>
      <c r="D364" s="767"/>
      <c r="E364" s="767"/>
    </row>
    <row r="365">
      <c r="A365" s="767"/>
      <c r="B365" s="767"/>
      <c r="C365" s="767"/>
      <c r="D365" s="767"/>
      <c r="E365" s="767"/>
    </row>
    <row r="366">
      <c r="A366" s="767"/>
      <c r="B366" s="767"/>
      <c r="C366" s="767"/>
      <c r="D366" s="767"/>
      <c r="E366" s="767"/>
    </row>
    <row r="367">
      <c r="A367" s="767"/>
      <c r="B367" s="767"/>
      <c r="C367" s="767"/>
      <c r="D367" s="767"/>
      <c r="E367" s="767"/>
    </row>
    <row r="368">
      <c r="A368" s="767"/>
      <c r="B368" s="767"/>
      <c r="C368" s="767"/>
      <c r="D368" s="767"/>
      <c r="E368" s="767"/>
    </row>
    <row r="369">
      <c r="A369" s="767"/>
      <c r="B369" s="767"/>
      <c r="C369" s="767"/>
      <c r="D369" s="767"/>
      <c r="E369" s="767"/>
    </row>
    <row r="370">
      <c r="A370" s="767"/>
      <c r="B370" s="767"/>
      <c r="C370" s="767"/>
      <c r="D370" s="767"/>
      <c r="E370" s="767"/>
    </row>
    <row r="371">
      <c r="A371" s="767"/>
      <c r="B371" s="767"/>
      <c r="C371" s="767"/>
      <c r="D371" s="767"/>
      <c r="E371" s="767"/>
    </row>
    <row r="372">
      <c r="A372" s="767"/>
      <c r="B372" s="767"/>
      <c r="C372" s="767"/>
      <c r="D372" s="767"/>
      <c r="E372" s="767"/>
    </row>
    <row r="373">
      <c r="A373" s="767"/>
      <c r="B373" s="767"/>
      <c r="C373" s="767"/>
      <c r="D373" s="767"/>
      <c r="E373" s="767"/>
    </row>
    <row r="374">
      <c r="A374" s="767"/>
      <c r="B374" s="767"/>
      <c r="C374" s="767"/>
      <c r="D374" s="767"/>
      <c r="E374" s="767"/>
    </row>
    <row r="375">
      <c r="A375" s="767"/>
      <c r="B375" s="767"/>
      <c r="C375" s="767"/>
      <c r="D375" s="767"/>
      <c r="E375" s="767"/>
    </row>
    <row r="376">
      <c r="A376" s="767"/>
      <c r="B376" s="767"/>
      <c r="C376" s="767"/>
      <c r="D376" s="767"/>
      <c r="E376" s="767"/>
    </row>
    <row r="377">
      <c r="A377" s="767"/>
      <c r="B377" s="767"/>
      <c r="C377" s="767"/>
      <c r="D377" s="767"/>
      <c r="E377" s="767"/>
    </row>
    <row r="378">
      <c r="A378" s="767"/>
      <c r="B378" s="767"/>
      <c r="C378" s="767"/>
      <c r="D378" s="767"/>
      <c r="E378" s="767"/>
    </row>
    <row r="379">
      <c r="A379" s="767"/>
      <c r="B379" s="767"/>
      <c r="C379" s="767"/>
      <c r="D379" s="767"/>
      <c r="E379" s="767"/>
    </row>
    <row r="380">
      <c r="A380" s="767"/>
      <c r="B380" s="767"/>
      <c r="C380" s="767"/>
      <c r="D380" s="767"/>
      <c r="E380" s="767"/>
    </row>
    <row r="381">
      <c r="A381" s="767"/>
      <c r="B381" s="767"/>
      <c r="C381" s="767"/>
      <c r="D381" s="767"/>
      <c r="E381" s="767"/>
    </row>
    <row r="382">
      <c r="A382" s="767"/>
      <c r="B382" s="767"/>
      <c r="C382" s="767"/>
      <c r="D382" s="767"/>
      <c r="E382" s="767"/>
    </row>
    <row r="383">
      <c r="A383" s="767"/>
      <c r="B383" s="767"/>
      <c r="C383" s="767"/>
      <c r="D383" s="767"/>
      <c r="E383" s="767"/>
    </row>
    <row r="384">
      <c r="A384" s="767"/>
      <c r="B384" s="767"/>
      <c r="C384" s="767"/>
      <c r="D384" s="767"/>
      <c r="E384" s="767"/>
    </row>
    <row r="385">
      <c r="A385" s="767"/>
      <c r="B385" s="767"/>
      <c r="C385" s="767"/>
      <c r="D385" s="767"/>
      <c r="E385" s="767"/>
    </row>
    <row r="386">
      <c r="A386" s="767"/>
      <c r="B386" s="767"/>
      <c r="C386" s="767"/>
      <c r="D386" s="767"/>
      <c r="E386" s="767"/>
    </row>
    <row r="387">
      <c r="A387" s="767"/>
      <c r="B387" s="767"/>
      <c r="C387" s="767"/>
      <c r="D387" s="767"/>
      <c r="E387" s="767"/>
    </row>
    <row r="388">
      <c r="A388" s="767"/>
      <c r="B388" s="767"/>
      <c r="C388" s="767"/>
      <c r="D388" s="767"/>
      <c r="E388" s="767"/>
    </row>
    <row r="389">
      <c r="A389" s="767"/>
      <c r="B389" s="767"/>
      <c r="C389" s="767"/>
      <c r="D389" s="767"/>
      <c r="E389" s="767"/>
    </row>
    <row r="390">
      <c r="A390" s="767"/>
      <c r="B390" s="767"/>
      <c r="C390" s="767"/>
      <c r="D390" s="767"/>
      <c r="E390" s="767"/>
    </row>
    <row r="391">
      <c r="A391" s="767"/>
      <c r="B391" s="767"/>
      <c r="C391" s="767"/>
      <c r="D391" s="767"/>
      <c r="E391" s="767"/>
    </row>
    <row r="392">
      <c r="A392" s="767"/>
      <c r="B392" s="767"/>
      <c r="C392" s="767"/>
      <c r="D392" s="767"/>
      <c r="E392" s="767"/>
    </row>
    <row r="393">
      <c r="A393" s="767"/>
      <c r="B393" s="767"/>
      <c r="C393" s="767"/>
      <c r="D393" s="767"/>
      <c r="E393" s="767"/>
    </row>
    <row r="394">
      <c r="A394" s="767"/>
      <c r="B394" s="767"/>
      <c r="C394" s="767"/>
      <c r="D394" s="767"/>
      <c r="E394" s="767"/>
    </row>
    <row r="395">
      <c r="A395" s="767"/>
      <c r="B395" s="767"/>
      <c r="C395" s="767"/>
      <c r="D395" s="767"/>
      <c r="E395" s="767"/>
    </row>
    <row r="396">
      <c r="A396" s="767"/>
      <c r="B396" s="767"/>
      <c r="C396" s="767"/>
      <c r="D396" s="767"/>
      <c r="E396" s="767"/>
    </row>
    <row r="397">
      <c r="A397" s="767"/>
      <c r="B397" s="767"/>
      <c r="C397" s="767"/>
      <c r="D397" s="767"/>
      <c r="E397" s="767"/>
    </row>
    <row r="398">
      <c r="A398" s="767"/>
      <c r="B398" s="767"/>
      <c r="C398" s="767"/>
      <c r="D398" s="767"/>
      <c r="E398" s="767"/>
    </row>
    <row r="399">
      <c r="A399" s="767"/>
      <c r="B399" s="767"/>
      <c r="C399" s="767"/>
      <c r="D399" s="767"/>
      <c r="E399" s="767"/>
    </row>
    <row r="400">
      <c r="A400" s="767"/>
      <c r="B400" s="767"/>
      <c r="C400" s="767"/>
      <c r="D400" s="767"/>
      <c r="E400" s="767"/>
    </row>
    <row r="401">
      <c r="A401" s="767"/>
      <c r="B401" s="767"/>
      <c r="C401" s="767"/>
      <c r="D401" s="767"/>
      <c r="E401" s="767"/>
    </row>
    <row r="402">
      <c r="A402" s="767"/>
      <c r="B402" s="767"/>
      <c r="C402" s="767"/>
      <c r="D402" s="767"/>
      <c r="E402" s="767"/>
    </row>
    <row r="403">
      <c r="A403" s="767"/>
      <c r="B403" s="767"/>
      <c r="C403" s="767"/>
      <c r="D403" s="767"/>
      <c r="E403" s="767"/>
    </row>
    <row r="404">
      <c r="A404" s="767"/>
      <c r="B404" s="767"/>
      <c r="C404" s="767"/>
      <c r="D404" s="767"/>
      <c r="E404" s="767"/>
    </row>
    <row r="405">
      <c r="A405" s="767"/>
      <c r="B405" s="767"/>
      <c r="C405" s="767"/>
      <c r="D405" s="767"/>
      <c r="E405" s="767"/>
    </row>
    <row r="406">
      <c r="A406" s="767"/>
      <c r="B406" s="767"/>
      <c r="C406" s="767"/>
      <c r="D406" s="767"/>
      <c r="E406" s="767"/>
    </row>
    <row r="407">
      <c r="A407" s="767"/>
      <c r="B407" s="767"/>
      <c r="C407" s="767"/>
      <c r="D407" s="767"/>
      <c r="E407" s="767"/>
    </row>
    <row r="408">
      <c r="A408" s="767"/>
      <c r="B408" s="767"/>
      <c r="C408" s="767"/>
      <c r="D408" s="767"/>
      <c r="E408" s="767"/>
    </row>
    <row r="409">
      <c r="A409" s="767"/>
      <c r="B409" s="767"/>
      <c r="C409" s="767"/>
      <c r="D409" s="767"/>
      <c r="E409" s="767"/>
    </row>
    <row r="410">
      <c r="A410" s="767"/>
      <c r="B410" s="767"/>
      <c r="C410" s="767"/>
      <c r="D410" s="767"/>
      <c r="E410" s="767"/>
    </row>
    <row r="411">
      <c r="A411" s="767"/>
      <c r="B411" s="767"/>
      <c r="C411" s="767"/>
      <c r="D411" s="767"/>
      <c r="E411" s="767"/>
    </row>
    <row r="412">
      <c r="A412" s="767"/>
      <c r="B412" s="767"/>
      <c r="C412" s="767"/>
      <c r="D412" s="767"/>
      <c r="E412" s="767"/>
    </row>
    <row r="413">
      <c r="A413" s="767"/>
      <c r="B413" s="767"/>
      <c r="C413" s="767"/>
      <c r="D413" s="767"/>
      <c r="E413" s="767"/>
    </row>
    <row r="414">
      <c r="A414" s="767"/>
      <c r="B414" s="767"/>
      <c r="C414" s="767"/>
      <c r="D414" s="767"/>
      <c r="E414" s="767"/>
    </row>
    <row r="415">
      <c r="A415" s="767"/>
      <c r="B415" s="767"/>
      <c r="C415" s="767"/>
      <c r="D415" s="767"/>
      <c r="E415" s="767"/>
    </row>
    <row r="416">
      <c r="A416" s="767"/>
      <c r="B416" s="767"/>
      <c r="C416" s="767"/>
      <c r="D416" s="767"/>
      <c r="E416" s="767"/>
    </row>
    <row r="417">
      <c r="A417" s="767"/>
      <c r="B417" s="767"/>
      <c r="C417" s="767"/>
      <c r="D417" s="767"/>
      <c r="E417" s="767"/>
    </row>
    <row r="418">
      <c r="A418" s="767"/>
      <c r="B418" s="767"/>
      <c r="C418" s="767"/>
      <c r="D418" s="767"/>
      <c r="E418" s="767"/>
    </row>
    <row r="419">
      <c r="A419" s="767"/>
      <c r="B419" s="767"/>
      <c r="C419" s="767"/>
      <c r="D419" s="767"/>
      <c r="E419" s="767"/>
    </row>
    <row r="420">
      <c r="A420" s="767"/>
      <c r="B420" s="767"/>
      <c r="C420" s="767"/>
      <c r="D420" s="767"/>
      <c r="E420" s="767"/>
    </row>
    <row r="421">
      <c r="A421" s="767"/>
      <c r="B421" s="767"/>
      <c r="C421" s="767"/>
      <c r="D421" s="767"/>
      <c r="E421" s="767"/>
    </row>
    <row r="422">
      <c r="A422" s="767"/>
      <c r="B422" s="767"/>
      <c r="C422" s="767"/>
      <c r="D422" s="767"/>
      <c r="E422" s="767"/>
    </row>
    <row r="423">
      <c r="A423" s="767"/>
      <c r="B423" s="767"/>
      <c r="C423" s="767"/>
      <c r="D423" s="767"/>
      <c r="E423" s="767"/>
    </row>
    <row r="424">
      <c r="A424" s="767"/>
      <c r="B424" s="767"/>
      <c r="C424" s="767"/>
      <c r="D424" s="767"/>
      <c r="E424" s="767"/>
    </row>
    <row r="425">
      <c r="A425" s="767"/>
      <c r="B425" s="767"/>
      <c r="C425" s="767"/>
      <c r="D425" s="767"/>
      <c r="E425" s="767"/>
    </row>
    <row r="426">
      <c r="A426" s="767"/>
      <c r="B426" s="767"/>
      <c r="C426" s="767"/>
      <c r="D426" s="767"/>
      <c r="E426" s="767"/>
    </row>
    <row r="427">
      <c r="A427" s="767"/>
      <c r="B427" s="767"/>
      <c r="C427" s="767"/>
      <c r="D427" s="767"/>
      <c r="E427" s="767"/>
    </row>
    <row r="428">
      <c r="A428" s="767"/>
      <c r="B428" s="767"/>
      <c r="C428" s="767"/>
      <c r="D428" s="767"/>
      <c r="E428" s="767"/>
    </row>
    <row r="429">
      <c r="A429" s="767"/>
      <c r="B429" s="767"/>
      <c r="C429" s="767"/>
      <c r="D429" s="767"/>
      <c r="E429" s="767"/>
    </row>
    <row r="430">
      <c r="A430" s="767"/>
      <c r="B430" s="767"/>
      <c r="C430" s="767"/>
      <c r="D430" s="767"/>
      <c r="E430" s="767"/>
    </row>
    <row r="431">
      <c r="A431" s="767"/>
      <c r="B431" s="767"/>
      <c r="C431" s="767"/>
      <c r="D431" s="767"/>
      <c r="E431" s="767"/>
    </row>
    <row r="432">
      <c r="A432" s="767"/>
      <c r="B432" s="767"/>
      <c r="C432" s="767"/>
      <c r="D432" s="767"/>
      <c r="E432" s="767"/>
    </row>
    <row r="433">
      <c r="A433" s="767"/>
      <c r="B433" s="767"/>
      <c r="C433" s="767"/>
      <c r="D433" s="767"/>
      <c r="E433" s="767"/>
    </row>
    <row r="434">
      <c r="A434" s="767"/>
      <c r="B434" s="767"/>
      <c r="C434" s="767"/>
      <c r="D434" s="767"/>
      <c r="E434" s="767"/>
    </row>
    <row r="435">
      <c r="A435" s="767"/>
      <c r="B435" s="767"/>
      <c r="C435" s="767"/>
      <c r="D435" s="767"/>
      <c r="E435" s="767"/>
    </row>
    <row r="436">
      <c r="A436" s="767"/>
      <c r="B436" s="767"/>
      <c r="C436" s="767"/>
      <c r="D436" s="767"/>
      <c r="E436" s="767"/>
    </row>
    <row r="437">
      <c r="A437" s="767"/>
      <c r="B437" s="767"/>
      <c r="C437" s="767"/>
      <c r="D437" s="767"/>
      <c r="E437" s="767"/>
    </row>
    <row r="438">
      <c r="A438" s="767"/>
      <c r="B438" s="767"/>
      <c r="C438" s="767"/>
      <c r="D438" s="767"/>
      <c r="E438" s="767"/>
    </row>
    <row r="439">
      <c r="A439" s="767"/>
      <c r="B439" s="767"/>
      <c r="C439" s="767"/>
      <c r="D439" s="767"/>
      <c r="E439" s="767"/>
    </row>
    <row r="440">
      <c r="A440" s="767"/>
      <c r="B440" s="767"/>
      <c r="C440" s="767"/>
      <c r="D440" s="767"/>
      <c r="E440" s="767"/>
    </row>
    <row r="441">
      <c r="A441" s="767"/>
      <c r="B441" s="767"/>
      <c r="C441" s="767"/>
      <c r="D441" s="767"/>
      <c r="E441" s="767"/>
    </row>
    <row r="442">
      <c r="A442" s="767"/>
      <c r="B442" s="767"/>
      <c r="C442" s="767"/>
      <c r="D442" s="767"/>
      <c r="E442" s="767"/>
    </row>
    <row r="443">
      <c r="A443" s="767"/>
      <c r="B443" s="767"/>
      <c r="C443" s="767"/>
      <c r="D443" s="767"/>
      <c r="E443" s="767"/>
    </row>
    <row r="444">
      <c r="A444" s="767"/>
      <c r="B444" s="767"/>
      <c r="C444" s="767"/>
      <c r="D444" s="767"/>
      <c r="E444" s="767"/>
    </row>
    <row r="445">
      <c r="A445" s="767"/>
      <c r="B445" s="767"/>
      <c r="C445" s="767"/>
      <c r="D445" s="767"/>
      <c r="E445" s="767"/>
    </row>
    <row r="446">
      <c r="A446" s="767"/>
      <c r="B446" s="767"/>
      <c r="C446" s="767"/>
      <c r="D446" s="767"/>
      <c r="E446" s="767"/>
    </row>
    <row r="447">
      <c r="A447" s="767"/>
      <c r="B447" s="767"/>
      <c r="C447" s="767"/>
      <c r="D447" s="767"/>
      <c r="E447" s="767"/>
    </row>
    <row r="448">
      <c r="A448" s="767"/>
      <c r="B448" s="767"/>
      <c r="C448" s="767"/>
      <c r="D448" s="767"/>
      <c r="E448" s="767"/>
    </row>
    <row r="449">
      <c r="A449" s="767"/>
      <c r="B449" s="767"/>
      <c r="C449" s="767"/>
      <c r="D449" s="767"/>
      <c r="E449" s="767"/>
    </row>
    <row r="450">
      <c r="A450" s="767"/>
      <c r="B450" s="767"/>
      <c r="C450" s="767"/>
      <c r="D450" s="767"/>
      <c r="E450" s="767"/>
    </row>
    <row r="451">
      <c r="A451" s="767"/>
      <c r="B451" s="767"/>
      <c r="C451" s="767"/>
      <c r="D451" s="767"/>
      <c r="E451" s="767"/>
    </row>
    <row r="452">
      <c r="A452" s="767"/>
      <c r="B452" s="767"/>
      <c r="C452" s="767"/>
      <c r="D452" s="767"/>
      <c r="E452" s="767"/>
    </row>
    <row r="453">
      <c r="A453" s="767"/>
      <c r="B453" s="767"/>
      <c r="C453" s="767"/>
      <c r="D453" s="767"/>
      <c r="E453" s="767"/>
    </row>
    <row r="454">
      <c r="A454" s="767"/>
      <c r="B454" s="767"/>
      <c r="C454" s="767"/>
      <c r="D454" s="767"/>
      <c r="E454" s="767"/>
    </row>
    <row r="455">
      <c r="A455" s="767"/>
      <c r="B455" s="767"/>
      <c r="C455" s="767"/>
      <c r="D455" s="767"/>
      <c r="E455" s="767"/>
    </row>
    <row r="456">
      <c r="A456" s="767"/>
      <c r="B456" s="767"/>
      <c r="C456" s="767"/>
      <c r="D456" s="767"/>
      <c r="E456" s="767"/>
    </row>
    <row r="457">
      <c r="A457" s="767"/>
      <c r="B457" s="767"/>
      <c r="C457" s="767"/>
      <c r="D457" s="767"/>
      <c r="E457" s="767"/>
    </row>
    <row r="458">
      <c r="A458" s="767"/>
      <c r="B458" s="767"/>
      <c r="C458" s="767"/>
      <c r="D458" s="767"/>
      <c r="E458" s="767"/>
    </row>
    <row r="459">
      <c r="A459" s="767"/>
      <c r="B459" s="767"/>
      <c r="C459" s="767"/>
      <c r="D459" s="767"/>
      <c r="E459" s="767"/>
    </row>
    <row r="460">
      <c r="A460" s="767"/>
      <c r="B460" s="767"/>
      <c r="C460" s="767"/>
      <c r="D460" s="767"/>
      <c r="E460" s="767"/>
    </row>
    <row r="461">
      <c r="A461" s="767"/>
      <c r="B461" s="767"/>
      <c r="C461" s="767"/>
      <c r="D461" s="767"/>
      <c r="E461" s="767"/>
    </row>
    <row r="462">
      <c r="A462" s="767"/>
      <c r="B462" s="767"/>
      <c r="C462" s="767"/>
      <c r="D462" s="767"/>
      <c r="E462" s="767"/>
    </row>
    <row r="463">
      <c r="A463" s="767"/>
      <c r="B463" s="767"/>
      <c r="C463" s="767"/>
      <c r="D463" s="767"/>
      <c r="E463" s="767"/>
    </row>
    <row r="464">
      <c r="A464" s="767"/>
      <c r="B464" s="767"/>
      <c r="C464" s="767"/>
      <c r="D464" s="767"/>
      <c r="E464" s="767"/>
    </row>
    <row r="465">
      <c r="A465" s="767"/>
      <c r="B465" s="767"/>
      <c r="C465" s="767"/>
      <c r="D465" s="767"/>
      <c r="E465" s="767"/>
    </row>
    <row r="466">
      <c r="A466" s="767"/>
      <c r="B466" s="767"/>
      <c r="C466" s="767"/>
      <c r="D466" s="767"/>
      <c r="E466" s="767"/>
    </row>
    <row r="467">
      <c r="A467" s="767"/>
      <c r="B467" s="767"/>
      <c r="C467" s="767"/>
      <c r="D467" s="767"/>
      <c r="E467" s="767"/>
    </row>
    <row r="468">
      <c r="A468" s="767"/>
      <c r="B468" s="767"/>
      <c r="C468" s="767"/>
      <c r="D468" s="767"/>
      <c r="E468" s="767"/>
    </row>
    <row r="469">
      <c r="A469" s="767"/>
      <c r="B469" s="767"/>
      <c r="C469" s="767"/>
      <c r="D469" s="767"/>
      <c r="E469" s="767"/>
    </row>
    <row r="470">
      <c r="A470" s="767"/>
      <c r="B470" s="767"/>
      <c r="C470" s="767"/>
      <c r="D470" s="767"/>
      <c r="E470" s="767"/>
    </row>
    <row r="471">
      <c r="A471" s="767"/>
      <c r="B471" s="767"/>
      <c r="C471" s="767"/>
      <c r="D471" s="767"/>
      <c r="E471" s="767"/>
    </row>
    <row r="472">
      <c r="A472" s="767"/>
      <c r="B472" s="767"/>
      <c r="C472" s="767"/>
      <c r="D472" s="767"/>
      <c r="E472" s="767"/>
    </row>
    <row r="473">
      <c r="A473" s="767"/>
      <c r="B473" s="767"/>
      <c r="C473" s="767"/>
      <c r="D473" s="767"/>
      <c r="E473" s="767"/>
    </row>
    <row r="474">
      <c r="A474" s="767"/>
      <c r="B474" s="767"/>
      <c r="C474" s="767"/>
      <c r="D474" s="767"/>
      <c r="E474" s="767"/>
    </row>
    <row r="475">
      <c r="A475" s="767"/>
      <c r="B475" s="767"/>
      <c r="C475" s="767"/>
      <c r="D475" s="767"/>
      <c r="E475" s="767"/>
    </row>
    <row r="476">
      <c r="A476" s="767"/>
      <c r="B476" s="767"/>
      <c r="C476" s="767"/>
      <c r="D476" s="767"/>
      <c r="E476" s="767"/>
    </row>
    <row r="477">
      <c r="A477" s="767"/>
      <c r="B477" s="767"/>
      <c r="C477" s="767"/>
      <c r="D477" s="767"/>
      <c r="E477" s="767"/>
    </row>
    <row r="478">
      <c r="A478" s="767"/>
      <c r="B478" s="767"/>
      <c r="C478" s="767"/>
      <c r="D478" s="767"/>
      <c r="E478" s="767"/>
    </row>
    <row r="479">
      <c r="A479" s="767"/>
      <c r="B479" s="767"/>
      <c r="C479" s="767"/>
      <c r="D479" s="767"/>
      <c r="E479" s="767"/>
    </row>
    <row r="480">
      <c r="A480" s="767"/>
      <c r="B480" s="767"/>
      <c r="C480" s="767"/>
      <c r="D480" s="767"/>
      <c r="E480" s="767"/>
    </row>
    <row r="481">
      <c r="A481" s="767"/>
      <c r="B481" s="767"/>
      <c r="C481" s="767"/>
      <c r="D481" s="767"/>
      <c r="E481" s="767"/>
    </row>
    <row r="482">
      <c r="A482" s="767"/>
      <c r="B482" s="767"/>
      <c r="C482" s="767"/>
      <c r="D482" s="767"/>
      <c r="E482" s="767"/>
    </row>
    <row r="483">
      <c r="A483" s="767"/>
      <c r="B483" s="767"/>
      <c r="C483" s="767"/>
      <c r="D483" s="767"/>
      <c r="E483" s="767"/>
    </row>
    <row r="484">
      <c r="A484" s="767"/>
      <c r="B484" s="767"/>
      <c r="C484" s="767"/>
      <c r="D484" s="767"/>
      <c r="E484" s="767"/>
    </row>
    <row r="485">
      <c r="A485" s="767"/>
      <c r="B485" s="767"/>
      <c r="C485" s="767"/>
      <c r="D485" s="767"/>
      <c r="E485" s="767"/>
    </row>
    <row r="486">
      <c r="A486" s="767"/>
      <c r="B486" s="767"/>
      <c r="C486" s="767"/>
      <c r="D486" s="767"/>
      <c r="E486" s="767"/>
    </row>
    <row r="487">
      <c r="A487" s="767"/>
      <c r="B487" s="767"/>
      <c r="C487" s="767"/>
      <c r="D487" s="767"/>
      <c r="E487" s="767"/>
    </row>
    <row r="488">
      <c r="A488" s="767"/>
      <c r="B488" s="767"/>
      <c r="C488" s="767"/>
      <c r="D488" s="767"/>
      <c r="E488" s="767"/>
    </row>
    <row r="489">
      <c r="A489" s="767"/>
      <c r="B489" s="767"/>
      <c r="C489" s="767"/>
      <c r="D489" s="767"/>
      <c r="E489" s="767"/>
    </row>
    <row r="490">
      <c r="A490" s="767"/>
      <c r="B490" s="767"/>
      <c r="C490" s="767"/>
      <c r="D490" s="767"/>
      <c r="E490" s="767"/>
    </row>
    <row r="491">
      <c r="A491" s="767"/>
      <c r="B491" s="767"/>
      <c r="C491" s="767"/>
      <c r="D491" s="767"/>
      <c r="E491" s="767"/>
    </row>
    <row r="492">
      <c r="A492" s="767"/>
      <c r="B492" s="767"/>
      <c r="C492" s="767"/>
      <c r="D492" s="767"/>
      <c r="E492" s="767"/>
    </row>
    <row r="493">
      <c r="A493" s="767"/>
      <c r="B493" s="767"/>
      <c r="C493" s="767"/>
      <c r="D493" s="767"/>
      <c r="E493" s="767"/>
    </row>
    <row r="494">
      <c r="A494" s="767"/>
      <c r="B494" s="767"/>
      <c r="C494" s="767"/>
      <c r="D494" s="767"/>
      <c r="E494" s="767"/>
    </row>
    <row r="495">
      <c r="A495" s="767"/>
      <c r="B495" s="767"/>
      <c r="C495" s="767"/>
      <c r="D495" s="767"/>
      <c r="E495" s="767"/>
    </row>
    <row r="496">
      <c r="A496" s="767"/>
      <c r="B496" s="767"/>
      <c r="C496" s="767"/>
      <c r="D496" s="767"/>
      <c r="E496" s="767"/>
    </row>
    <row r="497">
      <c r="A497" s="767"/>
      <c r="B497" s="767"/>
      <c r="C497" s="767"/>
      <c r="D497" s="767"/>
      <c r="E497" s="767"/>
    </row>
    <row r="498">
      <c r="A498" s="767"/>
      <c r="B498" s="767"/>
      <c r="C498" s="767"/>
      <c r="D498" s="767"/>
      <c r="E498" s="767"/>
    </row>
    <row r="499">
      <c r="A499" s="767"/>
      <c r="B499" s="767"/>
      <c r="C499" s="767"/>
      <c r="D499" s="767"/>
      <c r="E499" s="767"/>
    </row>
    <row r="500">
      <c r="A500" s="767"/>
      <c r="B500" s="767"/>
      <c r="C500" s="767"/>
      <c r="D500" s="767"/>
      <c r="E500" s="767"/>
    </row>
    <row r="501">
      <c r="A501" s="767"/>
      <c r="B501" s="767"/>
      <c r="C501" s="767"/>
      <c r="D501" s="767"/>
      <c r="E501" s="767"/>
    </row>
    <row r="502">
      <c r="A502" s="767"/>
      <c r="B502" s="767"/>
      <c r="C502" s="767"/>
      <c r="D502" s="767"/>
      <c r="E502" s="767"/>
    </row>
    <row r="503">
      <c r="A503" s="767"/>
      <c r="B503" s="767"/>
      <c r="C503" s="767"/>
      <c r="D503" s="767"/>
      <c r="E503" s="767"/>
    </row>
    <row r="504">
      <c r="A504" s="767"/>
      <c r="B504" s="767"/>
      <c r="C504" s="767"/>
      <c r="D504" s="767"/>
      <c r="E504" s="767"/>
    </row>
    <row r="505">
      <c r="A505" s="767"/>
      <c r="B505" s="767"/>
      <c r="C505" s="767"/>
      <c r="D505" s="767"/>
      <c r="E505" s="767"/>
    </row>
    <row r="506">
      <c r="A506" s="767"/>
      <c r="B506" s="767"/>
      <c r="C506" s="767"/>
      <c r="D506" s="767"/>
      <c r="E506" s="767"/>
    </row>
    <row r="507">
      <c r="A507" s="767"/>
      <c r="B507" s="767"/>
      <c r="C507" s="767"/>
      <c r="D507" s="767"/>
      <c r="E507" s="767"/>
    </row>
    <row r="508">
      <c r="A508" s="767"/>
      <c r="B508" s="767"/>
      <c r="C508" s="767"/>
      <c r="D508" s="767"/>
      <c r="E508" s="767"/>
    </row>
    <row r="509">
      <c r="A509" s="767"/>
      <c r="B509" s="767"/>
      <c r="C509" s="767"/>
      <c r="D509" s="767"/>
      <c r="E509" s="767"/>
    </row>
    <row r="510">
      <c r="A510" s="767"/>
      <c r="B510" s="767"/>
      <c r="C510" s="767"/>
      <c r="D510" s="767"/>
      <c r="E510" s="767"/>
    </row>
    <row r="511">
      <c r="A511" s="767"/>
      <c r="B511" s="767"/>
      <c r="C511" s="767"/>
      <c r="D511" s="767"/>
      <c r="E511" s="767"/>
    </row>
    <row r="512">
      <c r="A512" s="767"/>
      <c r="B512" s="767"/>
      <c r="C512" s="767"/>
      <c r="D512" s="767"/>
      <c r="E512" s="767"/>
    </row>
    <row r="513">
      <c r="A513" s="767"/>
      <c r="B513" s="767"/>
      <c r="C513" s="767"/>
      <c r="D513" s="767"/>
      <c r="E513" s="767"/>
    </row>
    <row r="514">
      <c r="A514" s="767"/>
      <c r="B514" s="767"/>
      <c r="C514" s="767"/>
      <c r="D514" s="767"/>
      <c r="E514" s="767"/>
    </row>
    <row r="515">
      <c r="A515" s="767"/>
      <c r="B515" s="767"/>
      <c r="C515" s="767"/>
      <c r="D515" s="767"/>
      <c r="E515" s="767"/>
    </row>
    <row r="516">
      <c r="A516" s="767"/>
      <c r="B516" s="767"/>
      <c r="C516" s="767"/>
      <c r="D516" s="767"/>
      <c r="E516" s="767"/>
    </row>
    <row r="517">
      <c r="A517" s="767"/>
      <c r="B517" s="767"/>
      <c r="C517" s="767"/>
      <c r="D517" s="767"/>
      <c r="E517" s="767"/>
    </row>
    <row r="518">
      <c r="A518" s="767"/>
      <c r="B518" s="767"/>
      <c r="C518" s="767"/>
      <c r="D518" s="767"/>
      <c r="E518" s="767"/>
    </row>
    <row r="519">
      <c r="A519" s="767"/>
      <c r="B519" s="767"/>
      <c r="C519" s="767"/>
      <c r="D519" s="767"/>
      <c r="E519" s="767"/>
    </row>
    <row r="520">
      <c r="A520" s="767"/>
      <c r="B520" s="767"/>
      <c r="C520" s="767"/>
      <c r="D520" s="767"/>
      <c r="E520" s="767"/>
    </row>
    <row r="521">
      <c r="A521" s="767"/>
      <c r="B521" s="767"/>
      <c r="C521" s="767"/>
      <c r="D521" s="767"/>
      <c r="E521" s="767"/>
    </row>
    <row r="522">
      <c r="A522" s="767"/>
      <c r="B522" s="767"/>
      <c r="C522" s="767"/>
      <c r="D522" s="767"/>
      <c r="E522" s="767"/>
    </row>
    <row r="523">
      <c r="A523" s="767"/>
      <c r="B523" s="767"/>
      <c r="C523" s="767"/>
      <c r="D523" s="767"/>
      <c r="E523" s="767"/>
    </row>
    <row r="524">
      <c r="A524" s="767"/>
      <c r="B524" s="767"/>
      <c r="C524" s="767"/>
      <c r="D524" s="767"/>
      <c r="E524" s="767"/>
    </row>
    <row r="525">
      <c r="A525" s="767"/>
      <c r="B525" s="767"/>
      <c r="C525" s="767"/>
      <c r="D525" s="767"/>
      <c r="E525" s="767"/>
    </row>
    <row r="526">
      <c r="A526" s="767"/>
      <c r="B526" s="767"/>
      <c r="C526" s="767"/>
      <c r="D526" s="767"/>
      <c r="E526" s="767"/>
    </row>
    <row r="527">
      <c r="A527" s="767"/>
      <c r="B527" s="767"/>
      <c r="C527" s="767"/>
      <c r="D527" s="767"/>
      <c r="E527" s="767"/>
    </row>
    <row r="528">
      <c r="A528" s="767"/>
      <c r="B528" s="767"/>
      <c r="C528" s="767"/>
      <c r="D528" s="767"/>
      <c r="E528" s="767"/>
    </row>
    <row r="529">
      <c r="A529" s="767"/>
      <c r="B529" s="767"/>
      <c r="C529" s="767"/>
      <c r="D529" s="767"/>
      <c r="E529" s="767"/>
    </row>
    <row r="530">
      <c r="A530" s="767"/>
      <c r="B530" s="767"/>
      <c r="C530" s="767"/>
      <c r="D530" s="767"/>
      <c r="E530" s="767"/>
    </row>
    <row r="531">
      <c r="A531" s="767"/>
      <c r="B531" s="767"/>
      <c r="C531" s="767"/>
      <c r="D531" s="767"/>
      <c r="E531" s="767"/>
    </row>
    <row r="532">
      <c r="A532" s="767"/>
      <c r="B532" s="767"/>
      <c r="C532" s="767"/>
      <c r="D532" s="767"/>
      <c r="E532" s="767"/>
    </row>
    <row r="533">
      <c r="A533" s="767"/>
      <c r="B533" s="767"/>
      <c r="C533" s="767"/>
      <c r="D533" s="767"/>
      <c r="E533" s="767"/>
    </row>
    <row r="534">
      <c r="A534" s="767"/>
      <c r="B534" s="767"/>
      <c r="C534" s="767"/>
      <c r="D534" s="767"/>
      <c r="E534" s="767"/>
    </row>
    <row r="535">
      <c r="A535" s="767"/>
      <c r="B535" s="767"/>
      <c r="C535" s="767"/>
      <c r="D535" s="767"/>
      <c r="E535" s="767"/>
    </row>
    <row r="536">
      <c r="A536" s="767"/>
      <c r="B536" s="767"/>
      <c r="C536" s="767"/>
      <c r="D536" s="767"/>
      <c r="E536" s="767"/>
    </row>
    <row r="537">
      <c r="A537" s="767"/>
      <c r="B537" s="767"/>
      <c r="C537" s="767"/>
      <c r="D537" s="767"/>
      <c r="E537" s="767"/>
    </row>
    <row r="538">
      <c r="A538" s="767"/>
      <c r="B538" s="767"/>
      <c r="C538" s="767"/>
      <c r="D538" s="767"/>
      <c r="E538" s="767"/>
    </row>
    <row r="539">
      <c r="A539" s="767"/>
      <c r="B539" s="767"/>
      <c r="C539" s="767"/>
      <c r="D539" s="767"/>
      <c r="E539" s="767"/>
    </row>
    <row r="540">
      <c r="A540" s="767"/>
      <c r="B540" s="767"/>
      <c r="C540" s="767"/>
      <c r="D540" s="767"/>
      <c r="E540" s="767"/>
    </row>
    <row r="541">
      <c r="A541" s="767"/>
      <c r="B541" s="767"/>
      <c r="C541" s="767"/>
      <c r="D541" s="767"/>
      <c r="E541" s="767"/>
    </row>
    <row r="542">
      <c r="A542" s="767"/>
      <c r="B542" s="767"/>
      <c r="C542" s="767"/>
      <c r="D542" s="767"/>
      <c r="E542" s="767"/>
    </row>
    <row r="543">
      <c r="A543" s="767"/>
      <c r="B543" s="767"/>
      <c r="C543" s="767"/>
      <c r="D543" s="767"/>
      <c r="E543" s="767"/>
    </row>
    <row r="544">
      <c r="A544" s="767"/>
      <c r="B544" s="767"/>
      <c r="C544" s="767"/>
      <c r="D544" s="767"/>
      <c r="E544" s="767"/>
    </row>
    <row r="545">
      <c r="A545" s="767"/>
      <c r="B545" s="767"/>
      <c r="C545" s="767"/>
      <c r="D545" s="767"/>
      <c r="E545" s="767"/>
    </row>
    <row r="546">
      <c r="A546" s="767"/>
      <c r="B546" s="767"/>
      <c r="C546" s="767"/>
      <c r="D546" s="767"/>
      <c r="E546" s="767"/>
    </row>
    <row r="547">
      <c r="A547" s="767"/>
      <c r="B547" s="767"/>
      <c r="C547" s="767"/>
      <c r="D547" s="767"/>
      <c r="E547" s="767"/>
    </row>
    <row r="548">
      <c r="A548" s="767"/>
      <c r="B548" s="767"/>
      <c r="C548" s="767"/>
      <c r="D548" s="767"/>
      <c r="E548" s="767"/>
    </row>
    <row r="549">
      <c r="A549" s="767"/>
      <c r="B549" s="767"/>
      <c r="C549" s="767"/>
      <c r="D549" s="767"/>
      <c r="E549" s="767"/>
    </row>
    <row r="550">
      <c r="A550" s="767"/>
      <c r="B550" s="767"/>
      <c r="C550" s="767"/>
      <c r="D550" s="767"/>
      <c r="E550" s="767"/>
    </row>
    <row r="551">
      <c r="A551" s="767"/>
      <c r="B551" s="767"/>
      <c r="C551" s="767"/>
      <c r="D551" s="767"/>
      <c r="E551" s="767"/>
    </row>
    <row r="552">
      <c r="A552" s="767"/>
      <c r="B552" s="767"/>
      <c r="C552" s="767"/>
      <c r="D552" s="767"/>
      <c r="E552" s="767"/>
    </row>
    <row r="553">
      <c r="A553" s="767"/>
      <c r="B553" s="767"/>
      <c r="C553" s="767"/>
      <c r="D553" s="767"/>
      <c r="E553" s="767"/>
    </row>
    <row r="554">
      <c r="A554" s="767"/>
      <c r="B554" s="767"/>
      <c r="C554" s="767"/>
      <c r="D554" s="767"/>
      <c r="E554" s="767"/>
    </row>
    <row r="555">
      <c r="A555" s="767"/>
      <c r="B555" s="767"/>
      <c r="C555" s="767"/>
      <c r="D555" s="767"/>
      <c r="E555" s="767"/>
    </row>
    <row r="556">
      <c r="A556" s="767"/>
      <c r="B556" s="767"/>
      <c r="C556" s="767"/>
      <c r="D556" s="767"/>
      <c r="E556" s="767"/>
    </row>
    <row r="557">
      <c r="A557" s="767"/>
      <c r="B557" s="767"/>
      <c r="C557" s="767"/>
      <c r="D557" s="767"/>
      <c r="E557" s="767"/>
    </row>
    <row r="558">
      <c r="A558" s="767"/>
      <c r="B558" s="767"/>
      <c r="C558" s="767"/>
      <c r="D558" s="767"/>
      <c r="E558" s="767"/>
    </row>
    <row r="559">
      <c r="A559" s="767"/>
      <c r="B559" s="767"/>
      <c r="C559" s="767"/>
      <c r="D559" s="767"/>
      <c r="E559" s="767"/>
    </row>
    <row r="560">
      <c r="A560" s="767"/>
      <c r="B560" s="767"/>
      <c r="C560" s="767"/>
      <c r="D560" s="767"/>
      <c r="E560" s="767"/>
    </row>
    <row r="561">
      <c r="A561" s="767"/>
      <c r="B561" s="767"/>
      <c r="C561" s="767"/>
      <c r="D561" s="767"/>
      <c r="E561" s="767"/>
    </row>
    <row r="562">
      <c r="A562" s="767"/>
      <c r="B562" s="767"/>
      <c r="C562" s="767"/>
      <c r="D562" s="767"/>
      <c r="E562" s="767"/>
    </row>
    <row r="563">
      <c r="A563" s="767"/>
      <c r="B563" s="767"/>
      <c r="C563" s="767"/>
      <c r="D563" s="767"/>
      <c r="E563" s="767"/>
    </row>
    <row r="564">
      <c r="A564" s="767"/>
      <c r="B564" s="767"/>
      <c r="C564" s="767"/>
      <c r="D564" s="767"/>
      <c r="E564" s="767"/>
    </row>
    <row r="565">
      <c r="A565" s="767"/>
      <c r="B565" s="767"/>
      <c r="C565" s="767"/>
      <c r="D565" s="767"/>
      <c r="E565" s="767"/>
    </row>
    <row r="566">
      <c r="A566" s="767"/>
      <c r="B566" s="767"/>
      <c r="C566" s="767"/>
      <c r="D566" s="767"/>
      <c r="E566" s="767"/>
    </row>
    <row r="567">
      <c r="A567" s="767"/>
      <c r="B567" s="767"/>
      <c r="C567" s="767"/>
      <c r="D567" s="767"/>
      <c r="E567" s="767"/>
    </row>
    <row r="568">
      <c r="A568" s="767"/>
      <c r="B568" s="767"/>
      <c r="C568" s="767"/>
      <c r="D568" s="767"/>
      <c r="E568" s="767"/>
    </row>
    <row r="569">
      <c r="A569" s="767"/>
      <c r="B569" s="767"/>
      <c r="C569" s="767"/>
      <c r="D569" s="767"/>
      <c r="E569" s="767"/>
    </row>
    <row r="570">
      <c r="A570" s="767"/>
      <c r="B570" s="767"/>
      <c r="C570" s="767"/>
      <c r="D570" s="767"/>
      <c r="E570" s="767"/>
    </row>
    <row r="571">
      <c r="A571" s="767"/>
      <c r="B571" s="767"/>
      <c r="C571" s="767"/>
      <c r="D571" s="767"/>
      <c r="E571" s="767"/>
    </row>
    <row r="572">
      <c r="A572" s="767"/>
      <c r="B572" s="767"/>
      <c r="C572" s="767"/>
      <c r="D572" s="767"/>
      <c r="E572" s="767"/>
    </row>
    <row r="573">
      <c r="A573" s="767"/>
      <c r="B573" s="767"/>
      <c r="C573" s="767"/>
      <c r="D573" s="767"/>
      <c r="E573" s="767"/>
    </row>
    <row r="574">
      <c r="A574" s="767"/>
      <c r="B574" s="767"/>
      <c r="C574" s="767"/>
      <c r="D574" s="767"/>
      <c r="E574" s="767"/>
    </row>
    <row r="575">
      <c r="A575" s="767"/>
      <c r="B575" s="767"/>
      <c r="C575" s="767"/>
      <c r="D575" s="767"/>
      <c r="E575" s="767"/>
    </row>
    <row r="576">
      <c r="A576" s="767"/>
      <c r="B576" s="767"/>
      <c r="C576" s="767"/>
      <c r="D576" s="767"/>
      <c r="E576" s="767"/>
    </row>
    <row r="577">
      <c r="A577" s="767"/>
      <c r="B577" s="767"/>
      <c r="C577" s="767"/>
      <c r="D577" s="767"/>
      <c r="E577" s="767"/>
    </row>
    <row r="578">
      <c r="A578" s="767"/>
      <c r="B578" s="767"/>
      <c r="C578" s="767"/>
      <c r="D578" s="767"/>
      <c r="E578" s="767"/>
    </row>
    <row r="579">
      <c r="A579" s="767"/>
      <c r="B579" s="767"/>
      <c r="C579" s="767"/>
      <c r="D579" s="767"/>
      <c r="E579" s="767"/>
    </row>
    <row r="580">
      <c r="A580" s="767"/>
      <c r="B580" s="767"/>
      <c r="C580" s="767"/>
      <c r="D580" s="767"/>
      <c r="E580" s="767"/>
    </row>
    <row r="581">
      <c r="A581" s="767"/>
      <c r="B581" s="767"/>
      <c r="C581" s="767"/>
      <c r="D581" s="767"/>
      <c r="E581" s="767"/>
    </row>
    <row r="582">
      <c r="A582" s="767"/>
      <c r="B582" s="767"/>
      <c r="C582" s="767"/>
      <c r="D582" s="767"/>
      <c r="E582" s="767"/>
    </row>
    <row r="583">
      <c r="A583" s="767"/>
      <c r="B583" s="767"/>
      <c r="C583" s="767"/>
      <c r="D583" s="767"/>
      <c r="E583" s="767"/>
    </row>
    <row r="584">
      <c r="A584" s="767"/>
      <c r="B584" s="767"/>
      <c r="C584" s="767"/>
      <c r="D584" s="767"/>
      <c r="E584" s="767"/>
    </row>
    <row r="585">
      <c r="A585" s="767"/>
      <c r="B585" s="767"/>
      <c r="C585" s="767"/>
      <c r="D585" s="767"/>
      <c r="E585" s="767"/>
    </row>
    <row r="586">
      <c r="A586" s="767"/>
      <c r="B586" s="767"/>
      <c r="C586" s="767"/>
      <c r="D586" s="767"/>
      <c r="E586" s="767"/>
    </row>
    <row r="587">
      <c r="A587" s="767"/>
      <c r="B587" s="767"/>
      <c r="C587" s="767"/>
      <c r="D587" s="767"/>
      <c r="E587" s="767"/>
    </row>
    <row r="588">
      <c r="A588" s="767"/>
      <c r="B588" s="767"/>
      <c r="C588" s="767"/>
      <c r="D588" s="767"/>
      <c r="E588" s="767"/>
    </row>
    <row r="589">
      <c r="A589" s="767"/>
      <c r="B589" s="767"/>
      <c r="C589" s="767"/>
      <c r="D589" s="767"/>
      <c r="E589" s="767"/>
    </row>
    <row r="590">
      <c r="A590" s="767"/>
      <c r="B590" s="767"/>
      <c r="C590" s="767"/>
      <c r="D590" s="767"/>
      <c r="E590" s="767"/>
    </row>
    <row r="591">
      <c r="A591" s="767"/>
      <c r="B591" s="767"/>
      <c r="C591" s="767"/>
      <c r="D591" s="767"/>
      <c r="E591" s="767"/>
    </row>
    <row r="592">
      <c r="A592" s="767"/>
      <c r="B592" s="767"/>
      <c r="C592" s="767"/>
      <c r="D592" s="767"/>
      <c r="E592" s="767"/>
    </row>
    <row r="593">
      <c r="A593" s="767"/>
      <c r="B593" s="767"/>
      <c r="C593" s="767"/>
      <c r="D593" s="767"/>
      <c r="E593" s="767"/>
    </row>
    <row r="594">
      <c r="A594" s="767"/>
      <c r="B594" s="767"/>
      <c r="C594" s="767"/>
      <c r="D594" s="767"/>
      <c r="E594" s="767"/>
    </row>
    <row r="595">
      <c r="A595" s="767"/>
      <c r="B595" s="767"/>
      <c r="C595" s="767"/>
      <c r="D595" s="767"/>
      <c r="E595" s="767"/>
    </row>
    <row r="596">
      <c r="A596" s="767"/>
      <c r="B596" s="767"/>
      <c r="C596" s="767"/>
      <c r="D596" s="767"/>
      <c r="E596" s="767"/>
    </row>
    <row r="597">
      <c r="A597" s="767"/>
      <c r="B597" s="767"/>
      <c r="C597" s="767"/>
      <c r="D597" s="767"/>
      <c r="E597" s="767"/>
    </row>
    <row r="598">
      <c r="A598" s="767"/>
      <c r="B598" s="767"/>
      <c r="C598" s="767"/>
      <c r="D598" s="767"/>
      <c r="E598" s="767"/>
    </row>
    <row r="599">
      <c r="A599" s="767"/>
      <c r="B599" s="767"/>
      <c r="C599" s="767"/>
      <c r="D599" s="767"/>
      <c r="E599" s="767"/>
    </row>
    <row r="600">
      <c r="A600" s="767"/>
      <c r="B600" s="767"/>
      <c r="C600" s="767"/>
      <c r="D600" s="767"/>
      <c r="E600" s="767"/>
    </row>
    <row r="601">
      <c r="A601" s="767"/>
      <c r="B601" s="767"/>
      <c r="C601" s="767"/>
      <c r="D601" s="767"/>
      <c r="E601" s="767"/>
    </row>
    <row r="602">
      <c r="A602" s="767"/>
      <c r="B602" s="767"/>
      <c r="C602" s="767"/>
      <c r="D602" s="767"/>
      <c r="E602" s="767"/>
    </row>
    <row r="603">
      <c r="A603" s="767"/>
      <c r="B603" s="767"/>
      <c r="C603" s="767"/>
      <c r="D603" s="767"/>
      <c r="E603" s="767"/>
    </row>
    <row r="604">
      <c r="A604" s="767"/>
      <c r="B604" s="767"/>
      <c r="C604" s="767"/>
      <c r="D604" s="767"/>
      <c r="E604" s="767"/>
    </row>
    <row r="605">
      <c r="A605" s="767"/>
      <c r="B605" s="767"/>
      <c r="C605" s="767"/>
      <c r="D605" s="767"/>
      <c r="E605" s="767"/>
    </row>
    <row r="606">
      <c r="A606" s="767"/>
      <c r="B606" s="767"/>
      <c r="C606" s="767"/>
      <c r="D606" s="767"/>
      <c r="E606" s="767"/>
    </row>
    <row r="607">
      <c r="A607" s="767"/>
      <c r="B607" s="767"/>
      <c r="C607" s="767"/>
      <c r="D607" s="767"/>
      <c r="E607" s="767"/>
    </row>
    <row r="608">
      <c r="A608" s="767"/>
      <c r="B608" s="767"/>
      <c r="C608" s="767"/>
      <c r="D608" s="767"/>
      <c r="E608" s="767"/>
    </row>
    <row r="609">
      <c r="A609" s="767"/>
      <c r="B609" s="767"/>
      <c r="C609" s="767"/>
      <c r="D609" s="767"/>
      <c r="E609" s="767"/>
    </row>
    <row r="610">
      <c r="A610" s="767"/>
      <c r="B610" s="767"/>
      <c r="C610" s="767"/>
      <c r="D610" s="767"/>
      <c r="E610" s="767"/>
    </row>
    <row r="611">
      <c r="A611" s="767"/>
      <c r="B611" s="767"/>
      <c r="C611" s="767"/>
      <c r="D611" s="767"/>
      <c r="E611" s="767"/>
    </row>
    <row r="612">
      <c r="A612" s="767"/>
      <c r="B612" s="767"/>
      <c r="C612" s="767"/>
      <c r="D612" s="767"/>
      <c r="E612" s="767"/>
    </row>
    <row r="613">
      <c r="A613" s="767"/>
      <c r="B613" s="767"/>
      <c r="C613" s="767"/>
      <c r="D613" s="767"/>
      <c r="E613" s="767"/>
    </row>
    <row r="614">
      <c r="A614" s="767"/>
      <c r="B614" s="767"/>
      <c r="C614" s="767"/>
      <c r="D614" s="767"/>
      <c r="E614" s="767"/>
    </row>
    <row r="615">
      <c r="A615" s="767"/>
      <c r="B615" s="767"/>
      <c r="C615" s="767"/>
      <c r="D615" s="767"/>
      <c r="E615" s="767"/>
    </row>
    <row r="616">
      <c r="A616" s="767"/>
      <c r="B616" s="767"/>
      <c r="C616" s="767"/>
      <c r="D616" s="767"/>
      <c r="E616" s="767"/>
    </row>
    <row r="617">
      <c r="A617" s="767"/>
      <c r="B617" s="767"/>
      <c r="C617" s="767"/>
      <c r="D617" s="767"/>
      <c r="E617" s="767"/>
    </row>
    <row r="618">
      <c r="A618" s="767"/>
      <c r="B618" s="767"/>
      <c r="C618" s="767"/>
      <c r="D618" s="767"/>
      <c r="E618" s="767"/>
    </row>
    <row r="619">
      <c r="A619" s="767"/>
      <c r="B619" s="767"/>
      <c r="C619" s="767"/>
      <c r="D619" s="767"/>
      <c r="E619" s="767"/>
    </row>
    <row r="620">
      <c r="A620" s="767"/>
      <c r="B620" s="767"/>
      <c r="C620" s="767"/>
      <c r="D620" s="767"/>
      <c r="E620" s="767"/>
    </row>
    <row r="621">
      <c r="A621" s="767"/>
      <c r="B621" s="767"/>
      <c r="C621" s="767"/>
      <c r="D621" s="767"/>
      <c r="E621" s="767"/>
    </row>
    <row r="622">
      <c r="A622" s="767"/>
      <c r="B622" s="767"/>
      <c r="C622" s="767"/>
      <c r="D622" s="767"/>
      <c r="E622" s="767"/>
    </row>
    <row r="623">
      <c r="A623" s="767"/>
      <c r="B623" s="767"/>
      <c r="C623" s="767"/>
      <c r="D623" s="767"/>
      <c r="E623" s="767"/>
    </row>
    <row r="624">
      <c r="A624" s="767"/>
      <c r="B624" s="767"/>
      <c r="C624" s="767"/>
      <c r="D624" s="767"/>
      <c r="E624" s="767"/>
    </row>
    <row r="625">
      <c r="A625" s="767"/>
      <c r="B625" s="767"/>
      <c r="C625" s="767"/>
      <c r="D625" s="767"/>
      <c r="E625" s="767"/>
    </row>
    <row r="626">
      <c r="A626" s="767"/>
      <c r="B626" s="767"/>
      <c r="C626" s="767"/>
      <c r="D626" s="767"/>
      <c r="E626" s="767"/>
    </row>
    <row r="627">
      <c r="A627" s="767"/>
      <c r="B627" s="767"/>
      <c r="C627" s="767"/>
      <c r="D627" s="767"/>
      <c r="E627" s="767"/>
    </row>
    <row r="628">
      <c r="A628" s="767"/>
      <c r="B628" s="767"/>
      <c r="C628" s="767"/>
      <c r="D628" s="767"/>
      <c r="E628" s="767"/>
    </row>
    <row r="629">
      <c r="A629" s="767"/>
      <c r="B629" s="767"/>
      <c r="C629" s="767"/>
      <c r="D629" s="767"/>
      <c r="E629" s="767"/>
    </row>
    <row r="630">
      <c r="A630" s="767"/>
      <c r="B630" s="767"/>
      <c r="C630" s="767"/>
      <c r="D630" s="767"/>
      <c r="E630" s="767"/>
    </row>
    <row r="631">
      <c r="A631" s="767"/>
      <c r="B631" s="767"/>
      <c r="C631" s="767"/>
      <c r="D631" s="767"/>
      <c r="E631" s="767"/>
    </row>
    <row r="632">
      <c r="A632" s="767"/>
      <c r="B632" s="767"/>
      <c r="C632" s="767"/>
      <c r="D632" s="767"/>
      <c r="E632" s="767"/>
    </row>
    <row r="633">
      <c r="A633" s="767"/>
      <c r="B633" s="767"/>
      <c r="C633" s="767"/>
      <c r="D633" s="767"/>
      <c r="E633" s="767"/>
    </row>
    <row r="634">
      <c r="A634" s="767"/>
      <c r="B634" s="767"/>
      <c r="C634" s="767"/>
      <c r="D634" s="767"/>
      <c r="E634" s="767"/>
    </row>
    <row r="635">
      <c r="A635" s="767"/>
      <c r="B635" s="767"/>
      <c r="C635" s="767"/>
      <c r="D635" s="767"/>
      <c r="E635" s="767"/>
    </row>
    <row r="636">
      <c r="A636" s="767"/>
      <c r="B636" s="767"/>
      <c r="C636" s="767"/>
      <c r="D636" s="767"/>
      <c r="E636" s="767"/>
    </row>
    <row r="637">
      <c r="A637" s="767"/>
      <c r="B637" s="767"/>
      <c r="C637" s="767"/>
      <c r="D637" s="767"/>
      <c r="E637" s="767"/>
    </row>
    <row r="638">
      <c r="A638" s="767"/>
      <c r="B638" s="767"/>
      <c r="C638" s="767"/>
      <c r="D638" s="767"/>
      <c r="E638" s="767"/>
    </row>
    <row r="639">
      <c r="A639" s="767"/>
      <c r="B639" s="767"/>
      <c r="C639" s="767"/>
      <c r="D639" s="767"/>
      <c r="E639" s="767"/>
    </row>
    <row r="640">
      <c r="A640" s="767"/>
      <c r="B640" s="767"/>
      <c r="C640" s="767"/>
      <c r="D640" s="767"/>
      <c r="E640" s="767"/>
    </row>
    <row r="641">
      <c r="A641" s="767"/>
      <c r="B641" s="767"/>
      <c r="C641" s="767"/>
      <c r="D641" s="767"/>
      <c r="E641" s="767"/>
    </row>
    <row r="642">
      <c r="A642" s="767"/>
      <c r="B642" s="767"/>
      <c r="C642" s="767"/>
      <c r="D642" s="767"/>
      <c r="E642" s="767"/>
    </row>
    <row r="643">
      <c r="A643" s="767"/>
      <c r="B643" s="767"/>
      <c r="C643" s="767"/>
      <c r="D643" s="767"/>
      <c r="E643" s="767"/>
    </row>
    <row r="644">
      <c r="A644" s="767"/>
      <c r="B644" s="767"/>
      <c r="C644" s="767"/>
      <c r="D644" s="767"/>
      <c r="E644" s="767"/>
    </row>
    <row r="645">
      <c r="A645" s="767"/>
      <c r="B645" s="767"/>
      <c r="C645" s="767"/>
      <c r="D645" s="767"/>
      <c r="E645" s="767"/>
    </row>
    <row r="646">
      <c r="A646" s="767"/>
      <c r="B646" s="767"/>
      <c r="C646" s="767"/>
      <c r="D646" s="767"/>
      <c r="E646" s="767"/>
    </row>
    <row r="647">
      <c r="A647" s="767"/>
      <c r="B647" s="767"/>
      <c r="C647" s="767"/>
      <c r="D647" s="767"/>
      <c r="E647" s="767"/>
    </row>
    <row r="648">
      <c r="A648" s="767"/>
      <c r="B648" s="767"/>
      <c r="C648" s="767"/>
      <c r="D648" s="767"/>
      <c r="E648" s="767"/>
    </row>
    <row r="649">
      <c r="A649" s="767"/>
      <c r="B649" s="767"/>
      <c r="C649" s="767"/>
      <c r="D649" s="767"/>
      <c r="E649" s="767"/>
    </row>
    <row r="650">
      <c r="A650" s="767"/>
      <c r="B650" s="767"/>
      <c r="C650" s="767"/>
      <c r="D650" s="767"/>
      <c r="E650" s="767"/>
    </row>
    <row r="651">
      <c r="A651" s="767"/>
      <c r="B651" s="767"/>
      <c r="C651" s="767"/>
      <c r="D651" s="767"/>
      <c r="E651" s="767"/>
    </row>
    <row r="652">
      <c r="A652" s="767"/>
      <c r="B652" s="767"/>
      <c r="C652" s="767"/>
      <c r="D652" s="767"/>
      <c r="E652" s="767"/>
    </row>
    <row r="653">
      <c r="A653" s="767"/>
      <c r="B653" s="767"/>
      <c r="C653" s="767"/>
      <c r="D653" s="767"/>
      <c r="E653" s="767"/>
    </row>
    <row r="654">
      <c r="A654" s="767"/>
      <c r="B654" s="767"/>
      <c r="C654" s="767"/>
      <c r="D654" s="767"/>
      <c r="E654" s="767"/>
    </row>
    <row r="655">
      <c r="A655" s="767"/>
      <c r="B655" s="767"/>
      <c r="C655" s="767"/>
      <c r="D655" s="767"/>
      <c r="E655" s="767"/>
    </row>
    <row r="656">
      <c r="A656" s="767"/>
      <c r="B656" s="767"/>
      <c r="C656" s="767"/>
      <c r="D656" s="767"/>
      <c r="E656" s="767"/>
    </row>
    <row r="657">
      <c r="A657" s="767"/>
      <c r="B657" s="767"/>
      <c r="C657" s="767"/>
      <c r="D657" s="767"/>
      <c r="E657" s="767"/>
    </row>
    <row r="658">
      <c r="A658" s="767"/>
      <c r="B658" s="767"/>
      <c r="C658" s="767"/>
      <c r="D658" s="767"/>
      <c r="E658" s="767"/>
    </row>
    <row r="659">
      <c r="A659" s="767"/>
      <c r="B659" s="767"/>
      <c r="C659" s="767"/>
      <c r="D659" s="767"/>
      <c r="E659" s="767"/>
    </row>
    <row r="660">
      <c r="A660" s="767"/>
      <c r="B660" s="767"/>
      <c r="C660" s="767"/>
      <c r="D660" s="767"/>
      <c r="E660" s="767"/>
    </row>
    <row r="661">
      <c r="A661" s="767"/>
      <c r="B661" s="767"/>
      <c r="C661" s="767"/>
      <c r="D661" s="767"/>
      <c r="E661" s="767"/>
    </row>
    <row r="662">
      <c r="A662" s="767"/>
      <c r="B662" s="767"/>
      <c r="C662" s="767"/>
      <c r="D662" s="767"/>
      <c r="E662" s="767"/>
    </row>
    <row r="663">
      <c r="A663" s="767"/>
      <c r="B663" s="767"/>
      <c r="C663" s="767"/>
      <c r="D663" s="767"/>
      <c r="E663" s="767"/>
    </row>
    <row r="664">
      <c r="A664" s="767"/>
      <c r="B664" s="767"/>
      <c r="C664" s="767"/>
      <c r="D664" s="767"/>
      <c r="E664" s="767"/>
    </row>
    <row r="665">
      <c r="A665" s="767"/>
      <c r="B665" s="767"/>
      <c r="C665" s="767"/>
      <c r="D665" s="767"/>
      <c r="E665" s="767"/>
    </row>
    <row r="666">
      <c r="A666" s="767"/>
      <c r="B666" s="767"/>
      <c r="C666" s="767"/>
      <c r="D666" s="767"/>
      <c r="E666" s="767"/>
    </row>
    <row r="667">
      <c r="A667" s="767"/>
      <c r="B667" s="767"/>
      <c r="C667" s="767"/>
      <c r="D667" s="767"/>
      <c r="E667" s="767"/>
    </row>
    <row r="668">
      <c r="A668" s="767"/>
      <c r="B668" s="767"/>
      <c r="C668" s="767"/>
      <c r="D668" s="767"/>
      <c r="E668" s="767"/>
    </row>
    <row r="669">
      <c r="A669" s="767"/>
      <c r="B669" s="767"/>
      <c r="C669" s="767"/>
      <c r="D669" s="767"/>
      <c r="E669" s="767"/>
    </row>
    <row r="670">
      <c r="A670" s="767"/>
      <c r="B670" s="767"/>
      <c r="C670" s="767"/>
      <c r="D670" s="767"/>
      <c r="E670" s="767"/>
    </row>
    <row r="671">
      <c r="A671" s="767"/>
      <c r="B671" s="767"/>
      <c r="C671" s="767"/>
      <c r="D671" s="767"/>
      <c r="E671" s="767"/>
    </row>
    <row r="672">
      <c r="A672" s="767"/>
      <c r="B672" s="767"/>
      <c r="C672" s="767"/>
      <c r="D672" s="767"/>
      <c r="E672" s="767"/>
    </row>
    <row r="673">
      <c r="A673" s="767"/>
      <c r="B673" s="767"/>
      <c r="C673" s="767"/>
      <c r="D673" s="767"/>
      <c r="E673" s="767"/>
    </row>
    <row r="674">
      <c r="A674" s="767"/>
      <c r="B674" s="767"/>
      <c r="C674" s="767"/>
      <c r="D674" s="767"/>
      <c r="E674" s="767"/>
    </row>
    <row r="675">
      <c r="A675" s="767"/>
      <c r="B675" s="767"/>
      <c r="C675" s="767"/>
      <c r="D675" s="767"/>
      <c r="E675" s="767"/>
    </row>
    <row r="676">
      <c r="A676" s="767"/>
      <c r="B676" s="767"/>
      <c r="C676" s="767"/>
      <c r="D676" s="767"/>
      <c r="E676" s="767"/>
    </row>
    <row r="677">
      <c r="A677" s="767"/>
      <c r="B677" s="767"/>
      <c r="C677" s="767"/>
      <c r="D677" s="767"/>
      <c r="E677" s="767"/>
    </row>
    <row r="678">
      <c r="A678" s="767"/>
      <c r="B678" s="767"/>
      <c r="C678" s="767"/>
      <c r="D678" s="767"/>
      <c r="E678" s="767"/>
    </row>
    <row r="679">
      <c r="A679" s="767"/>
      <c r="B679" s="767"/>
      <c r="C679" s="767"/>
      <c r="D679" s="767"/>
      <c r="E679" s="767"/>
    </row>
    <row r="680">
      <c r="A680" s="767"/>
      <c r="B680" s="767"/>
      <c r="C680" s="767"/>
      <c r="D680" s="767"/>
      <c r="E680" s="767"/>
    </row>
    <row r="681">
      <c r="A681" s="767"/>
      <c r="B681" s="767"/>
      <c r="C681" s="767"/>
      <c r="D681" s="767"/>
      <c r="E681" s="767"/>
    </row>
    <row r="682">
      <c r="A682" s="767"/>
      <c r="B682" s="767"/>
      <c r="C682" s="767"/>
      <c r="D682" s="767"/>
      <c r="E682" s="767"/>
    </row>
    <row r="683">
      <c r="A683" s="767"/>
      <c r="B683" s="767"/>
      <c r="C683" s="767"/>
      <c r="D683" s="767"/>
      <c r="E683" s="767"/>
    </row>
    <row r="684">
      <c r="A684" s="767"/>
      <c r="B684" s="767"/>
      <c r="C684" s="767"/>
      <c r="D684" s="767"/>
      <c r="E684" s="767"/>
    </row>
    <row r="685">
      <c r="A685" s="767"/>
      <c r="B685" s="767"/>
      <c r="C685" s="767"/>
      <c r="D685" s="767"/>
      <c r="E685" s="767"/>
    </row>
    <row r="686">
      <c r="A686" s="767"/>
      <c r="B686" s="767"/>
      <c r="C686" s="767"/>
      <c r="D686" s="767"/>
      <c r="E686" s="767"/>
    </row>
    <row r="687">
      <c r="A687" s="767"/>
      <c r="B687" s="767"/>
      <c r="C687" s="767"/>
      <c r="D687" s="767"/>
      <c r="E687" s="767"/>
    </row>
    <row r="688">
      <c r="A688" s="767"/>
      <c r="B688" s="767"/>
      <c r="C688" s="767"/>
      <c r="D688" s="767"/>
      <c r="E688" s="767"/>
    </row>
    <row r="689">
      <c r="A689" s="767"/>
      <c r="B689" s="767"/>
      <c r="C689" s="767"/>
      <c r="D689" s="767"/>
      <c r="E689" s="767"/>
    </row>
    <row r="690">
      <c r="A690" s="767"/>
      <c r="B690" s="767"/>
      <c r="C690" s="767"/>
      <c r="D690" s="767"/>
      <c r="E690" s="767"/>
    </row>
    <row r="691">
      <c r="A691" s="767"/>
      <c r="B691" s="767"/>
      <c r="C691" s="767"/>
      <c r="D691" s="767"/>
      <c r="E691" s="767"/>
    </row>
    <row r="692">
      <c r="A692" s="767"/>
      <c r="B692" s="767"/>
      <c r="C692" s="767"/>
      <c r="D692" s="767"/>
      <c r="E692" s="767"/>
    </row>
    <row r="693">
      <c r="A693" s="767"/>
      <c r="B693" s="767"/>
      <c r="C693" s="767"/>
      <c r="D693" s="767"/>
      <c r="E693" s="767"/>
    </row>
    <row r="694">
      <c r="A694" s="767"/>
      <c r="B694" s="767"/>
      <c r="C694" s="767"/>
      <c r="D694" s="767"/>
      <c r="E694" s="767"/>
    </row>
    <row r="695">
      <c r="A695" s="767"/>
      <c r="B695" s="767"/>
      <c r="C695" s="767"/>
      <c r="D695" s="767"/>
      <c r="E695" s="767"/>
    </row>
    <row r="696">
      <c r="A696" s="767"/>
      <c r="B696" s="767"/>
      <c r="C696" s="767"/>
      <c r="D696" s="767"/>
      <c r="E696" s="767"/>
    </row>
    <row r="697">
      <c r="A697" s="767"/>
      <c r="B697" s="767"/>
      <c r="C697" s="767"/>
      <c r="D697" s="767"/>
      <c r="E697" s="767"/>
    </row>
    <row r="698">
      <c r="A698" s="767"/>
      <c r="B698" s="767"/>
      <c r="C698" s="767"/>
      <c r="D698" s="767"/>
      <c r="E698" s="767"/>
    </row>
    <row r="699">
      <c r="A699" s="767"/>
      <c r="B699" s="767"/>
      <c r="C699" s="767"/>
      <c r="D699" s="767"/>
      <c r="E699" s="767"/>
    </row>
    <row r="700">
      <c r="A700" s="767"/>
      <c r="B700" s="767"/>
      <c r="C700" s="767"/>
      <c r="D700" s="767"/>
      <c r="E700" s="767"/>
    </row>
    <row r="701">
      <c r="A701" s="767"/>
      <c r="B701" s="767"/>
      <c r="C701" s="767"/>
      <c r="D701" s="767"/>
      <c r="E701" s="767"/>
    </row>
    <row r="702">
      <c r="A702" s="767"/>
      <c r="B702" s="767"/>
      <c r="C702" s="767"/>
      <c r="D702" s="767"/>
      <c r="E702" s="767"/>
    </row>
    <row r="703">
      <c r="A703" s="767"/>
      <c r="B703" s="767"/>
      <c r="C703" s="767"/>
      <c r="D703" s="767"/>
      <c r="E703" s="767"/>
    </row>
    <row r="704">
      <c r="A704" s="767"/>
      <c r="B704" s="767"/>
      <c r="C704" s="767"/>
      <c r="D704" s="767"/>
      <c r="E704" s="767"/>
    </row>
    <row r="705">
      <c r="A705" s="767"/>
      <c r="B705" s="767"/>
      <c r="C705" s="767"/>
      <c r="D705" s="767"/>
      <c r="E705" s="767"/>
    </row>
    <row r="706">
      <c r="A706" s="767"/>
      <c r="B706" s="767"/>
      <c r="C706" s="767"/>
      <c r="D706" s="767"/>
      <c r="E706" s="767"/>
    </row>
    <row r="707">
      <c r="A707" s="767"/>
      <c r="B707" s="767"/>
      <c r="C707" s="767"/>
      <c r="D707" s="767"/>
      <c r="E707" s="767"/>
    </row>
    <row r="708">
      <c r="A708" s="767"/>
      <c r="B708" s="767"/>
      <c r="C708" s="767"/>
      <c r="D708" s="767"/>
      <c r="E708" s="767"/>
    </row>
    <row r="709">
      <c r="A709" s="767"/>
      <c r="B709" s="767"/>
      <c r="C709" s="767"/>
      <c r="D709" s="767"/>
      <c r="E709" s="767"/>
    </row>
    <row r="710">
      <c r="A710" s="767"/>
      <c r="B710" s="767"/>
      <c r="C710" s="767"/>
      <c r="D710" s="767"/>
      <c r="E710" s="767"/>
    </row>
    <row r="711">
      <c r="A711" s="767"/>
      <c r="B711" s="767"/>
      <c r="C711" s="767"/>
      <c r="D711" s="767"/>
      <c r="E711" s="767"/>
    </row>
    <row r="712">
      <c r="A712" s="767"/>
      <c r="B712" s="767"/>
      <c r="C712" s="767"/>
      <c r="D712" s="767"/>
      <c r="E712" s="767"/>
    </row>
    <row r="713">
      <c r="A713" s="767"/>
      <c r="B713" s="767"/>
      <c r="C713" s="767"/>
      <c r="D713" s="767"/>
      <c r="E713" s="767"/>
    </row>
    <row r="714">
      <c r="A714" s="767"/>
      <c r="B714" s="767"/>
      <c r="C714" s="767"/>
      <c r="D714" s="767"/>
      <c r="E714" s="767"/>
    </row>
    <row r="715">
      <c r="A715" s="767"/>
      <c r="B715" s="767"/>
      <c r="C715" s="767"/>
      <c r="D715" s="767"/>
      <c r="E715" s="767"/>
    </row>
    <row r="716">
      <c r="A716" s="767"/>
      <c r="B716" s="767"/>
      <c r="C716" s="767"/>
      <c r="D716" s="767"/>
      <c r="E716" s="767"/>
    </row>
    <row r="717">
      <c r="A717" s="767"/>
      <c r="B717" s="767"/>
      <c r="C717" s="767"/>
      <c r="D717" s="767"/>
      <c r="E717" s="767"/>
    </row>
    <row r="718">
      <c r="A718" s="767"/>
      <c r="B718" s="767"/>
      <c r="C718" s="767"/>
      <c r="D718" s="767"/>
      <c r="E718" s="767"/>
    </row>
    <row r="719">
      <c r="A719" s="767"/>
      <c r="B719" s="767"/>
      <c r="C719" s="767"/>
      <c r="D719" s="767"/>
      <c r="E719" s="767"/>
    </row>
    <row r="720">
      <c r="A720" s="767"/>
      <c r="B720" s="767"/>
      <c r="C720" s="767"/>
      <c r="D720" s="767"/>
      <c r="E720" s="767"/>
    </row>
    <row r="721">
      <c r="A721" s="767"/>
      <c r="B721" s="767"/>
      <c r="C721" s="767"/>
      <c r="D721" s="767"/>
      <c r="E721" s="767"/>
    </row>
    <row r="722">
      <c r="A722" s="767"/>
      <c r="B722" s="767"/>
      <c r="C722" s="767"/>
      <c r="D722" s="767"/>
      <c r="E722" s="767"/>
    </row>
    <row r="723">
      <c r="A723" s="767"/>
      <c r="B723" s="767"/>
      <c r="C723" s="767"/>
      <c r="D723" s="767"/>
      <c r="E723" s="767"/>
    </row>
    <row r="724">
      <c r="A724" s="767"/>
      <c r="B724" s="767"/>
      <c r="C724" s="767"/>
      <c r="D724" s="767"/>
      <c r="E724" s="767"/>
    </row>
    <row r="725">
      <c r="A725" s="767"/>
      <c r="B725" s="767"/>
      <c r="C725" s="767"/>
      <c r="D725" s="767"/>
      <c r="E725" s="767"/>
    </row>
    <row r="726">
      <c r="A726" s="767"/>
      <c r="B726" s="767"/>
      <c r="C726" s="767"/>
      <c r="D726" s="767"/>
      <c r="E726" s="767"/>
    </row>
    <row r="727">
      <c r="A727" s="767"/>
      <c r="B727" s="767"/>
      <c r="C727" s="767"/>
      <c r="D727" s="767"/>
      <c r="E727" s="767"/>
    </row>
    <row r="728">
      <c r="A728" s="767"/>
      <c r="B728" s="767"/>
      <c r="C728" s="767"/>
      <c r="D728" s="767"/>
      <c r="E728" s="767"/>
    </row>
    <row r="729">
      <c r="A729" s="767"/>
      <c r="B729" s="767"/>
      <c r="C729" s="767"/>
      <c r="D729" s="767"/>
      <c r="E729" s="767"/>
    </row>
    <row r="730">
      <c r="A730" s="767"/>
      <c r="B730" s="767"/>
      <c r="C730" s="767"/>
      <c r="D730" s="767"/>
      <c r="E730" s="767"/>
    </row>
    <row r="731">
      <c r="A731" s="767"/>
      <c r="B731" s="767"/>
      <c r="C731" s="767"/>
      <c r="D731" s="767"/>
      <c r="E731" s="767"/>
    </row>
    <row r="732">
      <c r="A732" s="767"/>
      <c r="B732" s="767"/>
      <c r="C732" s="767"/>
      <c r="D732" s="767"/>
      <c r="E732" s="767"/>
    </row>
    <row r="733">
      <c r="A733" s="767"/>
      <c r="B733" s="767"/>
      <c r="C733" s="767"/>
      <c r="D733" s="767"/>
      <c r="E733" s="767"/>
    </row>
    <row r="734">
      <c r="A734" s="767"/>
      <c r="B734" s="767"/>
      <c r="C734" s="767"/>
      <c r="D734" s="767"/>
      <c r="E734" s="767"/>
    </row>
    <row r="735">
      <c r="A735" s="767"/>
      <c r="B735" s="767"/>
      <c r="C735" s="767"/>
      <c r="D735" s="767"/>
      <c r="E735" s="767"/>
    </row>
    <row r="736">
      <c r="A736" s="767"/>
      <c r="B736" s="767"/>
      <c r="C736" s="767"/>
      <c r="D736" s="767"/>
      <c r="E736" s="767"/>
    </row>
    <row r="737">
      <c r="A737" s="767"/>
      <c r="B737" s="767"/>
      <c r="C737" s="767"/>
      <c r="D737" s="767"/>
      <c r="E737" s="767"/>
    </row>
    <row r="738">
      <c r="A738" s="767"/>
      <c r="B738" s="767"/>
      <c r="C738" s="767"/>
      <c r="D738" s="767"/>
      <c r="E738" s="767"/>
    </row>
    <row r="739">
      <c r="A739" s="767"/>
      <c r="B739" s="767"/>
      <c r="C739" s="767"/>
      <c r="D739" s="767"/>
      <c r="E739" s="767"/>
    </row>
    <row r="740">
      <c r="A740" s="767"/>
      <c r="B740" s="767"/>
      <c r="C740" s="767"/>
      <c r="D740" s="767"/>
      <c r="E740" s="767"/>
    </row>
    <row r="741">
      <c r="A741" s="767"/>
      <c r="B741" s="767"/>
      <c r="C741" s="767"/>
      <c r="D741" s="767"/>
      <c r="E741" s="767"/>
    </row>
    <row r="742">
      <c r="A742" s="767"/>
      <c r="B742" s="767"/>
      <c r="C742" s="767"/>
      <c r="D742" s="767"/>
      <c r="E742" s="767"/>
    </row>
    <row r="743">
      <c r="A743" s="767"/>
      <c r="B743" s="767"/>
      <c r="C743" s="767"/>
      <c r="D743" s="767"/>
      <c r="E743" s="767"/>
    </row>
    <row r="744">
      <c r="A744" s="767"/>
      <c r="B744" s="767"/>
      <c r="C744" s="767"/>
      <c r="D744" s="767"/>
      <c r="E744" s="767"/>
    </row>
    <row r="745">
      <c r="A745" s="767"/>
      <c r="B745" s="767"/>
      <c r="C745" s="767"/>
      <c r="D745" s="767"/>
      <c r="E745" s="767"/>
    </row>
    <row r="746">
      <c r="A746" s="767"/>
      <c r="B746" s="767"/>
      <c r="C746" s="767"/>
      <c r="D746" s="767"/>
      <c r="E746" s="767"/>
    </row>
    <row r="747">
      <c r="A747" s="767"/>
      <c r="B747" s="767"/>
      <c r="C747" s="767"/>
      <c r="D747" s="767"/>
      <c r="E747" s="767"/>
    </row>
    <row r="748">
      <c r="A748" s="767"/>
      <c r="B748" s="767"/>
      <c r="C748" s="767"/>
      <c r="D748" s="767"/>
      <c r="E748" s="767"/>
    </row>
    <row r="749">
      <c r="A749" s="767"/>
      <c r="B749" s="767"/>
      <c r="C749" s="767"/>
      <c r="D749" s="767"/>
      <c r="E749" s="767"/>
    </row>
    <row r="750">
      <c r="A750" s="767"/>
      <c r="B750" s="767"/>
      <c r="C750" s="767"/>
      <c r="D750" s="767"/>
      <c r="E750" s="767"/>
    </row>
    <row r="751">
      <c r="A751" s="767"/>
      <c r="B751" s="767"/>
      <c r="C751" s="767"/>
      <c r="D751" s="767"/>
      <c r="E751" s="767"/>
    </row>
    <row r="752">
      <c r="A752" s="767"/>
      <c r="B752" s="767"/>
      <c r="C752" s="767"/>
      <c r="D752" s="767"/>
      <c r="E752" s="767"/>
    </row>
    <row r="753">
      <c r="A753" s="767"/>
      <c r="B753" s="767"/>
      <c r="C753" s="767"/>
      <c r="D753" s="767"/>
      <c r="E753" s="767"/>
    </row>
    <row r="754">
      <c r="A754" s="767"/>
      <c r="B754" s="767"/>
      <c r="C754" s="767"/>
      <c r="D754" s="767"/>
      <c r="E754" s="767"/>
    </row>
    <row r="755">
      <c r="A755" s="767"/>
      <c r="B755" s="767"/>
      <c r="C755" s="767"/>
      <c r="D755" s="767"/>
      <c r="E755" s="767"/>
    </row>
    <row r="756">
      <c r="A756" s="767"/>
      <c r="B756" s="767"/>
      <c r="C756" s="767"/>
      <c r="D756" s="767"/>
      <c r="E756" s="767"/>
    </row>
    <row r="757">
      <c r="A757" s="767"/>
      <c r="B757" s="767"/>
      <c r="C757" s="767"/>
      <c r="D757" s="767"/>
      <c r="E757" s="767"/>
    </row>
    <row r="758">
      <c r="A758" s="767"/>
      <c r="B758" s="767"/>
      <c r="C758" s="767"/>
      <c r="D758" s="767"/>
      <c r="E758" s="767"/>
    </row>
    <row r="759">
      <c r="A759" s="767"/>
      <c r="B759" s="767"/>
      <c r="C759" s="767"/>
      <c r="D759" s="767"/>
      <c r="E759" s="767"/>
    </row>
    <row r="760">
      <c r="A760" s="767"/>
      <c r="B760" s="767"/>
      <c r="C760" s="767"/>
      <c r="D760" s="767"/>
      <c r="E760" s="767"/>
    </row>
    <row r="761">
      <c r="A761" s="767"/>
      <c r="B761" s="767"/>
      <c r="C761" s="767"/>
      <c r="D761" s="767"/>
      <c r="E761" s="767"/>
    </row>
    <row r="762">
      <c r="A762" s="767"/>
      <c r="B762" s="767"/>
      <c r="C762" s="767"/>
      <c r="D762" s="767"/>
      <c r="E762" s="767"/>
    </row>
    <row r="763">
      <c r="A763" s="767"/>
      <c r="B763" s="767"/>
      <c r="C763" s="767"/>
      <c r="D763" s="767"/>
      <c r="E763" s="767"/>
    </row>
    <row r="764">
      <c r="A764" s="767"/>
      <c r="B764" s="767"/>
      <c r="C764" s="767"/>
      <c r="D764" s="767"/>
      <c r="E764" s="767"/>
    </row>
    <row r="765">
      <c r="A765" s="767"/>
      <c r="B765" s="767"/>
      <c r="C765" s="767"/>
      <c r="D765" s="767"/>
      <c r="E765" s="767"/>
    </row>
    <row r="766">
      <c r="A766" s="767"/>
      <c r="B766" s="767"/>
      <c r="C766" s="767"/>
      <c r="D766" s="767"/>
      <c r="E766" s="767"/>
    </row>
    <row r="767">
      <c r="A767" s="767"/>
      <c r="B767" s="767"/>
      <c r="C767" s="767"/>
      <c r="D767" s="767"/>
      <c r="E767" s="767"/>
    </row>
    <row r="768">
      <c r="A768" s="767"/>
      <c r="B768" s="767"/>
      <c r="C768" s="767"/>
      <c r="D768" s="767"/>
      <c r="E768" s="767"/>
    </row>
    <row r="769">
      <c r="A769" s="767"/>
      <c r="B769" s="767"/>
      <c r="C769" s="767"/>
      <c r="D769" s="767"/>
      <c r="E769" s="767"/>
    </row>
    <row r="770">
      <c r="A770" s="767"/>
      <c r="B770" s="767"/>
      <c r="C770" s="767"/>
      <c r="D770" s="767"/>
      <c r="E770" s="767"/>
    </row>
    <row r="771">
      <c r="A771" s="767"/>
      <c r="B771" s="767"/>
      <c r="C771" s="767"/>
      <c r="D771" s="767"/>
      <c r="E771" s="767"/>
    </row>
    <row r="772">
      <c r="A772" s="767"/>
      <c r="B772" s="767"/>
      <c r="C772" s="767"/>
      <c r="D772" s="767"/>
      <c r="E772" s="767"/>
    </row>
    <row r="773">
      <c r="A773" s="767"/>
      <c r="B773" s="767"/>
      <c r="C773" s="767"/>
      <c r="D773" s="767"/>
      <c r="E773" s="767"/>
    </row>
    <row r="774">
      <c r="A774" s="767"/>
      <c r="B774" s="767"/>
      <c r="C774" s="767"/>
      <c r="D774" s="767"/>
      <c r="E774" s="767"/>
    </row>
    <row r="775">
      <c r="A775" s="767"/>
      <c r="B775" s="767"/>
      <c r="C775" s="767"/>
      <c r="D775" s="767"/>
      <c r="E775" s="767"/>
    </row>
    <row r="776">
      <c r="A776" s="767"/>
      <c r="B776" s="767"/>
      <c r="C776" s="767"/>
      <c r="D776" s="767"/>
      <c r="E776" s="767"/>
    </row>
    <row r="777">
      <c r="A777" s="767"/>
      <c r="B777" s="767"/>
      <c r="C777" s="767"/>
      <c r="D777" s="767"/>
      <c r="E777" s="767"/>
    </row>
    <row r="778">
      <c r="A778" s="767"/>
      <c r="B778" s="767"/>
      <c r="C778" s="767"/>
      <c r="D778" s="767"/>
      <c r="E778" s="767"/>
    </row>
    <row r="779">
      <c r="A779" s="767"/>
      <c r="B779" s="767"/>
      <c r="C779" s="767"/>
      <c r="D779" s="767"/>
      <c r="E779" s="767"/>
    </row>
    <row r="780">
      <c r="A780" s="767"/>
      <c r="B780" s="767"/>
      <c r="C780" s="767"/>
      <c r="D780" s="767"/>
      <c r="E780" s="767"/>
    </row>
    <row r="781">
      <c r="A781" s="767"/>
      <c r="B781" s="767"/>
      <c r="C781" s="767"/>
      <c r="D781" s="767"/>
      <c r="E781" s="767"/>
    </row>
    <row r="782">
      <c r="A782" s="767"/>
      <c r="B782" s="767"/>
      <c r="C782" s="767"/>
      <c r="D782" s="767"/>
      <c r="E782" s="767"/>
    </row>
    <row r="783">
      <c r="A783" s="767"/>
      <c r="B783" s="767"/>
      <c r="C783" s="767"/>
      <c r="D783" s="767"/>
      <c r="E783" s="767"/>
    </row>
    <row r="784">
      <c r="A784" s="767"/>
      <c r="B784" s="767"/>
      <c r="C784" s="767"/>
      <c r="D784" s="767"/>
      <c r="E784" s="767"/>
    </row>
    <row r="785">
      <c r="A785" s="767"/>
      <c r="B785" s="767"/>
      <c r="C785" s="767"/>
      <c r="D785" s="767"/>
      <c r="E785" s="767"/>
    </row>
    <row r="786">
      <c r="A786" s="767"/>
      <c r="B786" s="767"/>
      <c r="C786" s="767"/>
      <c r="D786" s="767"/>
      <c r="E786" s="767"/>
    </row>
    <row r="787">
      <c r="A787" s="767"/>
      <c r="B787" s="767"/>
      <c r="C787" s="767"/>
      <c r="D787" s="767"/>
      <c r="E787" s="767"/>
    </row>
    <row r="788">
      <c r="A788" s="767"/>
      <c r="B788" s="767"/>
      <c r="C788" s="767"/>
      <c r="D788" s="767"/>
      <c r="E788" s="767"/>
    </row>
    <row r="789">
      <c r="A789" s="767"/>
      <c r="B789" s="767"/>
      <c r="C789" s="767"/>
      <c r="D789" s="767"/>
      <c r="E789" s="767"/>
    </row>
    <row r="790">
      <c r="A790" s="767"/>
      <c r="B790" s="767"/>
      <c r="C790" s="767"/>
      <c r="D790" s="767"/>
      <c r="E790" s="767"/>
    </row>
    <row r="791">
      <c r="A791" s="767"/>
      <c r="B791" s="767"/>
      <c r="C791" s="767"/>
      <c r="D791" s="767"/>
      <c r="E791" s="767"/>
    </row>
    <row r="792">
      <c r="A792" s="767"/>
      <c r="B792" s="767"/>
      <c r="C792" s="767"/>
      <c r="D792" s="767"/>
      <c r="E792" s="767"/>
    </row>
    <row r="793">
      <c r="A793" s="767"/>
      <c r="B793" s="767"/>
      <c r="C793" s="767"/>
      <c r="D793" s="767"/>
      <c r="E793" s="767"/>
    </row>
    <row r="794">
      <c r="A794" s="767"/>
      <c r="B794" s="767"/>
      <c r="C794" s="767"/>
      <c r="D794" s="767"/>
      <c r="E794" s="767"/>
    </row>
    <row r="795">
      <c r="A795" s="767"/>
      <c r="B795" s="767"/>
      <c r="C795" s="767"/>
      <c r="D795" s="767"/>
      <c r="E795" s="767"/>
    </row>
    <row r="796">
      <c r="A796" s="767"/>
      <c r="B796" s="767"/>
      <c r="C796" s="767"/>
      <c r="D796" s="767"/>
      <c r="E796" s="767"/>
    </row>
    <row r="797">
      <c r="A797" s="767"/>
      <c r="B797" s="767"/>
      <c r="C797" s="767"/>
      <c r="D797" s="767"/>
      <c r="E797" s="767"/>
    </row>
    <row r="798">
      <c r="A798" s="767"/>
      <c r="B798" s="767"/>
      <c r="C798" s="767"/>
      <c r="D798" s="767"/>
      <c r="E798" s="767"/>
    </row>
    <row r="799">
      <c r="A799" s="767"/>
      <c r="B799" s="767"/>
      <c r="C799" s="767"/>
      <c r="D799" s="767"/>
      <c r="E799" s="767"/>
    </row>
    <row r="800">
      <c r="A800" s="767"/>
      <c r="B800" s="767"/>
      <c r="C800" s="767"/>
      <c r="D800" s="767"/>
      <c r="E800" s="767"/>
    </row>
    <row r="801">
      <c r="A801" s="767"/>
      <c r="B801" s="767"/>
      <c r="C801" s="767"/>
      <c r="D801" s="767"/>
      <c r="E801" s="767"/>
    </row>
    <row r="802">
      <c r="A802" s="767"/>
      <c r="B802" s="767"/>
      <c r="C802" s="767"/>
      <c r="D802" s="767"/>
      <c r="E802" s="767"/>
    </row>
    <row r="803">
      <c r="A803" s="767"/>
      <c r="B803" s="767"/>
      <c r="C803" s="767"/>
      <c r="D803" s="767"/>
      <c r="E803" s="767"/>
    </row>
    <row r="804">
      <c r="A804" s="767"/>
      <c r="B804" s="767"/>
      <c r="C804" s="767"/>
      <c r="D804" s="767"/>
      <c r="E804" s="767"/>
    </row>
    <row r="805">
      <c r="A805" s="767"/>
      <c r="B805" s="767"/>
      <c r="C805" s="767"/>
      <c r="D805" s="767"/>
      <c r="E805" s="767"/>
    </row>
    <row r="806">
      <c r="A806" s="767"/>
      <c r="B806" s="767"/>
      <c r="C806" s="767"/>
      <c r="D806" s="767"/>
      <c r="E806" s="767"/>
    </row>
    <row r="807">
      <c r="A807" s="767"/>
      <c r="B807" s="767"/>
      <c r="C807" s="767"/>
      <c r="D807" s="767"/>
      <c r="E807" s="767"/>
    </row>
    <row r="808">
      <c r="A808" s="767"/>
      <c r="B808" s="767"/>
      <c r="C808" s="767"/>
      <c r="D808" s="767"/>
      <c r="E808" s="767"/>
    </row>
    <row r="809">
      <c r="A809" s="767"/>
      <c r="B809" s="767"/>
      <c r="C809" s="767"/>
      <c r="D809" s="767"/>
      <c r="E809" s="767"/>
    </row>
    <row r="810">
      <c r="A810" s="767"/>
      <c r="B810" s="767"/>
      <c r="C810" s="767"/>
      <c r="D810" s="767"/>
      <c r="E810" s="767"/>
    </row>
    <row r="811">
      <c r="A811" s="767"/>
      <c r="B811" s="767"/>
      <c r="C811" s="767"/>
      <c r="D811" s="767"/>
      <c r="E811" s="767"/>
    </row>
    <row r="812">
      <c r="A812" s="767"/>
      <c r="B812" s="767"/>
      <c r="C812" s="767"/>
      <c r="D812" s="767"/>
      <c r="E812" s="767"/>
    </row>
    <row r="813">
      <c r="A813" s="767"/>
      <c r="B813" s="767"/>
      <c r="C813" s="767"/>
      <c r="D813" s="767"/>
      <c r="E813" s="767"/>
    </row>
    <row r="814">
      <c r="A814" s="767"/>
      <c r="B814" s="767"/>
      <c r="C814" s="767"/>
      <c r="D814" s="767"/>
      <c r="E814" s="767"/>
    </row>
    <row r="815">
      <c r="A815" s="767"/>
      <c r="B815" s="767"/>
      <c r="C815" s="767"/>
      <c r="D815" s="767"/>
      <c r="E815" s="767"/>
    </row>
    <row r="816">
      <c r="A816" s="767"/>
      <c r="B816" s="767"/>
      <c r="C816" s="767"/>
      <c r="D816" s="767"/>
      <c r="E816" s="767"/>
    </row>
    <row r="817">
      <c r="A817" s="767"/>
      <c r="B817" s="767"/>
      <c r="C817" s="767"/>
      <c r="D817" s="767"/>
      <c r="E817" s="767"/>
    </row>
    <row r="818">
      <c r="A818" s="767"/>
      <c r="B818" s="767"/>
      <c r="C818" s="767"/>
      <c r="D818" s="767"/>
      <c r="E818" s="767"/>
    </row>
    <row r="819">
      <c r="A819" s="767"/>
      <c r="B819" s="767"/>
      <c r="C819" s="767"/>
      <c r="D819" s="767"/>
      <c r="E819" s="767"/>
    </row>
    <row r="820">
      <c r="A820" s="767"/>
      <c r="B820" s="767"/>
      <c r="C820" s="767"/>
      <c r="D820" s="767"/>
      <c r="E820" s="767"/>
    </row>
    <row r="821">
      <c r="A821" s="767"/>
      <c r="B821" s="767"/>
      <c r="C821" s="767"/>
      <c r="D821" s="767"/>
      <c r="E821" s="767"/>
    </row>
    <row r="822">
      <c r="A822" s="767"/>
      <c r="B822" s="767"/>
      <c r="C822" s="767"/>
      <c r="D822" s="767"/>
      <c r="E822" s="767"/>
    </row>
    <row r="823">
      <c r="A823" s="767"/>
      <c r="B823" s="767"/>
      <c r="C823" s="767"/>
      <c r="D823" s="767"/>
      <c r="E823" s="767"/>
    </row>
    <row r="824">
      <c r="A824" s="767"/>
      <c r="B824" s="767"/>
      <c r="C824" s="767"/>
      <c r="D824" s="767"/>
      <c r="E824" s="767"/>
    </row>
    <row r="825">
      <c r="A825" s="767"/>
      <c r="B825" s="767"/>
      <c r="C825" s="767"/>
      <c r="D825" s="767"/>
      <c r="E825" s="767"/>
    </row>
    <row r="826">
      <c r="A826" s="767"/>
      <c r="B826" s="767"/>
      <c r="C826" s="767"/>
      <c r="D826" s="767"/>
      <c r="E826" s="767"/>
    </row>
    <row r="827">
      <c r="A827" s="767"/>
      <c r="B827" s="767"/>
      <c r="C827" s="767"/>
      <c r="D827" s="767"/>
      <c r="E827" s="767"/>
    </row>
    <row r="828">
      <c r="A828" s="767"/>
      <c r="B828" s="767"/>
      <c r="C828" s="767"/>
      <c r="D828" s="767"/>
      <c r="E828" s="767"/>
    </row>
    <row r="829">
      <c r="A829" s="767"/>
      <c r="B829" s="767"/>
      <c r="C829" s="767"/>
      <c r="D829" s="767"/>
      <c r="E829" s="767"/>
    </row>
    <row r="830">
      <c r="A830" s="767"/>
      <c r="B830" s="767"/>
      <c r="C830" s="767"/>
      <c r="D830" s="767"/>
      <c r="E830" s="767"/>
    </row>
    <row r="831">
      <c r="A831" s="767"/>
      <c r="B831" s="767"/>
      <c r="C831" s="767"/>
      <c r="D831" s="767"/>
      <c r="E831" s="767"/>
    </row>
    <row r="832">
      <c r="A832" s="767"/>
      <c r="B832" s="767"/>
      <c r="C832" s="767"/>
      <c r="D832" s="767"/>
      <c r="E832" s="767"/>
    </row>
    <row r="833">
      <c r="A833" s="767"/>
      <c r="B833" s="767"/>
      <c r="C833" s="767"/>
      <c r="D833" s="767"/>
      <c r="E833" s="767"/>
    </row>
    <row r="834">
      <c r="A834" s="767"/>
      <c r="B834" s="767"/>
      <c r="C834" s="767"/>
      <c r="D834" s="767"/>
      <c r="E834" s="767"/>
    </row>
    <row r="835">
      <c r="A835" s="767"/>
      <c r="B835" s="767"/>
      <c r="C835" s="767"/>
      <c r="D835" s="767"/>
      <c r="E835" s="767"/>
    </row>
    <row r="836">
      <c r="A836" s="767"/>
      <c r="B836" s="767"/>
      <c r="C836" s="767"/>
      <c r="D836" s="767"/>
      <c r="E836" s="767"/>
    </row>
    <row r="837">
      <c r="A837" s="767"/>
      <c r="B837" s="767"/>
      <c r="C837" s="767"/>
      <c r="D837" s="767"/>
      <c r="E837" s="767"/>
    </row>
    <row r="838">
      <c r="A838" s="767"/>
      <c r="B838" s="767"/>
      <c r="C838" s="767"/>
      <c r="D838" s="767"/>
      <c r="E838" s="767"/>
    </row>
    <row r="839">
      <c r="A839" s="767"/>
      <c r="B839" s="767"/>
      <c r="C839" s="767"/>
      <c r="D839" s="767"/>
      <c r="E839" s="767"/>
    </row>
    <row r="840">
      <c r="A840" s="767"/>
      <c r="B840" s="767"/>
      <c r="C840" s="767"/>
      <c r="D840" s="767"/>
      <c r="E840" s="767"/>
    </row>
    <row r="841">
      <c r="A841" s="767"/>
      <c r="B841" s="767"/>
      <c r="C841" s="767"/>
      <c r="D841" s="767"/>
      <c r="E841" s="767"/>
    </row>
    <row r="842">
      <c r="A842" s="767"/>
      <c r="B842" s="767"/>
      <c r="C842" s="767"/>
      <c r="D842" s="767"/>
      <c r="E842" s="767"/>
    </row>
    <row r="843">
      <c r="A843" s="767"/>
      <c r="B843" s="767"/>
      <c r="C843" s="767"/>
      <c r="D843" s="767"/>
      <c r="E843" s="767"/>
    </row>
    <row r="844">
      <c r="A844" s="767"/>
      <c r="B844" s="767"/>
      <c r="C844" s="767"/>
      <c r="D844" s="767"/>
      <c r="E844" s="767"/>
    </row>
    <row r="845">
      <c r="A845" s="767"/>
      <c r="B845" s="767"/>
      <c r="C845" s="767"/>
      <c r="D845" s="767"/>
      <c r="E845" s="767"/>
    </row>
    <row r="846">
      <c r="A846" s="767"/>
      <c r="B846" s="767"/>
      <c r="C846" s="767"/>
      <c r="D846" s="767"/>
      <c r="E846" s="767"/>
    </row>
    <row r="847">
      <c r="A847" s="767"/>
      <c r="B847" s="767"/>
      <c r="C847" s="767"/>
      <c r="D847" s="767"/>
      <c r="E847" s="767"/>
    </row>
    <row r="848">
      <c r="A848" s="767"/>
      <c r="B848" s="767"/>
      <c r="C848" s="767"/>
      <c r="D848" s="767"/>
      <c r="E848" s="767"/>
    </row>
    <row r="849">
      <c r="A849" s="767"/>
      <c r="B849" s="767"/>
      <c r="C849" s="767"/>
      <c r="D849" s="767"/>
      <c r="E849" s="767"/>
    </row>
    <row r="850">
      <c r="A850" s="767"/>
      <c r="B850" s="767"/>
      <c r="C850" s="767"/>
      <c r="D850" s="767"/>
      <c r="E850" s="767"/>
    </row>
    <row r="851">
      <c r="A851" s="767"/>
      <c r="B851" s="767"/>
      <c r="C851" s="767"/>
      <c r="D851" s="767"/>
      <c r="E851" s="767"/>
    </row>
    <row r="852">
      <c r="A852" s="767"/>
      <c r="B852" s="767"/>
      <c r="C852" s="767"/>
      <c r="D852" s="767"/>
      <c r="E852" s="767"/>
    </row>
    <row r="853">
      <c r="A853" s="767"/>
      <c r="B853" s="767"/>
      <c r="C853" s="767"/>
      <c r="D853" s="767"/>
      <c r="E853" s="767"/>
    </row>
    <row r="854">
      <c r="A854" s="767"/>
      <c r="B854" s="767"/>
      <c r="C854" s="767"/>
      <c r="D854" s="767"/>
      <c r="E854" s="767"/>
    </row>
    <row r="855">
      <c r="A855" s="767"/>
      <c r="B855" s="767"/>
      <c r="C855" s="767"/>
      <c r="D855" s="767"/>
      <c r="E855" s="767"/>
    </row>
    <row r="856">
      <c r="A856" s="767"/>
      <c r="B856" s="767"/>
      <c r="C856" s="767"/>
      <c r="D856" s="767"/>
      <c r="E856" s="767"/>
    </row>
    <row r="857">
      <c r="A857" s="767"/>
      <c r="B857" s="767"/>
      <c r="C857" s="767"/>
      <c r="D857" s="767"/>
      <c r="E857" s="767"/>
    </row>
    <row r="858">
      <c r="A858" s="767"/>
      <c r="B858" s="767"/>
      <c r="C858" s="767"/>
      <c r="D858" s="767"/>
      <c r="E858" s="767"/>
    </row>
    <row r="859">
      <c r="A859" s="767"/>
      <c r="B859" s="767"/>
      <c r="C859" s="767"/>
      <c r="D859" s="767"/>
      <c r="E859" s="767"/>
    </row>
    <row r="860">
      <c r="A860" s="767"/>
      <c r="B860" s="767"/>
      <c r="C860" s="767"/>
      <c r="D860" s="767"/>
      <c r="E860" s="767"/>
    </row>
    <row r="861">
      <c r="A861" s="767"/>
      <c r="B861" s="767"/>
      <c r="C861" s="767"/>
      <c r="D861" s="767"/>
      <c r="E861" s="767"/>
    </row>
    <row r="862">
      <c r="A862" s="767"/>
      <c r="B862" s="767"/>
      <c r="C862" s="767"/>
      <c r="D862" s="767"/>
      <c r="E862" s="767"/>
    </row>
    <row r="863">
      <c r="A863" s="767"/>
      <c r="B863" s="767"/>
      <c r="C863" s="767"/>
      <c r="D863" s="767"/>
      <c r="E863" s="767"/>
    </row>
    <row r="864">
      <c r="A864" s="767"/>
      <c r="B864" s="767"/>
      <c r="C864" s="767"/>
      <c r="D864" s="767"/>
      <c r="E864" s="767"/>
    </row>
    <row r="865">
      <c r="A865" s="767"/>
      <c r="B865" s="767"/>
      <c r="C865" s="767"/>
      <c r="D865" s="767"/>
      <c r="E865" s="767"/>
    </row>
    <row r="866">
      <c r="A866" s="767"/>
      <c r="B866" s="767"/>
      <c r="C866" s="767"/>
      <c r="D866" s="767"/>
      <c r="E866" s="767"/>
    </row>
    <row r="867">
      <c r="A867" s="767"/>
      <c r="B867" s="767"/>
      <c r="C867" s="767"/>
      <c r="D867" s="767"/>
      <c r="E867" s="767"/>
    </row>
    <row r="868">
      <c r="A868" s="767"/>
      <c r="B868" s="767"/>
      <c r="C868" s="767"/>
      <c r="D868" s="767"/>
      <c r="E868" s="767"/>
    </row>
    <row r="869">
      <c r="A869" s="767"/>
      <c r="B869" s="767"/>
      <c r="C869" s="767"/>
      <c r="D869" s="767"/>
      <c r="E869" s="767"/>
    </row>
    <row r="870">
      <c r="A870" s="767"/>
      <c r="B870" s="767"/>
      <c r="C870" s="767"/>
      <c r="D870" s="767"/>
      <c r="E870" s="767"/>
    </row>
    <row r="871">
      <c r="A871" s="767"/>
      <c r="B871" s="767"/>
      <c r="C871" s="767"/>
      <c r="D871" s="767"/>
      <c r="E871" s="767"/>
    </row>
    <row r="872">
      <c r="A872" s="767"/>
      <c r="B872" s="767"/>
      <c r="C872" s="767"/>
      <c r="D872" s="767"/>
      <c r="E872" s="767"/>
    </row>
    <row r="873">
      <c r="A873" s="767"/>
      <c r="B873" s="767"/>
      <c r="C873" s="767"/>
      <c r="D873" s="767"/>
      <c r="E873" s="767"/>
    </row>
    <row r="874">
      <c r="A874" s="767"/>
      <c r="B874" s="767"/>
      <c r="C874" s="767"/>
      <c r="D874" s="767"/>
      <c r="E874" s="767"/>
    </row>
    <row r="875">
      <c r="A875" s="767"/>
      <c r="B875" s="767"/>
      <c r="C875" s="767"/>
      <c r="D875" s="767"/>
      <c r="E875" s="767"/>
    </row>
    <row r="876">
      <c r="A876" s="767"/>
      <c r="B876" s="767"/>
      <c r="C876" s="767"/>
      <c r="D876" s="767"/>
      <c r="E876" s="767"/>
    </row>
    <row r="877">
      <c r="A877" s="767"/>
      <c r="B877" s="767"/>
      <c r="C877" s="767"/>
      <c r="D877" s="767"/>
      <c r="E877" s="767"/>
    </row>
    <row r="878">
      <c r="A878" s="767"/>
      <c r="B878" s="767"/>
      <c r="C878" s="767"/>
      <c r="D878" s="767"/>
      <c r="E878" s="767"/>
    </row>
    <row r="879">
      <c r="A879" s="767"/>
      <c r="B879" s="767"/>
      <c r="C879" s="767"/>
      <c r="D879" s="767"/>
      <c r="E879" s="767"/>
    </row>
    <row r="880">
      <c r="A880" s="767"/>
      <c r="B880" s="767"/>
      <c r="C880" s="767"/>
      <c r="D880" s="767"/>
      <c r="E880" s="767"/>
    </row>
    <row r="881">
      <c r="A881" s="767"/>
      <c r="B881" s="767"/>
      <c r="C881" s="767"/>
      <c r="D881" s="767"/>
      <c r="E881" s="767"/>
    </row>
    <row r="882">
      <c r="A882" s="767"/>
      <c r="B882" s="767"/>
      <c r="C882" s="767"/>
      <c r="D882" s="767"/>
      <c r="E882" s="767"/>
    </row>
    <row r="883">
      <c r="A883" s="767"/>
      <c r="B883" s="767"/>
      <c r="C883" s="767"/>
      <c r="D883" s="767"/>
      <c r="E883" s="767"/>
    </row>
    <row r="884">
      <c r="A884" s="767"/>
      <c r="B884" s="767"/>
      <c r="C884" s="767"/>
      <c r="D884" s="767"/>
      <c r="E884" s="767"/>
    </row>
    <row r="885">
      <c r="A885" s="767"/>
      <c r="B885" s="767"/>
      <c r="C885" s="767"/>
      <c r="D885" s="767"/>
      <c r="E885" s="767"/>
    </row>
    <row r="886">
      <c r="A886" s="767"/>
      <c r="B886" s="767"/>
      <c r="C886" s="767"/>
      <c r="D886" s="767"/>
      <c r="E886" s="767"/>
    </row>
    <row r="887">
      <c r="A887" s="767"/>
      <c r="B887" s="767"/>
      <c r="C887" s="767"/>
      <c r="D887" s="767"/>
      <c r="E887" s="767"/>
    </row>
    <row r="888">
      <c r="A888" s="767"/>
      <c r="B888" s="767"/>
      <c r="C888" s="767"/>
      <c r="D888" s="767"/>
      <c r="E888" s="767"/>
    </row>
    <row r="889">
      <c r="A889" s="767"/>
      <c r="B889" s="767"/>
      <c r="C889" s="767"/>
      <c r="D889" s="767"/>
      <c r="E889" s="767"/>
    </row>
    <row r="890">
      <c r="A890" s="767"/>
      <c r="B890" s="767"/>
      <c r="C890" s="767"/>
      <c r="D890" s="767"/>
      <c r="E890" s="767"/>
    </row>
    <row r="891">
      <c r="A891" s="767"/>
      <c r="B891" s="767"/>
      <c r="C891" s="767"/>
      <c r="D891" s="767"/>
      <c r="E891" s="767"/>
    </row>
    <row r="892">
      <c r="A892" s="767"/>
      <c r="B892" s="767"/>
      <c r="C892" s="767"/>
      <c r="D892" s="767"/>
      <c r="E892" s="767"/>
    </row>
    <row r="893">
      <c r="A893" s="767"/>
      <c r="B893" s="767"/>
      <c r="C893" s="767"/>
      <c r="D893" s="767"/>
      <c r="E893" s="767"/>
    </row>
    <row r="894">
      <c r="A894" s="767"/>
      <c r="B894" s="767"/>
      <c r="C894" s="767"/>
      <c r="D894" s="767"/>
      <c r="E894" s="767"/>
    </row>
    <row r="895">
      <c r="A895" s="767"/>
      <c r="B895" s="767"/>
      <c r="C895" s="767"/>
      <c r="D895" s="767"/>
      <c r="E895" s="767"/>
    </row>
    <row r="896">
      <c r="A896" s="767"/>
      <c r="B896" s="767"/>
      <c r="C896" s="767"/>
      <c r="D896" s="767"/>
      <c r="E896" s="767"/>
    </row>
    <row r="897">
      <c r="A897" s="767"/>
      <c r="B897" s="767"/>
      <c r="C897" s="767"/>
      <c r="D897" s="767"/>
      <c r="E897" s="767"/>
    </row>
    <row r="898">
      <c r="A898" s="767"/>
      <c r="B898" s="767"/>
      <c r="C898" s="767"/>
      <c r="D898" s="767"/>
      <c r="E898" s="767"/>
    </row>
    <row r="899">
      <c r="A899" s="767"/>
      <c r="B899" s="767"/>
      <c r="C899" s="767"/>
      <c r="D899" s="767"/>
      <c r="E899" s="767"/>
    </row>
    <row r="900">
      <c r="A900" s="767"/>
      <c r="B900" s="767"/>
      <c r="C900" s="767"/>
      <c r="D900" s="767"/>
      <c r="E900" s="767"/>
    </row>
    <row r="901">
      <c r="A901" s="767"/>
      <c r="B901" s="767"/>
      <c r="C901" s="767"/>
      <c r="D901" s="767"/>
      <c r="E901" s="767"/>
    </row>
    <row r="902">
      <c r="A902" s="767"/>
      <c r="B902" s="767"/>
      <c r="C902" s="767"/>
      <c r="D902" s="767"/>
      <c r="E902" s="767"/>
    </row>
    <row r="903">
      <c r="A903" s="767"/>
      <c r="B903" s="767"/>
      <c r="C903" s="767"/>
      <c r="D903" s="767"/>
      <c r="E903" s="767"/>
    </row>
    <row r="904">
      <c r="A904" s="767"/>
      <c r="B904" s="767"/>
      <c r="C904" s="767"/>
      <c r="D904" s="767"/>
      <c r="E904" s="767"/>
    </row>
    <row r="905">
      <c r="A905" s="767"/>
      <c r="B905" s="767"/>
      <c r="C905" s="767"/>
      <c r="D905" s="767"/>
      <c r="E905" s="767"/>
    </row>
    <row r="906">
      <c r="A906" s="767"/>
      <c r="B906" s="767"/>
      <c r="C906" s="767"/>
      <c r="D906" s="767"/>
      <c r="E906" s="767"/>
    </row>
    <row r="907">
      <c r="A907" s="767"/>
      <c r="B907" s="767"/>
      <c r="C907" s="767"/>
      <c r="D907" s="767"/>
      <c r="E907" s="767"/>
    </row>
    <row r="908">
      <c r="A908" s="767"/>
      <c r="B908" s="767"/>
      <c r="C908" s="767"/>
      <c r="D908" s="767"/>
      <c r="E908" s="767"/>
    </row>
    <row r="909">
      <c r="A909" s="767"/>
      <c r="B909" s="767"/>
      <c r="C909" s="767"/>
      <c r="D909" s="767"/>
      <c r="E909" s="767"/>
    </row>
    <row r="910">
      <c r="A910" s="767"/>
      <c r="B910" s="767"/>
      <c r="C910" s="767"/>
      <c r="D910" s="767"/>
      <c r="E910" s="767"/>
    </row>
    <row r="911">
      <c r="A911" s="767"/>
      <c r="B911" s="767"/>
      <c r="C911" s="767"/>
      <c r="D911" s="767"/>
      <c r="E911" s="767"/>
    </row>
    <row r="912">
      <c r="A912" s="767"/>
      <c r="B912" s="767"/>
      <c r="C912" s="767"/>
      <c r="D912" s="767"/>
      <c r="E912" s="767"/>
    </row>
    <row r="913">
      <c r="A913" s="767"/>
      <c r="B913" s="767"/>
      <c r="C913" s="767"/>
      <c r="D913" s="767"/>
      <c r="E913" s="767"/>
    </row>
    <row r="914">
      <c r="A914" s="767"/>
      <c r="B914" s="767"/>
      <c r="C914" s="767"/>
      <c r="D914" s="767"/>
      <c r="E914" s="767"/>
    </row>
    <row r="915">
      <c r="A915" s="767"/>
      <c r="B915" s="767"/>
      <c r="C915" s="767"/>
      <c r="D915" s="767"/>
      <c r="E915" s="767"/>
    </row>
    <row r="916">
      <c r="A916" s="767"/>
      <c r="B916" s="767"/>
      <c r="C916" s="767"/>
      <c r="D916" s="767"/>
      <c r="E916" s="767"/>
    </row>
    <row r="917">
      <c r="A917" s="767"/>
      <c r="B917" s="767"/>
      <c r="C917" s="767"/>
      <c r="D917" s="767"/>
      <c r="E917" s="767"/>
    </row>
    <row r="918">
      <c r="A918" s="767"/>
      <c r="B918" s="767"/>
      <c r="C918" s="767"/>
      <c r="D918" s="767"/>
      <c r="E918" s="767"/>
    </row>
    <row r="919">
      <c r="A919" s="767"/>
      <c r="B919" s="767"/>
      <c r="C919" s="767"/>
      <c r="D919" s="767"/>
      <c r="E919" s="767"/>
    </row>
    <row r="920">
      <c r="A920" s="767"/>
      <c r="B920" s="767"/>
      <c r="C920" s="767"/>
      <c r="D920" s="767"/>
      <c r="E920" s="767"/>
    </row>
    <row r="921">
      <c r="A921" s="767"/>
      <c r="B921" s="767"/>
      <c r="C921" s="767"/>
      <c r="D921" s="767"/>
      <c r="E921" s="767"/>
    </row>
    <row r="922">
      <c r="A922" s="767"/>
      <c r="B922" s="767"/>
      <c r="C922" s="767"/>
      <c r="D922" s="767"/>
      <c r="E922" s="767"/>
    </row>
    <row r="923">
      <c r="A923" s="767"/>
      <c r="B923" s="767"/>
      <c r="C923" s="767"/>
      <c r="D923" s="767"/>
      <c r="E923" s="767"/>
    </row>
    <row r="924">
      <c r="A924" s="767"/>
      <c r="B924" s="767"/>
      <c r="C924" s="767"/>
      <c r="D924" s="767"/>
      <c r="E924" s="767"/>
    </row>
    <row r="925">
      <c r="A925" s="767"/>
      <c r="B925" s="767"/>
      <c r="C925" s="767"/>
      <c r="D925" s="767"/>
      <c r="E925" s="767"/>
    </row>
    <row r="926">
      <c r="A926" s="767"/>
      <c r="B926" s="767"/>
      <c r="C926" s="767"/>
      <c r="D926" s="767"/>
      <c r="E926" s="767"/>
    </row>
    <row r="927">
      <c r="A927" s="767"/>
      <c r="B927" s="767"/>
      <c r="C927" s="767"/>
      <c r="D927" s="767"/>
      <c r="E927" s="767"/>
    </row>
    <row r="928">
      <c r="A928" s="767"/>
      <c r="B928" s="767"/>
      <c r="C928" s="767"/>
      <c r="D928" s="767"/>
      <c r="E928" s="767"/>
    </row>
    <row r="929">
      <c r="A929" s="767"/>
      <c r="B929" s="767"/>
      <c r="C929" s="767"/>
      <c r="D929" s="767"/>
      <c r="E929" s="767"/>
    </row>
    <row r="930">
      <c r="A930" s="767"/>
      <c r="B930" s="767"/>
      <c r="C930" s="767"/>
      <c r="D930" s="767"/>
      <c r="E930" s="767"/>
    </row>
    <row r="931">
      <c r="A931" s="767"/>
      <c r="B931" s="767"/>
      <c r="C931" s="767"/>
      <c r="D931" s="767"/>
      <c r="E931" s="767"/>
    </row>
    <row r="932">
      <c r="A932" s="767"/>
      <c r="B932" s="767"/>
      <c r="C932" s="767"/>
      <c r="D932" s="767"/>
      <c r="E932" s="767"/>
    </row>
    <row r="933">
      <c r="A933" s="767"/>
      <c r="B933" s="767"/>
      <c r="C933" s="767"/>
      <c r="D933" s="767"/>
      <c r="E933" s="767"/>
    </row>
    <row r="934">
      <c r="A934" s="767"/>
      <c r="B934" s="767"/>
      <c r="C934" s="767"/>
      <c r="D934" s="767"/>
      <c r="E934" s="767"/>
    </row>
    <row r="935">
      <c r="A935" s="767"/>
      <c r="B935" s="767"/>
      <c r="C935" s="767"/>
      <c r="D935" s="767"/>
      <c r="E935" s="767"/>
    </row>
    <row r="936">
      <c r="A936" s="767"/>
      <c r="B936" s="767"/>
      <c r="C936" s="767"/>
      <c r="D936" s="767"/>
      <c r="E936" s="767"/>
    </row>
    <row r="937">
      <c r="A937" s="767"/>
      <c r="B937" s="767"/>
      <c r="C937" s="767"/>
      <c r="D937" s="767"/>
      <c r="E937" s="767"/>
    </row>
    <row r="938">
      <c r="A938" s="767"/>
      <c r="B938" s="767"/>
      <c r="C938" s="767"/>
      <c r="D938" s="767"/>
      <c r="E938" s="767"/>
    </row>
    <row r="939">
      <c r="A939" s="767"/>
      <c r="B939" s="767"/>
      <c r="C939" s="767"/>
      <c r="D939" s="767"/>
      <c r="E939" s="767"/>
    </row>
    <row r="940">
      <c r="A940" s="767"/>
      <c r="B940" s="767"/>
      <c r="C940" s="767"/>
      <c r="D940" s="767"/>
      <c r="E940" s="767"/>
    </row>
    <row r="941">
      <c r="A941" s="767"/>
      <c r="B941" s="767"/>
      <c r="C941" s="767"/>
      <c r="D941" s="767"/>
      <c r="E941" s="767"/>
    </row>
    <row r="942">
      <c r="A942" s="767"/>
      <c r="B942" s="767"/>
      <c r="C942" s="767"/>
      <c r="D942" s="767"/>
      <c r="E942" s="767"/>
    </row>
    <row r="943">
      <c r="A943" s="767"/>
      <c r="B943" s="767"/>
      <c r="C943" s="767"/>
      <c r="D943" s="767"/>
      <c r="E943" s="767"/>
    </row>
    <row r="944">
      <c r="A944" s="767"/>
      <c r="B944" s="767"/>
      <c r="C944" s="767"/>
      <c r="D944" s="767"/>
      <c r="E944" s="767"/>
    </row>
    <row r="945">
      <c r="A945" s="767"/>
      <c r="B945" s="767"/>
      <c r="C945" s="767"/>
      <c r="D945" s="767"/>
      <c r="E945" s="767"/>
    </row>
    <row r="946">
      <c r="A946" s="767"/>
      <c r="B946" s="767"/>
      <c r="C946" s="767"/>
      <c r="D946" s="767"/>
      <c r="E946" s="767"/>
    </row>
    <row r="947">
      <c r="A947" s="767"/>
      <c r="B947" s="767"/>
      <c r="C947" s="767"/>
      <c r="D947" s="767"/>
      <c r="E947" s="767"/>
    </row>
    <row r="948">
      <c r="A948" s="767"/>
      <c r="B948" s="767"/>
      <c r="C948" s="767"/>
      <c r="D948" s="767"/>
      <c r="E948" s="767"/>
    </row>
    <row r="949">
      <c r="A949" s="767"/>
      <c r="B949" s="767"/>
      <c r="C949" s="767"/>
      <c r="D949" s="767"/>
      <c r="E949" s="767"/>
    </row>
    <row r="950">
      <c r="A950" s="767"/>
      <c r="B950" s="767"/>
      <c r="C950" s="767"/>
      <c r="D950" s="767"/>
      <c r="E950" s="767"/>
    </row>
    <row r="951">
      <c r="A951" s="767"/>
      <c r="B951" s="767"/>
      <c r="C951" s="767"/>
      <c r="D951" s="767"/>
      <c r="E951" s="767"/>
    </row>
    <row r="952">
      <c r="A952" s="767"/>
      <c r="B952" s="767"/>
      <c r="C952" s="767"/>
      <c r="D952" s="767"/>
      <c r="E952" s="767"/>
    </row>
    <row r="953">
      <c r="A953" s="767"/>
      <c r="B953" s="767"/>
      <c r="C953" s="767"/>
      <c r="D953" s="767"/>
      <c r="E953" s="767"/>
    </row>
    <row r="954">
      <c r="A954" s="767"/>
      <c r="B954" s="767"/>
      <c r="C954" s="767"/>
      <c r="D954" s="767"/>
      <c r="E954" s="767"/>
    </row>
    <row r="955">
      <c r="A955" s="767"/>
      <c r="B955" s="767"/>
      <c r="C955" s="767"/>
      <c r="D955" s="767"/>
      <c r="E955" s="767"/>
    </row>
    <row r="956">
      <c r="A956" s="767"/>
      <c r="B956" s="767"/>
      <c r="C956" s="767"/>
      <c r="D956" s="767"/>
      <c r="E956" s="767"/>
    </row>
    <row r="957">
      <c r="A957" s="767"/>
      <c r="B957" s="767"/>
      <c r="C957" s="767"/>
      <c r="D957" s="767"/>
      <c r="E957" s="767"/>
    </row>
    <row r="958">
      <c r="A958" s="767"/>
      <c r="B958" s="767"/>
      <c r="C958" s="767"/>
      <c r="D958" s="767"/>
      <c r="E958" s="767"/>
    </row>
    <row r="959">
      <c r="A959" s="767"/>
      <c r="B959" s="767"/>
      <c r="C959" s="767"/>
      <c r="D959" s="767"/>
      <c r="E959" s="767"/>
    </row>
    <row r="960">
      <c r="A960" s="767"/>
      <c r="B960" s="767"/>
      <c r="C960" s="767"/>
      <c r="D960" s="767"/>
      <c r="E960" s="767"/>
    </row>
    <row r="961">
      <c r="A961" s="767"/>
      <c r="B961" s="767"/>
      <c r="C961" s="767"/>
      <c r="D961" s="767"/>
      <c r="E961" s="767"/>
    </row>
    <row r="962">
      <c r="A962" s="767"/>
      <c r="B962" s="767"/>
      <c r="C962" s="767"/>
      <c r="D962" s="767"/>
      <c r="E962" s="767"/>
    </row>
    <row r="963">
      <c r="A963" s="767"/>
      <c r="B963" s="767"/>
      <c r="C963" s="767"/>
      <c r="D963" s="767"/>
      <c r="E963" s="767"/>
    </row>
    <row r="964">
      <c r="A964" s="767"/>
      <c r="B964" s="767"/>
      <c r="C964" s="767"/>
      <c r="D964" s="767"/>
      <c r="E964" s="767"/>
    </row>
    <row r="965">
      <c r="A965" s="767"/>
      <c r="B965" s="767"/>
      <c r="C965" s="767"/>
      <c r="D965" s="767"/>
      <c r="E965" s="767"/>
    </row>
    <row r="966">
      <c r="A966" s="767"/>
      <c r="B966" s="767"/>
      <c r="C966" s="767"/>
      <c r="D966" s="767"/>
      <c r="E966" s="767"/>
    </row>
    <row r="967">
      <c r="A967" s="767"/>
      <c r="B967" s="767"/>
      <c r="C967" s="767"/>
      <c r="D967" s="767"/>
      <c r="E967" s="767"/>
    </row>
    <row r="968">
      <c r="A968" s="767"/>
      <c r="B968" s="767"/>
      <c r="C968" s="767"/>
      <c r="D968" s="767"/>
      <c r="E968" s="767"/>
    </row>
    <row r="969">
      <c r="A969" s="767"/>
      <c r="B969" s="767"/>
      <c r="C969" s="767"/>
      <c r="D969" s="767"/>
      <c r="E969" s="767"/>
    </row>
    <row r="970">
      <c r="A970" s="767"/>
      <c r="B970" s="767"/>
      <c r="C970" s="767"/>
      <c r="D970" s="767"/>
      <c r="E970" s="767"/>
    </row>
    <row r="971">
      <c r="A971" s="767"/>
      <c r="B971" s="767"/>
      <c r="C971" s="767"/>
      <c r="D971" s="767"/>
      <c r="E971" s="767"/>
    </row>
    <row r="972">
      <c r="A972" s="767"/>
      <c r="B972" s="767"/>
      <c r="C972" s="767"/>
      <c r="D972" s="767"/>
      <c r="E972" s="767"/>
    </row>
    <row r="973">
      <c r="A973" s="767"/>
      <c r="B973" s="767"/>
      <c r="C973" s="767"/>
      <c r="D973" s="767"/>
      <c r="E973" s="767"/>
    </row>
    <row r="974">
      <c r="A974" s="767"/>
      <c r="B974" s="767"/>
      <c r="C974" s="767"/>
      <c r="D974" s="767"/>
      <c r="E974" s="767"/>
    </row>
    <row r="975">
      <c r="A975" s="767"/>
      <c r="B975" s="767"/>
      <c r="C975" s="767"/>
      <c r="D975" s="767"/>
      <c r="E975" s="767"/>
    </row>
    <row r="976">
      <c r="A976" s="767"/>
      <c r="B976" s="767"/>
      <c r="C976" s="767"/>
      <c r="D976" s="767"/>
      <c r="E976" s="767"/>
    </row>
    <row r="977">
      <c r="A977" s="767"/>
      <c r="B977" s="767"/>
      <c r="C977" s="767"/>
      <c r="D977" s="767"/>
      <c r="E977" s="767"/>
    </row>
    <row r="978">
      <c r="A978" s="767"/>
      <c r="B978" s="767"/>
      <c r="C978" s="767"/>
      <c r="D978" s="767"/>
      <c r="E978" s="767"/>
    </row>
    <row r="979">
      <c r="A979" s="767"/>
      <c r="B979" s="767"/>
      <c r="C979" s="767"/>
      <c r="D979" s="767"/>
      <c r="E979" s="767"/>
    </row>
    <row r="980">
      <c r="A980" s="767"/>
      <c r="B980" s="767"/>
      <c r="C980" s="767"/>
      <c r="D980" s="767"/>
      <c r="E980" s="767"/>
    </row>
    <row r="981">
      <c r="A981" s="767"/>
      <c r="B981" s="767"/>
      <c r="C981" s="767"/>
      <c r="D981" s="767"/>
      <c r="E981" s="767"/>
    </row>
    <row r="982">
      <c r="A982" s="767"/>
      <c r="B982" s="767"/>
      <c r="C982" s="767"/>
      <c r="D982" s="767"/>
      <c r="E982" s="767"/>
    </row>
    <row r="983">
      <c r="A983" s="767"/>
      <c r="B983" s="767"/>
      <c r="C983" s="767"/>
      <c r="D983" s="767"/>
      <c r="E983" s="767"/>
    </row>
    <row r="984">
      <c r="A984" s="767"/>
      <c r="B984" s="767"/>
      <c r="C984" s="767"/>
      <c r="D984" s="767"/>
      <c r="E984" s="767"/>
    </row>
    <row r="985">
      <c r="A985" s="767"/>
      <c r="B985" s="767"/>
      <c r="C985" s="767"/>
      <c r="D985" s="767"/>
      <c r="E985" s="767"/>
    </row>
    <row r="986">
      <c r="A986" s="767"/>
      <c r="B986" s="767"/>
      <c r="C986" s="767"/>
      <c r="D986" s="767"/>
      <c r="E986" s="767"/>
    </row>
    <row r="987">
      <c r="A987" s="767"/>
      <c r="B987" s="767"/>
      <c r="C987" s="767"/>
      <c r="D987" s="767"/>
      <c r="E987" s="767"/>
    </row>
    <row r="988">
      <c r="A988" s="767"/>
      <c r="B988" s="767"/>
      <c r="C988" s="767"/>
      <c r="D988" s="767"/>
      <c r="E988" s="767"/>
    </row>
    <row r="989">
      <c r="A989" s="767"/>
      <c r="B989" s="767"/>
      <c r="C989" s="767"/>
      <c r="D989" s="767"/>
      <c r="E989" s="767"/>
    </row>
    <row r="990">
      <c r="A990" s="767"/>
      <c r="B990" s="767"/>
      <c r="C990" s="767"/>
      <c r="D990" s="767"/>
      <c r="E990" s="767"/>
    </row>
    <row r="991">
      <c r="A991" s="767"/>
      <c r="B991" s="767"/>
      <c r="C991" s="767"/>
      <c r="D991" s="767"/>
      <c r="E991" s="767"/>
    </row>
    <row r="992">
      <c r="A992" s="767"/>
      <c r="B992" s="767"/>
      <c r="C992" s="767"/>
      <c r="D992" s="767"/>
      <c r="E992" s="767"/>
    </row>
    <row r="993">
      <c r="A993" s="767"/>
      <c r="B993" s="767"/>
      <c r="C993" s="767"/>
      <c r="D993" s="767"/>
      <c r="E993" s="767"/>
    </row>
    <row r="994">
      <c r="A994" s="767"/>
      <c r="B994" s="767"/>
      <c r="C994" s="767"/>
      <c r="D994" s="767"/>
      <c r="E994" s="767"/>
    </row>
    <row r="995">
      <c r="A995" s="767"/>
      <c r="B995" s="767"/>
      <c r="C995" s="767"/>
      <c r="D995" s="767"/>
      <c r="E995" s="767"/>
    </row>
    <row r="996">
      <c r="A996" s="767"/>
      <c r="B996" s="767"/>
      <c r="C996" s="767"/>
      <c r="D996" s="767"/>
      <c r="E996" s="767"/>
    </row>
    <row r="997">
      <c r="A997" s="767"/>
      <c r="B997" s="767"/>
      <c r="C997" s="767"/>
      <c r="D997" s="767"/>
      <c r="E997" s="767"/>
    </row>
    <row r="998">
      <c r="A998" s="767"/>
      <c r="B998" s="767"/>
      <c r="C998" s="767"/>
      <c r="D998" s="767"/>
      <c r="E998" s="767"/>
    </row>
    <row r="999">
      <c r="A999" s="767"/>
      <c r="B999" s="767"/>
      <c r="C999" s="767"/>
      <c r="D999" s="767"/>
      <c r="E999" s="767"/>
    </row>
    <row r="1000">
      <c r="A1000" s="767"/>
      <c r="B1000" s="767"/>
      <c r="C1000" s="767"/>
      <c r="D1000" s="767"/>
      <c r="E1000" s="767"/>
    </row>
    <row r="1001">
      <c r="A1001" s="767"/>
      <c r="B1001" s="767"/>
      <c r="C1001" s="767"/>
      <c r="D1001" s="767"/>
      <c r="E1001" s="767"/>
    </row>
    <row r="1002">
      <c r="A1002" s="767"/>
      <c r="B1002" s="767"/>
      <c r="C1002" s="767"/>
      <c r="D1002" s="767"/>
      <c r="E1002" s="767"/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4.38"/>
  </cols>
  <sheetData>
    <row r="1">
      <c r="A1" s="768" t="s">
        <v>355</v>
      </c>
      <c r="B1" s="768" t="s">
        <v>630</v>
      </c>
      <c r="C1" s="768" t="s">
        <v>631</v>
      </c>
      <c r="D1" s="768" t="s">
        <v>632</v>
      </c>
      <c r="E1" s="768" t="s">
        <v>633</v>
      </c>
      <c r="F1" s="769"/>
      <c r="G1" s="769"/>
      <c r="H1" s="769"/>
      <c r="I1" s="768" t="s">
        <v>634</v>
      </c>
      <c r="J1" s="769"/>
      <c r="K1" s="769"/>
      <c r="L1" s="769"/>
      <c r="M1" s="770"/>
      <c r="N1" s="770"/>
      <c r="O1" s="770"/>
      <c r="P1" s="770"/>
      <c r="Q1" s="770"/>
      <c r="R1" s="770"/>
      <c r="S1" s="770"/>
      <c r="T1" s="770"/>
      <c r="U1" s="770"/>
      <c r="V1" s="770"/>
      <c r="W1" s="770"/>
      <c r="X1" s="770"/>
      <c r="Y1" s="770"/>
      <c r="Z1" s="770"/>
      <c r="AA1" s="770"/>
    </row>
    <row r="2">
      <c r="A2" s="771"/>
      <c r="B2" s="771"/>
      <c r="C2" s="771"/>
      <c r="D2" s="771" t="s">
        <v>326</v>
      </c>
      <c r="E2" s="772" t="s">
        <v>2</v>
      </c>
      <c r="F2" s="772" t="s">
        <v>3</v>
      </c>
      <c r="G2" s="772" t="s">
        <v>635</v>
      </c>
      <c r="H2" s="772" t="s">
        <v>636</v>
      </c>
      <c r="I2" s="772" t="s">
        <v>2</v>
      </c>
      <c r="J2" s="772" t="s">
        <v>3</v>
      </c>
      <c r="K2" s="772" t="s">
        <v>635</v>
      </c>
      <c r="L2" s="772" t="s">
        <v>636</v>
      </c>
      <c r="M2" s="773"/>
      <c r="N2" s="773"/>
      <c r="O2" s="773"/>
      <c r="P2" s="773"/>
      <c r="Q2" s="773"/>
      <c r="R2" s="773"/>
      <c r="S2" s="773"/>
      <c r="T2" s="773"/>
      <c r="U2" s="773"/>
      <c r="V2" s="773"/>
      <c r="W2" s="773"/>
      <c r="X2" s="773"/>
      <c r="Y2" s="773"/>
      <c r="Z2" s="773"/>
      <c r="AA2" s="773"/>
    </row>
    <row r="3">
      <c r="A3" s="774" t="s">
        <v>195</v>
      </c>
      <c r="B3" s="110" t="s">
        <v>637</v>
      </c>
    </row>
    <row r="4">
      <c r="B4" s="110" t="s">
        <v>638</v>
      </c>
    </row>
    <row r="5">
      <c r="B5" s="110" t="s">
        <v>639</v>
      </c>
    </row>
    <row r="6">
      <c r="A6" s="774" t="s">
        <v>93</v>
      </c>
    </row>
    <row r="8">
      <c r="A8" s="774" t="s">
        <v>640</v>
      </c>
    </row>
  </sheetData>
  <mergeCells count="5">
    <mergeCell ref="E1:H1"/>
    <mergeCell ref="I1:L1"/>
    <mergeCell ref="A3:A5"/>
    <mergeCell ref="A6:A7"/>
    <mergeCell ref="A8:A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6.38"/>
    <col customWidth="1" min="3" max="3" width="12.5"/>
    <col customWidth="1" min="4" max="4" width="19.38"/>
    <col customWidth="1" min="5" max="6" width="10.75"/>
    <col customWidth="1" min="7" max="7" width="14.38"/>
    <col customWidth="1" min="8" max="8" width="15.38"/>
    <col customWidth="1" min="9" max="10" width="10.75"/>
    <col customWidth="1" min="11" max="11" width="12.63"/>
    <col customWidth="1" min="12" max="12" width="12.5"/>
    <col customWidth="1" min="13" max="15" width="10.75"/>
    <col customWidth="1" min="16" max="16" width="2.63"/>
    <col customWidth="1" hidden="1" min="17" max="17" width="12.0"/>
    <col customWidth="1" hidden="1" min="18" max="18" width="9.88"/>
    <col customWidth="1" hidden="1" min="19" max="19" width="3.5"/>
    <col customWidth="1" hidden="1" min="20" max="20" width="15.13"/>
    <col customWidth="1" hidden="1" min="21" max="21" width="15.63"/>
    <col customWidth="1" hidden="1" min="22" max="22" width="12.25"/>
    <col customWidth="1" hidden="1" min="23" max="25" width="10.13"/>
    <col customWidth="1" hidden="1" min="26" max="28" width="10.25"/>
    <col customWidth="1" hidden="1" min="29" max="29" width="15.13"/>
    <col customWidth="1" hidden="1" min="30" max="30" width="15.38"/>
    <col customWidth="1" hidden="1" min="31" max="33" width="15.13"/>
    <col customWidth="1" hidden="1" min="34" max="34" width="3.5"/>
    <col customWidth="1" hidden="1" min="35" max="35" width="22.0"/>
    <col customWidth="1" hidden="1" min="36" max="47" width="8.25"/>
    <col customWidth="1" hidden="1" min="48" max="48" width="3.25"/>
    <col customWidth="1" hidden="1" min="49" max="49" width="23.38"/>
    <col customWidth="1" hidden="1" min="50" max="50" width="15.5"/>
  </cols>
  <sheetData>
    <row r="1" ht="16.5" customHeight="1">
      <c r="A1" s="775"/>
      <c r="B1" s="776"/>
      <c r="C1" s="776"/>
      <c r="D1" s="777"/>
      <c r="E1" s="778"/>
      <c r="F1" s="777"/>
      <c r="G1" s="779"/>
      <c r="H1" s="780"/>
      <c r="I1" s="780"/>
      <c r="J1" s="777"/>
      <c r="K1" s="777"/>
      <c r="L1" s="777"/>
      <c r="M1" s="777"/>
      <c r="N1" s="781"/>
      <c r="P1" s="775"/>
      <c r="Q1" s="782"/>
      <c r="R1" s="782"/>
      <c r="S1" s="783"/>
      <c r="T1" s="784" t="str">
        <f>IF(ISBLANK(INDIRECT("'"&amp;#REF!&amp;"'!$"&amp;AX4&amp;"$2")), date(2030,12,31),MIN(INDIRECT("'"&amp;#REF!&amp;"'!$"&amp;AX4&amp;"$2:"&amp;AX4)))</f>
        <v>#REF!</v>
      </c>
      <c r="U1" s="785" t="s">
        <v>641</v>
      </c>
      <c r="V1" s="786" t="s">
        <v>306</v>
      </c>
      <c r="W1" s="787">
        <f>IF(V1="Yes",1,0)</f>
        <v>1</v>
      </c>
      <c r="X1" s="788"/>
      <c r="Y1" s="788"/>
      <c r="Z1" s="788"/>
      <c r="AA1" s="788"/>
      <c r="AB1" s="789"/>
      <c r="AC1" s="790"/>
      <c r="AD1" s="791"/>
      <c r="AE1" s="791"/>
      <c r="AF1" s="791"/>
      <c r="AG1" s="791"/>
      <c r="AH1" s="792"/>
      <c r="AI1" s="793" t="s">
        <v>642</v>
      </c>
      <c r="AJ1" s="794" t="str">
        <f t="shared" ref="AJ1:AU1" si="1">if(AND(isdate(#REF!),today()&gt;=#REF!),sumif($AC$6:$AC72,"Asset",AJ$6:AJ72),iferror(1/0))</f>
        <v>#REF!</v>
      </c>
      <c r="AK1" s="794" t="str">
        <f t="shared" si="1"/>
        <v>#REF!</v>
      </c>
      <c r="AL1" s="794" t="str">
        <f t="shared" si="1"/>
        <v>#REF!</v>
      </c>
      <c r="AM1" s="794" t="str">
        <f t="shared" si="1"/>
        <v>#REF!</v>
      </c>
      <c r="AN1" s="794" t="str">
        <f t="shared" si="1"/>
        <v>#REF!</v>
      </c>
      <c r="AO1" s="794" t="str">
        <f t="shared" si="1"/>
        <v>#REF!</v>
      </c>
      <c r="AP1" s="794" t="str">
        <f t="shared" si="1"/>
        <v>#REF!</v>
      </c>
      <c r="AQ1" s="794" t="str">
        <f t="shared" si="1"/>
        <v>#REF!</v>
      </c>
      <c r="AR1" s="794" t="str">
        <f t="shared" si="1"/>
        <v>#REF!</v>
      </c>
      <c r="AS1" s="794" t="str">
        <f t="shared" si="1"/>
        <v>#REF!</v>
      </c>
      <c r="AT1" s="794" t="str">
        <f t="shared" si="1"/>
        <v>#REF!</v>
      </c>
      <c r="AU1" s="794" t="str">
        <f t="shared" si="1"/>
        <v>#REF!</v>
      </c>
      <c r="AV1" s="792"/>
      <c r="AW1" s="795" t="s">
        <v>395</v>
      </c>
      <c r="AX1" s="796" t="str">
        <f>iferror(char(64+match(AW1,'Balance History'!$A$1:AX$1,0)))</f>
        <v/>
      </c>
    </row>
    <row r="2" ht="27.75" customHeight="1">
      <c r="A2" s="775"/>
      <c r="B2" s="797" t="s">
        <v>643</v>
      </c>
      <c r="D2" s="798">
        <f>sum(K26:K50)-SUM(K54:K64)</f>
        <v>630298</v>
      </c>
      <c r="E2" s="778"/>
      <c r="F2" s="799" t="s">
        <v>644</v>
      </c>
      <c r="H2" s="798">
        <f>sum(K26,K27,K28,K38)</f>
        <v>20600</v>
      </c>
      <c r="I2" s="780"/>
      <c r="J2" s="777"/>
      <c r="K2" s="777"/>
      <c r="L2" s="777"/>
      <c r="M2" s="777"/>
      <c r="N2" s="800"/>
      <c r="O2" s="800"/>
      <c r="P2" s="775"/>
      <c r="Q2" s="782"/>
      <c r="R2" s="782"/>
      <c r="S2" s="783"/>
      <c r="T2" s="784"/>
      <c r="U2" s="785"/>
      <c r="V2" s="786"/>
      <c r="W2" s="787"/>
      <c r="X2" s="788"/>
      <c r="Y2" s="788"/>
      <c r="Z2" s="788"/>
      <c r="AA2" s="788"/>
      <c r="AB2" s="789"/>
      <c r="AC2" s="790"/>
      <c r="AD2" s="791"/>
      <c r="AE2" s="791"/>
      <c r="AF2" s="791"/>
      <c r="AG2" s="791"/>
      <c r="AH2" s="792"/>
      <c r="AI2" s="793"/>
      <c r="AJ2" s="794"/>
      <c r="AK2" s="794"/>
      <c r="AL2" s="794"/>
      <c r="AM2" s="794"/>
      <c r="AN2" s="794"/>
      <c r="AO2" s="794"/>
      <c r="AP2" s="794"/>
      <c r="AQ2" s="794"/>
      <c r="AR2" s="794"/>
      <c r="AS2" s="794"/>
      <c r="AT2" s="794"/>
      <c r="AU2" s="794"/>
      <c r="AV2" s="792"/>
      <c r="AW2" s="795"/>
      <c r="AX2" s="796"/>
    </row>
    <row r="3" ht="16.5" customHeight="1">
      <c r="A3" s="775"/>
      <c r="B3" s="776"/>
      <c r="C3" s="776"/>
      <c r="D3" s="777"/>
      <c r="E3" s="778"/>
      <c r="F3" s="777"/>
      <c r="G3" s="779"/>
      <c r="H3" s="780"/>
      <c r="I3" s="780"/>
      <c r="J3" s="777"/>
      <c r="K3" s="777"/>
      <c r="L3" s="777"/>
      <c r="M3" s="777"/>
      <c r="N3" s="781"/>
      <c r="O3" s="781"/>
      <c r="P3" s="775"/>
      <c r="Q3" s="782"/>
      <c r="R3" s="782"/>
      <c r="S3" s="783"/>
      <c r="T3" s="784"/>
      <c r="U3" s="785"/>
      <c r="V3" s="786"/>
      <c r="W3" s="787"/>
      <c r="X3" s="788"/>
      <c r="Y3" s="788"/>
      <c r="Z3" s="788"/>
      <c r="AA3" s="788"/>
      <c r="AB3" s="789"/>
      <c r="AC3" s="790"/>
      <c r="AD3" s="791"/>
      <c r="AE3" s="791"/>
      <c r="AF3" s="791"/>
      <c r="AG3" s="791"/>
      <c r="AH3" s="792"/>
      <c r="AI3" s="793"/>
      <c r="AJ3" s="794"/>
      <c r="AK3" s="794"/>
      <c r="AL3" s="794"/>
      <c r="AM3" s="794"/>
      <c r="AN3" s="794"/>
      <c r="AO3" s="794"/>
      <c r="AP3" s="794"/>
      <c r="AQ3" s="794"/>
      <c r="AR3" s="794"/>
      <c r="AS3" s="794"/>
      <c r="AT3" s="794"/>
      <c r="AU3" s="794"/>
      <c r="AV3" s="792"/>
      <c r="AW3" s="795"/>
      <c r="AX3" s="796"/>
    </row>
    <row r="4" ht="24.0" customHeight="1">
      <c r="A4" s="801"/>
      <c r="B4" s="802" t="s">
        <v>645</v>
      </c>
      <c r="C4" s="803"/>
      <c r="D4" s="804" t="s">
        <v>646</v>
      </c>
      <c r="E4" s="805">
        <f>today()</f>
        <v>45767</v>
      </c>
      <c r="F4" s="806"/>
      <c r="G4" s="804" t="s">
        <v>647</v>
      </c>
      <c r="H4" s="807" t="s">
        <v>648</v>
      </c>
      <c r="I4" s="808"/>
      <c r="J4" s="803"/>
      <c r="K4" s="803"/>
      <c r="L4" s="803"/>
      <c r="M4" s="803"/>
      <c r="N4" s="803"/>
      <c r="O4" s="809"/>
      <c r="P4" s="801"/>
      <c r="Q4" s="810"/>
      <c r="R4" s="810"/>
      <c r="S4" s="783"/>
      <c r="T4" s="788"/>
      <c r="U4" s="785" t="str">
        <f>"Show "&amp;#REF!</f>
        <v>#REF!</v>
      </c>
      <c r="V4" s="786" t="s">
        <v>306</v>
      </c>
      <c r="W4" s="787" t="b">
        <f>IF(V4="Yes",TRUE,FALSE)</f>
        <v>1</v>
      </c>
      <c r="X4" s="811"/>
      <c r="Y4" s="787"/>
      <c r="Z4" s="787"/>
      <c r="AA4" s="787"/>
      <c r="AB4" s="789"/>
      <c r="AC4" s="790"/>
      <c r="AD4" s="791"/>
      <c r="AE4" s="791"/>
      <c r="AF4" s="791"/>
      <c r="AG4" s="791"/>
      <c r="AH4" s="792"/>
      <c r="AI4" s="793" t="s">
        <v>643</v>
      </c>
      <c r="AJ4" s="794" t="str">
        <f t="shared" ref="AJ4:AU4" si="2">if(and(isdate(#REF!),today()&gt;=#REF!),AJ1-#REF!,iferror(1/0))</f>
        <v>#REF!</v>
      </c>
      <c r="AK4" s="794" t="str">
        <f t="shared" si="2"/>
        <v>#REF!</v>
      </c>
      <c r="AL4" s="794" t="str">
        <f t="shared" si="2"/>
        <v>#REF!</v>
      </c>
      <c r="AM4" s="794" t="str">
        <f t="shared" si="2"/>
        <v>#REF!</v>
      </c>
      <c r="AN4" s="794" t="str">
        <f t="shared" si="2"/>
        <v>#REF!</v>
      </c>
      <c r="AO4" s="794" t="str">
        <f t="shared" si="2"/>
        <v>#REF!</v>
      </c>
      <c r="AP4" s="794" t="str">
        <f t="shared" si="2"/>
        <v>#REF!</v>
      </c>
      <c r="AQ4" s="794" t="str">
        <f t="shared" si="2"/>
        <v>#REF!</v>
      </c>
      <c r="AR4" s="794" t="str">
        <f t="shared" si="2"/>
        <v>#REF!</v>
      </c>
      <c r="AS4" s="794" t="str">
        <f t="shared" si="2"/>
        <v>#REF!</v>
      </c>
      <c r="AT4" s="794" t="str">
        <f t="shared" si="2"/>
        <v>#REF!</v>
      </c>
      <c r="AU4" s="794" t="str">
        <f t="shared" si="2"/>
        <v>#REF!</v>
      </c>
      <c r="AV4" s="792"/>
      <c r="AW4" s="812" t="s">
        <v>649</v>
      </c>
      <c r="AX4" s="796" t="str">
        <f t="shared" ref="AX4:AX9" si="3">iferror(char(64+match(AW4,'Balance History'!$A$1:AX$1,0)))</f>
        <v/>
      </c>
    </row>
    <row r="5" ht="15.75" customHeight="1">
      <c r="A5" s="801"/>
      <c r="B5" s="777"/>
      <c r="C5" s="777"/>
      <c r="D5" s="779"/>
      <c r="E5" s="779"/>
      <c r="F5" s="779"/>
      <c r="G5" s="779"/>
      <c r="H5" s="780"/>
      <c r="I5" s="780"/>
      <c r="J5" s="813"/>
      <c r="K5" s="813"/>
      <c r="L5" s="813"/>
      <c r="M5" s="813"/>
      <c r="N5" s="813"/>
      <c r="O5" s="801"/>
      <c r="P5" s="801"/>
      <c r="Q5" s="810"/>
      <c r="R5" s="810"/>
      <c r="S5" s="783"/>
      <c r="T5" s="785" t="s">
        <v>650</v>
      </c>
      <c r="U5" s="814" t="s">
        <v>651</v>
      </c>
      <c r="V5" s="787">
        <f>COUNTA(AE6:AE72)</f>
        <v>0</v>
      </c>
      <c r="W5" s="815" t="s">
        <v>652</v>
      </c>
      <c r="X5" s="814" t="str">
        <f>"New "&amp;#REF!</f>
        <v>#REF!</v>
      </c>
      <c r="Y5" s="815" t="s">
        <v>653</v>
      </c>
      <c r="Z5" s="815" t="s">
        <v>654</v>
      </c>
      <c r="AA5" s="815" t="str">
        <f>#REF!&amp;" Line"</f>
        <v>#REF!</v>
      </c>
      <c r="AB5" s="815" t="s">
        <v>655</v>
      </c>
      <c r="AC5" s="785" t="s">
        <v>656</v>
      </c>
      <c r="AD5" s="814" t="str">
        <f>#REF!</f>
        <v>#REF!</v>
      </c>
      <c r="AE5" s="785" t="s">
        <v>657</v>
      </c>
      <c r="AF5" s="785" t="s">
        <v>395</v>
      </c>
      <c r="AG5" s="785" t="s">
        <v>658</v>
      </c>
      <c r="AH5" s="792"/>
      <c r="AI5" s="816" t="s">
        <v>659</v>
      </c>
      <c r="AJ5" s="785"/>
      <c r="AK5" s="785"/>
      <c r="AL5" s="785"/>
      <c r="AM5" s="785"/>
      <c r="AN5" s="785"/>
      <c r="AO5" s="785"/>
      <c r="AP5" s="785"/>
      <c r="AQ5" s="785"/>
      <c r="AR5" s="785"/>
      <c r="AS5" s="785"/>
      <c r="AT5" s="785"/>
      <c r="AU5" s="785"/>
      <c r="AV5" s="792"/>
      <c r="AW5" s="795" t="s">
        <v>658</v>
      </c>
      <c r="AX5" s="796" t="str">
        <f t="shared" si="3"/>
        <v/>
      </c>
    </row>
    <row r="6" ht="15.75" customHeight="1">
      <c r="A6" s="801"/>
      <c r="B6" s="777"/>
      <c r="C6" s="777"/>
      <c r="D6" s="779"/>
      <c r="E6" s="779"/>
      <c r="F6" s="779"/>
      <c r="G6" s="779"/>
      <c r="H6" s="780"/>
      <c r="I6" s="780"/>
      <c r="J6" s="813"/>
      <c r="K6" s="813"/>
      <c r="L6" s="813"/>
      <c r="M6" s="813"/>
      <c r="N6" s="813"/>
      <c r="O6" s="801"/>
      <c r="P6" s="801"/>
      <c r="Q6" s="810"/>
      <c r="R6" s="810"/>
      <c r="S6" s="783"/>
      <c r="T6" s="784">
        <f>if(H4="Week",E4,eomonth(E4,0))</f>
        <v>45777</v>
      </c>
      <c r="U6" s="787"/>
      <c r="V6" s="789"/>
      <c r="W6" s="817" t="b">
        <v>1</v>
      </c>
      <c r="X6" s="817" t="b">
        <v>1</v>
      </c>
      <c r="Y6" s="787" t="str">
        <f t="array" ref="Y6:Y72">IF(ISTEXT(AF6:AF72),IF(OFFSET(X6,1,0):OFFSET(X6,V5,0),TRUE,FALSE),IFERROR(1/0))</f>
        <v/>
      </c>
      <c r="Z6" s="787">
        <v>0.0</v>
      </c>
      <c r="AA6" s="787">
        <f>IF(W4,2,IFERROR(1/0))</f>
        <v>2</v>
      </c>
      <c r="AB6" s="818">
        <f>IF(W4,3,2)</f>
        <v>3</v>
      </c>
      <c r="AC6" s="817" t="str">
        <f>IFERROR(__xludf.DUMMYFUNCTION("query(indirect(AX25),""SELECT ""&amp;AX21&amp;"", ""&amp;#REF!&amp;"", ""&amp;AX12&amp;"", ""&amp;AX13&amp;"", ""&amp;AX14&amp;"" WHERE ""&amp;AX12&amp;"" &lt;&gt; '' AND ""&amp;AX23&amp;"" &lt;&gt; 'Hide' ORDER BY ""&amp;AX21&amp;"", ""&amp;#REF!&amp;"", ""&amp;AX13,-1)"),"#REF!")</f>
        <v>#REF!</v>
      </c>
      <c r="AD6" s="791"/>
      <c r="AE6" s="791"/>
      <c r="AF6" s="791"/>
      <c r="AG6" s="791"/>
      <c r="AH6" s="792"/>
      <c r="AI6" s="793" t="str">
        <f t="array" ref="AI6:AI72">if(isblank(AE6:AE72),iferror(1/0),proper(AF6:AF72)&amp;if(isblank(AG6:AG72),""," ("&amp;AG6:AG72&amp;")"))</f>
        <v/>
      </c>
      <c r="AJ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K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L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M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N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O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P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Q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R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S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T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U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V6" s="792"/>
      <c r="AW6" s="795" t="s">
        <v>660</v>
      </c>
      <c r="AX6" s="796" t="str">
        <f t="shared" si="3"/>
        <v/>
      </c>
    </row>
    <row r="7" ht="15.75" customHeight="1">
      <c r="A7" s="801"/>
      <c r="B7" s="779"/>
      <c r="C7" s="779"/>
      <c r="D7" s="779"/>
      <c r="E7" s="779"/>
      <c r="F7" s="779"/>
      <c r="G7" s="779"/>
      <c r="H7" s="780"/>
      <c r="I7" s="780"/>
      <c r="J7" s="813"/>
      <c r="K7" s="813"/>
      <c r="L7" s="813"/>
      <c r="M7" s="813"/>
      <c r="N7" s="813"/>
      <c r="O7" s="801"/>
      <c r="P7" s="801"/>
      <c r="Q7" s="810"/>
      <c r="R7" s="810"/>
      <c r="S7" s="783"/>
      <c r="T7" s="784">
        <f t="shared" ref="T7:T18" si="4">IF($H$4="Week", DATE(YEAR(T6),MONTH(T6),DAY(T6)-7),IF($H$4="Month", EOMONTH(T6,-1),IF($H$4="Quarter", EOMONTH($T$6,-3*(ROW($T7)-ROW($T$6))),IF($H$4="Year", DATE(YEAR(T6)-1,MONTH(T6),DAY(T6)), ""))))</f>
        <v>45747</v>
      </c>
      <c r="U7" s="789"/>
      <c r="V7" s="789"/>
      <c r="W7" s="820" t="str">
        <f t="array" ref="W7:W72">IF(ISTEXT(AF7:AF72),IF(AC7:OFFSET(AC7,V5-1,0)=OFFSET(AC7,-1,0):OFFSET(AC7,V5-2,0),FALSE,TRUE),IFERROR(1/0))</f>
        <v/>
      </c>
      <c r="X7" s="821" t="str">
        <f t="array" ref="X7:X72">IF(ISTEXT(AF7:AF72),IF(AD7:OFFSET(AD7,V5-1,0)=OFFSET(AD7,-1,0):OFFSET(AD7,V5-1,0),FALSE,TRUE),IFERROR(1/0))</f>
        <v/>
      </c>
      <c r="Y7" s="789"/>
      <c r="Z7" s="789" t="str">
        <f t="shared" ref="Z7:Z19" si="5">IF(W7,AB6+2,IFERROR(1/0))</f>
        <v/>
      </c>
      <c r="AA7" s="789" t="str">
        <f t="shared" ref="AA7:AA19" si="6">IF(W$4,IF(X7,IF(ISBLANK(Z7),AB6+1+$W$1,Z7+2),IFERROR(1/0)),IFERROR(1/0))</f>
        <v/>
      </c>
      <c r="AB7" s="818" t="str">
        <f t="shared" ref="AB7:AB19" si="7">IF(W$4,IF(ISTEXT(AF7),IF(ISNUMBER(AA7),AA7+1,AB6+1),IFERROR(1/0)),IF(ISTEXT(AF7),IF(ISNUMBER(Z7),Z7+2,AB6+1),IFERROR(1/0)))</f>
        <v/>
      </c>
      <c r="AC7" s="822"/>
      <c r="AD7" s="822"/>
      <c r="AE7" s="822"/>
      <c r="AF7" s="822"/>
      <c r="AG7" s="822"/>
      <c r="AH7" s="792"/>
      <c r="AI7" s="823"/>
      <c r="AJ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K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L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M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N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O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P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Q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R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S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T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U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V7" s="792"/>
      <c r="AW7" s="795" t="s">
        <v>661</v>
      </c>
      <c r="AX7" s="796" t="str">
        <f t="shared" si="3"/>
        <v/>
      </c>
    </row>
    <row r="8" ht="15.75" customHeight="1">
      <c r="A8" s="775"/>
      <c r="B8" s="779"/>
      <c r="C8" s="779"/>
      <c r="D8" s="779"/>
      <c r="E8" s="779"/>
      <c r="F8" s="779"/>
      <c r="G8" s="779"/>
      <c r="H8" s="780"/>
      <c r="I8" s="780"/>
      <c r="J8" s="813"/>
      <c r="K8" s="813"/>
      <c r="L8" s="813"/>
      <c r="M8" s="813"/>
      <c r="N8" s="813"/>
      <c r="O8" s="801"/>
      <c r="P8" s="775"/>
      <c r="Q8" s="782"/>
      <c r="R8" s="782"/>
      <c r="S8" s="783"/>
      <c r="T8" s="784">
        <f t="shared" si="4"/>
        <v>45716</v>
      </c>
      <c r="U8" s="789"/>
      <c r="V8" s="789"/>
      <c r="W8" s="820"/>
      <c r="X8" s="820"/>
      <c r="Y8" s="789"/>
      <c r="Z8" s="789" t="str">
        <f t="shared" si="5"/>
        <v/>
      </c>
      <c r="AA8" s="789" t="str">
        <f t="shared" si="6"/>
        <v/>
      </c>
      <c r="AB8" s="818" t="str">
        <f t="shared" si="7"/>
        <v/>
      </c>
      <c r="AC8" s="822"/>
      <c r="AD8" s="822"/>
      <c r="AE8" s="822"/>
      <c r="AF8" s="822"/>
      <c r="AG8" s="822"/>
      <c r="AH8" s="792"/>
      <c r="AI8" s="823"/>
      <c r="AJ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K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L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M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N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O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P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Q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R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S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T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U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V8" s="792"/>
      <c r="AW8" s="824" t="s">
        <v>354</v>
      </c>
      <c r="AX8" s="796" t="str">
        <f t="shared" si="3"/>
        <v/>
      </c>
    </row>
    <row r="9" ht="15.75" customHeight="1">
      <c r="A9" s="780"/>
      <c r="B9" s="777"/>
      <c r="C9" s="777"/>
      <c r="D9" s="779"/>
      <c r="E9" s="779"/>
      <c r="F9" s="779"/>
      <c r="G9" s="779"/>
      <c r="H9" s="780"/>
      <c r="I9" s="780"/>
      <c r="J9" s="813"/>
      <c r="K9" s="813"/>
      <c r="L9" s="813"/>
      <c r="M9" s="813"/>
      <c r="N9" s="813"/>
      <c r="O9" s="801"/>
      <c r="P9" s="780"/>
      <c r="Q9" s="825"/>
      <c r="R9" s="825"/>
      <c r="S9" s="783"/>
      <c r="T9" s="784">
        <f t="shared" si="4"/>
        <v>45688</v>
      </c>
      <c r="U9" s="789"/>
      <c r="V9" s="789"/>
      <c r="W9" s="820"/>
      <c r="X9" s="820"/>
      <c r="Y9" s="789"/>
      <c r="Z9" s="789" t="str">
        <f t="shared" si="5"/>
        <v/>
      </c>
      <c r="AA9" s="789" t="str">
        <f t="shared" si="6"/>
        <v/>
      </c>
      <c r="AB9" s="818" t="str">
        <f t="shared" si="7"/>
        <v/>
      </c>
      <c r="AC9" s="820"/>
      <c r="AD9" s="820"/>
      <c r="AE9" s="820"/>
      <c r="AF9" s="820"/>
      <c r="AG9" s="820"/>
      <c r="AH9" s="792"/>
      <c r="AI9" s="823"/>
      <c r="AJ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K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L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M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N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O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P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Q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R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S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T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U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V9" s="792"/>
      <c r="AW9" s="824" t="s">
        <v>656</v>
      </c>
      <c r="AX9" s="796" t="str">
        <f t="shared" si="3"/>
        <v/>
      </c>
    </row>
    <row r="10" ht="15.75" customHeight="1">
      <c r="A10" s="801"/>
      <c r="B10" s="779"/>
      <c r="C10" s="779"/>
      <c r="D10" s="779"/>
      <c r="E10" s="779"/>
      <c r="F10" s="779"/>
      <c r="G10" s="779"/>
      <c r="H10" s="780"/>
      <c r="I10" s="780"/>
      <c r="J10" s="813"/>
      <c r="K10" s="813"/>
      <c r="L10" s="813"/>
      <c r="M10" s="813"/>
      <c r="N10" s="813"/>
      <c r="O10" s="801"/>
      <c r="P10" s="801"/>
      <c r="Q10" s="810"/>
      <c r="R10" s="810"/>
      <c r="S10" s="783"/>
      <c r="T10" s="784">
        <f t="shared" si="4"/>
        <v>45657</v>
      </c>
      <c r="U10" s="789"/>
      <c r="V10" s="789"/>
      <c r="W10" s="820"/>
      <c r="X10" s="820"/>
      <c r="Y10" s="789"/>
      <c r="Z10" s="789" t="str">
        <f t="shared" si="5"/>
        <v/>
      </c>
      <c r="AA10" s="789" t="str">
        <f t="shared" si="6"/>
        <v/>
      </c>
      <c r="AB10" s="818" t="str">
        <f t="shared" si="7"/>
        <v/>
      </c>
      <c r="AC10" s="820"/>
      <c r="AD10" s="820"/>
      <c r="AE10" s="820"/>
      <c r="AF10" s="820"/>
      <c r="AG10" s="820"/>
      <c r="AH10" s="792"/>
      <c r="AI10" s="823"/>
      <c r="AJ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K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L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M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N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O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P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Q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R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S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T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U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V10" s="792"/>
      <c r="AW10" s="824"/>
      <c r="AX10" s="826"/>
    </row>
    <row r="11" ht="15.75" customHeight="1">
      <c r="A11" s="775"/>
      <c r="B11" s="777"/>
      <c r="C11" s="777"/>
      <c r="D11" s="779"/>
      <c r="E11" s="779"/>
      <c r="F11" s="779"/>
      <c r="G11" s="779"/>
      <c r="H11" s="780"/>
      <c r="I11" s="780"/>
      <c r="J11" s="813"/>
      <c r="K11" s="813"/>
      <c r="L11" s="813"/>
      <c r="M11" s="813"/>
      <c r="N11" s="813"/>
      <c r="O11" s="801"/>
      <c r="P11" s="775"/>
      <c r="Q11" s="782"/>
      <c r="R11" s="782"/>
      <c r="S11" s="783"/>
      <c r="T11" s="784">
        <f t="shared" si="4"/>
        <v>45626</v>
      </c>
      <c r="U11" s="789"/>
      <c r="V11" s="789"/>
      <c r="W11" s="820"/>
      <c r="X11" s="820"/>
      <c r="Y11" s="789"/>
      <c r="Z11" s="789" t="str">
        <f t="shared" si="5"/>
        <v/>
      </c>
      <c r="AA11" s="789" t="str">
        <f t="shared" si="6"/>
        <v/>
      </c>
      <c r="AB11" s="818" t="str">
        <f t="shared" si="7"/>
        <v/>
      </c>
      <c r="AC11" s="822"/>
      <c r="AD11" s="822"/>
      <c r="AE11" s="822"/>
      <c r="AF11" s="822"/>
      <c r="AG11" s="822"/>
      <c r="AH11" s="792"/>
      <c r="AI11" s="823"/>
      <c r="AJ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K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L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M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N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O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P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Q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R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S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T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U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V11" s="792"/>
      <c r="AW11" s="827" t="s">
        <v>662</v>
      </c>
    </row>
    <row r="12" ht="15.75" customHeight="1">
      <c r="A12" s="828"/>
      <c r="B12" s="779"/>
      <c r="C12" s="779"/>
      <c r="D12" s="779"/>
      <c r="E12" s="779"/>
      <c r="F12" s="779"/>
      <c r="G12" s="779"/>
      <c r="H12" s="780"/>
      <c r="I12" s="780"/>
      <c r="J12" s="813"/>
      <c r="K12" s="813"/>
      <c r="L12" s="813"/>
      <c r="M12" s="813"/>
      <c r="N12" s="813"/>
      <c r="O12" s="801"/>
      <c r="P12" s="828"/>
      <c r="Q12" s="829"/>
      <c r="R12" s="829"/>
      <c r="S12" s="783"/>
      <c r="T12" s="784">
        <f t="shared" si="4"/>
        <v>45596</v>
      </c>
      <c r="U12" s="789"/>
      <c r="V12" s="789"/>
      <c r="W12" s="820"/>
      <c r="X12" s="820"/>
      <c r="Y12" s="789"/>
      <c r="Z12" s="789" t="str">
        <f t="shared" si="5"/>
        <v/>
      </c>
      <c r="AA12" s="789" t="str">
        <f t="shared" si="6"/>
        <v/>
      </c>
      <c r="AB12" s="818" t="str">
        <f t="shared" si="7"/>
        <v/>
      </c>
      <c r="AC12" s="820"/>
      <c r="AD12" s="820"/>
      <c r="AE12" s="820"/>
      <c r="AF12" s="820"/>
      <c r="AG12" s="820"/>
      <c r="AH12" s="792"/>
      <c r="AI12" s="823"/>
      <c r="AJ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K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L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M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N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O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P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Q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R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S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T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U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V12" s="792"/>
      <c r="AW12" s="795" t="s">
        <v>660</v>
      </c>
      <c r="AX12" s="796" t="str">
        <f t="shared" ref="AX12:AX19" si="8">SUBSTITUTE(ADDRESS(1,MATCH($AW12, Accounts!$F$1:$Q$1,0)+code("F")-code("A"),4),1,"")</f>
        <v>#REF!</v>
      </c>
    </row>
    <row r="13" ht="15.75" customHeight="1">
      <c r="A13" s="830"/>
      <c r="B13" s="777"/>
      <c r="C13" s="777"/>
      <c r="D13" s="779"/>
      <c r="E13" s="779"/>
      <c r="F13" s="779"/>
      <c r="G13" s="779"/>
      <c r="H13" s="780"/>
      <c r="I13" s="780"/>
      <c r="J13" s="813"/>
      <c r="K13" s="813"/>
      <c r="L13" s="813"/>
      <c r="M13" s="813"/>
      <c r="N13" s="813"/>
      <c r="O13" s="801"/>
      <c r="P13" s="830"/>
      <c r="Q13" s="831"/>
      <c r="R13" s="831"/>
      <c r="S13" s="783"/>
      <c r="T13" s="784">
        <f t="shared" si="4"/>
        <v>45565</v>
      </c>
      <c r="U13" s="789"/>
      <c r="V13" s="789"/>
      <c r="W13" s="820"/>
      <c r="X13" s="820"/>
      <c r="Y13" s="789"/>
      <c r="Z13" s="789" t="str">
        <f t="shared" si="5"/>
        <v/>
      </c>
      <c r="AA13" s="789" t="str">
        <f t="shared" si="6"/>
        <v/>
      </c>
      <c r="AB13" s="818" t="str">
        <f t="shared" si="7"/>
        <v/>
      </c>
      <c r="AC13" s="822"/>
      <c r="AD13" s="822"/>
      <c r="AE13" s="822"/>
      <c r="AF13" s="822"/>
      <c r="AG13" s="822"/>
      <c r="AH13" s="792"/>
      <c r="AI13" s="823"/>
      <c r="AJ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K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L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M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N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O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P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Q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R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S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T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U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V13" s="792"/>
      <c r="AW13" s="795" t="s">
        <v>395</v>
      </c>
      <c r="AX13" s="796" t="str">
        <f t="shared" si="8"/>
        <v>#REF!</v>
      </c>
    </row>
    <row r="14" ht="15.75" customHeight="1">
      <c r="A14" s="775"/>
      <c r="B14" s="777"/>
      <c r="C14" s="777"/>
      <c r="D14" s="779"/>
      <c r="E14" s="779"/>
      <c r="F14" s="779"/>
      <c r="G14" s="779"/>
      <c r="H14" s="780"/>
      <c r="I14" s="780"/>
      <c r="J14" s="813"/>
      <c r="K14" s="813"/>
      <c r="L14" s="813"/>
      <c r="M14" s="813"/>
      <c r="N14" s="813"/>
      <c r="O14" s="801"/>
      <c r="P14" s="775"/>
      <c r="Q14" s="782"/>
      <c r="R14" s="782"/>
      <c r="S14" s="783"/>
      <c r="T14" s="784">
        <f t="shared" si="4"/>
        <v>45535</v>
      </c>
      <c r="U14" s="789"/>
      <c r="V14" s="789"/>
      <c r="W14" s="820"/>
      <c r="X14" s="820"/>
      <c r="Y14" s="789"/>
      <c r="Z14" s="789" t="str">
        <f t="shared" si="5"/>
        <v/>
      </c>
      <c r="AA14" s="789" t="str">
        <f t="shared" si="6"/>
        <v/>
      </c>
      <c r="AB14" s="818" t="str">
        <f t="shared" si="7"/>
        <v/>
      </c>
      <c r="AC14" s="820"/>
      <c r="AD14" s="820"/>
      <c r="AE14" s="820"/>
      <c r="AF14" s="820"/>
      <c r="AG14" s="820"/>
      <c r="AH14" s="792"/>
      <c r="AI14" s="823"/>
      <c r="AJ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K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L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M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N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O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P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Q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R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S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T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U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V14" s="792"/>
      <c r="AW14" s="795" t="s">
        <v>658</v>
      </c>
      <c r="AX14" s="796" t="str">
        <f t="shared" si="8"/>
        <v>#REF!</v>
      </c>
    </row>
    <row r="15" ht="15.75" customHeight="1">
      <c r="A15" s="775"/>
      <c r="B15" s="777"/>
      <c r="C15" s="777"/>
      <c r="D15" s="777"/>
      <c r="E15" s="777"/>
      <c r="F15" s="777"/>
      <c r="G15" s="777"/>
      <c r="H15" s="777"/>
      <c r="I15" s="777"/>
      <c r="J15" s="777"/>
      <c r="K15" s="777"/>
      <c r="L15" s="777"/>
      <c r="M15" s="777"/>
      <c r="N15" s="777"/>
      <c r="O15" s="777"/>
      <c r="P15" s="775"/>
      <c r="Q15" s="782"/>
      <c r="R15" s="782"/>
      <c r="S15" s="783"/>
      <c r="T15" s="784">
        <f t="shared" si="4"/>
        <v>45504</v>
      </c>
      <c r="U15" s="789"/>
      <c r="V15" s="789"/>
      <c r="W15" s="820"/>
      <c r="X15" s="820"/>
      <c r="Y15" s="789"/>
      <c r="Z15" s="789" t="str">
        <f t="shared" si="5"/>
        <v/>
      </c>
      <c r="AA15" s="789" t="str">
        <f t="shared" si="6"/>
        <v/>
      </c>
      <c r="AB15" s="818" t="str">
        <f t="shared" si="7"/>
        <v/>
      </c>
      <c r="AC15" s="820"/>
      <c r="AD15" s="820"/>
      <c r="AE15" s="820"/>
      <c r="AF15" s="820"/>
      <c r="AG15" s="820"/>
      <c r="AH15" s="792"/>
      <c r="AI15" s="823"/>
      <c r="AJ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K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L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M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N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O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P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Q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R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S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T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U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V15" s="792"/>
      <c r="AW15" s="795" t="s">
        <v>663</v>
      </c>
      <c r="AX15" s="796" t="str">
        <f t="shared" si="8"/>
        <v>#REF!</v>
      </c>
    </row>
    <row r="16" ht="15.75" customHeight="1">
      <c r="A16" s="775"/>
      <c r="B16" s="779"/>
      <c r="C16" s="779"/>
      <c r="D16" s="832"/>
      <c r="E16" s="832"/>
      <c r="F16" s="779"/>
      <c r="G16" s="779"/>
      <c r="H16" s="780"/>
      <c r="I16" s="780"/>
      <c r="J16" s="813"/>
      <c r="K16" s="813"/>
      <c r="L16" s="813"/>
      <c r="M16" s="813"/>
      <c r="N16" s="813"/>
      <c r="O16" s="801"/>
      <c r="P16" s="775"/>
      <c r="Q16" s="782"/>
      <c r="R16" s="782"/>
      <c r="S16" s="783"/>
      <c r="T16" s="784">
        <f t="shared" si="4"/>
        <v>45473</v>
      </c>
      <c r="U16" s="789"/>
      <c r="V16" s="789"/>
      <c r="W16" s="820"/>
      <c r="X16" s="820"/>
      <c r="Y16" s="789"/>
      <c r="Z16" s="789" t="str">
        <f t="shared" si="5"/>
        <v/>
      </c>
      <c r="AA16" s="789" t="str">
        <f t="shared" si="6"/>
        <v/>
      </c>
      <c r="AB16" s="818" t="str">
        <f t="shared" si="7"/>
        <v/>
      </c>
      <c r="AC16" s="820"/>
      <c r="AD16" s="820"/>
      <c r="AE16" s="820"/>
      <c r="AF16" s="820"/>
      <c r="AG16" s="820"/>
      <c r="AH16" s="792"/>
      <c r="AI16" s="823"/>
      <c r="AJ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K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L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M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N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O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P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Q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R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S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T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U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V16" s="792"/>
      <c r="AW16" s="795" t="s">
        <v>664</v>
      </c>
      <c r="AX16" s="796" t="str">
        <f t="shared" si="8"/>
        <v>#REF!</v>
      </c>
    </row>
    <row r="17" ht="15.75" customHeight="1">
      <c r="A17" s="775"/>
      <c r="B17" s="833"/>
      <c r="C17" s="833"/>
      <c r="D17" s="834"/>
      <c r="E17" s="835"/>
      <c r="F17" s="835"/>
      <c r="G17" s="835"/>
      <c r="H17" s="835"/>
      <c r="I17" s="835"/>
      <c r="J17" s="835"/>
      <c r="K17" s="835"/>
      <c r="L17" s="835"/>
      <c r="M17" s="835"/>
      <c r="N17" s="835"/>
      <c r="O17" s="834"/>
      <c r="P17" s="775"/>
      <c r="Q17" s="782"/>
      <c r="R17" s="782"/>
      <c r="S17" s="783"/>
      <c r="T17" s="784">
        <f t="shared" si="4"/>
        <v>45443</v>
      </c>
      <c r="U17" s="789"/>
      <c r="V17" s="789"/>
      <c r="W17" s="820"/>
      <c r="X17" s="820"/>
      <c r="Y17" s="789"/>
      <c r="Z17" s="789" t="str">
        <f t="shared" si="5"/>
        <v/>
      </c>
      <c r="AA17" s="789" t="str">
        <f t="shared" si="6"/>
        <v/>
      </c>
      <c r="AB17" s="818" t="str">
        <f t="shared" si="7"/>
        <v/>
      </c>
      <c r="AC17" s="820"/>
      <c r="AD17" s="820"/>
      <c r="AE17" s="820"/>
      <c r="AF17" s="820"/>
      <c r="AG17" s="820"/>
      <c r="AH17" s="792"/>
      <c r="AI17" s="823"/>
      <c r="AJ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K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L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M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N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O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P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Q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R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S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T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U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V17" s="792"/>
      <c r="AW17" s="795" t="s">
        <v>661</v>
      </c>
      <c r="AX17" s="796" t="str">
        <f t="shared" si="8"/>
        <v>#REF!</v>
      </c>
    </row>
    <row r="18" ht="15.75" customHeight="1">
      <c r="A18" s="775"/>
      <c r="B18" s="836"/>
      <c r="C18" s="836"/>
      <c r="D18" s="775"/>
      <c r="E18" s="775"/>
      <c r="F18" s="775"/>
      <c r="G18" s="801"/>
      <c r="H18" s="801"/>
      <c r="I18" s="801"/>
      <c r="J18" s="801"/>
      <c r="K18" s="801"/>
      <c r="L18" s="801"/>
      <c r="M18" s="801"/>
      <c r="N18" s="801"/>
      <c r="O18" s="801"/>
      <c r="P18" s="775"/>
      <c r="Q18" s="782"/>
      <c r="R18" s="782"/>
      <c r="S18" s="783"/>
      <c r="T18" s="784">
        <f t="shared" si="4"/>
        <v>45412</v>
      </c>
      <c r="U18" s="789"/>
      <c r="V18" s="789"/>
      <c r="W18" s="820"/>
      <c r="X18" s="820"/>
      <c r="Y18" s="789"/>
      <c r="Z18" s="789" t="str">
        <f t="shared" si="5"/>
        <v/>
      </c>
      <c r="AA18" s="789" t="str">
        <f t="shared" si="6"/>
        <v/>
      </c>
      <c r="AB18" s="818" t="str">
        <f t="shared" si="7"/>
        <v/>
      </c>
      <c r="AC18" s="820"/>
      <c r="AD18" s="820"/>
      <c r="AE18" s="820"/>
      <c r="AF18" s="820"/>
      <c r="AG18" s="820"/>
      <c r="AH18" s="792"/>
      <c r="AI18" s="823"/>
      <c r="AJ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K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L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M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N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O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P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Q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R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S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T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U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V18" s="792"/>
      <c r="AW18" s="795" t="s">
        <v>354</v>
      </c>
      <c r="AX18" s="796" t="str">
        <f t="shared" si="8"/>
        <v>#REF!</v>
      </c>
    </row>
    <row r="19" ht="15.75" customHeight="1">
      <c r="A19" s="775"/>
      <c r="B19" s="837" t="s">
        <v>665</v>
      </c>
      <c r="C19" s="837"/>
      <c r="D19" s="838">
        <v>44562.0</v>
      </c>
      <c r="E19" s="838">
        <v>44593.0</v>
      </c>
      <c r="F19" s="838">
        <v>44621.0</v>
      </c>
      <c r="G19" s="838">
        <v>44652.0</v>
      </c>
      <c r="H19" s="839">
        <v>44682.0</v>
      </c>
      <c r="I19" s="839">
        <v>44713.0</v>
      </c>
      <c r="J19" s="839">
        <v>44743.0</v>
      </c>
      <c r="K19" s="839">
        <v>44774.0</v>
      </c>
      <c r="L19" s="839">
        <v>44835.0</v>
      </c>
      <c r="M19" s="839">
        <v>44866.0</v>
      </c>
      <c r="N19" s="840"/>
      <c r="O19" s="840"/>
      <c r="P19" s="775"/>
      <c r="Q19" s="782"/>
      <c r="R19" s="782"/>
      <c r="S19" s="783"/>
      <c r="T19" s="788"/>
      <c r="U19" s="789"/>
      <c r="V19" s="789"/>
      <c r="W19" s="820"/>
      <c r="X19" s="820"/>
      <c r="Y19" s="789"/>
      <c r="Z19" s="789" t="str">
        <f t="shared" si="5"/>
        <v/>
      </c>
      <c r="AA19" s="789" t="str">
        <f t="shared" si="6"/>
        <v/>
      </c>
      <c r="AB19" s="818" t="str">
        <f t="shared" si="7"/>
        <v/>
      </c>
      <c r="AC19" s="820"/>
      <c r="AD19" s="820"/>
      <c r="AE19" s="820"/>
      <c r="AF19" s="820"/>
      <c r="AG19" s="820"/>
      <c r="AH19" s="792"/>
      <c r="AI19" s="823"/>
      <c r="AJ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K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L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M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N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O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P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Q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R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S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T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U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V19" s="792"/>
      <c r="AW19" s="795" t="s">
        <v>666</v>
      </c>
      <c r="AX19" s="796" t="str">
        <f t="shared" si="8"/>
        <v>#REF!</v>
      </c>
    </row>
    <row r="20" ht="15.75" customHeight="1">
      <c r="A20" s="775"/>
      <c r="B20" s="841" t="s">
        <v>667</v>
      </c>
      <c r="C20" s="841"/>
      <c r="D20" s="842">
        <f t="shared" ref="D20:K20" si="9">sum(D25:D49)-sum(D54:D64)</f>
        <v>627362</v>
      </c>
      <c r="E20" s="842">
        <f t="shared" si="9"/>
        <v>617639</v>
      </c>
      <c r="F20" s="842">
        <f t="shared" si="9"/>
        <v>619116</v>
      </c>
      <c r="G20" s="842">
        <f t="shared" si="9"/>
        <v>620593</v>
      </c>
      <c r="H20" s="842">
        <f t="shared" si="9"/>
        <v>622070</v>
      </c>
      <c r="I20" s="842">
        <f t="shared" si="9"/>
        <v>623547</v>
      </c>
      <c r="J20" s="842">
        <f t="shared" si="9"/>
        <v>625024</v>
      </c>
      <c r="K20" s="842">
        <f t="shared" si="9"/>
        <v>630298</v>
      </c>
      <c r="L20" s="842"/>
      <c r="M20" s="842"/>
      <c r="N20" s="843"/>
      <c r="O20" s="843"/>
      <c r="P20" s="775"/>
      <c r="Q20" s="782"/>
      <c r="R20" s="782"/>
      <c r="S20" s="783"/>
      <c r="T20" s="844"/>
      <c r="U20" s="789"/>
      <c r="V20" s="789"/>
      <c r="W20" s="820"/>
      <c r="X20" s="820"/>
      <c r="Y20" s="789"/>
      <c r="Z20" s="789"/>
      <c r="AA20" s="789"/>
      <c r="AB20" s="818"/>
      <c r="AC20" s="820"/>
      <c r="AD20" s="820"/>
      <c r="AE20" s="820"/>
      <c r="AF20" s="820"/>
      <c r="AG20" s="820"/>
      <c r="AH20" s="792"/>
      <c r="AI20" s="823"/>
      <c r="AJ20" s="819"/>
      <c r="AK20" s="819"/>
      <c r="AL20" s="819"/>
      <c r="AM20" s="819"/>
      <c r="AN20" s="819"/>
      <c r="AO20" s="819"/>
      <c r="AP20" s="819"/>
      <c r="AQ20" s="819"/>
      <c r="AR20" s="819"/>
      <c r="AS20" s="819"/>
      <c r="AT20" s="819"/>
      <c r="AU20" s="819"/>
      <c r="AV20" s="792"/>
      <c r="AW20" s="795"/>
      <c r="AX20" s="796"/>
    </row>
    <row r="21" ht="15.75" customHeight="1">
      <c r="A21" s="775"/>
      <c r="B21" s="841" t="s">
        <v>668</v>
      </c>
      <c r="C21" s="841"/>
      <c r="D21" s="845"/>
      <c r="E21" s="843" t="str">
        <f t="shared" ref="E21:O21" si="10">if(and(isdate(E$17),today()&gt;=D17),iferror((E19-D19)/ABS(D19),if(and(E19=0,D19=0),"-","∞")),IFERROR(1/0))</f>
        <v/>
      </c>
      <c r="F21" s="843" t="str">
        <f t="shared" si="10"/>
        <v/>
      </c>
      <c r="G21" s="843" t="str">
        <f t="shared" si="10"/>
        <v/>
      </c>
      <c r="H21" s="843" t="str">
        <f t="shared" si="10"/>
        <v/>
      </c>
      <c r="I21" s="843" t="str">
        <f t="shared" si="10"/>
        <v/>
      </c>
      <c r="J21" s="843" t="str">
        <f t="shared" si="10"/>
        <v/>
      </c>
      <c r="K21" s="843" t="str">
        <f t="shared" si="10"/>
        <v/>
      </c>
      <c r="L21" s="843" t="str">
        <f t="shared" si="10"/>
        <v/>
      </c>
      <c r="M21" s="843" t="str">
        <f t="shared" si="10"/>
        <v/>
      </c>
      <c r="N21" s="843" t="str">
        <f t="shared" si="10"/>
        <v/>
      </c>
      <c r="O21" s="843" t="str">
        <f t="shared" si="10"/>
        <v/>
      </c>
      <c r="P21" s="775"/>
      <c r="Q21" s="782"/>
      <c r="R21" s="782"/>
      <c r="S21" s="783"/>
      <c r="T21" s="844"/>
      <c r="U21" s="789"/>
      <c r="V21" s="789"/>
      <c r="W21" s="820"/>
      <c r="X21" s="820"/>
      <c r="Y21" s="789"/>
      <c r="Z21" s="789" t="str">
        <f>IF(W21,AB19+2,IFERROR(1/0))</f>
        <v/>
      </c>
      <c r="AA21" s="789" t="str">
        <f>IF(W$4,IF(X21,IF(ISBLANK(Z21),AB19+1+$W$1,Z21+2),IFERROR(1/0)),IFERROR(1/0))</f>
        <v/>
      </c>
      <c r="AB21" s="818" t="str">
        <f>IF(W$4,IF(ISTEXT(AF21),IF(ISNUMBER(AA21),AA21+1,AB19+1),IFERROR(1/0)),IF(ISTEXT(AF21),IF(ISNUMBER(Z21),Z21+2,AB19+1),IFERROR(1/0)))</f>
        <v/>
      </c>
      <c r="AC21" s="820"/>
      <c r="AD21" s="820"/>
      <c r="AE21" s="820"/>
      <c r="AF21" s="820"/>
      <c r="AG21" s="820"/>
      <c r="AH21" s="792"/>
      <c r="AI21" s="823"/>
      <c r="AJ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K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L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M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N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O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P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Q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R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S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T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U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V21" s="792"/>
      <c r="AW21" s="795" t="s">
        <v>656</v>
      </c>
      <c r="AX21" s="796" t="str">
        <f t="shared" ref="AX21:AX23" si="11">SUBSTITUTE(ADDRESS(1,MATCH($AW21, Accounts!$F$1:$Q$1,0)+code("F")-code("A"),4),1,"")</f>
        <v>#REF!</v>
      </c>
    </row>
    <row r="22" ht="15.75" customHeight="1">
      <c r="A22" s="775"/>
      <c r="B22" s="846" t="s">
        <v>669</v>
      </c>
      <c r="C22" s="847"/>
      <c r="D22" s="848"/>
      <c r="E22" s="848"/>
      <c r="F22" s="848"/>
      <c r="G22" s="848"/>
      <c r="H22" s="848"/>
      <c r="I22" s="848"/>
      <c r="J22" s="848"/>
      <c r="K22" s="848"/>
      <c r="L22" s="848"/>
      <c r="M22" s="848"/>
      <c r="N22" s="848"/>
      <c r="O22" s="848"/>
      <c r="P22" s="775"/>
      <c r="Q22" s="849" t="s">
        <v>670</v>
      </c>
      <c r="R22" s="850" t="s">
        <v>671</v>
      </c>
      <c r="S22" s="783"/>
      <c r="T22" s="844"/>
      <c r="U22" s="789"/>
      <c r="V22" s="789"/>
      <c r="W22" s="820"/>
      <c r="X22" s="820"/>
      <c r="Y22" s="789"/>
      <c r="Z22" s="789" t="str">
        <f t="shared" ref="Z22:Z23" si="12">IF(W22,AB21+2,IFERROR(1/0))</f>
        <v/>
      </c>
      <c r="AA22" s="789" t="str">
        <f t="shared" ref="AA22:AA23" si="13">IF(W$4,IF(X22,IF(ISBLANK(Z22),AB21+1+$W$1,Z22+2),IFERROR(1/0)),IFERROR(1/0))</f>
        <v/>
      </c>
      <c r="AB22" s="818" t="str">
        <f t="shared" ref="AB22:AB23" si="14">IF(W$4,IF(ISTEXT(AF22),IF(ISNUMBER(AA22),AA22+1,AB21+1),IFERROR(1/0)),IF(ISTEXT(AF22),IF(ISNUMBER(Z22),Z22+2,AB21+1),IFERROR(1/0)))</f>
        <v/>
      </c>
      <c r="AC22" s="820"/>
      <c r="AD22" s="820"/>
      <c r="AE22" s="820"/>
      <c r="AF22" s="820"/>
      <c r="AG22" s="820"/>
      <c r="AH22" s="792"/>
      <c r="AI22" s="823"/>
      <c r="AJ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K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L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M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N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O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P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Q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R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S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T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U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V22" s="792"/>
      <c r="AW22" s="795" t="s">
        <v>672</v>
      </c>
      <c r="AX22" s="796" t="str">
        <f t="shared" si="11"/>
        <v>#REF!</v>
      </c>
    </row>
    <row r="23" ht="15.75" customHeight="1">
      <c r="A23" s="775"/>
      <c r="B23" s="841" t="s">
        <v>673</v>
      </c>
      <c r="C23" s="851"/>
      <c r="D23" s="852"/>
      <c r="E23" s="852"/>
      <c r="F23" s="852"/>
      <c r="G23" s="852"/>
      <c r="H23" s="852"/>
      <c r="I23" s="852"/>
      <c r="J23" s="852"/>
      <c r="K23" s="852"/>
      <c r="L23" s="852"/>
      <c r="M23" s="852"/>
      <c r="N23" s="852"/>
      <c r="O23" s="852"/>
      <c r="P23" s="775"/>
      <c r="Q23" s="782" t="str">
        <f t="array" ref="Q23:Q72">IF(ISTEXT(VLOOKUP(row(A23:A72)-Row(A$23), {AB6:AB72,AC6:AC72},2, FALSE)),"Account",
               IF(ISTEXT(VLOOKUP(row(A23:A72)-Row(A$23), {AA6:AA72,AD6:AD72},2, FALSE)),#REF!,
               IF(ISTEXT(VLOOKUP(row(A23:A72)-Row(A$23), {Z6:Z72,AF6:AF72},2, FALSE)),"Class",
iferror(1/0))))</f>
        <v/>
      </c>
      <c r="R23" s="853" t="str">
        <f>IF(Q23="Class",IF(B23="Asset",3,4),IF(Q23="Account",MATCH(B23,AI$6:AI72,0)+6,IFERROR(1/0)))</f>
        <v/>
      </c>
      <c r="S23" s="783"/>
      <c r="T23" s="844"/>
      <c r="U23" s="789"/>
      <c r="V23" s="789"/>
      <c r="W23" s="820"/>
      <c r="X23" s="820"/>
      <c r="Y23" s="789"/>
      <c r="Z23" s="789" t="str">
        <f t="shared" si="12"/>
        <v/>
      </c>
      <c r="AA23" s="789" t="str">
        <f t="shared" si="13"/>
        <v/>
      </c>
      <c r="AB23" s="818" t="str">
        <f t="shared" si="14"/>
        <v/>
      </c>
      <c r="AC23" s="820"/>
      <c r="AD23" s="820"/>
      <c r="AE23" s="820"/>
      <c r="AF23" s="820"/>
      <c r="AG23" s="820"/>
      <c r="AH23" s="792"/>
      <c r="AI23" s="823"/>
      <c r="AJ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K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L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M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N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O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P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Q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R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S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T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U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V23" s="792"/>
      <c r="AW23" s="795" t="s">
        <v>674</v>
      </c>
      <c r="AX23" s="796" t="str">
        <f t="shared" si="11"/>
        <v>#REF!</v>
      </c>
    </row>
    <row r="24" ht="15.75" customHeight="1">
      <c r="A24" s="775"/>
      <c r="B24" s="854"/>
      <c r="C24" s="851"/>
      <c r="D24" s="852"/>
      <c r="E24" s="852"/>
      <c r="F24" s="852"/>
      <c r="G24" s="852"/>
      <c r="H24" s="852"/>
      <c r="I24" s="852"/>
      <c r="J24" s="852"/>
      <c r="K24" s="852"/>
      <c r="L24" s="852"/>
      <c r="M24" s="852"/>
      <c r="N24" s="852"/>
      <c r="O24" s="852"/>
      <c r="P24" s="775"/>
      <c r="Q24" s="782"/>
      <c r="R24" s="853"/>
      <c r="S24" s="783"/>
      <c r="T24" s="844"/>
      <c r="U24" s="789"/>
      <c r="V24" s="789"/>
      <c r="W24" s="820"/>
      <c r="X24" s="820"/>
      <c r="Y24" s="789"/>
      <c r="Z24" s="789"/>
      <c r="AA24" s="789"/>
      <c r="AB24" s="818"/>
      <c r="AC24" s="820"/>
      <c r="AD24" s="820"/>
      <c r="AE24" s="820"/>
      <c r="AF24" s="820"/>
      <c r="AG24" s="820"/>
      <c r="AH24" s="792"/>
      <c r="AI24" s="823"/>
      <c r="AJ24" s="819"/>
      <c r="AK24" s="819"/>
      <c r="AL24" s="819"/>
      <c r="AM24" s="819"/>
      <c r="AN24" s="819"/>
      <c r="AO24" s="819"/>
      <c r="AP24" s="819"/>
      <c r="AQ24" s="819"/>
      <c r="AR24" s="819"/>
      <c r="AS24" s="819"/>
      <c r="AT24" s="819"/>
      <c r="AU24" s="819"/>
      <c r="AV24" s="792"/>
      <c r="AW24" s="795"/>
      <c r="AX24" s="796"/>
    </row>
    <row r="25" ht="15.75" customHeight="1">
      <c r="A25" s="855"/>
      <c r="B25" s="841" t="s">
        <v>675</v>
      </c>
      <c r="C25" s="851"/>
      <c r="D25" s="852"/>
      <c r="E25" s="852"/>
      <c r="F25" s="852"/>
      <c r="G25" s="852"/>
      <c r="H25" s="852"/>
      <c r="I25" s="852"/>
      <c r="J25" s="852"/>
      <c r="K25" s="852"/>
      <c r="L25" s="852"/>
      <c r="M25" s="852"/>
      <c r="N25" s="852"/>
      <c r="O25" s="852"/>
      <c r="P25" s="775"/>
      <c r="Q25" s="782"/>
      <c r="R25" s="853" t="str">
        <f t="shared" ref="R25:R27" si="15">IF(Q25="Class",IF(B25="Asset",3,4),IF(Q25="Account",MATCH(B25,AI$6:AI72,0)+6,IFERROR(1/0)))</f>
        <v/>
      </c>
      <c r="S25" s="783"/>
      <c r="T25" s="844"/>
      <c r="U25" s="789"/>
      <c r="V25" s="789"/>
      <c r="W25" s="820"/>
      <c r="X25" s="820"/>
      <c r="Y25" s="789"/>
      <c r="Z25" s="789" t="str">
        <f>IF(W25,AB23+2,IFERROR(1/0))</f>
        <v/>
      </c>
      <c r="AA25" s="789" t="str">
        <f>IF(W$4,IF(X25,IF(ISBLANK(Z25),AB23+1+$W$1,Z25+2),IFERROR(1/0)),IFERROR(1/0))</f>
        <v/>
      </c>
      <c r="AB25" s="818" t="str">
        <f>IF(W$4,IF(ISTEXT(AF25),IF(ISNUMBER(AA25),AA25+1,AB23+1),IFERROR(1/0)),IF(ISTEXT(AF25),IF(ISNUMBER(Z25),Z25+2,AB23+1),IFERROR(1/0)))</f>
        <v/>
      </c>
      <c r="AC25" s="820"/>
      <c r="AD25" s="820"/>
      <c r="AE25" s="820"/>
      <c r="AF25" s="820"/>
      <c r="AG25" s="820"/>
      <c r="AH25" s="792"/>
      <c r="AI25" s="823"/>
      <c r="AJ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K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L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M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N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O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P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Q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R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S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T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U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V25" s="792"/>
      <c r="AW25" s="856" t="s">
        <v>676</v>
      </c>
      <c r="AX25" s="824" t="str">
        <f t="array" ref="AX25">"'"&amp;AW11&amp;"'!$"&amp;index(sort(AX12:AX23,1,true),1)&amp;"$2:$"&amp;index(sort(AX12:AX23,1,false),1)</f>
        <v>#REF!</v>
      </c>
    </row>
    <row r="26" ht="15.75" customHeight="1">
      <c r="A26" s="855"/>
      <c r="B26" s="841" t="s">
        <v>677</v>
      </c>
      <c r="C26" s="851"/>
      <c r="D26" s="857">
        <v>10000.0</v>
      </c>
      <c r="E26" s="857">
        <v>10000.0</v>
      </c>
      <c r="F26" s="857">
        <v>10000.0</v>
      </c>
      <c r="G26" s="857">
        <v>10000.0</v>
      </c>
      <c r="H26" s="857">
        <v>10000.0</v>
      </c>
      <c r="I26" s="857">
        <v>10000.0</v>
      </c>
      <c r="J26" s="857">
        <v>10000.0</v>
      </c>
      <c r="K26" s="857">
        <v>10000.0</v>
      </c>
      <c r="L26" s="852"/>
      <c r="M26" s="852"/>
      <c r="N26" s="852"/>
      <c r="O26" s="852"/>
      <c r="P26" s="775"/>
      <c r="Q26" s="782"/>
      <c r="R26" s="853" t="str">
        <f t="shared" si="15"/>
        <v/>
      </c>
      <c r="S26" s="783"/>
      <c r="T26" s="844"/>
      <c r="U26" s="789"/>
      <c r="V26" s="789"/>
      <c r="W26" s="820"/>
      <c r="X26" s="820"/>
      <c r="Y26" s="789"/>
      <c r="Z26" s="789" t="str">
        <f t="shared" ref="Z26:Z27" si="17">IF(W26,AB25+2,IFERROR(1/0))</f>
        <v/>
      </c>
      <c r="AA26" s="789" t="str">
        <f t="shared" ref="AA26:AA27" si="18">IF(W$4,IF(X26,IF(ISBLANK(Z26),AB25+1+$W$1,Z26+2),IFERROR(1/0)),IFERROR(1/0))</f>
        <v/>
      </c>
      <c r="AB26" s="818" t="str">
        <f t="shared" ref="AB26:AB27" si="19">IF(W$4,IF(ISTEXT(AF26),IF(ISNUMBER(AA26),AA26+1,AB25+1),IFERROR(1/0)),IF(ISTEXT(AF26),IF(ISNUMBER(Z26),Z26+2,AB25+1),IFERROR(1/0)))</f>
        <v/>
      </c>
      <c r="AC26" s="820"/>
      <c r="AD26" s="820"/>
      <c r="AE26" s="820"/>
      <c r="AF26" s="820"/>
      <c r="AG26" s="820"/>
      <c r="AH26" s="792"/>
      <c r="AI26" s="823"/>
      <c r="AJ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K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L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M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N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O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P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Q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R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S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T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U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V26" s="792"/>
      <c r="AW26" s="788"/>
      <c r="AX26" s="788"/>
    </row>
    <row r="27" ht="15.75" customHeight="1">
      <c r="A27" s="855"/>
      <c r="B27" s="841" t="s">
        <v>678</v>
      </c>
      <c r="C27" s="854"/>
      <c r="D27" s="857">
        <v>1200.0</v>
      </c>
      <c r="E27" s="857">
        <f t="shared" ref="E27:K27" si="16">D27+1000</f>
        <v>2200</v>
      </c>
      <c r="F27" s="857">
        <f t="shared" si="16"/>
        <v>3200</v>
      </c>
      <c r="G27" s="857">
        <f t="shared" si="16"/>
        <v>4200</v>
      </c>
      <c r="H27" s="857">
        <f t="shared" si="16"/>
        <v>5200</v>
      </c>
      <c r="I27" s="857">
        <f t="shared" si="16"/>
        <v>6200</v>
      </c>
      <c r="J27" s="857">
        <f t="shared" si="16"/>
        <v>7200</v>
      </c>
      <c r="K27" s="857">
        <f t="shared" si="16"/>
        <v>8200</v>
      </c>
      <c r="L27" s="852"/>
      <c r="M27" s="852"/>
      <c r="N27" s="852"/>
      <c r="O27" s="852"/>
      <c r="P27" s="775"/>
      <c r="Q27" s="782"/>
      <c r="R27" s="853" t="str">
        <f t="shared" si="15"/>
        <v/>
      </c>
      <c r="S27" s="783"/>
      <c r="T27" s="844"/>
      <c r="U27" s="789"/>
      <c r="V27" s="789"/>
      <c r="W27" s="820"/>
      <c r="X27" s="820"/>
      <c r="Y27" s="789"/>
      <c r="Z27" s="789" t="str">
        <f t="shared" si="17"/>
        <v/>
      </c>
      <c r="AA27" s="789" t="str">
        <f t="shared" si="18"/>
        <v/>
      </c>
      <c r="AB27" s="818" t="str">
        <f t="shared" si="19"/>
        <v/>
      </c>
      <c r="AC27" s="820"/>
      <c r="AD27" s="820"/>
      <c r="AE27" s="820"/>
      <c r="AF27" s="820"/>
      <c r="AG27" s="820"/>
      <c r="AH27" s="792"/>
      <c r="AI27" s="823"/>
      <c r="AJ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K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L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M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N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O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P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Q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R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S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T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U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V27" s="792"/>
      <c r="AW27" s="788"/>
      <c r="AX27" s="788"/>
    </row>
    <row r="28" ht="15.75" customHeight="1">
      <c r="A28" s="855"/>
      <c r="B28" s="841" t="s">
        <v>679</v>
      </c>
      <c r="C28" s="854"/>
      <c r="D28" s="857">
        <v>1200.0</v>
      </c>
      <c r="E28" s="857">
        <v>200.0</v>
      </c>
      <c r="F28" s="857">
        <f t="shared" ref="F28:K28" si="20">E28+200</f>
        <v>400</v>
      </c>
      <c r="G28" s="857">
        <f t="shared" si="20"/>
        <v>600</v>
      </c>
      <c r="H28" s="857">
        <f t="shared" si="20"/>
        <v>800</v>
      </c>
      <c r="I28" s="857">
        <f t="shared" si="20"/>
        <v>1000</v>
      </c>
      <c r="J28" s="857">
        <f t="shared" si="20"/>
        <v>1200</v>
      </c>
      <c r="K28" s="857">
        <f t="shared" si="20"/>
        <v>1400</v>
      </c>
      <c r="L28" s="852"/>
      <c r="M28" s="852"/>
      <c r="N28" s="852"/>
      <c r="O28" s="852"/>
      <c r="P28" s="775"/>
      <c r="Q28" s="782"/>
      <c r="R28" s="853"/>
      <c r="S28" s="783"/>
      <c r="T28" s="844"/>
      <c r="U28" s="789"/>
      <c r="V28" s="789"/>
      <c r="W28" s="820"/>
      <c r="X28" s="820"/>
      <c r="Y28" s="789"/>
      <c r="Z28" s="789"/>
      <c r="AA28" s="789"/>
      <c r="AB28" s="818"/>
      <c r="AC28" s="820"/>
      <c r="AD28" s="820"/>
      <c r="AE28" s="820"/>
      <c r="AF28" s="820"/>
      <c r="AG28" s="820"/>
      <c r="AH28" s="792"/>
      <c r="AI28" s="823"/>
      <c r="AJ28" s="819"/>
      <c r="AK28" s="819"/>
      <c r="AL28" s="819"/>
      <c r="AM28" s="819"/>
      <c r="AN28" s="819"/>
      <c r="AO28" s="819"/>
      <c r="AP28" s="819"/>
      <c r="AQ28" s="819"/>
      <c r="AR28" s="819"/>
      <c r="AS28" s="819"/>
      <c r="AT28" s="819"/>
      <c r="AU28" s="819"/>
      <c r="AV28" s="792"/>
      <c r="AW28" s="788"/>
      <c r="AX28" s="788"/>
    </row>
    <row r="29" ht="15.75" customHeight="1">
      <c r="A29" s="855"/>
      <c r="B29" s="858" t="s">
        <v>680</v>
      </c>
      <c r="C29" s="859"/>
      <c r="D29" s="860">
        <v>0.0</v>
      </c>
      <c r="E29" s="860">
        <v>0.0</v>
      </c>
      <c r="F29" s="860">
        <v>0.0</v>
      </c>
      <c r="G29" s="860">
        <v>0.0</v>
      </c>
      <c r="H29" s="860">
        <v>0.0</v>
      </c>
      <c r="I29" s="860">
        <v>0.0</v>
      </c>
      <c r="J29" s="860">
        <v>0.0</v>
      </c>
      <c r="K29" s="860">
        <v>1000.0</v>
      </c>
      <c r="L29" s="852"/>
      <c r="M29" s="852"/>
      <c r="N29" s="852"/>
      <c r="O29" s="852"/>
      <c r="P29" s="775"/>
      <c r="Q29" s="782"/>
      <c r="R29" s="853"/>
      <c r="S29" s="783"/>
      <c r="T29" s="844"/>
      <c r="U29" s="789"/>
      <c r="V29" s="789"/>
      <c r="W29" s="820"/>
      <c r="X29" s="820"/>
      <c r="Y29" s="789"/>
      <c r="Z29" s="789"/>
      <c r="AA29" s="789"/>
      <c r="AB29" s="818"/>
      <c r="AC29" s="820"/>
      <c r="AD29" s="820"/>
      <c r="AE29" s="820"/>
      <c r="AF29" s="820"/>
      <c r="AG29" s="820"/>
      <c r="AH29" s="792"/>
      <c r="AI29" s="823"/>
      <c r="AJ29" s="819"/>
      <c r="AK29" s="819"/>
      <c r="AL29" s="819"/>
      <c r="AM29" s="819"/>
      <c r="AN29" s="819"/>
      <c r="AO29" s="819"/>
      <c r="AP29" s="819"/>
      <c r="AQ29" s="819"/>
      <c r="AR29" s="819"/>
      <c r="AS29" s="819"/>
      <c r="AT29" s="819"/>
      <c r="AU29" s="819"/>
      <c r="AV29" s="792"/>
      <c r="AW29" s="788"/>
      <c r="AX29" s="788"/>
    </row>
    <row r="30" ht="15.75" customHeight="1">
      <c r="A30" s="855"/>
      <c r="B30" s="841" t="s">
        <v>681</v>
      </c>
      <c r="C30" s="854"/>
      <c r="D30" s="857">
        <v>1755.0</v>
      </c>
      <c r="E30" s="852">
        <f t="shared" ref="E30:K30" si="21">D30+42</f>
        <v>1797</v>
      </c>
      <c r="F30" s="852">
        <f t="shared" si="21"/>
        <v>1839</v>
      </c>
      <c r="G30" s="852">
        <f t="shared" si="21"/>
        <v>1881</v>
      </c>
      <c r="H30" s="852">
        <f t="shared" si="21"/>
        <v>1923</v>
      </c>
      <c r="I30" s="852">
        <f t="shared" si="21"/>
        <v>1965</v>
      </c>
      <c r="J30" s="852">
        <f t="shared" si="21"/>
        <v>2007</v>
      </c>
      <c r="K30" s="852">
        <f t="shared" si="21"/>
        <v>2049</v>
      </c>
      <c r="L30" s="852"/>
      <c r="M30" s="852"/>
      <c r="N30" s="852"/>
      <c r="O30" s="852"/>
      <c r="P30" s="775"/>
      <c r="Q30" s="782"/>
      <c r="R30" s="853"/>
      <c r="S30" s="783"/>
      <c r="T30" s="844"/>
      <c r="U30" s="789"/>
      <c r="V30" s="789"/>
      <c r="W30" s="820"/>
      <c r="X30" s="820"/>
      <c r="Y30" s="789"/>
      <c r="Z30" s="789"/>
      <c r="AA30" s="789"/>
      <c r="AB30" s="818"/>
      <c r="AC30" s="820"/>
      <c r="AD30" s="820"/>
      <c r="AE30" s="820"/>
      <c r="AF30" s="820"/>
      <c r="AG30" s="820"/>
      <c r="AH30" s="792"/>
      <c r="AI30" s="823"/>
      <c r="AJ30" s="819"/>
      <c r="AK30" s="819"/>
      <c r="AL30" s="819"/>
      <c r="AM30" s="819"/>
      <c r="AN30" s="819"/>
      <c r="AO30" s="819"/>
      <c r="AP30" s="819"/>
      <c r="AQ30" s="819"/>
      <c r="AR30" s="819"/>
      <c r="AS30" s="819"/>
      <c r="AT30" s="819"/>
      <c r="AU30" s="819"/>
      <c r="AV30" s="792"/>
      <c r="AW30" s="788"/>
      <c r="AX30" s="788"/>
    </row>
    <row r="31" ht="15.75" customHeight="1">
      <c r="A31" s="855"/>
      <c r="B31" s="854"/>
      <c r="C31" s="854"/>
      <c r="D31" s="852"/>
      <c r="E31" s="852"/>
      <c r="F31" s="852"/>
      <c r="G31" s="852"/>
      <c r="H31" s="852"/>
      <c r="I31" s="852"/>
      <c r="J31" s="852"/>
      <c r="K31" s="852"/>
      <c r="L31" s="852"/>
      <c r="M31" s="852"/>
      <c r="N31" s="852"/>
      <c r="O31" s="852"/>
      <c r="P31" s="775"/>
      <c r="Q31" s="782"/>
      <c r="R31" s="853" t="str">
        <f t="shared" ref="R31:R33" si="22">IF(Q31="Class",IF(B31="Asset",3,4),IF(Q31="Account",MATCH(B31,AI$6:AI72,0)+6,IFERROR(1/0)))</f>
        <v/>
      </c>
      <c r="S31" s="783"/>
      <c r="T31" s="844"/>
      <c r="U31" s="789"/>
      <c r="V31" s="789"/>
      <c r="W31" s="820"/>
      <c r="X31" s="820"/>
      <c r="Y31" s="789"/>
      <c r="Z31" s="789" t="str">
        <f>IF(W31,AB27+2,IFERROR(1/0))</f>
        <v/>
      </c>
      <c r="AA31" s="789" t="str">
        <f>IF(W$4,IF(X31,IF(ISBLANK(Z31),AB27+1+$W$1,Z31+2),IFERROR(1/0)),IFERROR(1/0))</f>
        <v/>
      </c>
      <c r="AB31" s="818" t="str">
        <f>IF(W$4,IF(ISTEXT(AF31),IF(ISNUMBER(AA31),AA31+1,AB27+1),IFERROR(1/0)),IF(ISTEXT(AF31),IF(ISNUMBER(Z31),Z31+2,AB27+1),IFERROR(1/0)))</f>
        <v/>
      </c>
      <c r="AC31" s="820"/>
      <c r="AD31" s="820"/>
      <c r="AE31" s="820"/>
      <c r="AF31" s="820"/>
      <c r="AG31" s="820"/>
      <c r="AH31" s="792"/>
      <c r="AI31" s="823"/>
      <c r="AJ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K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L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M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N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O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P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Q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R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S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T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U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V31" s="792"/>
      <c r="AW31" s="788"/>
      <c r="AX31" s="818"/>
    </row>
    <row r="32" ht="15.75" customHeight="1">
      <c r="A32" s="861"/>
      <c r="B32" s="862" t="s">
        <v>682</v>
      </c>
      <c r="C32" s="863"/>
      <c r="D32" s="864"/>
      <c r="E32" s="864"/>
      <c r="F32" s="864"/>
      <c r="G32" s="864"/>
      <c r="H32" s="864"/>
      <c r="I32" s="864"/>
      <c r="J32" s="864"/>
      <c r="K32" s="864"/>
      <c r="L32" s="864"/>
      <c r="M32" s="864"/>
      <c r="N32" s="864"/>
      <c r="O32" s="864"/>
      <c r="P32" s="780"/>
      <c r="Q32" s="825"/>
      <c r="R32" s="865" t="str">
        <f t="shared" si="22"/>
        <v/>
      </c>
      <c r="S32" s="866"/>
      <c r="T32" s="867"/>
      <c r="U32" s="868"/>
      <c r="V32" s="868"/>
      <c r="W32" s="869"/>
      <c r="X32" s="869"/>
      <c r="Y32" s="868"/>
      <c r="Z32" s="868" t="str">
        <f>IF(W32,AB27+2,IFERROR(1/0))</f>
        <v/>
      </c>
      <c r="AA32" s="868" t="str">
        <f>IF(W$4,IF(X32,IF(ISBLANK(Z32),AB27+1+$W$1,Z32+2),IFERROR(1/0)),IFERROR(1/0))</f>
        <v/>
      </c>
      <c r="AB32" s="870" t="str">
        <f>IF(W$4,IF(ISTEXT(AF32),IF(ISNUMBER(AA32),AA32+1,AB27+1),IFERROR(1/0)),IF(ISTEXT(AF32),IF(ISNUMBER(Z32),Z32+2,AB27+1),IFERROR(1/0)))</f>
        <v/>
      </c>
      <c r="AC32" s="869"/>
      <c r="AD32" s="869"/>
      <c r="AE32" s="869"/>
      <c r="AF32" s="869"/>
      <c r="AG32" s="869"/>
      <c r="AH32" s="871"/>
      <c r="AI32" s="823"/>
      <c r="AJ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K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L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M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N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O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P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Q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R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S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T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U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V32" s="871"/>
      <c r="AW32" s="856" t="s">
        <v>676</v>
      </c>
      <c r="AX32" s="873" t="str">
        <f t="array" ref="AX32">"'"&amp;AW15&amp;"'!$"&amp;index(sort(AX16:AX27,1,true),1)&amp;"$2:$"&amp;index(sort(AX16:AX27,1,false),1)</f>
        <v>#REF!</v>
      </c>
    </row>
    <row r="33" ht="15.75" customHeight="1">
      <c r="A33" s="855"/>
      <c r="B33" s="874" t="s">
        <v>683</v>
      </c>
      <c r="C33" s="875"/>
      <c r="D33" s="876">
        <v>300.0</v>
      </c>
      <c r="E33" s="876">
        <v>300.0</v>
      </c>
      <c r="F33" s="876">
        <v>300.0</v>
      </c>
      <c r="G33" s="876">
        <v>300.0</v>
      </c>
      <c r="H33" s="876">
        <v>300.0</v>
      </c>
      <c r="I33" s="876">
        <v>300.0</v>
      </c>
      <c r="J33" s="876">
        <v>300.0</v>
      </c>
      <c r="K33" s="876">
        <v>300.0</v>
      </c>
      <c r="L33" s="852"/>
      <c r="M33" s="852"/>
      <c r="N33" s="852"/>
      <c r="O33" s="852"/>
      <c r="P33" s="775"/>
      <c r="Q33" s="782"/>
      <c r="R33" s="853" t="str">
        <f t="shared" si="22"/>
        <v/>
      </c>
      <c r="S33" s="783"/>
      <c r="T33" s="844"/>
      <c r="U33" s="789"/>
      <c r="V33" s="789"/>
      <c r="W33" s="820"/>
      <c r="X33" s="820"/>
      <c r="Y33" s="789"/>
      <c r="Z33" s="789" t="str">
        <f>IF(W33,AB32+2,IFERROR(1/0))</f>
        <v/>
      </c>
      <c r="AA33" s="789" t="str">
        <f>IF(W$4,IF(X33,IF(ISBLANK(Z33),AB32+1+$W$1,Z33+2),IFERROR(1/0)),IFERROR(1/0))</f>
        <v/>
      </c>
      <c r="AB33" s="818" t="str">
        <f>IF(W$4,IF(ISTEXT(AF33),IF(ISNUMBER(AA33),AA33+1,AB32+1),IFERROR(1/0)),IF(ISTEXT(AF33),IF(ISNUMBER(Z33),Z33+2,AB32+1),IFERROR(1/0)))</f>
        <v/>
      </c>
      <c r="AC33" s="820"/>
      <c r="AD33" s="820"/>
      <c r="AE33" s="820"/>
      <c r="AF33" s="820"/>
      <c r="AG33" s="820"/>
      <c r="AH33" s="792"/>
      <c r="AI33" s="823"/>
      <c r="AJ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K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L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M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N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O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P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Q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R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S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T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U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V33" s="792"/>
      <c r="AW33" s="824"/>
      <c r="AX33" s="824"/>
    </row>
    <row r="34" ht="15.75" customHeight="1">
      <c r="A34" s="855"/>
      <c r="B34" s="874" t="s">
        <v>684</v>
      </c>
      <c r="C34" s="875"/>
      <c r="D34" s="876">
        <v>1000.0</v>
      </c>
      <c r="E34" s="876">
        <v>1000.0</v>
      </c>
      <c r="F34" s="876">
        <v>1000.0</v>
      </c>
      <c r="G34" s="876">
        <v>1000.0</v>
      </c>
      <c r="H34" s="876">
        <v>1000.0</v>
      </c>
      <c r="I34" s="876">
        <v>1000.0</v>
      </c>
      <c r="J34" s="876">
        <v>1000.0</v>
      </c>
      <c r="K34" s="877">
        <v>1000.0</v>
      </c>
      <c r="L34" s="852"/>
      <c r="M34" s="852"/>
      <c r="N34" s="852"/>
      <c r="O34" s="852"/>
      <c r="P34" s="775"/>
      <c r="Q34" s="782"/>
      <c r="R34" s="853"/>
      <c r="S34" s="783"/>
      <c r="T34" s="844"/>
      <c r="U34" s="789"/>
      <c r="V34" s="789"/>
      <c r="W34" s="820"/>
      <c r="X34" s="820"/>
      <c r="Y34" s="789"/>
      <c r="Z34" s="789"/>
      <c r="AA34" s="789"/>
      <c r="AB34" s="818"/>
      <c r="AC34" s="820"/>
      <c r="AD34" s="820"/>
      <c r="AE34" s="820"/>
      <c r="AF34" s="820"/>
      <c r="AG34" s="820"/>
      <c r="AH34" s="792"/>
      <c r="AI34" s="823"/>
      <c r="AJ34" s="819"/>
      <c r="AK34" s="819"/>
      <c r="AL34" s="819"/>
      <c r="AM34" s="819"/>
      <c r="AN34" s="819"/>
      <c r="AO34" s="819"/>
      <c r="AP34" s="819"/>
      <c r="AQ34" s="819"/>
      <c r="AR34" s="819"/>
      <c r="AS34" s="819"/>
      <c r="AT34" s="819"/>
      <c r="AU34" s="819"/>
      <c r="AV34" s="792"/>
      <c r="AW34" s="824"/>
      <c r="AX34" s="824"/>
    </row>
    <row r="35" ht="15.75" customHeight="1">
      <c r="A35" s="855"/>
      <c r="B35" s="841"/>
      <c r="C35" s="854"/>
      <c r="D35" s="852"/>
      <c r="E35" s="852"/>
      <c r="F35" s="852"/>
      <c r="G35" s="852"/>
      <c r="H35" s="852"/>
      <c r="I35" s="852"/>
      <c r="J35" s="852"/>
      <c r="K35" s="852"/>
      <c r="L35" s="852"/>
      <c r="M35" s="852"/>
      <c r="N35" s="852"/>
      <c r="O35" s="852"/>
      <c r="P35" s="775"/>
      <c r="Q35" s="782"/>
      <c r="R35" s="853"/>
      <c r="S35" s="783"/>
      <c r="T35" s="844"/>
      <c r="U35" s="789"/>
      <c r="V35" s="789"/>
      <c r="W35" s="820"/>
      <c r="X35" s="820"/>
      <c r="Y35" s="789"/>
      <c r="Z35" s="789"/>
      <c r="AA35" s="789"/>
      <c r="AB35" s="818"/>
      <c r="AC35" s="820"/>
      <c r="AD35" s="820"/>
      <c r="AE35" s="820"/>
      <c r="AF35" s="820"/>
      <c r="AG35" s="820"/>
      <c r="AH35" s="792"/>
      <c r="AI35" s="823"/>
      <c r="AJ35" s="819"/>
      <c r="AK35" s="819"/>
      <c r="AL35" s="819"/>
      <c r="AM35" s="819"/>
      <c r="AN35" s="819"/>
      <c r="AO35" s="819"/>
      <c r="AP35" s="819"/>
      <c r="AQ35" s="819"/>
      <c r="AR35" s="819"/>
      <c r="AS35" s="819"/>
      <c r="AT35" s="819"/>
      <c r="AU35" s="819"/>
      <c r="AV35" s="792"/>
      <c r="AW35" s="824"/>
      <c r="AX35" s="824"/>
    </row>
    <row r="36" ht="15.75" customHeight="1">
      <c r="A36" s="855"/>
      <c r="B36" s="854"/>
      <c r="C36" s="854"/>
      <c r="D36" s="852"/>
      <c r="E36" s="852"/>
      <c r="F36" s="852"/>
      <c r="G36" s="852"/>
      <c r="H36" s="852"/>
      <c r="I36" s="852"/>
      <c r="J36" s="852"/>
      <c r="K36" s="852"/>
      <c r="L36" s="852"/>
      <c r="M36" s="852"/>
      <c r="N36" s="852"/>
      <c r="O36" s="852"/>
      <c r="P36" s="775"/>
      <c r="Q36" s="782"/>
      <c r="R36" s="853" t="str">
        <f t="shared" ref="R36:R38" si="23">IF(Q36="Class",IF(B36="Asset",3,4),IF(Q36="Account",MATCH(B36,AI$6:AI72,0)+6,IFERROR(1/0)))</f>
        <v/>
      </c>
      <c r="S36" s="783"/>
      <c r="T36" s="844"/>
      <c r="U36" s="789"/>
      <c r="V36" s="789"/>
      <c r="W36" s="820"/>
      <c r="X36" s="820"/>
      <c r="Y36" s="789"/>
      <c r="Z36" s="789" t="str">
        <f>IF(W36,AB33+2,IFERROR(1/0))</f>
        <v/>
      </c>
      <c r="AA36" s="789" t="str">
        <f>IF(W$4,IF(X36,IF(ISBLANK(Z36),AB33+1+$W$1,Z36+2),IFERROR(1/0)),IFERROR(1/0))</f>
        <v/>
      </c>
      <c r="AB36" s="818" t="str">
        <f>IF(W$4,IF(ISTEXT(AF36),IF(ISNUMBER(AA36),AA36+1,AB33+1),IFERROR(1/0)),IF(ISTEXT(AF36),IF(ISNUMBER(Z36),Z36+2,AB33+1),IFERROR(1/0)))</f>
        <v/>
      </c>
      <c r="AC36" s="820"/>
      <c r="AD36" s="820"/>
      <c r="AE36" s="820"/>
      <c r="AF36" s="820"/>
      <c r="AG36" s="820"/>
      <c r="AH36" s="792"/>
      <c r="AI36" s="823"/>
      <c r="AJ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K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L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M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N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O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P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Q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R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S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T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U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V36" s="792"/>
      <c r="AW36" s="824"/>
      <c r="AX36" s="824"/>
    </row>
    <row r="37" ht="15.75" customHeight="1">
      <c r="A37" s="878"/>
      <c r="B37" s="862" t="s">
        <v>685</v>
      </c>
      <c r="C37" s="863"/>
      <c r="D37" s="864"/>
      <c r="E37" s="864"/>
      <c r="F37" s="864"/>
      <c r="G37" s="864"/>
      <c r="H37" s="864"/>
      <c r="I37" s="864"/>
      <c r="J37" s="864"/>
      <c r="K37" s="864"/>
      <c r="L37" s="864"/>
      <c r="M37" s="864"/>
      <c r="N37" s="864"/>
      <c r="O37" s="864"/>
      <c r="P37" s="775"/>
      <c r="Q37" s="782"/>
      <c r="R37" s="853" t="str">
        <f t="shared" si="23"/>
        <v/>
      </c>
      <c r="S37" s="783"/>
      <c r="T37" s="844"/>
      <c r="U37" s="789"/>
      <c r="V37" s="789"/>
      <c r="W37" s="820"/>
      <c r="X37" s="820"/>
      <c r="Y37" s="789"/>
      <c r="Z37" s="789" t="str">
        <f t="shared" ref="Z37:Z38" si="24">IF(W37,AB36+2,IFERROR(1/0))</f>
        <v/>
      </c>
      <c r="AA37" s="789" t="str">
        <f t="shared" ref="AA37:AA38" si="25">IF(W$4,IF(X37,IF(ISBLANK(Z37),AB36+1+$W$1,Z37+2),IFERROR(1/0)),IFERROR(1/0))</f>
        <v/>
      </c>
      <c r="AB37" s="818" t="str">
        <f t="shared" ref="AB37:AB38" si="26">IF(W$4,IF(ISTEXT(AF37),IF(ISNUMBER(AA37),AA37+1,AB36+1),IFERROR(1/0)),IF(ISTEXT(AF37),IF(ISNUMBER(Z37),Z37+2,AB36+1),IFERROR(1/0)))</f>
        <v/>
      </c>
      <c r="AC37" s="820"/>
      <c r="AD37" s="820"/>
      <c r="AE37" s="820"/>
      <c r="AF37" s="820"/>
      <c r="AG37" s="820"/>
      <c r="AH37" s="792"/>
      <c r="AI37" s="823"/>
      <c r="AJ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K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L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M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N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O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P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Q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R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S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T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U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V37" s="792"/>
      <c r="AW37" s="824"/>
      <c r="AX37" s="824"/>
    </row>
    <row r="38" ht="15.75" customHeight="1">
      <c r="A38" s="878"/>
      <c r="B38" s="841" t="s">
        <v>686</v>
      </c>
      <c r="C38" s="854"/>
      <c r="D38" s="857">
        <v>1000.0</v>
      </c>
      <c r="E38" s="857">
        <v>1000.0</v>
      </c>
      <c r="F38" s="857">
        <v>1000.0</v>
      </c>
      <c r="G38" s="857">
        <v>1000.0</v>
      </c>
      <c r="H38" s="857">
        <v>1000.0</v>
      </c>
      <c r="I38" s="857">
        <v>1000.0</v>
      </c>
      <c r="J38" s="857">
        <v>1000.0</v>
      </c>
      <c r="K38" s="857">
        <v>1000.0</v>
      </c>
      <c r="L38" s="852"/>
      <c r="M38" s="852"/>
      <c r="N38" s="852"/>
      <c r="O38" s="852"/>
      <c r="P38" s="775"/>
      <c r="Q38" s="782"/>
      <c r="R38" s="853" t="str">
        <f t="shared" si="23"/>
        <v/>
      </c>
      <c r="S38" s="783"/>
      <c r="T38" s="844"/>
      <c r="U38" s="789"/>
      <c r="V38" s="789"/>
      <c r="W38" s="820"/>
      <c r="X38" s="820"/>
      <c r="Y38" s="789"/>
      <c r="Z38" s="789" t="str">
        <f t="shared" si="24"/>
        <v/>
      </c>
      <c r="AA38" s="789" t="str">
        <f t="shared" si="25"/>
        <v/>
      </c>
      <c r="AB38" s="818" t="str">
        <f t="shared" si="26"/>
        <v/>
      </c>
      <c r="AC38" s="820"/>
      <c r="AD38" s="820"/>
      <c r="AE38" s="820"/>
      <c r="AF38" s="820"/>
      <c r="AG38" s="820"/>
      <c r="AH38" s="792"/>
      <c r="AI38" s="823"/>
      <c r="AJ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K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L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M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N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O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P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Q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R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S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T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U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V38" s="792"/>
      <c r="AW38" s="824"/>
      <c r="AX38" s="824"/>
    </row>
    <row r="39" ht="15.75" customHeight="1">
      <c r="A39" s="878"/>
      <c r="B39" s="841" t="s">
        <v>687</v>
      </c>
      <c r="C39" s="854"/>
      <c r="D39" s="857">
        <v>3700.0</v>
      </c>
      <c r="E39" s="857">
        <v>3700.0</v>
      </c>
      <c r="F39" s="857">
        <v>3700.0</v>
      </c>
      <c r="G39" s="857">
        <v>3700.0</v>
      </c>
      <c r="H39" s="857">
        <v>3700.0</v>
      </c>
      <c r="I39" s="857">
        <v>3700.0</v>
      </c>
      <c r="J39" s="857">
        <v>3700.0</v>
      </c>
      <c r="K39" s="857">
        <v>6497.0</v>
      </c>
      <c r="L39" s="852"/>
      <c r="M39" s="852"/>
      <c r="N39" s="852"/>
      <c r="O39" s="852"/>
      <c r="P39" s="775"/>
      <c r="Q39" s="782"/>
      <c r="R39" s="853"/>
      <c r="S39" s="783"/>
      <c r="T39" s="844"/>
      <c r="U39" s="789"/>
      <c r="V39" s="789"/>
      <c r="W39" s="820"/>
      <c r="X39" s="820"/>
      <c r="Y39" s="789"/>
      <c r="Z39" s="789"/>
      <c r="AA39" s="789"/>
      <c r="AB39" s="818"/>
      <c r="AC39" s="820"/>
      <c r="AD39" s="820"/>
      <c r="AE39" s="820"/>
      <c r="AF39" s="820"/>
      <c r="AG39" s="820"/>
      <c r="AH39" s="792"/>
      <c r="AI39" s="823"/>
      <c r="AJ39" s="819"/>
      <c r="AK39" s="819"/>
      <c r="AL39" s="819"/>
      <c r="AM39" s="819"/>
      <c r="AN39" s="819"/>
      <c r="AO39" s="819"/>
      <c r="AP39" s="819"/>
      <c r="AQ39" s="819"/>
      <c r="AR39" s="819"/>
      <c r="AS39" s="819"/>
      <c r="AT39" s="819"/>
      <c r="AU39" s="819"/>
      <c r="AV39" s="792"/>
      <c r="AW39" s="824"/>
      <c r="AX39" s="824"/>
    </row>
    <row r="40" ht="15.75" customHeight="1">
      <c r="A40" s="878"/>
      <c r="B40" s="841" t="s">
        <v>688</v>
      </c>
      <c r="C40" s="854"/>
      <c r="D40" s="857">
        <v>1300.0</v>
      </c>
      <c r="E40" s="857">
        <v>1300.0</v>
      </c>
      <c r="F40" s="857">
        <v>1300.0</v>
      </c>
      <c r="G40" s="857">
        <v>1300.0</v>
      </c>
      <c r="H40" s="857">
        <v>1300.0</v>
      </c>
      <c r="I40" s="857">
        <v>1300.0</v>
      </c>
      <c r="J40" s="857">
        <v>1300.0</v>
      </c>
      <c r="K40" s="857">
        <v>1300.0</v>
      </c>
      <c r="L40" s="852"/>
      <c r="M40" s="852"/>
      <c r="N40" s="852"/>
      <c r="O40" s="852"/>
      <c r="P40" s="775"/>
      <c r="Q40" s="782"/>
      <c r="R40" s="853"/>
      <c r="S40" s="783"/>
      <c r="T40" s="844"/>
      <c r="U40" s="789"/>
      <c r="V40" s="789"/>
      <c r="W40" s="820"/>
      <c r="X40" s="820"/>
      <c r="Y40" s="789"/>
      <c r="Z40" s="789"/>
      <c r="AA40" s="789"/>
      <c r="AB40" s="818"/>
      <c r="AC40" s="820"/>
      <c r="AD40" s="820"/>
      <c r="AE40" s="820"/>
      <c r="AF40" s="820"/>
      <c r="AG40" s="820"/>
      <c r="AH40" s="792"/>
      <c r="AI40" s="823"/>
      <c r="AJ40" s="819"/>
      <c r="AK40" s="819"/>
      <c r="AL40" s="819"/>
      <c r="AM40" s="819"/>
      <c r="AN40" s="819"/>
      <c r="AO40" s="819"/>
      <c r="AP40" s="819"/>
      <c r="AQ40" s="819"/>
      <c r="AR40" s="819"/>
      <c r="AS40" s="819"/>
      <c r="AT40" s="819"/>
      <c r="AU40" s="819"/>
      <c r="AV40" s="792"/>
      <c r="AW40" s="824"/>
      <c r="AX40" s="824"/>
    </row>
    <row r="41" ht="15.75" customHeight="1">
      <c r="A41" s="878"/>
      <c r="B41" s="879" t="s">
        <v>689</v>
      </c>
      <c r="C41" s="875"/>
      <c r="D41" s="876">
        <v>25000.0</v>
      </c>
      <c r="E41" s="876">
        <v>25000.0</v>
      </c>
      <c r="F41" s="876">
        <v>25000.0</v>
      </c>
      <c r="G41" s="876">
        <v>25000.0</v>
      </c>
      <c r="H41" s="876">
        <v>25000.0</v>
      </c>
      <c r="I41" s="876">
        <v>25000.0</v>
      </c>
      <c r="J41" s="876">
        <v>25000.0</v>
      </c>
      <c r="K41" s="876">
        <v>25000.0</v>
      </c>
      <c r="L41" s="852"/>
      <c r="M41" s="852"/>
      <c r="N41" s="852"/>
      <c r="O41" s="852"/>
      <c r="P41" s="775"/>
      <c r="Q41" s="782"/>
      <c r="R41" s="853"/>
      <c r="S41" s="783"/>
      <c r="T41" s="844"/>
      <c r="U41" s="789"/>
      <c r="V41" s="789"/>
      <c r="W41" s="820"/>
      <c r="X41" s="820"/>
      <c r="Y41" s="789"/>
      <c r="Z41" s="789"/>
      <c r="AA41" s="789"/>
      <c r="AB41" s="818"/>
      <c r="AC41" s="820"/>
      <c r="AD41" s="820"/>
      <c r="AE41" s="820"/>
      <c r="AF41" s="820"/>
      <c r="AG41" s="820"/>
      <c r="AH41" s="792"/>
      <c r="AI41" s="823"/>
      <c r="AJ41" s="819"/>
      <c r="AK41" s="819"/>
      <c r="AL41" s="819"/>
      <c r="AM41" s="819"/>
      <c r="AN41" s="819"/>
      <c r="AO41" s="819"/>
      <c r="AP41" s="819"/>
      <c r="AQ41" s="819"/>
      <c r="AR41" s="819"/>
      <c r="AS41" s="819"/>
      <c r="AT41" s="819"/>
      <c r="AU41" s="819"/>
      <c r="AV41" s="792"/>
      <c r="AW41" s="824"/>
      <c r="AX41" s="824"/>
    </row>
    <row r="42" ht="15.75" customHeight="1">
      <c r="A42" s="878"/>
      <c r="B42" s="879" t="s">
        <v>418</v>
      </c>
      <c r="C42" s="875"/>
      <c r="D42" s="876">
        <v>50000.0</v>
      </c>
      <c r="E42" s="876">
        <v>50000.0</v>
      </c>
      <c r="F42" s="876">
        <v>50000.0</v>
      </c>
      <c r="G42" s="876">
        <v>50000.0</v>
      </c>
      <c r="H42" s="876">
        <v>50000.0</v>
      </c>
      <c r="I42" s="876">
        <v>50000.0</v>
      </c>
      <c r="J42" s="876">
        <v>50000.0</v>
      </c>
      <c r="K42" s="876">
        <v>50000.0</v>
      </c>
      <c r="L42" s="852"/>
      <c r="M42" s="852"/>
      <c r="N42" s="852"/>
      <c r="O42" s="852"/>
      <c r="P42" s="775"/>
      <c r="Q42" s="782"/>
      <c r="R42" s="853"/>
      <c r="S42" s="783"/>
      <c r="T42" s="844"/>
      <c r="U42" s="789"/>
      <c r="V42" s="789"/>
      <c r="W42" s="820"/>
      <c r="X42" s="820"/>
      <c r="Y42" s="789"/>
      <c r="Z42" s="789"/>
      <c r="AA42" s="789"/>
      <c r="AB42" s="818"/>
      <c r="AC42" s="820"/>
      <c r="AD42" s="820"/>
      <c r="AE42" s="820"/>
      <c r="AF42" s="820"/>
      <c r="AG42" s="820"/>
      <c r="AH42" s="792"/>
      <c r="AI42" s="823"/>
      <c r="AJ42" s="819"/>
      <c r="AK42" s="819"/>
      <c r="AL42" s="819"/>
      <c r="AM42" s="819"/>
      <c r="AN42" s="819"/>
      <c r="AO42" s="819"/>
      <c r="AP42" s="819"/>
      <c r="AQ42" s="819"/>
      <c r="AR42" s="819"/>
      <c r="AS42" s="819"/>
      <c r="AT42" s="819"/>
      <c r="AU42" s="819"/>
      <c r="AV42" s="792"/>
      <c r="AW42" s="824"/>
      <c r="AX42" s="824"/>
    </row>
    <row r="43" ht="15.75" customHeight="1">
      <c r="A43" s="878"/>
      <c r="B43" s="880" t="s">
        <v>690</v>
      </c>
      <c r="C43" s="854"/>
      <c r="D43" s="857">
        <v>25000.0</v>
      </c>
      <c r="E43" s="857">
        <v>25000.0</v>
      </c>
      <c r="F43" s="857">
        <v>25000.0</v>
      </c>
      <c r="G43" s="857">
        <v>25000.0</v>
      </c>
      <c r="H43" s="857">
        <v>25000.0</v>
      </c>
      <c r="I43" s="857">
        <v>25000.0</v>
      </c>
      <c r="J43" s="857">
        <v>25000.0</v>
      </c>
      <c r="K43" s="857">
        <v>25000.0</v>
      </c>
      <c r="L43" s="852"/>
      <c r="M43" s="852"/>
      <c r="N43" s="852"/>
      <c r="O43" s="852"/>
      <c r="P43" s="775"/>
      <c r="Q43" s="782"/>
      <c r="R43" s="853"/>
      <c r="S43" s="783"/>
      <c r="T43" s="844"/>
      <c r="U43" s="789"/>
      <c r="V43" s="789"/>
      <c r="W43" s="820"/>
      <c r="X43" s="820"/>
      <c r="Y43" s="789"/>
      <c r="Z43" s="789"/>
      <c r="AA43" s="789"/>
      <c r="AB43" s="818"/>
      <c r="AC43" s="820"/>
      <c r="AD43" s="820"/>
      <c r="AE43" s="820"/>
      <c r="AF43" s="820"/>
      <c r="AG43" s="820"/>
      <c r="AH43" s="792"/>
      <c r="AI43" s="823"/>
      <c r="AJ43" s="819"/>
      <c r="AK43" s="819"/>
      <c r="AL43" s="819"/>
      <c r="AM43" s="819"/>
      <c r="AN43" s="819"/>
      <c r="AO43" s="819"/>
      <c r="AP43" s="819"/>
      <c r="AQ43" s="819"/>
      <c r="AR43" s="819"/>
      <c r="AS43" s="819"/>
      <c r="AT43" s="819"/>
      <c r="AU43" s="819"/>
      <c r="AV43" s="792"/>
      <c r="AW43" s="824"/>
      <c r="AX43" s="824"/>
    </row>
    <row r="44" ht="15.75" customHeight="1">
      <c r="A44" s="878"/>
      <c r="B44" s="880" t="s">
        <v>691</v>
      </c>
      <c r="C44" s="854"/>
      <c r="D44" s="857">
        <v>0.0</v>
      </c>
      <c r="E44" s="857">
        <v>0.0</v>
      </c>
      <c r="F44" s="857">
        <v>0.0</v>
      </c>
      <c r="G44" s="857">
        <v>0.0</v>
      </c>
      <c r="H44" s="857">
        <v>0.0</v>
      </c>
      <c r="I44" s="857">
        <v>0.0</v>
      </c>
      <c r="J44" s="857">
        <v>0.0</v>
      </c>
      <c r="K44" s="857">
        <v>0.0</v>
      </c>
      <c r="L44" s="852"/>
      <c r="M44" s="852"/>
      <c r="N44" s="852"/>
      <c r="O44" s="852"/>
      <c r="P44" s="775"/>
      <c r="Q44" s="782"/>
      <c r="R44" s="853"/>
      <c r="S44" s="783"/>
      <c r="T44" s="844"/>
      <c r="U44" s="789"/>
      <c r="V44" s="789"/>
      <c r="W44" s="820"/>
      <c r="X44" s="820"/>
      <c r="Y44" s="789"/>
      <c r="Z44" s="789"/>
      <c r="AA44" s="789"/>
      <c r="AB44" s="818"/>
      <c r="AC44" s="820"/>
      <c r="AD44" s="820"/>
      <c r="AE44" s="820"/>
      <c r="AF44" s="820"/>
      <c r="AG44" s="820"/>
      <c r="AH44" s="792"/>
      <c r="AI44" s="823"/>
      <c r="AJ44" s="819"/>
      <c r="AK44" s="819"/>
      <c r="AL44" s="819"/>
      <c r="AM44" s="819"/>
      <c r="AN44" s="819"/>
      <c r="AO44" s="819"/>
      <c r="AP44" s="819"/>
      <c r="AQ44" s="819"/>
      <c r="AR44" s="819"/>
      <c r="AS44" s="819"/>
      <c r="AT44" s="819"/>
      <c r="AU44" s="819"/>
      <c r="AV44" s="792"/>
      <c r="AW44" s="824"/>
      <c r="AX44" s="824"/>
    </row>
    <row r="45" ht="15.75" customHeight="1">
      <c r="A45" s="878"/>
      <c r="B45" s="841"/>
      <c r="C45" s="854"/>
      <c r="D45" s="852"/>
      <c r="E45" s="852"/>
      <c r="F45" s="852"/>
      <c r="G45" s="852"/>
      <c r="H45" s="852"/>
      <c r="I45" s="852"/>
      <c r="J45" s="852"/>
      <c r="K45" s="852"/>
      <c r="L45" s="852"/>
      <c r="M45" s="852"/>
      <c r="N45" s="852"/>
      <c r="O45" s="852"/>
      <c r="P45" s="775"/>
      <c r="Q45" s="782"/>
      <c r="R45" s="853"/>
      <c r="S45" s="783"/>
      <c r="T45" s="844"/>
      <c r="U45" s="789"/>
      <c r="V45" s="789"/>
      <c r="W45" s="820"/>
      <c r="X45" s="820"/>
      <c r="Y45" s="789"/>
      <c r="Z45" s="789"/>
      <c r="AA45" s="789"/>
      <c r="AB45" s="818"/>
      <c r="AC45" s="820"/>
      <c r="AD45" s="820"/>
      <c r="AE45" s="820"/>
      <c r="AF45" s="820"/>
      <c r="AG45" s="820"/>
      <c r="AH45" s="792"/>
      <c r="AI45" s="823"/>
      <c r="AJ45" s="819"/>
      <c r="AK45" s="819"/>
      <c r="AL45" s="819"/>
      <c r="AM45" s="819"/>
      <c r="AN45" s="819"/>
      <c r="AO45" s="819"/>
      <c r="AP45" s="819"/>
      <c r="AQ45" s="819"/>
      <c r="AR45" s="819"/>
      <c r="AS45" s="819"/>
      <c r="AT45" s="819"/>
      <c r="AU45" s="819"/>
      <c r="AV45" s="792"/>
      <c r="AW45" s="824"/>
      <c r="AX45" s="824"/>
    </row>
    <row r="46" ht="15.75" customHeight="1">
      <c r="A46" s="878"/>
      <c r="B46" s="862" t="s">
        <v>692</v>
      </c>
      <c r="C46" s="863"/>
      <c r="D46" s="864"/>
      <c r="E46" s="864"/>
      <c r="F46" s="864"/>
      <c r="G46" s="864"/>
      <c r="H46" s="864"/>
      <c r="I46" s="864"/>
      <c r="J46" s="864"/>
      <c r="K46" s="864"/>
      <c r="L46" s="864"/>
      <c r="M46" s="864"/>
      <c r="N46" s="864"/>
      <c r="O46" s="864"/>
      <c r="P46" s="775"/>
      <c r="Q46" s="782"/>
      <c r="R46" s="853"/>
      <c r="S46" s="783"/>
      <c r="T46" s="844"/>
      <c r="U46" s="789"/>
      <c r="V46" s="789"/>
      <c r="W46" s="820"/>
      <c r="X46" s="820"/>
      <c r="Y46" s="789"/>
      <c r="Z46" s="789"/>
      <c r="AA46" s="789"/>
      <c r="AB46" s="818"/>
      <c r="AC46" s="820"/>
      <c r="AD46" s="820"/>
      <c r="AE46" s="820"/>
      <c r="AF46" s="820"/>
      <c r="AG46" s="820"/>
      <c r="AH46" s="792"/>
      <c r="AI46" s="823"/>
      <c r="AJ46" s="819"/>
      <c r="AK46" s="819"/>
      <c r="AL46" s="819"/>
      <c r="AM46" s="819"/>
      <c r="AN46" s="819"/>
      <c r="AO46" s="819"/>
      <c r="AP46" s="819"/>
      <c r="AQ46" s="819"/>
      <c r="AR46" s="819"/>
      <c r="AS46" s="819"/>
      <c r="AT46" s="819"/>
      <c r="AU46" s="819"/>
      <c r="AV46" s="792"/>
      <c r="AW46" s="824"/>
      <c r="AX46" s="824"/>
    </row>
    <row r="47" ht="15.75" customHeight="1">
      <c r="A47" s="878"/>
      <c r="B47" s="841" t="s">
        <v>693</v>
      </c>
      <c r="C47" s="854"/>
      <c r="D47" s="857">
        <v>400000.0</v>
      </c>
      <c r="E47" s="857">
        <v>400000.0</v>
      </c>
      <c r="F47" s="857">
        <v>400000.0</v>
      </c>
      <c r="G47" s="857">
        <v>400000.0</v>
      </c>
      <c r="H47" s="857">
        <v>400000.0</v>
      </c>
      <c r="I47" s="857">
        <v>400000.0</v>
      </c>
      <c r="J47" s="857">
        <v>400000.0</v>
      </c>
      <c r="K47" s="857">
        <v>400000.0</v>
      </c>
      <c r="L47" s="852"/>
      <c r="M47" s="852"/>
      <c r="N47" s="852"/>
      <c r="O47" s="852"/>
      <c r="P47" s="775"/>
      <c r="Q47" s="782"/>
      <c r="R47" s="853"/>
      <c r="S47" s="783"/>
      <c r="T47" s="844"/>
      <c r="U47" s="789"/>
      <c r="V47" s="789"/>
      <c r="W47" s="820"/>
      <c r="X47" s="820"/>
      <c r="Y47" s="789"/>
      <c r="Z47" s="789"/>
      <c r="AA47" s="789"/>
      <c r="AB47" s="818"/>
      <c r="AC47" s="820"/>
      <c r="AD47" s="820"/>
      <c r="AE47" s="820"/>
      <c r="AF47" s="820"/>
      <c r="AG47" s="820"/>
      <c r="AH47" s="792"/>
      <c r="AI47" s="823"/>
      <c r="AJ47" s="819"/>
      <c r="AK47" s="819"/>
      <c r="AL47" s="819"/>
      <c r="AM47" s="819"/>
      <c r="AN47" s="819"/>
      <c r="AO47" s="819"/>
      <c r="AP47" s="819"/>
      <c r="AQ47" s="819"/>
      <c r="AR47" s="819"/>
      <c r="AS47" s="819"/>
      <c r="AT47" s="819"/>
      <c r="AU47" s="819"/>
      <c r="AV47" s="792"/>
      <c r="AW47" s="824"/>
      <c r="AX47" s="824"/>
    </row>
    <row r="48" ht="15.75" customHeight="1">
      <c r="A48" s="878"/>
      <c r="B48" s="841" t="s">
        <v>694</v>
      </c>
      <c r="C48" s="854"/>
      <c r="D48" s="857">
        <f>157334+10000</f>
        <v>167334</v>
      </c>
      <c r="E48" s="857">
        <v>157334.0</v>
      </c>
      <c r="F48" s="857">
        <v>157334.0</v>
      </c>
      <c r="G48" s="857">
        <v>157334.0</v>
      </c>
      <c r="H48" s="857">
        <v>157334.0</v>
      </c>
      <c r="I48" s="857">
        <v>157334.0</v>
      </c>
      <c r="J48" s="857">
        <v>157334.0</v>
      </c>
      <c r="K48" s="857">
        <v>157334.0</v>
      </c>
      <c r="L48" s="852"/>
      <c r="M48" s="852"/>
      <c r="N48" s="852"/>
      <c r="O48" s="852"/>
      <c r="P48" s="775"/>
      <c r="Q48" s="782"/>
      <c r="R48" s="853"/>
      <c r="S48" s="783"/>
      <c r="T48" s="844"/>
      <c r="U48" s="789"/>
      <c r="V48" s="789"/>
      <c r="W48" s="820"/>
      <c r="X48" s="820"/>
      <c r="Y48" s="789"/>
      <c r="Z48" s="789"/>
      <c r="AA48" s="789"/>
      <c r="AB48" s="818"/>
      <c r="AC48" s="820"/>
      <c r="AD48" s="820"/>
      <c r="AE48" s="820"/>
      <c r="AF48" s="820"/>
      <c r="AG48" s="820"/>
      <c r="AH48" s="792"/>
      <c r="AI48" s="823"/>
      <c r="AJ48" s="819"/>
      <c r="AK48" s="819"/>
      <c r="AL48" s="819"/>
      <c r="AM48" s="819"/>
      <c r="AN48" s="819"/>
      <c r="AO48" s="819"/>
      <c r="AP48" s="819"/>
      <c r="AQ48" s="819"/>
      <c r="AR48" s="819"/>
      <c r="AS48" s="819"/>
      <c r="AT48" s="819"/>
      <c r="AU48" s="819"/>
      <c r="AV48" s="792"/>
      <c r="AW48" s="824"/>
      <c r="AX48" s="824"/>
    </row>
    <row r="49" ht="15.75" customHeight="1">
      <c r="A49" s="878"/>
      <c r="B49" s="841" t="s">
        <v>695</v>
      </c>
      <c r="C49" s="854"/>
      <c r="D49" s="857">
        <v>0.0</v>
      </c>
      <c r="E49" s="857">
        <v>0.0</v>
      </c>
      <c r="F49" s="857">
        <v>0.0</v>
      </c>
      <c r="G49" s="857">
        <v>0.0</v>
      </c>
      <c r="H49" s="857">
        <v>0.0</v>
      </c>
      <c r="I49" s="857">
        <v>0.0</v>
      </c>
      <c r="J49" s="857">
        <v>0.0</v>
      </c>
      <c r="K49" s="857">
        <v>0.0</v>
      </c>
      <c r="L49" s="852"/>
      <c r="M49" s="852"/>
      <c r="N49" s="852"/>
      <c r="O49" s="852"/>
      <c r="P49" s="775"/>
      <c r="Q49" s="782"/>
      <c r="R49" s="853"/>
      <c r="S49" s="783"/>
      <c r="T49" s="844"/>
      <c r="U49" s="789"/>
      <c r="V49" s="789"/>
      <c r="W49" s="820"/>
      <c r="X49" s="820"/>
      <c r="Y49" s="789"/>
      <c r="Z49" s="789"/>
      <c r="AA49" s="789"/>
      <c r="AB49" s="818"/>
      <c r="AC49" s="820"/>
      <c r="AD49" s="820"/>
      <c r="AE49" s="820"/>
      <c r="AF49" s="820"/>
      <c r="AG49" s="820"/>
      <c r="AH49" s="792"/>
      <c r="AI49" s="823"/>
      <c r="AJ49" s="819"/>
      <c r="AK49" s="819"/>
      <c r="AL49" s="819"/>
      <c r="AM49" s="819"/>
      <c r="AN49" s="819"/>
      <c r="AO49" s="819"/>
      <c r="AP49" s="819"/>
      <c r="AQ49" s="819"/>
      <c r="AR49" s="819"/>
      <c r="AS49" s="819"/>
      <c r="AT49" s="819"/>
      <c r="AU49" s="819"/>
      <c r="AV49" s="792"/>
      <c r="AW49" s="824"/>
      <c r="AX49" s="824"/>
    </row>
    <row r="50" ht="15.75" customHeight="1">
      <c r="A50" s="878"/>
      <c r="B50" s="841" t="s">
        <v>696</v>
      </c>
      <c r="C50" s="854"/>
      <c r="D50" s="857">
        <v>0.0</v>
      </c>
      <c r="E50" s="857">
        <v>0.0</v>
      </c>
      <c r="F50" s="857">
        <v>0.0</v>
      </c>
      <c r="G50" s="857">
        <v>0.0</v>
      </c>
      <c r="H50" s="857">
        <v>0.0</v>
      </c>
      <c r="I50" s="857">
        <v>0.0</v>
      </c>
      <c r="J50" s="857">
        <v>0.0</v>
      </c>
      <c r="K50" s="857">
        <v>0.0</v>
      </c>
      <c r="L50" s="852"/>
      <c r="M50" s="852"/>
      <c r="N50" s="852"/>
      <c r="O50" s="852"/>
      <c r="P50" s="775"/>
      <c r="Q50" s="782"/>
      <c r="R50" s="853"/>
      <c r="S50" s="783"/>
      <c r="T50" s="844"/>
      <c r="U50" s="789"/>
      <c r="V50" s="789"/>
      <c r="W50" s="820"/>
      <c r="X50" s="820"/>
      <c r="Y50" s="789"/>
      <c r="Z50" s="789"/>
      <c r="AA50" s="789"/>
      <c r="AB50" s="818"/>
      <c r="AC50" s="820"/>
      <c r="AD50" s="820"/>
      <c r="AE50" s="820"/>
      <c r="AF50" s="820"/>
      <c r="AG50" s="820"/>
      <c r="AH50" s="792"/>
      <c r="AI50" s="823"/>
      <c r="AJ50" s="819"/>
      <c r="AK50" s="819"/>
      <c r="AL50" s="819"/>
      <c r="AM50" s="819"/>
      <c r="AN50" s="819"/>
      <c r="AO50" s="819"/>
      <c r="AP50" s="819"/>
      <c r="AQ50" s="819"/>
      <c r="AR50" s="819"/>
      <c r="AS50" s="819"/>
      <c r="AT50" s="819"/>
      <c r="AU50" s="819"/>
      <c r="AV50" s="792"/>
      <c r="AW50" s="824"/>
      <c r="AX50" s="824"/>
    </row>
    <row r="51" ht="15.75" customHeight="1">
      <c r="A51" s="855"/>
      <c r="B51" s="854"/>
      <c r="C51" s="854"/>
      <c r="D51" s="852"/>
      <c r="E51" s="852"/>
      <c r="F51" s="852"/>
      <c r="G51" s="852"/>
      <c r="H51" s="852"/>
      <c r="I51" s="852"/>
      <c r="J51" s="852"/>
      <c r="K51" s="852"/>
      <c r="L51" s="852"/>
      <c r="M51" s="852"/>
      <c r="N51" s="852"/>
      <c r="O51" s="852"/>
      <c r="P51" s="775"/>
      <c r="Q51" s="782"/>
      <c r="R51" s="853" t="str">
        <f t="shared" ref="R51:R54" si="27">IF(Q51="Class",IF(B51="Asset",3,4),IF(Q51="Account",MATCH(B51,AI$6:AI72,0)+6,IFERROR(1/0)))</f>
        <v/>
      </c>
      <c r="S51" s="783"/>
      <c r="T51" s="844"/>
      <c r="U51" s="789"/>
      <c r="V51" s="789"/>
      <c r="W51" s="820"/>
      <c r="X51" s="820"/>
      <c r="Y51" s="789"/>
      <c r="Z51" s="789" t="str">
        <f>IF(W51,AB38+2,IFERROR(1/0))</f>
        <v/>
      </c>
      <c r="AA51" s="789" t="str">
        <f>IF(W$4,IF(X51,IF(ISBLANK(Z51),AB38+1+$W$1,Z51+2),IFERROR(1/0)),IFERROR(1/0))</f>
        <v/>
      </c>
      <c r="AB51" s="818" t="str">
        <f>IF(W$4,IF(ISTEXT(AF51),IF(ISNUMBER(AA51),AA51+1,AB38+1),IFERROR(1/0)),IF(ISTEXT(AF51),IF(ISNUMBER(Z51),Z51+2,AB38+1),IFERROR(1/0)))</f>
        <v/>
      </c>
      <c r="AC51" s="820"/>
      <c r="AD51" s="820"/>
      <c r="AE51" s="820"/>
      <c r="AF51" s="820"/>
      <c r="AG51" s="820"/>
      <c r="AH51" s="792"/>
      <c r="AI51" s="823"/>
      <c r="AJ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K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L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M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N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O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P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Q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R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S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T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U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V51" s="792"/>
      <c r="AW51" s="824"/>
      <c r="AX51" s="824"/>
    </row>
    <row r="52" ht="15.75" customHeight="1">
      <c r="A52" s="855"/>
      <c r="B52" s="881" t="s">
        <v>697</v>
      </c>
      <c r="C52" s="882"/>
      <c r="D52" s="883"/>
      <c r="E52" s="883"/>
      <c r="F52" s="883"/>
      <c r="G52" s="883"/>
      <c r="H52" s="883"/>
      <c r="I52" s="883"/>
      <c r="J52" s="883"/>
      <c r="K52" s="883"/>
      <c r="L52" s="883"/>
      <c r="M52" s="883"/>
      <c r="N52" s="883"/>
      <c r="O52" s="883"/>
      <c r="P52" s="775"/>
      <c r="Q52" s="782"/>
      <c r="R52" s="853" t="str">
        <f t="shared" si="27"/>
        <v/>
      </c>
      <c r="S52" s="783"/>
      <c r="T52" s="844"/>
      <c r="U52" s="789"/>
      <c r="V52" s="789"/>
      <c r="W52" s="820"/>
      <c r="X52" s="820"/>
      <c r="Y52" s="789"/>
      <c r="Z52" s="789" t="str">
        <f t="shared" ref="Z52:Z54" si="28">IF(W52,AB51+2,IFERROR(1/0))</f>
        <v/>
      </c>
      <c r="AA52" s="789" t="str">
        <f t="shared" ref="AA52:AA54" si="29">IF(W$4,IF(X52,IF(ISBLANK(Z52),AB51+1+$W$1,Z52+2),IFERROR(1/0)),IFERROR(1/0))</f>
        <v/>
      </c>
      <c r="AB52" s="818" t="str">
        <f t="shared" ref="AB52:AB54" si="30">IF(W$4,IF(ISTEXT(AF52),IF(ISNUMBER(AA52),AA52+1,AB51+1),IFERROR(1/0)),IF(ISTEXT(AF52),IF(ISNUMBER(Z52),Z52+2,AB51+1),IFERROR(1/0)))</f>
        <v/>
      </c>
      <c r="AC52" s="820"/>
      <c r="AD52" s="820"/>
      <c r="AE52" s="820"/>
      <c r="AF52" s="820"/>
      <c r="AG52" s="820"/>
      <c r="AH52" s="792"/>
      <c r="AI52" s="823"/>
      <c r="AJ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K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L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M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N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O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P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Q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R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S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T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U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V52" s="792"/>
      <c r="AW52" s="824"/>
      <c r="AX52" s="824"/>
    </row>
    <row r="53" ht="15.75" customHeight="1">
      <c r="A53" s="855"/>
      <c r="B53" s="862" t="s">
        <v>698</v>
      </c>
      <c r="C53" s="863"/>
      <c r="D53" s="864"/>
      <c r="E53" s="864"/>
      <c r="F53" s="864"/>
      <c r="G53" s="864"/>
      <c r="H53" s="864"/>
      <c r="I53" s="864"/>
      <c r="J53" s="864"/>
      <c r="K53" s="864"/>
      <c r="L53" s="864"/>
      <c r="M53" s="864"/>
      <c r="N53" s="864"/>
      <c r="O53" s="864"/>
      <c r="P53" s="775"/>
      <c r="Q53" s="782"/>
      <c r="R53" s="853" t="str">
        <f t="shared" si="27"/>
        <v/>
      </c>
      <c r="S53" s="783"/>
      <c r="T53" s="844"/>
      <c r="U53" s="789"/>
      <c r="V53" s="789"/>
      <c r="W53" s="820"/>
      <c r="X53" s="820"/>
      <c r="Y53" s="789"/>
      <c r="Z53" s="789" t="str">
        <f t="shared" si="28"/>
        <v/>
      </c>
      <c r="AA53" s="789" t="str">
        <f t="shared" si="29"/>
        <v/>
      </c>
      <c r="AB53" s="818" t="str">
        <f t="shared" si="30"/>
        <v/>
      </c>
      <c r="AC53" s="820"/>
      <c r="AD53" s="820"/>
      <c r="AE53" s="820"/>
      <c r="AF53" s="820"/>
      <c r="AG53" s="820"/>
      <c r="AH53" s="792"/>
      <c r="AI53" s="823"/>
      <c r="AJ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K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L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M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N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O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P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Q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R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S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T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U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V53" s="792"/>
      <c r="AW53" s="824"/>
      <c r="AX53" s="824"/>
    </row>
    <row r="54" ht="15.75" customHeight="1">
      <c r="A54" s="855"/>
      <c r="B54" s="841" t="s">
        <v>311</v>
      </c>
      <c r="C54" s="854"/>
      <c r="D54" s="857">
        <v>26000.0</v>
      </c>
      <c r="E54" s="857">
        <v>26000.0</v>
      </c>
      <c r="F54" s="857">
        <v>26000.0</v>
      </c>
      <c r="G54" s="857">
        <v>26000.0</v>
      </c>
      <c r="H54" s="857">
        <v>26000.0</v>
      </c>
      <c r="I54" s="857">
        <v>26000.0</v>
      </c>
      <c r="J54" s="857">
        <v>26000.0</v>
      </c>
      <c r="K54" s="857">
        <v>26000.0</v>
      </c>
      <c r="L54" s="852"/>
      <c r="M54" s="852"/>
      <c r="N54" s="852"/>
      <c r="O54" s="852"/>
      <c r="P54" s="775"/>
      <c r="Q54" s="782"/>
      <c r="R54" s="853" t="str">
        <f t="shared" si="27"/>
        <v/>
      </c>
      <c r="S54" s="783"/>
      <c r="T54" s="844"/>
      <c r="U54" s="789"/>
      <c r="V54" s="789"/>
      <c r="W54" s="820"/>
      <c r="X54" s="820"/>
      <c r="Y54" s="789"/>
      <c r="Z54" s="789" t="str">
        <f t="shared" si="28"/>
        <v/>
      </c>
      <c r="AA54" s="789" t="str">
        <f t="shared" si="29"/>
        <v/>
      </c>
      <c r="AB54" s="818" t="str">
        <f t="shared" si="30"/>
        <v/>
      </c>
      <c r="AC54" s="820"/>
      <c r="AD54" s="820"/>
      <c r="AE54" s="820"/>
      <c r="AF54" s="820"/>
      <c r="AG54" s="820"/>
      <c r="AH54" s="792"/>
      <c r="AI54" s="823"/>
      <c r="AJ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K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L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M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N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O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P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Q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R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S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T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U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V54" s="792"/>
      <c r="AW54" s="824"/>
      <c r="AX54" s="824"/>
    </row>
    <row r="55" ht="15.75" customHeight="1">
      <c r="A55" s="855"/>
      <c r="B55" s="841" t="s">
        <v>315</v>
      </c>
      <c r="C55" s="854"/>
      <c r="D55" s="857">
        <v>0.0</v>
      </c>
      <c r="E55" s="857">
        <v>0.0</v>
      </c>
      <c r="F55" s="857">
        <v>0.0</v>
      </c>
      <c r="G55" s="857">
        <v>0.0</v>
      </c>
      <c r="H55" s="857">
        <v>0.0</v>
      </c>
      <c r="I55" s="857">
        <v>0.0</v>
      </c>
      <c r="J55" s="857">
        <v>0.0</v>
      </c>
      <c r="K55" s="857">
        <v>0.0</v>
      </c>
      <c r="L55" s="852"/>
      <c r="M55" s="852"/>
      <c r="N55" s="852"/>
      <c r="O55" s="852"/>
      <c r="P55" s="775"/>
      <c r="Q55" s="782"/>
      <c r="R55" s="853"/>
      <c r="S55" s="783"/>
      <c r="T55" s="844"/>
      <c r="U55" s="789"/>
      <c r="V55" s="789"/>
      <c r="W55" s="820"/>
      <c r="X55" s="820"/>
      <c r="Y55" s="789"/>
      <c r="Z55" s="789"/>
      <c r="AA55" s="789"/>
      <c r="AB55" s="818"/>
      <c r="AC55" s="820"/>
      <c r="AD55" s="820"/>
      <c r="AE55" s="820"/>
      <c r="AF55" s="820"/>
      <c r="AG55" s="820"/>
      <c r="AH55" s="792"/>
      <c r="AI55" s="823"/>
      <c r="AJ55" s="819"/>
      <c r="AK55" s="819"/>
      <c r="AL55" s="819"/>
      <c r="AM55" s="819"/>
      <c r="AN55" s="819"/>
      <c r="AO55" s="819"/>
      <c r="AP55" s="819"/>
      <c r="AQ55" s="819"/>
      <c r="AR55" s="819"/>
      <c r="AS55" s="819"/>
      <c r="AT55" s="819"/>
      <c r="AU55" s="819"/>
      <c r="AV55" s="792"/>
      <c r="AW55" s="824"/>
      <c r="AX55" s="824"/>
    </row>
    <row r="56" ht="15.75" customHeight="1">
      <c r="A56" s="855"/>
      <c r="B56" s="841" t="s">
        <v>321</v>
      </c>
      <c r="C56" s="854"/>
      <c r="D56" s="857">
        <v>1200.0</v>
      </c>
      <c r="E56" s="857">
        <v>1200.0</v>
      </c>
      <c r="F56" s="857">
        <v>1200.0</v>
      </c>
      <c r="G56" s="857">
        <v>1200.0</v>
      </c>
      <c r="H56" s="857">
        <v>1200.0</v>
      </c>
      <c r="I56" s="857">
        <v>1200.0</v>
      </c>
      <c r="J56" s="857">
        <v>1200.0</v>
      </c>
      <c r="K56" s="857">
        <v>1200.0</v>
      </c>
      <c r="L56" s="852"/>
      <c r="M56" s="852"/>
      <c r="N56" s="852"/>
      <c r="O56" s="852"/>
      <c r="P56" s="775"/>
      <c r="Q56" s="782"/>
      <c r="R56" s="853"/>
      <c r="S56" s="783"/>
      <c r="T56" s="844"/>
      <c r="U56" s="789"/>
      <c r="V56" s="789"/>
      <c r="W56" s="820"/>
      <c r="X56" s="820"/>
      <c r="Y56" s="789"/>
      <c r="Z56" s="789"/>
      <c r="AA56" s="789"/>
      <c r="AB56" s="818"/>
      <c r="AC56" s="820"/>
      <c r="AD56" s="820"/>
      <c r="AE56" s="820"/>
      <c r="AF56" s="820"/>
      <c r="AG56" s="820"/>
      <c r="AH56" s="792"/>
      <c r="AI56" s="823"/>
      <c r="AJ56" s="819"/>
      <c r="AK56" s="819"/>
      <c r="AL56" s="819"/>
      <c r="AM56" s="819"/>
      <c r="AN56" s="819"/>
      <c r="AO56" s="819"/>
      <c r="AP56" s="819"/>
      <c r="AQ56" s="819"/>
      <c r="AR56" s="819"/>
      <c r="AS56" s="819"/>
      <c r="AT56" s="819"/>
      <c r="AU56" s="819"/>
      <c r="AV56" s="792"/>
      <c r="AW56" s="824"/>
      <c r="AX56" s="824"/>
    </row>
    <row r="57" ht="15.75" customHeight="1">
      <c r="A57" s="855"/>
      <c r="B57" s="841" t="s">
        <v>319</v>
      </c>
      <c r="C57" s="854"/>
      <c r="D57" s="857">
        <v>0.0</v>
      </c>
      <c r="E57" s="857">
        <v>0.0</v>
      </c>
      <c r="F57" s="857">
        <v>0.0</v>
      </c>
      <c r="G57" s="857">
        <v>0.0</v>
      </c>
      <c r="H57" s="857">
        <v>0.0</v>
      </c>
      <c r="I57" s="857">
        <v>0.0</v>
      </c>
      <c r="J57" s="857">
        <v>0.0</v>
      </c>
      <c r="K57" s="857">
        <v>0.0</v>
      </c>
      <c r="L57" s="852"/>
      <c r="M57" s="852"/>
      <c r="N57" s="852"/>
      <c r="O57" s="852"/>
      <c r="P57" s="775"/>
      <c r="Q57" s="782"/>
      <c r="R57" s="853"/>
      <c r="S57" s="783"/>
      <c r="T57" s="844"/>
      <c r="U57" s="789"/>
      <c r="V57" s="789"/>
      <c r="W57" s="820"/>
      <c r="X57" s="820"/>
      <c r="Y57" s="789"/>
      <c r="Z57" s="789"/>
      <c r="AA57" s="789"/>
      <c r="AB57" s="818"/>
      <c r="AC57" s="820"/>
      <c r="AD57" s="820"/>
      <c r="AE57" s="820"/>
      <c r="AF57" s="820"/>
      <c r="AG57" s="820"/>
      <c r="AH57" s="792"/>
      <c r="AI57" s="823"/>
      <c r="AJ57" s="819"/>
      <c r="AK57" s="819"/>
      <c r="AL57" s="819"/>
      <c r="AM57" s="819"/>
      <c r="AN57" s="819"/>
      <c r="AO57" s="819"/>
      <c r="AP57" s="819"/>
      <c r="AQ57" s="819"/>
      <c r="AR57" s="819"/>
      <c r="AS57" s="819"/>
      <c r="AT57" s="819"/>
      <c r="AU57" s="819"/>
      <c r="AV57" s="792"/>
      <c r="AW57" s="824"/>
      <c r="AX57" s="824"/>
    </row>
    <row r="58" ht="15.75" customHeight="1">
      <c r="A58" s="855"/>
      <c r="B58" s="841" t="s">
        <v>699</v>
      </c>
      <c r="C58" s="854"/>
      <c r="D58" s="857">
        <v>3400.0</v>
      </c>
      <c r="E58" s="857">
        <v>3400.0</v>
      </c>
      <c r="F58" s="857">
        <v>3400.0</v>
      </c>
      <c r="G58" s="857">
        <v>3400.0</v>
      </c>
      <c r="H58" s="857">
        <v>3400.0</v>
      </c>
      <c r="I58" s="857">
        <v>3400.0</v>
      </c>
      <c r="J58" s="857">
        <v>3400.0</v>
      </c>
      <c r="K58" s="857">
        <v>3400.0</v>
      </c>
      <c r="L58" s="852"/>
      <c r="M58" s="852"/>
      <c r="N58" s="852"/>
      <c r="O58" s="852"/>
      <c r="P58" s="775"/>
      <c r="Q58" s="782"/>
      <c r="R58" s="853"/>
      <c r="S58" s="783"/>
      <c r="T58" s="844"/>
      <c r="U58" s="789"/>
      <c r="V58" s="789"/>
      <c r="W58" s="820"/>
      <c r="X58" s="820"/>
      <c r="Y58" s="789"/>
      <c r="Z58" s="789"/>
      <c r="AA58" s="789"/>
      <c r="AB58" s="818"/>
      <c r="AC58" s="820"/>
      <c r="AD58" s="820"/>
      <c r="AE58" s="820"/>
      <c r="AF58" s="820"/>
      <c r="AG58" s="820"/>
      <c r="AH58" s="792"/>
      <c r="AI58" s="823"/>
      <c r="AJ58" s="819"/>
      <c r="AK58" s="819"/>
      <c r="AL58" s="819"/>
      <c r="AM58" s="819"/>
      <c r="AN58" s="819"/>
      <c r="AO58" s="819"/>
      <c r="AP58" s="819"/>
      <c r="AQ58" s="819"/>
      <c r="AR58" s="819"/>
      <c r="AS58" s="819"/>
      <c r="AT58" s="819"/>
      <c r="AU58" s="819"/>
      <c r="AV58" s="792"/>
      <c r="AW58" s="824"/>
      <c r="AX58" s="824"/>
    </row>
    <row r="59" ht="15.75" customHeight="1">
      <c r="A59" s="855"/>
      <c r="B59" s="841" t="s">
        <v>700</v>
      </c>
      <c r="C59" s="854"/>
      <c r="D59" s="857">
        <v>0.0</v>
      </c>
      <c r="E59" s="857">
        <v>0.0</v>
      </c>
      <c r="F59" s="857">
        <v>0.0</v>
      </c>
      <c r="G59" s="857">
        <v>0.0</v>
      </c>
      <c r="H59" s="857">
        <v>0.0</v>
      </c>
      <c r="I59" s="857">
        <v>0.0</v>
      </c>
      <c r="J59" s="857">
        <v>0.0</v>
      </c>
      <c r="K59" s="857">
        <v>0.0</v>
      </c>
      <c r="L59" s="852"/>
      <c r="M59" s="852"/>
      <c r="N59" s="852"/>
      <c r="O59" s="852"/>
      <c r="P59" s="775"/>
      <c r="Q59" s="782"/>
      <c r="R59" s="853"/>
      <c r="S59" s="783"/>
      <c r="T59" s="844"/>
      <c r="U59" s="789"/>
      <c r="V59" s="789"/>
      <c r="W59" s="820"/>
      <c r="X59" s="820"/>
      <c r="Y59" s="789"/>
      <c r="Z59" s="789"/>
      <c r="AA59" s="789"/>
      <c r="AB59" s="818"/>
      <c r="AC59" s="820"/>
      <c r="AD59" s="820"/>
      <c r="AE59" s="820"/>
      <c r="AF59" s="820"/>
      <c r="AG59" s="820"/>
      <c r="AH59" s="792"/>
      <c r="AI59" s="823"/>
      <c r="AJ59" s="819"/>
      <c r="AK59" s="819"/>
      <c r="AL59" s="819"/>
      <c r="AM59" s="819"/>
      <c r="AN59" s="819"/>
      <c r="AO59" s="819"/>
      <c r="AP59" s="819"/>
      <c r="AQ59" s="819"/>
      <c r="AR59" s="819"/>
      <c r="AS59" s="819"/>
      <c r="AT59" s="819"/>
      <c r="AU59" s="819"/>
      <c r="AV59" s="792"/>
      <c r="AW59" s="824"/>
      <c r="AX59" s="824"/>
    </row>
    <row r="60" ht="15.75" customHeight="1">
      <c r="A60" s="855"/>
      <c r="B60" s="854"/>
      <c r="C60" s="854"/>
      <c r="D60" s="852"/>
      <c r="E60" s="852"/>
      <c r="F60" s="852"/>
      <c r="G60" s="852"/>
      <c r="H60" s="852"/>
      <c r="I60" s="852"/>
      <c r="J60" s="852"/>
      <c r="K60" s="852"/>
      <c r="L60" s="852"/>
      <c r="M60" s="852"/>
      <c r="N60" s="852"/>
      <c r="O60" s="852"/>
      <c r="P60" s="775"/>
      <c r="Q60" s="782"/>
      <c r="R60" s="853" t="str">
        <f t="shared" ref="R60:R62" si="31">IF(Q60="Class",IF(B60="Asset",3,4),IF(Q60="Account",MATCH(B60,AI$6:AI72,0)+6,IFERROR(1/0)))</f>
        <v/>
      </c>
      <c r="S60" s="783"/>
      <c r="T60" s="844"/>
      <c r="U60" s="789"/>
      <c r="V60" s="789"/>
      <c r="W60" s="820"/>
      <c r="X60" s="820"/>
      <c r="Y60" s="789"/>
      <c r="Z60" s="789" t="str">
        <f>IF(W60,AB54+2,IFERROR(1/0))</f>
        <v/>
      </c>
      <c r="AA60" s="789" t="str">
        <f>IF(W$4,IF(X60,IF(ISBLANK(Z60),AB54+1+$W$1,Z60+2),IFERROR(1/0)),IFERROR(1/0))</f>
        <v/>
      </c>
      <c r="AB60" s="818" t="str">
        <f>IF(W$4,IF(ISTEXT(AF60),IF(ISNUMBER(AA60),AA60+1,AB54+1),IFERROR(1/0)),IF(ISTEXT(AF60),IF(ISNUMBER(Z60),Z60+2,AB54+1),IFERROR(1/0)))</f>
        <v/>
      </c>
      <c r="AC60" s="820"/>
      <c r="AD60" s="820"/>
      <c r="AE60" s="820"/>
      <c r="AF60" s="820"/>
      <c r="AG60" s="820"/>
      <c r="AH60" s="792"/>
      <c r="AI60" s="823"/>
      <c r="AJ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K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L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M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N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O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P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Q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R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S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T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U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V60" s="792"/>
      <c r="AW60" s="824"/>
      <c r="AX60" s="824"/>
    </row>
    <row r="61" ht="15.75" customHeight="1">
      <c r="A61" s="855"/>
      <c r="B61" s="862" t="s">
        <v>701</v>
      </c>
      <c r="C61" s="863"/>
      <c r="D61" s="864"/>
      <c r="E61" s="864"/>
      <c r="F61" s="864"/>
      <c r="G61" s="864"/>
      <c r="H61" s="864"/>
      <c r="I61" s="864"/>
      <c r="J61" s="864"/>
      <c r="K61" s="864"/>
      <c r="L61" s="864"/>
      <c r="M61" s="864"/>
      <c r="N61" s="864"/>
      <c r="O61" s="864"/>
      <c r="P61" s="775"/>
      <c r="Q61" s="782"/>
      <c r="R61" s="853" t="str">
        <f t="shared" si="31"/>
        <v/>
      </c>
      <c r="S61" s="783"/>
      <c r="T61" s="844"/>
      <c r="U61" s="789"/>
      <c r="V61" s="789"/>
      <c r="W61" s="820"/>
      <c r="X61" s="820"/>
      <c r="Y61" s="789"/>
      <c r="Z61" s="789" t="str">
        <f t="shared" ref="Z61:Z62" si="32">IF(W61,AB60+2,IFERROR(1/0))</f>
        <v/>
      </c>
      <c r="AA61" s="789" t="str">
        <f t="shared" ref="AA61:AA62" si="33">IF(W$4,IF(X61,IF(ISBLANK(Z61),AB60+1+$W$1,Z61+2),IFERROR(1/0)),IFERROR(1/0))</f>
        <v/>
      </c>
      <c r="AB61" s="818" t="str">
        <f t="shared" ref="AB61:AB62" si="34">IF(W$4,IF(ISTEXT(AF61),IF(ISNUMBER(AA61),AA61+1,AB60+1),IFERROR(1/0)),IF(ISTEXT(AF61),IF(ISNUMBER(Z61),Z61+2,AB60+1),IFERROR(1/0)))</f>
        <v/>
      </c>
      <c r="AC61" s="820"/>
      <c r="AD61" s="820"/>
      <c r="AE61" s="820"/>
      <c r="AF61" s="820"/>
      <c r="AG61" s="820"/>
      <c r="AH61" s="792"/>
      <c r="AI61" s="823"/>
      <c r="AJ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K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L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M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N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O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P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Q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R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S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T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U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V61" s="792"/>
      <c r="AW61" s="824"/>
      <c r="AX61" s="824"/>
    </row>
    <row r="62" ht="15.75" customHeight="1">
      <c r="A62" s="855"/>
      <c r="B62" s="841" t="s">
        <v>60</v>
      </c>
      <c r="C62" s="854"/>
      <c r="D62" s="857">
        <v>6298.0</v>
      </c>
      <c r="E62" s="857">
        <v>6298.0</v>
      </c>
      <c r="F62" s="857">
        <v>6298.0</v>
      </c>
      <c r="G62" s="857">
        <v>6298.0</v>
      </c>
      <c r="H62" s="857">
        <v>6298.0</v>
      </c>
      <c r="I62" s="857">
        <v>6298.0</v>
      </c>
      <c r="J62" s="857">
        <v>6298.0</v>
      </c>
      <c r="K62" s="857">
        <v>6298.0</v>
      </c>
      <c r="L62" s="852"/>
      <c r="M62" s="852"/>
      <c r="N62" s="852"/>
      <c r="O62" s="852"/>
      <c r="P62" s="775"/>
      <c r="Q62" s="782"/>
      <c r="R62" s="853" t="str">
        <f t="shared" si="31"/>
        <v/>
      </c>
      <c r="S62" s="783"/>
      <c r="T62" s="844"/>
      <c r="U62" s="789"/>
      <c r="V62" s="789"/>
      <c r="W62" s="820"/>
      <c r="X62" s="820"/>
      <c r="Y62" s="789"/>
      <c r="Z62" s="789" t="str">
        <f t="shared" si="32"/>
        <v/>
      </c>
      <c r="AA62" s="789" t="str">
        <f t="shared" si="33"/>
        <v/>
      </c>
      <c r="AB62" s="818" t="str">
        <f t="shared" si="34"/>
        <v/>
      </c>
      <c r="AC62" s="820"/>
      <c r="AD62" s="820"/>
      <c r="AE62" s="820"/>
      <c r="AF62" s="820"/>
      <c r="AG62" s="820"/>
      <c r="AH62" s="792"/>
      <c r="AI62" s="823"/>
      <c r="AJ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K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L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M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N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O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P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Q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R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S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T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U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V62" s="792"/>
      <c r="AW62" s="824"/>
      <c r="AX62" s="824"/>
    </row>
    <row r="63" ht="15.75" customHeight="1">
      <c r="A63" s="855"/>
      <c r="B63" s="841" t="s">
        <v>52</v>
      </c>
      <c r="C63" s="854"/>
      <c r="D63" s="857">
        <v>7945.0</v>
      </c>
      <c r="E63" s="857">
        <f t="shared" ref="E63:K63" si="35">D63-235</f>
        <v>7710</v>
      </c>
      <c r="F63" s="857">
        <f t="shared" si="35"/>
        <v>7475</v>
      </c>
      <c r="G63" s="857">
        <f t="shared" si="35"/>
        <v>7240</v>
      </c>
      <c r="H63" s="857">
        <f t="shared" si="35"/>
        <v>7005</v>
      </c>
      <c r="I63" s="857">
        <f t="shared" si="35"/>
        <v>6770</v>
      </c>
      <c r="J63" s="857">
        <f t="shared" si="35"/>
        <v>6535</v>
      </c>
      <c r="K63" s="857">
        <f t="shared" si="35"/>
        <v>6300</v>
      </c>
      <c r="L63" s="852"/>
      <c r="M63" s="852"/>
      <c r="N63" s="852"/>
      <c r="O63" s="852"/>
      <c r="P63" s="775"/>
      <c r="Q63" s="782"/>
      <c r="R63" s="853"/>
      <c r="S63" s="783"/>
      <c r="T63" s="844"/>
      <c r="U63" s="789"/>
      <c r="V63" s="789"/>
      <c r="W63" s="820"/>
      <c r="X63" s="820"/>
      <c r="Y63" s="789"/>
      <c r="Z63" s="789"/>
      <c r="AA63" s="789"/>
      <c r="AB63" s="818"/>
      <c r="AC63" s="820"/>
      <c r="AD63" s="820"/>
      <c r="AE63" s="820"/>
      <c r="AF63" s="820"/>
      <c r="AG63" s="820"/>
      <c r="AH63" s="792"/>
      <c r="AI63" s="823"/>
      <c r="AJ63" s="819"/>
      <c r="AK63" s="819"/>
      <c r="AL63" s="819"/>
      <c r="AM63" s="819"/>
      <c r="AN63" s="819"/>
      <c r="AO63" s="819"/>
      <c r="AP63" s="819"/>
      <c r="AQ63" s="819"/>
      <c r="AR63" s="819"/>
      <c r="AS63" s="819"/>
      <c r="AT63" s="819"/>
      <c r="AU63" s="819"/>
      <c r="AV63" s="792"/>
      <c r="AW63" s="824"/>
      <c r="AX63" s="824"/>
    </row>
    <row r="64" ht="15.75" customHeight="1">
      <c r="A64" s="855"/>
      <c r="B64" s="841" t="s">
        <v>307</v>
      </c>
      <c r="C64" s="854"/>
      <c r="D64" s="857">
        <v>16584.0</v>
      </c>
      <c r="E64" s="857">
        <v>16584.0</v>
      </c>
      <c r="F64" s="857">
        <v>16584.0</v>
      </c>
      <c r="G64" s="857">
        <v>16584.0</v>
      </c>
      <c r="H64" s="857">
        <v>16584.0</v>
      </c>
      <c r="I64" s="857">
        <v>16584.0</v>
      </c>
      <c r="J64" s="857">
        <v>16584.0</v>
      </c>
      <c r="K64" s="857">
        <v>16584.0</v>
      </c>
      <c r="L64" s="852"/>
      <c r="M64" s="852"/>
      <c r="N64" s="852"/>
      <c r="O64" s="852"/>
      <c r="P64" s="775"/>
      <c r="Q64" s="782"/>
      <c r="R64" s="853"/>
      <c r="S64" s="783"/>
      <c r="T64" s="844"/>
      <c r="U64" s="789"/>
      <c r="V64" s="789"/>
      <c r="W64" s="820"/>
      <c r="X64" s="820"/>
      <c r="Y64" s="789"/>
      <c r="Z64" s="789"/>
      <c r="AA64" s="789"/>
      <c r="AB64" s="818"/>
      <c r="AC64" s="820"/>
      <c r="AD64" s="820"/>
      <c r="AE64" s="820"/>
      <c r="AF64" s="820"/>
      <c r="AG64" s="820"/>
      <c r="AH64" s="792"/>
      <c r="AI64" s="823"/>
      <c r="AJ64" s="819"/>
      <c r="AK64" s="819"/>
      <c r="AL64" s="819"/>
      <c r="AM64" s="819"/>
      <c r="AN64" s="819"/>
      <c r="AO64" s="819"/>
      <c r="AP64" s="819"/>
      <c r="AQ64" s="819"/>
      <c r="AR64" s="819"/>
      <c r="AS64" s="819"/>
      <c r="AT64" s="819"/>
      <c r="AU64" s="819"/>
      <c r="AV64" s="792"/>
      <c r="AW64" s="824"/>
      <c r="AX64" s="824"/>
    </row>
    <row r="65" ht="15.75" customHeight="1">
      <c r="A65" s="855"/>
      <c r="E65" s="852"/>
      <c r="F65" s="852"/>
      <c r="G65" s="852"/>
      <c r="H65" s="852"/>
      <c r="I65" s="852"/>
      <c r="J65" s="852"/>
      <c r="K65" s="852"/>
      <c r="L65" s="852"/>
      <c r="M65" s="852"/>
      <c r="N65" s="852"/>
      <c r="O65" s="852"/>
      <c r="P65" s="775"/>
      <c r="Q65" s="782"/>
      <c r="R65" s="853"/>
      <c r="S65" s="783"/>
      <c r="T65" s="844"/>
      <c r="U65" s="789"/>
      <c r="V65" s="789"/>
      <c r="W65" s="820"/>
      <c r="X65" s="820"/>
      <c r="Y65" s="789"/>
      <c r="Z65" s="789"/>
      <c r="AA65" s="789"/>
      <c r="AB65" s="818"/>
      <c r="AC65" s="820"/>
      <c r="AD65" s="820"/>
      <c r="AE65" s="820"/>
      <c r="AF65" s="820"/>
      <c r="AG65" s="820"/>
      <c r="AH65" s="792"/>
      <c r="AI65" s="823"/>
      <c r="AJ65" s="819"/>
      <c r="AK65" s="819"/>
      <c r="AL65" s="819"/>
      <c r="AM65" s="819"/>
      <c r="AN65" s="819"/>
      <c r="AO65" s="819"/>
      <c r="AP65" s="819"/>
      <c r="AQ65" s="819"/>
      <c r="AR65" s="819"/>
      <c r="AS65" s="819"/>
      <c r="AT65" s="819"/>
      <c r="AU65" s="819"/>
      <c r="AV65" s="792"/>
      <c r="AW65" s="824"/>
      <c r="AX65" s="824"/>
    </row>
    <row r="66" ht="15.75" customHeight="1">
      <c r="A66" s="855"/>
      <c r="B66" s="862" t="s">
        <v>249</v>
      </c>
      <c r="C66" s="863"/>
      <c r="D66" s="864"/>
      <c r="E66" s="864"/>
      <c r="F66" s="864"/>
      <c r="G66" s="864"/>
      <c r="H66" s="864"/>
      <c r="I66" s="864"/>
      <c r="J66" s="864"/>
      <c r="K66" s="864"/>
      <c r="L66" s="864"/>
      <c r="M66" s="864"/>
      <c r="N66" s="864"/>
      <c r="O66" s="864"/>
      <c r="P66" s="775"/>
      <c r="Q66" s="782"/>
      <c r="R66" s="853" t="str">
        <f t="shared" ref="R66:R72" si="36">IF(Q66="Class",IF(B66="Asset",3,4),IF(Q66="Account",MATCH(B66,AI$6:AI72,0)+6,IFERROR(1/0)))</f>
        <v/>
      </c>
      <c r="S66" s="783"/>
      <c r="T66" s="844"/>
      <c r="U66" s="789"/>
      <c r="V66" s="789"/>
      <c r="W66" s="820"/>
      <c r="X66" s="820"/>
      <c r="Y66" s="789"/>
      <c r="Z66" s="789" t="str">
        <f>IF(W66,#REF!+2,IFERROR(1/0))</f>
        <v/>
      </c>
      <c r="AA66" s="789" t="str">
        <f>IF(W$4,IF(X66,IF(ISBLANK(Z66),#REF!+1+$W$1,Z66+2),IFERROR(1/0)),IFERROR(1/0))</f>
        <v/>
      </c>
      <c r="AB66" s="818" t="str">
        <f>IF(W$4,IF(ISTEXT(AF66),IF(ISNUMBER(AA66),AA66+1,#REF!+1),IFERROR(1/0)),IF(ISTEXT(AF66),IF(ISNUMBER(Z66),Z66+2,#REF!+1),IFERROR(1/0)))</f>
        <v/>
      </c>
      <c r="AC66" s="820"/>
      <c r="AD66" s="820"/>
      <c r="AE66" s="820"/>
      <c r="AF66" s="820"/>
      <c r="AG66" s="820"/>
      <c r="AH66" s="792"/>
      <c r="AI66" s="823"/>
      <c r="AJ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K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L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M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N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O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P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Q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R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S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T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U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V66" s="792"/>
      <c r="AW66" s="824"/>
      <c r="AX66" s="824"/>
    </row>
    <row r="67" ht="15.75" customHeight="1">
      <c r="A67" s="855"/>
      <c r="B67" s="841" t="s">
        <v>702</v>
      </c>
      <c r="C67" s="854"/>
      <c r="D67" s="857">
        <v>0.0</v>
      </c>
      <c r="E67" s="857">
        <v>0.0</v>
      </c>
      <c r="F67" s="857">
        <v>0.0</v>
      </c>
      <c r="G67" s="857">
        <v>0.0</v>
      </c>
      <c r="H67" s="857">
        <v>0.0</v>
      </c>
      <c r="I67" s="857">
        <v>0.0</v>
      </c>
      <c r="J67" s="857">
        <v>0.0</v>
      </c>
      <c r="K67" s="857">
        <v>0.0</v>
      </c>
      <c r="L67" s="852"/>
      <c r="M67" s="852"/>
      <c r="N67" s="852"/>
      <c r="O67" s="852"/>
      <c r="P67" s="775"/>
      <c r="Q67" s="782"/>
      <c r="R67" s="853" t="str">
        <f t="shared" si="36"/>
        <v/>
      </c>
      <c r="S67" s="783"/>
      <c r="T67" s="844"/>
      <c r="U67" s="789"/>
      <c r="V67" s="789"/>
      <c r="W67" s="820"/>
      <c r="X67" s="820"/>
      <c r="Y67" s="789"/>
      <c r="Z67" s="789" t="str">
        <f t="shared" ref="Z67:Z72" si="37">IF(W67,AB66+2,IFERROR(1/0))</f>
        <v/>
      </c>
      <c r="AA67" s="789" t="str">
        <f t="shared" ref="AA67:AA72" si="38">IF(W$4,IF(X67,IF(ISBLANK(Z67),AB66+1+$W$1,Z67+2),IFERROR(1/0)),IFERROR(1/0))</f>
        <v/>
      </c>
      <c r="AB67" s="818" t="str">
        <f t="shared" ref="AB67:AB72" si="39">IF(W$4,IF(ISTEXT(AF67),IF(ISNUMBER(AA67),AA67+1,AB66+1),IFERROR(1/0)),IF(ISTEXT(AF67),IF(ISNUMBER(Z67),Z67+2,AB66+1),IFERROR(1/0)))</f>
        <v/>
      </c>
      <c r="AC67" s="820"/>
      <c r="AD67" s="820"/>
      <c r="AE67" s="820"/>
      <c r="AF67" s="820"/>
      <c r="AG67" s="820"/>
      <c r="AH67" s="792"/>
      <c r="AI67" s="823"/>
      <c r="AJ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K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L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M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N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O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P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Q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R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S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T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U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V67" s="792"/>
      <c r="AW67" s="824"/>
      <c r="AX67" s="824"/>
    </row>
    <row r="68" ht="15.75" customHeight="1">
      <c r="A68" s="855"/>
      <c r="B68" s="841" t="s">
        <v>703</v>
      </c>
      <c r="C68" s="854"/>
      <c r="D68" s="857">
        <v>0.0</v>
      </c>
      <c r="E68" s="857">
        <v>0.0</v>
      </c>
      <c r="F68" s="857">
        <v>0.0</v>
      </c>
      <c r="G68" s="857">
        <v>0.0</v>
      </c>
      <c r="H68" s="857">
        <v>0.0</v>
      </c>
      <c r="I68" s="857">
        <v>0.0</v>
      </c>
      <c r="J68" s="857">
        <v>0.0</v>
      </c>
      <c r="K68" s="857">
        <v>0.0</v>
      </c>
      <c r="L68" s="852"/>
      <c r="M68" s="852"/>
      <c r="N68" s="852"/>
      <c r="O68" s="852"/>
      <c r="P68" s="775"/>
      <c r="Q68" s="782"/>
      <c r="R68" s="853" t="str">
        <f t="shared" si="36"/>
        <v/>
      </c>
      <c r="S68" s="783"/>
      <c r="T68" s="844"/>
      <c r="U68" s="789"/>
      <c r="V68" s="789"/>
      <c r="W68" s="820"/>
      <c r="X68" s="820"/>
      <c r="Y68" s="789"/>
      <c r="Z68" s="789" t="str">
        <f t="shared" si="37"/>
        <v/>
      </c>
      <c r="AA68" s="789" t="str">
        <f t="shared" si="38"/>
        <v/>
      </c>
      <c r="AB68" s="818" t="str">
        <f t="shared" si="39"/>
        <v/>
      </c>
      <c r="AC68" s="820"/>
      <c r="AD68" s="820"/>
      <c r="AE68" s="820"/>
      <c r="AF68" s="820"/>
      <c r="AG68" s="820"/>
      <c r="AH68" s="792"/>
      <c r="AI68" s="823"/>
      <c r="AJ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K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L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M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N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O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P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Q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R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S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T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U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V68" s="792"/>
      <c r="AW68" s="824"/>
      <c r="AX68" s="824"/>
    </row>
    <row r="69" ht="15.75" customHeight="1">
      <c r="A69" s="855"/>
      <c r="B69" s="841" t="s">
        <v>704</v>
      </c>
      <c r="C69" s="854"/>
      <c r="D69" s="857">
        <v>0.0</v>
      </c>
      <c r="E69" s="857">
        <v>0.0</v>
      </c>
      <c r="F69" s="857">
        <v>0.0</v>
      </c>
      <c r="G69" s="857">
        <v>0.0</v>
      </c>
      <c r="H69" s="857">
        <v>0.0</v>
      </c>
      <c r="I69" s="857">
        <v>0.0</v>
      </c>
      <c r="J69" s="857">
        <v>0.0</v>
      </c>
      <c r="K69" s="857">
        <v>0.0</v>
      </c>
      <c r="L69" s="852"/>
      <c r="M69" s="852"/>
      <c r="N69" s="852"/>
      <c r="O69" s="852"/>
      <c r="P69" s="775"/>
      <c r="Q69" s="782"/>
      <c r="R69" s="853" t="str">
        <f t="shared" si="36"/>
        <v/>
      </c>
      <c r="S69" s="783"/>
      <c r="T69" s="844"/>
      <c r="U69" s="789"/>
      <c r="V69" s="789"/>
      <c r="W69" s="820"/>
      <c r="X69" s="820"/>
      <c r="Y69" s="789"/>
      <c r="Z69" s="789" t="str">
        <f t="shared" si="37"/>
        <v/>
      </c>
      <c r="AA69" s="789" t="str">
        <f t="shared" si="38"/>
        <v/>
      </c>
      <c r="AB69" s="818" t="str">
        <f t="shared" si="39"/>
        <v/>
      </c>
      <c r="AC69" s="820"/>
      <c r="AD69" s="820"/>
      <c r="AE69" s="820"/>
      <c r="AF69" s="820"/>
      <c r="AG69" s="820"/>
      <c r="AH69" s="792"/>
      <c r="AI69" s="823"/>
      <c r="AJ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K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L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M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N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O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P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Q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R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S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T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U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V69" s="792"/>
      <c r="AW69" s="824"/>
      <c r="AX69" s="824"/>
    </row>
    <row r="70" ht="15.75" customHeight="1">
      <c r="A70" s="855"/>
      <c r="B70" s="854"/>
      <c r="C70" s="854"/>
      <c r="D70" s="852"/>
      <c r="E70" s="852"/>
      <c r="F70" s="852"/>
      <c r="G70" s="852"/>
      <c r="H70" s="852"/>
      <c r="I70" s="852"/>
      <c r="J70" s="852"/>
      <c r="K70" s="852"/>
      <c r="L70" s="852"/>
      <c r="M70" s="852"/>
      <c r="N70" s="852"/>
      <c r="O70" s="852"/>
      <c r="P70" s="775"/>
      <c r="Q70" s="782"/>
      <c r="R70" s="853" t="str">
        <f t="shared" si="36"/>
        <v/>
      </c>
      <c r="S70" s="783"/>
      <c r="T70" s="844"/>
      <c r="U70" s="789"/>
      <c r="V70" s="789"/>
      <c r="W70" s="820"/>
      <c r="X70" s="820"/>
      <c r="Y70" s="789"/>
      <c r="Z70" s="789" t="str">
        <f t="shared" si="37"/>
        <v/>
      </c>
      <c r="AA70" s="789" t="str">
        <f t="shared" si="38"/>
        <v/>
      </c>
      <c r="AB70" s="818" t="str">
        <f t="shared" si="39"/>
        <v/>
      </c>
      <c r="AC70" s="820"/>
      <c r="AD70" s="820"/>
      <c r="AE70" s="820"/>
      <c r="AF70" s="820"/>
      <c r="AG70" s="820"/>
      <c r="AH70" s="792"/>
      <c r="AI70" s="823"/>
      <c r="AJ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K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L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M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N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O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P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Q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R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S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T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U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V70" s="792"/>
      <c r="AW70" s="824"/>
      <c r="AX70" s="824"/>
    </row>
    <row r="71" ht="15.75" customHeight="1">
      <c r="A71" s="855"/>
      <c r="B71" s="854"/>
      <c r="C71" s="854"/>
      <c r="D71" s="852"/>
      <c r="E71" s="852"/>
      <c r="F71" s="852"/>
      <c r="G71" s="852"/>
      <c r="H71" s="852"/>
      <c r="I71" s="852"/>
      <c r="J71" s="852"/>
      <c r="K71" s="852"/>
      <c r="L71" s="852"/>
      <c r="M71" s="852"/>
      <c r="N71" s="852"/>
      <c r="O71" s="852"/>
      <c r="P71" s="775"/>
      <c r="Q71" s="782"/>
      <c r="R71" s="853" t="str">
        <f t="shared" si="36"/>
        <v/>
      </c>
      <c r="S71" s="783"/>
      <c r="T71" s="844"/>
      <c r="U71" s="789"/>
      <c r="V71" s="789"/>
      <c r="W71" s="820"/>
      <c r="X71" s="820"/>
      <c r="Y71" s="789"/>
      <c r="Z71" s="789" t="str">
        <f t="shared" si="37"/>
        <v/>
      </c>
      <c r="AA71" s="789" t="str">
        <f t="shared" si="38"/>
        <v/>
      </c>
      <c r="AB71" s="818" t="str">
        <f t="shared" si="39"/>
        <v/>
      </c>
      <c r="AC71" s="820"/>
      <c r="AD71" s="820"/>
      <c r="AE71" s="820"/>
      <c r="AF71" s="820"/>
      <c r="AG71" s="820"/>
      <c r="AH71" s="792"/>
      <c r="AI71" s="823"/>
      <c r="AJ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K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L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M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N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O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P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Q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R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S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T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U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V71" s="792"/>
      <c r="AW71" s="824"/>
      <c r="AX71" s="824"/>
    </row>
    <row r="72" ht="15.75" customHeight="1">
      <c r="A72" s="855"/>
      <c r="B72" s="854"/>
      <c r="C72" s="854"/>
      <c r="D72" s="852"/>
      <c r="E72" s="852"/>
      <c r="F72" s="852"/>
      <c r="G72" s="852"/>
      <c r="H72" s="852"/>
      <c r="I72" s="852"/>
      <c r="J72" s="852"/>
      <c r="K72" s="852"/>
      <c r="L72" s="852"/>
      <c r="M72" s="852"/>
      <c r="N72" s="852"/>
      <c r="O72" s="852"/>
      <c r="P72" s="775"/>
      <c r="Q72" s="782"/>
      <c r="R72" s="853" t="str">
        <f t="shared" si="36"/>
        <v/>
      </c>
      <c r="S72" s="783"/>
      <c r="T72" s="844"/>
      <c r="U72" s="789"/>
      <c r="V72" s="789"/>
      <c r="W72" s="820"/>
      <c r="X72" s="820"/>
      <c r="Y72" s="789"/>
      <c r="Z72" s="789" t="str">
        <f t="shared" si="37"/>
        <v/>
      </c>
      <c r="AA72" s="789" t="str">
        <f t="shared" si="38"/>
        <v/>
      </c>
      <c r="AB72" s="818" t="str">
        <f t="shared" si="39"/>
        <v/>
      </c>
      <c r="AC72" s="820"/>
      <c r="AD72" s="820"/>
      <c r="AE72" s="820"/>
      <c r="AF72" s="820"/>
      <c r="AG72" s="820"/>
      <c r="AH72" s="792"/>
      <c r="AI72" s="823"/>
      <c r="AJ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K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L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M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N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O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P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Q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R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S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T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U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V72" s="792"/>
      <c r="AW72" s="824"/>
      <c r="AX72" s="824"/>
    </row>
  </sheetData>
  <mergeCells count="6">
    <mergeCell ref="N1:O1"/>
    <mergeCell ref="B2:C2"/>
    <mergeCell ref="F2:G2"/>
    <mergeCell ref="B4:C4"/>
    <mergeCell ref="I4:O4"/>
    <mergeCell ref="AW11:AX11"/>
  </mergeCells>
  <conditionalFormatting sqref="D20:O21">
    <cfRule type="cellIs" dxfId="1" priority="1" operator="lessThan">
      <formula>0</formula>
    </cfRule>
  </conditionalFormatting>
  <conditionalFormatting sqref="D17:O17">
    <cfRule type="expression" dxfId="9" priority="2">
      <formula>not(isblank(#REF!))</formula>
    </cfRule>
  </conditionalFormatting>
  <conditionalFormatting sqref="D23:O72">
    <cfRule type="expression" dxfId="10" priority="3">
      <formula>and(not(isna(match(row($D23)-row($D$23),$Z$5:$Z72,0))),not(isblank(#REF!)))</formula>
    </cfRule>
  </conditionalFormatting>
  <conditionalFormatting sqref="N1:O3">
    <cfRule type="cellIs" dxfId="11" priority="4" operator="lessThan">
      <formula>0</formula>
    </cfRule>
  </conditionalFormatting>
  <conditionalFormatting sqref="D23:O72">
    <cfRule type="expression" dxfId="12" priority="5">
      <formula>and(not(isna(match(row($D23)-row($D$23),$AA$5:$AA72,0))),not(isblank(#REF!)))</formula>
    </cfRule>
  </conditionalFormatting>
  <conditionalFormatting sqref="C19">
    <cfRule type="notContainsBlanks" dxfId="13" priority="6">
      <formula>LEN(TRIM(C19))&gt;0</formula>
    </cfRule>
  </conditionalFormatting>
  <conditionalFormatting sqref="D19:O19">
    <cfRule type="expression" dxfId="10" priority="7">
      <formula>not(isblank(#REF!))</formula>
    </cfRule>
  </conditionalFormatting>
  <conditionalFormatting sqref="B23:C72">
    <cfRule type="expression" dxfId="10" priority="8">
      <formula>not(isna(match(row($B23)-row($B$23),$Z$5:$Z72,0)))</formula>
    </cfRule>
  </conditionalFormatting>
  <conditionalFormatting sqref="B23:C72">
    <cfRule type="expression" dxfId="12" priority="9">
      <formula>not(isna(match(row($B23)-row($B$23),$AA$5:$AA72,0)))</formula>
    </cfRule>
  </conditionalFormatting>
  <dataValidations>
    <dataValidation type="list" allowBlank="1" showErrorMessage="1" sqref="V1:V4">
      <formula1>"Yes,No"</formula1>
    </dataValidation>
    <dataValidation type="list" allowBlank="1" showErrorMessage="1" sqref="H4">
      <formula1>"Week,Month,Quarter,Year"</formula1>
    </dataValidation>
  </dataValidation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hidden="1" min="2" max="6" width="12.63"/>
    <col customWidth="1" hidden="1" min="7" max="7" width="15.0"/>
    <col customWidth="1" min="8" max="13" width="15.0"/>
    <col customWidth="1" min="14" max="14" width="1.38"/>
  </cols>
  <sheetData>
    <row r="1">
      <c r="A1" s="884" t="s">
        <v>705</v>
      </c>
      <c r="B1" s="885" t="s">
        <v>95</v>
      </c>
      <c r="C1" s="885" t="s">
        <v>96</v>
      </c>
      <c r="D1" s="885" t="s">
        <v>97</v>
      </c>
      <c r="E1" s="885" t="s">
        <v>98</v>
      </c>
      <c r="F1" s="885" t="s">
        <v>99</v>
      </c>
      <c r="G1" s="886" t="s">
        <v>100</v>
      </c>
      <c r="H1" s="884" t="s">
        <v>706</v>
      </c>
      <c r="I1" s="884" t="s">
        <v>707</v>
      </c>
      <c r="J1" s="884" t="s">
        <v>708</v>
      </c>
      <c r="K1" s="884" t="s">
        <v>709</v>
      </c>
      <c r="L1" s="884" t="s">
        <v>710</v>
      </c>
      <c r="M1" s="884" t="s">
        <v>711</v>
      </c>
      <c r="N1" s="887"/>
      <c r="O1" s="884" t="s">
        <v>95</v>
      </c>
      <c r="P1" s="884" t="s">
        <v>96</v>
      </c>
    </row>
    <row r="2">
      <c r="A2" s="888" t="s">
        <v>195</v>
      </c>
      <c r="B2" s="889"/>
      <c r="C2" s="889"/>
      <c r="D2" s="889"/>
      <c r="E2" s="889"/>
      <c r="F2" s="889"/>
      <c r="G2" s="890"/>
      <c r="H2" s="889"/>
      <c r="I2" s="889"/>
      <c r="J2" s="889"/>
      <c r="K2" s="889"/>
      <c r="L2" s="889"/>
      <c r="M2" s="889"/>
      <c r="N2" s="891"/>
      <c r="O2" s="889"/>
      <c r="P2" s="889"/>
    </row>
    <row r="3">
      <c r="A3" s="892" t="s">
        <v>712</v>
      </c>
      <c r="B3" s="893">
        <v>10000.0</v>
      </c>
      <c r="C3" s="893">
        <v>10000.0</v>
      </c>
      <c r="D3" s="893">
        <v>10000.0</v>
      </c>
      <c r="E3" s="893">
        <v>10000.0</v>
      </c>
      <c r="F3" s="893">
        <v>10000.0</v>
      </c>
      <c r="G3" s="894">
        <v>10000.0</v>
      </c>
      <c r="H3" s="893">
        <v>10000.0</v>
      </c>
      <c r="I3" s="893">
        <v>10000.0</v>
      </c>
      <c r="J3" s="893">
        <v>10000.0</v>
      </c>
      <c r="K3" s="893">
        <v>10000.0</v>
      </c>
      <c r="L3" s="893">
        <v>10000.0</v>
      </c>
      <c r="M3" s="893">
        <v>10000.0</v>
      </c>
      <c r="N3" s="895"/>
      <c r="O3" s="893">
        <v>10000.0</v>
      </c>
      <c r="P3" s="893">
        <v>12500.0</v>
      </c>
    </row>
    <row r="4">
      <c r="A4" s="434" t="s">
        <v>713</v>
      </c>
      <c r="B4" s="893">
        <v>0.0</v>
      </c>
      <c r="C4" s="893">
        <v>0.0</v>
      </c>
      <c r="D4" s="893">
        <v>0.0</v>
      </c>
      <c r="E4" s="893">
        <v>0.0</v>
      </c>
      <c r="F4" s="893">
        <v>0.0</v>
      </c>
      <c r="G4" s="894">
        <v>0.0</v>
      </c>
      <c r="H4" s="893">
        <v>0.0</v>
      </c>
      <c r="I4" s="893">
        <v>0.0</v>
      </c>
      <c r="J4" s="893">
        <v>0.0</v>
      </c>
      <c r="K4" s="893">
        <v>0.0</v>
      </c>
      <c r="L4" s="893">
        <v>0.0</v>
      </c>
      <c r="M4" s="893">
        <v>0.0</v>
      </c>
      <c r="N4" s="895"/>
      <c r="O4" s="893">
        <v>0.0</v>
      </c>
      <c r="P4" s="893">
        <v>0.0</v>
      </c>
    </row>
    <row r="5">
      <c r="A5" s="434" t="s">
        <v>714</v>
      </c>
      <c r="B5" s="893">
        <v>0.0</v>
      </c>
      <c r="C5" s="893">
        <v>3000.0</v>
      </c>
      <c r="D5" s="893">
        <v>0.0</v>
      </c>
      <c r="E5" s="893">
        <v>0.0</v>
      </c>
      <c r="F5" s="893">
        <v>0.0</v>
      </c>
      <c r="G5" s="894">
        <v>0.0</v>
      </c>
      <c r="H5" s="893">
        <v>5000.0</v>
      </c>
      <c r="I5" s="893">
        <v>0.0</v>
      </c>
      <c r="J5" s="893">
        <v>0.0</v>
      </c>
      <c r="K5" s="893">
        <v>0.0</v>
      </c>
      <c r="L5" s="893">
        <v>0.0</v>
      </c>
      <c r="M5" s="893">
        <v>0.0</v>
      </c>
      <c r="N5" s="895"/>
      <c r="O5" s="893">
        <v>8000.0</v>
      </c>
      <c r="P5" s="893">
        <v>0.0</v>
      </c>
    </row>
    <row r="6">
      <c r="A6" s="462"/>
      <c r="B6" s="896"/>
      <c r="C6" s="896"/>
      <c r="D6" s="896"/>
      <c r="E6" s="896"/>
      <c r="F6" s="896"/>
      <c r="G6" s="897"/>
      <c r="H6" s="896"/>
      <c r="I6" s="896"/>
      <c r="J6" s="896"/>
      <c r="K6" s="898"/>
      <c r="L6" s="896"/>
      <c r="M6" s="896"/>
      <c r="N6" s="899"/>
      <c r="O6" s="896"/>
      <c r="P6" s="896"/>
    </row>
    <row r="7">
      <c r="A7" s="900" t="s">
        <v>203</v>
      </c>
      <c r="B7" s="901">
        <f t="shared" ref="B7:M7" si="1">sum(B3:B4)</f>
        <v>10000</v>
      </c>
      <c r="C7" s="901">
        <f t="shared" si="1"/>
        <v>10000</v>
      </c>
      <c r="D7" s="901">
        <f t="shared" si="1"/>
        <v>10000</v>
      </c>
      <c r="E7" s="901">
        <f t="shared" si="1"/>
        <v>10000</v>
      </c>
      <c r="F7" s="901">
        <f t="shared" si="1"/>
        <v>10000</v>
      </c>
      <c r="G7" s="902">
        <f t="shared" si="1"/>
        <v>10000</v>
      </c>
      <c r="H7" s="901">
        <f t="shared" si="1"/>
        <v>10000</v>
      </c>
      <c r="I7" s="901">
        <f t="shared" si="1"/>
        <v>10000</v>
      </c>
      <c r="J7" s="901">
        <f t="shared" si="1"/>
        <v>10000</v>
      </c>
      <c r="K7" s="903">
        <f t="shared" si="1"/>
        <v>10000</v>
      </c>
      <c r="L7" s="901">
        <f t="shared" si="1"/>
        <v>10000</v>
      </c>
      <c r="M7" s="901">
        <f t="shared" si="1"/>
        <v>10000</v>
      </c>
      <c r="N7" s="904"/>
      <c r="O7" s="901">
        <f>sum(O3:O5)</f>
        <v>18000</v>
      </c>
      <c r="P7" s="901">
        <f>sum(P3:P4)</f>
        <v>12500</v>
      </c>
    </row>
    <row r="8">
      <c r="A8" s="905" t="s">
        <v>715</v>
      </c>
      <c r="B8" s="906">
        <f>B7*0.38</f>
        <v>3800</v>
      </c>
      <c r="C8" s="906">
        <f t="shared" ref="C8:M8" si="2">C7*0.34</f>
        <v>3400</v>
      </c>
      <c r="D8" s="906">
        <f t="shared" si="2"/>
        <v>3400</v>
      </c>
      <c r="E8" s="906">
        <f t="shared" si="2"/>
        <v>3400</v>
      </c>
      <c r="F8" s="906">
        <f t="shared" si="2"/>
        <v>3400</v>
      </c>
      <c r="G8" s="907">
        <f t="shared" si="2"/>
        <v>3400</v>
      </c>
      <c r="H8" s="906">
        <f t="shared" si="2"/>
        <v>3400</v>
      </c>
      <c r="I8" s="906">
        <f t="shared" si="2"/>
        <v>3400</v>
      </c>
      <c r="J8" s="906">
        <f t="shared" si="2"/>
        <v>3400</v>
      </c>
      <c r="K8" s="906">
        <f t="shared" si="2"/>
        <v>3400</v>
      </c>
      <c r="L8" s="906">
        <f t="shared" si="2"/>
        <v>3400</v>
      </c>
      <c r="M8" s="906">
        <f t="shared" si="2"/>
        <v>3400</v>
      </c>
      <c r="N8" s="908"/>
      <c r="O8" s="906">
        <f t="shared" ref="O8:P8" si="3">O7*0.34</f>
        <v>6120</v>
      </c>
      <c r="P8" s="906">
        <f t="shared" si="3"/>
        <v>4250</v>
      </c>
    </row>
    <row r="9">
      <c r="A9" s="909" t="s">
        <v>206</v>
      </c>
      <c r="B9" s="910">
        <f t="shared" ref="B9:M9" si="4">B7-B8+B5</f>
        <v>6200</v>
      </c>
      <c r="C9" s="910">
        <f t="shared" si="4"/>
        <v>9600</v>
      </c>
      <c r="D9" s="910">
        <f t="shared" si="4"/>
        <v>6600</v>
      </c>
      <c r="E9" s="910">
        <f t="shared" si="4"/>
        <v>6600</v>
      </c>
      <c r="F9" s="910">
        <f t="shared" si="4"/>
        <v>6600</v>
      </c>
      <c r="G9" s="911">
        <f t="shared" si="4"/>
        <v>6600</v>
      </c>
      <c r="H9" s="910">
        <f t="shared" si="4"/>
        <v>11600</v>
      </c>
      <c r="I9" s="910">
        <f t="shared" si="4"/>
        <v>6600</v>
      </c>
      <c r="J9" s="910">
        <f t="shared" si="4"/>
        <v>6600</v>
      </c>
      <c r="K9" s="910">
        <f t="shared" si="4"/>
        <v>6600</v>
      </c>
      <c r="L9" s="910">
        <f t="shared" si="4"/>
        <v>6600</v>
      </c>
      <c r="M9" s="910">
        <f t="shared" si="4"/>
        <v>6600</v>
      </c>
      <c r="N9" s="912"/>
      <c r="O9" s="910">
        <f>O7-O8</f>
        <v>11880</v>
      </c>
      <c r="P9" s="910">
        <f>P7-P8+P5</f>
        <v>8250</v>
      </c>
    </row>
    <row r="10">
      <c r="A10" s="913"/>
      <c r="B10" s="914"/>
      <c r="C10" s="914"/>
      <c r="D10" s="914"/>
      <c r="E10" s="914"/>
      <c r="F10" s="914"/>
      <c r="G10" s="915"/>
      <c r="H10" s="914"/>
      <c r="I10" s="914"/>
      <c r="J10" s="914"/>
      <c r="K10" s="914"/>
      <c r="L10" s="914"/>
      <c r="M10" s="914"/>
      <c r="N10" s="916"/>
      <c r="O10" s="914"/>
      <c r="P10" s="914"/>
    </row>
    <row r="11">
      <c r="A11" s="917" t="s">
        <v>716</v>
      </c>
      <c r="B11" s="918"/>
      <c r="C11" s="918"/>
      <c r="D11" s="918"/>
      <c r="E11" s="918"/>
      <c r="F11" s="918"/>
      <c r="G11" s="919"/>
      <c r="H11" s="918"/>
      <c r="I11" s="918"/>
      <c r="J11" s="918"/>
      <c r="K11" s="918"/>
      <c r="L11" s="918"/>
      <c r="M11" s="920"/>
      <c r="N11" s="921"/>
      <c r="O11" s="920"/>
      <c r="P11" s="920"/>
    </row>
    <row r="12">
      <c r="A12" s="892" t="s">
        <v>717</v>
      </c>
      <c r="B12" s="922">
        <v>1150.0</v>
      </c>
      <c r="C12" s="922">
        <v>1000.0</v>
      </c>
      <c r="D12" s="922">
        <v>1000.0</v>
      </c>
      <c r="E12" s="922">
        <v>1120.0</v>
      </c>
      <c r="F12" s="922">
        <v>1000.0</v>
      </c>
      <c r="G12" s="923">
        <v>500.0</v>
      </c>
      <c r="H12" s="922">
        <f>25*5*4</f>
        <v>500</v>
      </c>
      <c r="I12" s="922">
        <f t="shared" ref="I12:M12" si="5">50*5*4</f>
        <v>1000</v>
      </c>
      <c r="J12" s="922">
        <f t="shared" si="5"/>
        <v>1000</v>
      </c>
      <c r="K12" s="922">
        <f t="shared" si="5"/>
        <v>1000</v>
      </c>
      <c r="L12" s="922">
        <f t="shared" si="5"/>
        <v>1000</v>
      </c>
      <c r="M12" s="922">
        <f t="shared" si="5"/>
        <v>1000</v>
      </c>
      <c r="N12" s="924"/>
      <c r="O12" s="922">
        <f t="shared" ref="O12:P12" si="6">60*5*4</f>
        <v>1200</v>
      </c>
      <c r="P12" s="922">
        <f t="shared" si="6"/>
        <v>1200</v>
      </c>
    </row>
    <row r="13">
      <c r="A13" s="892" t="s">
        <v>718</v>
      </c>
      <c r="B13" s="922"/>
      <c r="C13" s="922"/>
      <c r="D13" s="922"/>
      <c r="E13" s="922"/>
      <c r="F13" s="922"/>
      <c r="G13" s="923"/>
      <c r="H13" s="922">
        <f t="shared" ref="H13:K13" si="7">100*4</f>
        <v>400</v>
      </c>
      <c r="I13" s="922">
        <f t="shared" si="7"/>
        <v>400</v>
      </c>
      <c r="J13" s="922">
        <f t="shared" si="7"/>
        <v>400</v>
      </c>
      <c r="K13" s="922">
        <f t="shared" si="7"/>
        <v>400</v>
      </c>
      <c r="L13" s="922">
        <f>125*4</f>
        <v>500</v>
      </c>
      <c r="M13" s="922">
        <f>150*4</f>
        <v>600</v>
      </c>
      <c r="N13" s="924"/>
      <c r="O13" s="922">
        <f t="shared" ref="O13:P13" si="8">150*4</f>
        <v>600</v>
      </c>
      <c r="P13" s="922">
        <f t="shared" si="8"/>
        <v>600</v>
      </c>
    </row>
    <row r="14">
      <c r="A14" s="892" t="s">
        <v>719</v>
      </c>
      <c r="B14" s="922">
        <v>200.0</v>
      </c>
      <c r="C14" s="922">
        <v>200.0</v>
      </c>
      <c r="D14" s="922">
        <v>200.0</v>
      </c>
      <c r="E14" s="922">
        <v>200.0</v>
      </c>
      <c r="F14" s="922">
        <v>200.0</v>
      </c>
      <c r="G14" s="923">
        <v>200.0</v>
      </c>
      <c r="H14" s="922">
        <f t="shared" ref="H14:M14" si="9">100*4</f>
        <v>400</v>
      </c>
      <c r="I14" s="922">
        <f t="shared" si="9"/>
        <v>400</v>
      </c>
      <c r="J14" s="922">
        <f t="shared" si="9"/>
        <v>400</v>
      </c>
      <c r="K14" s="922">
        <f t="shared" si="9"/>
        <v>400</v>
      </c>
      <c r="L14" s="922">
        <f t="shared" si="9"/>
        <v>400</v>
      </c>
      <c r="M14" s="922">
        <f t="shared" si="9"/>
        <v>400</v>
      </c>
      <c r="N14" s="924"/>
      <c r="O14" s="922">
        <v>200.0</v>
      </c>
      <c r="P14" s="922">
        <v>200.0</v>
      </c>
    </row>
    <row r="15">
      <c r="A15" s="892" t="s">
        <v>720</v>
      </c>
      <c r="B15" s="922">
        <v>1450.0</v>
      </c>
      <c r="C15" s="922">
        <v>1450.0</v>
      </c>
      <c r="D15" s="922">
        <v>1450.0</v>
      </c>
      <c r="E15" s="922">
        <v>1450.0</v>
      </c>
      <c r="F15" s="922">
        <v>1450.0</v>
      </c>
      <c r="G15" s="923">
        <f>1450+350</f>
        <v>1800</v>
      </c>
      <c r="H15" s="922">
        <f>1853+569</f>
        <v>2422</v>
      </c>
      <c r="I15" s="922">
        <v>0.0</v>
      </c>
      <c r="J15" s="922">
        <v>800.0</v>
      </c>
      <c r="K15" s="922">
        <f t="shared" ref="K15:M15" si="10">3383-1500+100</f>
        <v>1983</v>
      </c>
      <c r="L15" s="922">
        <f t="shared" si="10"/>
        <v>1983</v>
      </c>
      <c r="M15" s="922">
        <f t="shared" si="10"/>
        <v>1983</v>
      </c>
      <c r="N15" s="924"/>
      <c r="O15" s="922">
        <f t="shared" ref="O15:P15" si="11">3383-1500+100</f>
        <v>1983</v>
      </c>
      <c r="P15" s="922">
        <f t="shared" si="11"/>
        <v>1983</v>
      </c>
    </row>
    <row r="16">
      <c r="A16" s="892" t="s">
        <v>568</v>
      </c>
      <c r="B16" s="893">
        <v>9.0</v>
      </c>
      <c r="C16" s="893">
        <v>9.0</v>
      </c>
      <c r="D16" s="893">
        <v>9.0</v>
      </c>
      <c r="E16" s="893">
        <v>9.0</v>
      </c>
      <c r="F16" s="893">
        <v>9.0</v>
      </c>
      <c r="G16" s="894">
        <v>9.0</v>
      </c>
      <c r="H16" s="893">
        <v>9.0</v>
      </c>
      <c r="I16" s="893">
        <v>9.0</v>
      </c>
      <c r="J16" s="893">
        <v>9.0</v>
      </c>
      <c r="K16" s="893">
        <v>9.0</v>
      </c>
      <c r="L16" s="893">
        <v>9.0</v>
      </c>
      <c r="M16" s="893">
        <v>9.0</v>
      </c>
      <c r="N16" s="895"/>
      <c r="O16" s="893">
        <v>9.0</v>
      </c>
      <c r="P16" s="893">
        <v>9.0</v>
      </c>
    </row>
    <row r="17">
      <c r="A17" s="892" t="s">
        <v>721</v>
      </c>
      <c r="B17" s="922"/>
      <c r="C17" s="922"/>
      <c r="D17" s="922">
        <v>50.0</v>
      </c>
      <c r="E17" s="922">
        <v>50.0</v>
      </c>
      <c r="F17" s="922">
        <v>50.0</v>
      </c>
      <c r="G17" s="922">
        <v>50.0</v>
      </c>
      <c r="H17" s="922">
        <v>100.0</v>
      </c>
      <c r="I17" s="922">
        <v>50.0</v>
      </c>
      <c r="J17" s="922">
        <v>50.0</v>
      </c>
      <c r="K17" s="922">
        <v>50.0</v>
      </c>
      <c r="L17" s="922">
        <v>50.0</v>
      </c>
      <c r="M17" s="922">
        <v>50.0</v>
      </c>
      <c r="N17" s="924"/>
      <c r="O17" s="922">
        <v>100.0</v>
      </c>
      <c r="P17" s="922">
        <v>100.0</v>
      </c>
    </row>
    <row r="18">
      <c r="A18" s="892" t="s">
        <v>722</v>
      </c>
      <c r="B18" s="922"/>
      <c r="C18" s="922"/>
      <c r="D18" s="922"/>
      <c r="E18" s="922"/>
      <c r="F18" s="922"/>
      <c r="G18" s="922"/>
      <c r="H18" s="922">
        <v>600.0</v>
      </c>
      <c r="I18" s="922">
        <v>75.0</v>
      </c>
      <c r="J18" s="922">
        <v>200.0</v>
      </c>
      <c r="K18" s="922">
        <v>100.0</v>
      </c>
      <c r="L18" s="922">
        <v>100.0</v>
      </c>
      <c r="M18" s="922">
        <v>100.0</v>
      </c>
      <c r="N18" s="924"/>
      <c r="O18" s="922">
        <v>100.0</v>
      </c>
      <c r="P18" s="922">
        <v>100.0</v>
      </c>
    </row>
    <row r="19">
      <c r="A19" s="892" t="s">
        <v>723</v>
      </c>
      <c r="B19" s="922"/>
      <c r="C19" s="922"/>
      <c r="D19" s="922"/>
      <c r="E19" s="922"/>
      <c r="F19" s="922"/>
      <c r="G19" s="922"/>
      <c r="H19" s="922">
        <v>10.0</v>
      </c>
      <c r="I19" s="922">
        <v>10.0</v>
      </c>
      <c r="J19" s="922">
        <v>10.0</v>
      </c>
      <c r="K19" s="922">
        <v>10.0</v>
      </c>
      <c r="L19" s="922">
        <v>10.0</v>
      </c>
      <c r="M19" s="922">
        <v>10.0</v>
      </c>
      <c r="N19" s="924"/>
      <c r="O19" s="922">
        <v>20.0</v>
      </c>
      <c r="P19" s="922">
        <v>20.0</v>
      </c>
    </row>
    <row r="20">
      <c r="A20" s="892" t="s">
        <v>724</v>
      </c>
      <c r="B20" s="922"/>
      <c r="C20" s="922"/>
      <c r="D20" s="922"/>
      <c r="E20" s="922"/>
      <c r="F20" s="922"/>
      <c r="G20" s="922"/>
      <c r="H20" s="922">
        <v>100.0</v>
      </c>
      <c r="I20" s="922">
        <v>100.0</v>
      </c>
      <c r="J20" s="922">
        <v>100.0</v>
      </c>
      <c r="K20" s="922">
        <v>100.0</v>
      </c>
      <c r="L20" s="922">
        <v>100.0</v>
      </c>
      <c r="M20" s="922">
        <v>100.0</v>
      </c>
      <c r="N20" s="924"/>
      <c r="O20" s="922">
        <v>300.0</v>
      </c>
      <c r="P20" s="922">
        <v>300.0</v>
      </c>
    </row>
    <row r="21">
      <c r="A21" s="892" t="s">
        <v>212</v>
      </c>
      <c r="B21" s="893">
        <f t="shared" ref="B21:M21" si="12">62.95/2</f>
        <v>31.475</v>
      </c>
      <c r="C21" s="893">
        <f t="shared" si="12"/>
        <v>31.475</v>
      </c>
      <c r="D21" s="893">
        <f t="shared" si="12"/>
        <v>31.475</v>
      </c>
      <c r="E21" s="893">
        <f t="shared" si="12"/>
        <v>31.475</v>
      </c>
      <c r="F21" s="893">
        <f t="shared" si="12"/>
        <v>31.475</v>
      </c>
      <c r="G21" s="894">
        <f t="shared" si="12"/>
        <v>31.475</v>
      </c>
      <c r="H21" s="893">
        <f t="shared" si="12"/>
        <v>31.475</v>
      </c>
      <c r="I21" s="893">
        <f t="shared" si="12"/>
        <v>31.475</v>
      </c>
      <c r="J21" s="893">
        <f t="shared" si="12"/>
        <v>31.475</v>
      </c>
      <c r="K21" s="893">
        <f t="shared" si="12"/>
        <v>31.475</v>
      </c>
      <c r="L21" s="893">
        <f t="shared" si="12"/>
        <v>31.475</v>
      </c>
      <c r="M21" s="893">
        <f t="shared" si="12"/>
        <v>31.475</v>
      </c>
      <c r="N21" s="895"/>
      <c r="O21" s="893">
        <f t="shared" ref="O21:P21" si="13">62.95/2</f>
        <v>31.475</v>
      </c>
      <c r="P21" s="893">
        <f t="shared" si="13"/>
        <v>31.475</v>
      </c>
    </row>
    <row r="22">
      <c r="A22" s="892" t="s">
        <v>725</v>
      </c>
      <c r="B22" s="893"/>
      <c r="C22" s="893"/>
      <c r="D22" s="893">
        <v>100.0</v>
      </c>
      <c r="E22" s="893">
        <v>128.79</v>
      </c>
      <c r="F22" s="893">
        <v>120.0</v>
      </c>
      <c r="G22" s="894">
        <f>120+500</f>
        <v>620</v>
      </c>
      <c r="H22" s="893">
        <v>120.0</v>
      </c>
      <c r="I22" s="893">
        <v>120.0</v>
      </c>
      <c r="J22" s="893">
        <v>120.0</v>
      </c>
      <c r="K22" s="893">
        <v>120.0</v>
      </c>
      <c r="L22" s="893">
        <v>120.0</v>
      </c>
      <c r="M22" s="893">
        <v>120.0</v>
      </c>
      <c r="N22" s="895"/>
      <c r="O22" s="893">
        <v>120.0</v>
      </c>
      <c r="P22" s="893">
        <v>120.0</v>
      </c>
    </row>
    <row r="23">
      <c r="A23" s="892" t="s">
        <v>726</v>
      </c>
      <c r="B23" s="922">
        <v>0.0</v>
      </c>
      <c r="C23" s="922">
        <v>0.0</v>
      </c>
      <c r="D23" s="922">
        <v>0.0</v>
      </c>
      <c r="E23" s="922">
        <v>0.0</v>
      </c>
      <c r="F23" s="922">
        <v>0.0</v>
      </c>
      <c r="G23" s="923">
        <v>0.0</v>
      </c>
      <c r="H23" s="922">
        <v>25.0</v>
      </c>
      <c r="I23" s="922">
        <v>25.0</v>
      </c>
      <c r="J23" s="922">
        <v>25.0</v>
      </c>
      <c r="K23" s="922">
        <v>25.0</v>
      </c>
      <c r="L23" s="922">
        <v>25.0</v>
      </c>
      <c r="M23" s="922">
        <v>25.0</v>
      </c>
      <c r="N23" s="924"/>
      <c r="O23" s="922">
        <v>25.0</v>
      </c>
      <c r="P23" s="922">
        <v>25.0</v>
      </c>
    </row>
    <row r="24">
      <c r="A24" s="892" t="s">
        <v>727</v>
      </c>
      <c r="B24" s="922">
        <v>200.0</v>
      </c>
      <c r="C24" s="922">
        <v>200.0</v>
      </c>
      <c r="D24" s="922">
        <v>100.0</v>
      </c>
      <c r="E24" s="922">
        <v>200.0</v>
      </c>
      <c r="F24" s="922">
        <v>200.0</v>
      </c>
      <c r="G24" s="923">
        <v>200.0</v>
      </c>
      <c r="H24" s="922">
        <f t="shared" ref="H24:M24" si="14">8*4*4+20*4</f>
        <v>208</v>
      </c>
      <c r="I24" s="922">
        <f t="shared" si="14"/>
        <v>208</v>
      </c>
      <c r="J24" s="922">
        <f t="shared" si="14"/>
        <v>208</v>
      </c>
      <c r="K24" s="922">
        <f t="shared" si="14"/>
        <v>208</v>
      </c>
      <c r="L24" s="922">
        <f t="shared" si="14"/>
        <v>208</v>
      </c>
      <c r="M24" s="922">
        <f t="shared" si="14"/>
        <v>208</v>
      </c>
      <c r="N24" s="924"/>
      <c r="O24" s="922">
        <f t="shared" ref="O24:P24" si="15">8*7*4</f>
        <v>224</v>
      </c>
      <c r="P24" s="922">
        <f t="shared" si="15"/>
        <v>224</v>
      </c>
    </row>
    <row r="25">
      <c r="A25" s="892" t="s">
        <v>569</v>
      </c>
      <c r="B25" s="922">
        <v>10.0</v>
      </c>
      <c r="C25" s="922">
        <v>10.0</v>
      </c>
      <c r="D25" s="922">
        <v>10.0</v>
      </c>
      <c r="E25" s="922">
        <v>10.0</v>
      </c>
      <c r="F25" s="922">
        <f t="shared" ref="F25:G25" si="16">10+5+20</f>
        <v>35</v>
      </c>
      <c r="G25" s="922">
        <f t="shared" si="16"/>
        <v>35</v>
      </c>
      <c r="H25" s="922">
        <f>10+20+60</f>
        <v>90</v>
      </c>
      <c r="I25" s="922">
        <f t="shared" ref="I25:J25" si="17">10+5+20+30</f>
        <v>65</v>
      </c>
      <c r="J25" s="922">
        <f t="shared" si="17"/>
        <v>65</v>
      </c>
      <c r="K25" s="922">
        <f t="shared" ref="K25:M25" si="18">10+5+20+60</f>
        <v>95</v>
      </c>
      <c r="L25" s="922">
        <f t="shared" si="18"/>
        <v>95</v>
      </c>
      <c r="M25" s="922">
        <f t="shared" si="18"/>
        <v>95</v>
      </c>
      <c r="N25" s="924"/>
      <c r="O25" s="922">
        <f t="shared" ref="O25:P25" si="19">10+5+20+60</f>
        <v>95</v>
      </c>
      <c r="P25" s="922">
        <f t="shared" si="19"/>
        <v>95</v>
      </c>
    </row>
    <row r="26">
      <c r="A26" s="892" t="s">
        <v>225</v>
      </c>
      <c r="B26" s="922">
        <v>0.0</v>
      </c>
      <c r="C26" s="922">
        <v>0.0</v>
      </c>
      <c r="D26" s="922">
        <v>500.0</v>
      </c>
      <c r="E26" s="922">
        <v>500.0</v>
      </c>
      <c r="F26" s="922">
        <v>0.0</v>
      </c>
      <c r="G26" s="923">
        <v>0.0</v>
      </c>
      <c r="H26" s="922">
        <v>0.0</v>
      </c>
      <c r="I26" s="922">
        <v>700.0</v>
      </c>
      <c r="J26" s="922">
        <v>750.0</v>
      </c>
      <c r="K26" s="922">
        <v>0.0</v>
      </c>
      <c r="L26" s="922">
        <v>0.0</v>
      </c>
      <c r="M26" s="922">
        <v>200.0</v>
      </c>
      <c r="N26" s="924"/>
      <c r="O26" s="922">
        <v>0.0</v>
      </c>
      <c r="P26" s="922">
        <v>0.0</v>
      </c>
    </row>
    <row r="27">
      <c r="A27" s="892" t="s">
        <v>231</v>
      </c>
      <c r="B27" s="922">
        <v>0.0</v>
      </c>
      <c r="C27" s="922">
        <v>0.0</v>
      </c>
      <c r="D27" s="922">
        <v>0.0</v>
      </c>
      <c r="E27" s="922">
        <v>0.0</v>
      </c>
      <c r="F27" s="922">
        <v>0.0</v>
      </c>
      <c r="G27" s="923">
        <v>0.0</v>
      </c>
      <c r="H27" s="922">
        <v>0.0</v>
      </c>
      <c r="I27" s="922">
        <v>0.0</v>
      </c>
      <c r="J27" s="922">
        <v>0.0</v>
      </c>
      <c r="K27" s="922">
        <v>0.0</v>
      </c>
      <c r="L27" s="922">
        <v>0.0</v>
      </c>
      <c r="M27" s="922">
        <v>0.0</v>
      </c>
      <c r="N27" s="924"/>
      <c r="O27" s="922">
        <v>0.0</v>
      </c>
      <c r="P27" s="922">
        <v>0.0</v>
      </c>
    </row>
    <row r="28">
      <c r="A28" s="892" t="s">
        <v>728</v>
      </c>
      <c r="B28" s="922">
        <v>0.0</v>
      </c>
      <c r="C28" s="922">
        <v>0.0</v>
      </c>
      <c r="D28" s="922">
        <v>0.0</v>
      </c>
      <c r="E28" s="922">
        <v>0.0</v>
      </c>
      <c r="F28" s="922">
        <v>0.0</v>
      </c>
      <c r="G28" s="923">
        <v>0.0</v>
      </c>
      <c r="H28" s="922">
        <v>0.0</v>
      </c>
      <c r="I28" s="922">
        <v>0.0</v>
      </c>
      <c r="J28" s="922">
        <v>0.0</v>
      </c>
      <c r="K28" s="922">
        <v>0.0</v>
      </c>
      <c r="L28" s="922">
        <v>0.0</v>
      </c>
      <c r="M28" s="922">
        <v>0.0</v>
      </c>
      <c r="N28" s="924"/>
      <c r="O28" s="922">
        <v>0.0</v>
      </c>
      <c r="P28" s="922">
        <v>0.0</v>
      </c>
    </row>
    <row r="29">
      <c r="A29" s="892" t="s">
        <v>31</v>
      </c>
      <c r="B29" s="922">
        <v>70.0</v>
      </c>
      <c r="C29" s="922">
        <v>70.0</v>
      </c>
      <c r="D29" s="922">
        <v>0.0</v>
      </c>
      <c r="E29" s="922">
        <v>0.0</v>
      </c>
      <c r="F29" s="922">
        <v>0.0</v>
      </c>
      <c r="G29" s="923">
        <v>140.0</v>
      </c>
      <c r="H29" s="922">
        <f>5000-600</f>
        <v>4400</v>
      </c>
      <c r="I29" s="922">
        <v>0.0</v>
      </c>
      <c r="J29" s="922">
        <v>400.0</v>
      </c>
      <c r="K29" s="922">
        <v>0.0</v>
      </c>
      <c r="L29" s="922">
        <v>0.0</v>
      </c>
      <c r="M29" s="922">
        <f>300</f>
        <v>300</v>
      </c>
      <c r="N29" s="924"/>
      <c r="O29" s="922">
        <v>0.0</v>
      </c>
      <c r="P29" s="922">
        <v>800.0</v>
      </c>
    </row>
    <row r="30">
      <c r="A30" s="925"/>
      <c r="B30" s="896"/>
      <c r="C30" s="926"/>
      <c r="D30" s="926"/>
      <c r="E30" s="926"/>
      <c r="F30" s="926"/>
      <c r="G30" s="927"/>
      <c r="H30" s="926"/>
      <c r="I30" s="926"/>
      <c r="J30" s="926"/>
      <c r="K30" s="928"/>
      <c r="L30" s="926"/>
      <c r="M30" s="926"/>
      <c r="N30" s="929"/>
      <c r="O30" s="926"/>
      <c r="P30" s="926"/>
    </row>
    <row r="31">
      <c r="A31" s="900" t="s">
        <v>236</v>
      </c>
      <c r="B31" s="930">
        <f t="shared" ref="B31:F31" si="20">sum(B15:B29)</f>
        <v>1770.475</v>
      </c>
      <c r="C31" s="930">
        <f t="shared" si="20"/>
        <v>1770.475</v>
      </c>
      <c r="D31" s="930">
        <f t="shared" si="20"/>
        <v>2250.475</v>
      </c>
      <c r="E31" s="930">
        <f t="shared" si="20"/>
        <v>2379.265</v>
      </c>
      <c r="F31" s="930">
        <f t="shared" si="20"/>
        <v>1895.475</v>
      </c>
      <c r="G31" s="931">
        <f t="shared" ref="G31:M31" si="21">sum(G12:G29)</f>
        <v>3585.475</v>
      </c>
      <c r="H31" s="930">
        <f t="shared" si="21"/>
        <v>9415.475</v>
      </c>
      <c r="I31" s="930">
        <f t="shared" si="21"/>
        <v>3193.475</v>
      </c>
      <c r="J31" s="930">
        <f t="shared" si="21"/>
        <v>4568.475</v>
      </c>
      <c r="K31" s="922">
        <f t="shared" si="21"/>
        <v>4531.475</v>
      </c>
      <c r="L31" s="930">
        <f t="shared" si="21"/>
        <v>4631.475</v>
      </c>
      <c r="M31" s="930">
        <f t="shared" si="21"/>
        <v>5231.475</v>
      </c>
      <c r="N31" s="929"/>
      <c r="O31" s="930">
        <f t="shared" ref="O31:P31" si="22">sum(O12:O29)</f>
        <v>5007.475</v>
      </c>
      <c r="P31" s="930">
        <f t="shared" si="22"/>
        <v>5807.475</v>
      </c>
    </row>
    <row r="32">
      <c r="A32" s="925"/>
      <c r="B32" s="896"/>
      <c r="C32" s="926"/>
      <c r="D32" s="926"/>
      <c r="E32" s="926"/>
      <c r="F32" s="926"/>
      <c r="G32" s="927"/>
      <c r="H32" s="926"/>
      <c r="I32" s="926"/>
      <c r="J32" s="926"/>
      <c r="K32" s="926"/>
      <c r="L32" s="926"/>
      <c r="M32" s="926"/>
      <c r="N32" s="929"/>
      <c r="O32" s="926"/>
      <c r="P32" s="926"/>
    </row>
    <row r="33">
      <c r="A33" s="914"/>
      <c r="B33" s="896"/>
      <c r="C33" s="896"/>
      <c r="D33" s="896"/>
      <c r="E33" s="896"/>
      <c r="F33" s="896"/>
      <c r="G33" s="897"/>
      <c r="H33" s="896"/>
      <c r="I33" s="896"/>
      <c r="J33" s="896"/>
      <c r="K33" s="896"/>
      <c r="L33" s="896"/>
      <c r="M33" s="914"/>
      <c r="N33" s="916"/>
      <c r="O33" s="914"/>
      <c r="P33" s="914"/>
    </row>
    <row r="34">
      <c r="A34" s="932" t="s">
        <v>729</v>
      </c>
      <c r="B34" s="933"/>
      <c r="C34" s="933"/>
      <c r="D34" s="933"/>
      <c r="E34" s="933"/>
      <c r="F34" s="933"/>
      <c r="G34" s="934"/>
      <c r="H34" s="933"/>
      <c r="I34" s="933"/>
      <c r="J34" s="933"/>
      <c r="K34" s="933"/>
      <c r="L34" s="933"/>
      <c r="M34" s="935"/>
      <c r="N34" s="936"/>
      <c r="O34" s="935"/>
      <c r="P34" s="935"/>
    </row>
    <row r="35">
      <c r="A35" s="937" t="s">
        <v>730</v>
      </c>
      <c r="B35" s="922">
        <v>0.0</v>
      </c>
      <c r="C35" s="922">
        <v>200.0</v>
      </c>
      <c r="D35" s="922">
        <v>50.0</v>
      </c>
      <c r="E35" s="922">
        <v>150.0</v>
      </c>
      <c r="F35" s="922">
        <v>200.0</v>
      </c>
      <c r="G35" s="923">
        <v>250.0</v>
      </c>
      <c r="H35" s="922">
        <v>0.0</v>
      </c>
      <c r="I35" s="922">
        <v>50.0</v>
      </c>
      <c r="J35" s="922">
        <v>50.0</v>
      </c>
      <c r="K35" s="922">
        <v>50.0</v>
      </c>
      <c r="L35" s="922">
        <v>50.0</v>
      </c>
      <c r="M35" s="922">
        <v>50.0</v>
      </c>
      <c r="N35" s="924"/>
      <c r="O35" s="922">
        <f t="shared" ref="O35:P35" si="23">O9*0.015</f>
        <v>178.2</v>
      </c>
      <c r="P35" s="922">
        <f t="shared" si="23"/>
        <v>123.75</v>
      </c>
    </row>
    <row r="36">
      <c r="A36" s="937" t="s">
        <v>731</v>
      </c>
      <c r="B36" s="922"/>
      <c r="C36" s="922"/>
      <c r="D36" s="922"/>
      <c r="E36" s="922"/>
      <c r="F36" s="922"/>
      <c r="G36" s="923"/>
      <c r="H36" s="922">
        <v>0.0</v>
      </c>
      <c r="I36" s="922">
        <v>0.0</v>
      </c>
      <c r="J36" s="922">
        <v>0.0</v>
      </c>
      <c r="K36" s="922">
        <v>0.0</v>
      </c>
      <c r="L36" s="922">
        <v>0.0</v>
      </c>
      <c r="M36" s="922">
        <v>0.0</v>
      </c>
      <c r="N36" s="924"/>
      <c r="O36" s="922">
        <v>0.0</v>
      </c>
      <c r="P36" s="922">
        <v>0.0</v>
      </c>
    </row>
    <row r="37">
      <c r="A37" s="937" t="s">
        <v>732</v>
      </c>
      <c r="B37" s="922"/>
      <c r="C37" s="922"/>
      <c r="D37" s="922"/>
      <c r="E37" s="922"/>
      <c r="F37" s="922"/>
      <c r="G37" s="923">
        <v>0.0</v>
      </c>
      <c r="H37" s="938">
        <v>0.0</v>
      </c>
      <c r="I37" s="938">
        <v>0.0</v>
      </c>
      <c r="J37" s="938">
        <v>100.0</v>
      </c>
      <c r="K37" s="938">
        <v>100.0</v>
      </c>
      <c r="L37" s="938">
        <v>100.0</v>
      </c>
      <c r="M37" s="939">
        <v>100.0</v>
      </c>
      <c r="N37" s="940"/>
      <c r="O37" s="922">
        <v>500.0</v>
      </c>
      <c r="P37" s="922">
        <v>500.0</v>
      </c>
    </row>
    <row r="38">
      <c r="A38" s="937" t="s">
        <v>733</v>
      </c>
      <c r="B38" s="922"/>
      <c r="C38" s="922"/>
      <c r="D38" s="922"/>
      <c r="E38" s="922"/>
      <c r="F38" s="922"/>
      <c r="G38" s="923"/>
      <c r="H38" s="922">
        <v>0.0</v>
      </c>
      <c r="I38" s="922">
        <v>0.0</v>
      </c>
      <c r="J38" s="922">
        <v>0.0</v>
      </c>
      <c r="K38" s="922">
        <v>0.0</v>
      </c>
      <c r="L38" s="922">
        <v>0.0</v>
      </c>
      <c r="M38" s="923">
        <f>M9*0.033</f>
        <v>217.8</v>
      </c>
      <c r="N38" s="924"/>
      <c r="O38" s="922">
        <f t="shared" ref="O38:P38" si="24">O9*0.005</f>
        <v>59.4</v>
      </c>
      <c r="P38" s="922">
        <f t="shared" si="24"/>
        <v>41.25</v>
      </c>
    </row>
    <row r="39">
      <c r="A39" s="905" t="s">
        <v>734</v>
      </c>
      <c r="B39" s="922">
        <v>2500.0</v>
      </c>
      <c r="C39" s="922">
        <v>4500.0</v>
      </c>
      <c r="D39" s="922">
        <v>2800.0</v>
      </c>
      <c r="E39" s="922">
        <v>2800.0</v>
      </c>
      <c r="F39" s="922">
        <v>2000.0</v>
      </c>
      <c r="G39" s="923">
        <v>3093.0</v>
      </c>
      <c r="H39" s="922">
        <v>1600.0</v>
      </c>
      <c r="I39" s="922">
        <f>1800+1692</f>
        <v>3492</v>
      </c>
      <c r="J39" s="922">
        <f t="shared" ref="J39:K39" si="25">1000+1000</f>
        <v>2000</v>
      </c>
      <c r="K39" s="922">
        <f t="shared" si="25"/>
        <v>2000</v>
      </c>
      <c r="L39" s="922">
        <f>800+700</f>
        <v>1500</v>
      </c>
      <c r="M39" s="922">
        <f>500+500</f>
        <v>1000</v>
      </c>
      <c r="N39" s="924"/>
      <c r="O39" s="922">
        <v>5500.0</v>
      </c>
      <c r="P39" s="922">
        <v>5500.0</v>
      </c>
    </row>
    <row r="40">
      <c r="A40" s="941"/>
      <c r="B40" s="462"/>
      <c r="C40" s="462"/>
      <c r="D40" s="462"/>
      <c r="E40" s="462"/>
      <c r="F40" s="462"/>
      <c r="G40" s="942"/>
      <c r="H40" s="462"/>
      <c r="I40" s="462"/>
      <c r="J40" s="462"/>
      <c r="K40" s="943"/>
      <c r="L40" s="462"/>
      <c r="M40" s="462"/>
      <c r="N40" s="912"/>
      <c r="O40" s="462"/>
      <c r="P40" s="462"/>
    </row>
    <row r="41">
      <c r="A41" s="944" t="s">
        <v>253</v>
      </c>
      <c r="B41" s="945">
        <f>B9-B31-B35-B39+'BUDGET 2018 (Archive)'!O35</f>
        <v>1507.415</v>
      </c>
      <c r="C41" s="945">
        <f>C9-C31-C35-C39+'BUDGET 2018 (Archive)'!P35</f>
        <v>3129.525</v>
      </c>
      <c r="D41" s="945">
        <f>D9-D31-D35-D39+'BUDGET 2018 (Archive)'!Q35</f>
        <v>1499.525</v>
      </c>
      <c r="E41" s="945">
        <f>E9-E31-E35-E39+'BUDGET 2018 (Archive)'!R35</f>
        <v>1270.735</v>
      </c>
      <c r="F41" s="945">
        <f>F9-F31-F35-F39+'BUDGET 2018 (Archive)'!S35</f>
        <v>2504.525</v>
      </c>
      <c r="G41" s="946">
        <f>G9-G31-G35-G39+'BUDGET 2018 (Archive)'!T35</f>
        <v>-328.475</v>
      </c>
      <c r="H41" s="945">
        <f t="shared" ref="H41:M41" si="26">G41+H9-H31-H35-H37-H39</f>
        <v>256.05</v>
      </c>
      <c r="I41" s="945">
        <f t="shared" si="26"/>
        <v>120.575</v>
      </c>
      <c r="J41" s="945">
        <f t="shared" si="26"/>
        <v>2.1</v>
      </c>
      <c r="K41" s="947">
        <f t="shared" si="26"/>
        <v>-79.375</v>
      </c>
      <c r="L41" s="945">
        <f t="shared" si="26"/>
        <v>239.15</v>
      </c>
      <c r="M41" s="945">
        <f t="shared" si="26"/>
        <v>457.675</v>
      </c>
      <c r="N41" s="948"/>
      <c r="O41" s="945">
        <f>M41+O9-O31-O35-O37-O39</f>
        <v>1152</v>
      </c>
      <c r="P41" s="945">
        <f>O41+P9-P31-P35-P37-P39</f>
        <v>-2529.225</v>
      </c>
    </row>
    <row r="42">
      <c r="A42" s="941"/>
      <c r="B42" s="462"/>
      <c r="C42" s="462"/>
      <c r="D42" s="462"/>
      <c r="E42" s="462"/>
      <c r="F42" s="462"/>
      <c r="G42" s="942"/>
      <c r="H42" s="462"/>
      <c r="I42" s="462"/>
      <c r="J42" s="462"/>
      <c r="K42" s="462"/>
      <c r="L42" s="462"/>
      <c r="M42" s="462"/>
      <c r="N42" s="912"/>
      <c r="O42" s="462"/>
      <c r="P42" s="462"/>
    </row>
    <row r="43">
      <c r="A43" s="949"/>
      <c r="B43" s="462"/>
      <c r="C43" s="462"/>
      <c r="D43" s="462"/>
      <c r="E43" s="462"/>
      <c r="F43" s="462"/>
      <c r="G43" s="942"/>
      <c r="H43" s="462"/>
      <c r="I43" s="462"/>
      <c r="J43" s="462"/>
      <c r="K43" s="462"/>
      <c r="L43" s="462"/>
      <c r="M43" s="462"/>
      <c r="N43" s="912"/>
      <c r="O43" s="462"/>
      <c r="P43" s="462"/>
    </row>
    <row r="44">
      <c r="A44" s="462"/>
      <c r="B44" s="462"/>
      <c r="C44" s="462"/>
      <c r="D44" s="462"/>
      <c r="E44" s="462"/>
      <c r="F44" s="462"/>
      <c r="G44" s="942"/>
      <c r="H44" s="462"/>
      <c r="I44" s="462"/>
      <c r="J44" s="462"/>
      <c r="K44" s="462"/>
      <c r="L44" s="462"/>
      <c r="M44" s="462"/>
      <c r="N44" s="912"/>
      <c r="O44" s="462"/>
      <c r="P44" s="462"/>
    </row>
    <row r="45">
      <c r="A45" s="949"/>
      <c r="B45" s="462"/>
      <c r="C45" s="462"/>
      <c r="D45" s="462"/>
      <c r="E45" s="462"/>
      <c r="F45" s="462"/>
      <c r="G45" s="942"/>
      <c r="H45" s="462"/>
      <c r="I45" s="462"/>
      <c r="J45" s="462"/>
      <c r="K45" s="462"/>
      <c r="L45" s="462"/>
      <c r="M45" s="462"/>
      <c r="N45" s="912"/>
      <c r="O45" s="462"/>
      <c r="P45" s="462"/>
    </row>
    <row r="46">
      <c r="A46" s="434"/>
      <c r="B46" s="462"/>
      <c r="C46" s="462"/>
      <c r="D46" s="462"/>
      <c r="E46" s="462"/>
      <c r="F46" s="462"/>
      <c r="G46" s="942"/>
      <c r="H46" s="462"/>
      <c r="I46" s="462"/>
      <c r="J46" s="462"/>
      <c r="K46" s="462"/>
      <c r="L46" s="462"/>
      <c r="M46" s="462"/>
      <c r="N46" s="912"/>
      <c r="O46" s="462"/>
      <c r="P46" s="462"/>
    </row>
    <row r="47">
      <c r="A47" s="914"/>
      <c r="B47" s="462"/>
      <c r="C47" s="462"/>
      <c r="D47" s="462"/>
      <c r="E47" s="462"/>
      <c r="F47" s="462"/>
      <c r="G47" s="942"/>
      <c r="H47" s="462"/>
      <c r="I47" s="462"/>
      <c r="J47" s="462"/>
      <c r="K47" s="462"/>
      <c r="L47" s="462"/>
      <c r="M47" s="462"/>
      <c r="N47" s="912"/>
      <c r="O47" s="462"/>
      <c r="P47" s="462"/>
    </row>
    <row r="48">
      <c r="A48" s="471"/>
      <c r="B48" s="462"/>
      <c r="C48" s="462"/>
      <c r="D48" s="462"/>
      <c r="E48" s="462"/>
      <c r="F48" s="462"/>
      <c r="G48" s="942"/>
      <c r="H48" s="462"/>
      <c r="I48" s="462"/>
      <c r="J48" s="462"/>
      <c r="K48" s="462"/>
      <c r="L48" s="462"/>
      <c r="M48" s="462"/>
      <c r="N48" s="912"/>
      <c r="O48" s="462"/>
      <c r="P48" s="462"/>
    </row>
    <row r="49">
      <c r="A49" s="471"/>
      <c r="B49" s="462"/>
      <c r="C49" s="462"/>
      <c r="D49" s="462"/>
      <c r="E49" s="462"/>
      <c r="F49" s="462"/>
      <c r="G49" s="942"/>
      <c r="H49" s="462"/>
      <c r="I49" s="462"/>
      <c r="J49" s="462"/>
      <c r="K49" s="462"/>
      <c r="L49" s="462"/>
      <c r="M49" s="462"/>
      <c r="N49" s="912"/>
      <c r="O49" s="462"/>
      <c r="P49" s="462"/>
    </row>
    <row r="50">
      <c r="A50" s="434"/>
      <c r="B50" s="462"/>
      <c r="C50" s="462"/>
      <c r="D50" s="462"/>
      <c r="E50" s="462"/>
      <c r="F50" s="462"/>
      <c r="G50" s="942"/>
      <c r="H50" s="462"/>
      <c r="I50" s="462"/>
      <c r="J50" s="462"/>
      <c r="K50" s="462"/>
      <c r="L50" s="462"/>
      <c r="M50" s="462"/>
      <c r="N50" s="912"/>
      <c r="O50" s="462"/>
      <c r="P50" s="462"/>
    </row>
    <row r="51">
      <c r="A51" s="471"/>
      <c r="B51" s="462"/>
      <c r="C51" s="462"/>
      <c r="D51" s="462"/>
      <c r="E51" s="462"/>
      <c r="F51" s="462"/>
      <c r="G51" s="942"/>
      <c r="H51" s="462"/>
      <c r="I51" s="462"/>
      <c r="J51" s="462"/>
      <c r="K51" s="462"/>
      <c r="L51" s="462"/>
      <c r="M51" s="462"/>
      <c r="N51" s="912"/>
      <c r="O51" s="462"/>
      <c r="P51" s="462"/>
    </row>
    <row r="52">
      <c r="A52" s="462"/>
      <c r="B52" s="462"/>
      <c r="C52" s="462"/>
      <c r="D52" s="462"/>
      <c r="E52" s="462"/>
      <c r="F52" s="462"/>
      <c r="G52" s="942"/>
      <c r="H52" s="462"/>
      <c r="I52" s="462"/>
      <c r="J52" s="462"/>
      <c r="K52" s="462"/>
      <c r="L52" s="462"/>
      <c r="M52" s="462"/>
      <c r="N52" s="912"/>
      <c r="O52" s="462"/>
      <c r="P52" s="462"/>
    </row>
    <row r="53">
      <c r="A53" s="462"/>
      <c r="B53" s="462"/>
      <c r="C53" s="462"/>
      <c r="D53" s="462"/>
      <c r="E53" s="462"/>
      <c r="F53" s="462"/>
      <c r="G53" s="942"/>
      <c r="H53" s="462"/>
      <c r="I53" s="462"/>
      <c r="J53" s="462"/>
      <c r="K53" s="462"/>
      <c r="L53" s="462"/>
      <c r="M53" s="462"/>
      <c r="N53" s="912"/>
      <c r="O53" s="462"/>
      <c r="P53" s="462"/>
    </row>
    <row r="54">
      <c r="A54" s="462"/>
      <c r="B54" s="462"/>
      <c r="C54" s="462"/>
      <c r="D54" s="462"/>
      <c r="E54" s="462"/>
      <c r="F54" s="462"/>
      <c r="G54" s="942"/>
      <c r="H54" s="462"/>
      <c r="I54" s="462"/>
      <c r="J54" s="462"/>
      <c r="K54" s="462"/>
      <c r="L54" s="462"/>
      <c r="M54" s="462"/>
      <c r="N54" s="912"/>
      <c r="O54" s="462"/>
      <c r="P54" s="462"/>
    </row>
    <row r="55">
      <c r="A55" s="462"/>
      <c r="B55" s="462"/>
      <c r="C55" s="462"/>
      <c r="D55" s="462"/>
      <c r="E55" s="462"/>
      <c r="F55" s="462"/>
      <c r="G55" s="942"/>
      <c r="H55" s="462"/>
      <c r="I55" s="462"/>
      <c r="J55" s="462"/>
      <c r="K55" s="462"/>
      <c r="L55" s="462"/>
      <c r="M55" s="462"/>
      <c r="N55" s="912"/>
      <c r="O55" s="462"/>
      <c r="P55" s="462"/>
    </row>
    <row r="56">
      <c r="A56" s="462"/>
      <c r="B56" s="462"/>
      <c r="C56" s="462"/>
      <c r="D56" s="462"/>
      <c r="E56" s="462"/>
      <c r="F56" s="462"/>
      <c r="G56" s="942"/>
      <c r="H56" s="462"/>
      <c r="I56" s="462"/>
      <c r="J56" s="462"/>
      <c r="K56" s="462"/>
      <c r="L56" s="462"/>
      <c r="M56" s="462"/>
      <c r="N56" s="912"/>
      <c r="O56" s="462"/>
      <c r="P56" s="462"/>
    </row>
    <row r="57">
      <c r="A57" s="462"/>
      <c r="B57" s="462"/>
      <c r="C57" s="462"/>
      <c r="D57" s="462"/>
      <c r="E57" s="462"/>
      <c r="F57" s="462"/>
      <c r="G57" s="942"/>
      <c r="H57" s="462"/>
      <c r="I57" s="462"/>
      <c r="J57" s="462"/>
      <c r="K57" s="462"/>
      <c r="L57" s="462"/>
      <c r="M57" s="462"/>
      <c r="N57" s="912"/>
      <c r="O57" s="462"/>
      <c r="P57" s="462"/>
    </row>
    <row r="58">
      <c r="A58" s="462"/>
      <c r="B58" s="462"/>
      <c r="C58" s="462"/>
      <c r="D58" s="462"/>
      <c r="E58" s="462"/>
      <c r="F58" s="462"/>
      <c r="G58" s="942"/>
      <c r="H58" s="462"/>
      <c r="I58" s="462"/>
      <c r="J58" s="462"/>
      <c r="K58" s="462"/>
      <c r="L58" s="462"/>
      <c r="M58" s="462"/>
      <c r="N58" s="912"/>
      <c r="O58" s="462"/>
      <c r="P58" s="462"/>
    </row>
    <row r="59">
      <c r="A59" s="462"/>
      <c r="B59" s="462"/>
      <c r="C59" s="462"/>
      <c r="D59" s="462"/>
      <c r="E59" s="462"/>
      <c r="F59" s="462"/>
      <c r="G59" s="942"/>
      <c r="H59" s="462"/>
      <c r="I59" s="462"/>
      <c r="J59" s="462"/>
      <c r="K59" s="462"/>
      <c r="L59" s="462"/>
      <c r="M59" s="462"/>
      <c r="N59" s="912"/>
      <c r="O59" s="462"/>
      <c r="P59" s="462"/>
    </row>
    <row r="60">
      <c r="A60" s="462"/>
      <c r="B60" s="462"/>
      <c r="C60" s="462"/>
      <c r="D60" s="462"/>
      <c r="E60" s="462"/>
      <c r="F60" s="462"/>
      <c r="G60" s="942"/>
      <c r="H60" s="462"/>
      <c r="I60" s="462"/>
      <c r="J60" s="462"/>
      <c r="K60" s="462"/>
      <c r="L60" s="462"/>
      <c r="M60" s="462"/>
      <c r="N60" s="912"/>
      <c r="O60" s="462"/>
      <c r="P60" s="462"/>
    </row>
    <row r="61">
      <c r="A61" s="462"/>
      <c r="B61" s="462"/>
      <c r="C61" s="462"/>
      <c r="D61" s="462"/>
      <c r="E61" s="462"/>
      <c r="F61" s="462"/>
      <c r="G61" s="942"/>
      <c r="H61" s="462"/>
      <c r="I61" s="462"/>
      <c r="J61" s="462"/>
      <c r="K61" s="462"/>
      <c r="L61" s="462"/>
      <c r="M61" s="462"/>
      <c r="N61" s="912"/>
      <c r="O61" s="462"/>
      <c r="P61" s="462"/>
    </row>
    <row r="62">
      <c r="A62" s="462"/>
      <c r="B62" s="462"/>
      <c r="C62" s="462"/>
      <c r="D62" s="462"/>
      <c r="E62" s="462"/>
      <c r="F62" s="462"/>
      <c r="G62" s="942"/>
      <c r="H62" s="462"/>
      <c r="I62" s="462"/>
      <c r="J62" s="462"/>
      <c r="K62" s="462"/>
      <c r="L62" s="462"/>
      <c r="M62" s="462"/>
      <c r="N62" s="912"/>
      <c r="O62" s="462"/>
      <c r="P62" s="462"/>
    </row>
    <row r="63">
      <c r="A63" s="462"/>
      <c r="B63" s="462"/>
      <c r="C63" s="462"/>
      <c r="D63" s="462"/>
      <c r="E63" s="462"/>
      <c r="F63" s="462"/>
      <c r="G63" s="942"/>
      <c r="H63" s="462"/>
      <c r="I63" s="462"/>
      <c r="J63" s="462"/>
      <c r="K63" s="462"/>
      <c r="L63" s="462"/>
      <c r="M63" s="462"/>
      <c r="N63" s="912"/>
      <c r="O63" s="462"/>
      <c r="P63" s="462"/>
    </row>
    <row r="64">
      <c r="A64" s="462"/>
      <c r="B64" s="462"/>
      <c r="C64" s="462"/>
      <c r="D64" s="462"/>
      <c r="E64" s="462"/>
      <c r="F64" s="462"/>
      <c r="G64" s="942"/>
      <c r="H64" s="462"/>
      <c r="I64" s="462"/>
      <c r="J64" s="462"/>
      <c r="K64" s="462"/>
      <c r="L64" s="462"/>
      <c r="M64" s="462"/>
      <c r="N64" s="912"/>
      <c r="O64" s="462"/>
      <c r="P64" s="462"/>
    </row>
    <row r="65">
      <c r="A65" s="462"/>
      <c r="B65" s="462"/>
      <c r="C65" s="462"/>
      <c r="D65" s="462"/>
      <c r="E65" s="462"/>
      <c r="F65" s="462"/>
      <c r="G65" s="942"/>
      <c r="H65" s="462"/>
      <c r="I65" s="462"/>
      <c r="J65" s="462"/>
      <c r="K65" s="462"/>
      <c r="L65" s="462"/>
      <c r="M65" s="462"/>
      <c r="N65" s="912"/>
      <c r="O65" s="462"/>
      <c r="P65" s="462"/>
    </row>
    <row r="66">
      <c r="A66" s="462"/>
      <c r="B66" s="462"/>
      <c r="C66" s="462"/>
      <c r="D66" s="462"/>
      <c r="E66" s="462"/>
      <c r="F66" s="462"/>
      <c r="G66" s="942"/>
      <c r="H66" s="462"/>
      <c r="I66" s="462"/>
      <c r="J66" s="462"/>
      <c r="K66" s="462"/>
      <c r="L66" s="462"/>
      <c r="M66" s="462"/>
      <c r="N66" s="912"/>
      <c r="O66" s="462"/>
      <c r="P66" s="462"/>
    </row>
    <row r="67">
      <c r="A67" s="462"/>
      <c r="B67" s="462"/>
      <c r="C67" s="462"/>
      <c r="D67" s="462"/>
      <c r="E67" s="462"/>
      <c r="F67" s="462"/>
      <c r="G67" s="942"/>
      <c r="H67" s="462"/>
      <c r="I67" s="462"/>
      <c r="J67" s="462"/>
      <c r="K67" s="462"/>
      <c r="L67" s="462"/>
      <c r="M67" s="462"/>
      <c r="N67" s="912"/>
      <c r="O67" s="462"/>
      <c r="P67" s="462"/>
    </row>
    <row r="68">
      <c r="A68" s="462"/>
      <c r="B68" s="462"/>
      <c r="C68" s="462"/>
      <c r="D68" s="462"/>
      <c r="E68" s="462"/>
      <c r="F68" s="462"/>
      <c r="G68" s="942"/>
      <c r="H68" s="462"/>
      <c r="I68" s="462"/>
      <c r="J68" s="462"/>
      <c r="K68" s="462"/>
      <c r="L68" s="462"/>
      <c r="M68" s="462"/>
      <c r="N68" s="912"/>
      <c r="O68" s="462"/>
      <c r="P68" s="462"/>
    </row>
    <row r="69">
      <c r="A69" s="462"/>
      <c r="B69" s="462"/>
      <c r="C69" s="462"/>
      <c r="D69" s="462"/>
      <c r="E69" s="462"/>
      <c r="F69" s="462"/>
      <c r="G69" s="942"/>
      <c r="H69" s="462"/>
      <c r="I69" s="462"/>
      <c r="J69" s="462"/>
      <c r="K69" s="462"/>
      <c r="L69" s="462"/>
      <c r="M69" s="462"/>
      <c r="N69" s="912"/>
      <c r="O69" s="462"/>
      <c r="P69" s="462"/>
    </row>
    <row r="70">
      <c r="A70" s="462"/>
      <c r="B70" s="462"/>
      <c r="C70" s="462"/>
      <c r="D70" s="462"/>
      <c r="E70" s="462"/>
      <c r="F70" s="462"/>
      <c r="G70" s="942"/>
      <c r="H70" s="462"/>
      <c r="I70" s="462"/>
      <c r="J70" s="462"/>
      <c r="K70" s="462"/>
      <c r="L70" s="462"/>
      <c r="M70" s="462"/>
      <c r="N70" s="912"/>
      <c r="O70" s="462"/>
      <c r="P70" s="462"/>
    </row>
    <row r="71">
      <c r="A71" s="462"/>
      <c r="B71" s="462"/>
      <c r="C71" s="462"/>
      <c r="D71" s="462"/>
      <c r="E71" s="462"/>
      <c r="F71" s="462"/>
      <c r="G71" s="942"/>
      <c r="H71" s="462"/>
      <c r="I71" s="462"/>
      <c r="J71" s="462"/>
      <c r="K71" s="462"/>
      <c r="L71" s="462"/>
      <c r="M71" s="462"/>
      <c r="N71" s="912"/>
      <c r="O71" s="462"/>
      <c r="P71" s="462"/>
    </row>
    <row r="72">
      <c r="A72" s="462"/>
      <c r="B72" s="462"/>
      <c r="C72" s="462"/>
      <c r="D72" s="462"/>
      <c r="E72" s="462"/>
      <c r="F72" s="462"/>
      <c r="G72" s="942"/>
      <c r="H72" s="462"/>
      <c r="I72" s="462"/>
      <c r="J72" s="462"/>
      <c r="K72" s="462"/>
      <c r="L72" s="462"/>
      <c r="M72" s="462"/>
      <c r="N72" s="912"/>
      <c r="O72" s="462"/>
      <c r="P72" s="462"/>
    </row>
    <row r="73">
      <c r="A73" s="462"/>
      <c r="B73" s="462"/>
      <c r="C73" s="462"/>
      <c r="D73" s="462"/>
      <c r="E73" s="462"/>
      <c r="F73" s="462"/>
      <c r="G73" s="942"/>
      <c r="H73" s="462"/>
      <c r="I73" s="462"/>
      <c r="J73" s="462"/>
      <c r="K73" s="462"/>
      <c r="L73" s="462"/>
      <c r="M73" s="462"/>
      <c r="N73" s="912"/>
      <c r="O73" s="462"/>
      <c r="P73" s="462"/>
    </row>
    <row r="74">
      <c r="A74" s="462"/>
      <c r="B74" s="462"/>
      <c r="C74" s="462"/>
      <c r="D74" s="462"/>
      <c r="E74" s="462"/>
      <c r="F74" s="462"/>
      <c r="G74" s="942"/>
      <c r="H74" s="462"/>
      <c r="I74" s="462"/>
      <c r="J74" s="462"/>
      <c r="K74" s="462"/>
      <c r="L74" s="462"/>
      <c r="M74" s="462"/>
      <c r="N74" s="912"/>
      <c r="O74" s="462"/>
      <c r="P74" s="462"/>
    </row>
    <row r="75">
      <c r="A75" s="462"/>
      <c r="B75" s="462"/>
      <c r="C75" s="462"/>
      <c r="D75" s="462"/>
      <c r="E75" s="462"/>
      <c r="F75" s="462"/>
      <c r="G75" s="942"/>
      <c r="H75" s="462"/>
      <c r="I75" s="462"/>
      <c r="J75" s="462"/>
      <c r="K75" s="462"/>
      <c r="L75" s="462"/>
      <c r="M75" s="462"/>
      <c r="N75" s="912"/>
      <c r="O75" s="462"/>
      <c r="P75" s="462"/>
    </row>
    <row r="76">
      <c r="A76" s="462"/>
      <c r="B76" s="462"/>
      <c r="C76" s="462"/>
      <c r="D76" s="462"/>
      <c r="E76" s="462"/>
      <c r="F76" s="462"/>
      <c r="G76" s="942"/>
      <c r="H76" s="462"/>
      <c r="I76" s="462"/>
      <c r="J76" s="462"/>
      <c r="K76" s="462"/>
      <c r="L76" s="462"/>
      <c r="M76" s="462"/>
      <c r="N76" s="912"/>
      <c r="O76" s="462"/>
      <c r="P76" s="462"/>
    </row>
    <row r="77">
      <c r="A77" s="462"/>
      <c r="B77" s="462"/>
      <c r="C77" s="462"/>
      <c r="D77" s="462"/>
      <c r="E77" s="462"/>
      <c r="F77" s="462"/>
      <c r="G77" s="942"/>
      <c r="H77" s="462"/>
      <c r="I77" s="462"/>
      <c r="J77" s="462"/>
      <c r="K77" s="462"/>
      <c r="L77" s="462"/>
      <c r="M77" s="462"/>
      <c r="N77" s="912"/>
      <c r="O77" s="462"/>
      <c r="P77" s="462"/>
    </row>
    <row r="78">
      <c r="A78" s="462"/>
      <c r="B78" s="462"/>
      <c r="C78" s="462"/>
      <c r="D78" s="462"/>
      <c r="E78" s="462"/>
      <c r="F78" s="462"/>
      <c r="G78" s="942"/>
      <c r="H78" s="462"/>
      <c r="I78" s="462"/>
      <c r="J78" s="462"/>
      <c r="K78" s="462"/>
      <c r="L78" s="462"/>
      <c r="M78" s="462"/>
      <c r="N78" s="912"/>
      <c r="O78" s="462"/>
      <c r="P78" s="462"/>
    </row>
    <row r="79">
      <c r="A79" s="462"/>
      <c r="B79" s="462"/>
      <c r="C79" s="462"/>
      <c r="D79" s="462"/>
      <c r="E79" s="462"/>
      <c r="F79" s="462"/>
      <c r="G79" s="942"/>
      <c r="H79" s="462"/>
      <c r="I79" s="462"/>
      <c r="J79" s="462"/>
      <c r="K79" s="462"/>
      <c r="L79" s="462"/>
      <c r="M79" s="462"/>
      <c r="N79" s="912"/>
      <c r="O79" s="462"/>
      <c r="P79" s="462"/>
    </row>
    <row r="80">
      <c r="A80" s="462"/>
      <c r="B80" s="462"/>
      <c r="C80" s="462"/>
      <c r="D80" s="462"/>
      <c r="E80" s="462"/>
      <c r="F80" s="462"/>
      <c r="G80" s="942"/>
      <c r="H80" s="462"/>
      <c r="I80" s="462"/>
      <c r="J80" s="462"/>
      <c r="K80" s="462"/>
      <c r="L80" s="462"/>
      <c r="M80" s="462"/>
      <c r="N80" s="912"/>
      <c r="O80" s="462"/>
      <c r="P80" s="462"/>
    </row>
    <row r="81">
      <c r="A81" s="462"/>
      <c r="B81" s="462"/>
      <c r="C81" s="462"/>
      <c r="D81" s="462"/>
      <c r="E81" s="462"/>
      <c r="F81" s="462"/>
      <c r="G81" s="942"/>
      <c r="H81" s="462"/>
      <c r="I81" s="462"/>
      <c r="J81" s="462"/>
      <c r="K81" s="462"/>
      <c r="L81" s="462"/>
      <c r="M81" s="462"/>
      <c r="N81" s="912"/>
      <c r="O81" s="462"/>
      <c r="P81" s="462"/>
    </row>
    <row r="82">
      <c r="A82" s="462"/>
      <c r="B82" s="462"/>
      <c r="C82" s="462"/>
      <c r="D82" s="462"/>
      <c r="E82" s="462"/>
      <c r="F82" s="462"/>
      <c r="G82" s="942"/>
      <c r="H82" s="462"/>
      <c r="I82" s="462"/>
      <c r="J82" s="462"/>
      <c r="K82" s="462"/>
      <c r="L82" s="462"/>
      <c r="M82" s="462"/>
      <c r="N82" s="912"/>
      <c r="O82" s="462"/>
      <c r="P82" s="462"/>
    </row>
    <row r="83">
      <c r="A83" s="462"/>
      <c r="B83" s="462"/>
      <c r="C83" s="462"/>
      <c r="D83" s="462"/>
      <c r="E83" s="462"/>
      <c r="F83" s="462"/>
      <c r="G83" s="942"/>
      <c r="H83" s="462"/>
      <c r="I83" s="462"/>
      <c r="J83" s="462"/>
      <c r="K83" s="462"/>
      <c r="L83" s="462"/>
      <c r="M83" s="462"/>
      <c r="N83" s="912"/>
      <c r="O83" s="462"/>
      <c r="P83" s="462"/>
    </row>
    <row r="84">
      <c r="A84" s="462"/>
      <c r="B84" s="462"/>
      <c r="C84" s="462"/>
      <c r="D84" s="462"/>
      <c r="E84" s="462"/>
      <c r="F84" s="462"/>
      <c r="G84" s="942"/>
      <c r="H84" s="462"/>
      <c r="I84" s="462"/>
      <c r="J84" s="462"/>
      <c r="K84" s="462"/>
      <c r="L84" s="462"/>
      <c r="M84" s="462"/>
      <c r="N84" s="912"/>
      <c r="O84" s="462"/>
      <c r="P84" s="462"/>
    </row>
    <row r="85">
      <c r="A85" s="462"/>
      <c r="B85" s="462"/>
      <c r="C85" s="462"/>
      <c r="D85" s="462"/>
      <c r="E85" s="462"/>
      <c r="F85" s="462"/>
      <c r="G85" s="942"/>
      <c r="H85" s="462"/>
      <c r="I85" s="462"/>
      <c r="J85" s="462"/>
      <c r="K85" s="462"/>
      <c r="L85" s="462"/>
      <c r="M85" s="462"/>
      <c r="N85" s="912"/>
      <c r="O85" s="462"/>
      <c r="P85" s="462"/>
    </row>
    <row r="86">
      <c r="A86" s="462"/>
      <c r="B86" s="462"/>
      <c r="C86" s="462"/>
      <c r="D86" s="462"/>
      <c r="E86" s="462"/>
      <c r="F86" s="462"/>
      <c r="G86" s="942"/>
      <c r="H86" s="462"/>
      <c r="I86" s="462"/>
      <c r="J86" s="462"/>
      <c r="K86" s="462"/>
      <c r="L86" s="462"/>
      <c r="M86" s="462"/>
      <c r="N86" s="912"/>
      <c r="O86" s="462"/>
      <c r="P86" s="462"/>
    </row>
    <row r="87">
      <c r="A87" s="462"/>
      <c r="B87" s="462"/>
      <c r="C87" s="462"/>
      <c r="D87" s="462"/>
      <c r="E87" s="462"/>
      <c r="F87" s="462"/>
      <c r="G87" s="942"/>
      <c r="H87" s="462"/>
      <c r="I87" s="462"/>
      <c r="J87" s="462"/>
      <c r="K87" s="462"/>
      <c r="L87" s="462"/>
      <c r="M87" s="462"/>
      <c r="N87" s="912"/>
      <c r="O87" s="462"/>
      <c r="P87" s="462"/>
    </row>
    <row r="88">
      <c r="A88" s="462"/>
      <c r="B88" s="462"/>
      <c r="C88" s="462"/>
      <c r="D88" s="462"/>
      <c r="E88" s="462"/>
      <c r="F88" s="462"/>
      <c r="G88" s="942"/>
      <c r="H88" s="462"/>
      <c r="I88" s="462"/>
      <c r="J88" s="462"/>
      <c r="K88" s="462"/>
      <c r="L88" s="462"/>
      <c r="M88" s="462"/>
      <c r="N88" s="912"/>
      <c r="O88" s="462"/>
      <c r="P88" s="462"/>
    </row>
    <row r="89">
      <c r="A89" s="462"/>
      <c r="B89" s="462"/>
      <c r="C89" s="462"/>
      <c r="D89" s="462"/>
      <c r="E89" s="462"/>
      <c r="F89" s="462"/>
      <c r="G89" s="942"/>
      <c r="H89" s="462"/>
      <c r="I89" s="462"/>
      <c r="J89" s="462"/>
      <c r="K89" s="462"/>
      <c r="L89" s="462"/>
      <c r="M89" s="462"/>
      <c r="N89" s="912"/>
      <c r="O89" s="462"/>
      <c r="P89" s="462"/>
    </row>
    <row r="90">
      <c r="A90" s="462"/>
      <c r="B90" s="462"/>
      <c r="C90" s="462"/>
      <c r="D90" s="462"/>
      <c r="E90" s="462"/>
      <c r="F90" s="462"/>
      <c r="G90" s="942"/>
      <c r="H90" s="462"/>
      <c r="I90" s="462"/>
      <c r="J90" s="462"/>
      <c r="K90" s="462"/>
      <c r="L90" s="462"/>
      <c r="M90" s="462"/>
      <c r="N90" s="912"/>
      <c r="O90" s="462"/>
      <c r="P90" s="462"/>
    </row>
    <row r="91">
      <c r="A91" s="462"/>
      <c r="B91" s="462"/>
      <c r="C91" s="462"/>
      <c r="D91" s="462"/>
      <c r="E91" s="462"/>
      <c r="F91" s="462"/>
      <c r="G91" s="942"/>
      <c r="H91" s="462"/>
      <c r="I91" s="462"/>
      <c r="J91" s="462"/>
      <c r="K91" s="462"/>
      <c r="L91" s="462"/>
      <c r="M91" s="462"/>
      <c r="N91" s="912"/>
      <c r="O91" s="462"/>
      <c r="P91" s="462"/>
    </row>
    <row r="92">
      <c r="A92" s="462"/>
      <c r="B92" s="462"/>
      <c r="C92" s="462"/>
      <c r="D92" s="462"/>
      <c r="E92" s="462"/>
      <c r="F92" s="462"/>
      <c r="G92" s="942"/>
      <c r="H92" s="462"/>
      <c r="I92" s="462"/>
      <c r="J92" s="462"/>
      <c r="K92" s="462"/>
      <c r="L92" s="462"/>
      <c r="M92" s="462"/>
      <c r="N92" s="912"/>
      <c r="O92" s="462"/>
      <c r="P92" s="462"/>
    </row>
    <row r="93">
      <c r="A93" s="462"/>
      <c r="B93" s="462"/>
      <c r="C93" s="462"/>
      <c r="D93" s="462"/>
      <c r="E93" s="462"/>
      <c r="F93" s="462"/>
      <c r="G93" s="942"/>
      <c r="H93" s="462"/>
      <c r="I93" s="462"/>
      <c r="J93" s="462"/>
      <c r="K93" s="462"/>
      <c r="L93" s="462"/>
      <c r="M93" s="462"/>
      <c r="N93" s="912"/>
      <c r="O93" s="462"/>
      <c r="P93" s="462"/>
    </row>
    <row r="94">
      <c r="A94" s="462"/>
      <c r="B94" s="462"/>
      <c r="C94" s="462"/>
      <c r="D94" s="462"/>
      <c r="E94" s="462"/>
      <c r="F94" s="462"/>
      <c r="G94" s="942"/>
      <c r="H94" s="462"/>
      <c r="I94" s="462"/>
      <c r="J94" s="462"/>
      <c r="K94" s="462"/>
      <c r="L94" s="462"/>
      <c r="M94" s="462"/>
      <c r="N94" s="912"/>
      <c r="O94" s="462"/>
      <c r="P94" s="462"/>
    </row>
    <row r="95">
      <c r="A95" s="462"/>
      <c r="B95" s="462"/>
      <c r="C95" s="462"/>
      <c r="D95" s="462"/>
      <c r="E95" s="462"/>
      <c r="F95" s="462"/>
      <c r="G95" s="942"/>
      <c r="H95" s="462"/>
      <c r="I95" s="462"/>
      <c r="J95" s="462"/>
      <c r="K95" s="462"/>
      <c r="L95" s="462"/>
      <c r="M95" s="462"/>
      <c r="N95" s="912"/>
      <c r="O95" s="462"/>
      <c r="P95" s="462"/>
    </row>
    <row r="96">
      <c r="A96" s="462"/>
      <c r="B96" s="462"/>
      <c r="C96" s="462"/>
      <c r="D96" s="462"/>
      <c r="E96" s="462"/>
      <c r="F96" s="462"/>
      <c r="G96" s="942"/>
      <c r="H96" s="462"/>
      <c r="I96" s="462"/>
      <c r="J96" s="462"/>
      <c r="K96" s="462"/>
      <c r="L96" s="462"/>
      <c r="M96" s="462"/>
      <c r="N96" s="912"/>
      <c r="O96" s="462"/>
      <c r="P96" s="462"/>
    </row>
    <row r="97">
      <c r="A97" s="462"/>
      <c r="B97" s="462"/>
      <c r="C97" s="462"/>
      <c r="D97" s="462"/>
      <c r="E97" s="462"/>
      <c r="F97" s="462"/>
      <c r="G97" s="942"/>
      <c r="H97" s="462"/>
      <c r="I97" s="462"/>
      <c r="J97" s="462"/>
      <c r="K97" s="462"/>
      <c r="L97" s="462"/>
      <c r="M97" s="462"/>
      <c r="N97" s="912"/>
      <c r="O97" s="462"/>
      <c r="P97" s="462"/>
    </row>
    <row r="98">
      <c r="A98" s="462"/>
      <c r="B98" s="462"/>
      <c r="C98" s="462"/>
      <c r="D98" s="462"/>
      <c r="E98" s="462"/>
      <c r="F98" s="462"/>
      <c r="G98" s="942"/>
      <c r="H98" s="462"/>
      <c r="I98" s="462"/>
      <c r="J98" s="462"/>
      <c r="K98" s="462"/>
      <c r="L98" s="462"/>
      <c r="M98" s="462"/>
      <c r="N98" s="912"/>
      <c r="O98" s="462"/>
      <c r="P98" s="462"/>
    </row>
    <row r="99">
      <c r="A99" s="462"/>
      <c r="B99" s="462"/>
      <c r="C99" s="462"/>
      <c r="D99" s="462"/>
      <c r="E99" s="462"/>
      <c r="F99" s="462"/>
      <c r="G99" s="942"/>
      <c r="H99" s="462"/>
      <c r="I99" s="462"/>
      <c r="J99" s="462"/>
      <c r="K99" s="462"/>
      <c r="L99" s="462"/>
      <c r="M99" s="462"/>
      <c r="N99" s="912"/>
      <c r="O99" s="462"/>
      <c r="P99" s="462"/>
    </row>
    <row r="100">
      <c r="A100" s="462"/>
      <c r="B100" s="462"/>
      <c r="C100" s="462"/>
      <c r="D100" s="462"/>
      <c r="E100" s="462"/>
      <c r="F100" s="462"/>
      <c r="G100" s="942"/>
      <c r="H100" s="462"/>
      <c r="I100" s="462"/>
      <c r="J100" s="462"/>
      <c r="K100" s="462"/>
      <c r="L100" s="462"/>
      <c r="M100" s="462"/>
      <c r="N100" s="912"/>
      <c r="O100" s="462"/>
      <c r="P100" s="462"/>
    </row>
    <row r="101">
      <c r="A101" s="462"/>
      <c r="B101" s="462"/>
      <c r="C101" s="462"/>
      <c r="D101" s="462"/>
      <c r="E101" s="462"/>
      <c r="F101" s="462"/>
      <c r="G101" s="942"/>
      <c r="H101" s="462"/>
      <c r="I101" s="462"/>
      <c r="J101" s="462"/>
      <c r="K101" s="462"/>
      <c r="L101" s="462"/>
      <c r="M101" s="462"/>
      <c r="N101" s="912"/>
      <c r="O101" s="462"/>
      <c r="P101" s="462"/>
    </row>
    <row r="102">
      <c r="A102" s="462"/>
      <c r="B102" s="462"/>
      <c r="C102" s="462"/>
      <c r="D102" s="462"/>
      <c r="E102" s="462"/>
      <c r="F102" s="462"/>
      <c r="G102" s="942"/>
      <c r="H102" s="462"/>
      <c r="I102" s="462"/>
      <c r="J102" s="462"/>
      <c r="K102" s="462"/>
      <c r="L102" s="462"/>
      <c r="M102" s="462"/>
      <c r="N102" s="912"/>
      <c r="O102" s="462"/>
      <c r="P102" s="462"/>
    </row>
    <row r="103">
      <c r="A103" s="462"/>
      <c r="B103" s="462"/>
      <c r="C103" s="462"/>
      <c r="D103" s="462"/>
      <c r="E103" s="462"/>
      <c r="F103" s="462"/>
      <c r="G103" s="942"/>
      <c r="H103" s="462"/>
      <c r="I103" s="462"/>
      <c r="J103" s="462"/>
      <c r="K103" s="462"/>
      <c r="L103" s="462"/>
      <c r="M103" s="462"/>
      <c r="N103" s="912"/>
      <c r="O103" s="462"/>
      <c r="P103" s="462"/>
    </row>
    <row r="104">
      <c r="A104" s="462"/>
      <c r="B104" s="462"/>
      <c r="C104" s="462"/>
      <c r="D104" s="462"/>
      <c r="E104" s="462"/>
      <c r="F104" s="462"/>
      <c r="G104" s="942"/>
      <c r="H104" s="462"/>
      <c r="I104" s="462"/>
      <c r="J104" s="462"/>
      <c r="K104" s="462"/>
      <c r="L104" s="462"/>
      <c r="M104" s="462"/>
      <c r="N104" s="912"/>
      <c r="O104" s="462"/>
      <c r="P104" s="462"/>
    </row>
    <row r="105">
      <c r="A105" s="462"/>
      <c r="B105" s="462"/>
      <c r="C105" s="462"/>
      <c r="D105" s="462"/>
      <c r="E105" s="462"/>
      <c r="F105" s="462"/>
      <c r="G105" s="942"/>
      <c r="H105" s="462"/>
      <c r="I105" s="462"/>
      <c r="J105" s="462"/>
      <c r="K105" s="462"/>
      <c r="L105" s="462"/>
      <c r="M105" s="462"/>
      <c r="N105" s="912"/>
      <c r="O105" s="462"/>
      <c r="P105" s="462"/>
    </row>
    <row r="106">
      <c r="A106" s="462"/>
      <c r="B106" s="462"/>
      <c r="C106" s="462"/>
      <c r="D106" s="462"/>
      <c r="E106" s="462"/>
      <c r="F106" s="462"/>
      <c r="G106" s="942"/>
      <c r="H106" s="462"/>
      <c r="I106" s="462"/>
      <c r="J106" s="462"/>
      <c r="K106" s="462"/>
      <c r="L106" s="462"/>
      <c r="M106" s="462"/>
      <c r="N106" s="912"/>
      <c r="O106" s="462"/>
      <c r="P106" s="462"/>
    </row>
    <row r="107">
      <c r="A107" s="462"/>
      <c r="B107" s="462"/>
      <c r="C107" s="462"/>
      <c r="D107" s="462"/>
      <c r="E107" s="462"/>
      <c r="F107" s="462"/>
      <c r="G107" s="942"/>
      <c r="H107" s="462"/>
      <c r="I107" s="462"/>
      <c r="J107" s="462"/>
      <c r="K107" s="462"/>
      <c r="L107" s="462"/>
      <c r="M107" s="462"/>
      <c r="N107" s="912"/>
      <c r="O107" s="462"/>
      <c r="P107" s="462"/>
    </row>
    <row r="108">
      <c r="A108" s="462"/>
      <c r="B108" s="462"/>
      <c r="C108" s="462"/>
      <c r="D108" s="462"/>
      <c r="E108" s="462"/>
      <c r="F108" s="462"/>
      <c r="G108" s="942"/>
      <c r="H108" s="462"/>
      <c r="I108" s="462"/>
      <c r="J108" s="462"/>
      <c r="K108" s="462"/>
      <c r="L108" s="462"/>
      <c r="M108" s="462"/>
      <c r="N108" s="912"/>
      <c r="O108" s="462"/>
      <c r="P108" s="462"/>
    </row>
    <row r="109">
      <c r="A109" s="462"/>
      <c r="B109" s="462"/>
      <c r="C109" s="462"/>
      <c r="D109" s="462"/>
      <c r="E109" s="462"/>
      <c r="F109" s="462"/>
      <c r="G109" s="942"/>
      <c r="H109" s="462"/>
      <c r="I109" s="462"/>
      <c r="J109" s="462"/>
      <c r="K109" s="462"/>
      <c r="L109" s="462"/>
      <c r="M109" s="462"/>
      <c r="N109" s="912"/>
      <c r="O109" s="462"/>
      <c r="P109" s="462"/>
    </row>
    <row r="110">
      <c r="A110" s="462"/>
      <c r="B110" s="462"/>
      <c r="C110" s="462"/>
      <c r="D110" s="462"/>
      <c r="E110" s="462"/>
      <c r="F110" s="462"/>
      <c r="G110" s="942"/>
      <c r="H110" s="462"/>
      <c r="I110" s="462"/>
      <c r="J110" s="462"/>
      <c r="K110" s="462"/>
      <c r="L110" s="462"/>
      <c r="M110" s="462"/>
      <c r="N110" s="912"/>
      <c r="O110" s="462"/>
      <c r="P110" s="462"/>
    </row>
    <row r="111">
      <c r="A111" s="462"/>
      <c r="B111" s="462"/>
      <c r="C111" s="462"/>
      <c r="D111" s="462"/>
      <c r="E111" s="462"/>
      <c r="F111" s="462"/>
      <c r="G111" s="942"/>
      <c r="H111" s="462"/>
      <c r="I111" s="462"/>
      <c r="J111" s="462"/>
      <c r="K111" s="462"/>
      <c r="L111" s="462"/>
      <c r="M111" s="462"/>
      <c r="N111" s="912"/>
      <c r="O111" s="462"/>
      <c r="P111" s="462"/>
    </row>
    <row r="112">
      <c r="A112" s="462"/>
      <c r="B112" s="462"/>
      <c r="C112" s="462"/>
      <c r="D112" s="462"/>
      <c r="E112" s="462"/>
      <c r="F112" s="462"/>
      <c r="G112" s="942"/>
      <c r="H112" s="462"/>
      <c r="I112" s="462"/>
      <c r="J112" s="462"/>
      <c r="K112" s="462"/>
      <c r="L112" s="462"/>
      <c r="M112" s="462"/>
      <c r="N112" s="912"/>
      <c r="O112" s="462"/>
      <c r="P112" s="462"/>
    </row>
    <row r="113">
      <c r="A113" s="462"/>
      <c r="B113" s="462"/>
      <c r="C113" s="462"/>
      <c r="D113" s="462"/>
      <c r="E113" s="462"/>
      <c r="F113" s="462"/>
      <c r="G113" s="942"/>
      <c r="H113" s="462"/>
      <c r="I113" s="462"/>
      <c r="J113" s="462"/>
      <c r="K113" s="462"/>
      <c r="L113" s="462"/>
      <c r="M113" s="462"/>
      <c r="N113" s="912"/>
      <c r="O113" s="462"/>
      <c r="P113" s="462"/>
    </row>
    <row r="114">
      <c r="A114" s="462"/>
      <c r="B114" s="462"/>
      <c r="C114" s="462"/>
      <c r="D114" s="462"/>
      <c r="E114" s="462"/>
      <c r="F114" s="462"/>
      <c r="G114" s="942"/>
      <c r="H114" s="462"/>
      <c r="I114" s="462"/>
      <c r="J114" s="462"/>
      <c r="K114" s="462"/>
      <c r="L114" s="462"/>
      <c r="M114" s="462"/>
      <c r="N114" s="912"/>
      <c r="O114" s="462"/>
      <c r="P114" s="462"/>
    </row>
    <row r="115">
      <c r="A115" s="462"/>
      <c r="B115" s="462"/>
      <c r="C115" s="462"/>
      <c r="D115" s="462"/>
      <c r="E115" s="462"/>
      <c r="F115" s="462"/>
      <c r="G115" s="942"/>
      <c r="H115" s="462"/>
      <c r="I115" s="462"/>
      <c r="J115" s="462"/>
      <c r="K115" s="462"/>
      <c r="L115" s="462"/>
      <c r="M115" s="462"/>
      <c r="N115" s="912"/>
      <c r="O115" s="462"/>
      <c r="P115" s="462"/>
    </row>
    <row r="116">
      <c r="A116" s="462"/>
      <c r="B116" s="462"/>
      <c r="C116" s="462"/>
      <c r="D116" s="462"/>
      <c r="E116" s="462"/>
      <c r="F116" s="462"/>
      <c r="G116" s="942"/>
      <c r="H116" s="462"/>
      <c r="I116" s="462"/>
      <c r="J116" s="462"/>
      <c r="K116" s="462"/>
      <c r="L116" s="462"/>
      <c r="M116" s="462"/>
      <c r="N116" s="912"/>
      <c r="O116" s="462"/>
      <c r="P116" s="462"/>
    </row>
    <row r="117">
      <c r="A117" s="462"/>
      <c r="B117" s="462"/>
      <c r="C117" s="462"/>
      <c r="D117" s="462"/>
      <c r="E117" s="462"/>
      <c r="F117" s="462"/>
      <c r="G117" s="942"/>
      <c r="H117" s="462"/>
      <c r="I117" s="462"/>
      <c r="J117" s="462"/>
      <c r="K117" s="462"/>
      <c r="L117" s="462"/>
      <c r="M117" s="462"/>
      <c r="N117" s="912"/>
      <c r="O117" s="462"/>
      <c r="P117" s="462"/>
    </row>
    <row r="118">
      <c r="A118" s="462"/>
      <c r="B118" s="462"/>
      <c r="C118" s="462"/>
      <c r="D118" s="462"/>
      <c r="E118" s="462"/>
      <c r="F118" s="462"/>
      <c r="G118" s="942"/>
      <c r="H118" s="462"/>
      <c r="I118" s="462"/>
      <c r="J118" s="462"/>
      <c r="K118" s="462"/>
      <c r="L118" s="462"/>
      <c r="M118" s="462"/>
      <c r="N118" s="912"/>
      <c r="O118" s="462"/>
      <c r="P118" s="462"/>
    </row>
    <row r="119">
      <c r="A119" s="462"/>
      <c r="B119" s="462"/>
      <c r="C119" s="462"/>
      <c r="D119" s="462"/>
      <c r="E119" s="462"/>
      <c r="F119" s="462"/>
      <c r="G119" s="942"/>
      <c r="H119" s="462"/>
      <c r="I119" s="462"/>
      <c r="J119" s="462"/>
      <c r="K119" s="462"/>
      <c r="L119" s="462"/>
      <c r="M119" s="462"/>
      <c r="N119" s="912"/>
      <c r="O119" s="462"/>
      <c r="P119" s="462"/>
    </row>
    <row r="120">
      <c r="A120" s="462"/>
      <c r="B120" s="462"/>
      <c r="C120" s="462"/>
      <c r="D120" s="462"/>
      <c r="E120" s="462"/>
      <c r="F120" s="462"/>
      <c r="G120" s="942"/>
      <c r="H120" s="462"/>
      <c r="I120" s="462"/>
      <c r="J120" s="462"/>
      <c r="K120" s="462"/>
      <c r="L120" s="462"/>
      <c r="M120" s="462"/>
      <c r="N120" s="912"/>
      <c r="O120" s="462"/>
      <c r="P120" s="462"/>
    </row>
    <row r="121">
      <c r="A121" s="462"/>
      <c r="B121" s="462"/>
      <c r="C121" s="462"/>
      <c r="D121" s="462"/>
      <c r="E121" s="462"/>
      <c r="F121" s="462"/>
      <c r="G121" s="942"/>
      <c r="H121" s="462"/>
      <c r="I121" s="462"/>
      <c r="J121" s="462"/>
      <c r="K121" s="462"/>
      <c r="L121" s="462"/>
      <c r="M121" s="462"/>
      <c r="N121" s="912"/>
      <c r="O121" s="462"/>
      <c r="P121" s="462"/>
    </row>
    <row r="122">
      <c r="A122" s="462"/>
      <c r="B122" s="462"/>
      <c r="C122" s="462"/>
      <c r="D122" s="462"/>
      <c r="E122" s="462"/>
      <c r="F122" s="462"/>
      <c r="G122" s="942"/>
      <c r="H122" s="462"/>
      <c r="I122" s="462"/>
      <c r="J122" s="462"/>
      <c r="K122" s="462"/>
      <c r="L122" s="462"/>
      <c r="M122" s="462"/>
      <c r="N122" s="912"/>
      <c r="O122" s="462"/>
      <c r="P122" s="462"/>
    </row>
    <row r="123">
      <c r="A123" s="462"/>
      <c r="B123" s="462"/>
      <c r="C123" s="462"/>
      <c r="D123" s="462"/>
      <c r="E123" s="462"/>
      <c r="F123" s="462"/>
      <c r="G123" s="942"/>
      <c r="H123" s="462"/>
      <c r="I123" s="462"/>
      <c r="J123" s="462"/>
      <c r="K123" s="462"/>
      <c r="L123" s="462"/>
      <c r="M123" s="462"/>
      <c r="N123" s="912"/>
      <c r="O123" s="462"/>
      <c r="P123" s="462"/>
    </row>
    <row r="124">
      <c r="A124" s="462"/>
      <c r="B124" s="462"/>
      <c r="C124" s="462"/>
      <c r="D124" s="462"/>
      <c r="E124" s="462"/>
      <c r="F124" s="462"/>
      <c r="G124" s="942"/>
      <c r="H124" s="462"/>
      <c r="I124" s="462"/>
      <c r="J124" s="462"/>
      <c r="K124" s="462"/>
      <c r="L124" s="462"/>
      <c r="M124" s="462"/>
      <c r="N124" s="912"/>
      <c r="O124" s="462"/>
      <c r="P124" s="462"/>
    </row>
    <row r="125">
      <c r="A125" s="462"/>
      <c r="B125" s="462"/>
      <c r="C125" s="462"/>
      <c r="D125" s="462"/>
      <c r="E125" s="462"/>
      <c r="F125" s="462"/>
      <c r="G125" s="942"/>
      <c r="H125" s="462"/>
      <c r="I125" s="462"/>
      <c r="J125" s="462"/>
      <c r="K125" s="462"/>
      <c r="L125" s="462"/>
      <c r="M125" s="462"/>
      <c r="N125" s="912"/>
      <c r="O125" s="462"/>
      <c r="P125" s="462"/>
    </row>
    <row r="126">
      <c r="A126" s="462"/>
      <c r="B126" s="462"/>
      <c r="C126" s="462"/>
      <c r="D126" s="462"/>
      <c r="E126" s="462"/>
      <c r="F126" s="462"/>
      <c r="G126" s="942"/>
      <c r="H126" s="462"/>
      <c r="I126" s="462"/>
      <c r="J126" s="462"/>
      <c r="K126" s="462"/>
      <c r="L126" s="462"/>
      <c r="M126" s="462"/>
      <c r="N126" s="912"/>
      <c r="O126" s="462"/>
      <c r="P126" s="462"/>
    </row>
    <row r="127">
      <c r="A127" s="462"/>
      <c r="B127" s="462"/>
      <c r="C127" s="462"/>
      <c r="D127" s="462"/>
      <c r="E127" s="462"/>
      <c r="F127" s="462"/>
      <c r="G127" s="942"/>
      <c r="H127" s="462"/>
      <c r="I127" s="462"/>
      <c r="J127" s="462"/>
      <c r="K127" s="462"/>
      <c r="L127" s="462"/>
      <c r="M127" s="462"/>
      <c r="N127" s="912"/>
      <c r="O127" s="462"/>
      <c r="P127" s="462"/>
    </row>
    <row r="128">
      <c r="A128" s="462"/>
      <c r="B128" s="462"/>
      <c r="C128" s="462"/>
      <c r="D128" s="462"/>
      <c r="E128" s="462"/>
      <c r="F128" s="462"/>
      <c r="G128" s="942"/>
      <c r="H128" s="462"/>
      <c r="I128" s="462"/>
      <c r="J128" s="462"/>
      <c r="K128" s="462"/>
      <c r="L128" s="462"/>
      <c r="M128" s="462"/>
      <c r="N128" s="912"/>
      <c r="O128" s="462"/>
      <c r="P128" s="462"/>
    </row>
    <row r="129">
      <c r="A129" s="462"/>
      <c r="B129" s="462"/>
      <c r="C129" s="462"/>
      <c r="D129" s="462"/>
      <c r="E129" s="462"/>
      <c r="F129" s="462"/>
      <c r="G129" s="942"/>
      <c r="H129" s="462"/>
      <c r="I129" s="462"/>
      <c r="J129" s="462"/>
      <c r="K129" s="462"/>
      <c r="L129" s="462"/>
      <c r="M129" s="462"/>
      <c r="N129" s="912"/>
      <c r="O129" s="462"/>
      <c r="P129" s="462"/>
    </row>
    <row r="130">
      <c r="A130" s="462"/>
      <c r="B130" s="462"/>
      <c r="C130" s="462"/>
      <c r="D130" s="462"/>
      <c r="E130" s="462"/>
      <c r="F130" s="462"/>
      <c r="G130" s="942"/>
      <c r="H130" s="462"/>
      <c r="I130" s="462"/>
      <c r="J130" s="462"/>
      <c r="K130" s="462"/>
      <c r="L130" s="462"/>
      <c r="M130" s="462"/>
      <c r="N130" s="912"/>
      <c r="O130" s="462"/>
      <c r="P130" s="462"/>
    </row>
    <row r="131">
      <c r="A131" s="462"/>
      <c r="B131" s="462"/>
      <c r="C131" s="462"/>
      <c r="D131" s="462"/>
      <c r="E131" s="462"/>
      <c r="F131" s="462"/>
      <c r="G131" s="942"/>
      <c r="H131" s="462"/>
      <c r="I131" s="462"/>
      <c r="J131" s="462"/>
      <c r="K131" s="462"/>
      <c r="L131" s="462"/>
      <c r="M131" s="462"/>
      <c r="N131" s="912"/>
      <c r="O131" s="462"/>
      <c r="P131" s="462"/>
    </row>
    <row r="132">
      <c r="A132" s="462"/>
      <c r="B132" s="462"/>
      <c r="C132" s="462"/>
      <c r="D132" s="462"/>
      <c r="E132" s="462"/>
      <c r="F132" s="462"/>
      <c r="G132" s="942"/>
      <c r="H132" s="462"/>
      <c r="I132" s="462"/>
      <c r="J132" s="462"/>
      <c r="K132" s="462"/>
      <c r="L132" s="462"/>
      <c r="M132" s="462"/>
      <c r="N132" s="912"/>
      <c r="O132" s="462"/>
      <c r="P132" s="462"/>
    </row>
    <row r="133">
      <c r="A133" s="462"/>
      <c r="B133" s="462"/>
      <c r="C133" s="462"/>
      <c r="D133" s="462"/>
      <c r="E133" s="462"/>
      <c r="F133" s="462"/>
      <c r="G133" s="942"/>
      <c r="H133" s="462"/>
      <c r="I133" s="462"/>
      <c r="J133" s="462"/>
      <c r="K133" s="462"/>
      <c r="L133" s="462"/>
      <c r="M133" s="462"/>
      <c r="N133" s="912"/>
      <c r="O133" s="462"/>
      <c r="P133" s="462"/>
    </row>
    <row r="134">
      <c r="A134" s="462"/>
      <c r="B134" s="462"/>
      <c r="C134" s="462"/>
      <c r="D134" s="462"/>
      <c r="E134" s="462"/>
      <c r="F134" s="462"/>
      <c r="G134" s="942"/>
      <c r="H134" s="462"/>
      <c r="I134" s="462"/>
      <c r="J134" s="462"/>
      <c r="K134" s="462"/>
      <c r="L134" s="462"/>
      <c r="M134" s="462"/>
      <c r="N134" s="912"/>
      <c r="O134" s="462"/>
      <c r="P134" s="462"/>
    </row>
    <row r="135">
      <c r="A135" s="462"/>
      <c r="B135" s="462"/>
      <c r="C135" s="462"/>
      <c r="D135" s="462"/>
      <c r="E135" s="462"/>
      <c r="F135" s="462"/>
      <c r="G135" s="942"/>
      <c r="H135" s="462"/>
      <c r="I135" s="462"/>
      <c r="J135" s="462"/>
      <c r="K135" s="462"/>
      <c r="L135" s="462"/>
      <c r="M135" s="462"/>
      <c r="N135" s="912"/>
      <c r="O135" s="462"/>
      <c r="P135" s="462"/>
    </row>
    <row r="136">
      <c r="A136" s="462"/>
      <c r="B136" s="462"/>
      <c r="C136" s="462"/>
      <c r="D136" s="462"/>
      <c r="E136" s="462"/>
      <c r="F136" s="462"/>
      <c r="G136" s="942"/>
      <c r="H136" s="462"/>
      <c r="I136" s="462"/>
      <c r="J136" s="462"/>
      <c r="K136" s="462"/>
      <c r="L136" s="462"/>
      <c r="M136" s="462"/>
      <c r="N136" s="912"/>
      <c r="O136" s="462"/>
      <c r="P136" s="462"/>
    </row>
    <row r="137">
      <c r="A137" s="462"/>
      <c r="B137" s="462"/>
      <c r="C137" s="462"/>
      <c r="D137" s="462"/>
      <c r="E137" s="462"/>
      <c r="F137" s="462"/>
      <c r="G137" s="942"/>
      <c r="H137" s="462"/>
      <c r="I137" s="462"/>
      <c r="J137" s="462"/>
      <c r="K137" s="462"/>
      <c r="L137" s="462"/>
      <c r="M137" s="462"/>
      <c r="N137" s="912"/>
      <c r="O137" s="462"/>
      <c r="P137" s="462"/>
    </row>
    <row r="138">
      <c r="A138" s="462"/>
      <c r="B138" s="462"/>
      <c r="C138" s="462"/>
      <c r="D138" s="462"/>
      <c r="E138" s="462"/>
      <c r="F138" s="462"/>
      <c r="G138" s="942"/>
      <c r="H138" s="462"/>
      <c r="I138" s="462"/>
      <c r="J138" s="462"/>
      <c r="K138" s="462"/>
      <c r="L138" s="462"/>
      <c r="M138" s="462"/>
      <c r="N138" s="912"/>
      <c r="O138" s="462"/>
      <c r="P138" s="462"/>
    </row>
    <row r="139">
      <c r="A139" s="462"/>
      <c r="B139" s="462"/>
      <c r="C139" s="462"/>
      <c r="D139" s="462"/>
      <c r="E139" s="462"/>
      <c r="F139" s="462"/>
      <c r="G139" s="942"/>
      <c r="H139" s="462"/>
      <c r="I139" s="462"/>
      <c r="J139" s="462"/>
      <c r="K139" s="462"/>
      <c r="L139" s="462"/>
      <c r="M139" s="462"/>
      <c r="N139" s="912"/>
      <c r="O139" s="462"/>
      <c r="P139" s="462"/>
    </row>
    <row r="140">
      <c r="A140" s="462"/>
      <c r="B140" s="462"/>
      <c r="C140" s="462"/>
      <c r="D140" s="462"/>
      <c r="E140" s="462"/>
      <c r="F140" s="462"/>
      <c r="G140" s="942"/>
      <c r="H140" s="462"/>
      <c r="I140" s="462"/>
      <c r="J140" s="462"/>
      <c r="K140" s="462"/>
      <c r="L140" s="462"/>
      <c r="M140" s="462"/>
      <c r="N140" s="912"/>
      <c r="O140" s="462"/>
      <c r="P140" s="462"/>
    </row>
    <row r="141">
      <c r="A141" s="462"/>
      <c r="B141" s="462"/>
      <c r="C141" s="462"/>
      <c r="D141" s="462"/>
      <c r="E141" s="462"/>
      <c r="F141" s="462"/>
      <c r="G141" s="942"/>
      <c r="H141" s="462"/>
      <c r="I141" s="462"/>
      <c r="J141" s="462"/>
      <c r="K141" s="462"/>
      <c r="L141" s="462"/>
      <c r="M141" s="462"/>
      <c r="N141" s="912"/>
      <c r="O141" s="462"/>
      <c r="P141" s="462"/>
    </row>
    <row r="142">
      <c r="A142" s="462"/>
      <c r="B142" s="462"/>
      <c r="C142" s="462"/>
      <c r="D142" s="462"/>
      <c r="E142" s="462"/>
      <c r="F142" s="462"/>
      <c r="G142" s="942"/>
      <c r="H142" s="462"/>
      <c r="I142" s="462"/>
      <c r="J142" s="462"/>
      <c r="K142" s="462"/>
      <c r="L142" s="462"/>
      <c r="M142" s="462"/>
      <c r="N142" s="912"/>
      <c r="O142" s="462"/>
      <c r="P142" s="462"/>
    </row>
    <row r="143">
      <c r="A143" s="462"/>
      <c r="B143" s="462"/>
      <c r="C143" s="462"/>
      <c r="D143" s="462"/>
      <c r="E143" s="462"/>
      <c r="F143" s="462"/>
      <c r="G143" s="942"/>
      <c r="H143" s="462"/>
      <c r="I143" s="462"/>
      <c r="J143" s="462"/>
      <c r="K143" s="462"/>
      <c r="L143" s="462"/>
      <c r="M143" s="462"/>
      <c r="N143" s="912"/>
      <c r="O143" s="462"/>
      <c r="P143" s="462"/>
    </row>
    <row r="144">
      <c r="A144" s="462"/>
      <c r="B144" s="462"/>
      <c r="C144" s="462"/>
      <c r="D144" s="462"/>
      <c r="E144" s="462"/>
      <c r="F144" s="462"/>
      <c r="G144" s="942"/>
      <c r="H144" s="462"/>
      <c r="I144" s="462"/>
      <c r="J144" s="462"/>
      <c r="K144" s="462"/>
      <c r="L144" s="462"/>
      <c r="M144" s="462"/>
      <c r="N144" s="912"/>
      <c r="O144" s="462"/>
      <c r="P144" s="462"/>
    </row>
    <row r="145">
      <c r="A145" s="462"/>
      <c r="B145" s="462"/>
      <c r="C145" s="462"/>
      <c r="D145" s="462"/>
      <c r="E145" s="462"/>
      <c r="F145" s="462"/>
      <c r="G145" s="942"/>
      <c r="H145" s="462"/>
      <c r="I145" s="462"/>
      <c r="J145" s="462"/>
      <c r="K145" s="462"/>
      <c r="L145" s="462"/>
      <c r="M145" s="462"/>
      <c r="N145" s="912"/>
      <c r="O145" s="462"/>
      <c r="P145" s="462"/>
    </row>
    <row r="146">
      <c r="A146" s="462"/>
      <c r="B146" s="462"/>
      <c r="C146" s="462"/>
      <c r="D146" s="462"/>
      <c r="E146" s="462"/>
      <c r="F146" s="462"/>
      <c r="G146" s="942"/>
      <c r="H146" s="462"/>
      <c r="I146" s="462"/>
      <c r="J146" s="462"/>
      <c r="K146" s="462"/>
      <c r="L146" s="462"/>
      <c r="M146" s="462"/>
      <c r="N146" s="912"/>
      <c r="O146" s="462"/>
      <c r="P146" s="462"/>
    </row>
    <row r="147">
      <c r="A147" s="462"/>
      <c r="B147" s="462"/>
      <c r="C147" s="462"/>
      <c r="D147" s="462"/>
      <c r="E147" s="462"/>
      <c r="F147" s="462"/>
      <c r="G147" s="942"/>
      <c r="H147" s="462"/>
      <c r="I147" s="462"/>
      <c r="J147" s="462"/>
      <c r="K147" s="462"/>
      <c r="L147" s="462"/>
      <c r="M147" s="462"/>
      <c r="N147" s="912"/>
      <c r="O147" s="462"/>
      <c r="P147" s="462"/>
    </row>
    <row r="148">
      <c r="A148" s="462"/>
      <c r="B148" s="462"/>
      <c r="C148" s="462"/>
      <c r="D148" s="462"/>
      <c r="E148" s="462"/>
      <c r="F148" s="462"/>
      <c r="G148" s="942"/>
      <c r="H148" s="462"/>
      <c r="I148" s="462"/>
      <c r="J148" s="462"/>
      <c r="K148" s="462"/>
      <c r="L148" s="462"/>
      <c r="M148" s="462"/>
      <c r="N148" s="912"/>
      <c r="O148" s="462"/>
      <c r="P148" s="462"/>
    </row>
    <row r="149">
      <c r="A149" s="462"/>
      <c r="B149" s="462"/>
      <c r="C149" s="462"/>
      <c r="D149" s="462"/>
      <c r="E149" s="462"/>
      <c r="F149" s="462"/>
      <c r="G149" s="942"/>
      <c r="H149" s="462"/>
      <c r="I149" s="462"/>
      <c r="J149" s="462"/>
      <c r="K149" s="462"/>
      <c r="L149" s="462"/>
      <c r="M149" s="462"/>
      <c r="N149" s="912"/>
      <c r="O149" s="462"/>
      <c r="P149" s="462"/>
    </row>
    <row r="150">
      <c r="A150" s="462"/>
      <c r="B150" s="462"/>
      <c r="C150" s="462"/>
      <c r="D150" s="462"/>
      <c r="E150" s="462"/>
      <c r="F150" s="462"/>
      <c r="G150" s="942"/>
      <c r="H150" s="462"/>
      <c r="I150" s="462"/>
      <c r="J150" s="462"/>
      <c r="K150" s="462"/>
      <c r="L150" s="462"/>
      <c r="M150" s="462"/>
      <c r="N150" s="912"/>
      <c r="O150" s="462"/>
      <c r="P150" s="462"/>
    </row>
    <row r="151">
      <c r="A151" s="462"/>
      <c r="B151" s="462"/>
      <c r="C151" s="462"/>
      <c r="D151" s="462"/>
      <c r="E151" s="462"/>
      <c r="F151" s="462"/>
      <c r="G151" s="942"/>
      <c r="H151" s="462"/>
      <c r="I151" s="462"/>
      <c r="J151" s="462"/>
      <c r="K151" s="462"/>
      <c r="L151" s="462"/>
      <c r="M151" s="462"/>
      <c r="N151" s="912"/>
      <c r="O151" s="462"/>
      <c r="P151" s="462"/>
    </row>
    <row r="152">
      <c r="A152" s="462"/>
      <c r="B152" s="462"/>
      <c r="C152" s="462"/>
      <c r="D152" s="462"/>
      <c r="E152" s="462"/>
      <c r="F152" s="462"/>
      <c r="G152" s="942"/>
      <c r="H152" s="462"/>
      <c r="I152" s="462"/>
      <c r="J152" s="462"/>
      <c r="K152" s="462"/>
      <c r="L152" s="462"/>
      <c r="M152" s="462"/>
      <c r="N152" s="912"/>
      <c r="O152" s="462"/>
      <c r="P152" s="462"/>
    </row>
    <row r="153">
      <c r="A153" s="462"/>
      <c r="B153" s="462"/>
      <c r="C153" s="462"/>
      <c r="D153" s="462"/>
      <c r="E153" s="462"/>
      <c r="F153" s="462"/>
      <c r="G153" s="942"/>
      <c r="H153" s="462"/>
      <c r="I153" s="462"/>
      <c r="J153" s="462"/>
      <c r="K153" s="462"/>
      <c r="L153" s="462"/>
      <c r="M153" s="462"/>
      <c r="N153" s="912"/>
      <c r="O153" s="462"/>
      <c r="P153" s="462"/>
    </row>
    <row r="154">
      <c r="A154" s="462"/>
      <c r="B154" s="462"/>
      <c r="C154" s="462"/>
      <c r="D154" s="462"/>
      <c r="E154" s="462"/>
      <c r="F154" s="462"/>
      <c r="G154" s="942"/>
      <c r="H154" s="462"/>
      <c r="I154" s="462"/>
      <c r="J154" s="462"/>
      <c r="K154" s="462"/>
      <c r="L154" s="462"/>
      <c r="M154" s="462"/>
      <c r="N154" s="912"/>
      <c r="O154" s="462"/>
      <c r="P154" s="462"/>
    </row>
    <row r="155">
      <c r="A155" s="462"/>
      <c r="B155" s="462"/>
      <c r="C155" s="462"/>
      <c r="D155" s="462"/>
      <c r="E155" s="462"/>
      <c r="F155" s="462"/>
      <c r="G155" s="942"/>
      <c r="H155" s="462"/>
      <c r="I155" s="462"/>
      <c r="J155" s="462"/>
      <c r="K155" s="462"/>
      <c r="L155" s="462"/>
      <c r="M155" s="462"/>
      <c r="N155" s="912"/>
      <c r="O155" s="462"/>
      <c r="P155" s="462"/>
    </row>
    <row r="156">
      <c r="A156" s="462"/>
      <c r="B156" s="462"/>
      <c r="C156" s="462"/>
      <c r="D156" s="462"/>
      <c r="E156" s="462"/>
      <c r="F156" s="462"/>
      <c r="G156" s="942"/>
      <c r="H156" s="462"/>
      <c r="I156" s="462"/>
      <c r="J156" s="462"/>
      <c r="K156" s="462"/>
      <c r="L156" s="462"/>
      <c r="M156" s="462"/>
      <c r="N156" s="912"/>
      <c r="O156" s="462"/>
      <c r="P156" s="462"/>
    </row>
    <row r="157">
      <c r="A157" s="462"/>
      <c r="B157" s="462"/>
      <c r="C157" s="462"/>
      <c r="D157" s="462"/>
      <c r="E157" s="462"/>
      <c r="F157" s="462"/>
      <c r="G157" s="942"/>
      <c r="H157" s="462"/>
      <c r="I157" s="462"/>
      <c r="J157" s="462"/>
      <c r="K157" s="462"/>
      <c r="L157" s="462"/>
      <c r="M157" s="462"/>
      <c r="N157" s="912"/>
      <c r="O157" s="462"/>
      <c r="P157" s="462"/>
    </row>
    <row r="158">
      <c r="A158" s="462"/>
      <c r="B158" s="462"/>
      <c r="C158" s="462"/>
      <c r="D158" s="462"/>
      <c r="E158" s="462"/>
      <c r="F158" s="462"/>
      <c r="G158" s="942"/>
      <c r="H158" s="462"/>
      <c r="I158" s="462"/>
      <c r="J158" s="462"/>
      <c r="K158" s="462"/>
      <c r="L158" s="462"/>
      <c r="M158" s="462"/>
      <c r="N158" s="912"/>
      <c r="O158" s="462"/>
      <c r="P158" s="462"/>
    </row>
    <row r="159">
      <c r="A159" s="462"/>
      <c r="B159" s="462"/>
      <c r="C159" s="462"/>
      <c r="D159" s="462"/>
      <c r="E159" s="462"/>
      <c r="F159" s="462"/>
      <c r="G159" s="942"/>
      <c r="H159" s="462"/>
      <c r="I159" s="462"/>
      <c r="J159" s="462"/>
      <c r="K159" s="462"/>
      <c r="L159" s="462"/>
      <c r="M159" s="462"/>
      <c r="N159" s="912"/>
      <c r="O159" s="462"/>
      <c r="P159" s="462"/>
    </row>
    <row r="160">
      <c r="A160" s="462"/>
      <c r="B160" s="462"/>
      <c r="C160" s="462"/>
      <c r="D160" s="462"/>
      <c r="E160" s="462"/>
      <c r="F160" s="462"/>
      <c r="G160" s="942"/>
      <c r="H160" s="462"/>
      <c r="I160" s="462"/>
      <c r="J160" s="462"/>
      <c r="K160" s="462"/>
      <c r="L160" s="462"/>
      <c r="M160" s="462"/>
      <c r="N160" s="912"/>
      <c r="O160" s="462"/>
      <c r="P160" s="462"/>
    </row>
    <row r="161">
      <c r="A161" s="462"/>
      <c r="B161" s="462"/>
      <c r="C161" s="462"/>
      <c r="D161" s="462"/>
      <c r="E161" s="462"/>
      <c r="F161" s="462"/>
      <c r="G161" s="942"/>
      <c r="H161" s="462"/>
      <c r="I161" s="462"/>
      <c r="J161" s="462"/>
      <c r="K161" s="462"/>
      <c r="L161" s="462"/>
      <c r="M161" s="462"/>
      <c r="N161" s="912"/>
      <c r="O161" s="462"/>
      <c r="P161" s="462"/>
    </row>
    <row r="162">
      <c r="A162" s="462"/>
      <c r="B162" s="462"/>
      <c r="C162" s="462"/>
      <c r="D162" s="462"/>
      <c r="E162" s="462"/>
      <c r="F162" s="462"/>
      <c r="G162" s="942"/>
      <c r="H162" s="462"/>
      <c r="I162" s="462"/>
      <c r="J162" s="462"/>
      <c r="K162" s="462"/>
      <c r="L162" s="462"/>
      <c r="M162" s="462"/>
      <c r="N162" s="912"/>
      <c r="O162" s="462"/>
      <c r="P162" s="462"/>
    </row>
    <row r="163">
      <c r="A163" s="462"/>
      <c r="B163" s="462"/>
      <c r="C163" s="462"/>
      <c r="D163" s="462"/>
      <c r="E163" s="462"/>
      <c r="F163" s="462"/>
      <c r="G163" s="942"/>
      <c r="H163" s="462"/>
      <c r="I163" s="462"/>
      <c r="J163" s="462"/>
      <c r="K163" s="462"/>
      <c r="L163" s="462"/>
      <c r="M163" s="462"/>
      <c r="N163" s="912"/>
      <c r="O163" s="462"/>
      <c r="P163" s="462"/>
    </row>
    <row r="164">
      <c r="A164" s="462"/>
      <c r="B164" s="462"/>
      <c r="C164" s="462"/>
      <c r="D164" s="462"/>
      <c r="E164" s="462"/>
      <c r="F164" s="462"/>
      <c r="G164" s="942"/>
      <c r="H164" s="462"/>
      <c r="I164" s="462"/>
      <c r="J164" s="462"/>
      <c r="K164" s="462"/>
      <c r="L164" s="462"/>
      <c r="M164" s="462"/>
      <c r="N164" s="912"/>
      <c r="O164" s="462"/>
      <c r="P164" s="462"/>
    </row>
    <row r="165">
      <c r="A165" s="462"/>
      <c r="B165" s="462"/>
      <c r="C165" s="462"/>
      <c r="D165" s="462"/>
      <c r="E165" s="462"/>
      <c r="F165" s="462"/>
      <c r="G165" s="942"/>
      <c r="H165" s="462"/>
      <c r="I165" s="462"/>
      <c r="J165" s="462"/>
      <c r="K165" s="462"/>
      <c r="L165" s="462"/>
      <c r="M165" s="462"/>
      <c r="N165" s="912"/>
      <c r="O165" s="462"/>
      <c r="P165" s="462"/>
    </row>
    <row r="166">
      <c r="A166" s="462"/>
      <c r="B166" s="462"/>
      <c r="C166" s="462"/>
      <c r="D166" s="462"/>
      <c r="E166" s="462"/>
      <c r="F166" s="462"/>
      <c r="G166" s="942"/>
      <c r="H166" s="462"/>
      <c r="I166" s="462"/>
      <c r="J166" s="462"/>
      <c r="K166" s="462"/>
      <c r="L166" s="462"/>
      <c r="M166" s="462"/>
      <c r="N166" s="912"/>
      <c r="O166" s="462"/>
      <c r="P166" s="462"/>
    </row>
    <row r="167">
      <c r="A167" s="462"/>
      <c r="B167" s="462"/>
      <c r="C167" s="462"/>
      <c r="D167" s="462"/>
      <c r="E167" s="462"/>
      <c r="F167" s="462"/>
      <c r="G167" s="942"/>
      <c r="H167" s="462"/>
      <c r="I167" s="462"/>
      <c r="J167" s="462"/>
      <c r="K167" s="462"/>
      <c r="L167" s="462"/>
      <c r="M167" s="462"/>
      <c r="N167" s="912"/>
      <c r="O167" s="462"/>
      <c r="P167" s="462"/>
    </row>
    <row r="168">
      <c r="A168" s="462"/>
      <c r="B168" s="462"/>
      <c r="C168" s="462"/>
      <c r="D168" s="462"/>
      <c r="E168" s="462"/>
      <c r="F168" s="462"/>
      <c r="G168" s="942"/>
      <c r="H168" s="462"/>
      <c r="I168" s="462"/>
      <c r="J168" s="462"/>
      <c r="K168" s="462"/>
      <c r="L168" s="462"/>
      <c r="M168" s="462"/>
      <c r="N168" s="912"/>
      <c r="O168" s="462"/>
      <c r="P168" s="462"/>
    </row>
    <row r="169">
      <c r="A169" s="462"/>
      <c r="B169" s="462"/>
      <c r="C169" s="462"/>
      <c r="D169" s="462"/>
      <c r="E169" s="462"/>
      <c r="F169" s="462"/>
      <c r="G169" s="942"/>
      <c r="H169" s="462"/>
      <c r="I169" s="462"/>
      <c r="J169" s="462"/>
      <c r="K169" s="462"/>
      <c r="L169" s="462"/>
      <c r="M169" s="462"/>
      <c r="N169" s="912"/>
      <c r="O169" s="462"/>
      <c r="P169" s="462"/>
    </row>
    <row r="170">
      <c r="A170" s="462"/>
      <c r="B170" s="462"/>
      <c r="C170" s="462"/>
      <c r="D170" s="462"/>
      <c r="E170" s="462"/>
      <c r="F170" s="462"/>
      <c r="G170" s="942"/>
      <c r="H170" s="462"/>
      <c r="I170" s="462"/>
      <c r="J170" s="462"/>
      <c r="K170" s="462"/>
      <c r="L170" s="462"/>
      <c r="M170" s="462"/>
      <c r="N170" s="912"/>
      <c r="O170" s="462"/>
      <c r="P170" s="462"/>
    </row>
    <row r="171">
      <c r="A171" s="462"/>
      <c r="B171" s="462"/>
      <c r="C171" s="462"/>
      <c r="D171" s="462"/>
      <c r="E171" s="462"/>
      <c r="F171" s="462"/>
      <c r="G171" s="942"/>
      <c r="H171" s="462"/>
      <c r="I171" s="462"/>
      <c r="J171" s="462"/>
      <c r="K171" s="462"/>
      <c r="L171" s="462"/>
      <c r="M171" s="462"/>
      <c r="N171" s="912"/>
      <c r="O171" s="462"/>
      <c r="P171" s="462"/>
    </row>
    <row r="172">
      <c r="A172" s="462"/>
      <c r="B172" s="462"/>
      <c r="C172" s="462"/>
      <c r="D172" s="462"/>
      <c r="E172" s="462"/>
      <c r="F172" s="462"/>
      <c r="G172" s="942"/>
      <c r="H172" s="462"/>
      <c r="I172" s="462"/>
      <c r="J172" s="462"/>
      <c r="K172" s="462"/>
      <c r="L172" s="462"/>
      <c r="M172" s="462"/>
      <c r="N172" s="912"/>
      <c r="O172" s="462"/>
      <c r="P172" s="462"/>
    </row>
    <row r="173">
      <c r="A173" s="462"/>
      <c r="B173" s="462"/>
      <c r="C173" s="462"/>
      <c r="D173" s="462"/>
      <c r="E173" s="462"/>
      <c r="F173" s="462"/>
      <c r="G173" s="942"/>
      <c r="H173" s="462"/>
      <c r="I173" s="462"/>
      <c r="J173" s="462"/>
      <c r="K173" s="462"/>
      <c r="L173" s="462"/>
      <c r="M173" s="462"/>
      <c r="N173" s="912"/>
      <c r="O173" s="462"/>
      <c r="P173" s="462"/>
    </row>
    <row r="174">
      <c r="A174" s="462"/>
      <c r="B174" s="462"/>
      <c r="C174" s="462"/>
      <c r="D174" s="462"/>
      <c r="E174" s="462"/>
      <c r="F174" s="462"/>
      <c r="G174" s="942"/>
      <c r="H174" s="462"/>
      <c r="I174" s="462"/>
      <c r="J174" s="462"/>
      <c r="K174" s="462"/>
      <c r="L174" s="462"/>
      <c r="M174" s="462"/>
      <c r="N174" s="912"/>
      <c r="O174" s="462"/>
      <c r="P174" s="462"/>
    </row>
    <row r="175">
      <c r="A175" s="462"/>
      <c r="B175" s="462"/>
      <c r="C175" s="462"/>
      <c r="D175" s="462"/>
      <c r="E175" s="462"/>
      <c r="F175" s="462"/>
      <c r="G175" s="942"/>
      <c r="H175" s="462"/>
      <c r="I175" s="462"/>
      <c r="J175" s="462"/>
      <c r="K175" s="462"/>
      <c r="L175" s="462"/>
      <c r="M175" s="462"/>
      <c r="N175" s="912"/>
      <c r="O175" s="462"/>
      <c r="P175" s="462"/>
    </row>
    <row r="176">
      <c r="A176" s="462"/>
      <c r="B176" s="462"/>
      <c r="C176" s="462"/>
      <c r="D176" s="462"/>
      <c r="E176" s="462"/>
      <c r="F176" s="462"/>
      <c r="G176" s="942"/>
      <c r="H176" s="462"/>
      <c r="I176" s="462"/>
      <c r="J176" s="462"/>
      <c r="K176" s="462"/>
      <c r="L176" s="462"/>
      <c r="M176" s="462"/>
      <c r="N176" s="912"/>
      <c r="O176" s="462"/>
      <c r="P176" s="462"/>
    </row>
    <row r="177">
      <c r="A177" s="462"/>
      <c r="B177" s="462"/>
      <c r="C177" s="462"/>
      <c r="D177" s="462"/>
      <c r="E177" s="462"/>
      <c r="F177" s="462"/>
      <c r="G177" s="942"/>
      <c r="H177" s="462"/>
      <c r="I177" s="462"/>
      <c r="J177" s="462"/>
      <c r="K177" s="462"/>
      <c r="L177" s="462"/>
      <c r="M177" s="462"/>
      <c r="N177" s="912"/>
      <c r="O177" s="462"/>
      <c r="P177" s="462"/>
    </row>
    <row r="178">
      <c r="A178" s="462"/>
      <c r="B178" s="462"/>
      <c r="C178" s="462"/>
      <c r="D178" s="462"/>
      <c r="E178" s="462"/>
      <c r="F178" s="462"/>
      <c r="G178" s="942"/>
      <c r="H178" s="462"/>
      <c r="I178" s="462"/>
      <c r="J178" s="462"/>
      <c r="K178" s="462"/>
      <c r="L178" s="462"/>
      <c r="M178" s="462"/>
      <c r="N178" s="912"/>
      <c r="O178" s="462"/>
      <c r="P178" s="462"/>
    </row>
    <row r="179">
      <c r="A179" s="462"/>
      <c r="B179" s="462"/>
      <c r="C179" s="462"/>
      <c r="D179" s="462"/>
      <c r="E179" s="462"/>
      <c r="F179" s="462"/>
      <c r="G179" s="942"/>
      <c r="H179" s="462"/>
      <c r="I179" s="462"/>
      <c r="J179" s="462"/>
      <c r="K179" s="462"/>
      <c r="L179" s="462"/>
      <c r="M179" s="462"/>
      <c r="N179" s="912"/>
      <c r="O179" s="462"/>
      <c r="P179" s="462"/>
    </row>
    <row r="180">
      <c r="A180" s="462"/>
      <c r="B180" s="462"/>
      <c r="C180" s="462"/>
      <c r="D180" s="462"/>
      <c r="E180" s="462"/>
      <c r="F180" s="462"/>
      <c r="G180" s="942"/>
      <c r="H180" s="462"/>
      <c r="I180" s="462"/>
      <c r="J180" s="462"/>
      <c r="K180" s="462"/>
      <c r="L180" s="462"/>
      <c r="M180" s="462"/>
      <c r="N180" s="912"/>
      <c r="O180" s="462"/>
      <c r="P180" s="462"/>
    </row>
    <row r="181">
      <c r="A181" s="462"/>
      <c r="B181" s="462"/>
      <c r="C181" s="462"/>
      <c r="D181" s="462"/>
      <c r="E181" s="462"/>
      <c r="F181" s="462"/>
      <c r="G181" s="942"/>
      <c r="H181" s="462"/>
      <c r="I181" s="462"/>
      <c r="J181" s="462"/>
      <c r="K181" s="462"/>
      <c r="L181" s="462"/>
      <c r="M181" s="462"/>
      <c r="N181" s="912"/>
      <c r="O181" s="462"/>
      <c r="P181" s="462"/>
    </row>
    <row r="182">
      <c r="A182" s="462"/>
      <c r="B182" s="462"/>
      <c r="C182" s="462"/>
      <c r="D182" s="462"/>
      <c r="E182" s="462"/>
      <c r="F182" s="462"/>
      <c r="G182" s="942"/>
      <c r="H182" s="462"/>
      <c r="I182" s="462"/>
      <c r="J182" s="462"/>
      <c r="K182" s="462"/>
      <c r="L182" s="462"/>
      <c r="M182" s="462"/>
      <c r="N182" s="912"/>
      <c r="O182" s="462"/>
      <c r="P182" s="462"/>
    </row>
    <row r="183">
      <c r="A183" s="462"/>
      <c r="B183" s="462"/>
      <c r="C183" s="462"/>
      <c r="D183" s="462"/>
      <c r="E183" s="462"/>
      <c r="F183" s="462"/>
      <c r="G183" s="942"/>
      <c r="H183" s="462"/>
      <c r="I183" s="462"/>
      <c r="J183" s="462"/>
      <c r="K183" s="462"/>
      <c r="L183" s="462"/>
      <c r="M183" s="462"/>
      <c r="N183" s="912"/>
      <c r="O183" s="462"/>
      <c r="P183" s="462"/>
    </row>
    <row r="184">
      <c r="A184" s="462"/>
      <c r="B184" s="462"/>
      <c r="C184" s="462"/>
      <c r="D184" s="462"/>
      <c r="E184" s="462"/>
      <c r="F184" s="462"/>
      <c r="G184" s="942"/>
      <c r="H184" s="462"/>
      <c r="I184" s="462"/>
      <c r="J184" s="462"/>
      <c r="K184" s="462"/>
      <c r="L184" s="462"/>
      <c r="M184" s="462"/>
      <c r="N184" s="912"/>
      <c r="O184" s="462"/>
      <c r="P184" s="462"/>
    </row>
    <row r="185">
      <c r="A185" s="462"/>
      <c r="B185" s="462"/>
      <c r="C185" s="462"/>
      <c r="D185" s="462"/>
      <c r="E185" s="462"/>
      <c r="F185" s="462"/>
      <c r="G185" s="942"/>
      <c r="H185" s="462"/>
      <c r="I185" s="462"/>
      <c r="J185" s="462"/>
      <c r="K185" s="462"/>
      <c r="L185" s="462"/>
      <c r="M185" s="462"/>
      <c r="N185" s="912"/>
      <c r="O185" s="462"/>
      <c r="P185" s="462"/>
    </row>
    <row r="186">
      <c r="A186" s="462"/>
      <c r="B186" s="462"/>
      <c r="C186" s="462"/>
      <c r="D186" s="462"/>
      <c r="E186" s="462"/>
      <c r="F186" s="462"/>
      <c r="G186" s="942"/>
      <c r="H186" s="462"/>
      <c r="I186" s="462"/>
      <c r="J186" s="462"/>
      <c r="K186" s="462"/>
      <c r="L186" s="462"/>
      <c r="M186" s="462"/>
      <c r="N186" s="912"/>
      <c r="O186" s="462"/>
      <c r="P186" s="462"/>
    </row>
    <row r="187">
      <c r="A187" s="462"/>
      <c r="B187" s="462"/>
      <c r="C187" s="462"/>
      <c r="D187" s="462"/>
      <c r="E187" s="462"/>
      <c r="F187" s="462"/>
      <c r="G187" s="942"/>
      <c r="H187" s="462"/>
      <c r="I187" s="462"/>
      <c r="J187" s="462"/>
      <c r="K187" s="462"/>
      <c r="L187" s="462"/>
      <c r="M187" s="462"/>
      <c r="N187" s="912"/>
      <c r="O187" s="462"/>
      <c r="P187" s="462"/>
    </row>
    <row r="188">
      <c r="A188" s="462"/>
      <c r="B188" s="462"/>
      <c r="C188" s="462"/>
      <c r="D188" s="462"/>
      <c r="E188" s="462"/>
      <c r="F188" s="462"/>
      <c r="G188" s="942"/>
      <c r="H188" s="462"/>
      <c r="I188" s="462"/>
      <c r="J188" s="462"/>
      <c r="K188" s="462"/>
      <c r="L188" s="462"/>
      <c r="M188" s="462"/>
      <c r="N188" s="912"/>
      <c r="O188" s="462"/>
      <c r="P188" s="462"/>
    </row>
    <row r="189">
      <c r="A189" s="462"/>
      <c r="B189" s="462"/>
      <c r="C189" s="462"/>
      <c r="D189" s="462"/>
      <c r="E189" s="462"/>
      <c r="F189" s="462"/>
      <c r="G189" s="942"/>
      <c r="H189" s="462"/>
      <c r="I189" s="462"/>
      <c r="J189" s="462"/>
      <c r="K189" s="462"/>
      <c r="L189" s="462"/>
      <c r="M189" s="462"/>
      <c r="N189" s="912"/>
      <c r="O189" s="462"/>
      <c r="P189" s="462"/>
    </row>
    <row r="190">
      <c r="A190" s="462"/>
      <c r="B190" s="462"/>
      <c r="C190" s="462"/>
      <c r="D190" s="462"/>
      <c r="E190" s="462"/>
      <c r="F190" s="462"/>
      <c r="G190" s="942"/>
      <c r="H190" s="462"/>
      <c r="I190" s="462"/>
      <c r="J190" s="462"/>
      <c r="K190" s="462"/>
      <c r="L190" s="462"/>
      <c r="M190" s="462"/>
      <c r="N190" s="912"/>
      <c r="O190" s="462"/>
      <c r="P190" s="462"/>
    </row>
    <row r="191">
      <c r="A191" s="462"/>
      <c r="B191" s="462"/>
      <c r="C191" s="462"/>
      <c r="D191" s="462"/>
      <c r="E191" s="462"/>
      <c r="F191" s="462"/>
      <c r="G191" s="942"/>
      <c r="H191" s="462"/>
      <c r="I191" s="462"/>
      <c r="J191" s="462"/>
      <c r="K191" s="462"/>
      <c r="L191" s="462"/>
      <c r="M191" s="462"/>
      <c r="N191" s="912"/>
      <c r="O191" s="462"/>
      <c r="P191" s="462"/>
    </row>
    <row r="192">
      <c r="A192" s="462"/>
      <c r="B192" s="462"/>
      <c r="C192" s="462"/>
      <c r="D192" s="462"/>
      <c r="E192" s="462"/>
      <c r="F192" s="462"/>
      <c r="G192" s="942"/>
      <c r="H192" s="462"/>
      <c r="I192" s="462"/>
      <c r="J192" s="462"/>
      <c r="K192" s="462"/>
      <c r="L192" s="462"/>
      <c r="M192" s="462"/>
      <c r="N192" s="912"/>
      <c r="O192" s="462"/>
      <c r="P192" s="462"/>
    </row>
    <row r="193">
      <c r="A193" s="462"/>
      <c r="B193" s="462"/>
      <c r="C193" s="462"/>
      <c r="D193" s="462"/>
      <c r="E193" s="462"/>
      <c r="F193" s="462"/>
      <c r="G193" s="942"/>
      <c r="H193" s="462"/>
      <c r="I193" s="462"/>
      <c r="J193" s="462"/>
      <c r="K193" s="462"/>
      <c r="L193" s="462"/>
      <c r="M193" s="462"/>
      <c r="N193" s="912"/>
      <c r="O193" s="462"/>
      <c r="P193" s="462"/>
    </row>
    <row r="194">
      <c r="A194" s="462"/>
      <c r="B194" s="462"/>
      <c r="C194" s="462"/>
      <c r="D194" s="462"/>
      <c r="E194" s="462"/>
      <c r="F194" s="462"/>
      <c r="G194" s="942"/>
      <c r="H194" s="462"/>
      <c r="I194" s="462"/>
      <c r="J194" s="462"/>
      <c r="K194" s="462"/>
      <c r="L194" s="462"/>
      <c r="M194" s="462"/>
      <c r="N194" s="912"/>
      <c r="O194" s="462"/>
      <c r="P194" s="462"/>
    </row>
    <row r="195">
      <c r="A195" s="462"/>
      <c r="B195" s="462"/>
      <c r="C195" s="462"/>
      <c r="D195" s="462"/>
      <c r="E195" s="462"/>
      <c r="F195" s="462"/>
      <c r="G195" s="942"/>
      <c r="H195" s="462"/>
      <c r="I195" s="462"/>
      <c r="J195" s="462"/>
      <c r="K195" s="462"/>
      <c r="L195" s="462"/>
      <c r="M195" s="462"/>
      <c r="N195" s="912"/>
      <c r="O195" s="462"/>
      <c r="P195" s="462"/>
    </row>
    <row r="196">
      <c r="A196" s="462"/>
      <c r="B196" s="462"/>
      <c r="C196" s="462"/>
      <c r="D196" s="462"/>
      <c r="E196" s="462"/>
      <c r="F196" s="462"/>
      <c r="G196" s="942"/>
      <c r="H196" s="462"/>
      <c r="I196" s="462"/>
      <c r="J196" s="462"/>
      <c r="K196" s="462"/>
      <c r="L196" s="462"/>
      <c r="M196" s="462"/>
      <c r="N196" s="912"/>
      <c r="O196" s="462"/>
      <c r="P196" s="462"/>
    </row>
    <row r="197">
      <c r="A197" s="462"/>
      <c r="B197" s="462"/>
      <c r="C197" s="462"/>
      <c r="D197" s="462"/>
      <c r="E197" s="462"/>
      <c r="F197" s="462"/>
      <c r="G197" s="942"/>
      <c r="H197" s="462"/>
      <c r="I197" s="462"/>
      <c r="J197" s="462"/>
      <c r="K197" s="462"/>
      <c r="L197" s="462"/>
      <c r="M197" s="462"/>
      <c r="N197" s="912"/>
      <c r="O197" s="462"/>
      <c r="P197" s="462"/>
    </row>
    <row r="198">
      <c r="A198" s="462"/>
      <c r="B198" s="462"/>
      <c r="C198" s="462"/>
      <c r="D198" s="462"/>
      <c r="E198" s="462"/>
      <c r="F198" s="462"/>
      <c r="G198" s="942"/>
      <c r="H198" s="462"/>
      <c r="I198" s="462"/>
      <c r="J198" s="462"/>
      <c r="K198" s="462"/>
      <c r="L198" s="462"/>
      <c r="M198" s="462"/>
      <c r="N198" s="912"/>
      <c r="O198" s="462"/>
      <c r="P198" s="462"/>
    </row>
    <row r="199">
      <c r="A199" s="462"/>
      <c r="B199" s="462"/>
      <c r="C199" s="462"/>
      <c r="D199" s="462"/>
      <c r="E199" s="462"/>
      <c r="F199" s="462"/>
      <c r="G199" s="942"/>
      <c r="H199" s="462"/>
      <c r="I199" s="462"/>
      <c r="J199" s="462"/>
      <c r="K199" s="462"/>
      <c r="L199" s="462"/>
      <c r="M199" s="462"/>
      <c r="N199" s="912"/>
      <c r="O199" s="462"/>
      <c r="P199" s="462"/>
    </row>
    <row r="200">
      <c r="A200" s="462"/>
      <c r="B200" s="462"/>
      <c r="C200" s="462"/>
      <c r="D200" s="462"/>
      <c r="E200" s="462"/>
      <c r="F200" s="462"/>
      <c r="G200" s="942"/>
      <c r="H200" s="462"/>
      <c r="I200" s="462"/>
      <c r="J200" s="462"/>
      <c r="K200" s="462"/>
      <c r="L200" s="462"/>
      <c r="M200" s="462"/>
      <c r="N200" s="912"/>
      <c r="O200" s="462"/>
      <c r="P200" s="462"/>
    </row>
    <row r="201">
      <c r="A201" s="462"/>
      <c r="B201" s="462"/>
      <c r="C201" s="462"/>
      <c r="D201" s="462"/>
      <c r="E201" s="462"/>
      <c r="F201" s="462"/>
      <c r="G201" s="942"/>
      <c r="H201" s="462"/>
      <c r="I201" s="462"/>
      <c r="J201" s="462"/>
      <c r="K201" s="462"/>
      <c r="L201" s="462"/>
      <c r="M201" s="462"/>
      <c r="N201" s="912"/>
      <c r="O201" s="462"/>
      <c r="P201" s="462"/>
    </row>
    <row r="202">
      <c r="A202" s="462"/>
      <c r="B202" s="462"/>
      <c r="C202" s="462"/>
      <c r="D202" s="462"/>
      <c r="E202" s="462"/>
      <c r="F202" s="462"/>
      <c r="G202" s="942"/>
      <c r="H202" s="462"/>
      <c r="I202" s="462"/>
      <c r="J202" s="462"/>
      <c r="K202" s="462"/>
      <c r="L202" s="462"/>
      <c r="M202" s="462"/>
      <c r="N202" s="912"/>
      <c r="O202" s="462"/>
      <c r="P202" s="462"/>
    </row>
    <row r="203">
      <c r="A203" s="462"/>
      <c r="B203" s="462"/>
      <c r="C203" s="462"/>
      <c r="D203" s="462"/>
      <c r="E203" s="462"/>
      <c r="F203" s="462"/>
      <c r="G203" s="942"/>
      <c r="H203" s="462"/>
      <c r="I203" s="462"/>
      <c r="J203" s="462"/>
      <c r="K203" s="462"/>
      <c r="L203" s="462"/>
      <c r="M203" s="462"/>
      <c r="N203" s="912"/>
      <c r="O203" s="462"/>
      <c r="P203" s="462"/>
    </row>
    <row r="204">
      <c r="A204" s="462"/>
      <c r="B204" s="462"/>
      <c r="C204" s="462"/>
      <c r="D204" s="462"/>
      <c r="E204" s="462"/>
      <c r="F204" s="462"/>
      <c r="G204" s="942"/>
      <c r="H204" s="462"/>
      <c r="I204" s="462"/>
      <c r="J204" s="462"/>
      <c r="K204" s="462"/>
      <c r="L204" s="462"/>
      <c r="M204" s="462"/>
      <c r="N204" s="912"/>
      <c r="O204" s="462"/>
      <c r="P204" s="462"/>
    </row>
    <row r="205">
      <c r="A205" s="462"/>
      <c r="B205" s="462"/>
      <c r="C205" s="462"/>
      <c r="D205" s="462"/>
      <c r="E205" s="462"/>
      <c r="F205" s="462"/>
      <c r="G205" s="942"/>
      <c r="H205" s="462"/>
      <c r="I205" s="462"/>
      <c r="J205" s="462"/>
      <c r="K205" s="462"/>
      <c r="L205" s="462"/>
      <c r="M205" s="462"/>
      <c r="N205" s="912"/>
      <c r="O205" s="462"/>
      <c r="P205" s="462"/>
    </row>
    <row r="206">
      <c r="A206" s="462"/>
      <c r="B206" s="462"/>
      <c r="C206" s="462"/>
      <c r="D206" s="462"/>
      <c r="E206" s="462"/>
      <c r="F206" s="462"/>
      <c r="G206" s="942"/>
      <c r="H206" s="462"/>
      <c r="I206" s="462"/>
      <c r="J206" s="462"/>
      <c r="K206" s="462"/>
      <c r="L206" s="462"/>
      <c r="M206" s="462"/>
      <c r="N206" s="912"/>
      <c r="O206" s="462"/>
      <c r="P206" s="462"/>
    </row>
    <row r="207">
      <c r="A207" s="462"/>
      <c r="B207" s="462"/>
      <c r="C207" s="462"/>
      <c r="D207" s="462"/>
      <c r="E207" s="462"/>
      <c r="F207" s="462"/>
      <c r="G207" s="942"/>
      <c r="H207" s="462"/>
      <c r="I207" s="462"/>
      <c r="J207" s="462"/>
      <c r="K207" s="462"/>
      <c r="L207" s="462"/>
      <c r="M207" s="462"/>
      <c r="N207" s="912"/>
      <c r="O207" s="462"/>
      <c r="P207" s="462"/>
    </row>
    <row r="208">
      <c r="A208" s="462"/>
      <c r="B208" s="462"/>
      <c r="C208" s="462"/>
      <c r="D208" s="462"/>
      <c r="E208" s="462"/>
      <c r="F208" s="462"/>
      <c r="G208" s="942"/>
      <c r="H208" s="462"/>
      <c r="I208" s="462"/>
      <c r="J208" s="462"/>
      <c r="K208" s="462"/>
      <c r="L208" s="462"/>
      <c r="M208" s="462"/>
      <c r="N208" s="912"/>
      <c r="O208" s="462"/>
      <c r="P208" s="462"/>
    </row>
    <row r="209">
      <c r="A209" s="462"/>
      <c r="B209" s="462"/>
      <c r="C209" s="462"/>
      <c r="D209" s="462"/>
      <c r="E209" s="462"/>
      <c r="F209" s="462"/>
      <c r="G209" s="942"/>
      <c r="H209" s="462"/>
      <c r="I209" s="462"/>
      <c r="J209" s="462"/>
      <c r="K209" s="462"/>
      <c r="L209" s="462"/>
      <c r="M209" s="462"/>
      <c r="N209" s="912"/>
      <c r="O209" s="462"/>
      <c r="P209" s="462"/>
    </row>
    <row r="210">
      <c r="A210" s="462"/>
      <c r="B210" s="462"/>
      <c r="C210" s="462"/>
      <c r="D210" s="462"/>
      <c r="E210" s="462"/>
      <c r="F210" s="462"/>
      <c r="G210" s="942"/>
      <c r="H210" s="462"/>
      <c r="I210" s="462"/>
      <c r="J210" s="462"/>
      <c r="K210" s="462"/>
      <c r="L210" s="462"/>
      <c r="M210" s="462"/>
      <c r="N210" s="912"/>
      <c r="O210" s="462"/>
      <c r="P210" s="462"/>
    </row>
    <row r="211">
      <c r="A211" s="462"/>
      <c r="B211" s="462"/>
      <c r="C211" s="462"/>
      <c r="D211" s="462"/>
      <c r="E211" s="462"/>
      <c r="F211" s="462"/>
      <c r="G211" s="942"/>
      <c r="H211" s="462"/>
      <c r="I211" s="462"/>
      <c r="J211" s="462"/>
      <c r="K211" s="462"/>
      <c r="L211" s="462"/>
      <c r="M211" s="462"/>
      <c r="N211" s="912"/>
      <c r="O211" s="462"/>
      <c r="P211" s="462"/>
    </row>
    <row r="212">
      <c r="A212" s="462"/>
      <c r="B212" s="462"/>
      <c r="C212" s="462"/>
      <c r="D212" s="462"/>
      <c r="E212" s="462"/>
      <c r="F212" s="462"/>
      <c r="G212" s="942"/>
      <c r="H212" s="462"/>
      <c r="I212" s="462"/>
      <c r="J212" s="462"/>
      <c r="K212" s="462"/>
      <c r="L212" s="462"/>
      <c r="M212" s="462"/>
      <c r="N212" s="912"/>
      <c r="O212" s="462"/>
      <c r="P212" s="462"/>
    </row>
    <row r="213">
      <c r="A213" s="462"/>
      <c r="B213" s="462"/>
      <c r="C213" s="462"/>
      <c r="D213" s="462"/>
      <c r="E213" s="462"/>
      <c r="F213" s="462"/>
      <c r="G213" s="942"/>
      <c r="H213" s="462"/>
      <c r="I213" s="462"/>
      <c r="J213" s="462"/>
      <c r="K213" s="462"/>
      <c r="L213" s="462"/>
      <c r="M213" s="462"/>
      <c r="N213" s="912"/>
      <c r="O213" s="462"/>
      <c r="P213" s="462"/>
    </row>
    <row r="214">
      <c r="A214" s="462"/>
      <c r="B214" s="462"/>
      <c r="C214" s="462"/>
      <c r="D214" s="462"/>
      <c r="E214" s="462"/>
      <c r="F214" s="462"/>
      <c r="G214" s="942"/>
      <c r="H214" s="462"/>
      <c r="I214" s="462"/>
      <c r="J214" s="462"/>
      <c r="K214" s="462"/>
      <c r="L214" s="462"/>
      <c r="M214" s="462"/>
      <c r="N214" s="912"/>
      <c r="O214" s="462"/>
      <c r="P214" s="462"/>
    </row>
    <row r="215">
      <c r="A215" s="462"/>
      <c r="B215" s="462"/>
      <c r="C215" s="462"/>
      <c r="D215" s="462"/>
      <c r="E215" s="462"/>
      <c r="F215" s="462"/>
      <c r="G215" s="942"/>
      <c r="H215" s="462"/>
      <c r="I215" s="462"/>
      <c r="J215" s="462"/>
      <c r="K215" s="462"/>
      <c r="L215" s="462"/>
      <c r="M215" s="462"/>
      <c r="N215" s="912"/>
      <c r="O215" s="462"/>
      <c r="P215" s="462"/>
    </row>
    <row r="216">
      <c r="A216" s="462"/>
      <c r="B216" s="462"/>
      <c r="C216" s="462"/>
      <c r="D216" s="462"/>
      <c r="E216" s="462"/>
      <c r="F216" s="462"/>
      <c r="G216" s="942"/>
      <c r="H216" s="462"/>
      <c r="I216" s="462"/>
      <c r="J216" s="462"/>
      <c r="K216" s="462"/>
      <c r="L216" s="462"/>
      <c r="M216" s="462"/>
      <c r="N216" s="912"/>
      <c r="O216" s="462"/>
      <c r="P216" s="462"/>
    </row>
    <row r="217">
      <c r="A217" s="462"/>
      <c r="B217" s="462"/>
      <c r="C217" s="462"/>
      <c r="D217" s="462"/>
      <c r="E217" s="462"/>
      <c r="F217" s="462"/>
      <c r="G217" s="942"/>
      <c r="H217" s="462"/>
      <c r="I217" s="462"/>
      <c r="J217" s="462"/>
      <c r="K217" s="462"/>
      <c r="L217" s="462"/>
      <c r="M217" s="462"/>
      <c r="N217" s="912"/>
      <c r="O217" s="462"/>
      <c r="P217" s="462"/>
    </row>
    <row r="218">
      <c r="A218" s="462"/>
      <c r="B218" s="462"/>
      <c r="C218" s="462"/>
      <c r="D218" s="462"/>
      <c r="E218" s="462"/>
      <c r="F218" s="462"/>
      <c r="G218" s="942"/>
      <c r="H218" s="462"/>
      <c r="I218" s="462"/>
      <c r="J218" s="462"/>
      <c r="K218" s="462"/>
      <c r="L218" s="462"/>
      <c r="M218" s="462"/>
      <c r="N218" s="912"/>
      <c r="O218" s="462"/>
      <c r="P218" s="462"/>
    </row>
    <row r="219">
      <c r="A219" s="462"/>
      <c r="B219" s="462"/>
      <c r="C219" s="462"/>
      <c r="D219" s="462"/>
      <c r="E219" s="462"/>
      <c r="F219" s="462"/>
      <c r="G219" s="942"/>
      <c r="H219" s="462"/>
      <c r="I219" s="462"/>
      <c r="J219" s="462"/>
      <c r="K219" s="462"/>
      <c r="L219" s="462"/>
      <c r="M219" s="462"/>
      <c r="N219" s="912"/>
      <c r="O219" s="462"/>
      <c r="P219" s="462"/>
    </row>
    <row r="220">
      <c r="A220" s="462"/>
      <c r="B220" s="462"/>
      <c r="C220" s="462"/>
      <c r="D220" s="462"/>
      <c r="E220" s="462"/>
      <c r="F220" s="462"/>
      <c r="G220" s="942"/>
      <c r="H220" s="462"/>
      <c r="I220" s="462"/>
      <c r="J220" s="462"/>
      <c r="K220" s="462"/>
      <c r="L220" s="462"/>
      <c r="M220" s="462"/>
      <c r="N220" s="912"/>
      <c r="O220" s="462"/>
      <c r="P220" s="462"/>
    </row>
    <row r="221">
      <c r="A221" s="462"/>
      <c r="B221" s="462"/>
      <c r="C221" s="462"/>
      <c r="D221" s="462"/>
      <c r="E221" s="462"/>
      <c r="F221" s="462"/>
      <c r="G221" s="942"/>
      <c r="H221" s="462"/>
      <c r="I221" s="462"/>
      <c r="J221" s="462"/>
      <c r="K221" s="462"/>
      <c r="L221" s="462"/>
      <c r="M221" s="462"/>
      <c r="N221" s="912"/>
      <c r="O221" s="462"/>
      <c r="P221" s="462"/>
    </row>
    <row r="222">
      <c r="A222" s="462"/>
      <c r="B222" s="462"/>
      <c r="C222" s="462"/>
      <c r="D222" s="462"/>
      <c r="E222" s="462"/>
      <c r="F222" s="462"/>
      <c r="G222" s="942"/>
      <c r="H222" s="462"/>
      <c r="I222" s="462"/>
      <c r="J222" s="462"/>
      <c r="K222" s="462"/>
      <c r="L222" s="462"/>
      <c r="M222" s="462"/>
      <c r="N222" s="912"/>
      <c r="O222" s="462"/>
      <c r="P222" s="462"/>
    </row>
    <row r="223">
      <c r="A223" s="462"/>
      <c r="B223" s="462"/>
      <c r="C223" s="462"/>
      <c r="D223" s="462"/>
      <c r="E223" s="462"/>
      <c r="F223" s="462"/>
      <c r="G223" s="942"/>
      <c r="H223" s="462"/>
      <c r="I223" s="462"/>
      <c r="J223" s="462"/>
      <c r="K223" s="462"/>
      <c r="L223" s="462"/>
      <c r="M223" s="462"/>
      <c r="N223" s="912"/>
      <c r="O223" s="462"/>
      <c r="P223" s="462"/>
    </row>
    <row r="224">
      <c r="A224" s="462"/>
      <c r="B224" s="462"/>
      <c r="C224" s="462"/>
      <c r="D224" s="462"/>
      <c r="E224" s="462"/>
      <c r="F224" s="462"/>
      <c r="G224" s="942"/>
      <c r="H224" s="462"/>
      <c r="I224" s="462"/>
      <c r="J224" s="462"/>
      <c r="K224" s="462"/>
      <c r="L224" s="462"/>
      <c r="M224" s="462"/>
      <c r="N224" s="912"/>
      <c r="O224" s="462"/>
      <c r="P224" s="462"/>
    </row>
    <row r="225">
      <c r="A225" s="462"/>
      <c r="B225" s="462"/>
      <c r="C225" s="462"/>
      <c r="D225" s="462"/>
      <c r="E225" s="462"/>
      <c r="F225" s="462"/>
      <c r="G225" s="942"/>
      <c r="H225" s="462"/>
      <c r="I225" s="462"/>
      <c r="J225" s="462"/>
      <c r="K225" s="462"/>
      <c r="L225" s="462"/>
      <c r="M225" s="462"/>
      <c r="N225" s="912"/>
      <c r="O225" s="462"/>
      <c r="P225" s="462"/>
    </row>
    <row r="226">
      <c r="A226" s="462"/>
      <c r="B226" s="462"/>
      <c r="C226" s="462"/>
      <c r="D226" s="462"/>
      <c r="E226" s="462"/>
      <c r="F226" s="462"/>
      <c r="G226" s="942"/>
      <c r="H226" s="462"/>
      <c r="I226" s="462"/>
      <c r="J226" s="462"/>
      <c r="K226" s="462"/>
      <c r="L226" s="462"/>
      <c r="M226" s="462"/>
      <c r="N226" s="912"/>
      <c r="O226" s="462"/>
      <c r="P226" s="462"/>
    </row>
    <row r="227">
      <c r="A227" s="462"/>
      <c r="B227" s="462"/>
      <c r="C227" s="462"/>
      <c r="D227" s="462"/>
      <c r="E227" s="462"/>
      <c r="F227" s="462"/>
      <c r="G227" s="942"/>
      <c r="H227" s="462"/>
      <c r="I227" s="462"/>
      <c r="J227" s="462"/>
      <c r="K227" s="462"/>
      <c r="L227" s="462"/>
      <c r="M227" s="462"/>
      <c r="N227" s="912"/>
      <c r="O227" s="462"/>
      <c r="P227" s="462"/>
    </row>
    <row r="228">
      <c r="A228" s="462"/>
      <c r="B228" s="462"/>
      <c r="C228" s="462"/>
      <c r="D228" s="462"/>
      <c r="E228" s="462"/>
      <c r="F228" s="462"/>
      <c r="G228" s="942"/>
      <c r="H228" s="462"/>
      <c r="I228" s="462"/>
      <c r="J228" s="462"/>
      <c r="K228" s="462"/>
      <c r="L228" s="462"/>
      <c r="M228" s="462"/>
      <c r="N228" s="912"/>
      <c r="O228" s="462"/>
      <c r="P228" s="462"/>
    </row>
    <row r="229">
      <c r="A229" s="462"/>
      <c r="B229" s="462"/>
      <c r="C229" s="462"/>
      <c r="D229" s="462"/>
      <c r="E229" s="462"/>
      <c r="F229" s="462"/>
      <c r="G229" s="942"/>
      <c r="H229" s="462"/>
      <c r="I229" s="462"/>
      <c r="J229" s="462"/>
      <c r="K229" s="462"/>
      <c r="L229" s="462"/>
      <c r="M229" s="462"/>
      <c r="N229" s="912"/>
      <c r="O229" s="462"/>
      <c r="P229" s="462"/>
    </row>
    <row r="230">
      <c r="A230" s="462"/>
      <c r="B230" s="462"/>
      <c r="C230" s="462"/>
      <c r="D230" s="462"/>
      <c r="E230" s="462"/>
      <c r="F230" s="462"/>
      <c r="G230" s="942"/>
      <c r="H230" s="462"/>
      <c r="I230" s="462"/>
      <c r="J230" s="462"/>
      <c r="K230" s="462"/>
      <c r="L230" s="462"/>
      <c r="M230" s="462"/>
      <c r="N230" s="912"/>
      <c r="O230" s="462"/>
      <c r="P230" s="462"/>
    </row>
    <row r="231">
      <c r="A231" s="462"/>
      <c r="B231" s="462"/>
      <c r="C231" s="462"/>
      <c r="D231" s="462"/>
      <c r="E231" s="462"/>
      <c r="F231" s="462"/>
      <c r="G231" s="942"/>
      <c r="H231" s="462"/>
      <c r="I231" s="462"/>
      <c r="J231" s="462"/>
      <c r="K231" s="462"/>
      <c r="L231" s="462"/>
      <c r="M231" s="462"/>
      <c r="N231" s="912"/>
      <c r="O231" s="462"/>
      <c r="P231" s="462"/>
    </row>
    <row r="232">
      <c r="A232" s="462"/>
      <c r="B232" s="462"/>
      <c r="C232" s="462"/>
      <c r="D232" s="462"/>
      <c r="E232" s="462"/>
      <c r="F232" s="462"/>
      <c r="G232" s="942"/>
      <c r="H232" s="462"/>
      <c r="I232" s="462"/>
      <c r="J232" s="462"/>
      <c r="K232" s="462"/>
      <c r="L232" s="462"/>
      <c r="M232" s="462"/>
      <c r="N232" s="912"/>
      <c r="O232" s="462"/>
      <c r="P232" s="462"/>
    </row>
    <row r="233">
      <c r="A233" s="462"/>
      <c r="B233" s="462"/>
      <c r="C233" s="462"/>
      <c r="D233" s="462"/>
      <c r="E233" s="462"/>
      <c r="F233" s="462"/>
      <c r="G233" s="942"/>
      <c r="H233" s="462"/>
      <c r="I233" s="462"/>
      <c r="J233" s="462"/>
      <c r="K233" s="462"/>
      <c r="L233" s="462"/>
      <c r="M233" s="462"/>
      <c r="N233" s="912"/>
      <c r="O233" s="462"/>
      <c r="P233" s="462"/>
    </row>
    <row r="234">
      <c r="A234" s="462"/>
      <c r="B234" s="462"/>
      <c r="C234" s="462"/>
      <c r="D234" s="462"/>
      <c r="E234" s="462"/>
      <c r="F234" s="462"/>
      <c r="G234" s="942"/>
      <c r="H234" s="462"/>
      <c r="I234" s="462"/>
      <c r="J234" s="462"/>
      <c r="K234" s="462"/>
      <c r="L234" s="462"/>
      <c r="M234" s="462"/>
      <c r="N234" s="912"/>
      <c r="O234" s="462"/>
      <c r="P234" s="462"/>
    </row>
    <row r="235">
      <c r="A235" s="462"/>
      <c r="B235" s="462"/>
      <c r="C235" s="462"/>
      <c r="D235" s="462"/>
      <c r="E235" s="462"/>
      <c r="F235" s="462"/>
      <c r="G235" s="942"/>
      <c r="H235" s="462"/>
      <c r="I235" s="462"/>
      <c r="J235" s="462"/>
      <c r="K235" s="462"/>
      <c r="L235" s="462"/>
      <c r="M235" s="462"/>
      <c r="N235" s="912"/>
      <c r="O235" s="462"/>
      <c r="P235" s="462"/>
    </row>
    <row r="236">
      <c r="A236" s="462"/>
      <c r="B236" s="462"/>
      <c r="C236" s="462"/>
      <c r="D236" s="462"/>
      <c r="E236" s="462"/>
      <c r="F236" s="462"/>
      <c r="G236" s="942"/>
      <c r="H236" s="462"/>
      <c r="I236" s="462"/>
      <c r="J236" s="462"/>
      <c r="K236" s="462"/>
      <c r="L236" s="462"/>
      <c r="M236" s="462"/>
      <c r="N236" s="912"/>
      <c r="O236" s="462"/>
      <c r="P236" s="462"/>
    </row>
    <row r="237">
      <c r="A237" s="462"/>
      <c r="B237" s="462"/>
      <c r="C237" s="462"/>
      <c r="D237" s="462"/>
      <c r="E237" s="462"/>
      <c r="F237" s="462"/>
      <c r="G237" s="942"/>
      <c r="H237" s="462"/>
      <c r="I237" s="462"/>
      <c r="J237" s="462"/>
      <c r="K237" s="462"/>
      <c r="L237" s="462"/>
      <c r="M237" s="462"/>
      <c r="N237" s="912"/>
      <c r="O237" s="462"/>
      <c r="P237" s="462"/>
    </row>
    <row r="238">
      <c r="A238" s="462"/>
      <c r="B238" s="462"/>
      <c r="C238" s="462"/>
      <c r="D238" s="462"/>
      <c r="E238" s="462"/>
      <c r="F238" s="462"/>
      <c r="G238" s="942"/>
      <c r="H238" s="462"/>
      <c r="I238" s="462"/>
      <c r="J238" s="462"/>
      <c r="K238" s="462"/>
      <c r="L238" s="462"/>
      <c r="M238" s="462"/>
      <c r="N238" s="912"/>
      <c r="O238" s="462"/>
      <c r="P238" s="462"/>
    </row>
    <row r="239">
      <c r="A239" s="462"/>
      <c r="B239" s="462"/>
      <c r="C239" s="462"/>
      <c r="D239" s="462"/>
      <c r="E239" s="462"/>
      <c r="F239" s="462"/>
      <c r="G239" s="942"/>
      <c r="H239" s="462"/>
      <c r="I239" s="462"/>
      <c r="J239" s="462"/>
      <c r="K239" s="462"/>
      <c r="L239" s="462"/>
      <c r="M239" s="462"/>
      <c r="N239" s="912"/>
      <c r="O239" s="462"/>
      <c r="P239" s="462"/>
    </row>
    <row r="240">
      <c r="A240" s="462"/>
      <c r="B240" s="462"/>
      <c r="C240" s="462"/>
      <c r="D240" s="462"/>
      <c r="E240" s="462"/>
      <c r="F240" s="462"/>
      <c r="G240" s="942"/>
      <c r="H240" s="462"/>
      <c r="I240" s="462"/>
      <c r="J240" s="462"/>
      <c r="K240" s="462"/>
      <c r="L240" s="462"/>
      <c r="M240" s="462"/>
      <c r="N240" s="912"/>
      <c r="O240" s="462"/>
      <c r="P240" s="462"/>
    </row>
    <row r="241">
      <c r="A241" s="462"/>
      <c r="B241" s="462"/>
      <c r="C241" s="462"/>
      <c r="D241" s="462"/>
      <c r="E241" s="462"/>
      <c r="F241" s="462"/>
      <c r="G241" s="942"/>
      <c r="H241" s="462"/>
      <c r="I241" s="462"/>
      <c r="J241" s="462"/>
      <c r="K241" s="462"/>
      <c r="L241" s="462"/>
      <c r="M241" s="462"/>
      <c r="N241" s="912"/>
      <c r="O241" s="462"/>
      <c r="P241" s="462"/>
    </row>
    <row r="242">
      <c r="A242" s="462"/>
      <c r="B242" s="462"/>
      <c r="C242" s="462"/>
      <c r="D242" s="462"/>
      <c r="E242" s="462"/>
      <c r="F242" s="462"/>
      <c r="G242" s="942"/>
      <c r="H242" s="462"/>
      <c r="I242" s="462"/>
      <c r="J242" s="462"/>
      <c r="K242" s="462"/>
      <c r="L242" s="462"/>
      <c r="M242" s="462"/>
      <c r="N242" s="912"/>
      <c r="O242" s="462"/>
      <c r="P242" s="462"/>
    </row>
    <row r="243">
      <c r="A243" s="462"/>
      <c r="B243" s="462"/>
      <c r="C243" s="462"/>
      <c r="D243" s="462"/>
      <c r="E243" s="462"/>
      <c r="F243" s="462"/>
      <c r="G243" s="942"/>
      <c r="H243" s="462"/>
      <c r="I243" s="462"/>
      <c r="J243" s="462"/>
      <c r="K243" s="462"/>
      <c r="L243" s="462"/>
      <c r="M243" s="462"/>
      <c r="N243" s="912"/>
      <c r="O243" s="462"/>
      <c r="P243" s="462"/>
    </row>
    <row r="244">
      <c r="A244" s="462"/>
      <c r="B244" s="462"/>
      <c r="C244" s="462"/>
      <c r="D244" s="462"/>
      <c r="E244" s="462"/>
      <c r="F244" s="462"/>
      <c r="G244" s="942"/>
      <c r="H244" s="462"/>
      <c r="I244" s="462"/>
      <c r="J244" s="462"/>
      <c r="K244" s="462"/>
      <c r="L244" s="462"/>
      <c r="M244" s="462"/>
      <c r="N244" s="912"/>
      <c r="O244" s="462"/>
      <c r="P244" s="462"/>
    </row>
    <row r="245">
      <c r="A245" s="462"/>
      <c r="B245" s="462"/>
      <c r="C245" s="462"/>
      <c r="D245" s="462"/>
      <c r="E245" s="462"/>
      <c r="F245" s="462"/>
      <c r="G245" s="942"/>
      <c r="H245" s="462"/>
      <c r="I245" s="462"/>
      <c r="J245" s="462"/>
      <c r="K245" s="462"/>
      <c r="L245" s="462"/>
      <c r="M245" s="462"/>
      <c r="N245" s="912"/>
      <c r="O245" s="462"/>
      <c r="P245" s="462"/>
    </row>
    <row r="246">
      <c r="A246" s="462"/>
      <c r="B246" s="462"/>
      <c r="C246" s="462"/>
      <c r="D246" s="462"/>
      <c r="E246" s="462"/>
      <c r="F246" s="462"/>
      <c r="G246" s="942"/>
      <c r="H246" s="462"/>
      <c r="I246" s="462"/>
      <c r="J246" s="462"/>
      <c r="K246" s="462"/>
      <c r="L246" s="462"/>
      <c r="M246" s="462"/>
      <c r="N246" s="912"/>
      <c r="O246" s="462"/>
      <c r="P246" s="462"/>
    </row>
    <row r="247">
      <c r="A247" s="462"/>
      <c r="B247" s="462"/>
      <c r="C247" s="462"/>
      <c r="D247" s="462"/>
      <c r="E247" s="462"/>
      <c r="F247" s="462"/>
      <c r="G247" s="942"/>
      <c r="H247" s="462"/>
      <c r="I247" s="462"/>
      <c r="J247" s="462"/>
      <c r="K247" s="462"/>
      <c r="L247" s="462"/>
      <c r="M247" s="462"/>
      <c r="N247" s="912"/>
      <c r="O247" s="462"/>
      <c r="P247" s="462"/>
    </row>
    <row r="248">
      <c r="A248" s="462"/>
      <c r="B248" s="462"/>
      <c r="C248" s="462"/>
      <c r="D248" s="462"/>
      <c r="E248" s="462"/>
      <c r="F248" s="462"/>
      <c r="G248" s="942"/>
      <c r="H248" s="462"/>
      <c r="I248" s="462"/>
      <c r="J248" s="462"/>
      <c r="K248" s="462"/>
      <c r="L248" s="462"/>
      <c r="M248" s="462"/>
      <c r="N248" s="912"/>
      <c r="O248" s="462"/>
      <c r="P248" s="462"/>
    </row>
    <row r="249">
      <c r="A249" s="462"/>
      <c r="B249" s="462"/>
      <c r="C249" s="462"/>
      <c r="D249" s="462"/>
      <c r="E249" s="462"/>
      <c r="F249" s="462"/>
      <c r="G249" s="942"/>
      <c r="H249" s="462"/>
      <c r="I249" s="462"/>
      <c r="J249" s="462"/>
      <c r="K249" s="462"/>
      <c r="L249" s="462"/>
      <c r="M249" s="462"/>
      <c r="N249" s="912"/>
      <c r="O249" s="462"/>
      <c r="P249" s="462"/>
    </row>
    <row r="250">
      <c r="A250" s="462"/>
      <c r="B250" s="462"/>
      <c r="C250" s="462"/>
      <c r="D250" s="462"/>
      <c r="E250" s="462"/>
      <c r="F250" s="462"/>
      <c r="G250" s="942"/>
      <c r="H250" s="462"/>
      <c r="I250" s="462"/>
      <c r="J250" s="462"/>
      <c r="K250" s="462"/>
      <c r="L250" s="462"/>
      <c r="M250" s="462"/>
      <c r="N250" s="912"/>
      <c r="O250" s="462"/>
      <c r="P250" s="462"/>
    </row>
    <row r="251">
      <c r="A251" s="462"/>
      <c r="B251" s="462"/>
      <c r="C251" s="462"/>
      <c r="D251" s="462"/>
      <c r="E251" s="462"/>
      <c r="F251" s="462"/>
      <c r="G251" s="942"/>
      <c r="H251" s="462"/>
      <c r="I251" s="462"/>
      <c r="J251" s="462"/>
      <c r="K251" s="462"/>
      <c r="L251" s="462"/>
      <c r="M251" s="462"/>
      <c r="N251" s="912"/>
      <c r="O251" s="462"/>
      <c r="P251" s="462"/>
    </row>
    <row r="252">
      <c r="A252" s="462"/>
      <c r="B252" s="462"/>
      <c r="C252" s="462"/>
      <c r="D252" s="462"/>
      <c r="E252" s="462"/>
      <c r="F252" s="462"/>
      <c r="G252" s="942"/>
      <c r="H252" s="462"/>
      <c r="I252" s="462"/>
      <c r="J252" s="462"/>
      <c r="K252" s="462"/>
      <c r="L252" s="462"/>
      <c r="M252" s="462"/>
      <c r="N252" s="912"/>
      <c r="O252" s="462"/>
      <c r="P252" s="462"/>
    </row>
    <row r="253">
      <c r="A253" s="462"/>
      <c r="B253" s="462"/>
      <c r="C253" s="462"/>
      <c r="D253" s="462"/>
      <c r="E253" s="462"/>
      <c r="F253" s="462"/>
      <c r="G253" s="942"/>
      <c r="H253" s="462"/>
      <c r="I253" s="462"/>
      <c r="J253" s="462"/>
      <c r="K253" s="462"/>
      <c r="L253" s="462"/>
      <c r="M253" s="462"/>
      <c r="N253" s="912"/>
      <c r="O253" s="462"/>
      <c r="P253" s="462"/>
    </row>
    <row r="254">
      <c r="A254" s="462"/>
      <c r="B254" s="462"/>
      <c r="C254" s="462"/>
      <c r="D254" s="462"/>
      <c r="E254" s="462"/>
      <c r="F254" s="462"/>
      <c r="G254" s="942"/>
      <c r="H254" s="462"/>
      <c r="I254" s="462"/>
      <c r="J254" s="462"/>
      <c r="K254" s="462"/>
      <c r="L254" s="462"/>
      <c r="M254" s="462"/>
      <c r="N254" s="912"/>
      <c r="O254" s="462"/>
      <c r="P254" s="462"/>
    </row>
    <row r="255">
      <c r="A255" s="462"/>
      <c r="B255" s="462"/>
      <c r="C255" s="462"/>
      <c r="D255" s="462"/>
      <c r="E255" s="462"/>
      <c r="F255" s="462"/>
      <c r="G255" s="942"/>
      <c r="H255" s="462"/>
      <c r="I255" s="462"/>
      <c r="J255" s="462"/>
      <c r="K255" s="462"/>
      <c r="L255" s="462"/>
      <c r="M255" s="462"/>
      <c r="N255" s="912"/>
      <c r="O255" s="462"/>
      <c r="P255" s="462"/>
    </row>
    <row r="256">
      <c r="A256" s="462"/>
      <c r="B256" s="462"/>
      <c r="C256" s="462"/>
      <c r="D256" s="462"/>
      <c r="E256" s="462"/>
      <c r="F256" s="462"/>
      <c r="G256" s="942"/>
      <c r="H256" s="462"/>
      <c r="I256" s="462"/>
      <c r="J256" s="462"/>
      <c r="K256" s="462"/>
      <c r="L256" s="462"/>
      <c r="M256" s="462"/>
      <c r="N256" s="912"/>
      <c r="O256" s="462"/>
      <c r="P256" s="462"/>
    </row>
    <row r="257">
      <c r="A257" s="462"/>
      <c r="B257" s="462"/>
      <c r="C257" s="462"/>
      <c r="D257" s="462"/>
      <c r="E257" s="462"/>
      <c r="F257" s="462"/>
      <c r="G257" s="942"/>
      <c r="H257" s="462"/>
      <c r="I257" s="462"/>
      <c r="J257" s="462"/>
      <c r="K257" s="462"/>
      <c r="L257" s="462"/>
      <c r="M257" s="462"/>
      <c r="N257" s="912"/>
      <c r="O257" s="462"/>
      <c r="P257" s="462"/>
    </row>
    <row r="258">
      <c r="A258" s="462"/>
      <c r="B258" s="462"/>
      <c r="C258" s="462"/>
      <c r="D258" s="462"/>
      <c r="E258" s="462"/>
      <c r="F258" s="462"/>
      <c r="G258" s="942"/>
      <c r="H258" s="462"/>
      <c r="I258" s="462"/>
      <c r="J258" s="462"/>
      <c r="K258" s="462"/>
      <c r="L258" s="462"/>
      <c r="M258" s="462"/>
      <c r="N258" s="912"/>
      <c r="O258" s="462"/>
      <c r="P258" s="462"/>
    </row>
    <row r="259">
      <c r="A259" s="462"/>
      <c r="B259" s="462"/>
      <c r="C259" s="462"/>
      <c r="D259" s="462"/>
      <c r="E259" s="462"/>
      <c r="F259" s="462"/>
      <c r="G259" s="942"/>
      <c r="H259" s="462"/>
      <c r="I259" s="462"/>
      <c r="J259" s="462"/>
      <c r="K259" s="462"/>
      <c r="L259" s="462"/>
      <c r="M259" s="462"/>
      <c r="N259" s="912"/>
      <c r="O259" s="462"/>
      <c r="P259" s="462"/>
    </row>
    <row r="260">
      <c r="A260" s="462"/>
      <c r="B260" s="462"/>
      <c r="C260" s="462"/>
      <c r="D260" s="462"/>
      <c r="E260" s="462"/>
      <c r="F260" s="462"/>
      <c r="G260" s="942"/>
      <c r="H260" s="462"/>
      <c r="I260" s="462"/>
      <c r="J260" s="462"/>
      <c r="K260" s="462"/>
      <c r="L260" s="462"/>
      <c r="M260" s="462"/>
      <c r="N260" s="912"/>
      <c r="O260" s="462"/>
      <c r="P260" s="462"/>
    </row>
    <row r="261">
      <c r="A261" s="462"/>
      <c r="B261" s="462"/>
      <c r="C261" s="462"/>
      <c r="D261" s="462"/>
      <c r="E261" s="462"/>
      <c r="F261" s="462"/>
      <c r="G261" s="942"/>
      <c r="H261" s="462"/>
      <c r="I261" s="462"/>
      <c r="J261" s="462"/>
      <c r="K261" s="462"/>
      <c r="L261" s="462"/>
      <c r="M261" s="462"/>
      <c r="N261" s="912"/>
      <c r="O261" s="462"/>
      <c r="P261" s="462"/>
    </row>
    <row r="262">
      <c r="A262" s="462"/>
      <c r="B262" s="462"/>
      <c r="C262" s="462"/>
      <c r="D262" s="462"/>
      <c r="E262" s="462"/>
      <c r="F262" s="462"/>
      <c r="G262" s="942"/>
      <c r="H262" s="462"/>
      <c r="I262" s="462"/>
      <c r="J262" s="462"/>
      <c r="K262" s="462"/>
      <c r="L262" s="462"/>
      <c r="M262" s="462"/>
      <c r="N262" s="912"/>
      <c r="O262" s="462"/>
      <c r="P262" s="462"/>
    </row>
    <row r="263">
      <c r="A263" s="462"/>
      <c r="B263" s="462"/>
      <c r="C263" s="462"/>
      <c r="D263" s="462"/>
      <c r="E263" s="462"/>
      <c r="F263" s="462"/>
      <c r="G263" s="942"/>
      <c r="H263" s="462"/>
      <c r="I263" s="462"/>
      <c r="J263" s="462"/>
      <c r="K263" s="462"/>
      <c r="L263" s="462"/>
      <c r="M263" s="462"/>
      <c r="N263" s="912"/>
      <c r="O263" s="462"/>
      <c r="P263" s="462"/>
    </row>
    <row r="264">
      <c r="A264" s="462"/>
      <c r="B264" s="462"/>
      <c r="C264" s="462"/>
      <c r="D264" s="462"/>
      <c r="E264" s="462"/>
      <c r="F264" s="462"/>
      <c r="G264" s="942"/>
      <c r="H264" s="462"/>
      <c r="I264" s="462"/>
      <c r="J264" s="462"/>
      <c r="K264" s="462"/>
      <c r="L264" s="462"/>
      <c r="M264" s="462"/>
      <c r="N264" s="912"/>
      <c r="O264" s="462"/>
      <c r="P264" s="462"/>
    </row>
    <row r="265">
      <c r="A265" s="462"/>
      <c r="B265" s="462"/>
      <c r="C265" s="462"/>
      <c r="D265" s="462"/>
      <c r="E265" s="462"/>
      <c r="F265" s="462"/>
      <c r="G265" s="942"/>
      <c r="H265" s="462"/>
      <c r="I265" s="462"/>
      <c r="J265" s="462"/>
      <c r="K265" s="462"/>
      <c r="L265" s="462"/>
      <c r="M265" s="462"/>
      <c r="N265" s="912"/>
      <c r="O265" s="462"/>
      <c r="P265" s="462"/>
    </row>
    <row r="266">
      <c r="A266" s="462"/>
      <c r="B266" s="462"/>
      <c r="C266" s="462"/>
      <c r="D266" s="462"/>
      <c r="E266" s="462"/>
      <c r="F266" s="462"/>
      <c r="G266" s="942"/>
      <c r="H266" s="462"/>
      <c r="I266" s="462"/>
      <c r="J266" s="462"/>
      <c r="K266" s="462"/>
      <c r="L266" s="462"/>
      <c r="M266" s="462"/>
      <c r="N266" s="912"/>
      <c r="O266" s="462"/>
      <c r="P266" s="462"/>
    </row>
    <row r="267">
      <c r="A267" s="462"/>
      <c r="B267" s="462"/>
      <c r="C267" s="462"/>
      <c r="D267" s="462"/>
      <c r="E267" s="462"/>
      <c r="F267" s="462"/>
      <c r="G267" s="942"/>
      <c r="H267" s="462"/>
      <c r="I267" s="462"/>
      <c r="J267" s="462"/>
      <c r="K267" s="462"/>
      <c r="L267" s="462"/>
      <c r="M267" s="462"/>
      <c r="N267" s="912"/>
      <c r="O267" s="462"/>
      <c r="P267" s="462"/>
    </row>
    <row r="268">
      <c r="A268" s="462"/>
      <c r="B268" s="462"/>
      <c r="C268" s="462"/>
      <c r="D268" s="462"/>
      <c r="E268" s="462"/>
      <c r="F268" s="462"/>
      <c r="G268" s="942"/>
      <c r="H268" s="462"/>
      <c r="I268" s="462"/>
      <c r="J268" s="462"/>
      <c r="K268" s="462"/>
      <c r="L268" s="462"/>
      <c r="M268" s="462"/>
      <c r="N268" s="912"/>
      <c r="O268" s="462"/>
      <c r="P268" s="462"/>
    </row>
    <row r="269">
      <c r="A269" s="462"/>
      <c r="B269" s="462"/>
      <c r="C269" s="462"/>
      <c r="D269" s="462"/>
      <c r="E269" s="462"/>
      <c r="F269" s="462"/>
      <c r="G269" s="942"/>
      <c r="H269" s="462"/>
      <c r="I269" s="462"/>
      <c r="J269" s="462"/>
      <c r="K269" s="462"/>
      <c r="L269" s="462"/>
      <c r="M269" s="462"/>
      <c r="N269" s="912"/>
      <c r="O269" s="462"/>
      <c r="P269" s="462"/>
    </row>
    <row r="270">
      <c r="A270" s="462"/>
      <c r="B270" s="462"/>
      <c r="C270" s="462"/>
      <c r="D270" s="462"/>
      <c r="E270" s="462"/>
      <c r="F270" s="462"/>
      <c r="G270" s="942"/>
      <c r="H270" s="462"/>
      <c r="I270" s="462"/>
      <c r="J270" s="462"/>
      <c r="K270" s="462"/>
      <c r="L270" s="462"/>
      <c r="M270" s="462"/>
      <c r="N270" s="912"/>
      <c r="O270" s="462"/>
      <c r="P270" s="462"/>
    </row>
    <row r="271">
      <c r="A271" s="462"/>
      <c r="B271" s="462"/>
      <c r="C271" s="462"/>
      <c r="D271" s="462"/>
      <c r="E271" s="462"/>
      <c r="F271" s="462"/>
      <c r="G271" s="942"/>
      <c r="H271" s="462"/>
      <c r="I271" s="462"/>
      <c r="J271" s="462"/>
      <c r="K271" s="462"/>
      <c r="L271" s="462"/>
      <c r="M271" s="462"/>
      <c r="N271" s="912"/>
      <c r="O271" s="462"/>
      <c r="P271" s="462"/>
    </row>
    <row r="272">
      <c r="A272" s="462"/>
      <c r="B272" s="462"/>
      <c r="C272" s="462"/>
      <c r="D272" s="462"/>
      <c r="E272" s="462"/>
      <c r="F272" s="462"/>
      <c r="G272" s="942"/>
      <c r="H272" s="462"/>
      <c r="I272" s="462"/>
      <c r="J272" s="462"/>
      <c r="K272" s="462"/>
      <c r="L272" s="462"/>
      <c r="M272" s="462"/>
      <c r="N272" s="912"/>
      <c r="O272" s="462"/>
      <c r="P272" s="462"/>
    </row>
    <row r="273">
      <c r="A273" s="462"/>
      <c r="B273" s="462"/>
      <c r="C273" s="462"/>
      <c r="D273" s="462"/>
      <c r="E273" s="462"/>
      <c r="F273" s="462"/>
      <c r="G273" s="942"/>
      <c r="H273" s="462"/>
      <c r="I273" s="462"/>
      <c r="J273" s="462"/>
      <c r="K273" s="462"/>
      <c r="L273" s="462"/>
      <c r="M273" s="462"/>
      <c r="N273" s="912"/>
      <c r="O273" s="462"/>
      <c r="P273" s="462"/>
    </row>
    <row r="274">
      <c r="A274" s="462"/>
      <c r="B274" s="462"/>
      <c r="C274" s="462"/>
      <c r="D274" s="462"/>
      <c r="E274" s="462"/>
      <c r="F274" s="462"/>
      <c r="G274" s="942"/>
      <c r="H274" s="462"/>
      <c r="I274" s="462"/>
      <c r="J274" s="462"/>
      <c r="K274" s="462"/>
      <c r="L274" s="462"/>
      <c r="M274" s="462"/>
      <c r="N274" s="912"/>
      <c r="O274" s="462"/>
      <c r="P274" s="462"/>
    </row>
    <row r="275">
      <c r="A275" s="462"/>
      <c r="B275" s="462"/>
      <c r="C275" s="462"/>
      <c r="D275" s="462"/>
      <c r="E275" s="462"/>
      <c r="F275" s="462"/>
      <c r="G275" s="942"/>
      <c r="H275" s="462"/>
      <c r="I275" s="462"/>
      <c r="J275" s="462"/>
      <c r="K275" s="462"/>
      <c r="L275" s="462"/>
      <c r="M275" s="462"/>
      <c r="N275" s="912"/>
      <c r="O275" s="462"/>
      <c r="P275" s="462"/>
    </row>
    <row r="276">
      <c r="A276" s="462"/>
      <c r="B276" s="462"/>
      <c r="C276" s="462"/>
      <c r="D276" s="462"/>
      <c r="E276" s="462"/>
      <c r="F276" s="462"/>
      <c r="G276" s="942"/>
      <c r="H276" s="462"/>
      <c r="I276" s="462"/>
      <c r="J276" s="462"/>
      <c r="K276" s="462"/>
      <c r="L276" s="462"/>
      <c r="M276" s="462"/>
      <c r="N276" s="912"/>
      <c r="O276" s="462"/>
      <c r="P276" s="462"/>
    </row>
    <row r="277">
      <c r="A277" s="462"/>
      <c r="B277" s="462"/>
      <c r="C277" s="462"/>
      <c r="D277" s="462"/>
      <c r="E277" s="462"/>
      <c r="F277" s="462"/>
      <c r="G277" s="942"/>
      <c r="H277" s="462"/>
      <c r="I277" s="462"/>
      <c r="J277" s="462"/>
      <c r="K277" s="462"/>
      <c r="L277" s="462"/>
      <c r="M277" s="462"/>
      <c r="N277" s="912"/>
      <c r="O277" s="462"/>
      <c r="P277" s="462"/>
    </row>
    <row r="278">
      <c r="A278" s="462"/>
      <c r="B278" s="462"/>
      <c r="C278" s="462"/>
      <c r="D278" s="462"/>
      <c r="E278" s="462"/>
      <c r="F278" s="462"/>
      <c r="G278" s="942"/>
      <c r="H278" s="462"/>
      <c r="I278" s="462"/>
      <c r="J278" s="462"/>
      <c r="K278" s="462"/>
      <c r="L278" s="462"/>
      <c r="M278" s="462"/>
      <c r="N278" s="912"/>
      <c r="O278" s="462"/>
      <c r="P278" s="462"/>
    </row>
    <row r="279">
      <c r="A279" s="462"/>
      <c r="B279" s="462"/>
      <c r="C279" s="462"/>
      <c r="D279" s="462"/>
      <c r="E279" s="462"/>
      <c r="F279" s="462"/>
      <c r="G279" s="942"/>
      <c r="H279" s="462"/>
      <c r="I279" s="462"/>
      <c r="J279" s="462"/>
      <c r="K279" s="462"/>
      <c r="L279" s="462"/>
      <c r="M279" s="462"/>
      <c r="N279" s="912"/>
      <c r="O279" s="462"/>
      <c r="P279" s="462"/>
    </row>
    <row r="280">
      <c r="A280" s="462"/>
      <c r="B280" s="462"/>
      <c r="C280" s="462"/>
      <c r="D280" s="462"/>
      <c r="E280" s="462"/>
      <c r="F280" s="462"/>
      <c r="G280" s="942"/>
      <c r="H280" s="462"/>
      <c r="I280" s="462"/>
      <c r="J280" s="462"/>
      <c r="K280" s="462"/>
      <c r="L280" s="462"/>
      <c r="M280" s="462"/>
      <c r="N280" s="912"/>
      <c r="O280" s="462"/>
      <c r="P280" s="462"/>
    </row>
    <row r="281">
      <c r="A281" s="462"/>
      <c r="B281" s="462"/>
      <c r="C281" s="462"/>
      <c r="D281" s="462"/>
      <c r="E281" s="462"/>
      <c r="F281" s="462"/>
      <c r="G281" s="942"/>
      <c r="H281" s="462"/>
      <c r="I281" s="462"/>
      <c r="J281" s="462"/>
      <c r="K281" s="462"/>
      <c r="L281" s="462"/>
      <c r="M281" s="462"/>
      <c r="N281" s="912"/>
      <c r="O281" s="462"/>
      <c r="P281" s="462"/>
    </row>
    <row r="282">
      <c r="A282" s="462"/>
      <c r="B282" s="462"/>
      <c r="C282" s="462"/>
      <c r="D282" s="462"/>
      <c r="E282" s="462"/>
      <c r="F282" s="462"/>
      <c r="G282" s="942"/>
      <c r="H282" s="462"/>
      <c r="I282" s="462"/>
      <c r="J282" s="462"/>
      <c r="K282" s="462"/>
      <c r="L282" s="462"/>
      <c r="M282" s="462"/>
      <c r="N282" s="912"/>
      <c r="O282" s="462"/>
      <c r="P282" s="462"/>
    </row>
    <row r="283">
      <c r="A283" s="462"/>
      <c r="B283" s="462"/>
      <c r="C283" s="462"/>
      <c r="D283" s="462"/>
      <c r="E283" s="462"/>
      <c r="F283" s="462"/>
      <c r="G283" s="942"/>
      <c r="H283" s="462"/>
      <c r="I283" s="462"/>
      <c r="J283" s="462"/>
      <c r="K283" s="462"/>
      <c r="L283" s="462"/>
      <c r="M283" s="462"/>
      <c r="N283" s="912"/>
      <c r="O283" s="462"/>
      <c r="P283" s="462"/>
    </row>
    <row r="284">
      <c r="A284" s="462"/>
      <c r="B284" s="462"/>
      <c r="C284" s="462"/>
      <c r="D284" s="462"/>
      <c r="E284" s="462"/>
      <c r="F284" s="462"/>
      <c r="G284" s="942"/>
      <c r="H284" s="462"/>
      <c r="I284" s="462"/>
      <c r="J284" s="462"/>
      <c r="K284" s="462"/>
      <c r="L284" s="462"/>
      <c r="M284" s="462"/>
      <c r="N284" s="912"/>
      <c r="O284" s="462"/>
      <c r="P284" s="462"/>
    </row>
    <row r="285">
      <c r="A285" s="462"/>
      <c r="B285" s="462"/>
      <c r="C285" s="462"/>
      <c r="D285" s="462"/>
      <c r="E285" s="462"/>
      <c r="F285" s="462"/>
      <c r="G285" s="942"/>
      <c r="H285" s="462"/>
      <c r="I285" s="462"/>
      <c r="J285" s="462"/>
      <c r="K285" s="462"/>
      <c r="L285" s="462"/>
      <c r="M285" s="462"/>
      <c r="N285" s="912"/>
      <c r="O285" s="462"/>
      <c r="P285" s="462"/>
    </row>
    <row r="286">
      <c r="A286" s="462"/>
      <c r="B286" s="462"/>
      <c r="C286" s="462"/>
      <c r="D286" s="462"/>
      <c r="E286" s="462"/>
      <c r="F286" s="462"/>
      <c r="G286" s="942"/>
      <c r="H286" s="462"/>
      <c r="I286" s="462"/>
      <c r="J286" s="462"/>
      <c r="K286" s="462"/>
      <c r="L286" s="462"/>
      <c r="M286" s="462"/>
      <c r="N286" s="912"/>
      <c r="O286" s="462"/>
      <c r="P286" s="462"/>
    </row>
    <row r="287">
      <c r="A287" s="462"/>
      <c r="B287" s="462"/>
      <c r="C287" s="462"/>
      <c r="D287" s="462"/>
      <c r="E287" s="462"/>
      <c r="F287" s="462"/>
      <c r="G287" s="942"/>
      <c r="H287" s="462"/>
      <c r="I287" s="462"/>
      <c r="J287" s="462"/>
      <c r="K287" s="462"/>
      <c r="L287" s="462"/>
      <c r="M287" s="462"/>
      <c r="N287" s="912"/>
      <c r="O287" s="462"/>
      <c r="P287" s="462"/>
    </row>
    <row r="288">
      <c r="A288" s="462"/>
      <c r="B288" s="462"/>
      <c r="C288" s="462"/>
      <c r="D288" s="462"/>
      <c r="E288" s="462"/>
      <c r="F288" s="462"/>
      <c r="G288" s="942"/>
      <c r="H288" s="462"/>
      <c r="I288" s="462"/>
      <c r="J288" s="462"/>
      <c r="K288" s="462"/>
      <c r="L288" s="462"/>
      <c r="M288" s="462"/>
      <c r="N288" s="912"/>
      <c r="O288" s="462"/>
      <c r="P288" s="462"/>
    </row>
    <row r="289">
      <c r="A289" s="462"/>
      <c r="B289" s="462"/>
      <c r="C289" s="462"/>
      <c r="D289" s="462"/>
      <c r="E289" s="462"/>
      <c r="F289" s="462"/>
      <c r="G289" s="942"/>
      <c r="H289" s="462"/>
      <c r="I289" s="462"/>
      <c r="J289" s="462"/>
      <c r="K289" s="462"/>
      <c r="L289" s="462"/>
      <c r="M289" s="462"/>
      <c r="N289" s="912"/>
      <c r="O289" s="462"/>
      <c r="P289" s="462"/>
    </row>
    <row r="290">
      <c r="A290" s="462"/>
      <c r="B290" s="462"/>
      <c r="C290" s="462"/>
      <c r="D290" s="462"/>
      <c r="E290" s="462"/>
      <c r="F290" s="462"/>
      <c r="G290" s="942"/>
      <c r="H290" s="462"/>
      <c r="I290" s="462"/>
      <c r="J290" s="462"/>
      <c r="K290" s="462"/>
      <c r="L290" s="462"/>
      <c r="M290" s="462"/>
      <c r="N290" s="912"/>
      <c r="O290" s="462"/>
      <c r="P290" s="462"/>
    </row>
    <row r="291">
      <c r="A291" s="462"/>
      <c r="B291" s="462"/>
      <c r="C291" s="462"/>
      <c r="D291" s="462"/>
      <c r="E291" s="462"/>
      <c r="F291" s="462"/>
      <c r="G291" s="942"/>
      <c r="H291" s="462"/>
      <c r="I291" s="462"/>
      <c r="J291" s="462"/>
      <c r="K291" s="462"/>
      <c r="L291" s="462"/>
      <c r="M291" s="462"/>
      <c r="N291" s="912"/>
      <c r="O291" s="462"/>
      <c r="P291" s="462"/>
    </row>
    <row r="292">
      <c r="A292" s="462"/>
      <c r="B292" s="462"/>
      <c r="C292" s="462"/>
      <c r="D292" s="462"/>
      <c r="E292" s="462"/>
      <c r="F292" s="462"/>
      <c r="G292" s="942"/>
      <c r="H292" s="462"/>
      <c r="I292" s="462"/>
      <c r="J292" s="462"/>
      <c r="K292" s="462"/>
      <c r="L292" s="462"/>
      <c r="M292" s="462"/>
      <c r="N292" s="912"/>
      <c r="O292" s="462"/>
      <c r="P292" s="462"/>
    </row>
    <row r="293">
      <c r="A293" s="462"/>
      <c r="B293" s="462"/>
      <c r="C293" s="462"/>
      <c r="D293" s="462"/>
      <c r="E293" s="462"/>
      <c r="F293" s="462"/>
      <c r="G293" s="942"/>
      <c r="H293" s="462"/>
      <c r="I293" s="462"/>
      <c r="J293" s="462"/>
      <c r="K293" s="462"/>
      <c r="L293" s="462"/>
      <c r="M293" s="462"/>
      <c r="N293" s="912"/>
      <c r="O293" s="462"/>
      <c r="P293" s="462"/>
    </row>
    <row r="294">
      <c r="A294" s="462"/>
      <c r="B294" s="462"/>
      <c r="C294" s="462"/>
      <c r="D294" s="462"/>
      <c r="E294" s="462"/>
      <c r="F294" s="462"/>
      <c r="G294" s="942"/>
      <c r="H294" s="462"/>
      <c r="I294" s="462"/>
      <c r="J294" s="462"/>
      <c r="K294" s="462"/>
      <c r="L294" s="462"/>
      <c r="M294" s="462"/>
      <c r="N294" s="912"/>
      <c r="O294" s="462"/>
      <c r="P294" s="462"/>
    </row>
    <row r="295">
      <c r="A295" s="462"/>
      <c r="B295" s="462"/>
      <c r="C295" s="462"/>
      <c r="D295" s="462"/>
      <c r="E295" s="462"/>
      <c r="F295" s="462"/>
      <c r="G295" s="942"/>
      <c r="H295" s="462"/>
      <c r="I295" s="462"/>
      <c r="J295" s="462"/>
      <c r="K295" s="462"/>
      <c r="L295" s="462"/>
      <c r="M295" s="462"/>
      <c r="N295" s="912"/>
      <c r="O295" s="462"/>
      <c r="P295" s="462"/>
    </row>
    <row r="296">
      <c r="A296" s="462"/>
      <c r="B296" s="462"/>
      <c r="C296" s="462"/>
      <c r="D296" s="462"/>
      <c r="E296" s="462"/>
      <c r="F296" s="462"/>
      <c r="G296" s="942"/>
      <c r="H296" s="462"/>
      <c r="I296" s="462"/>
      <c r="J296" s="462"/>
      <c r="K296" s="462"/>
      <c r="L296" s="462"/>
      <c r="M296" s="462"/>
      <c r="N296" s="912"/>
      <c r="O296" s="462"/>
      <c r="P296" s="462"/>
    </row>
    <row r="297">
      <c r="A297" s="462"/>
      <c r="B297" s="462"/>
      <c r="C297" s="462"/>
      <c r="D297" s="462"/>
      <c r="E297" s="462"/>
      <c r="F297" s="462"/>
      <c r="G297" s="942"/>
      <c r="H297" s="462"/>
      <c r="I297" s="462"/>
      <c r="J297" s="462"/>
      <c r="K297" s="462"/>
      <c r="L297" s="462"/>
      <c r="M297" s="462"/>
      <c r="N297" s="912"/>
      <c r="O297" s="462"/>
      <c r="P297" s="462"/>
    </row>
    <row r="298">
      <c r="A298" s="462"/>
      <c r="B298" s="462"/>
      <c r="C298" s="462"/>
      <c r="D298" s="462"/>
      <c r="E298" s="462"/>
      <c r="F298" s="462"/>
      <c r="G298" s="942"/>
      <c r="H298" s="462"/>
      <c r="I298" s="462"/>
      <c r="J298" s="462"/>
      <c r="K298" s="462"/>
      <c r="L298" s="462"/>
      <c r="M298" s="462"/>
      <c r="N298" s="912"/>
      <c r="O298" s="462"/>
      <c r="P298" s="462"/>
    </row>
    <row r="299">
      <c r="A299" s="462"/>
      <c r="B299" s="462"/>
      <c r="C299" s="462"/>
      <c r="D299" s="462"/>
      <c r="E299" s="462"/>
      <c r="F299" s="462"/>
      <c r="G299" s="942"/>
      <c r="H299" s="462"/>
      <c r="I299" s="462"/>
      <c r="J299" s="462"/>
      <c r="K299" s="462"/>
      <c r="L299" s="462"/>
      <c r="M299" s="462"/>
      <c r="N299" s="912"/>
      <c r="O299" s="462"/>
      <c r="P299" s="462"/>
    </row>
    <row r="300">
      <c r="A300" s="462"/>
      <c r="B300" s="462"/>
      <c r="C300" s="462"/>
      <c r="D300" s="462"/>
      <c r="E300" s="462"/>
      <c r="F300" s="462"/>
      <c r="G300" s="942"/>
      <c r="H300" s="462"/>
      <c r="I300" s="462"/>
      <c r="J300" s="462"/>
      <c r="K300" s="462"/>
      <c r="L300" s="462"/>
      <c r="M300" s="462"/>
      <c r="N300" s="912"/>
      <c r="O300" s="462"/>
      <c r="P300" s="462"/>
    </row>
    <row r="301">
      <c r="A301" s="462"/>
      <c r="B301" s="462"/>
      <c r="C301" s="462"/>
      <c r="D301" s="462"/>
      <c r="E301" s="462"/>
      <c r="F301" s="462"/>
      <c r="G301" s="942"/>
      <c r="H301" s="462"/>
      <c r="I301" s="462"/>
      <c r="J301" s="462"/>
      <c r="K301" s="462"/>
      <c r="L301" s="462"/>
      <c r="M301" s="462"/>
      <c r="N301" s="912"/>
      <c r="O301" s="462"/>
      <c r="P301" s="462"/>
    </row>
    <row r="302">
      <c r="A302" s="462"/>
      <c r="B302" s="462"/>
      <c r="C302" s="462"/>
      <c r="D302" s="462"/>
      <c r="E302" s="462"/>
      <c r="F302" s="462"/>
      <c r="G302" s="942"/>
      <c r="H302" s="462"/>
      <c r="I302" s="462"/>
      <c r="J302" s="462"/>
      <c r="K302" s="462"/>
      <c r="L302" s="462"/>
      <c r="M302" s="462"/>
      <c r="N302" s="912"/>
      <c r="O302" s="462"/>
      <c r="P302" s="462"/>
    </row>
    <row r="303">
      <c r="A303" s="462"/>
      <c r="B303" s="462"/>
      <c r="C303" s="462"/>
      <c r="D303" s="462"/>
      <c r="E303" s="462"/>
      <c r="F303" s="462"/>
      <c r="G303" s="942"/>
      <c r="H303" s="462"/>
      <c r="I303" s="462"/>
      <c r="J303" s="462"/>
      <c r="K303" s="462"/>
      <c r="L303" s="462"/>
      <c r="M303" s="462"/>
      <c r="N303" s="912"/>
      <c r="O303" s="462"/>
      <c r="P303" s="462"/>
    </row>
    <row r="304">
      <c r="A304" s="462"/>
      <c r="B304" s="462"/>
      <c r="C304" s="462"/>
      <c r="D304" s="462"/>
      <c r="E304" s="462"/>
      <c r="F304" s="462"/>
      <c r="G304" s="942"/>
      <c r="H304" s="462"/>
      <c r="I304" s="462"/>
      <c r="J304" s="462"/>
      <c r="K304" s="462"/>
      <c r="L304" s="462"/>
      <c r="M304" s="462"/>
      <c r="N304" s="912"/>
      <c r="O304" s="462"/>
      <c r="P304" s="462"/>
    </row>
    <row r="305">
      <c r="A305" s="462"/>
      <c r="B305" s="462"/>
      <c r="C305" s="462"/>
      <c r="D305" s="462"/>
      <c r="E305" s="462"/>
      <c r="F305" s="462"/>
      <c r="G305" s="942"/>
      <c r="H305" s="462"/>
      <c r="I305" s="462"/>
      <c r="J305" s="462"/>
      <c r="K305" s="462"/>
      <c r="L305" s="462"/>
      <c r="M305" s="462"/>
      <c r="N305" s="912"/>
      <c r="O305" s="462"/>
      <c r="P305" s="462"/>
    </row>
    <row r="306">
      <c r="A306" s="462"/>
      <c r="B306" s="462"/>
      <c r="C306" s="462"/>
      <c r="D306" s="462"/>
      <c r="E306" s="462"/>
      <c r="F306" s="462"/>
      <c r="G306" s="942"/>
      <c r="H306" s="462"/>
      <c r="I306" s="462"/>
      <c r="J306" s="462"/>
      <c r="K306" s="462"/>
      <c r="L306" s="462"/>
      <c r="M306" s="462"/>
      <c r="N306" s="912"/>
      <c r="O306" s="462"/>
      <c r="P306" s="462"/>
    </row>
    <row r="307">
      <c r="A307" s="462"/>
      <c r="B307" s="462"/>
      <c r="C307" s="462"/>
      <c r="D307" s="462"/>
      <c r="E307" s="462"/>
      <c r="F307" s="462"/>
      <c r="G307" s="942"/>
      <c r="H307" s="462"/>
      <c r="I307" s="462"/>
      <c r="J307" s="462"/>
      <c r="K307" s="462"/>
      <c r="L307" s="462"/>
      <c r="M307" s="462"/>
      <c r="N307" s="912"/>
      <c r="O307" s="462"/>
      <c r="P307" s="462"/>
    </row>
    <row r="308">
      <c r="A308" s="462"/>
      <c r="B308" s="462"/>
      <c r="C308" s="462"/>
      <c r="D308" s="462"/>
      <c r="E308" s="462"/>
      <c r="F308" s="462"/>
      <c r="G308" s="942"/>
      <c r="H308" s="462"/>
      <c r="I308" s="462"/>
      <c r="J308" s="462"/>
      <c r="K308" s="462"/>
      <c r="L308" s="462"/>
      <c r="M308" s="462"/>
      <c r="N308" s="912"/>
      <c r="O308" s="462"/>
      <c r="P308" s="462"/>
    </row>
    <row r="309">
      <c r="A309" s="462"/>
      <c r="B309" s="462"/>
      <c r="C309" s="462"/>
      <c r="D309" s="462"/>
      <c r="E309" s="462"/>
      <c r="F309" s="462"/>
      <c r="G309" s="942"/>
      <c r="H309" s="462"/>
      <c r="I309" s="462"/>
      <c r="J309" s="462"/>
      <c r="K309" s="462"/>
      <c r="L309" s="462"/>
      <c r="M309" s="462"/>
      <c r="N309" s="912"/>
      <c r="O309" s="462"/>
      <c r="P309" s="462"/>
    </row>
    <row r="310">
      <c r="A310" s="462"/>
      <c r="B310" s="462"/>
      <c r="C310" s="462"/>
      <c r="D310" s="462"/>
      <c r="E310" s="462"/>
      <c r="F310" s="462"/>
      <c r="G310" s="942"/>
      <c r="H310" s="462"/>
      <c r="I310" s="462"/>
      <c r="J310" s="462"/>
      <c r="K310" s="462"/>
      <c r="L310" s="462"/>
      <c r="M310" s="462"/>
      <c r="N310" s="912"/>
      <c r="O310" s="462"/>
      <c r="P310" s="462"/>
    </row>
    <row r="311">
      <c r="A311" s="462"/>
      <c r="B311" s="462"/>
      <c r="C311" s="462"/>
      <c r="D311" s="462"/>
      <c r="E311" s="462"/>
      <c r="F311" s="462"/>
      <c r="G311" s="942"/>
      <c r="H311" s="462"/>
      <c r="I311" s="462"/>
      <c r="J311" s="462"/>
      <c r="K311" s="462"/>
      <c r="L311" s="462"/>
      <c r="M311" s="462"/>
      <c r="N311" s="912"/>
      <c r="O311" s="462"/>
      <c r="P311" s="462"/>
    </row>
    <row r="312">
      <c r="A312" s="462"/>
      <c r="B312" s="462"/>
      <c r="C312" s="462"/>
      <c r="D312" s="462"/>
      <c r="E312" s="462"/>
      <c r="F312" s="462"/>
      <c r="G312" s="942"/>
      <c r="H312" s="462"/>
      <c r="I312" s="462"/>
      <c r="J312" s="462"/>
      <c r="K312" s="462"/>
      <c r="L312" s="462"/>
      <c r="M312" s="462"/>
      <c r="N312" s="912"/>
      <c r="O312" s="462"/>
      <c r="P312" s="462"/>
    </row>
    <row r="313">
      <c r="A313" s="462"/>
      <c r="B313" s="462"/>
      <c r="C313" s="462"/>
      <c r="D313" s="462"/>
      <c r="E313" s="462"/>
      <c r="F313" s="462"/>
      <c r="G313" s="942"/>
      <c r="H313" s="462"/>
      <c r="I313" s="462"/>
      <c r="J313" s="462"/>
      <c r="K313" s="462"/>
      <c r="L313" s="462"/>
      <c r="M313" s="462"/>
      <c r="N313" s="912"/>
      <c r="O313" s="462"/>
      <c r="P313" s="462"/>
    </row>
    <row r="314">
      <c r="A314" s="462"/>
      <c r="B314" s="462"/>
      <c r="C314" s="462"/>
      <c r="D314" s="462"/>
      <c r="E314" s="462"/>
      <c r="F314" s="462"/>
      <c r="G314" s="942"/>
      <c r="H314" s="462"/>
      <c r="I314" s="462"/>
      <c r="J314" s="462"/>
      <c r="K314" s="462"/>
      <c r="L314" s="462"/>
      <c r="M314" s="462"/>
      <c r="N314" s="912"/>
      <c r="O314" s="462"/>
      <c r="P314" s="462"/>
    </row>
    <row r="315">
      <c r="A315" s="462"/>
      <c r="B315" s="462"/>
      <c r="C315" s="462"/>
      <c r="D315" s="462"/>
      <c r="E315" s="462"/>
      <c r="F315" s="462"/>
      <c r="G315" s="942"/>
      <c r="H315" s="462"/>
      <c r="I315" s="462"/>
      <c r="J315" s="462"/>
      <c r="K315" s="462"/>
      <c r="L315" s="462"/>
      <c r="M315" s="462"/>
      <c r="N315" s="912"/>
      <c r="O315" s="462"/>
      <c r="P315" s="462"/>
    </row>
    <row r="316">
      <c r="A316" s="462"/>
      <c r="B316" s="462"/>
      <c r="C316" s="462"/>
      <c r="D316" s="462"/>
      <c r="E316" s="462"/>
      <c r="F316" s="462"/>
      <c r="G316" s="942"/>
      <c r="H316" s="462"/>
      <c r="I316" s="462"/>
      <c r="J316" s="462"/>
      <c r="K316" s="462"/>
      <c r="L316" s="462"/>
      <c r="M316" s="462"/>
      <c r="N316" s="912"/>
      <c r="O316" s="462"/>
      <c r="P316" s="462"/>
    </row>
    <row r="317">
      <c r="A317" s="462"/>
      <c r="B317" s="462"/>
      <c r="C317" s="462"/>
      <c r="D317" s="462"/>
      <c r="E317" s="462"/>
      <c r="F317" s="462"/>
      <c r="G317" s="942"/>
      <c r="H317" s="462"/>
      <c r="I317" s="462"/>
      <c r="J317" s="462"/>
      <c r="K317" s="462"/>
      <c r="L317" s="462"/>
      <c r="M317" s="462"/>
      <c r="N317" s="912"/>
      <c r="O317" s="462"/>
      <c r="P317" s="462"/>
    </row>
    <row r="318">
      <c r="A318" s="462"/>
      <c r="B318" s="462"/>
      <c r="C318" s="462"/>
      <c r="D318" s="462"/>
      <c r="E318" s="462"/>
      <c r="F318" s="462"/>
      <c r="G318" s="942"/>
      <c r="H318" s="462"/>
      <c r="I318" s="462"/>
      <c r="J318" s="462"/>
      <c r="K318" s="462"/>
      <c r="L318" s="462"/>
      <c r="M318" s="462"/>
      <c r="N318" s="912"/>
      <c r="O318" s="462"/>
      <c r="P318" s="462"/>
    </row>
    <row r="319">
      <c r="A319" s="462"/>
      <c r="B319" s="462"/>
      <c r="C319" s="462"/>
      <c r="D319" s="462"/>
      <c r="E319" s="462"/>
      <c r="F319" s="462"/>
      <c r="G319" s="942"/>
      <c r="H319" s="462"/>
      <c r="I319" s="462"/>
      <c r="J319" s="462"/>
      <c r="K319" s="462"/>
      <c r="L319" s="462"/>
      <c r="M319" s="462"/>
      <c r="N319" s="912"/>
      <c r="O319" s="462"/>
      <c r="P319" s="462"/>
    </row>
    <row r="320">
      <c r="A320" s="462"/>
      <c r="B320" s="462"/>
      <c r="C320" s="462"/>
      <c r="D320" s="462"/>
      <c r="E320" s="462"/>
      <c r="F320" s="462"/>
      <c r="G320" s="942"/>
      <c r="H320" s="462"/>
      <c r="I320" s="462"/>
      <c r="J320" s="462"/>
      <c r="K320" s="462"/>
      <c r="L320" s="462"/>
      <c r="M320" s="462"/>
      <c r="N320" s="912"/>
      <c r="O320" s="462"/>
      <c r="P320" s="462"/>
    </row>
    <row r="321">
      <c r="A321" s="462"/>
      <c r="B321" s="462"/>
      <c r="C321" s="462"/>
      <c r="D321" s="462"/>
      <c r="E321" s="462"/>
      <c r="F321" s="462"/>
      <c r="G321" s="942"/>
      <c r="H321" s="462"/>
      <c r="I321" s="462"/>
      <c r="J321" s="462"/>
      <c r="K321" s="462"/>
      <c r="L321" s="462"/>
      <c r="M321" s="462"/>
      <c r="N321" s="912"/>
      <c r="O321" s="462"/>
      <c r="P321" s="462"/>
    </row>
    <row r="322">
      <c r="A322" s="462"/>
      <c r="B322" s="462"/>
      <c r="C322" s="462"/>
      <c r="D322" s="462"/>
      <c r="E322" s="462"/>
      <c r="F322" s="462"/>
      <c r="G322" s="942"/>
      <c r="H322" s="462"/>
      <c r="I322" s="462"/>
      <c r="J322" s="462"/>
      <c r="K322" s="462"/>
      <c r="L322" s="462"/>
      <c r="M322" s="462"/>
      <c r="N322" s="912"/>
      <c r="O322" s="462"/>
      <c r="P322" s="462"/>
    </row>
    <row r="323">
      <c r="A323" s="462"/>
      <c r="B323" s="462"/>
      <c r="C323" s="462"/>
      <c r="D323" s="462"/>
      <c r="E323" s="462"/>
      <c r="F323" s="462"/>
      <c r="G323" s="942"/>
      <c r="H323" s="462"/>
      <c r="I323" s="462"/>
      <c r="J323" s="462"/>
      <c r="K323" s="462"/>
      <c r="L323" s="462"/>
      <c r="M323" s="462"/>
      <c r="N323" s="912"/>
      <c r="O323" s="462"/>
      <c r="P323" s="462"/>
    </row>
    <row r="324">
      <c r="A324" s="462"/>
      <c r="B324" s="462"/>
      <c r="C324" s="462"/>
      <c r="D324" s="462"/>
      <c r="E324" s="462"/>
      <c r="F324" s="462"/>
      <c r="G324" s="942"/>
      <c r="H324" s="462"/>
      <c r="I324" s="462"/>
      <c r="J324" s="462"/>
      <c r="K324" s="462"/>
      <c r="L324" s="462"/>
      <c r="M324" s="462"/>
      <c r="N324" s="912"/>
      <c r="O324" s="462"/>
      <c r="P324" s="462"/>
    </row>
    <row r="325">
      <c r="A325" s="462"/>
      <c r="B325" s="462"/>
      <c r="C325" s="462"/>
      <c r="D325" s="462"/>
      <c r="E325" s="462"/>
      <c r="F325" s="462"/>
      <c r="G325" s="942"/>
      <c r="H325" s="462"/>
      <c r="I325" s="462"/>
      <c r="J325" s="462"/>
      <c r="K325" s="462"/>
      <c r="L325" s="462"/>
      <c r="M325" s="462"/>
      <c r="N325" s="912"/>
      <c r="O325" s="462"/>
      <c r="P325" s="462"/>
    </row>
    <row r="326">
      <c r="A326" s="462"/>
      <c r="B326" s="462"/>
      <c r="C326" s="462"/>
      <c r="D326" s="462"/>
      <c r="E326" s="462"/>
      <c r="F326" s="462"/>
      <c r="G326" s="942"/>
      <c r="H326" s="462"/>
      <c r="I326" s="462"/>
      <c r="J326" s="462"/>
      <c r="K326" s="462"/>
      <c r="L326" s="462"/>
      <c r="M326" s="462"/>
      <c r="N326" s="912"/>
      <c r="O326" s="462"/>
      <c r="P326" s="462"/>
    </row>
    <row r="327">
      <c r="A327" s="462"/>
      <c r="B327" s="462"/>
      <c r="C327" s="462"/>
      <c r="D327" s="462"/>
      <c r="E327" s="462"/>
      <c r="F327" s="462"/>
      <c r="G327" s="942"/>
      <c r="H327" s="462"/>
      <c r="I327" s="462"/>
      <c r="J327" s="462"/>
      <c r="K327" s="462"/>
      <c r="L327" s="462"/>
      <c r="M327" s="462"/>
      <c r="N327" s="912"/>
      <c r="O327" s="462"/>
      <c r="P327" s="462"/>
    </row>
    <row r="328">
      <c r="A328" s="462"/>
      <c r="B328" s="462"/>
      <c r="C328" s="462"/>
      <c r="D328" s="462"/>
      <c r="E328" s="462"/>
      <c r="F328" s="462"/>
      <c r="G328" s="942"/>
      <c r="H328" s="462"/>
      <c r="I328" s="462"/>
      <c r="J328" s="462"/>
      <c r="K328" s="462"/>
      <c r="L328" s="462"/>
      <c r="M328" s="462"/>
      <c r="N328" s="912"/>
      <c r="O328" s="462"/>
      <c r="P328" s="462"/>
    </row>
    <row r="329">
      <c r="A329" s="462"/>
      <c r="B329" s="462"/>
      <c r="C329" s="462"/>
      <c r="D329" s="462"/>
      <c r="E329" s="462"/>
      <c r="F329" s="462"/>
      <c r="G329" s="942"/>
      <c r="H329" s="462"/>
      <c r="I329" s="462"/>
      <c r="J329" s="462"/>
      <c r="K329" s="462"/>
      <c r="L329" s="462"/>
      <c r="M329" s="462"/>
      <c r="N329" s="912"/>
      <c r="O329" s="462"/>
      <c r="P329" s="462"/>
    </row>
    <row r="330">
      <c r="A330" s="462"/>
      <c r="B330" s="462"/>
      <c r="C330" s="462"/>
      <c r="D330" s="462"/>
      <c r="E330" s="462"/>
      <c r="F330" s="462"/>
      <c r="G330" s="942"/>
      <c r="H330" s="462"/>
      <c r="I330" s="462"/>
      <c r="J330" s="462"/>
      <c r="K330" s="462"/>
      <c r="L330" s="462"/>
      <c r="M330" s="462"/>
      <c r="N330" s="912"/>
      <c r="O330" s="462"/>
      <c r="P330" s="462"/>
    </row>
    <row r="331">
      <c r="A331" s="462"/>
      <c r="B331" s="462"/>
      <c r="C331" s="462"/>
      <c r="D331" s="462"/>
      <c r="E331" s="462"/>
      <c r="F331" s="462"/>
      <c r="G331" s="942"/>
      <c r="H331" s="462"/>
      <c r="I331" s="462"/>
      <c r="J331" s="462"/>
      <c r="K331" s="462"/>
      <c r="L331" s="462"/>
      <c r="M331" s="462"/>
      <c r="N331" s="912"/>
      <c r="O331" s="462"/>
      <c r="P331" s="462"/>
    </row>
    <row r="332">
      <c r="A332" s="462"/>
      <c r="B332" s="462"/>
      <c r="C332" s="462"/>
      <c r="D332" s="462"/>
      <c r="E332" s="462"/>
      <c r="F332" s="462"/>
      <c r="G332" s="942"/>
      <c r="H332" s="462"/>
      <c r="I332" s="462"/>
      <c r="J332" s="462"/>
      <c r="K332" s="462"/>
      <c r="L332" s="462"/>
      <c r="M332" s="462"/>
      <c r="N332" s="912"/>
      <c r="O332" s="462"/>
      <c r="P332" s="462"/>
    </row>
    <row r="333">
      <c r="A333" s="462"/>
      <c r="B333" s="462"/>
      <c r="C333" s="462"/>
      <c r="D333" s="462"/>
      <c r="E333" s="462"/>
      <c r="F333" s="462"/>
      <c r="G333" s="942"/>
      <c r="H333" s="462"/>
      <c r="I333" s="462"/>
      <c r="J333" s="462"/>
      <c r="K333" s="462"/>
      <c r="L333" s="462"/>
      <c r="M333" s="462"/>
      <c r="N333" s="912"/>
      <c r="O333" s="462"/>
      <c r="P333" s="462"/>
    </row>
    <row r="334">
      <c r="A334" s="462"/>
      <c r="B334" s="462"/>
      <c r="C334" s="462"/>
      <c r="D334" s="462"/>
      <c r="E334" s="462"/>
      <c r="F334" s="462"/>
      <c r="G334" s="942"/>
      <c r="H334" s="462"/>
      <c r="I334" s="462"/>
      <c r="J334" s="462"/>
      <c r="K334" s="462"/>
      <c r="L334" s="462"/>
      <c r="M334" s="462"/>
      <c r="N334" s="912"/>
      <c r="O334" s="462"/>
      <c r="P334" s="462"/>
    </row>
    <row r="335">
      <c r="A335" s="462"/>
      <c r="B335" s="462"/>
      <c r="C335" s="462"/>
      <c r="D335" s="462"/>
      <c r="E335" s="462"/>
      <c r="F335" s="462"/>
      <c r="G335" s="942"/>
      <c r="H335" s="462"/>
      <c r="I335" s="462"/>
      <c r="J335" s="462"/>
      <c r="K335" s="462"/>
      <c r="L335" s="462"/>
      <c r="M335" s="462"/>
      <c r="N335" s="912"/>
      <c r="O335" s="462"/>
      <c r="P335" s="462"/>
    </row>
    <row r="336">
      <c r="A336" s="462"/>
      <c r="B336" s="462"/>
      <c r="C336" s="462"/>
      <c r="D336" s="462"/>
      <c r="E336" s="462"/>
      <c r="F336" s="462"/>
      <c r="G336" s="942"/>
      <c r="H336" s="462"/>
      <c r="I336" s="462"/>
      <c r="J336" s="462"/>
      <c r="K336" s="462"/>
      <c r="L336" s="462"/>
      <c r="M336" s="462"/>
      <c r="N336" s="912"/>
      <c r="O336" s="462"/>
      <c r="P336" s="462"/>
    </row>
    <row r="337">
      <c r="A337" s="462"/>
      <c r="B337" s="462"/>
      <c r="C337" s="462"/>
      <c r="D337" s="462"/>
      <c r="E337" s="462"/>
      <c r="F337" s="462"/>
      <c r="G337" s="942"/>
      <c r="H337" s="462"/>
      <c r="I337" s="462"/>
      <c r="J337" s="462"/>
      <c r="K337" s="462"/>
      <c r="L337" s="462"/>
      <c r="M337" s="462"/>
      <c r="N337" s="912"/>
      <c r="O337" s="462"/>
      <c r="P337" s="462"/>
    </row>
    <row r="338">
      <c r="A338" s="462"/>
      <c r="B338" s="462"/>
      <c r="C338" s="462"/>
      <c r="D338" s="462"/>
      <c r="E338" s="462"/>
      <c r="F338" s="462"/>
      <c r="G338" s="942"/>
      <c r="H338" s="462"/>
      <c r="I338" s="462"/>
      <c r="J338" s="462"/>
      <c r="K338" s="462"/>
      <c r="L338" s="462"/>
      <c r="M338" s="462"/>
      <c r="N338" s="912"/>
      <c r="O338" s="462"/>
      <c r="P338" s="462"/>
    </row>
    <row r="339">
      <c r="A339" s="462"/>
      <c r="B339" s="462"/>
      <c r="C339" s="462"/>
      <c r="D339" s="462"/>
      <c r="E339" s="462"/>
      <c r="F339" s="462"/>
      <c r="G339" s="942"/>
      <c r="H339" s="462"/>
      <c r="I339" s="462"/>
      <c r="J339" s="462"/>
      <c r="K339" s="462"/>
      <c r="L339" s="462"/>
      <c r="M339" s="462"/>
      <c r="N339" s="912"/>
      <c r="O339" s="462"/>
      <c r="P339" s="462"/>
    </row>
    <row r="340">
      <c r="A340" s="462"/>
      <c r="B340" s="462"/>
      <c r="C340" s="462"/>
      <c r="D340" s="462"/>
      <c r="E340" s="462"/>
      <c r="F340" s="462"/>
      <c r="G340" s="942"/>
      <c r="H340" s="462"/>
      <c r="I340" s="462"/>
      <c r="J340" s="462"/>
      <c r="K340" s="462"/>
      <c r="L340" s="462"/>
      <c r="M340" s="462"/>
      <c r="N340" s="912"/>
      <c r="O340" s="462"/>
      <c r="P340" s="462"/>
    </row>
    <row r="341">
      <c r="A341" s="462"/>
      <c r="B341" s="462"/>
      <c r="C341" s="462"/>
      <c r="D341" s="462"/>
      <c r="E341" s="462"/>
      <c r="F341" s="462"/>
      <c r="G341" s="942"/>
      <c r="H341" s="462"/>
      <c r="I341" s="462"/>
      <c r="J341" s="462"/>
      <c r="K341" s="462"/>
      <c r="L341" s="462"/>
      <c r="M341" s="462"/>
      <c r="N341" s="912"/>
      <c r="O341" s="462"/>
      <c r="P341" s="462"/>
    </row>
    <row r="342">
      <c r="A342" s="462"/>
      <c r="B342" s="462"/>
      <c r="C342" s="462"/>
      <c r="D342" s="462"/>
      <c r="E342" s="462"/>
      <c r="F342" s="462"/>
      <c r="G342" s="942"/>
      <c r="H342" s="462"/>
      <c r="I342" s="462"/>
      <c r="J342" s="462"/>
      <c r="K342" s="462"/>
      <c r="L342" s="462"/>
      <c r="M342" s="462"/>
      <c r="N342" s="912"/>
      <c r="O342" s="462"/>
      <c r="P342" s="462"/>
    </row>
    <row r="343">
      <c r="A343" s="462"/>
      <c r="B343" s="462"/>
      <c r="C343" s="462"/>
      <c r="D343" s="462"/>
      <c r="E343" s="462"/>
      <c r="F343" s="462"/>
      <c r="G343" s="942"/>
      <c r="H343" s="462"/>
      <c r="I343" s="462"/>
      <c r="J343" s="462"/>
      <c r="K343" s="462"/>
      <c r="L343" s="462"/>
      <c r="M343" s="462"/>
      <c r="N343" s="912"/>
      <c r="O343" s="462"/>
      <c r="P343" s="462"/>
    </row>
    <row r="344">
      <c r="A344" s="462"/>
      <c r="B344" s="462"/>
      <c r="C344" s="462"/>
      <c r="D344" s="462"/>
      <c r="E344" s="462"/>
      <c r="F344" s="462"/>
      <c r="G344" s="942"/>
      <c r="H344" s="462"/>
      <c r="I344" s="462"/>
      <c r="J344" s="462"/>
      <c r="K344" s="462"/>
      <c r="L344" s="462"/>
      <c r="M344" s="462"/>
      <c r="N344" s="912"/>
      <c r="O344" s="462"/>
      <c r="P344" s="462"/>
    </row>
    <row r="345">
      <c r="A345" s="462"/>
      <c r="B345" s="462"/>
      <c r="C345" s="462"/>
      <c r="D345" s="462"/>
      <c r="E345" s="462"/>
      <c r="F345" s="462"/>
      <c r="G345" s="942"/>
      <c r="H345" s="462"/>
      <c r="I345" s="462"/>
      <c r="J345" s="462"/>
      <c r="K345" s="462"/>
      <c r="L345" s="462"/>
      <c r="M345" s="462"/>
      <c r="N345" s="912"/>
      <c r="O345" s="462"/>
      <c r="P345" s="462"/>
    </row>
    <row r="346">
      <c r="A346" s="462"/>
      <c r="B346" s="462"/>
      <c r="C346" s="462"/>
      <c r="D346" s="462"/>
      <c r="E346" s="462"/>
      <c r="F346" s="462"/>
      <c r="G346" s="942"/>
      <c r="H346" s="462"/>
      <c r="I346" s="462"/>
      <c r="J346" s="462"/>
      <c r="K346" s="462"/>
      <c r="L346" s="462"/>
      <c r="M346" s="462"/>
      <c r="N346" s="912"/>
      <c r="O346" s="462"/>
      <c r="P346" s="462"/>
    </row>
    <row r="347">
      <c r="A347" s="462"/>
      <c r="B347" s="462"/>
      <c r="C347" s="462"/>
      <c r="D347" s="462"/>
      <c r="E347" s="462"/>
      <c r="F347" s="462"/>
      <c r="G347" s="942"/>
      <c r="H347" s="462"/>
      <c r="I347" s="462"/>
      <c r="J347" s="462"/>
      <c r="K347" s="462"/>
      <c r="L347" s="462"/>
      <c r="M347" s="462"/>
      <c r="N347" s="912"/>
      <c r="O347" s="462"/>
      <c r="P347" s="462"/>
    </row>
    <row r="348">
      <c r="A348" s="462"/>
      <c r="B348" s="462"/>
      <c r="C348" s="462"/>
      <c r="D348" s="462"/>
      <c r="E348" s="462"/>
      <c r="F348" s="462"/>
      <c r="G348" s="942"/>
      <c r="H348" s="462"/>
      <c r="I348" s="462"/>
      <c r="J348" s="462"/>
      <c r="K348" s="462"/>
      <c r="L348" s="462"/>
      <c r="M348" s="462"/>
      <c r="N348" s="912"/>
      <c r="O348" s="462"/>
      <c r="P348" s="462"/>
    </row>
    <row r="349">
      <c r="A349" s="462"/>
      <c r="B349" s="462"/>
      <c r="C349" s="462"/>
      <c r="D349" s="462"/>
      <c r="E349" s="462"/>
      <c r="F349" s="462"/>
      <c r="G349" s="942"/>
      <c r="H349" s="462"/>
      <c r="I349" s="462"/>
      <c r="J349" s="462"/>
      <c r="K349" s="462"/>
      <c r="L349" s="462"/>
      <c r="M349" s="462"/>
      <c r="N349" s="912"/>
      <c r="O349" s="462"/>
      <c r="P349" s="462"/>
    </row>
    <row r="350">
      <c r="A350" s="462"/>
      <c r="B350" s="462"/>
      <c r="C350" s="462"/>
      <c r="D350" s="462"/>
      <c r="E350" s="462"/>
      <c r="F350" s="462"/>
      <c r="G350" s="942"/>
      <c r="H350" s="462"/>
      <c r="I350" s="462"/>
      <c r="J350" s="462"/>
      <c r="K350" s="462"/>
      <c r="L350" s="462"/>
      <c r="M350" s="462"/>
      <c r="N350" s="912"/>
      <c r="O350" s="462"/>
      <c r="P350" s="462"/>
    </row>
    <row r="351">
      <c r="A351" s="462"/>
      <c r="B351" s="462"/>
      <c r="C351" s="462"/>
      <c r="D351" s="462"/>
      <c r="E351" s="462"/>
      <c r="F351" s="462"/>
      <c r="G351" s="942"/>
      <c r="H351" s="462"/>
      <c r="I351" s="462"/>
      <c r="J351" s="462"/>
      <c r="K351" s="462"/>
      <c r="L351" s="462"/>
      <c r="M351" s="462"/>
      <c r="N351" s="912"/>
      <c r="O351" s="462"/>
      <c r="P351" s="462"/>
    </row>
    <row r="352">
      <c r="A352" s="462"/>
      <c r="B352" s="462"/>
      <c r="C352" s="462"/>
      <c r="D352" s="462"/>
      <c r="E352" s="462"/>
      <c r="F352" s="462"/>
      <c r="G352" s="942"/>
      <c r="H352" s="462"/>
      <c r="I352" s="462"/>
      <c r="J352" s="462"/>
      <c r="K352" s="462"/>
      <c r="L352" s="462"/>
      <c r="M352" s="462"/>
      <c r="N352" s="912"/>
      <c r="O352" s="462"/>
      <c r="P352" s="462"/>
    </row>
    <row r="353">
      <c r="A353" s="462"/>
      <c r="B353" s="462"/>
      <c r="C353" s="462"/>
      <c r="D353" s="462"/>
      <c r="E353" s="462"/>
      <c r="F353" s="462"/>
      <c r="G353" s="942"/>
      <c r="H353" s="462"/>
      <c r="I353" s="462"/>
      <c r="J353" s="462"/>
      <c r="K353" s="462"/>
      <c r="L353" s="462"/>
      <c r="M353" s="462"/>
      <c r="N353" s="912"/>
      <c r="O353" s="462"/>
      <c r="P353" s="462"/>
    </row>
    <row r="354">
      <c r="A354" s="462"/>
      <c r="B354" s="462"/>
      <c r="C354" s="462"/>
      <c r="D354" s="462"/>
      <c r="E354" s="462"/>
      <c r="F354" s="462"/>
      <c r="G354" s="942"/>
      <c r="H354" s="462"/>
      <c r="I354" s="462"/>
      <c r="J354" s="462"/>
      <c r="K354" s="462"/>
      <c r="L354" s="462"/>
      <c r="M354" s="462"/>
      <c r="N354" s="912"/>
      <c r="O354" s="462"/>
      <c r="P354" s="462"/>
    </row>
    <row r="355">
      <c r="A355" s="462"/>
      <c r="B355" s="462"/>
      <c r="C355" s="462"/>
      <c r="D355" s="462"/>
      <c r="E355" s="462"/>
      <c r="F355" s="462"/>
      <c r="G355" s="942"/>
      <c r="H355" s="462"/>
      <c r="I355" s="462"/>
      <c r="J355" s="462"/>
      <c r="K355" s="462"/>
      <c r="L355" s="462"/>
      <c r="M355" s="462"/>
      <c r="N355" s="912"/>
      <c r="O355" s="462"/>
      <c r="P355" s="462"/>
    </row>
    <row r="356">
      <c r="A356" s="462"/>
      <c r="B356" s="462"/>
      <c r="C356" s="462"/>
      <c r="D356" s="462"/>
      <c r="E356" s="462"/>
      <c r="F356" s="462"/>
      <c r="G356" s="942"/>
      <c r="H356" s="462"/>
      <c r="I356" s="462"/>
      <c r="J356" s="462"/>
      <c r="K356" s="462"/>
      <c r="L356" s="462"/>
      <c r="M356" s="462"/>
      <c r="N356" s="912"/>
      <c r="O356" s="462"/>
      <c r="P356" s="462"/>
    </row>
    <row r="357">
      <c r="A357" s="462"/>
      <c r="B357" s="462"/>
      <c r="C357" s="462"/>
      <c r="D357" s="462"/>
      <c r="E357" s="462"/>
      <c r="F357" s="462"/>
      <c r="G357" s="942"/>
      <c r="H357" s="462"/>
      <c r="I357" s="462"/>
      <c r="J357" s="462"/>
      <c r="K357" s="462"/>
      <c r="L357" s="462"/>
      <c r="M357" s="462"/>
      <c r="N357" s="912"/>
      <c r="O357" s="462"/>
      <c r="P357" s="462"/>
    </row>
    <row r="358">
      <c r="A358" s="462"/>
      <c r="B358" s="462"/>
      <c r="C358" s="462"/>
      <c r="D358" s="462"/>
      <c r="E358" s="462"/>
      <c r="F358" s="462"/>
      <c r="G358" s="942"/>
      <c r="H358" s="462"/>
      <c r="I358" s="462"/>
      <c r="J358" s="462"/>
      <c r="K358" s="462"/>
      <c r="L358" s="462"/>
      <c r="M358" s="462"/>
      <c r="N358" s="912"/>
      <c r="O358" s="462"/>
      <c r="P358" s="462"/>
    </row>
    <row r="359">
      <c r="A359" s="462"/>
      <c r="B359" s="462"/>
      <c r="C359" s="462"/>
      <c r="D359" s="462"/>
      <c r="E359" s="462"/>
      <c r="F359" s="462"/>
      <c r="G359" s="942"/>
      <c r="H359" s="462"/>
      <c r="I359" s="462"/>
      <c r="J359" s="462"/>
      <c r="K359" s="462"/>
      <c r="L359" s="462"/>
      <c r="M359" s="462"/>
      <c r="N359" s="912"/>
      <c r="O359" s="462"/>
      <c r="P359" s="462"/>
    </row>
    <row r="360">
      <c r="A360" s="462"/>
      <c r="B360" s="462"/>
      <c r="C360" s="462"/>
      <c r="D360" s="462"/>
      <c r="E360" s="462"/>
      <c r="F360" s="462"/>
      <c r="G360" s="942"/>
      <c r="H360" s="462"/>
      <c r="I360" s="462"/>
      <c r="J360" s="462"/>
      <c r="K360" s="462"/>
      <c r="L360" s="462"/>
      <c r="M360" s="462"/>
      <c r="N360" s="912"/>
      <c r="O360" s="462"/>
      <c r="P360" s="462"/>
    </row>
    <row r="361">
      <c r="A361" s="462"/>
      <c r="B361" s="462"/>
      <c r="C361" s="462"/>
      <c r="D361" s="462"/>
      <c r="E361" s="462"/>
      <c r="F361" s="462"/>
      <c r="G361" s="942"/>
      <c r="H361" s="462"/>
      <c r="I361" s="462"/>
      <c r="J361" s="462"/>
      <c r="K361" s="462"/>
      <c r="L361" s="462"/>
      <c r="M361" s="462"/>
      <c r="N361" s="912"/>
      <c r="O361" s="462"/>
      <c r="P361" s="462"/>
    </row>
    <row r="362">
      <c r="A362" s="462"/>
      <c r="B362" s="462"/>
      <c r="C362" s="462"/>
      <c r="D362" s="462"/>
      <c r="E362" s="462"/>
      <c r="F362" s="462"/>
      <c r="G362" s="942"/>
      <c r="H362" s="462"/>
      <c r="I362" s="462"/>
      <c r="J362" s="462"/>
      <c r="K362" s="462"/>
      <c r="L362" s="462"/>
      <c r="M362" s="462"/>
      <c r="N362" s="912"/>
      <c r="O362" s="462"/>
      <c r="P362" s="462"/>
    </row>
    <row r="363">
      <c r="A363" s="462"/>
      <c r="B363" s="462"/>
      <c r="C363" s="462"/>
      <c r="D363" s="462"/>
      <c r="E363" s="462"/>
      <c r="F363" s="462"/>
      <c r="G363" s="942"/>
      <c r="H363" s="462"/>
      <c r="I363" s="462"/>
      <c r="J363" s="462"/>
      <c r="K363" s="462"/>
      <c r="L363" s="462"/>
      <c r="M363" s="462"/>
      <c r="N363" s="912"/>
      <c r="O363" s="462"/>
      <c r="P363" s="462"/>
    </row>
    <row r="364">
      <c r="A364" s="462"/>
      <c r="B364" s="462"/>
      <c r="C364" s="462"/>
      <c r="D364" s="462"/>
      <c r="E364" s="462"/>
      <c r="F364" s="462"/>
      <c r="G364" s="942"/>
      <c r="H364" s="462"/>
      <c r="I364" s="462"/>
      <c r="J364" s="462"/>
      <c r="K364" s="462"/>
      <c r="L364" s="462"/>
      <c r="M364" s="462"/>
      <c r="N364" s="912"/>
      <c r="O364" s="462"/>
      <c r="P364" s="462"/>
    </row>
    <row r="365">
      <c r="A365" s="462"/>
      <c r="B365" s="462"/>
      <c r="C365" s="462"/>
      <c r="D365" s="462"/>
      <c r="E365" s="462"/>
      <c r="F365" s="462"/>
      <c r="G365" s="942"/>
      <c r="H365" s="462"/>
      <c r="I365" s="462"/>
      <c r="J365" s="462"/>
      <c r="K365" s="462"/>
      <c r="L365" s="462"/>
      <c r="M365" s="462"/>
      <c r="N365" s="912"/>
      <c r="O365" s="462"/>
      <c r="P365" s="462"/>
    </row>
    <row r="366">
      <c r="A366" s="462"/>
      <c r="B366" s="462"/>
      <c r="C366" s="462"/>
      <c r="D366" s="462"/>
      <c r="E366" s="462"/>
      <c r="F366" s="462"/>
      <c r="G366" s="942"/>
      <c r="H366" s="462"/>
      <c r="I366" s="462"/>
      <c r="J366" s="462"/>
      <c r="K366" s="462"/>
      <c r="L366" s="462"/>
      <c r="M366" s="462"/>
      <c r="N366" s="912"/>
      <c r="O366" s="462"/>
      <c r="P366" s="462"/>
    </row>
    <row r="367">
      <c r="A367" s="462"/>
      <c r="B367" s="462"/>
      <c r="C367" s="462"/>
      <c r="D367" s="462"/>
      <c r="E367" s="462"/>
      <c r="F367" s="462"/>
      <c r="G367" s="942"/>
      <c r="H367" s="462"/>
      <c r="I367" s="462"/>
      <c r="J367" s="462"/>
      <c r="K367" s="462"/>
      <c r="L367" s="462"/>
      <c r="M367" s="462"/>
      <c r="N367" s="912"/>
      <c r="O367" s="462"/>
      <c r="P367" s="462"/>
    </row>
    <row r="368">
      <c r="A368" s="462"/>
      <c r="B368" s="462"/>
      <c r="C368" s="462"/>
      <c r="D368" s="462"/>
      <c r="E368" s="462"/>
      <c r="F368" s="462"/>
      <c r="G368" s="942"/>
      <c r="H368" s="462"/>
      <c r="I368" s="462"/>
      <c r="J368" s="462"/>
      <c r="K368" s="462"/>
      <c r="L368" s="462"/>
      <c r="M368" s="462"/>
      <c r="N368" s="912"/>
      <c r="O368" s="462"/>
      <c r="P368" s="462"/>
    </row>
    <row r="369">
      <c r="A369" s="462"/>
      <c r="B369" s="462"/>
      <c r="C369" s="462"/>
      <c r="D369" s="462"/>
      <c r="E369" s="462"/>
      <c r="F369" s="462"/>
      <c r="G369" s="942"/>
      <c r="H369" s="462"/>
      <c r="I369" s="462"/>
      <c r="J369" s="462"/>
      <c r="K369" s="462"/>
      <c r="L369" s="462"/>
      <c r="M369" s="462"/>
      <c r="N369" s="912"/>
      <c r="O369" s="462"/>
      <c r="P369" s="462"/>
    </row>
    <row r="370">
      <c r="A370" s="462"/>
      <c r="B370" s="462"/>
      <c r="C370" s="462"/>
      <c r="D370" s="462"/>
      <c r="E370" s="462"/>
      <c r="F370" s="462"/>
      <c r="G370" s="942"/>
      <c r="H370" s="462"/>
      <c r="I370" s="462"/>
      <c r="J370" s="462"/>
      <c r="K370" s="462"/>
      <c r="L370" s="462"/>
      <c r="M370" s="462"/>
      <c r="N370" s="912"/>
      <c r="O370" s="462"/>
      <c r="P370" s="462"/>
    </row>
    <row r="371">
      <c r="A371" s="462"/>
      <c r="B371" s="462"/>
      <c r="C371" s="462"/>
      <c r="D371" s="462"/>
      <c r="E371" s="462"/>
      <c r="F371" s="462"/>
      <c r="G371" s="942"/>
      <c r="H371" s="462"/>
      <c r="I371" s="462"/>
      <c r="J371" s="462"/>
      <c r="K371" s="462"/>
      <c r="L371" s="462"/>
      <c r="M371" s="462"/>
      <c r="N371" s="912"/>
      <c r="O371" s="462"/>
      <c r="P371" s="462"/>
    </row>
    <row r="372">
      <c r="A372" s="462"/>
      <c r="B372" s="462"/>
      <c r="C372" s="462"/>
      <c r="D372" s="462"/>
      <c r="E372" s="462"/>
      <c r="F372" s="462"/>
      <c r="G372" s="942"/>
      <c r="H372" s="462"/>
      <c r="I372" s="462"/>
      <c r="J372" s="462"/>
      <c r="K372" s="462"/>
      <c r="L372" s="462"/>
      <c r="M372" s="462"/>
      <c r="N372" s="912"/>
      <c r="O372" s="462"/>
      <c r="P372" s="462"/>
    </row>
    <row r="373">
      <c r="A373" s="462"/>
      <c r="B373" s="462"/>
      <c r="C373" s="462"/>
      <c r="D373" s="462"/>
      <c r="E373" s="462"/>
      <c r="F373" s="462"/>
      <c r="G373" s="942"/>
      <c r="H373" s="462"/>
      <c r="I373" s="462"/>
      <c r="J373" s="462"/>
      <c r="K373" s="462"/>
      <c r="L373" s="462"/>
      <c r="M373" s="462"/>
      <c r="N373" s="912"/>
      <c r="O373" s="462"/>
      <c r="P373" s="462"/>
    </row>
    <row r="374">
      <c r="A374" s="462"/>
      <c r="B374" s="462"/>
      <c r="C374" s="462"/>
      <c r="D374" s="462"/>
      <c r="E374" s="462"/>
      <c r="F374" s="462"/>
      <c r="G374" s="942"/>
      <c r="H374" s="462"/>
      <c r="I374" s="462"/>
      <c r="J374" s="462"/>
      <c r="K374" s="462"/>
      <c r="L374" s="462"/>
      <c r="M374" s="462"/>
      <c r="N374" s="912"/>
      <c r="O374" s="462"/>
      <c r="P374" s="462"/>
    </row>
    <row r="375">
      <c r="A375" s="462"/>
      <c r="B375" s="462"/>
      <c r="C375" s="462"/>
      <c r="D375" s="462"/>
      <c r="E375" s="462"/>
      <c r="F375" s="462"/>
      <c r="G375" s="942"/>
      <c r="H375" s="462"/>
      <c r="I375" s="462"/>
      <c r="J375" s="462"/>
      <c r="K375" s="462"/>
      <c r="L375" s="462"/>
      <c r="M375" s="462"/>
      <c r="N375" s="912"/>
      <c r="O375" s="462"/>
      <c r="P375" s="462"/>
    </row>
    <row r="376">
      <c r="A376" s="462"/>
      <c r="B376" s="462"/>
      <c r="C376" s="462"/>
      <c r="D376" s="462"/>
      <c r="E376" s="462"/>
      <c r="F376" s="462"/>
      <c r="G376" s="942"/>
      <c r="H376" s="462"/>
      <c r="I376" s="462"/>
      <c r="J376" s="462"/>
      <c r="K376" s="462"/>
      <c r="L376" s="462"/>
      <c r="M376" s="462"/>
      <c r="N376" s="912"/>
      <c r="O376" s="462"/>
      <c r="P376" s="462"/>
    </row>
    <row r="377">
      <c r="A377" s="462"/>
      <c r="B377" s="462"/>
      <c r="C377" s="462"/>
      <c r="D377" s="462"/>
      <c r="E377" s="462"/>
      <c r="F377" s="462"/>
      <c r="G377" s="942"/>
      <c r="H377" s="462"/>
      <c r="I377" s="462"/>
      <c r="J377" s="462"/>
      <c r="K377" s="462"/>
      <c r="L377" s="462"/>
      <c r="M377" s="462"/>
      <c r="N377" s="912"/>
      <c r="O377" s="462"/>
      <c r="P377" s="462"/>
    </row>
    <row r="378">
      <c r="A378" s="462"/>
      <c r="B378" s="462"/>
      <c r="C378" s="462"/>
      <c r="D378" s="462"/>
      <c r="E378" s="462"/>
      <c r="F378" s="462"/>
      <c r="G378" s="942"/>
      <c r="H378" s="462"/>
      <c r="I378" s="462"/>
      <c r="J378" s="462"/>
      <c r="K378" s="462"/>
      <c r="L378" s="462"/>
      <c r="M378" s="462"/>
      <c r="N378" s="912"/>
      <c r="O378" s="462"/>
      <c r="P378" s="462"/>
    </row>
    <row r="379">
      <c r="A379" s="462"/>
      <c r="B379" s="462"/>
      <c r="C379" s="462"/>
      <c r="D379" s="462"/>
      <c r="E379" s="462"/>
      <c r="F379" s="462"/>
      <c r="G379" s="942"/>
      <c r="H379" s="462"/>
      <c r="I379" s="462"/>
      <c r="J379" s="462"/>
      <c r="K379" s="462"/>
      <c r="L379" s="462"/>
      <c r="M379" s="462"/>
      <c r="N379" s="912"/>
      <c r="O379" s="462"/>
      <c r="P379" s="462"/>
    </row>
    <row r="380">
      <c r="A380" s="462"/>
      <c r="B380" s="462"/>
      <c r="C380" s="462"/>
      <c r="D380" s="462"/>
      <c r="E380" s="462"/>
      <c r="F380" s="462"/>
      <c r="G380" s="942"/>
      <c r="H380" s="462"/>
      <c r="I380" s="462"/>
      <c r="J380" s="462"/>
      <c r="K380" s="462"/>
      <c r="L380" s="462"/>
      <c r="M380" s="462"/>
      <c r="N380" s="912"/>
      <c r="O380" s="462"/>
      <c r="P380" s="462"/>
    </row>
    <row r="381">
      <c r="A381" s="462"/>
      <c r="B381" s="462"/>
      <c r="C381" s="462"/>
      <c r="D381" s="462"/>
      <c r="E381" s="462"/>
      <c r="F381" s="462"/>
      <c r="G381" s="942"/>
      <c r="H381" s="462"/>
      <c r="I381" s="462"/>
      <c r="J381" s="462"/>
      <c r="K381" s="462"/>
      <c r="L381" s="462"/>
      <c r="M381" s="462"/>
      <c r="N381" s="912"/>
      <c r="O381" s="462"/>
      <c r="P381" s="462"/>
    </row>
    <row r="382">
      <c r="A382" s="462"/>
      <c r="B382" s="462"/>
      <c r="C382" s="462"/>
      <c r="D382" s="462"/>
      <c r="E382" s="462"/>
      <c r="F382" s="462"/>
      <c r="G382" s="942"/>
      <c r="H382" s="462"/>
      <c r="I382" s="462"/>
      <c r="J382" s="462"/>
      <c r="K382" s="462"/>
      <c r="L382" s="462"/>
      <c r="M382" s="462"/>
      <c r="N382" s="912"/>
      <c r="O382" s="462"/>
      <c r="P382" s="462"/>
    </row>
    <row r="383">
      <c r="A383" s="462"/>
      <c r="B383" s="462"/>
      <c r="C383" s="462"/>
      <c r="D383" s="462"/>
      <c r="E383" s="462"/>
      <c r="F383" s="462"/>
      <c r="G383" s="942"/>
      <c r="H383" s="462"/>
      <c r="I383" s="462"/>
      <c r="J383" s="462"/>
      <c r="K383" s="462"/>
      <c r="L383" s="462"/>
      <c r="M383" s="462"/>
      <c r="N383" s="912"/>
      <c r="O383" s="462"/>
      <c r="P383" s="462"/>
    </row>
    <row r="384">
      <c r="A384" s="462"/>
      <c r="B384" s="462"/>
      <c r="C384" s="462"/>
      <c r="D384" s="462"/>
      <c r="E384" s="462"/>
      <c r="F384" s="462"/>
      <c r="G384" s="942"/>
      <c r="H384" s="462"/>
      <c r="I384" s="462"/>
      <c r="J384" s="462"/>
      <c r="K384" s="462"/>
      <c r="L384" s="462"/>
      <c r="M384" s="462"/>
      <c r="N384" s="912"/>
      <c r="O384" s="462"/>
      <c r="P384" s="462"/>
    </row>
    <row r="385">
      <c r="A385" s="462"/>
      <c r="B385" s="462"/>
      <c r="C385" s="462"/>
      <c r="D385" s="462"/>
      <c r="E385" s="462"/>
      <c r="F385" s="462"/>
      <c r="G385" s="942"/>
      <c r="H385" s="462"/>
      <c r="I385" s="462"/>
      <c r="J385" s="462"/>
      <c r="K385" s="462"/>
      <c r="L385" s="462"/>
      <c r="M385" s="462"/>
      <c r="N385" s="912"/>
      <c r="O385" s="462"/>
      <c r="P385" s="462"/>
    </row>
    <row r="386">
      <c r="A386" s="462"/>
      <c r="B386" s="462"/>
      <c r="C386" s="462"/>
      <c r="D386" s="462"/>
      <c r="E386" s="462"/>
      <c r="F386" s="462"/>
      <c r="G386" s="942"/>
      <c r="H386" s="462"/>
      <c r="I386" s="462"/>
      <c r="J386" s="462"/>
      <c r="K386" s="462"/>
      <c r="L386" s="462"/>
      <c r="M386" s="462"/>
      <c r="N386" s="912"/>
      <c r="O386" s="462"/>
      <c r="P386" s="462"/>
    </row>
    <row r="387">
      <c r="A387" s="462"/>
      <c r="B387" s="462"/>
      <c r="C387" s="462"/>
      <c r="D387" s="462"/>
      <c r="E387" s="462"/>
      <c r="F387" s="462"/>
      <c r="G387" s="942"/>
      <c r="H387" s="462"/>
      <c r="I387" s="462"/>
      <c r="J387" s="462"/>
      <c r="K387" s="462"/>
      <c r="L387" s="462"/>
      <c r="M387" s="462"/>
      <c r="N387" s="912"/>
      <c r="O387" s="462"/>
      <c r="P387" s="462"/>
    </row>
    <row r="388">
      <c r="A388" s="462"/>
      <c r="B388" s="462"/>
      <c r="C388" s="462"/>
      <c r="D388" s="462"/>
      <c r="E388" s="462"/>
      <c r="F388" s="462"/>
      <c r="G388" s="942"/>
      <c r="H388" s="462"/>
      <c r="I388" s="462"/>
      <c r="J388" s="462"/>
      <c r="K388" s="462"/>
      <c r="L388" s="462"/>
      <c r="M388" s="462"/>
      <c r="N388" s="912"/>
      <c r="O388" s="462"/>
      <c r="P388" s="462"/>
    </row>
    <row r="389">
      <c r="A389" s="462"/>
      <c r="B389" s="462"/>
      <c r="C389" s="462"/>
      <c r="D389" s="462"/>
      <c r="E389" s="462"/>
      <c r="F389" s="462"/>
      <c r="G389" s="942"/>
      <c r="H389" s="462"/>
      <c r="I389" s="462"/>
      <c r="J389" s="462"/>
      <c r="K389" s="462"/>
      <c r="L389" s="462"/>
      <c r="M389" s="462"/>
      <c r="N389" s="912"/>
      <c r="O389" s="462"/>
      <c r="P389" s="462"/>
    </row>
    <row r="390">
      <c r="A390" s="462"/>
      <c r="B390" s="462"/>
      <c r="C390" s="462"/>
      <c r="D390" s="462"/>
      <c r="E390" s="462"/>
      <c r="F390" s="462"/>
      <c r="G390" s="942"/>
      <c r="H390" s="462"/>
      <c r="I390" s="462"/>
      <c r="J390" s="462"/>
      <c r="K390" s="462"/>
      <c r="L390" s="462"/>
      <c r="M390" s="462"/>
      <c r="N390" s="912"/>
      <c r="O390" s="462"/>
      <c r="P390" s="462"/>
    </row>
    <row r="391">
      <c r="A391" s="462"/>
      <c r="B391" s="462"/>
      <c r="C391" s="462"/>
      <c r="D391" s="462"/>
      <c r="E391" s="462"/>
      <c r="F391" s="462"/>
      <c r="G391" s="942"/>
      <c r="H391" s="462"/>
      <c r="I391" s="462"/>
      <c r="J391" s="462"/>
      <c r="K391" s="462"/>
      <c r="L391" s="462"/>
      <c r="M391" s="462"/>
      <c r="N391" s="912"/>
      <c r="O391" s="462"/>
      <c r="P391" s="462"/>
    </row>
    <row r="392">
      <c r="A392" s="462"/>
      <c r="B392" s="462"/>
      <c r="C392" s="462"/>
      <c r="D392" s="462"/>
      <c r="E392" s="462"/>
      <c r="F392" s="462"/>
      <c r="G392" s="942"/>
      <c r="H392" s="462"/>
      <c r="I392" s="462"/>
      <c r="J392" s="462"/>
      <c r="K392" s="462"/>
      <c r="L392" s="462"/>
      <c r="M392" s="462"/>
      <c r="N392" s="912"/>
      <c r="O392" s="462"/>
      <c r="P392" s="462"/>
    </row>
    <row r="393">
      <c r="A393" s="462"/>
      <c r="B393" s="462"/>
      <c r="C393" s="462"/>
      <c r="D393" s="462"/>
      <c r="E393" s="462"/>
      <c r="F393" s="462"/>
      <c r="G393" s="942"/>
      <c r="H393" s="462"/>
      <c r="I393" s="462"/>
      <c r="J393" s="462"/>
      <c r="K393" s="462"/>
      <c r="L393" s="462"/>
      <c r="M393" s="462"/>
      <c r="N393" s="912"/>
      <c r="O393" s="462"/>
      <c r="P393" s="462"/>
    </row>
    <row r="394">
      <c r="A394" s="462"/>
      <c r="B394" s="462"/>
      <c r="C394" s="462"/>
      <c r="D394" s="462"/>
      <c r="E394" s="462"/>
      <c r="F394" s="462"/>
      <c r="G394" s="942"/>
      <c r="H394" s="462"/>
      <c r="I394" s="462"/>
      <c r="J394" s="462"/>
      <c r="K394" s="462"/>
      <c r="L394" s="462"/>
      <c r="M394" s="462"/>
      <c r="N394" s="912"/>
      <c r="O394" s="462"/>
      <c r="P394" s="462"/>
    </row>
    <row r="395">
      <c r="A395" s="462"/>
      <c r="B395" s="462"/>
      <c r="C395" s="462"/>
      <c r="D395" s="462"/>
      <c r="E395" s="462"/>
      <c r="F395" s="462"/>
      <c r="G395" s="942"/>
      <c r="H395" s="462"/>
      <c r="I395" s="462"/>
      <c r="J395" s="462"/>
      <c r="K395" s="462"/>
      <c r="L395" s="462"/>
      <c r="M395" s="462"/>
      <c r="N395" s="912"/>
      <c r="O395" s="462"/>
      <c r="P395" s="462"/>
    </row>
    <row r="396">
      <c r="A396" s="462"/>
      <c r="B396" s="462"/>
      <c r="C396" s="462"/>
      <c r="D396" s="462"/>
      <c r="E396" s="462"/>
      <c r="F396" s="462"/>
      <c r="G396" s="942"/>
      <c r="H396" s="462"/>
      <c r="I396" s="462"/>
      <c r="J396" s="462"/>
      <c r="K396" s="462"/>
      <c r="L396" s="462"/>
      <c r="M396" s="462"/>
      <c r="N396" s="912"/>
      <c r="O396" s="462"/>
      <c r="P396" s="462"/>
    </row>
    <row r="397">
      <c r="A397" s="462"/>
      <c r="B397" s="462"/>
      <c r="C397" s="462"/>
      <c r="D397" s="462"/>
      <c r="E397" s="462"/>
      <c r="F397" s="462"/>
      <c r="G397" s="942"/>
      <c r="H397" s="462"/>
      <c r="I397" s="462"/>
      <c r="J397" s="462"/>
      <c r="K397" s="462"/>
      <c r="L397" s="462"/>
      <c r="M397" s="462"/>
      <c r="N397" s="912"/>
      <c r="O397" s="462"/>
      <c r="P397" s="462"/>
    </row>
    <row r="398">
      <c r="A398" s="462"/>
      <c r="B398" s="462"/>
      <c r="C398" s="462"/>
      <c r="D398" s="462"/>
      <c r="E398" s="462"/>
      <c r="F398" s="462"/>
      <c r="G398" s="942"/>
      <c r="H398" s="462"/>
      <c r="I398" s="462"/>
      <c r="J398" s="462"/>
      <c r="K398" s="462"/>
      <c r="L398" s="462"/>
      <c r="M398" s="462"/>
      <c r="N398" s="912"/>
      <c r="O398" s="462"/>
      <c r="P398" s="462"/>
    </row>
    <row r="399">
      <c r="A399" s="462"/>
      <c r="B399" s="462"/>
      <c r="C399" s="462"/>
      <c r="D399" s="462"/>
      <c r="E399" s="462"/>
      <c r="F399" s="462"/>
      <c r="G399" s="942"/>
      <c r="H399" s="462"/>
      <c r="I399" s="462"/>
      <c r="J399" s="462"/>
      <c r="K399" s="462"/>
      <c r="L399" s="462"/>
      <c r="M399" s="462"/>
      <c r="N399" s="912"/>
      <c r="O399" s="462"/>
      <c r="P399" s="462"/>
    </row>
    <row r="400">
      <c r="A400" s="462"/>
      <c r="B400" s="462"/>
      <c r="C400" s="462"/>
      <c r="D400" s="462"/>
      <c r="E400" s="462"/>
      <c r="F400" s="462"/>
      <c r="G400" s="942"/>
      <c r="H400" s="462"/>
      <c r="I400" s="462"/>
      <c r="J400" s="462"/>
      <c r="K400" s="462"/>
      <c r="L400" s="462"/>
      <c r="M400" s="462"/>
      <c r="N400" s="912"/>
      <c r="O400" s="462"/>
      <c r="P400" s="462"/>
    </row>
    <row r="401">
      <c r="A401" s="462"/>
      <c r="B401" s="462"/>
      <c r="C401" s="462"/>
      <c r="D401" s="462"/>
      <c r="E401" s="462"/>
      <c r="F401" s="462"/>
      <c r="G401" s="942"/>
      <c r="H401" s="462"/>
      <c r="I401" s="462"/>
      <c r="J401" s="462"/>
      <c r="K401" s="462"/>
      <c r="L401" s="462"/>
      <c r="M401" s="462"/>
      <c r="N401" s="912"/>
      <c r="O401" s="462"/>
      <c r="P401" s="462"/>
    </row>
    <row r="402">
      <c r="A402" s="462"/>
      <c r="B402" s="462"/>
      <c r="C402" s="462"/>
      <c r="D402" s="462"/>
      <c r="E402" s="462"/>
      <c r="F402" s="462"/>
      <c r="G402" s="942"/>
      <c r="H402" s="462"/>
      <c r="I402" s="462"/>
      <c r="J402" s="462"/>
      <c r="K402" s="462"/>
      <c r="L402" s="462"/>
      <c r="M402" s="462"/>
      <c r="N402" s="912"/>
      <c r="O402" s="462"/>
      <c r="P402" s="462"/>
    </row>
    <row r="403">
      <c r="A403" s="462"/>
      <c r="B403" s="462"/>
      <c r="C403" s="462"/>
      <c r="D403" s="462"/>
      <c r="E403" s="462"/>
      <c r="F403" s="462"/>
      <c r="G403" s="942"/>
      <c r="H403" s="462"/>
      <c r="I403" s="462"/>
      <c r="J403" s="462"/>
      <c r="K403" s="462"/>
      <c r="L403" s="462"/>
      <c r="M403" s="462"/>
      <c r="N403" s="912"/>
      <c r="O403" s="462"/>
      <c r="P403" s="462"/>
    </row>
    <row r="404">
      <c r="A404" s="462"/>
      <c r="B404" s="462"/>
      <c r="C404" s="462"/>
      <c r="D404" s="462"/>
      <c r="E404" s="462"/>
      <c r="F404" s="462"/>
      <c r="G404" s="942"/>
      <c r="H404" s="462"/>
      <c r="I404" s="462"/>
      <c r="J404" s="462"/>
      <c r="K404" s="462"/>
      <c r="L404" s="462"/>
      <c r="M404" s="462"/>
      <c r="N404" s="912"/>
      <c r="O404" s="462"/>
      <c r="P404" s="462"/>
    </row>
    <row r="405">
      <c r="A405" s="462"/>
      <c r="B405" s="462"/>
      <c r="C405" s="462"/>
      <c r="D405" s="462"/>
      <c r="E405" s="462"/>
      <c r="F405" s="462"/>
      <c r="G405" s="942"/>
      <c r="H405" s="462"/>
      <c r="I405" s="462"/>
      <c r="J405" s="462"/>
      <c r="K405" s="462"/>
      <c r="L405" s="462"/>
      <c r="M405" s="462"/>
      <c r="N405" s="912"/>
      <c r="O405" s="462"/>
      <c r="P405" s="462"/>
    </row>
    <row r="406">
      <c r="A406" s="462"/>
      <c r="B406" s="462"/>
      <c r="C406" s="462"/>
      <c r="D406" s="462"/>
      <c r="E406" s="462"/>
      <c r="F406" s="462"/>
      <c r="G406" s="942"/>
      <c r="H406" s="462"/>
      <c r="I406" s="462"/>
      <c r="J406" s="462"/>
      <c r="K406" s="462"/>
      <c r="L406" s="462"/>
      <c r="M406" s="462"/>
      <c r="N406" s="912"/>
      <c r="O406" s="462"/>
      <c r="P406" s="462"/>
    </row>
    <row r="407">
      <c r="A407" s="462"/>
      <c r="B407" s="462"/>
      <c r="C407" s="462"/>
      <c r="D407" s="462"/>
      <c r="E407" s="462"/>
      <c r="F407" s="462"/>
      <c r="G407" s="942"/>
      <c r="H407" s="462"/>
      <c r="I407" s="462"/>
      <c r="J407" s="462"/>
      <c r="K407" s="462"/>
      <c r="L407" s="462"/>
      <c r="M407" s="462"/>
      <c r="N407" s="912"/>
      <c r="O407" s="462"/>
      <c r="P407" s="462"/>
    </row>
    <row r="408">
      <c r="A408" s="462"/>
      <c r="B408" s="462"/>
      <c r="C408" s="462"/>
      <c r="D408" s="462"/>
      <c r="E408" s="462"/>
      <c r="F408" s="462"/>
      <c r="G408" s="942"/>
      <c r="H408" s="462"/>
      <c r="I408" s="462"/>
      <c r="J408" s="462"/>
      <c r="K408" s="462"/>
      <c r="L408" s="462"/>
      <c r="M408" s="462"/>
      <c r="N408" s="912"/>
      <c r="O408" s="462"/>
      <c r="P408" s="462"/>
    </row>
    <row r="409">
      <c r="A409" s="462"/>
      <c r="B409" s="462"/>
      <c r="C409" s="462"/>
      <c r="D409" s="462"/>
      <c r="E409" s="462"/>
      <c r="F409" s="462"/>
      <c r="G409" s="942"/>
      <c r="H409" s="462"/>
      <c r="I409" s="462"/>
      <c r="J409" s="462"/>
      <c r="K409" s="462"/>
      <c r="L409" s="462"/>
      <c r="M409" s="462"/>
      <c r="N409" s="912"/>
      <c r="O409" s="462"/>
      <c r="P409" s="462"/>
    </row>
    <row r="410">
      <c r="A410" s="462"/>
      <c r="B410" s="462"/>
      <c r="C410" s="462"/>
      <c r="D410" s="462"/>
      <c r="E410" s="462"/>
      <c r="F410" s="462"/>
      <c r="G410" s="942"/>
      <c r="H410" s="462"/>
      <c r="I410" s="462"/>
      <c r="J410" s="462"/>
      <c r="K410" s="462"/>
      <c r="L410" s="462"/>
      <c r="M410" s="462"/>
      <c r="N410" s="912"/>
      <c r="O410" s="462"/>
      <c r="P410" s="462"/>
    </row>
    <row r="411">
      <c r="A411" s="462"/>
      <c r="B411" s="462"/>
      <c r="C411" s="462"/>
      <c r="D411" s="462"/>
      <c r="E411" s="462"/>
      <c r="F411" s="462"/>
      <c r="G411" s="942"/>
      <c r="H411" s="462"/>
      <c r="I411" s="462"/>
      <c r="J411" s="462"/>
      <c r="K411" s="462"/>
      <c r="L411" s="462"/>
      <c r="M411" s="462"/>
      <c r="N411" s="912"/>
      <c r="O411" s="462"/>
      <c r="P411" s="462"/>
    </row>
    <row r="412">
      <c r="A412" s="462"/>
      <c r="B412" s="462"/>
      <c r="C412" s="462"/>
      <c r="D412" s="462"/>
      <c r="E412" s="462"/>
      <c r="F412" s="462"/>
      <c r="G412" s="942"/>
      <c r="H412" s="462"/>
      <c r="I412" s="462"/>
      <c r="J412" s="462"/>
      <c r="K412" s="462"/>
      <c r="L412" s="462"/>
      <c r="M412" s="462"/>
      <c r="N412" s="912"/>
      <c r="O412" s="462"/>
      <c r="P412" s="462"/>
    </row>
    <row r="413">
      <c r="A413" s="462"/>
      <c r="B413" s="462"/>
      <c r="C413" s="462"/>
      <c r="D413" s="462"/>
      <c r="E413" s="462"/>
      <c r="F413" s="462"/>
      <c r="G413" s="942"/>
      <c r="H413" s="462"/>
      <c r="I413" s="462"/>
      <c r="J413" s="462"/>
      <c r="K413" s="462"/>
      <c r="L413" s="462"/>
      <c r="M413" s="462"/>
      <c r="N413" s="912"/>
      <c r="O413" s="462"/>
      <c r="P413" s="462"/>
    </row>
    <row r="414">
      <c r="A414" s="462"/>
      <c r="B414" s="462"/>
      <c r="C414" s="462"/>
      <c r="D414" s="462"/>
      <c r="E414" s="462"/>
      <c r="F414" s="462"/>
      <c r="G414" s="942"/>
      <c r="H414" s="462"/>
      <c r="I414" s="462"/>
      <c r="J414" s="462"/>
      <c r="K414" s="462"/>
      <c r="L414" s="462"/>
      <c r="M414" s="462"/>
      <c r="N414" s="912"/>
      <c r="O414" s="462"/>
      <c r="P414" s="462"/>
    </row>
    <row r="415">
      <c r="A415" s="462"/>
      <c r="B415" s="462"/>
      <c r="C415" s="462"/>
      <c r="D415" s="462"/>
      <c r="E415" s="462"/>
      <c r="F415" s="462"/>
      <c r="G415" s="942"/>
      <c r="H415" s="462"/>
      <c r="I415" s="462"/>
      <c r="J415" s="462"/>
      <c r="K415" s="462"/>
      <c r="L415" s="462"/>
      <c r="M415" s="462"/>
      <c r="N415" s="912"/>
      <c r="O415" s="462"/>
      <c r="P415" s="462"/>
    </row>
    <row r="416">
      <c r="A416" s="462"/>
      <c r="B416" s="462"/>
      <c r="C416" s="462"/>
      <c r="D416" s="462"/>
      <c r="E416" s="462"/>
      <c r="F416" s="462"/>
      <c r="G416" s="942"/>
      <c r="H416" s="462"/>
      <c r="I416" s="462"/>
      <c r="J416" s="462"/>
      <c r="K416" s="462"/>
      <c r="L416" s="462"/>
      <c r="M416" s="462"/>
      <c r="N416" s="912"/>
      <c r="O416" s="462"/>
      <c r="P416" s="462"/>
    </row>
    <row r="417">
      <c r="A417" s="462"/>
      <c r="B417" s="462"/>
      <c r="C417" s="462"/>
      <c r="D417" s="462"/>
      <c r="E417" s="462"/>
      <c r="F417" s="462"/>
      <c r="G417" s="942"/>
      <c r="H417" s="462"/>
      <c r="I417" s="462"/>
      <c r="J417" s="462"/>
      <c r="K417" s="462"/>
      <c r="L417" s="462"/>
      <c r="M417" s="462"/>
      <c r="N417" s="912"/>
      <c r="O417" s="462"/>
      <c r="P417" s="462"/>
    </row>
    <row r="418">
      <c r="A418" s="462"/>
      <c r="B418" s="462"/>
      <c r="C418" s="462"/>
      <c r="D418" s="462"/>
      <c r="E418" s="462"/>
      <c r="F418" s="462"/>
      <c r="G418" s="942"/>
      <c r="H418" s="462"/>
      <c r="I418" s="462"/>
      <c r="J418" s="462"/>
      <c r="K418" s="462"/>
      <c r="L418" s="462"/>
      <c r="M418" s="462"/>
      <c r="N418" s="912"/>
      <c r="O418" s="462"/>
      <c r="P418" s="462"/>
    </row>
    <row r="419">
      <c r="A419" s="462"/>
      <c r="B419" s="462"/>
      <c r="C419" s="462"/>
      <c r="D419" s="462"/>
      <c r="E419" s="462"/>
      <c r="F419" s="462"/>
      <c r="G419" s="942"/>
      <c r="H419" s="462"/>
      <c r="I419" s="462"/>
      <c r="J419" s="462"/>
      <c r="K419" s="462"/>
      <c r="L419" s="462"/>
      <c r="M419" s="462"/>
      <c r="N419" s="912"/>
      <c r="O419" s="462"/>
      <c r="P419" s="462"/>
    </row>
    <row r="420">
      <c r="A420" s="462"/>
      <c r="B420" s="462"/>
      <c r="C420" s="462"/>
      <c r="D420" s="462"/>
      <c r="E420" s="462"/>
      <c r="F420" s="462"/>
      <c r="G420" s="942"/>
      <c r="H420" s="462"/>
      <c r="I420" s="462"/>
      <c r="J420" s="462"/>
      <c r="K420" s="462"/>
      <c r="L420" s="462"/>
      <c r="M420" s="462"/>
      <c r="N420" s="912"/>
      <c r="O420" s="462"/>
      <c r="P420" s="462"/>
    </row>
    <row r="421">
      <c r="A421" s="462"/>
      <c r="B421" s="462"/>
      <c r="C421" s="462"/>
      <c r="D421" s="462"/>
      <c r="E421" s="462"/>
      <c r="F421" s="462"/>
      <c r="G421" s="942"/>
      <c r="H421" s="462"/>
      <c r="I421" s="462"/>
      <c r="J421" s="462"/>
      <c r="K421" s="462"/>
      <c r="L421" s="462"/>
      <c r="M421" s="462"/>
      <c r="N421" s="912"/>
      <c r="O421" s="462"/>
      <c r="P421" s="462"/>
    </row>
    <row r="422">
      <c r="A422" s="462"/>
      <c r="B422" s="462"/>
      <c r="C422" s="462"/>
      <c r="D422" s="462"/>
      <c r="E422" s="462"/>
      <c r="F422" s="462"/>
      <c r="G422" s="942"/>
      <c r="H422" s="462"/>
      <c r="I422" s="462"/>
      <c r="J422" s="462"/>
      <c r="K422" s="462"/>
      <c r="L422" s="462"/>
      <c r="M422" s="462"/>
      <c r="N422" s="912"/>
      <c r="O422" s="462"/>
      <c r="P422" s="462"/>
    </row>
    <row r="423">
      <c r="A423" s="462"/>
      <c r="B423" s="462"/>
      <c r="C423" s="462"/>
      <c r="D423" s="462"/>
      <c r="E423" s="462"/>
      <c r="F423" s="462"/>
      <c r="G423" s="942"/>
      <c r="H423" s="462"/>
      <c r="I423" s="462"/>
      <c r="J423" s="462"/>
      <c r="K423" s="462"/>
      <c r="L423" s="462"/>
      <c r="M423" s="462"/>
      <c r="N423" s="912"/>
      <c r="O423" s="462"/>
      <c r="P423" s="462"/>
    </row>
    <row r="424">
      <c r="A424" s="462"/>
      <c r="B424" s="462"/>
      <c r="C424" s="462"/>
      <c r="D424" s="462"/>
      <c r="E424" s="462"/>
      <c r="F424" s="462"/>
      <c r="G424" s="942"/>
      <c r="H424" s="462"/>
      <c r="I424" s="462"/>
      <c r="J424" s="462"/>
      <c r="K424" s="462"/>
      <c r="L424" s="462"/>
      <c r="M424" s="462"/>
      <c r="N424" s="912"/>
      <c r="O424" s="462"/>
      <c r="P424" s="462"/>
    </row>
    <row r="425">
      <c r="A425" s="462"/>
      <c r="B425" s="462"/>
      <c r="C425" s="462"/>
      <c r="D425" s="462"/>
      <c r="E425" s="462"/>
      <c r="F425" s="462"/>
      <c r="G425" s="942"/>
      <c r="H425" s="462"/>
      <c r="I425" s="462"/>
      <c r="J425" s="462"/>
      <c r="K425" s="462"/>
      <c r="L425" s="462"/>
      <c r="M425" s="462"/>
      <c r="N425" s="912"/>
      <c r="O425" s="462"/>
      <c r="P425" s="462"/>
    </row>
    <row r="426">
      <c r="A426" s="462"/>
      <c r="B426" s="462"/>
      <c r="C426" s="462"/>
      <c r="D426" s="462"/>
      <c r="E426" s="462"/>
      <c r="F426" s="462"/>
      <c r="G426" s="942"/>
      <c r="H426" s="462"/>
      <c r="I426" s="462"/>
      <c r="J426" s="462"/>
      <c r="K426" s="462"/>
      <c r="L426" s="462"/>
      <c r="M426" s="462"/>
      <c r="N426" s="912"/>
      <c r="O426" s="462"/>
      <c r="P426" s="462"/>
    </row>
    <row r="427">
      <c r="A427" s="462"/>
      <c r="B427" s="462"/>
      <c r="C427" s="462"/>
      <c r="D427" s="462"/>
      <c r="E427" s="462"/>
      <c r="F427" s="462"/>
      <c r="G427" s="942"/>
      <c r="H427" s="462"/>
      <c r="I427" s="462"/>
      <c r="J427" s="462"/>
      <c r="K427" s="462"/>
      <c r="L427" s="462"/>
      <c r="M427" s="462"/>
      <c r="N427" s="912"/>
      <c r="O427" s="462"/>
      <c r="P427" s="462"/>
    </row>
    <row r="428">
      <c r="A428" s="462"/>
      <c r="B428" s="462"/>
      <c r="C428" s="462"/>
      <c r="D428" s="462"/>
      <c r="E428" s="462"/>
      <c r="F428" s="462"/>
      <c r="G428" s="942"/>
      <c r="H428" s="462"/>
      <c r="I428" s="462"/>
      <c r="J428" s="462"/>
      <c r="K428" s="462"/>
      <c r="L428" s="462"/>
      <c r="M428" s="462"/>
      <c r="N428" s="912"/>
      <c r="O428" s="462"/>
      <c r="P428" s="462"/>
    </row>
    <row r="429">
      <c r="A429" s="462"/>
      <c r="B429" s="462"/>
      <c r="C429" s="462"/>
      <c r="D429" s="462"/>
      <c r="E429" s="462"/>
      <c r="F429" s="462"/>
      <c r="G429" s="942"/>
      <c r="H429" s="462"/>
      <c r="I429" s="462"/>
      <c r="J429" s="462"/>
      <c r="K429" s="462"/>
      <c r="L429" s="462"/>
      <c r="M429" s="462"/>
      <c r="N429" s="912"/>
      <c r="O429" s="462"/>
      <c r="P429" s="462"/>
    </row>
    <row r="430">
      <c r="A430" s="462"/>
      <c r="B430" s="462"/>
      <c r="C430" s="462"/>
      <c r="D430" s="462"/>
      <c r="E430" s="462"/>
      <c r="F430" s="462"/>
      <c r="G430" s="942"/>
      <c r="H430" s="462"/>
      <c r="I430" s="462"/>
      <c r="J430" s="462"/>
      <c r="K430" s="462"/>
      <c r="L430" s="462"/>
      <c r="M430" s="462"/>
      <c r="N430" s="912"/>
      <c r="O430" s="462"/>
      <c r="P430" s="462"/>
    </row>
    <row r="431">
      <c r="A431" s="462"/>
      <c r="B431" s="462"/>
      <c r="C431" s="462"/>
      <c r="D431" s="462"/>
      <c r="E431" s="462"/>
      <c r="F431" s="462"/>
      <c r="G431" s="942"/>
      <c r="H431" s="462"/>
      <c r="I431" s="462"/>
      <c r="J431" s="462"/>
      <c r="K431" s="462"/>
      <c r="L431" s="462"/>
      <c r="M431" s="462"/>
      <c r="N431" s="912"/>
      <c r="O431" s="462"/>
      <c r="P431" s="462"/>
    </row>
    <row r="432">
      <c r="A432" s="462"/>
      <c r="B432" s="462"/>
      <c r="C432" s="462"/>
      <c r="D432" s="462"/>
      <c r="E432" s="462"/>
      <c r="F432" s="462"/>
      <c r="G432" s="942"/>
      <c r="H432" s="462"/>
      <c r="I432" s="462"/>
      <c r="J432" s="462"/>
      <c r="K432" s="462"/>
      <c r="L432" s="462"/>
      <c r="M432" s="462"/>
      <c r="N432" s="912"/>
      <c r="O432" s="462"/>
      <c r="P432" s="462"/>
    </row>
    <row r="433">
      <c r="A433" s="462"/>
      <c r="B433" s="462"/>
      <c r="C433" s="462"/>
      <c r="D433" s="462"/>
      <c r="E433" s="462"/>
      <c r="F433" s="462"/>
      <c r="G433" s="942"/>
      <c r="H433" s="462"/>
      <c r="I433" s="462"/>
      <c r="J433" s="462"/>
      <c r="K433" s="462"/>
      <c r="L433" s="462"/>
      <c r="M433" s="462"/>
      <c r="N433" s="912"/>
      <c r="O433" s="462"/>
      <c r="P433" s="462"/>
    </row>
    <row r="434">
      <c r="A434" s="462"/>
      <c r="B434" s="462"/>
      <c r="C434" s="462"/>
      <c r="D434" s="462"/>
      <c r="E434" s="462"/>
      <c r="F434" s="462"/>
      <c r="G434" s="942"/>
      <c r="H434" s="462"/>
      <c r="I434" s="462"/>
      <c r="J434" s="462"/>
      <c r="K434" s="462"/>
      <c r="L434" s="462"/>
      <c r="M434" s="462"/>
      <c r="N434" s="912"/>
      <c r="O434" s="462"/>
      <c r="P434" s="462"/>
    </row>
    <row r="435">
      <c r="A435" s="462"/>
      <c r="B435" s="462"/>
      <c r="C435" s="462"/>
      <c r="D435" s="462"/>
      <c r="E435" s="462"/>
      <c r="F435" s="462"/>
      <c r="G435" s="942"/>
      <c r="H435" s="462"/>
      <c r="I435" s="462"/>
      <c r="J435" s="462"/>
      <c r="K435" s="462"/>
      <c r="L435" s="462"/>
      <c r="M435" s="462"/>
      <c r="N435" s="912"/>
      <c r="O435" s="462"/>
      <c r="P435" s="462"/>
    </row>
    <row r="436">
      <c r="A436" s="462"/>
      <c r="B436" s="462"/>
      <c r="C436" s="462"/>
      <c r="D436" s="462"/>
      <c r="E436" s="462"/>
      <c r="F436" s="462"/>
      <c r="G436" s="942"/>
      <c r="H436" s="462"/>
      <c r="I436" s="462"/>
      <c r="J436" s="462"/>
      <c r="K436" s="462"/>
      <c r="L436" s="462"/>
      <c r="M436" s="462"/>
      <c r="N436" s="912"/>
      <c r="O436" s="462"/>
      <c r="P436" s="462"/>
    </row>
    <row r="437">
      <c r="A437" s="462"/>
      <c r="B437" s="462"/>
      <c r="C437" s="462"/>
      <c r="D437" s="462"/>
      <c r="E437" s="462"/>
      <c r="F437" s="462"/>
      <c r="G437" s="942"/>
      <c r="H437" s="462"/>
      <c r="I437" s="462"/>
      <c r="J437" s="462"/>
      <c r="K437" s="462"/>
      <c r="L437" s="462"/>
      <c r="M437" s="462"/>
      <c r="N437" s="912"/>
      <c r="O437" s="462"/>
      <c r="P437" s="462"/>
    </row>
    <row r="438">
      <c r="A438" s="462"/>
      <c r="B438" s="462"/>
      <c r="C438" s="462"/>
      <c r="D438" s="462"/>
      <c r="E438" s="462"/>
      <c r="F438" s="462"/>
      <c r="G438" s="942"/>
      <c r="H438" s="462"/>
      <c r="I438" s="462"/>
      <c r="J438" s="462"/>
      <c r="K438" s="462"/>
      <c r="L438" s="462"/>
      <c r="M438" s="462"/>
      <c r="N438" s="912"/>
      <c r="O438" s="462"/>
      <c r="P438" s="462"/>
    </row>
    <row r="439">
      <c r="A439" s="462"/>
      <c r="B439" s="462"/>
      <c r="C439" s="462"/>
      <c r="D439" s="462"/>
      <c r="E439" s="462"/>
      <c r="F439" s="462"/>
      <c r="G439" s="942"/>
      <c r="H439" s="462"/>
      <c r="I439" s="462"/>
      <c r="J439" s="462"/>
      <c r="K439" s="462"/>
      <c r="L439" s="462"/>
      <c r="M439" s="462"/>
      <c r="N439" s="912"/>
      <c r="O439" s="462"/>
      <c r="P439" s="462"/>
    </row>
    <row r="440">
      <c r="A440" s="462"/>
      <c r="B440" s="462"/>
      <c r="C440" s="462"/>
      <c r="D440" s="462"/>
      <c r="E440" s="462"/>
      <c r="F440" s="462"/>
      <c r="G440" s="942"/>
      <c r="H440" s="462"/>
      <c r="I440" s="462"/>
      <c r="J440" s="462"/>
      <c r="K440" s="462"/>
      <c r="L440" s="462"/>
      <c r="M440" s="462"/>
      <c r="N440" s="912"/>
      <c r="O440" s="462"/>
      <c r="P440" s="462"/>
    </row>
    <row r="441">
      <c r="A441" s="462"/>
      <c r="B441" s="462"/>
      <c r="C441" s="462"/>
      <c r="D441" s="462"/>
      <c r="E441" s="462"/>
      <c r="F441" s="462"/>
      <c r="G441" s="942"/>
      <c r="H441" s="462"/>
      <c r="I441" s="462"/>
      <c r="J441" s="462"/>
      <c r="K441" s="462"/>
      <c r="L441" s="462"/>
      <c r="M441" s="462"/>
      <c r="N441" s="912"/>
      <c r="O441" s="462"/>
      <c r="P441" s="462"/>
    </row>
    <row r="442">
      <c r="A442" s="462"/>
      <c r="B442" s="462"/>
      <c r="C442" s="462"/>
      <c r="D442" s="462"/>
      <c r="E442" s="462"/>
      <c r="F442" s="462"/>
      <c r="G442" s="942"/>
      <c r="H442" s="462"/>
      <c r="I442" s="462"/>
      <c r="J442" s="462"/>
      <c r="K442" s="462"/>
      <c r="L442" s="462"/>
      <c r="M442" s="462"/>
      <c r="N442" s="912"/>
      <c r="O442" s="462"/>
      <c r="P442" s="462"/>
    </row>
    <row r="443">
      <c r="A443" s="462"/>
      <c r="B443" s="462"/>
      <c r="C443" s="462"/>
      <c r="D443" s="462"/>
      <c r="E443" s="462"/>
      <c r="F443" s="462"/>
      <c r="G443" s="942"/>
      <c r="H443" s="462"/>
      <c r="I443" s="462"/>
      <c r="J443" s="462"/>
      <c r="K443" s="462"/>
      <c r="L443" s="462"/>
      <c r="M443" s="462"/>
      <c r="N443" s="912"/>
      <c r="O443" s="462"/>
      <c r="P443" s="462"/>
    </row>
    <row r="444">
      <c r="A444" s="462"/>
      <c r="B444" s="462"/>
      <c r="C444" s="462"/>
      <c r="D444" s="462"/>
      <c r="E444" s="462"/>
      <c r="F444" s="462"/>
      <c r="G444" s="942"/>
      <c r="H444" s="462"/>
      <c r="I444" s="462"/>
      <c r="J444" s="462"/>
      <c r="K444" s="462"/>
      <c r="L444" s="462"/>
      <c r="M444" s="462"/>
      <c r="N444" s="912"/>
      <c r="O444" s="462"/>
      <c r="P444" s="462"/>
    </row>
    <row r="445">
      <c r="A445" s="462"/>
      <c r="B445" s="462"/>
      <c r="C445" s="462"/>
      <c r="D445" s="462"/>
      <c r="E445" s="462"/>
      <c r="F445" s="462"/>
      <c r="G445" s="942"/>
      <c r="H445" s="462"/>
      <c r="I445" s="462"/>
      <c r="J445" s="462"/>
      <c r="K445" s="462"/>
      <c r="L445" s="462"/>
      <c r="M445" s="462"/>
      <c r="N445" s="912"/>
      <c r="O445" s="462"/>
      <c r="P445" s="462"/>
    </row>
    <row r="446">
      <c r="A446" s="462"/>
      <c r="B446" s="462"/>
      <c r="C446" s="462"/>
      <c r="D446" s="462"/>
      <c r="E446" s="462"/>
      <c r="F446" s="462"/>
      <c r="G446" s="942"/>
      <c r="H446" s="462"/>
      <c r="I446" s="462"/>
      <c r="J446" s="462"/>
      <c r="K446" s="462"/>
      <c r="L446" s="462"/>
      <c r="M446" s="462"/>
      <c r="N446" s="912"/>
      <c r="O446" s="462"/>
      <c r="P446" s="462"/>
    </row>
    <row r="447">
      <c r="A447" s="462"/>
      <c r="B447" s="462"/>
      <c r="C447" s="462"/>
      <c r="D447" s="462"/>
      <c r="E447" s="462"/>
      <c r="F447" s="462"/>
      <c r="G447" s="942"/>
      <c r="H447" s="462"/>
      <c r="I447" s="462"/>
      <c r="J447" s="462"/>
      <c r="K447" s="462"/>
      <c r="L447" s="462"/>
      <c r="M447" s="462"/>
      <c r="N447" s="912"/>
      <c r="O447" s="462"/>
      <c r="P447" s="462"/>
    </row>
    <row r="448">
      <c r="A448" s="462"/>
      <c r="B448" s="462"/>
      <c r="C448" s="462"/>
      <c r="D448" s="462"/>
      <c r="E448" s="462"/>
      <c r="F448" s="462"/>
      <c r="G448" s="942"/>
      <c r="H448" s="462"/>
      <c r="I448" s="462"/>
      <c r="J448" s="462"/>
      <c r="K448" s="462"/>
      <c r="L448" s="462"/>
      <c r="M448" s="462"/>
      <c r="N448" s="912"/>
      <c r="O448" s="462"/>
      <c r="P448" s="462"/>
    </row>
    <row r="449">
      <c r="A449" s="462"/>
      <c r="B449" s="462"/>
      <c r="C449" s="462"/>
      <c r="D449" s="462"/>
      <c r="E449" s="462"/>
      <c r="F449" s="462"/>
      <c r="G449" s="942"/>
      <c r="H449" s="462"/>
      <c r="I449" s="462"/>
      <c r="J449" s="462"/>
      <c r="K449" s="462"/>
      <c r="L449" s="462"/>
      <c r="M449" s="462"/>
      <c r="N449" s="912"/>
      <c r="O449" s="462"/>
      <c r="P449" s="462"/>
    </row>
    <row r="450">
      <c r="A450" s="462"/>
      <c r="B450" s="462"/>
      <c r="C450" s="462"/>
      <c r="D450" s="462"/>
      <c r="E450" s="462"/>
      <c r="F450" s="462"/>
      <c r="G450" s="942"/>
      <c r="H450" s="462"/>
      <c r="I450" s="462"/>
      <c r="J450" s="462"/>
      <c r="K450" s="462"/>
      <c r="L450" s="462"/>
      <c r="M450" s="462"/>
      <c r="N450" s="912"/>
      <c r="O450" s="462"/>
      <c r="P450" s="462"/>
    </row>
    <row r="451">
      <c r="A451" s="462"/>
      <c r="B451" s="462"/>
      <c r="C451" s="462"/>
      <c r="D451" s="462"/>
      <c r="E451" s="462"/>
      <c r="F451" s="462"/>
      <c r="G451" s="942"/>
      <c r="H451" s="462"/>
      <c r="I451" s="462"/>
      <c r="J451" s="462"/>
      <c r="K451" s="462"/>
      <c r="L451" s="462"/>
      <c r="M451" s="462"/>
      <c r="N451" s="912"/>
      <c r="O451" s="462"/>
      <c r="P451" s="462"/>
    </row>
    <row r="452">
      <c r="A452" s="462"/>
      <c r="B452" s="462"/>
      <c r="C452" s="462"/>
      <c r="D452" s="462"/>
      <c r="E452" s="462"/>
      <c r="F452" s="462"/>
      <c r="G452" s="942"/>
      <c r="H452" s="462"/>
      <c r="I452" s="462"/>
      <c r="J452" s="462"/>
      <c r="K452" s="462"/>
      <c r="L452" s="462"/>
      <c r="M452" s="462"/>
      <c r="N452" s="912"/>
      <c r="O452" s="462"/>
      <c r="P452" s="462"/>
    </row>
    <row r="453">
      <c r="A453" s="462"/>
      <c r="B453" s="462"/>
      <c r="C453" s="462"/>
      <c r="D453" s="462"/>
      <c r="E453" s="462"/>
      <c r="F453" s="462"/>
      <c r="G453" s="942"/>
      <c r="H453" s="462"/>
      <c r="I453" s="462"/>
      <c r="J453" s="462"/>
      <c r="K453" s="462"/>
      <c r="L453" s="462"/>
      <c r="M453" s="462"/>
      <c r="N453" s="912"/>
      <c r="O453" s="462"/>
      <c r="P453" s="462"/>
    </row>
    <row r="454">
      <c r="A454" s="462"/>
      <c r="B454" s="462"/>
      <c r="C454" s="462"/>
      <c r="D454" s="462"/>
      <c r="E454" s="462"/>
      <c r="F454" s="462"/>
      <c r="G454" s="942"/>
      <c r="H454" s="462"/>
      <c r="I454" s="462"/>
      <c r="J454" s="462"/>
      <c r="K454" s="462"/>
      <c r="L454" s="462"/>
      <c r="M454" s="462"/>
      <c r="N454" s="912"/>
      <c r="O454" s="462"/>
      <c r="P454" s="462"/>
    </row>
    <row r="455">
      <c r="A455" s="462"/>
      <c r="B455" s="462"/>
      <c r="C455" s="462"/>
      <c r="D455" s="462"/>
      <c r="E455" s="462"/>
      <c r="F455" s="462"/>
      <c r="G455" s="942"/>
      <c r="H455" s="462"/>
      <c r="I455" s="462"/>
      <c r="J455" s="462"/>
      <c r="K455" s="462"/>
      <c r="L455" s="462"/>
      <c r="M455" s="462"/>
      <c r="N455" s="912"/>
      <c r="O455" s="462"/>
      <c r="P455" s="462"/>
    </row>
    <row r="456">
      <c r="A456" s="462"/>
      <c r="B456" s="462"/>
      <c r="C456" s="462"/>
      <c r="D456" s="462"/>
      <c r="E456" s="462"/>
      <c r="F456" s="462"/>
      <c r="G456" s="942"/>
      <c r="H456" s="462"/>
      <c r="I456" s="462"/>
      <c r="J456" s="462"/>
      <c r="K456" s="462"/>
      <c r="L456" s="462"/>
      <c r="M456" s="462"/>
      <c r="N456" s="912"/>
      <c r="O456" s="462"/>
      <c r="P456" s="462"/>
    </row>
    <row r="457">
      <c r="A457" s="462"/>
      <c r="B457" s="462"/>
      <c r="C457" s="462"/>
      <c r="D457" s="462"/>
      <c r="E457" s="462"/>
      <c r="F457" s="462"/>
      <c r="G457" s="942"/>
      <c r="H457" s="462"/>
      <c r="I457" s="462"/>
      <c r="J457" s="462"/>
      <c r="K457" s="462"/>
      <c r="L457" s="462"/>
      <c r="M457" s="462"/>
      <c r="N457" s="912"/>
      <c r="O457" s="462"/>
      <c r="P457" s="462"/>
    </row>
    <row r="458">
      <c r="A458" s="462"/>
      <c r="B458" s="462"/>
      <c r="C458" s="462"/>
      <c r="D458" s="462"/>
      <c r="E458" s="462"/>
      <c r="F458" s="462"/>
      <c r="G458" s="942"/>
      <c r="H458" s="462"/>
      <c r="I458" s="462"/>
      <c r="J458" s="462"/>
      <c r="K458" s="462"/>
      <c r="L458" s="462"/>
      <c r="M458" s="462"/>
      <c r="N458" s="912"/>
      <c r="O458" s="462"/>
      <c r="P458" s="462"/>
    </row>
    <row r="459">
      <c r="A459" s="462"/>
      <c r="B459" s="462"/>
      <c r="C459" s="462"/>
      <c r="D459" s="462"/>
      <c r="E459" s="462"/>
      <c r="F459" s="462"/>
      <c r="G459" s="942"/>
      <c r="H459" s="462"/>
      <c r="I459" s="462"/>
      <c r="J459" s="462"/>
      <c r="K459" s="462"/>
      <c r="L459" s="462"/>
      <c r="M459" s="462"/>
      <c r="N459" s="912"/>
      <c r="O459" s="462"/>
      <c r="P459" s="462"/>
    </row>
    <row r="460">
      <c r="A460" s="462"/>
      <c r="B460" s="462"/>
      <c r="C460" s="462"/>
      <c r="D460" s="462"/>
      <c r="E460" s="462"/>
      <c r="F460" s="462"/>
      <c r="G460" s="942"/>
      <c r="H460" s="462"/>
      <c r="I460" s="462"/>
      <c r="J460" s="462"/>
      <c r="K460" s="462"/>
      <c r="L460" s="462"/>
      <c r="M460" s="462"/>
      <c r="N460" s="912"/>
      <c r="O460" s="462"/>
      <c r="P460" s="462"/>
    </row>
    <row r="461">
      <c r="A461" s="462"/>
      <c r="B461" s="462"/>
      <c r="C461" s="462"/>
      <c r="D461" s="462"/>
      <c r="E461" s="462"/>
      <c r="F461" s="462"/>
      <c r="G461" s="942"/>
      <c r="H461" s="462"/>
      <c r="I461" s="462"/>
      <c r="J461" s="462"/>
      <c r="K461" s="462"/>
      <c r="L461" s="462"/>
      <c r="M461" s="462"/>
      <c r="N461" s="912"/>
      <c r="O461" s="462"/>
      <c r="P461" s="462"/>
    </row>
    <row r="462">
      <c r="A462" s="462"/>
      <c r="B462" s="462"/>
      <c r="C462" s="462"/>
      <c r="D462" s="462"/>
      <c r="E462" s="462"/>
      <c r="F462" s="462"/>
      <c r="G462" s="942"/>
      <c r="H462" s="462"/>
      <c r="I462" s="462"/>
      <c r="J462" s="462"/>
      <c r="K462" s="462"/>
      <c r="L462" s="462"/>
      <c r="M462" s="462"/>
      <c r="N462" s="912"/>
      <c r="O462" s="462"/>
      <c r="P462" s="462"/>
    </row>
    <row r="463">
      <c r="A463" s="462"/>
      <c r="B463" s="462"/>
      <c r="C463" s="462"/>
      <c r="D463" s="462"/>
      <c r="E463" s="462"/>
      <c r="F463" s="462"/>
      <c r="G463" s="942"/>
      <c r="H463" s="462"/>
      <c r="I463" s="462"/>
      <c r="J463" s="462"/>
      <c r="K463" s="462"/>
      <c r="L463" s="462"/>
      <c r="M463" s="462"/>
      <c r="N463" s="912"/>
      <c r="O463" s="462"/>
      <c r="P463" s="462"/>
    </row>
    <row r="464">
      <c r="A464" s="462"/>
      <c r="B464" s="462"/>
      <c r="C464" s="462"/>
      <c r="D464" s="462"/>
      <c r="E464" s="462"/>
      <c r="F464" s="462"/>
      <c r="G464" s="942"/>
      <c r="H464" s="462"/>
      <c r="I464" s="462"/>
      <c r="J464" s="462"/>
      <c r="K464" s="462"/>
      <c r="L464" s="462"/>
      <c r="M464" s="462"/>
      <c r="N464" s="912"/>
      <c r="O464" s="462"/>
      <c r="P464" s="462"/>
    </row>
    <row r="465">
      <c r="A465" s="462"/>
      <c r="B465" s="462"/>
      <c r="C465" s="462"/>
      <c r="D465" s="462"/>
      <c r="E465" s="462"/>
      <c r="F465" s="462"/>
      <c r="G465" s="942"/>
      <c r="H465" s="462"/>
      <c r="I465" s="462"/>
      <c r="J465" s="462"/>
      <c r="K465" s="462"/>
      <c r="L465" s="462"/>
      <c r="M465" s="462"/>
      <c r="N465" s="912"/>
      <c r="O465" s="462"/>
      <c r="P465" s="462"/>
    </row>
    <row r="466">
      <c r="A466" s="462"/>
      <c r="B466" s="462"/>
      <c r="C466" s="462"/>
      <c r="D466" s="462"/>
      <c r="E466" s="462"/>
      <c r="F466" s="462"/>
      <c r="G466" s="942"/>
      <c r="H466" s="462"/>
      <c r="I466" s="462"/>
      <c r="J466" s="462"/>
      <c r="K466" s="462"/>
      <c r="L466" s="462"/>
      <c r="M466" s="462"/>
      <c r="N466" s="912"/>
      <c r="O466" s="462"/>
      <c r="P466" s="462"/>
    </row>
    <row r="467">
      <c r="A467" s="462"/>
      <c r="B467" s="462"/>
      <c r="C467" s="462"/>
      <c r="D467" s="462"/>
      <c r="E467" s="462"/>
      <c r="F467" s="462"/>
      <c r="G467" s="942"/>
      <c r="H467" s="462"/>
      <c r="I467" s="462"/>
      <c r="J467" s="462"/>
      <c r="K467" s="462"/>
      <c r="L467" s="462"/>
      <c r="M467" s="462"/>
      <c r="N467" s="912"/>
      <c r="O467" s="462"/>
      <c r="P467" s="462"/>
    </row>
    <row r="468">
      <c r="A468" s="462"/>
      <c r="B468" s="462"/>
      <c r="C468" s="462"/>
      <c r="D468" s="462"/>
      <c r="E468" s="462"/>
      <c r="F468" s="462"/>
      <c r="G468" s="942"/>
      <c r="H468" s="462"/>
      <c r="I468" s="462"/>
      <c r="J468" s="462"/>
      <c r="K468" s="462"/>
      <c r="L468" s="462"/>
      <c r="M468" s="462"/>
      <c r="N468" s="912"/>
      <c r="O468" s="462"/>
      <c r="P468" s="462"/>
    </row>
    <row r="469">
      <c r="A469" s="462"/>
      <c r="B469" s="462"/>
      <c r="C469" s="462"/>
      <c r="D469" s="462"/>
      <c r="E469" s="462"/>
      <c r="F469" s="462"/>
      <c r="G469" s="942"/>
      <c r="H469" s="462"/>
      <c r="I469" s="462"/>
      <c r="J469" s="462"/>
      <c r="K469" s="462"/>
      <c r="L469" s="462"/>
      <c r="M469" s="462"/>
      <c r="N469" s="912"/>
      <c r="O469" s="462"/>
      <c r="P469" s="462"/>
    </row>
    <row r="470">
      <c r="A470" s="462"/>
      <c r="B470" s="462"/>
      <c r="C470" s="462"/>
      <c r="D470" s="462"/>
      <c r="E470" s="462"/>
      <c r="F470" s="462"/>
      <c r="G470" s="942"/>
      <c r="H470" s="462"/>
      <c r="I470" s="462"/>
      <c r="J470" s="462"/>
      <c r="K470" s="462"/>
      <c r="L470" s="462"/>
      <c r="M470" s="462"/>
      <c r="N470" s="912"/>
      <c r="O470" s="462"/>
      <c r="P470" s="462"/>
    </row>
    <row r="471">
      <c r="A471" s="462"/>
      <c r="B471" s="462"/>
      <c r="C471" s="462"/>
      <c r="D471" s="462"/>
      <c r="E471" s="462"/>
      <c r="F471" s="462"/>
      <c r="G471" s="942"/>
      <c r="H471" s="462"/>
      <c r="I471" s="462"/>
      <c r="J471" s="462"/>
      <c r="K471" s="462"/>
      <c r="L471" s="462"/>
      <c r="M471" s="462"/>
      <c r="N471" s="912"/>
      <c r="O471" s="462"/>
      <c r="P471" s="462"/>
    </row>
    <row r="472">
      <c r="A472" s="462"/>
      <c r="B472" s="462"/>
      <c r="C472" s="462"/>
      <c r="D472" s="462"/>
      <c r="E472" s="462"/>
      <c r="F472" s="462"/>
      <c r="G472" s="942"/>
      <c r="H472" s="462"/>
      <c r="I472" s="462"/>
      <c r="J472" s="462"/>
      <c r="K472" s="462"/>
      <c r="L472" s="462"/>
      <c r="M472" s="462"/>
      <c r="N472" s="912"/>
      <c r="O472" s="462"/>
      <c r="P472" s="462"/>
    </row>
    <row r="473">
      <c r="A473" s="462"/>
      <c r="B473" s="462"/>
      <c r="C473" s="462"/>
      <c r="D473" s="462"/>
      <c r="E473" s="462"/>
      <c r="F473" s="462"/>
      <c r="G473" s="942"/>
      <c r="H473" s="462"/>
      <c r="I473" s="462"/>
      <c r="J473" s="462"/>
      <c r="K473" s="462"/>
      <c r="L473" s="462"/>
      <c r="M473" s="462"/>
      <c r="N473" s="912"/>
      <c r="O473" s="462"/>
      <c r="P473" s="462"/>
    </row>
    <row r="474">
      <c r="A474" s="462"/>
      <c r="B474" s="462"/>
      <c r="C474" s="462"/>
      <c r="D474" s="462"/>
      <c r="E474" s="462"/>
      <c r="F474" s="462"/>
      <c r="G474" s="942"/>
      <c r="H474" s="462"/>
      <c r="I474" s="462"/>
      <c r="J474" s="462"/>
      <c r="K474" s="462"/>
      <c r="L474" s="462"/>
      <c r="M474" s="462"/>
      <c r="N474" s="912"/>
      <c r="O474" s="462"/>
      <c r="P474" s="462"/>
    </row>
    <row r="475">
      <c r="A475" s="462"/>
      <c r="B475" s="462"/>
      <c r="C475" s="462"/>
      <c r="D475" s="462"/>
      <c r="E475" s="462"/>
      <c r="F475" s="462"/>
      <c r="G475" s="942"/>
      <c r="H475" s="462"/>
      <c r="I475" s="462"/>
      <c r="J475" s="462"/>
      <c r="K475" s="462"/>
      <c r="L475" s="462"/>
      <c r="M475" s="462"/>
      <c r="N475" s="912"/>
      <c r="O475" s="462"/>
      <c r="P475" s="462"/>
    </row>
    <row r="476">
      <c r="A476" s="462"/>
      <c r="B476" s="462"/>
      <c r="C476" s="462"/>
      <c r="D476" s="462"/>
      <c r="E476" s="462"/>
      <c r="F476" s="462"/>
      <c r="G476" s="942"/>
      <c r="H476" s="462"/>
      <c r="I476" s="462"/>
      <c r="J476" s="462"/>
      <c r="K476" s="462"/>
      <c r="L476" s="462"/>
      <c r="M476" s="462"/>
      <c r="N476" s="912"/>
      <c r="O476" s="462"/>
      <c r="P476" s="462"/>
    </row>
    <row r="477">
      <c r="A477" s="462"/>
      <c r="B477" s="462"/>
      <c r="C477" s="462"/>
      <c r="D477" s="462"/>
      <c r="E477" s="462"/>
      <c r="F477" s="462"/>
      <c r="G477" s="942"/>
      <c r="H477" s="462"/>
      <c r="I477" s="462"/>
      <c r="J477" s="462"/>
      <c r="K477" s="462"/>
      <c r="L477" s="462"/>
      <c r="M477" s="462"/>
      <c r="N477" s="912"/>
      <c r="O477" s="462"/>
      <c r="P477" s="462"/>
    </row>
    <row r="478">
      <c r="A478" s="462"/>
      <c r="B478" s="462"/>
      <c r="C478" s="462"/>
      <c r="D478" s="462"/>
      <c r="E478" s="462"/>
      <c r="F478" s="462"/>
      <c r="G478" s="942"/>
      <c r="H478" s="462"/>
      <c r="I478" s="462"/>
      <c r="J478" s="462"/>
      <c r="K478" s="462"/>
      <c r="L478" s="462"/>
      <c r="M478" s="462"/>
      <c r="N478" s="912"/>
      <c r="O478" s="462"/>
      <c r="P478" s="462"/>
    </row>
    <row r="479">
      <c r="A479" s="462"/>
      <c r="B479" s="462"/>
      <c r="C479" s="462"/>
      <c r="D479" s="462"/>
      <c r="E479" s="462"/>
      <c r="F479" s="462"/>
      <c r="G479" s="942"/>
      <c r="H479" s="462"/>
      <c r="I479" s="462"/>
      <c r="J479" s="462"/>
      <c r="K479" s="462"/>
      <c r="L479" s="462"/>
      <c r="M479" s="462"/>
      <c r="N479" s="912"/>
      <c r="O479" s="462"/>
      <c r="P479" s="462"/>
    </row>
    <row r="480">
      <c r="A480" s="462"/>
      <c r="B480" s="462"/>
      <c r="C480" s="462"/>
      <c r="D480" s="462"/>
      <c r="E480" s="462"/>
      <c r="F480" s="462"/>
      <c r="G480" s="942"/>
      <c r="H480" s="462"/>
      <c r="I480" s="462"/>
      <c r="J480" s="462"/>
      <c r="K480" s="462"/>
      <c r="L480" s="462"/>
      <c r="M480" s="462"/>
      <c r="N480" s="912"/>
      <c r="O480" s="462"/>
      <c r="P480" s="462"/>
    </row>
    <row r="481">
      <c r="A481" s="462"/>
      <c r="B481" s="462"/>
      <c r="C481" s="462"/>
      <c r="D481" s="462"/>
      <c r="E481" s="462"/>
      <c r="F481" s="462"/>
      <c r="G481" s="942"/>
      <c r="H481" s="462"/>
      <c r="I481" s="462"/>
      <c r="J481" s="462"/>
      <c r="K481" s="462"/>
      <c r="L481" s="462"/>
      <c r="M481" s="462"/>
      <c r="N481" s="912"/>
      <c r="O481" s="462"/>
      <c r="P481" s="462"/>
    </row>
    <row r="482">
      <c r="A482" s="462"/>
      <c r="B482" s="462"/>
      <c r="C482" s="462"/>
      <c r="D482" s="462"/>
      <c r="E482" s="462"/>
      <c r="F482" s="462"/>
      <c r="G482" s="942"/>
      <c r="H482" s="462"/>
      <c r="I482" s="462"/>
      <c r="J482" s="462"/>
      <c r="K482" s="462"/>
      <c r="L482" s="462"/>
      <c r="M482" s="462"/>
      <c r="N482" s="912"/>
      <c r="O482" s="462"/>
      <c r="P482" s="462"/>
    </row>
    <row r="483">
      <c r="A483" s="462"/>
      <c r="B483" s="462"/>
      <c r="C483" s="462"/>
      <c r="D483" s="462"/>
      <c r="E483" s="462"/>
      <c r="F483" s="462"/>
      <c r="G483" s="942"/>
      <c r="H483" s="462"/>
      <c r="I483" s="462"/>
      <c r="J483" s="462"/>
      <c r="K483" s="462"/>
      <c r="L483" s="462"/>
      <c r="M483" s="462"/>
      <c r="N483" s="912"/>
      <c r="O483" s="462"/>
      <c r="P483" s="462"/>
    </row>
    <row r="484">
      <c r="A484" s="462"/>
      <c r="B484" s="462"/>
      <c r="C484" s="462"/>
      <c r="D484" s="462"/>
      <c r="E484" s="462"/>
      <c r="F484" s="462"/>
      <c r="G484" s="942"/>
      <c r="H484" s="462"/>
      <c r="I484" s="462"/>
      <c r="J484" s="462"/>
      <c r="K484" s="462"/>
      <c r="L484" s="462"/>
      <c r="M484" s="462"/>
      <c r="N484" s="912"/>
      <c r="O484" s="462"/>
      <c r="P484" s="462"/>
    </row>
    <row r="485">
      <c r="A485" s="462"/>
      <c r="B485" s="462"/>
      <c r="C485" s="462"/>
      <c r="D485" s="462"/>
      <c r="E485" s="462"/>
      <c r="F485" s="462"/>
      <c r="G485" s="942"/>
      <c r="H485" s="462"/>
      <c r="I485" s="462"/>
      <c r="J485" s="462"/>
      <c r="K485" s="462"/>
      <c r="L485" s="462"/>
      <c r="M485" s="462"/>
      <c r="N485" s="912"/>
      <c r="O485" s="462"/>
      <c r="P485" s="462"/>
    </row>
    <row r="486">
      <c r="A486" s="462"/>
      <c r="B486" s="462"/>
      <c r="C486" s="462"/>
      <c r="D486" s="462"/>
      <c r="E486" s="462"/>
      <c r="F486" s="462"/>
      <c r="G486" s="942"/>
      <c r="H486" s="462"/>
      <c r="I486" s="462"/>
      <c r="J486" s="462"/>
      <c r="K486" s="462"/>
      <c r="L486" s="462"/>
      <c r="M486" s="462"/>
      <c r="N486" s="912"/>
      <c r="O486" s="462"/>
      <c r="P486" s="462"/>
    </row>
    <row r="487">
      <c r="A487" s="462"/>
      <c r="B487" s="462"/>
      <c r="C487" s="462"/>
      <c r="D487" s="462"/>
      <c r="E487" s="462"/>
      <c r="F487" s="462"/>
      <c r="G487" s="942"/>
      <c r="H487" s="462"/>
      <c r="I487" s="462"/>
      <c r="J487" s="462"/>
      <c r="K487" s="462"/>
      <c r="L487" s="462"/>
      <c r="M487" s="462"/>
      <c r="N487" s="912"/>
      <c r="O487" s="462"/>
      <c r="P487" s="462"/>
    </row>
    <row r="488">
      <c r="A488" s="462"/>
      <c r="B488" s="462"/>
      <c r="C488" s="462"/>
      <c r="D488" s="462"/>
      <c r="E488" s="462"/>
      <c r="F488" s="462"/>
      <c r="G488" s="942"/>
      <c r="H488" s="462"/>
      <c r="I488" s="462"/>
      <c r="J488" s="462"/>
      <c r="K488" s="462"/>
      <c r="L488" s="462"/>
      <c r="M488" s="462"/>
      <c r="N488" s="912"/>
      <c r="O488" s="462"/>
      <c r="P488" s="462"/>
    </row>
    <row r="489">
      <c r="A489" s="462"/>
      <c r="B489" s="462"/>
      <c r="C489" s="462"/>
      <c r="D489" s="462"/>
      <c r="E489" s="462"/>
      <c r="F489" s="462"/>
      <c r="G489" s="942"/>
      <c r="H489" s="462"/>
      <c r="I489" s="462"/>
      <c r="J489" s="462"/>
      <c r="K489" s="462"/>
      <c r="L489" s="462"/>
      <c r="M489" s="462"/>
      <c r="N489" s="912"/>
      <c r="O489" s="462"/>
      <c r="P489" s="462"/>
    </row>
    <row r="490">
      <c r="A490" s="462"/>
      <c r="B490" s="462"/>
      <c r="C490" s="462"/>
      <c r="D490" s="462"/>
      <c r="E490" s="462"/>
      <c r="F490" s="462"/>
      <c r="G490" s="942"/>
      <c r="H490" s="462"/>
      <c r="I490" s="462"/>
      <c r="J490" s="462"/>
      <c r="K490" s="462"/>
      <c r="L490" s="462"/>
      <c r="M490" s="462"/>
      <c r="N490" s="912"/>
      <c r="O490" s="462"/>
      <c r="P490" s="462"/>
    </row>
    <row r="491">
      <c r="A491" s="462"/>
      <c r="B491" s="462"/>
      <c r="C491" s="462"/>
      <c r="D491" s="462"/>
      <c r="E491" s="462"/>
      <c r="F491" s="462"/>
      <c r="G491" s="942"/>
      <c r="H491" s="462"/>
      <c r="I491" s="462"/>
      <c r="J491" s="462"/>
      <c r="K491" s="462"/>
      <c r="L491" s="462"/>
      <c r="M491" s="462"/>
      <c r="N491" s="912"/>
      <c r="O491" s="462"/>
      <c r="P491" s="462"/>
    </row>
    <row r="492">
      <c r="A492" s="462"/>
      <c r="B492" s="462"/>
      <c r="C492" s="462"/>
      <c r="D492" s="462"/>
      <c r="E492" s="462"/>
      <c r="F492" s="462"/>
      <c r="G492" s="942"/>
      <c r="H492" s="462"/>
      <c r="I492" s="462"/>
      <c r="J492" s="462"/>
      <c r="K492" s="462"/>
      <c r="L492" s="462"/>
      <c r="M492" s="462"/>
      <c r="N492" s="912"/>
      <c r="O492" s="462"/>
      <c r="P492" s="462"/>
    </row>
    <row r="493">
      <c r="A493" s="462"/>
      <c r="B493" s="462"/>
      <c r="C493" s="462"/>
      <c r="D493" s="462"/>
      <c r="E493" s="462"/>
      <c r="F493" s="462"/>
      <c r="G493" s="942"/>
      <c r="H493" s="462"/>
      <c r="I493" s="462"/>
      <c r="J493" s="462"/>
      <c r="K493" s="462"/>
      <c r="L493" s="462"/>
      <c r="M493" s="462"/>
      <c r="N493" s="912"/>
      <c r="O493" s="462"/>
      <c r="P493" s="462"/>
    </row>
    <row r="494">
      <c r="A494" s="462"/>
      <c r="B494" s="462"/>
      <c r="C494" s="462"/>
      <c r="D494" s="462"/>
      <c r="E494" s="462"/>
      <c r="F494" s="462"/>
      <c r="G494" s="942"/>
      <c r="H494" s="462"/>
      <c r="I494" s="462"/>
      <c r="J494" s="462"/>
      <c r="K494" s="462"/>
      <c r="L494" s="462"/>
      <c r="M494" s="462"/>
      <c r="N494" s="912"/>
      <c r="O494" s="462"/>
      <c r="P494" s="462"/>
    </row>
    <row r="495">
      <c r="A495" s="462"/>
      <c r="B495" s="462"/>
      <c r="C495" s="462"/>
      <c r="D495" s="462"/>
      <c r="E495" s="462"/>
      <c r="F495" s="462"/>
      <c r="G495" s="942"/>
      <c r="H495" s="462"/>
      <c r="I495" s="462"/>
      <c r="J495" s="462"/>
      <c r="K495" s="462"/>
      <c r="L495" s="462"/>
      <c r="M495" s="462"/>
      <c r="N495" s="912"/>
      <c r="O495" s="462"/>
      <c r="P495" s="462"/>
    </row>
    <row r="496">
      <c r="A496" s="462"/>
      <c r="B496" s="462"/>
      <c r="C496" s="462"/>
      <c r="D496" s="462"/>
      <c r="E496" s="462"/>
      <c r="F496" s="462"/>
      <c r="G496" s="942"/>
      <c r="H496" s="462"/>
      <c r="I496" s="462"/>
      <c r="J496" s="462"/>
      <c r="K496" s="462"/>
      <c r="L496" s="462"/>
      <c r="M496" s="462"/>
      <c r="N496" s="912"/>
      <c r="O496" s="462"/>
      <c r="P496" s="462"/>
    </row>
    <row r="497">
      <c r="A497" s="462"/>
      <c r="B497" s="462"/>
      <c r="C497" s="462"/>
      <c r="D497" s="462"/>
      <c r="E497" s="462"/>
      <c r="F497" s="462"/>
      <c r="G497" s="942"/>
      <c r="H497" s="462"/>
      <c r="I497" s="462"/>
      <c r="J497" s="462"/>
      <c r="K497" s="462"/>
      <c r="L497" s="462"/>
      <c r="M497" s="462"/>
      <c r="N497" s="912"/>
      <c r="O497" s="462"/>
      <c r="P497" s="462"/>
    </row>
    <row r="498">
      <c r="A498" s="462"/>
      <c r="B498" s="462"/>
      <c r="C498" s="462"/>
      <c r="D498" s="462"/>
      <c r="E498" s="462"/>
      <c r="F498" s="462"/>
      <c r="G498" s="942"/>
      <c r="H498" s="462"/>
      <c r="I498" s="462"/>
      <c r="J498" s="462"/>
      <c r="K498" s="462"/>
      <c r="L498" s="462"/>
      <c r="M498" s="462"/>
      <c r="N498" s="912"/>
      <c r="O498" s="462"/>
      <c r="P498" s="462"/>
    </row>
    <row r="499">
      <c r="A499" s="462"/>
      <c r="B499" s="462"/>
      <c r="C499" s="462"/>
      <c r="D499" s="462"/>
      <c r="E499" s="462"/>
      <c r="F499" s="462"/>
      <c r="G499" s="942"/>
      <c r="H499" s="462"/>
      <c r="I499" s="462"/>
      <c r="J499" s="462"/>
      <c r="K499" s="462"/>
      <c r="L499" s="462"/>
      <c r="M499" s="462"/>
      <c r="N499" s="912"/>
      <c r="O499" s="462"/>
      <c r="P499" s="462"/>
    </row>
    <row r="500">
      <c r="A500" s="462"/>
      <c r="B500" s="462"/>
      <c r="C500" s="462"/>
      <c r="D500" s="462"/>
      <c r="E500" s="462"/>
      <c r="F500" s="462"/>
      <c r="G500" s="942"/>
      <c r="H500" s="462"/>
      <c r="I500" s="462"/>
      <c r="J500" s="462"/>
      <c r="K500" s="462"/>
      <c r="L500" s="462"/>
      <c r="M500" s="462"/>
      <c r="N500" s="912"/>
      <c r="O500" s="462"/>
      <c r="P500" s="462"/>
    </row>
    <row r="501">
      <c r="A501" s="462"/>
      <c r="B501" s="462"/>
      <c r="C501" s="462"/>
      <c r="D501" s="462"/>
      <c r="E501" s="462"/>
      <c r="F501" s="462"/>
      <c r="G501" s="942"/>
      <c r="H501" s="462"/>
      <c r="I501" s="462"/>
      <c r="J501" s="462"/>
      <c r="K501" s="462"/>
      <c r="L501" s="462"/>
      <c r="M501" s="462"/>
      <c r="N501" s="912"/>
      <c r="O501" s="462"/>
      <c r="P501" s="462"/>
    </row>
    <row r="502">
      <c r="A502" s="462"/>
      <c r="B502" s="462"/>
      <c r="C502" s="462"/>
      <c r="D502" s="462"/>
      <c r="E502" s="462"/>
      <c r="F502" s="462"/>
      <c r="G502" s="942"/>
      <c r="H502" s="462"/>
      <c r="I502" s="462"/>
      <c r="J502" s="462"/>
      <c r="K502" s="462"/>
      <c r="L502" s="462"/>
      <c r="M502" s="462"/>
      <c r="N502" s="912"/>
      <c r="O502" s="462"/>
      <c r="P502" s="462"/>
    </row>
    <row r="503">
      <c r="A503" s="462"/>
      <c r="B503" s="462"/>
      <c r="C503" s="462"/>
      <c r="D503" s="462"/>
      <c r="E503" s="462"/>
      <c r="F503" s="462"/>
      <c r="G503" s="942"/>
      <c r="H503" s="462"/>
      <c r="I503" s="462"/>
      <c r="J503" s="462"/>
      <c r="K503" s="462"/>
      <c r="L503" s="462"/>
      <c r="M503" s="462"/>
      <c r="N503" s="912"/>
      <c r="O503" s="462"/>
      <c r="P503" s="462"/>
    </row>
    <row r="504">
      <c r="A504" s="462"/>
      <c r="B504" s="462"/>
      <c r="C504" s="462"/>
      <c r="D504" s="462"/>
      <c r="E504" s="462"/>
      <c r="F504" s="462"/>
      <c r="G504" s="942"/>
      <c r="H504" s="462"/>
      <c r="I504" s="462"/>
      <c r="J504" s="462"/>
      <c r="K504" s="462"/>
      <c r="L504" s="462"/>
      <c r="M504" s="462"/>
      <c r="N504" s="912"/>
      <c r="O504" s="462"/>
      <c r="P504" s="462"/>
    </row>
    <row r="505">
      <c r="A505" s="462"/>
      <c r="B505" s="462"/>
      <c r="C505" s="462"/>
      <c r="D505" s="462"/>
      <c r="E505" s="462"/>
      <c r="F505" s="462"/>
      <c r="G505" s="942"/>
      <c r="H505" s="462"/>
      <c r="I505" s="462"/>
      <c r="J505" s="462"/>
      <c r="K505" s="462"/>
      <c r="L505" s="462"/>
      <c r="M505" s="462"/>
      <c r="N505" s="912"/>
      <c r="O505" s="462"/>
      <c r="P505" s="462"/>
    </row>
    <row r="506">
      <c r="A506" s="462"/>
      <c r="B506" s="462"/>
      <c r="C506" s="462"/>
      <c r="D506" s="462"/>
      <c r="E506" s="462"/>
      <c r="F506" s="462"/>
      <c r="G506" s="942"/>
      <c r="H506" s="462"/>
      <c r="I506" s="462"/>
      <c r="J506" s="462"/>
      <c r="K506" s="462"/>
      <c r="L506" s="462"/>
      <c r="M506" s="462"/>
      <c r="N506" s="912"/>
      <c r="O506" s="462"/>
      <c r="P506" s="462"/>
    </row>
    <row r="507">
      <c r="A507" s="462"/>
      <c r="B507" s="462"/>
      <c r="C507" s="462"/>
      <c r="D507" s="462"/>
      <c r="E507" s="462"/>
      <c r="F507" s="462"/>
      <c r="G507" s="942"/>
      <c r="H507" s="462"/>
      <c r="I507" s="462"/>
      <c r="J507" s="462"/>
      <c r="K507" s="462"/>
      <c r="L507" s="462"/>
      <c r="M507" s="462"/>
      <c r="N507" s="912"/>
      <c r="O507" s="462"/>
      <c r="P507" s="462"/>
    </row>
    <row r="508">
      <c r="A508" s="462"/>
      <c r="B508" s="462"/>
      <c r="C508" s="462"/>
      <c r="D508" s="462"/>
      <c r="E508" s="462"/>
      <c r="F508" s="462"/>
      <c r="G508" s="942"/>
      <c r="H508" s="462"/>
      <c r="I508" s="462"/>
      <c r="J508" s="462"/>
      <c r="K508" s="462"/>
      <c r="L508" s="462"/>
      <c r="M508" s="462"/>
      <c r="N508" s="912"/>
      <c r="O508" s="462"/>
      <c r="P508" s="462"/>
    </row>
    <row r="509">
      <c r="A509" s="462"/>
      <c r="B509" s="462"/>
      <c r="C509" s="462"/>
      <c r="D509" s="462"/>
      <c r="E509" s="462"/>
      <c r="F509" s="462"/>
      <c r="G509" s="942"/>
      <c r="H509" s="462"/>
      <c r="I509" s="462"/>
      <c r="J509" s="462"/>
      <c r="K509" s="462"/>
      <c r="L509" s="462"/>
      <c r="M509" s="462"/>
      <c r="N509" s="912"/>
      <c r="O509" s="462"/>
      <c r="P509" s="462"/>
    </row>
    <row r="510">
      <c r="A510" s="462"/>
      <c r="B510" s="462"/>
      <c r="C510" s="462"/>
      <c r="D510" s="462"/>
      <c r="E510" s="462"/>
      <c r="F510" s="462"/>
      <c r="G510" s="942"/>
      <c r="H510" s="462"/>
      <c r="I510" s="462"/>
      <c r="J510" s="462"/>
      <c r="K510" s="462"/>
      <c r="L510" s="462"/>
      <c r="M510" s="462"/>
      <c r="N510" s="912"/>
      <c r="O510" s="462"/>
      <c r="P510" s="462"/>
    </row>
    <row r="511">
      <c r="A511" s="462"/>
      <c r="B511" s="462"/>
      <c r="C511" s="462"/>
      <c r="D511" s="462"/>
      <c r="E511" s="462"/>
      <c r="F511" s="462"/>
      <c r="G511" s="942"/>
      <c r="H511" s="462"/>
      <c r="I511" s="462"/>
      <c r="J511" s="462"/>
      <c r="K511" s="462"/>
      <c r="L511" s="462"/>
      <c r="M511" s="462"/>
      <c r="N511" s="912"/>
      <c r="O511" s="462"/>
      <c r="P511" s="462"/>
    </row>
    <row r="512">
      <c r="A512" s="462"/>
      <c r="B512" s="462"/>
      <c r="C512" s="462"/>
      <c r="D512" s="462"/>
      <c r="E512" s="462"/>
      <c r="F512" s="462"/>
      <c r="G512" s="942"/>
      <c r="H512" s="462"/>
      <c r="I512" s="462"/>
      <c r="J512" s="462"/>
      <c r="K512" s="462"/>
      <c r="L512" s="462"/>
      <c r="M512" s="462"/>
      <c r="N512" s="912"/>
      <c r="O512" s="462"/>
      <c r="P512" s="462"/>
    </row>
    <row r="513">
      <c r="A513" s="462"/>
      <c r="B513" s="462"/>
      <c r="C513" s="462"/>
      <c r="D513" s="462"/>
      <c r="E513" s="462"/>
      <c r="F513" s="462"/>
      <c r="G513" s="942"/>
      <c r="H513" s="462"/>
      <c r="I513" s="462"/>
      <c r="J513" s="462"/>
      <c r="K513" s="462"/>
      <c r="L513" s="462"/>
      <c r="M513" s="462"/>
      <c r="N513" s="912"/>
      <c r="O513" s="462"/>
      <c r="P513" s="462"/>
    </row>
    <row r="514">
      <c r="A514" s="462"/>
      <c r="B514" s="462"/>
      <c r="C514" s="462"/>
      <c r="D514" s="462"/>
      <c r="E514" s="462"/>
      <c r="F514" s="462"/>
      <c r="G514" s="942"/>
      <c r="H514" s="462"/>
      <c r="I514" s="462"/>
      <c r="J514" s="462"/>
      <c r="K514" s="462"/>
      <c r="L514" s="462"/>
      <c r="M514" s="462"/>
      <c r="N514" s="912"/>
      <c r="O514" s="462"/>
      <c r="P514" s="462"/>
    </row>
    <row r="515">
      <c r="A515" s="462"/>
      <c r="B515" s="462"/>
      <c r="C515" s="462"/>
      <c r="D515" s="462"/>
      <c r="E515" s="462"/>
      <c r="F515" s="462"/>
      <c r="G515" s="942"/>
      <c r="H515" s="462"/>
      <c r="I515" s="462"/>
      <c r="J515" s="462"/>
      <c r="K515" s="462"/>
      <c r="L515" s="462"/>
      <c r="M515" s="462"/>
      <c r="N515" s="912"/>
      <c r="O515" s="462"/>
      <c r="P515" s="462"/>
    </row>
    <row r="516">
      <c r="A516" s="462"/>
      <c r="B516" s="462"/>
      <c r="C516" s="462"/>
      <c r="D516" s="462"/>
      <c r="E516" s="462"/>
      <c r="F516" s="462"/>
      <c r="G516" s="942"/>
      <c r="H516" s="462"/>
      <c r="I516" s="462"/>
      <c r="J516" s="462"/>
      <c r="K516" s="462"/>
      <c r="L516" s="462"/>
      <c r="M516" s="462"/>
      <c r="N516" s="912"/>
      <c r="O516" s="462"/>
      <c r="P516" s="462"/>
    </row>
    <row r="517">
      <c r="A517" s="462"/>
      <c r="B517" s="462"/>
      <c r="C517" s="462"/>
      <c r="D517" s="462"/>
      <c r="E517" s="462"/>
      <c r="F517" s="462"/>
      <c r="G517" s="942"/>
      <c r="H517" s="462"/>
      <c r="I517" s="462"/>
      <c r="J517" s="462"/>
      <c r="K517" s="462"/>
      <c r="L517" s="462"/>
      <c r="M517" s="462"/>
      <c r="N517" s="912"/>
      <c r="O517" s="462"/>
      <c r="P517" s="462"/>
    </row>
    <row r="518">
      <c r="A518" s="462"/>
      <c r="B518" s="462"/>
      <c r="C518" s="462"/>
      <c r="D518" s="462"/>
      <c r="E518" s="462"/>
      <c r="F518" s="462"/>
      <c r="G518" s="942"/>
      <c r="H518" s="462"/>
      <c r="I518" s="462"/>
      <c r="J518" s="462"/>
      <c r="K518" s="462"/>
      <c r="L518" s="462"/>
      <c r="M518" s="462"/>
      <c r="N518" s="912"/>
      <c r="O518" s="462"/>
      <c r="P518" s="462"/>
    </row>
    <row r="519">
      <c r="A519" s="462"/>
      <c r="B519" s="462"/>
      <c r="C519" s="462"/>
      <c r="D519" s="462"/>
      <c r="E519" s="462"/>
      <c r="F519" s="462"/>
      <c r="G519" s="942"/>
      <c r="H519" s="462"/>
      <c r="I519" s="462"/>
      <c r="J519" s="462"/>
      <c r="K519" s="462"/>
      <c r="L519" s="462"/>
      <c r="M519" s="462"/>
      <c r="N519" s="912"/>
      <c r="O519" s="462"/>
      <c r="P519" s="462"/>
    </row>
    <row r="520">
      <c r="A520" s="462"/>
      <c r="B520" s="462"/>
      <c r="C520" s="462"/>
      <c r="D520" s="462"/>
      <c r="E520" s="462"/>
      <c r="F520" s="462"/>
      <c r="G520" s="942"/>
      <c r="H520" s="462"/>
      <c r="I520" s="462"/>
      <c r="J520" s="462"/>
      <c r="K520" s="462"/>
      <c r="L520" s="462"/>
      <c r="M520" s="462"/>
      <c r="N520" s="912"/>
      <c r="O520" s="462"/>
      <c r="P520" s="462"/>
    </row>
    <row r="521">
      <c r="A521" s="462"/>
      <c r="B521" s="462"/>
      <c r="C521" s="462"/>
      <c r="D521" s="462"/>
      <c r="E521" s="462"/>
      <c r="F521" s="462"/>
      <c r="G521" s="942"/>
      <c r="H521" s="462"/>
      <c r="I521" s="462"/>
      <c r="J521" s="462"/>
      <c r="K521" s="462"/>
      <c r="L521" s="462"/>
      <c r="M521" s="462"/>
      <c r="N521" s="912"/>
      <c r="O521" s="462"/>
      <c r="P521" s="462"/>
    </row>
    <row r="522">
      <c r="A522" s="462"/>
      <c r="B522" s="462"/>
      <c r="C522" s="462"/>
      <c r="D522" s="462"/>
      <c r="E522" s="462"/>
      <c r="F522" s="462"/>
      <c r="G522" s="942"/>
      <c r="H522" s="462"/>
      <c r="I522" s="462"/>
      <c r="J522" s="462"/>
      <c r="K522" s="462"/>
      <c r="L522" s="462"/>
      <c r="M522" s="462"/>
      <c r="N522" s="912"/>
      <c r="O522" s="462"/>
      <c r="P522" s="462"/>
    </row>
    <row r="523">
      <c r="A523" s="462"/>
      <c r="B523" s="462"/>
      <c r="C523" s="462"/>
      <c r="D523" s="462"/>
      <c r="E523" s="462"/>
      <c r="F523" s="462"/>
      <c r="G523" s="942"/>
      <c r="H523" s="462"/>
      <c r="I523" s="462"/>
      <c r="J523" s="462"/>
      <c r="K523" s="462"/>
      <c r="L523" s="462"/>
      <c r="M523" s="462"/>
      <c r="N523" s="912"/>
      <c r="O523" s="462"/>
      <c r="P523" s="462"/>
    </row>
    <row r="524">
      <c r="A524" s="462"/>
      <c r="B524" s="462"/>
      <c r="C524" s="462"/>
      <c r="D524" s="462"/>
      <c r="E524" s="462"/>
      <c r="F524" s="462"/>
      <c r="G524" s="942"/>
      <c r="H524" s="462"/>
      <c r="I524" s="462"/>
      <c r="J524" s="462"/>
      <c r="K524" s="462"/>
      <c r="L524" s="462"/>
      <c r="M524" s="462"/>
      <c r="N524" s="912"/>
      <c r="O524" s="462"/>
      <c r="P524" s="462"/>
    </row>
    <row r="525">
      <c r="A525" s="462"/>
      <c r="B525" s="462"/>
      <c r="C525" s="462"/>
      <c r="D525" s="462"/>
      <c r="E525" s="462"/>
      <c r="F525" s="462"/>
      <c r="G525" s="942"/>
      <c r="H525" s="462"/>
      <c r="I525" s="462"/>
      <c r="J525" s="462"/>
      <c r="K525" s="462"/>
      <c r="L525" s="462"/>
      <c r="M525" s="462"/>
      <c r="N525" s="912"/>
      <c r="O525" s="462"/>
      <c r="P525" s="462"/>
    </row>
    <row r="526">
      <c r="A526" s="462"/>
      <c r="B526" s="462"/>
      <c r="C526" s="462"/>
      <c r="D526" s="462"/>
      <c r="E526" s="462"/>
      <c r="F526" s="462"/>
      <c r="G526" s="942"/>
      <c r="H526" s="462"/>
      <c r="I526" s="462"/>
      <c r="J526" s="462"/>
      <c r="K526" s="462"/>
      <c r="L526" s="462"/>
      <c r="M526" s="462"/>
      <c r="N526" s="912"/>
      <c r="O526" s="462"/>
      <c r="P526" s="462"/>
    </row>
    <row r="527">
      <c r="A527" s="462"/>
      <c r="B527" s="462"/>
      <c r="C527" s="462"/>
      <c r="D527" s="462"/>
      <c r="E527" s="462"/>
      <c r="F527" s="462"/>
      <c r="G527" s="942"/>
      <c r="H527" s="462"/>
      <c r="I527" s="462"/>
      <c r="J527" s="462"/>
      <c r="K527" s="462"/>
      <c r="L527" s="462"/>
      <c r="M527" s="462"/>
      <c r="N527" s="912"/>
      <c r="O527" s="462"/>
      <c r="P527" s="462"/>
    </row>
    <row r="528">
      <c r="A528" s="462"/>
      <c r="B528" s="462"/>
      <c r="C528" s="462"/>
      <c r="D528" s="462"/>
      <c r="E528" s="462"/>
      <c r="F528" s="462"/>
      <c r="G528" s="942"/>
      <c r="H528" s="462"/>
      <c r="I528" s="462"/>
      <c r="J528" s="462"/>
      <c r="K528" s="462"/>
      <c r="L528" s="462"/>
      <c r="M528" s="462"/>
      <c r="N528" s="912"/>
      <c r="O528" s="462"/>
      <c r="P528" s="462"/>
    </row>
    <row r="529">
      <c r="A529" s="462"/>
      <c r="B529" s="462"/>
      <c r="C529" s="462"/>
      <c r="D529" s="462"/>
      <c r="E529" s="462"/>
      <c r="F529" s="462"/>
      <c r="G529" s="942"/>
      <c r="H529" s="462"/>
      <c r="I529" s="462"/>
      <c r="J529" s="462"/>
      <c r="K529" s="462"/>
      <c r="L529" s="462"/>
      <c r="M529" s="462"/>
      <c r="N529" s="912"/>
      <c r="O529" s="462"/>
      <c r="P529" s="462"/>
    </row>
    <row r="530">
      <c r="A530" s="462"/>
      <c r="B530" s="462"/>
      <c r="C530" s="462"/>
      <c r="D530" s="462"/>
      <c r="E530" s="462"/>
      <c r="F530" s="462"/>
      <c r="G530" s="942"/>
      <c r="H530" s="462"/>
      <c r="I530" s="462"/>
      <c r="J530" s="462"/>
      <c r="K530" s="462"/>
      <c r="L530" s="462"/>
      <c r="M530" s="462"/>
      <c r="N530" s="912"/>
      <c r="O530" s="462"/>
      <c r="P530" s="462"/>
    </row>
    <row r="531">
      <c r="A531" s="462"/>
      <c r="B531" s="462"/>
      <c r="C531" s="462"/>
      <c r="D531" s="462"/>
      <c r="E531" s="462"/>
      <c r="F531" s="462"/>
      <c r="G531" s="942"/>
      <c r="H531" s="462"/>
      <c r="I531" s="462"/>
      <c r="J531" s="462"/>
      <c r="K531" s="462"/>
      <c r="L531" s="462"/>
      <c r="M531" s="462"/>
      <c r="N531" s="912"/>
      <c r="O531" s="462"/>
      <c r="P531" s="462"/>
    </row>
    <row r="532">
      <c r="A532" s="462"/>
      <c r="B532" s="462"/>
      <c r="C532" s="462"/>
      <c r="D532" s="462"/>
      <c r="E532" s="462"/>
      <c r="F532" s="462"/>
      <c r="G532" s="942"/>
      <c r="H532" s="462"/>
      <c r="I532" s="462"/>
      <c r="J532" s="462"/>
      <c r="K532" s="462"/>
      <c r="L532" s="462"/>
      <c r="M532" s="462"/>
      <c r="N532" s="912"/>
      <c r="O532" s="462"/>
      <c r="P532" s="462"/>
    </row>
    <row r="533">
      <c r="A533" s="462"/>
      <c r="B533" s="462"/>
      <c r="C533" s="462"/>
      <c r="D533" s="462"/>
      <c r="E533" s="462"/>
      <c r="F533" s="462"/>
      <c r="G533" s="942"/>
      <c r="H533" s="462"/>
      <c r="I533" s="462"/>
      <c r="J533" s="462"/>
      <c r="K533" s="462"/>
      <c r="L533" s="462"/>
      <c r="M533" s="462"/>
      <c r="N533" s="912"/>
      <c r="O533" s="462"/>
      <c r="P533" s="462"/>
    </row>
    <row r="534">
      <c r="A534" s="462"/>
      <c r="B534" s="462"/>
      <c r="C534" s="462"/>
      <c r="D534" s="462"/>
      <c r="E534" s="462"/>
      <c r="F534" s="462"/>
      <c r="G534" s="942"/>
      <c r="H534" s="462"/>
      <c r="I534" s="462"/>
      <c r="J534" s="462"/>
      <c r="K534" s="462"/>
      <c r="L534" s="462"/>
      <c r="M534" s="462"/>
      <c r="N534" s="912"/>
      <c r="O534" s="462"/>
      <c r="P534" s="462"/>
    </row>
    <row r="535">
      <c r="A535" s="462"/>
      <c r="B535" s="462"/>
      <c r="C535" s="462"/>
      <c r="D535" s="462"/>
      <c r="E535" s="462"/>
      <c r="F535" s="462"/>
      <c r="G535" s="942"/>
      <c r="H535" s="462"/>
      <c r="I535" s="462"/>
      <c r="J535" s="462"/>
      <c r="K535" s="462"/>
      <c r="L535" s="462"/>
      <c r="M535" s="462"/>
      <c r="N535" s="912"/>
      <c r="O535" s="462"/>
      <c r="P535" s="462"/>
    </row>
    <row r="536">
      <c r="A536" s="462"/>
      <c r="B536" s="462"/>
      <c r="C536" s="462"/>
      <c r="D536" s="462"/>
      <c r="E536" s="462"/>
      <c r="F536" s="462"/>
      <c r="G536" s="942"/>
      <c r="H536" s="462"/>
      <c r="I536" s="462"/>
      <c r="J536" s="462"/>
      <c r="K536" s="462"/>
      <c r="L536" s="462"/>
      <c r="M536" s="462"/>
      <c r="N536" s="912"/>
      <c r="O536" s="462"/>
      <c r="P536" s="462"/>
    </row>
    <row r="537">
      <c r="A537" s="462"/>
      <c r="B537" s="462"/>
      <c r="C537" s="462"/>
      <c r="D537" s="462"/>
      <c r="E537" s="462"/>
      <c r="F537" s="462"/>
      <c r="G537" s="942"/>
      <c r="H537" s="462"/>
      <c r="I537" s="462"/>
      <c r="J537" s="462"/>
      <c r="K537" s="462"/>
      <c r="L537" s="462"/>
      <c r="M537" s="462"/>
      <c r="N537" s="912"/>
      <c r="O537" s="462"/>
      <c r="P537" s="462"/>
    </row>
    <row r="538">
      <c r="A538" s="462"/>
      <c r="B538" s="462"/>
      <c r="C538" s="462"/>
      <c r="D538" s="462"/>
      <c r="E538" s="462"/>
      <c r="F538" s="462"/>
      <c r="G538" s="942"/>
      <c r="H538" s="462"/>
      <c r="I538" s="462"/>
      <c r="J538" s="462"/>
      <c r="K538" s="462"/>
      <c r="L538" s="462"/>
      <c r="M538" s="462"/>
      <c r="N538" s="912"/>
      <c r="O538" s="462"/>
      <c r="P538" s="462"/>
    </row>
    <row r="539">
      <c r="A539" s="462"/>
      <c r="B539" s="462"/>
      <c r="C539" s="462"/>
      <c r="D539" s="462"/>
      <c r="E539" s="462"/>
      <c r="F539" s="462"/>
      <c r="G539" s="942"/>
      <c r="H539" s="462"/>
      <c r="I539" s="462"/>
      <c r="J539" s="462"/>
      <c r="K539" s="462"/>
      <c r="L539" s="462"/>
      <c r="M539" s="462"/>
      <c r="N539" s="912"/>
      <c r="O539" s="462"/>
      <c r="P539" s="462"/>
    </row>
    <row r="540">
      <c r="A540" s="462"/>
      <c r="B540" s="462"/>
      <c r="C540" s="462"/>
      <c r="D540" s="462"/>
      <c r="E540" s="462"/>
      <c r="F540" s="462"/>
      <c r="G540" s="942"/>
      <c r="H540" s="462"/>
      <c r="I540" s="462"/>
      <c r="J540" s="462"/>
      <c r="K540" s="462"/>
      <c r="L540" s="462"/>
      <c r="M540" s="462"/>
      <c r="N540" s="912"/>
      <c r="O540" s="462"/>
      <c r="P540" s="462"/>
    </row>
    <row r="541">
      <c r="A541" s="462"/>
      <c r="B541" s="462"/>
      <c r="C541" s="462"/>
      <c r="D541" s="462"/>
      <c r="E541" s="462"/>
      <c r="F541" s="462"/>
      <c r="G541" s="942"/>
      <c r="H541" s="462"/>
      <c r="I541" s="462"/>
      <c r="J541" s="462"/>
      <c r="K541" s="462"/>
      <c r="L541" s="462"/>
      <c r="M541" s="462"/>
      <c r="N541" s="912"/>
      <c r="O541" s="462"/>
      <c r="P541" s="462"/>
    </row>
    <row r="542">
      <c r="A542" s="462"/>
      <c r="B542" s="462"/>
      <c r="C542" s="462"/>
      <c r="D542" s="462"/>
      <c r="E542" s="462"/>
      <c r="F542" s="462"/>
      <c r="G542" s="942"/>
      <c r="H542" s="462"/>
      <c r="I542" s="462"/>
      <c r="J542" s="462"/>
      <c r="K542" s="462"/>
      <c r="L542" s="462"/>
      <c r="M542" s="462"/>
      <c r="N542" s="912"/>
      <c r="O542" s="462"/>
      <c r="P542" s="462"/>
    </row>
    <row r="543">
      <c r="A543" s="462"/>
      <c r="B543" s="462"/>
      <c r="C543" s="462"/>
      <c r="D543" s="462"/>
      <c r="E543" s="462"/>
      <c r="F543" s="462"/>
      <c r="G543" s="942"/>
      <c r="H543" s="462"/>
      <c r="I543" s="462"/>
      <c r="J543" s="462"/>
      <c r="K543" s="462"/>
      <c r="L543" s="462"/>
      <c r="M543" s="462"/>
      <c r="N543" s="912"/>
      <c r="O543" s="462"/>
      <c r="P543" s="462"/>
    </row>
    <row r="544">
      <c r="A544" s="462"/>
      <c r="B544" s="462"/>
      <c r="C544" s="462"/>
      <c r="D544" s="462"/>
      <c r="E544" s="462"/>
      <c r="F544" s="462"/>
      <c r="G544" s="942"/>
      <c r="H544" s="462"/>
      <c r="I544" s="462"/>
      <c r="J544" s="462"/>
      <c r="K544" s="462"/>
      <c r="L544" s="462"/>
      <c r="M544" s="462"/>
      <c r="N544" s="912"/>
      <c r="O544" s="462"/>
      <c r="P544" s="462"/>
    </row>
    <row r="545">
      <c r="A545" s="462"/>
      <c r="B545" s="462"/>
      <c r="C545" s="462"/>
      <c r="D545" s="462"/>
      <c r="E545" s="462"/>
      <c r="F545" s="462"/>
      <c r="G545" s="942"/>
      <c r="H545" s="462"/>
      <c r="I545" s="462"/>
      <c r="J545" s="462"/>
      <c r="K545" s="462"/>
      <c r="L545" s="462"/>
      <c r="M545" s="462"/>
      <c r="N545" s="912"/>
      <c r="O545" s="462"/>
      <c r="P545" s="462"/>
    </row>
    <row r="546">
      <c r="A546" s="462"/>
      <c r="B546" s="462"/>
      <c r="C546" s="462"/>
      <c r="D546" s="462"/>
      <c r="E546" s="462"/>
      <c r="F546" s="462"/>
      <c r="G546" s="942"/>
      <c r="H546" s="462"/>
      <c r="I546" s="462"/>
      <c r="J546" s="462"/>
      <c r="K546" s="462"/>
      <c r="L546" s="462"/>
      <c r="M546" s="462"/>
      <c r="N546" s="912"/>
      <c r="O546" s="462"/>
      <c r="P546" s="462"/>
    </row>
    <row r="547">
      <c r="A547" s="462"/>
      <c r="B547" s="462"/>
      <c r="C547" s="462"/>
      <c r="D547" s="462"/>
      <c r="E547" s="462"/>
      <c r="F547" s="462"/>
      <c r="G547" s="942"/>
      <c r="H547" s="462"/>
      <c r="I547" s="462"/>
      <c r="J547" s="462"/>
      <c r="K547" s="462"/>
      <c r="L547" s="462"/>
      <c r="M547" s="462"/>
      <c r="N547" s="912"/>
      <c r="O547" s="462"/>
      <c r="P547" s="462"/>
    </row>
    <row r="548">
      <c r="A548" s="462"/>
      <c r="B548" s="462"/>
      <c r="C548" s="462"/>
      <c r="D548" s="462"/>
      <c r="E548" s="462"/>
      <c r="F548" s="462"/>
      <c r="G548" s="942"/>
      <c r="H548" s="462"/>
      <c r="I548" s="462"/>
      <c r="J548" s="462"/>
      <c r="K548" s="462"/>
      <c r="L548" s="462"/>
      <c r="M548" s="462"/>
      <c r="N548" s="912"/>
      <c r="O548" s="462"/>
      <c r="P548" s="462"/>
    </row>
    <row r="549">
      <c r="A549" s="462"/>
      <c r="B549" s="462"/>
      <c r="C549" s="462"/>
      <c r="D549" s="462"/>
      <c r="E549" s="462"/>
      <c r="F549" s="462"/>
      <c r="G549" s="942"/>
      <c r="H549" s="462"/>
      <c r="I549" s="462"/>
      <c r="J549" s="462"/>
      <c r="K549" s="462"/>
      <c r="L549" s="462"/>
      <c r="M549" s="462"/>
      <c r="N549" s="912"/>
      <c r="O549" s="462"/>
      <c r="P549" s="462"/>
    </row>
    <row r="550">
      <c r="A550" s="462"/>
      <c r="B550" s="462"/>
      <c r="C550" s="462"/>
      <c r="D550" s="462"/>
      <c r="E550" s="462"/>
      <c r="F550" s="462"/>
      <c r="G550" s="942"/>
      <c r="H550" s="462"/>
      <c r="I550" s="462"/>
      <c r="J550" s="462"/>
      <c r="K550" s="462"/>
      <c r="L550" s="462"/>
      <c r="M550" s="462"/>
      <c r="N550" s="912"/>
      <c r="O550" s="462"/>
      <c r="P550" s="462"/>
    </row>
    <row r="551">
      <c r="A551" s="462"/>
      <c r="B551" s="462"/>
      <c r="C551" s="462"/>
      <c r="D551" s="462"/>
      <c r="E551" s="462"/>
      <c r="F551" s="462"/>
      <c r="G551" s="942"/>
      <c r="H551" s="462"/>
      <c r="I551" s="462"/>
      <c r="J551" s="462"/>
      <c r="K551" s="462"/>
      <c r="L551" s="462"/>
      <c r="M551" s="462"/>
      <c r="N551" s="912"/>
      <c r="O551" s="462"/>
      <c r="P551" s="462"/>
    </row>
    <row r="552">
      <c r="A552" s="462"/>
      <c r="B552" s="462"/>
      <c r="C552" s="462"/>
      <c r="D552" s="462"/>
      <c r="E552" s="462"/>
      <c r="F552" s="462"/>
      <c r="G552" s="942"/>
      <c r="H552" s="462"/>
      <c r="I552" s="462"/>
      <c r="J552" s="462"/>
      <c r="K552" s="462"/>
      <c r="L552" s="462"/>
      <c r="M552" s="462"/>
      <c r="N552" s="912"/>
      <c r="O552" s="462"/>
      <c r="P552" s="462"/>
    </row>
    <row r="553">
      <c r="A553" s="462"/>
      <c r="B553" s="462"/>
      <c r="C553" s="462"/>
      <c r="D553" s="462"/>
      <c r="E553" s="462"/>
      <c r="F553" s="462"/>
      <c r="G553" s="942"/>
      <c r="H553" s="462"/>
      <c r="I553" s="462"/>
      <c r="J553" s="462"/>
      <c r="K553" s="462"/>
      <c r="L553" s="462"/>
      <c r="M553" s="462"/>
      <c r="N553" s="912"/>
      <c r="O553" s="462"/>
      <c r="P553" s="462"/>
    </row>
    <row r="554">
      <c r="A554" s="462"/>
      <c r="B554" s="462"/>
      <c r="C554" s="462"/>
      <c r="D554" s="462"/>
      <c r="E554" s="462"/>
      <c r="F554" s="462"/>
      <c r="G554" s="942"/>
      <c r="H554" s="462"/>
      <c r="I554" s="462"/>
      <c r="J554" s="462"/>
      <c r="K554" s="462"/>
      <c r="L554" s="462"/>
      <c r="M554" s="462"/>
      <c r="N554" s="912"/>
      <c r="O554" s="462"/>
      <c r="P554" s="462"/>
    </row>
    <row r="555">
      <c r="A555" s="462"/>
      <c r="B555" s="462"/>
      <c r="C555" s="462"/>
      <c r="D555" s="462"/>
      <c r="E555" s="462"/>
      <c r="F555" s="462"/>
      <c r="G555" s="942"/>
      <c r="H555" s="462"/>
      <c r="I555" s="462"/>
      <c r="J555" s="462"/>
      <c r="K555" s="462"/>
      <c r="L555" s="462"/>
      <c r="M555" s="462"/>
      <c r="N555" s="912"/>
      <c r="O555" s="462"/>
      <c r="P555" s="462"/>
    </row>
    <row r="556">
      <c r="A556" s="462"/>
      <c r="B556" s="462"/>
      <c r="C556" s="462"/>
      <c r="D556" s="462"/>
      <c r="E556" s="462"/>
      <c r="F556" s="462"/>
      <c r="G556" s="942"/>
      <c r="H556" s="462"/>
      <c r="I556" s="462"/>
      <c r="J556" s="462"/>
      <c r="K556" s="462"/>
      <c r="L556" s="462"/>
      <c r="M556" s="462"/>
      <c r="N556" s="912"/>
      <c r="O556" s="462"/>
      <c r="P556" s="462"/>
    </row>
    <row r="557">
      <c r="A557" s="462"/>
      <c r="B557" s="462"/>
      <c r="C557" s="462"/>
      <c r="D557" s="462"/>
      <c r="E557" s="462"/>
      <c r="F557" s="462"/>
      <c r="G557" s="942"/>
      <c r="H557" s="462"/>
      <c r="I557" s="462"/>
      <c r="J557" s="462"/>
      <c r="K557" s="462"/>
      <c r="L557" s="462"/>
      <c r="M557" s="462"/>
      <c r="N557" s="912"/>
      <c r="O557" s="462"/>
      <c r="P557" s="462"/>
    </row>
    <row r="558">
      <c r="A558" s="462"/>
      <c r="B558" s="462"/>
      <c r="C558" s="462"/>
      <c r="D558" s="462"/>
      <c r="E558" s="462"/>
      <c r="F558" s="462"/>
      <c r="G558" s="942"/>
      <c r="H558" s="462"/>
      <c r="I558" s="462"/>
      <c r="J558" s="462"/>
      <c r="K558" s="462"/>
      <c r="L558" s="462"/>
      <c r="M558" s="462"/>
      <c r="N558" s="912"/>
      <c r="O558" s="462"/>
      <c r="P558" s="462"/>
    </row>
    <row r="559">
      <c r="A559" s="462"/>
      <c r="B559" s="462"/>
      <c r="C559" s="462"/>
      <c r="D559" s="462"/>
      <c r="E559" s="462"/>
      <c r="F559" s="462"/>
      <c r="G559" s="942"/>
      <c r="H559" s="462"/>
      <c r="I559" s="462"/>
      <c r="J559" s="462"/>
      <c r="K559" s="462"/>
      <c r="L559" s="462"/>
      <c r="M559" s="462"/>
      <c r="N559" s="912"/>
      <c r="O559" s="462"/>
      <c r="P559" s="462"/>
    </row>
    <row r="560">
      <c r="A560" s="462"/>
      <c r="B560" s="462"/>
      <c r="C560" s="462"/>
      <c r="D560" s="462"/>
      <c r="E560" s="462"/>
      <c r="F560" s="462"/>
      <c r="G560" s="942"/>
      <c r="H560" s="462"/>
      <c r="I560" s="462"/>
      <c r="J560" s="462"/>
      <c r="K560" s="462"/>
      <c r="L560" s="462"/>
      <c r="M560" s="462"/>
      <c r="N560" s="912"/>
      <c r="O560" s="462"/>
      <c r="P560" s="462"/>
    </row>
    <row r="561">
      <c r="A561" s="462"/>
      <c r="B561" s="462"/>
      <c r="C561" s="462"/>
      <c r="D561" s="462"/>
      <c r="E561" s="462"/>
      <c r="F561" s="462"/>
      <c r="G561" s="942"/>
      <c r="H561" s="462"/>
      <c r="I561" s="462"/>
      <c r="J561" s="462"/>
      <c r="K561" s="462"/>
      <c r="L561" s="462"/>
      <c r="M561" s="462"/>
      <c r="N561" s="912"/>
      <c r="O561" s="462"/>
      <c r="P561" s="462"/>
    </row>
    <row r="562">
      <c r="A562" s="462"/>
      <c r="B562" s="462"/>
      <c r="C562" s="462"/>
      <c r="D562" s="462"/>
      <c r="E562" s="462"/>
      <c r="F562" s="462"/>
      <c r="G562" s="942"/>
      <c r="H562" s="462"/>
      <c r="I562" s="462"/>
      <c r="J562" s="462"/>
      <c r="K562" s="462"/>
      <c r="L562" s="462"/>
      <c r="M562" s="462"/>
      <c r="N562" s="912"/>
      <c r="O562" s="462"/>
      <c r="P562" s="462"/>
    </row>
    <row r="563">
      <c r="A563" s="462"/>
      <c r="B563" s="462"/>
      <c r="C563" s="462"/>
      <c r="D563" s="462"/>
      <c r="E563" s="462"/>
      <c r="F563" s="462"/>
      <c r="G563" s="942"/>
      <c r="H563" s="462"/>
      <c r="I563" s="462"/>
      <c r="J563" s="462"/>
      <c r="K563" s="462"/>
      <c r="L563" s="462"/>
      <c r="M563" s="462"/>
      <c r="N563" s="912"/>
      <c r="O563" s="462"/>
      <c r="P563" s="462"/>
    </row>
    <row r="564">
      <c r="A564" s="462"/>
      <c r="B564" s="462"/>
      <c r="C564" s="462"/>
      <c r="D564" s="462"/>
      <c r="E564" s="462"/>
      <c r="F564" s="462"/>
      <c r="G564" s="942"/>
      <c r="H564" s="462"/>
      <c r="I564" s="462"/>
      <c r="J564" s="462"/>
      <c r="K564" s="462"/>
      <c r="L564" s="462"/>
      <c r="M564" s="462"/>
      <c r="N564" s="912"/>
      <c r="O564" s="462"/>
      <c r="P564" s="462"/>
    </row>
    <row r="565">
      <c r="A565" s="462"/>
      <c r="B565" s="462"/>
      <c r="C565" s="462"/>
      <c r="D565" s="462"/>
      <c r="E565" s="462"/>
      <c r="F565" s="462"/>
      <c r="G565" s="942"/>
      <c r="H565" s="462"/>
      <c r="I565" s="462"/>
      <c r="J565" s="462"/>
      <c r="K565" s="462"/>
      <c r="L565" s="462"/>
      <c r="M565" s="462"/>
      <c r="N565" s="912"/>
      <c r="O565" s="462"/>
      <c r="P565" s="462"/>
    </row>
    <row r="566">
      <c r="A566" s="462"/>
      <c r="B566" s="462"/>
      <c r="C566" s="462"/>
      <c r="D566" s="462"/>
      <c r="E566" s="462"/>
      <c r="F566" s="462"/>
      <c r="G566" s="942"/>
      <c r="H566" s="462"/>
      <c r="I566" s="462"/>
      <c r="J566" s="462"/>
      <c r="K566" s="462"/>
      <c r="L566" s="462"/>
      <c r="M566" s="462"/>
      <c r="N566" s="912"/>
      <c r="O566" s="462"/>
      <c r="P566" s="462"/>
    </row>
    <row r="567">
      <c r="A567" s="462"/>
      <c r="B567" s="462"/>
      <c r="C567" s="462"/>
      <c r="D567" s="462"/>
      <c r="E567" s="462"/>
      <c r="F567" s="462"/>
      <c r="G567" s="942"/>
      <c r="H567" s="462"/>
      <c r="I567" s="462"/>
      <c r="J567" s="462"/>
      <c r="K567" s="462"/>
      <c r="L567" s="462"/>
      <c r="M567" s="462"/>
      <c r="N567" s="912"/>
      <c r="O567" s="462"/>
      <c r="P567" s="462"/>
    </row>
    <row r="568">
      <c r="A568" s="462"/>
      <c r="B568" s="462"/>
      <c r="C568" s="462"/>
      <c r="D568" s="462"/>
      <c r="E568" s="462"/>
      <c r="F568" s="462"/>
      <c r="G568" s="942"/>
      <c r="H568" s="462"/>
      <c r="I568" s="462"/>
      <c r="J568" s="462"/>
      <c r="K568" s="462"/>
      <c r="L568" s="462"/>
      <c r="M568" s="462"/>
      <c r="N568" s="912"/>
      <c r="O568" s="462"/>
      <c r="P568" s="462"/>
    </row>
    <row r="569">
      <c r="A569" s="462"/>
      <c r="B569" s="462"/>
      <c r="C569" s="462"/>
      <c r="D569" s="462"/>
      <c r="E569" s="462"/>
      <c r="F569" s="462"/>
      <c r="G569" s="942"/>
      <c r="H569" s="462"/>
      <c r="I569" s="462"/>
      <c r="J569" s="462"/>
      <c r="K569" s="462"/>
      <c r="L569" s="462"/>
      <c r="M569" s="462"/>
      <c r="N569" s="912"/>
      <c r="O569" s="462"/>
      <c r="P569" s="462"/>
    </row>
    <row r="570">
      <c r="A570" s="462"/>
      <c r="B570" s="462"/>
      <c r="C570" s="462"/>
      <c r="D570" s="462"/>
      <c r="E570" s="462"/>
      <c r="F570" s="462"/>
      <c r="G570" s="942"/>
      <c r="H570" s="462"/>
      <c r="I570" s="462"/>
      <c r="J570" s="462"/>
      <c r="K570" s="462"/>
      <c r="L570" s="462"/>
      <c r="M570" s="462"/>
      <c r="N570" s="912"/>
      <c r="O570" s="462"/>
      <c r="P570" s="462"/>
    </row>
    <row r="571">
      <c r="A571" s="462"/>
      <c r="B571" s="462"/>
      <c r="C571" s="462"/>
      <c r="D571" s="462"/>
      <c r="E571" s="462"/>
      <c r="F571" s="462"/>
      <c r="G571" s="942"/>
      <c r="H571" s="462"/>
      <c r="I571" s="462"/>
      <c r="J571" s="462"/>
      <c r="K571" s="462"/>
      <c r="L571" s="462"/>
      <c r="M571" s="462"/>
      <c r="N571" s="912"/>
      <c r="O571" s="462"/>
      <c r="P571" s="462"/>
    </row>
    <row r="572">
      <c r="A572" s="462"/>
      <c r="B572" s="462"/>
      <c r="C572" s="462"/>
      <c r="D572" s="462"/>
      <c r="E572" s="462"/>
      <c r="F572" s="462"/>
      <c r="G572" s="942"/>
      <c r="H572" s="462"/>
      <c r="I572" s="462"/>
      <c r="J572" s="462"/>
      <c r="K572" s="462"/>
      <c r="L572" s="462"/>
      <c r="M572" s="462"/>
      <c r="N572" s="912"/>
      <c r="O572" s="462"/>
      <c r="P572" s="462"/>
    </row>
    <row r="573">
      <c r="A573" s="462"/>
      <c r="B573" s="462"/>
      <c r="C573" s="462"/>
      <c r="D573" s="462"/>
      <c r="E573" s="462"/>
      <c r="F573" s="462"/>
      <c r="G573" s="942"/>
      <c r="H573" s="462"/>
      <c r="I573" s="462"/>
      <c r="J573" s="462"/>
      <c r="K573" s="462"/>
      <c r="L573" s="462"/>
      <c r="M573" s="462"/>
      <c r="N573" s="912"/>
      <c r="O573" s="462"/>
      <c r="P573" s="462"/>
    </row>
    <row r="574">
      <c r="A574" s="462"/>
      <c r="B574" s="462"/>
      <c r="C574" s="462"/>
      <c r="D574" s="462"/>
      <c r="E574" s="462"/>
      <c r="F574" s="462"/>
      <c r="G574" s="942"/>
      <c r="H574" s="462"/>
      <c r="I574" s="462"/>
      <c r="J574" s="462"/>
      <c r="K574" s="462"/>
      <c r="L574" s="462"/>
      <c r="M574" s="462"/>
      <c r="N574" s="912"/>
      <c r="O574" s="462"/>
      <c r="P574" s="462"/>
    </row>
    <row r="575">
      <c r="A575" s="462"/>
      <c r="B575" s="462"/>
      <c r="C575" s="462"/>
      <c r="D575" s="462"/>
      <c r="E575" s="462"/>
      <c r="F575" s="462"/>
      <c r="G575" s="942"/>
      <c r="H575" s="462"/>
      <c r="I575" s="462"/>
      <c r="J575" s="462"/>
      <c r="K575" s="462"/>
      <c r="L575" s="462"/>
      <c r="M575" s="462"/>
      <c r="N575" s="912"/>
      <c r="O575" s="462"/>
      <c r="P575" s="462"/>
    </row>
    <row r="576">
      <c r="A576" s="462"/>
      <c r="B576" s="462"/>
      <c r="C576" s="462"/>
      <c r="D576" s="462"/>
      <c r="E576" s="462"/>
      <c r="F576" s="462"/>
      <c r="G576" s="942"/>
      <c r="H576" s="462"/>
      <c r="I576" s="462"/>
      <c r="J576" s="462"/>
      <c r="K576" s="462"/>
      <c r="L576" s="462"/>
      <c r="M576" s="462"/>
      <c r="N576" s="912"/>
      <c r="O576" s="462"/>
      <c r="P576" s="462"/>
    </row>
    <row r="577">
      <c r="A577" s="462"/>
      <c r="B577" s="462"/>
      <c r="C577" s="462"/>
      <c r="D577" s="462"/>
      <c r="E577" s="462"/>
      <c r="F577" s="462"/>
      <c r="G577" s="942"/>
      <c r="H577" s="462"/>
      <c r="I577" s="462"/>
      <c r="J577" s="462"/>
      <c r="K577" s="462"/>
      <c r="L577" s="462"/>
      <c r="M577" s="462"/>
      <c r="N577" s="912"/>
      <c r="O577" s="462"/>
      <c r="P577" s="462"/>
    </row>
    <row r="578">
      <c r="A578" s="462"/>
      <c r="B578" s="462"/>
      <c r="C578" s="462"/>
      <c r="D578" s="462"/>
      <c r="E578" s="462"/>
      <c r="F578" s="462"/>
      <c r="G578" s="942"/>
      <c r="H578" s="462"/>
      <c r="I578" s="462"/>
      <c r="J578" s="462"/>
      <c r="K578" s="462"/>
      <c r="L578" s="462"/>
      <c r="M578" s="462"/>
      <c r="N578" s="912"/>
      <c r="O578" s="462"/>
      <c r="P578" s="462"/>
    </row>
    <row r="579">
      <c r="A579" s="462"/>
      <c r="B579" s="462"/>
      <c r="C579" s="462"/>
      <c r="D579" s="462"/>
      <c r="E579" s="462"/>
      <c r="F579" s="462"/>
      <c r="G579" s="942"/>
      <c r="H579" s="462"/>
      <c r="I579" s="462"/>
      <c r="J579" s="462"/>
      <c r="K579" s="462"/>
      <c r="L579" s="462"/>
      <c r="M579" s="462"/>
      <c r="N579" s="912"/>
      <c r="O579" s="462"/>
      <c r="P579" s="462"/>
    </row>
    <row r="580">
      <c r="A580" s="462"/>
      <c r="B580" s="462"/>
      <c r="C580" s="462"/>
      <c r="D580" s="462"/>
      <c r="E580" s="462"/>
      <c r="F580" s="462"/>
      <c r="G580" s="942"/>
      <c r="H580" s="462"/>
      <c r="I580" s="462"/>
      <c r="J580" s="462"/>
      <c r="K580" s="462"/>
      <c r="L580" s="462"/>
      <c r="M580" s="462"/>
      <c r="N580" s="912"/>
      <c r="O580" s="462"/>
      <c r="P580" s="462"/>
    </row>
    <row r="581">
      <c r="A581" s="462"/>
      <c r="B581" s="462"/>
      <c r="C581" s="462"/>
      <c r="D581" s="462"/>
      <c r="E581" s="462"/>
      <c r="F581" s="462"/>
      <c r="G581" s="942"/>
      <c r="H581" s="462"/>
      <c r="I581" s="462"/>
      <c r="J581" s="462"/>
      <c r="K581" s="462"/>
      <c r="L581" s="462"/>
      <c r="M581" s="462"/>
      <c r="N581" s="912"/>
      <c r="O581" s="462"/>
      <c r="P581" s="462"/>
    </row>
    <row r="582">
      <c r="A582" s="462"/>
      <c r="B582" s="462"/>
      <c r="C582" s="462"/>
      <c r="D582" s="462"/>
      <c r="E582" s="462"/>
      <c r="F582" s="462"/>
      <c r="G582" s="942"/>
      <c r="H582" s="462"/>
      <c r="I582" s="462"/>
      <c r="J582" s="462"/>
      <c r="K582" s="462"/>
      <c r="L582" s="462"/>
      <c r="M582" s="462"/>
      <c r="N582" s="912"/>
      <c r="O582" s="462"/>
      <c r="P582" s="462"/>
    </row>
    <row r="583">
      <c r="A583" s="462"/>
      <c r="B583" s="462"/>
      <c r="C583" s="462"/>
      <c r="D583" s="462"/>
      <c r="E583" s="462"/>
      <c r="F583" s="462"/>
      <c r="G583" s="942"/>
      <c r="H583" s="462"/>
      <c r="I583" s="462"/>
      <c r="J583" s="462"/>
      <c r="K583" s="462"/>
      <c r="L583" s="462"/>
      <c r="M583" s="462"/>
      <c r="N583" s="912"/>
      <c r="O583" s="462"/>
      <c r="P583" s="462"/>
    </row>
    <row r="584">
      <c r="A584" s="462"/>
      <c r="B584" s="462"/>
      <c r="C584" s="462"/>
      <c r="D584" s="462"/>
      <c r="E584" s="462"/>
      <c r="F584" s="462"/>
      <c r="G584" s="942"/>
      <c r="H584" s="462"/>
      <c r="I584" s="462"/>
      <c r="J584" s="462"/>
      <c r="K584" s="462"/>
      <c r="L584" s="462"/>
      <c r="M584" s="462"/>
      <c r="N584" s="912"/>
      <c r="O584" s="462"/>
      <c r="P584" s="462"/>
    </row>
    <row r="585">
      <c r="A585" s="462"/>
      <c r="B585" s="462"/>
      <c r="C585" s="462"/>
      <c r="D585" s="462"/>
      <c r="E585" s="462"/>
      <c r="F585" s="462"/>
      <c r="G585" s="942"/>
      <c r="H585" s="462"/>
      <c r="I585" s="462"/>
      <c r="J585" s="462"/>
      <c r="K585" s="462"/>
      <c r="L585" s="462"/>
      <c r="M585" s="462"/>
      <c r="N585" s="912"/>
      <c r="O585" s="462"/>
      <c r="P585" s="462"/>
    </row>
    <row r="586">
      <c r="A586" s="462"/>
      <c r="B586" s="462"/>
      <c r="C586" s="462"/>
      <c r="D586" s="462"/>
      <c r="E586" s="462"/>
      <c r="F586" s="462"/>
      <c r="G586" s="942"/>
      <c r="H586" s="462"/>
      <c r="I586" s="462"/>
      <c r="J586" s="462"/>
      <c r="K586" s="462"/>
      <c r="L586" s="462"/>
      <c r="M586" s="462"/>
      <c r="N586" s="912"/>
      <c r="O586" s="462"/>
      <c r="P586" s="462"/>
    </row>
    <row r="587">
      <c r="A587" s="462"/>
      <c r="B587" s="462"/>
      <c r="C587" s="462"/>
      <c r="D587" s="462"/>
      <c r="E587" s="462"/>
      <c r="F587" s="462"/>
      <c r="G587" s="942"/>
      <c r="H587" s="462"/>
      <c r="I587" s="462"/>
      <c r="J587" s="462"/>
      <c r="K587" s="462"/>
      <c r="L587" s="462"/>
      <c r="M587" s="462"/>
      <c r="N587" s="912"/>
      <c r="O587" s="462"/>
      <c r="P587" s="462"/>
    </row>
    <row r="588">
      <c r="A588" s="462"/>
      <c r="B588" s="462"/>
      <c r="C588" s="462"/>
      <c r="D588" s="462"/>
      <c r="E588" s="462"/>
      <c r="F588" s="462"/>
      <c r="G588" s="942"/>
      <c r="H588" s="462"/>
      <c r="I588" s="462"/>
      <c r="J588" s="462"/>
      <c r="K588" s="462"/>
      <c r="L588" s="462"/>
      <c r="M588" s="462"/>
      <c r="N588" s="912"/>
      <c r="O588" s="462"/>
      <c r="P588" s="462"/>
    </row>
    <row r="589">
      <c r="A589" s="462"/>
      <c r="B589" s="462"/>
      <c r="C589" s="462"/>
      <c r="D589" s="462"/>
      <c r="E589" s="462"/>
      <c r="F589" s="462"/>
      <c r="G589" s="942"/>
      <c r="H589" s="462"/>
      <c r="I589" s="462"/>
      <c r="J589" s="462"/>
      <c r="K589" s="462"/>
      <c r="L589" s="462"/>
      <c r="M589" s="462"/>
      <c r="N589" s="912"/>
      <c r="O589" s="462"/>
      <c r="P589" s="462"/>
    </row>
    <row r="590">
      <c r="A590" s="462"/>
      <c r="B590" s="462"/>
      <c r="C590" s="462"/>
      <c r="D590" s="462"/>
      <c r="E590" s="462"/>
      <c r="F590" s="462"/>
      <c r="G590" s="942"/>
      <c r="H590" s="462"/>
      <c r="I590" s="462"/>
      <c r="J590" s="462"/>
      <c r="K590" s="462"/>
      <c r="L590" s="462"/>
      <c r="M590" s="462"/>
      <c r="N590" s="912"/>
      <c r="O590" s="462"/>
      <c r="P590" s="462"/>
    </row>
    <row r="591">
      <c r="A591" s="462"/>
      <c r="B591" s="462"/>
      <c r="C591" s="462"/>
      <c r="D591" s="462"/>
      <c r="E591" s="462"/>
      <c r="F591" s="462"/>
      <c r="G591" s="942"/>
      <c r="H591" s="462"/>
      <c r="I591" s="462"/>
      <c r="J591" s="462"/>
      <c r="K591" s="462"/>
      <c r="L591" s="462"/>
      <c r="M591" s="462"/>
      <c r="N591" s="912"/>
      <c r="O591" s="462"/>
      <c r="P591" s="462"/>
    </row>
    <row r="592">
      <c r="A592" s="462"/>
      <c r="B592" s="462"/>
      <c r="C592" s="462"/>
      <c r="D592" s="462"/>
      <c r="E592" s="462"/>
      <c r="F592" s="462"/>
      <c r="G592" s="942"/>
      <c r="H592" s="462"/>
      <c r="I592" s="462"/>
      <c r="J592" s="462"/>
      <c r="K592" s="462"/>
      <c r="L592" s="462"/>
      <c r="M592" s="462"/>
      <c r="N592" s="912"/>
      <c r="O592" s="462"/>
      <c r="P592" s="462"/>
    </row>
    <row r="593">
      <c r="A593" s="462"/>
      <c r="B593" s="462"/>
      <c r="C593" s="462"/>
      <c r="D593" s="462"/>
      <c r="E593" s="462"/>
      <c r="F593" s="462"/>
      <c r="G593" s="942"/>
      <c r="H593" s="462"/>
      <c r="I593" s="462"/>
      <c r="J593" s="462"/>
      <c r="K593" s="462"/>
      <c r="L593" s="462"/>
      <c r="M593" s="462"/>
      <c r="N593" s="912"/>
      <c r="O593" s="462"/>
      <c r="P593" s="462"/>
    </row>
    <row r="594">
      <c r="A594" s="462"/>
      <c r="B594" s="462"/>
      <c r="C594" s="462"/>
      <c r="D594" s="462"/>
      <c r="E594" s="462"/>
      <c r="F594" s="462"/>
      <c r="G594" s="942"/>
      <c r="H594" s="462"/>
      <c r="I594" s="462"/>
      <c r="J594" s="462"/>
      <c r="K594" s="462"/>
      <c r="L594" s="462"/>
      <c r="M594" s="462"/>
      <c r="N594" s="912"/>
      <c r="O594" s="462"/>
      <c r="P594" s="462"/>
    </row>
    <row r="595">
      <c r="A595" s="462"/>
      <c r="B595" s="462"/>
      <c r="C595" s="462"/>
      <c r="D595" s="462"/>
      <c r="E595" s="462"/>
      <c r="F595" s="462"/>
      <c r="G595" s="942"/>
      <c r="H595" s="462"/>
      <c r="I595" s="462"/>
      <c r="J595" s="462"/>
      <c r="K595" s="462"/>
      <c r="L595" s="462"/>
      <c r="M595" s="462"/>
      <c r="N595" s="912"/>
      <c r="O595" s="462"/>
      <c r="P595" s="462"/>
    </row>
    <row r="596">
      <c r="A596" s="462"/>
      <c r="B596" s="462"/>
      <c r="C596" s="462"/>
      <c r="D596" s="462"/>
      <c r="E596" s="462"/>
      <c r="F596" s="462"/>
      <c r="G596" s="942"/>
      <c r="H596" s="462"/>
      <c r="I596" s="462"/>
      <c r="J596" s="462"/>
      <c r="K596" s="462"/>
      <c r="L596" s="462"/>
      <c r="M596" s="462"/>
      <c r="N596" s="912"/>
      <c r="O596" s="462"/>
      <c r="P596" s="462"/>
    </row>
    <row r="597">
      <c r="A597" s="462"/>
      <c r="B597" s="462"/>
      <c r="C597" s="462"/>
      <c r="D597" s="462"/>
      <c r="E597" s="462"/>
      <c r="F597" s="462"/>
      <c r="G597" s="942"/>
      <c r="H597" s="462"/>
      <c r="I597" s="462"/>
      <c r="J597" s="462"/>
      <c r="K597" s="462"/>
      <c r="L597" s="462"/>
      <c r="M597" s="462"/>
      <c r="N597" s="912"/>
      <c r="O597" s="462"/>
      <c r="P597" s="462"/>
    </row>
    <row r="598">
      <c r="A598" s="462"/>
      <c r="B598" s="462"/>
      <c r="C598" s="462"/>
      <c r="D598" s="462"/>
      <c r="E598" s="462"/>
      <c r="F598" s="462"/>
      <c r="G598" s="942"/>
      <c r="H598" s="462"/>
      <c r="I598" s="462"/>
      <c r="J598" s="462"/>
      <c r="K598" s="462"/>
      <c r="L598" s="462"/>
      <c r="M598" s="462"/>
      <c r="N598" s="912"/>
      <c r="O598" s="462"/>
      <c r="P598" s="462"/>
    </row>
    <row r="599">
      <c r="A599" s="462"/>
      <c r="B599" s="462"/>
      <c r="C599" s="462"/>
      <c r="D599" s="462"/>
      <c r="E599" s="462"/>
      <c r="F599" s="462"/>
      <c r="G599" s="942"/>
      <c r="H599" s="462"/>
      <c r="I599" s="462"/>
      <c r="J599" s="462"/>
      <c r="K599" s="462"/>
      <c r="L599" s="462"/>
      <c r="M599" s="462"/>
      <c r="N599" s="912"/>
      <c r="O599" s="462"/>
      <c r="P599" s="462"/>
    </row>
    <row r="600">
      <c r="A600" s="462"/>
      <c r="B600" s="462"/>
      <c r="C600" s="462"/>
      <c r="D600" s="462"/>
      <c r="E600" s="462"/>
      <c r="F600" s="462"/>
      <c r="G600" s="942"/>
      <c r="H600" s="462"/>
      <c r="I600" s="462"/>
      <c r="J600" s="462"/>
      <c r="K600" s="462"/>
      <c r="L600" s="462"/>
      <c r="M600" s="462"/>
      <c r="N600" s="912"/>
      <c r="O600" s="462"/>
      <c r="P600" s="462"/>
    </row>
    <row r="601">
      <c r="A601" s="462"/>
      <c r="B601" s="462"/>
      <c r="C601" s="462"/>
      <c r="D601" s="462"/>
      <c r="E601" s="462"/>
      <c r="F601" s="462"/>
      <c r="G601" s="942"/>
      <c r="H601" s="462"/>
      <c r="I601" s="462"/>
      <c r="J601" s="462"/>
      <c r="K601" s="462"/>
      <c r="L601" s="462"/>
      <c r="M601" s="462"/>
      <c r="N601" s="912"/>
      <c r="O601" s="462"/>
      <c r="P601" s="462"/>
    </row>
    <row r="602">
      <c r="A602" s="462"/>
      <c r="B602" s="462"/>
      <c r="C602" s="462"/>
      <c r="D602" s="462"/>
      <c r="E602" s="462"/>
      <c r="F602" s="462"/>
      <c r="G602" s="942"/>
      <c r="H602" s="462"/>
      <c r="I602" s="462"/>
      <c r="J602" s="462"/>
      <c r="K602" s="462"/>
      <c r="L602" s="462"/>
      <c r="M602" s="462"/>
      <c r="N602" s="912"/>
      <c r="O602" s="462"/>
      <c r="P602" s="462"/>
    </row>
    <row r="603">
      <c r="A603" s="462"/>
      <c r="B603" s="462"/>
      <c r="C603" s="462"/>
      <c r="D603" s="462"/>
      <c r="E603" s="462"/>
      <c r="F603" s="462"/>
      <c r="G603" s="942"/>
      <c r="H603" s="462"/>
      <c r="I603" s="462"/>
      <c r="J603" s="462"/>
      <c r="K603" s="462"/>
      <c r="L603" s="462"/>
      <c r="M603" s="462"/>
      <c r="N603" s="912"/>
      <c r="O603" s="462"/>
      <c r="P603" s="462"/>
    </row>
    <row r="604">
      <c r="A604" s="462"/>
      <c r="B604" s="462"/>
      <c r="C604" s="462"/>
      <c r="D604" s="462"/>
      <c r="E604" s="462"/>
      <c r="F604" s="462"/>
      <c r="G604" s="942"/>
      <c r="H604" s="462"/>
      <c r="I604" s="462"/>
      <c r="J604" s="462"/>
      <c r="K604" s="462"/>
      <c r="L604" s="462"/>
      <c r="M604" s="462"/>
      <c r="N604" s="912"/>
      <c r="O604" s="462"/>
      <c r="P604" s="462"/>
    </row>
    <row r="605">
      <c r="A605" s="462"/>
      <c r="B605" s="462"/>
      <c r="C605" s="462"/>
      <c r="D605" s="462"/>
      <c r="E605" s="462"/>
      <c r="F605" s="462"/>
      <c r="G605" s="942"/>
      <c r="H605" s="462"/>
      <c r="I605" s="462"/>
      <c r="J605" s="462"/>
      <c r="K605" s="462"/>
      <c r="L605" s="462"/>
      <c r="M605" s="462"/>
      <c r="N605" s="912"/>
      <c r="O605" s="462"/>
      <c r="P605" s="462"/>
    </row>
    <row r="606">
      <c r="A606" s="462"/>
      <c r="B606" s="462"/>
      <c r="C606" s="462"/>
      <c r="D606" s="462"/>
      <c r="E606" s="462"/>
      <c r="F606" s="462"/>
      <c r="G606" s="942"/>
      <c r="H606" s="462"/>
      <c r="I606" s="462"/>
      <c r="J606" s="462"/>
      <c r="K606" s="462"/>
      <c r="L606" s="462"/>
      <c r="M606" s="462"/>
      <c r="N606" s="912"/>
      <c r="O606" s="462"/>
      <c r="P606" s="462"/>
    </row>
    <row r="607">
      <c r="A607" s="462"/>
      <c r="B607" s="462"/>
      <c r="C607" s="462"/>
      <c r="D607" s="462"/>
      <c r="E607" s="462"/>
      <c r="F607" s="462"/>
      <c r="G607" s="942"/>
      <c r="H607" s="462"/>
      <c r="I607" s="462"/>
      <c r="J607" s="462"/>
      <c r="K607" s="462"/>
      <c r="L607" s="462"/>
      <c r="M607" s="462"/>
      <c r="N607" s="912"/>
      <c r="O607" s="462"/>
      <c r="P607" s="462"/>
    </row>
    <row r="608">
      <c r="A608" s="462"/>
      <c r="B608" s="462"/>
      <c r="C608" s="462"/>
      <c r="D608" s="462"/>
      <c r="E608" s="462"/>
      <c r="F608" s="462"/>
      <c r="G608" s="942"/>
      <c r="H608" s="462"/>
      <c r="I608" s="462"/>
      <c r="J608" s="462"/>
      <c r="K608" s="462"/>
      <c r="L608" s="462"/>
      <c r="M608" s="462"/>
      <c r="N608" s="912"/>
      <c r="O608" s="462"/>
      <c r="P608" s="462"/>
    </row>
    <row r="609">
      <c r="A609" s="462"/>
      <c r="B609" s="462"/>
      <c r="C609" s="462"/>
      <c r="D609" s="462"/>
      <c r="E609" s="462"/>
      <c r="F609" s="462"/>
      <c r="G609" s="942"/>
      <c r="H609" s="462"/>
      <c r="I609" s="462"/>
      <c r="J609" s="462"/>
      <c r="K609" s="462"/>
      <c r="L609" s="462"/>
      <c r="M609" s="462"/>
      <c r="N609" s="912"/>
      <c r="O609" s="462"/>
      <c r="P609" s="462"/>
    </row>
    <row r="610">
      <c r="A610" s="462"/>
      <c r="B610" s="462"/>
      <c r="C610" s="462"/>
      <c r="D610" s="462"/>
      <c r="E610" s="462"/>
      <c r="F610" s="462"/>
      <c r="G610" s="942"/>
      <c r="H610" s="462"/>
      <c r="I610" s="462"/>
      <c r="J610" s="462"/>
      <c r="K610" s="462"/>
      <c r="L610" s="462"/>
      <c r="M610" s="462"/>
      <c r="N610" s="912"/>
      <c r="O610" s="462"/>
      <c r="P610" s="462"/>
    </row>
    <row r="611">
      <c r="A611" s="462"/>
      <c r="B611" s="462"/>
      <c r="C611" s="462"/>
      <c r="D611" s="462"/>
      <c r="E611" s="462"/>
      <c r="F611" s="462"/>
      <c r="G611" s="942"/>
      <c r="H611" s="462"/>
      <c r="I611" s="462"/>
      <c r="J611" s="462"/>
      <c r="K611" s="462"/>
      <c r="L611" s="462"/>
      <c r="M611" s="462"/>
      <c r="N611" s="912"/>
      <c r="O611" s="462"/>
      <c r="P611" s="462"/>
    </row>
    <row r="612">
      <c r="A612" s="462"/>
      <c r="B612" s="462"/>
      <c r="C612" s="462"/>
      <c r="D612" s="462"/>
      <c r="E612" s="462"/>
      <c r="F612" s="462"/>
      <c r="G612" s="942"/>
      <c r="H612" s="462"/>
      <c r="I612" s="462"/>
      <c r="J612" s="462"/>
      <c r="K612" s="462"/>
      <c r="L612" s="462"/>
      <c r="M612" s="462"/>
      <c r="N612" s="912"/>
      <c r="O612" s="462"/>
      <c r="P612" s="462"/>
    </row>
    <row r="613">
      <c r="A613" s="462"/>
      <c r="B613" s="462"/>
      <c r="C613" s="462"/>
      <c r="D613" s="462"/>
      <c r="E613" s="462"/>
      <c r="F613" s="462"/>
      <c r="G613" s="942"/>
      <c r="H613" s="462"/>
      <c r="I613" s="462"/>
      <c r="J613" s="462"/>
      <c r="K613" s="462"/>
      <c r="L613" s="462"/>
      <c r="M613" s="462"/>
      <c r="N613" s="912"/>
      <c r="O613" s="462"/>
      <c r="P613" s="462"/>
    </row>
    <row r="614">
      <c r="A614" s="462"/>
      <c r="B614" s="462"/>
      <c r="C614" s="462"/>
      <c r="D614" s="462"/>
      <c r="E614" s="462"/>
      <c r="F614" s="462"/>
      <c r="G614" s="942"/>
      <c r="H614" s="462"/>
      <c r="I614" s="462"/>
      <c r="J614" s="462"/>
      <c r="K614" s="462"/>
      <c r="L614" s="462"/>
      <c r="M614" s="462"/>
      <c r="N614" s="912"/>
      <c r="O614" s="462"/>
      <c r="P614" s="462"/>
    </row>
    <row r="615">
      <c r="A615" s="462"/>
      <c r="B615" s="462"/>
      <c r="C615" s="462"/>
      <c r="D615" s="462"/>
      <c r="E615" s="462"/>
      <c r="F615" s="462"/>
      <c r="G615" s="942"/>
      <c r="H615" s="462"/>
      <c r="I615" s="462"/>
      <c r="J615" s="462"/>
      <c r="K615" s="462"/>
      <c r="L615" s="462"/>
      <c r="M615" s="462"/>
      <c r="N615" s="912"/>
      <c r="O615" s="462"/>
      <c r="P615" s="462"/>
    </row>
    <row r="616">
      <c r="A616" s="462"/>
      <c r="B616" s="462"/>
      <c r="C616" s="462"/>
      <c r="D616" s="462"/>
      <c r="E616" s="462"/>
      <c r="F616" s="462"/>
      <c r="G616" s="942"/>
      <c r="H616" s="462"/>
      <c r="I616" s="462"/>
      <c r="J616" s="462"/>
      <c r="K616" s="462"/>
      <c r="L616" s="462"/>
      <c r="M616" s="462"/>
      <c r="N616" s="912"/>
      <c r="O616" s="462"/>
      <c r="P616" s="462"/>
    </row>
    <row r="617">
      <c r="A617" s="462"/>
      <c r="B617" s="462"/>
      <c r="C617" s="462"/>
      <c r="D617" s="462"/>
      <c r="E617" s="462"/>
      <c r="F617" s="462"/>
      <c r="G617" s="942"/>
      <c r="H617" s="462"/>
      <c r="I617" s="462"/>
      <c r="J617" s="462"/>
      <c r="K617" s="462"/>
      <c r="L617" s="462"/>
      <c r="M617" s="462"/>
      <c r="N617" s="912"/>
      <c r="O617" s="462"/>
      <c r="P617" s="462"/>
    </row>
    <row r="618">
      <c r="A618" s="462"/>
      <c r="B618" s="462"/>
      <c r="C618" s="462"/>
      <c r="D618" s="462"/>
      <c r="E618" s="462"/>
      <c r="F618" s="462"/>
      <c r="G618" s="942"/>
      <c r="H618" s="462"/>
      <c r="I618" s="462"/>
      <c r="J618" s="462"/>
      <c r="K618" s="462"/>
      <c r="L618" s="462"/>
      <c r="M618" s="462"/>
      <c r="N618" s="912"/>
      <c r="O618" s="462"/>
      <c r="P618" s="462"/>
    </row>
    <row r="619">
      <c r="A619" s="462"/>
      <c r="B619" s="462"/>
      <c r="C619" s="462"/>
      <c r="D619" s="462"/>
      <c r="E619" s="462"/>
      <c r="F619" s="462"/>
      <c r="G619" s="942"/>
      <c r="H619" s="462"/>
      <c r="I619" s="462"/>
      <c r="J619" s="462"/>
      <c r="K619" s="462"/>
      <c r="L619" s="462"/>
      <c r="M619" s="462"/>
      <c r="N619" s="912"/>
      <c r="O619" s="462"/>
      <c r="P619" s="462"/>
    </row>
    <row r="620">
      <c r="A620" s="462"/>
      <c r="B620" s="462"/>
      <c r="C620" s="462"/>
      <c r="D620" s="462"/>
      <c r="E620" s="462"/>
      <c r="F620" s="462"/>
      <c r="G620" s="942"/>
      <c r="H620" s="462"/>
      <c r="I620" s="462"/>
      <c r="J620" s="462"/>
      <c r="K620" s="462"/>
      <c r="L620" s="462"/>
      <c r="M620" s="462"/>
      <c r="N620" s="912"/>
      <c r="O620" s="462"/>
      <c r="P620" s="462"/>
    </row>
    <row r="621">
      <c r="A621" s="462"/>
      <c r="B621" s="462"/>
      <c r="C621" s="462"/>
      <c r="D621" s="462"/>
      <c r="E621" s="462"/>
      <c r="F621" s="462"/>
      <c r="G621" s="942"/>
      <c r="H621" s="462"/>
      <c r="I621" s="462"/>
      <c r="J621" s="462"/>
      <c r="K621" s="462"/>
      <c r="L621" s="462"/>
      <c r="M621" s="462"/>
      <c r="N621" s="912"/>
      <c r="O621" s="462"/>
      <c r="P621" s="462"/>
    </row>
    <row r="622">
      <c r="A622" s="462"/>
      <c r="B622" s="462"/>
      <c r="C622" s="462"/>
      <c r="D622" s="462"/>
      <c r="E622" s="462"/>
      <c r="F622" s="462"/>
      <c r="G622" s="942"/>
      <c r="H622" s="462"/>
      <c r="I622" s="462"/>
      <c r="J622" s="462"/>
      <c r="K622" s="462"/>
      <c r="L622" s="462"/>
      <c r="M622" s="462"/>
      <c r="N622" s="912"/>
      <c r="O622" s="462"/>
      <c r="P622" s="462"/>
    </row>
    <row r="623">
      <c r="A623" s="462"/>
      <c r="B623" s="462"/>
      <c r="C623" s="462"/>
      <c r="D623" s="462"/>
      <c r="E623" s="462"/>
      <c r="F623" s="462"/>
      <c r="G623" s="942"/>
      <c r="H623" s="462"/>
      <c r="I623" s="462"/>
      <c r="J623" s="462"/>
      <c r="K623" s="462"/>
      <c r="L623" s="462"/>
      <c r="M623" s="462"/>
      <c r="N623" s="912"/>
      <c r="O623" s="462"/>
      <c r="P623" s="462"/>
    </row>
    <row r="624">
      <c r="A624" s="462"/>
      <c r="B624" s="462"/>
      <c r="C624" s="462"/>
      <c r="D624" s="462"/>
      <c r="E624" s="462"/>
      <c r="F624" s="462"/>
      <c r="G624" s="942"/>
      <c r="H624" s="462"/>
      <c r="I624" s="462"/>
      <c r="J624" s="462"/>
      <c r="K624" s="462"/>
      <c r="L624" s="462"/>
      <c r="M624" s="462"/>
      <c r="N624" s="912"/>
      <c r="O624" s="462"/>
      <c r="P624" s="462"/>
    </row>
    <row r="625">
      <c r="A625" s="462"/>
      <c r="B625" s="462"/>
      <c r="C625" s="462"/>
      <c r="D625" s="462"/>
      <c r="E625" s="462"/>
      <c r="F625" s="462"/>
      <c r="G625" s="942"/>
      <c r="H625" s="462"/>
      <c r="I625" s="462"/>
      <c r="J625" s="462"/>
      <c r="K625" s="462"/>
      <c r="L625" s="462"/>
      <c r="M625" s="462"/>
      <c r="N625" s="912"/>
      <c r="O625" s="462"/>
      <c r="P625" s="462"/>
    </row>
    <row r="626">
      <c r="A626" s="462"/>
      <c r="B626" s="462"/>
      <c r="C626" s="462"/>
      <c r="D626" s="462"/>
      <c r="E626" s="462"/>
      <c r="F626" s="462"/>
      <c r="G626" s="942"/>
      <c r="H626" s="462"/>
      <c r="I626" s="462"/>
      <c r="J626" s="462"/>
      <c r="K626" s="462"/>
      <c r="L626" s="462"/>
      <c r="M626" s="462"/>
      <c r="N626" s="912"/>
      <c r="O626" s="462"/>
      <c r="P626" s="462"/>
    </row>
    <row r="627">
      <c r="A627" s="462"/>
      <c r="B627" s="462"/>
      <c r="C627" s="462"/>
      <c r="D627" s="462"/>
      <c r="E627" s="462"/>
      <c r="F627" s="462"/>
      <c r="G627" s="942"/>
      <c r="H627" s="462"/>
      <c r="I627" s="462"/>
      <c r="J627" s="462"/>
      <c r="K627" s="462"/>
      <c r="L627" s="462"/>
      <c r="M627" s="462"/>
      <c r="N627" s="912"/>
      <c r="O627" s="462"/>
      <c r="P627" s="462"/>
    </row>
    <row r="628">
      <c r="A628" s="462"/>
      <c r="B628" s="462"/>
      <c r="C628" s="462"/>
      <c r="D628" s="462"/>
      <c r="E628" s="462"/>
      <c r="F628" s="462"/>
      <c r="G628" s="942"/>
      <c r="H628" s="462"/>
      <c r="I628" s="462"/>
      <c r="J628" s="462"/>
      <c r="K628" s="462"/>
      <c r="L628" s="462"/>
      <c r="M628" s="462"/>
      <c r="N628" s="912"/>
      <c r="O628" s="462"/>
      <c r="P628" s="462"/>
    </row>
    <row r="629">
      <c r="A629" s="462"/>
      <c r="B629" s="462"/>
      <c r="C629" s="462"/>
      <c r="D629" s="462"/>
      <c r="E629" s="462"/>
      <c r="F629" s="462"/>
      <c r="G629" s="942"/>
      <c r="H629" s="462"/>
      <c r="I629" s="462"/>
      <c r="J629" s="462"/>
      <c r="K629" s="462"/>
      <c r="L629" s="462"/>
      <c r="M629" s="462"/>
      <c r="N629" s="912"/>
      <c r="O629" s="462"/>
      <c r="P629" s="462"/>
    </row>
    <row r="630">
      <c r="A630" s="462"/>
      <c r="B630" s="462"/>
      <c r="C630" s="462"/>
      <c r="D630" s="462"/>
      <c r="E630" s="462"/>
      <c r="F630" s="462"/>
      <c r="G630" s="942"/>
      <c r="H630" s="462"/>
      <c r="I630" s="462"/>
      <c r="J630" s="462"/>
      <c r="K630" s="462"/>
      <c r="L630" s="462"/>
      <c r="M630" s="462"/>
      <c r="N630" s="912"/>
      <c r="O630" s="462"/>
      <c r="P630" s="462"/>
    </row>
    <row r="631">
      <c r="A631" s="462"/>
      <c r="B631" s="462"/>
      <c r="C631" s="462"/>
      <c r="D631" s="462"/>
      <c r="E631" s="462"/>
      <c r="F631" s="462"/>
      <c r="G631" s="942"/>
      <c r="H631" s="462"/>
      <c r="I631" s="462"/>
      <c r="J631" s="462"/>
      <c r="K631" s="462"/>
      <c r="L631" s="462"/>
      <c r="M631" s="462"/>
      <c r="N631" s="912"/>
      <c r="O631" s="462"/>
      <c r="P631" s="462"/>
    </row>
    <row r="632">
      <c r="A632" s="462"/>
      <c r="B632" s="462"/>
      <c r="C632" s="462"/>
      <c r="D632" s="462"/>
      <c r="E632" s="462"/>
      <c r="F632" s="462"/>
      <c r="G632" s="942"/>
      <c r="H632" s="462"/>
      <c r="I632" s="462"/>
      <c r="J632" s="462"/>
      <c r="K632" s="462"/>
      <c r="L632" s="462"/>
      <c r="M632" s="462"/>
      <c r="N632" s="912"/>
      <c r="O632" s="462"/>
      <c r="P632" s="462"/>
    </row>
    <row r="633">
      <c r="A633" s="462"/>
      <c r="B633" s="462"/>
      <c r="C633" s="462"/>
      <c r="D633" s="462"/>
      <c r="E633" s="462"/>
      <c r="F633" s="462"/>
      <c r="G633" s="942"/>
      <c r="H633" s="462"/>
      <c r="I633" s="462"/>
      <c r="J633" s="462"/>
      <c r="K633" s="462"/>
      <c r="L633" s="462"/>
      <c r="M633" s="462"/>
      <c r="N633" s="912"/>
      <c r="O633" s="462"/>
      <c r="P633" s="462"/>
    </row>
    <row r="634">
      <c r="A634" s="462"/>
      <c r="B634" s="462"/>
      <c r="C634" s="462"/>
      <c r="D634" s="462"/>
      <c r="E634" s="462"/>
      <c r="F634" s="462"/>
      <c r="G634" s="942"/>
      <c r="H634" s="462"/>
      <c r="I634" s="462"/>
      <c r="J634" s="462"/>
      <c r="K634" s="462"/>
      <c r="L634" s="462"/>
      <c r="M634" s="462"/>
      <c r="N634" s="912"/>
      <c r="O634" s="462"/>
      <c r="P634" s="462"/>
    </row>
    <row r="635">
      <c r="A635" s="462"/>
      <c r="B635" s="462"/>
      <c r="C635" s="462"/>
      <c r="D635" s="462"/>
      <c r="E635" s="462"/>
      <c r="F635" s="462"/>
      <c r="G635" s="942"/>
      <c r="H635" s="462"/>
      <c r="I635" s="462"/>
      <c r="J635" s="462"/>
      <c r="K635" s="462"/>
      <c r="L635" s="462"/>
      <c r="M635" s="462"/>
      <c r="N635" s="912"/>
      <c r="O635" s="462"/>
      <c r="P635" s="462"/>
    </row>
    <row r="636">
      <c r="A636" s="462"/>
      <c r="B636" s="462"/>
      <c r="C636" s="462"/>
      <c r="D636" s="462"/>
      <c r="E636" s="462"/>
      <c r="F636" s="462"/>
      <c r="G636" s="942"/>
      <c r="H636" s="462"/>
      <c r="I636" s="462"/>
      <c r="J636" s="462"/>
      <c r="K636" s="462"/>
      <c r="L636" s="462"/>
      <c r="M636" s="462"/>
      <c r="N636" s="912"/>
      <c r="O636" s="462"/>
      <c r="P636" s="462"/>
    </row>
    <row r="637">
      <c r="A637" s="462"/>
      <c r="B637" s="462"/>
      <c r="C637" s="462"/>
      <c r="D637" s="462"/>
      <c r="E637" s="462"/>
      <c r="F637" s="462"/>
      <c r="G637" s="942"/>
      <c r="H637" s="462"/>
      <c r="I637" s="462"/>
      <c r="J637" s="462"/>
      <c r="K637" s="462"/>
      <c r="L637" s="462"/>
      <c r="M637" s="462"/>
      <c r="N637" s="912"/>
      <c r="O637" s="462"/>
      <c r="P637" s="462"/>
    </row>
    <row r="638">
      <c r="A638" s="462"/>
      <c r="B638" s="462"/>
      <c r="C638" s="462"/>
      <c r="D638" s="462"/>
      <c r="E638" s="462"/>
      <c r="F638" s="462"/>
      <c r="G638" s="942"/>
      <c r="H638" s="462"/>
      <c r="I638" s="462"/>
      <c r="J638" s="462"/>
      <c r="K638" s="462"/>
      <c r="L638" s="462"/>
      <c r="M638" s="462"/>
      <c r="N638" s="912"/>
      <c r="O638" s="462"/>
      <c r="P638" s="462"/>
    </row>
    <row r="639">
      <c r="A639" s="462"/>
      <c r="B639" s="462"/>
      <c r="C639" s="462"/>
      <c r="D639" s="462"/>
      <c r="E639" s="462"/>
      <c r="F639" s="462"/>
      <c r="G639" s="942"/>
      <c r="H639" s="462"/>
      <c r="I639" s="462"/>
      <c r="J639" s="462"/>
      <c r="K639" s="462"/>
      <c r="L639" s="462"/>
      <c r="M639" s="462"/>
      <c r="N639" s="912"/>
      <c r="O639" s="462"/>
      <c r="P639" s="462"/>
    </row>
    <row r="640">
      <c r="A640" s="462"/>
      <c r="B640" s="462"/>
      <c r="C640" s="462"/>
      <c r="D640" s="462"/>
      <c r="E640" s="462"/>
      <c r="F640" s="462"/>
      <c r="G640" s="942"/>
      <c r="H640" s="462"/>
      <c r="I640" s="462"/>
      <c r="J640" s="462"/>
      <c r="K640" s="462"/>
      <c r="L640" s="462"/>
      <c r="M640" s="462"/>
      <c r="N640" s="912"/>
      <c r="O640" s="462"/>
      <c r="P640" s="462"/>
    </row>
    <row r="641">
      <c r="A641" s="462"/>
      <c r="B641" s="462"/>
      <c r="C641" s="462"/>
      <c r="D641" s="462"/>
      <c r="E641" s="462"/>
      <c r="F641" s="462"/>
      <c r="G641" s="942"/>
      <c r="H641" s="462"/>
      <c r="I641" s="462"/>
      <c r="J641" s="462"/>
      <c r="K641" s="462"/>
      <c r="L641" s="462"/>
      <c r="M641" s="462"/>
      <c r="N641" s="912"/>
      <c r="O641" s="462"/>
      <c r="P641" s="462"/>
    </row>
    <row r="642">
      <c r="A642" s="462"/>
      <c r="B642" s="462"/>
      <c r="C642" s="462"/>
      <c r="D642" s="462"/>
      <c r="E642" s="462"/>
      <c r="F642" s="462"/>
      <c r="G642" s="942"/>
      <c r="H642" s="462"/>
      <c r="I642" s="462"/>
      <c r="J642" s="462"/>
      <c r="K642" s="462"/>
      <c r="L642" s="462"/>
      <c r="M642" s="462"/>
      <c r="N642" s="912"/>
      <c r="O642" s="462"/>
      <c r="P642" s="462"/>
    </row>
    <row r="643">
      <c r="A643" s="462"/>
      <c r="B643" s="462"/>
      <c r="C643" s="462"/>
      <c r="D643" s="462"/>
      <c r="E643" s="462"/>
      <c r="F643" s="462"/>
      <c r="G643" s="942"/>
      <c r="H643" s="462"/>
      <c r="I643" s="462"/>
      <c r="J643" s="462"/>
      <c r="K643" s="462"/>
      <c r="L643" s="462"/>
      <c r="M643" s="462"/>
      <c r="N643" s="912"/>
      <c r="O643" s="462"/>
      <c r="P643" s="462"/>
    </row>
    <row r="644">
      <c r="A644" s="462"/>
      <c r="B644" s="462"/>
      <c r="C644" s="462"/>
      <c r="D644" s="462"/>
      <c r="E644" s="462"/>
      <c r="F644" s="462"/>
      <c r="G644" s="942"/>
      <c r="H644" s="462"/>
      <c r="I644" s="462"/>
      <c r="J644" s="462"/>
      <c r="K644" s="462"/>
      <c r="L644" s="462"/>
      <c r="M644" s="462"/>
      <c r="N644" s="912"/>
      <c r="O644" s="462"/>
      <c r="P644" s="462"/>
    </row>
    <row r="645">
      <c r="A645" s="462"/>
      <c r="B645" s="462"/>
      <c r="C645" s="462"/>
      <c r="D645" s="462"/>
      <c r="E645" s="462"/>
      <c r="F645" s="462"/>
      <c r="G645" s="942"/>
      <c r="H645" s="462"/>
      <c r="I645" s="462"/>
      <c r="J645" s="462"/>
      <c r="K645" s="462"/>
      <c r="L645" s="462"/>
      <c r="M645" s="462"/>
      <c r="N645" s="912"/>
      <c r="O645" s="462"/>
      <c r="P645" s="462"/>
    </row>
    <row r="646">
      <c r="A646" s="462"/>
      <c r="B646" s="462"/>
      <c r="C646" s="462"/>
      <c r="D646" s="462"/>
      <c r="E646" s="462"/>
      <c r="F646" s="462"/>
      <c r="G646" s="942"/>
      <c r="H646" s="462"/>
      <c r="I646" s="462"/>
      <c r="J646" s="462"/>
      <c r="K646" s="462"/>
      <c r="L646" s="462"/>
      <c r="M646" s="462"/>
      <c r="N646" s="912"/>
      <c r="O646" s="462"/>
      <c r="P646" s="462"/>
    </row>
    <row r="647">
      <c r="A647" s="462"/>
      <c r="B647" s="462"/>
      <c r="C647" s="462"/>
      <c r="D647" s="462"/>
      <c r="E647" s="462"/>
      <c r="F647" s="462"/>
      <c r="G647" s="942"/>
      <c r="H647" s="462"/>
      <c r="I647" s="462"/>
      <c r="J647" s="462"/>
      <c r="K647" s="462"/>
      <c r="L647" s="462"/>
      <c r="M647" s="462"/>
      <c r="N647" s="912"/>
      <c r="O647" s="462"/>
      <c r="P647" s="462"/>
    </row>
    <row r="648">
      <c r="A648" s="462"/>
      <c r="B648" s="462"/>
      <c r="C648" s="462"/>
      <c r="D648" s="462"/>
      <c r="E648" s="462"/>
      <c r="F648" s="462"/>
      <c r="G648" s="942"/>
      <c r="H648" s="462"/>
      <c r="I648" s="462"/>
      <c r="J648" s="462"/>
      <c r="K648" s="462"/>
      <c r="L648" s="462"/>
      <c r="M648" s="462"/>
      <c r="N648" s="912"/>
      <c r="O648" s="462"/>
      <c r="P648" s="462"/>
    </row>
    <row r="649">
      <c r="A649" s="462"/>
      <c r="B649" s="462"/>
      <c r="C649" s="462"/>
      <c r="D649" s="462"/>
      <c r="E649" s="462"/>
      <c r="F649" s="462"/>
      <c r="G649" s="942"/>
      <c r="H649" s="462"/>
      <c r="I649" s="462"/>
      <c r="J649" s="462"/>
      <c r="K649" s="462"/>
      <c r="L649" s="462"/>
      <c r="M649" s="462"/>
      <c r="N649" s="912"/>
      <c r="O649" s="462"/>
      <c r="P649" s="462"/>
    </row>
    <row r="650">
      <c r="A650" s="462"/>
      <c r="B650" s="462"/>
      <c r="C650" s="462"/>
      <c r="D650" s="462"/>
      <c r="E650" s="462"/>
      <c r="F650" s="462"/>
      <c r="G650" s="942"/>
      <c r="H650" s="462"/>
      <c r="I650" s="462"/>
      <c r="J650" s="462"/>
      <c r="K650" s="462"/>
      <c r="L650" s="462"/>
      <c r="M650" s="462"/>
      <c r="N650" s="912"/>
      <c r="O650" s="462"/>
      <c r="P650" s="462"/>
    </row>
    <row r="651">
      <c r="A651" s="462"/>
      <c r="B651" s="462"/>
      <c r="C651" s="462"/>
      <c r="D651" s="462"/>
      <c r="E651" s="462"/>
      <c r="F651" s="462"/>
      <c r="G651" s="942"/>
      <c r="H651" s="462"/>
      <c r="I651" s="462"/>
      <c r="J651" s="462"/>
      <c r="K651" s="462"/>
      <c r="L651" s="462"/>
      <c r="M651" s="462"/>
      <c r="N651" s="912"/>
      <c r="O651" s="462"/>
      <c r="P651" s="462"/>
    </row>
    <row r="652">
      <c r="A652" s="462"/>
      <c r="B652" s="462"/>
      <c r="C652" s="462"/>
      <c r="D652" s="462"/>
      <c r="E652" s="462"/>
      <c r="F652" s="462"/>
      <c r="G652" s="942"/>
      <c r="H652" s="462"/>
      <c r="I652" s="462"/>
      <c r="J652" s="462"/>
      <c r="K652" s="462"/>
      <c r="L652" s="462"/>
      <c r="M652" s="462"/>
      <c r="N652" s="912"/>
      <c r="O652" s="462"/>
      <c r="P652" s="462"/>
    </row>
    <row r="653">
      <c r="A653" s="462"/>
      <c r="B653" s="462"/>
      <c r="C653" s="462"/>
      <c r="D653" s="462"/>
      <c r="E653" s="462"/>
      <c r="F653" s="462"/>
      <c r="G653" s="942"/>
      <c r="H653" s="462"/>
      <c r="I653" s="462"/>
      <c r="J653" s="462"/>
      <c r="K653" s="462"/>
      <c r="L653" s="462"/>
      <c r="M653" s="462"/>
      <c r="N653" s="912"/>
      <c r="O653" s="462"/>
      <c r="P653" s="462"/>
    </row>
    <row r="654">
      <c r="A654" s="462"/>
      <c r="B654" s="462"/>
      <c r="C654" s="462"/>
      <c r="D654" s="462"/>
      <c r="E654" s="462"/>
      <c r="F654" s="462"/>
      <c r="G654" s="942"/>
      <c r="H654" s="462"/>
      <c r="I654" s="462"/>
      <c r="J654" s="462"/>
      <c r="K654" s="462"/>
      <c r="L654" s="462"/>
      <c r="M654" s="462"/>
      <c r="N654" s="912"/>
      <c r="O654" s="462"/>
      <c r="P654" s="462"/>
    </row>
    <row r="655">
      <c r="A655" s="462"/>
      <c r="B655" s="462"/>
      <c r="C655" s="462"/>
      <c r="D655" s="462"/>
      <c r="E655" s="462"/>
      <c r="F655" s="462"/>
      <c r="G655" s="942"/>
      <c r="H655" s="462"/>
      <c r="I655" s="462"/>
      <c r="J655" s="462"/>
      <c r="K655" s="462"/>
      <c r="L655" s="462"/>
      <c r="M655" s="462"/>
      <c r="N655" s="912"/>
      <c r="O655" s="462"/>
      <c r="P655" s="462"/>
    </row>
    <row r="656">
      <c r="A656" s="462"/>
      <c r="B656" s="462"/>
      <c r="C656" s="462"/>
      <c r="D656" s="462"/>
      <c r="E656" s="462"/>
      <c r="F656" s="462"/>
      <c r="G656" s="942"/>
      <c r="H656" s="462"/>
      <c r="I656" s="462"/>
      <c r="J656" s="462"/>
      <c r="K656" s="462"/>
      <c r="L656" s="462"/>
      <c r="M656" s="462"/>
      <c r="N656" s="912"/>
      <c r="O656" s="462"/>
      <c r="P656" s="462"/>
    </row>
    <row r="657">
      <c r="A657" s="462"/>
      <c r="B657" s="462"/>
      <c r="C657" s="462"/>
      <c r="D657" s="462"/>
      <c r="E657" s="462"/>
      <c r="F657" s="462"/>
      <c r="G657" s="942"/>
      <c r="H657" s="462"/>
      <c r="I657" s="462"/>
      <c r="J657" s="462"/>
      <c r="K657" s="462"/>
      <c r="L657" s="462"/>
      <c r="M657" s="462"/>
      <c r="N657" s="912"/>
      <c r="O657" s="462"/>
      <c r="P657" s="462"/>
    </row>
    <row r="658">
      <c r="A658" s="462"/>
      <c r="B658" s="462"/>
      <c r="C658" s="462"/>
      <c r="D658" s="462"/>
      <c r="E658" s="462"/>
      <c r="F658" s="462"/>
      <c r="G658" s="942"/>
      <c r="H658" s="462"/>
      <c r="I658" s="462"/>
      <c r="J658" s="462"/>
      <c r="K658" s="462"/>
      <c r="L658" s="462"/>
      <c r="M658" s="462"/>
      <c r="N658" s="912"/>
      <c r="O658" s="462"/>
      <c r="P658" s="462"/>
    </row>
    <row r="659">
      <c r="A659" s="462"/>
      <c r="B659" s="462"/>
      <c r="C659" s="462"/>
      <c r="D659" s="462"/>
      <c r="E659" s="462"/>
      <c r="F659" s="462"/>
      <c r="G659" s="942"/>
      <c r="H659" s="462"/>
      <c r="I659" s="462"/>
      <c r="J659" s="462"/>
      <c r="K659" s="462"/>
      <c r="L659" s="462"/>
      <c r="M659" s="462"/>
      <c r="N659" s="912"/>
      <c r="O659" s="462"/>
      <c r="P659" s="462"/>
    </row>
    <row r="660">
      <c r="A660" s="462"/>
      <c r="B660" s="462"/>
      <c r="C660" s="462"/>
      <c r="D660" s="462"/>
      <c r="E660" s="462"/>
      <c r="F660" s="462"/>
      <c r="G660" s="942"/>
      <c r="H660" s="462"/>
      <c r="I660" s="462"/>
      <c r="J660" s="462"/>
      <c r="K660" s="462"/>
      <c r="L660" s="462"/>
      <c r="M660" s="462"/>
      <c r="N660" s="912"/>
      <c r="O660" s="462"/>
      <c r="P660" s="462"/>
    </row>
    <row r="661">
      <c r="A661" s="462"/>
      <c r="B661" s="462"/>
      <c r="C661" s="462"/>
      <c r="D661" s="462"/>
      <c r="E661" s="462"/>
      <c r="F661" s="462"/>
      <c r="G661" s="942"/>
      <c r="H661" s="462"/>
      <c r="I661" s="462"/>
      <c r="J661" s="462"/>
      <c r="K661" s="462"/>
      <c r="L661" s="462"/>
      <c r="M661" s="462"/>
      <c r="N661" s="912"/>
      <c r="O661" s="462"/>
      <c r="P661" s="462"/>
    </row>
    <row r="662">
      <c r="A662" s="462"/>
      <c r="B662" s="462"/>
      <c r="C662" s="462"/>
      <c r="D662" s="462"/>
      <c r="E662" s="462"/>
      <c r="F662" s="462"/>
      <c r="G662" s="942"/>
      <c r="H662" s="462"/>
      <c r="I662" s="462"/>
      <c r="J662" s="462"/>
      <c r="K662" s="462"/>
      <c r="L662" s="462"/>
      <c r="M662" s="462"/>
      <c r="N662" s="912"/>
      <c r="O662" s="462"/>
      <c r="P662" s="462"/>
    </row>
    <row r="663">
      <c r="A663" s="462"/>
      <c r="B663" s="462"/>
      <c r="C663" s="462"/>
      <c r="D663" s="462"/>
      <c r="E663" s="462"/>
      <c r="F663" s="462"/>
      <c r="G663" s="942"/>
      <c r="H663" s="462"/>
      <c r="I663" s="462"/>
      <c r="J663" s="462"/>
      <c r="K663" s="462"/>
      <c r="L663" s="462"/>
      <c r="M663" s="462"/>
      <c r="N663" s="912"/>
      <c r="O663" s="462"/>
      <c r="P663" s="462"/>
    </row>
    <row r="664">
      <c r="A664" s="462"/>
      <c r="B664" s="462"/>
      <c r="C664" s="462"/>
      <c r="D664" s="462"/>
      <c r="E664" s="462"/>
      <c r="F664" s="462"/>
      <c r="G664" s="942"/>
      <c r="H664" s="462"/>
      <c r="I664" s="462"/>
      <c r="J664" s="462"/>
      <c r="K664" s="462"/>
      <c r="L664" s="462"/>
      <c r="M664" s="462"/>
      <c r="N664" s="912"/>
      <c r="O664" s="462"/>
      <c r="P664" s="462"/>
    </row>
    <row r="665">
      <c r="A665" s="462"/>
      <c r="B665" s="462"/>
      <c r="C665" s="462"/>
      <c r="D665" s="462"/>
      <c r="E665" s="462"/>
      <c r="F665" s="462"/>
      <c r="G665" s="942"/>
      <c r="H665" s="462"/>
      <c r="I665" s="462"/>
      <c r="J665" s="462"/>
      <c r="K665" s="462"/>
      <c r="L665" s="462"/>
      <c r="M665" s="462"/>
      <c r="N665" s="912"/>
      <c r="O665" s="462"/>
      <c r="P665" s="462"/>
    </row>
    <row r="666">
      <c r="A666" s="462"/>
      <c r="B666" s="462"/>
      <c r="C666" s="462"/>
      <c r="D666" s="462"/>
      <c r="E666" s="462"/>
      <c r="F666" s="462"/>
      <c r="G666" s="942"/>
      <c r="H666" s="462"/>
      <c r="I666" s="462"/>
      <c r="J666" s="462"/>
      <c r="K666" s="462"/>
      <c r="L666" s="462"/>
      <c r="M666" s="462"/>
      <c r="N666" s="912"/>
      <c r="O666" s="462"/>
      <c r="P666" s="462"/>
    </row>
    <row r="667">
      <c r="A667" s="462"/>
      <c r="B667" s="462"/>
      <c r="C667" s="462"/>
      <c r="D667" s="462"/>
      <c r="E667" s="462"/>
      <c r="F667" s="462"/>
      <c r="G667" s="942"/>
      <c r="H667" s="462"/>
      <c r="I667" s="462"/>
      <c r="J667" s="462"/>
      <c r="K667" s="462"/>
      <c r="L667" s="462"/>
      <c r="M667" s="462"/>
      <c r="N667" s="912"/>
      <c r="O667" s="462"/>
      <c r="P667" s="462"/>
    </row>
    <row r="668">
      <c r="A668" s="462"/>
      <c r="B668" s="462"/>
      <c r="C668" s="462"/>
      <c r="D668" s="462"/>
      <c r="E668" s="462"/>
      <c r="F668" s="462"/>
      <c r="G668" s="942"/>
      <c r="H668" s="462"/>
      <c r="I668" s="462"/>
      <c r="J668" s="462"/>
      <c r="K668" s="462"/>
      <c r="L668" s="462"/>
      <c r="M668" s="462"/>
      <c r="N668" s="912"/>
      <c r="O668" s="462"/>
      <c r="P668" s="462"/>
    </row>
    <row r="669">
      <c r="A669" s="462"/>
      <c r="B669" s="462"/>
      <c r="C669" s="462"/>
      <c r="D669" s="462"/>
      <c r="E669" s="462"/>
      <c r="F669" s="462"/>
      <c r="G669" s="942"/>
      <c r="H669" s="462"/>
      <c r="I669" s="462"/>
      <c r="J669" s="462"/>
      <c r="K669" s="462"/>
      <c r="L669" s="462"/>
      <c r="M669" s="462"/>
      <c r="N669" s="912"/>
      <c r="O669" s="462"/>
      <c r="P669" s="462"/>
    </row>
    <row r="670">
      <c r="A670" s="462"/>
      <c r="B670" s="462"/>
      <c r="C670" s="462"/>
      <c r="D670" s="462"/>
      <c r="E670" s="462"/>
      <c r="F670" s="462"/>
      <c r="G670" s="942"/>
      <c r="H670" s="462"/>
      <c r="I670" s="462"/>
      <c r="J670" s="462"/>
      <c r="K670" s="462"/>
      <c r="L670" s="462"/>
      <c r="M670" s="462"/>
      <c r="N670" s="912"/>
      <c r="O670" s="462"/>
      <c r="P670" s="462"/>
    </row>
    <row r="671">
      <c r="A671" s="462"/>
      <c r="B671" s="462"/>
      <c r="C671" s="462"/>
      <c r="D671" s="462"/>
      <c r="E671" s="462"/>
      <c r="F671" s="462"/>
      <c r="G671" s="942"/>
      <c r="H671" s="462"/>
      <c r="I671" s="462"/>
      <c r="J671" s="462"/>
      <c r="K671" s="462"/>
      <c r="L671" s="462"/>
      <c r="M671" s="462"/>
      <c r="N671" s="912"/>
      <c r="O671" s="462"/>
      <c r="P671" s="462"/>
    </row>
    <row r="672">
      <c r="A672" s="462"/>
      <c r="B672" s="462"/>
      <c r="C672" s="462"/>
      <c r="D672" s="462"/>
      <c r="E672" s="462"/>
      <c r="F672" s="462"/>
      <c r="G672" s="942"/>
      <c r="H672" s="462"/>
      <c r="I672" s="462"/>
      <c r="J672" s="462"/>
      <c r="K672" s="462"/>
      <c r="L672" s="462"/>
      <c r="M672" s="462"/>
      <c r="N672" s="912"/>
      <c r="O672" s="462"/>
      <c r="P672" s="462"/>
    </row>
    <row r="673">
      <c r="A673" s="462"/>
      <c r="B673" s="462"/>
      <c r="C673" s="462"/>
      <c r="D673" s="462"/>
      <c r="E673" s="462"/>
      <c r="F673" s="462"/>
      <c r="G673" s="942"/>
      <c r="H673" s="462"/>
      <c r="I673" s="462"/>
      <c r="J673" s="462"/>
      <c r="K673" s="462"/>
      <c r="L673" s="462"/>
      <c r="M673" s="462"/>
      <c r="N673" s="912"/>
      <c r="O673" s="462"/>
      <c r="P673" s="462"/>
    </row>
    <row r="674">
      <c r="A674" s="462"/>
      <c r="B674" s="462"/>
      <c r="C674" s="462"/>
      <c r="D674" s="462"/>
      <c r="E674" s="462"/>
      <c r="F674" s="462"/>
      <c r="G674" s="942"/>
      <c r="H674" s="462"/>
      <c r="I674" s="462"/>
      <c r="J674" s="462"/>
      <c r="K674" s="462"/>
      <c r="L674" s="462"/>
      <c r="M674" s="462"/>
      <c r="N674" s="912"/>
      <c r="O674" s="462"/>
      <c r="P674" s="462"/>
    </row>
    <row r="675">
      <c r="A675" s="462"/>
      <c r="B675" s="462"/>
      <c r="C675" s="462"/>
      <c r="D675" s="462"/>
      <c r="E675" s="462"/>
      <c r="F675" s="462"/>
      <c r="G675" s="942"/>
      <c r="H675" s="462"/>
      <c r="I675" s="462"/>
      <c r="J675" s="462"/>
      <c r="K675" s="462"/>
      <c r="L675" s="462"/>
      <c r="M675" s="462"/>
      <c r="N675" s="912"/>
      <c r="O675" s="462"/>
      <c r="P675" s="462"/>
    </row>
    <row r="676">
      <c r="A676" s="462"/>
      <c r="B676" s="462"/>
      <c r="C676" s="462"/>
      <c r="D676" s="462"/>
      <c r="E676" s="462"/>
      <c r="F676" s="462"/>
      <c r="G676" s="942"/>
      <c r="H676" s="462"/>
      <c r="I676" s="462"/>
      <c r="J676" s="462"/>
      <c r="K676" s="462"/>
      <c r="L676" s="462"/>
      <c r="M676" s="462"/>
      <c r="N676" s="912"/>
      <c r="O676" s="462"/>
      <c r="P676" s="462"/>
    </row>
    <row r="677">
      <c r="A677" s="462"/>
      <c r="B677" s="462"/>
      <c r="C677" s="462"/>
      <c r="D677" s="462"/>
      <c r="E677" s="462"/>
      <c r="F677" s="462"/>
      <c r="G677" s="942"/>
      <c r="H677" s="462"/>
      <c r="I677" s="462"/>
      <c r="J677" s="462"/>
      <c r="K677" s="462"/>
      <c r="L677" s="462"/>
      <c r="M677" s="462"/>
      <c r="N677" s="912"/>
      <c r="O677" s="462"/>
      <c r="P677" s="462"/>
    </row>
    <row r="678">
      <c r="A678" s="462"/>
      <c r="B678" s="462"/>
      <c r="C678" s="462"/>
      <c r="D678" s="462"/>
      <c r="E678" s="462"/>
      <c r="F678" s="462"/>
      <c r="G678" s="942"/>
      <c r="H678" s="462"/>
      <c r="I678" s="462"/>
      <c r="J678" s="462"/>
      <c r="K678" s="462"/>
      <c r="L678" s="462"/>
      <c r="M678" s="462"/>
      <c r="N678" s="912"/>
      <c r="O678" s="462"/>
      <c r="P678" s="462"/>
    </row>
    <row r="679">
      <c r="A679" s="462"/>
      <c r="B679" s="462"/>
      <c r="C679" s="462"/>
      <c r="D679" s="462"/>
      <c r="E679" s="462"/>
      <c r="F679" s="462"/>
      <c r="G679" s="942"/>
      <c r="H679" s="462"/>
      <c r="I679" s="462"/>
      <c r="J679" s="462"/>
      <c r="K679" s="462"/>
      <c r="L679" s="462"/>
      <c r="M679" s="462"/>
      <c r="N679" s="912"/>
      <c r="O679" s="462"/>
      <c r="P679" s="462"/>
    </row>
    <row r="680">
      <c r="A680" s="462"/>
      <c r="B680" s="462"/>
      <c r="C680" s="462"/>
      <c r="D680" s="462"/>
      <c r="E680" s="462"/>
      <c r="F680" s="462"/>
      <c r="G680" s="942"/>
      <c r="H680" s="462"/>
      <c r="I680" s="462"/>
      <c r="J680" s="462"/>
      <c r="K680" s="462"/>
      <c r="L680" s="462"/>
      <c r="M680" s="462"/>
      <c r="N680" s="912"/>
      <c r="O680" s="462"/>
      <c r="P680" s="462"/>
    </row>
    <row r="681">
      <c r="A681" s="462"/>
      <c r="B681" s="462"/>
      <c r="C681" s="462"/>
      <c r="D681" s="462"/>
      <c r="E681" s="462"/>
      <c r="F681" s="462"/>
      <c r="G681" s="942"/>
      <c r="H681" s="462"/>
      <c r="I681" s="462"/>
      <c r="J681" s="462"/>
      <c r="K681" s="462"/>
      <c r="L681" s="462"/>
      <c r="M681" s="462"/>
      <c r="N681" s="912"/>
      <c r="O681" s="462"/>
      <c r="P681" s="462"/>
    </row>
    <row r="682">
      <c r="A682" s="462"/>
      <c r="B682" s="462"/>
      <c r="C682" s="462"/>
      <c r="D682" s="462"/>
      <c r="E682" s="462"/>
      <c r="F682" s="462"/>
      <c r="G682" s="942"/>
      <c r="H682" s="462"/>
      <c r="I682" s="462"/>
      <c r="J682" s="462"/>
      <c r="K682" s="462"/>
      <c r="L682" s="462"/>
      <c r="M682" s="462"/>
      <c r="N682" s="912"/>
      <c r="O682" s="462"/>
      <c r="P682" s="462"/>
    </row>
    <row r="683">
      <c r="A683" s="462"/>
      <c r="B683" s="462"/>
      <c r="C683" s="462"/>
      <c r="D683" s="462"/>
      <c r="E683" s="462"/>
      <c r="F683" s="462"/>
      <c r="G683" s="942"/>
      <c r="H683" s="462"/>
      <c r="I683" s="462"/>
      <c r="J683" s="462"/>
      <c r="K683" s="462"/>
      <c r="L683" s="462"/>
      <c r="M683" s="462"/>
      <c r="N683" s="912"/>
      <c r="O683" s="462"/>
      <c r="P683" s="462"/>
    </row>
    <row r="684">
      <c r="A684" s="462"/>
      <c r="B684" s="462"/>
      <c r="C684" s="462"/>
      <c r="D684" s="462"/>
      <c r="E684" s="462"/>
      <c r="F684" s="462"/>
      <c r="G684" s="942"/>
      <c r="H684" s="462"/>
      <c r="I684" s="462"/>
      <c r="J684" s="462"/>
      <c r="K684" s="462"/>
      <c r="L684" s="462"/>
      <c r="M684" s="462"/>
      <c r="N684" s="912"/>
      <c r="O684" s="462"/>
      <c r="P684" s="462"/>
    </row>
    <row r="685">
      <c r="A685" s="462"/>
      <c r="B685" s="462"/>
      <c r="C685" s="462"/>
      <c r="D685" s="462"/>
      <c r="E685" s="462"/>
      <c r="F685" s="462"/>
      <c r="G685" s="942"/>
      <c r="H685" s="462"/>
      <c r="I685" s="462"/>
      <c r="J685" s="462"/>
      <c r="K685" s="462"/>
      <c r="L685" s="462"/>
      <c r="M685" s="462"/>
      <c r="N685" s="912"/>
      <c r="O685" s="462"/>
      <c r="P685" s="462"/>
    </row>
    <row r="686">
      <c r="A686" s="462"/>
      <c r="B686" s="462"/>
      <c r="C686" s="462"/>
      <c r="D686" s="462"/>
      <c r="E686" s="462"/>
      <c r="F686" s="462"/>
      <c r="G686" s="942"/>
      <c r="H686" s="462"/>
      <c r="I686" s="462"/>
      <c r="J686" s="462"/>
      <c r="K686" s="462"/>
      <c r="L686" s="462"/>
      <c r="M686" s="462"/>
      <c r="N686" s="912"/>
      <c r="O686" s="462"/>
      <c r="P686" s="462"/>
    </row>
    <row r="687">
      <c r="A687" s="462"/>
      <c r="B687" s="462"/>
      <c r="C687" s="462"/>
      <c r="D687" s="462"/>
      <c r="E687" s="462"/>
      <c r="F687" s="462"/>
      <c r="G687" s="942"/>
      <c r="H687" s="462"/>
      <c r="I687" s="462"/>
      <c r="J687" s="462"/>
      <c r="K687" s="462"/>
      <c r="L687" s="462"/>
      <c r="M687" s="462"/>
      <c r="N687" s="912"/>
      <c r="O687" s="462"/>
      <c r="P687" s="462"/>
    </row>
    <row r="688">
      <c r="A688" s="462"/>
      <c r="B688" s="462"/>
      <c r="C688" s="462"/>
      <c r="D688" s="462"/>
      <c r="E688" s="462"/>
      <c r="F688" s="462"/>
      <c r="G688" s="942"/>
      <c r="H688" s="462"/>
      <c r="I688" s="462"/>
      <c r="J688" s="462"/>
      <c r="K688" s="462"/>
      <c r="L688" s="462"/>
      <c r="M688" s="462"/>
      <c r="N688" s="912"/>
      <c r="O688" s="462"/>
      <c r="P688" s="462"/>
    </row>
    <row r="689">
      <c r="A689" s="462"/>
      <c r="B689" s="462"/>
      <c r="C689" s="462"/>
      <c r="D689" s="462"/>
      <c r="E689" s="462"/>
      <c r="F689" s="462"/>
      <c r="G689" s="942"/>
      <c r="H689" s="462"/>
      <c r="I689" s="462"/>
      <c r="J689" s="462"/>
      <c r="K689" s="462"/>
      <c r="L689" s="462"/>
      <c r="M689" s="462"/>
      <c r="N689" s="912"/>
      <c r="O689" s="462"/>
      <c r="P689" s="462"/>
    </row>
    <row r="690">
      <c r="A690" s="462"/>
      <c r="B690" s="462"/>
      <c r="C690" s="462"/>
      <c r="D690" s="462"/>
      <c r="E690" s="462"/>
      <c r="F690" s="462"/>
      <c r="G690" s="942"/>
      <c r="H690" s="462"/>
      <c r="I690" s="462"/>
      <c r="J690" s="462"/>
      <c r="K690" s="462"/>
      <c r="L690" s="462"/>
      <c r="M690" s="462"/>
      <c r="N690" s="912"/>
      <c r="O690" s="462"/>
      <c r="P690" s="462"/>
    </row>
    <row r="691">
      <c r="A691" s="462"/>
      <c r="B691" s="462"/>
      <c r="C691" s="462"/>
      <c r="D691" s="462"/>
      <c r="E691" s="462"/>
      <c r="F691" s="462"/>
      <c r="G691" s="942"/>
      <c r="H691" s="462"/>
      <c r="I691" s="462"/>
      <c r="J691" s="462"/>
      <c r="K691" s="462"/>
      <c r="L691" s="462"/>
      <c r="M691" s="462"/>
      <c r="N691" s="912"/>
      <c r="O691" s="462"/>
      <c r="P691" s="462"/>
    </row>
    <row r="692">
      <c r="A692" s="462"/>
      <c r="B692" s="462"/>
      <c r="C692" s="462"/>
      <c r="D692" s="462"/>
      <c r="E692" s="462"/>
      <c r="F692" s="462"/>
      <c r="G692" s="942"/>
      <c r="H692" s="462"/>
      <c r="I692" s="462"/>
      <c r="J692" s="462"/>
      <c r="K692" s="462"/>
      <c r="L692" s="462"/>
      <c r="M692" s="462"/>
      <c r="N692" s="912"/>
      <c r="O692" s="462"/>
      <c r="P692" s="462"/>
    </row>
    <row r="693">
      <c r="A693" s="462"/>
      <c r="B693" s="462"/>
      <c r="C693" s="462"/>
      <c r="D693" s="462"/>
      <c r="E693" s="462"/>
      <c r="F693" s="462"/>
      <c r="G693" s="942"/>
      <c r="H693" s="462"/>
      <c r="I693" s="462"/>
      <c r="J693" s="462"/>
      <c r="K693" s="462"/>
      <c r="L693" s="462"/>
      <c r="M693" s="462"/>
      <c r="N693" s="912"/>
      <c r="O693" s="462"/>
      <c r="P693" s="462"/>
    </row>
    <row r="694">
      <c r="A694" s="462"/>
      <c r="B694" s="462"/>
      <c r="C694" s="462"/>
      <c r="D694" s="462"/>
      <c r="E694" s="462"/>
      <c r="F694" s="462"/>
      <c r="G694" s="942"/>
      <c r="H694" s="462"/>
      <c r="I694" s="462"/>
      <c r="J694" s="462"/>
      <c r="K694" s="462"/>
      <c r="L694" s="462"/>
      <c r="M694" s="462"/>
      <c r="N694" s="912"/>
      <c r="O694" s="462"/>
      <c r="P694" s="462"/>
    </row>
    <row r="695">
      <c r="A695" s="462"/>
      <c r="B695" s="462"/>
      <c r="C695" s="462"/>
      <c r="D695" s="462"/>
      <c r="E695" s="462"/>
      <c r="F695" s="462"/>
      <c r="G695" s="942"/>
      <c r="H695" s="462"/>
      <c r="I695" s="462"/>
      <c r="J695" s="462"/>
      <c r="K695" s="462"/>
      <c r="L695" s="462"/>
      <c r="M695" s="462"/>
      <c r="N695" s="912"/>
      <c r="O695" s="462"/>
      <c r="P695" s="462"/>
    </row>
    <row r="696">
      <c r="A696" s="462"/>
      <c r="B696" s="462"/>
      <c r="C696" s="462"/>
      <c r="D696" s="462"/>
      <c r="E696" s="462"/>
      <c r="F696" s="462"/>
      <c r="G696" s="942"/>
      <c r="H696" s="462"/>
      <c r="I696" s="462"/>
      <c r="J696" s="462"/>
      <c r="K696" s="462"/>
      <c r="L696" s="462"/>
      <c r="M696" s="462"/>
      <c r="N696" s="912"/>
      <c r="O696" s="462"/>
      <c r="P696" s="462"/>
    </row>
    <row r="697">
      <c r="A697" s="462"/>
      <c r="B697" s="462"/>
      <c r="C697" s="462"/>
      <c r="D697" s="462"/>
      <c r="E697" s="462"/>
      <c r="F697" s="462"/>
      <c r="G697" s="942"/>
      <c r="H697" s="462"/>
      <c r="I697" s="462"/>
      <c r="J697" s="462"/>
      <c r="K697" s="462"/>
      <c r="L697" s="462"/>
      <c r="M697" s="462"/>
      <c r="N697" s="912"/>
      <c r="O697" s="462"/>
      <c r="P697" s="462"/>
    </row>
    <row r="698">
      <c r="A698" s="462"/>
      <c r="B698" s="462"/>
      <c r="C698" s="462"/>
      <c r="D698" s="462"/>
      <c r="E698" s="462"/>
      <c r="F698" s="462"/>
      <c r="G698" s="942"/>
      <c r="H698" s="462"/>
      <c r="I698" s="462"/>
      <c r="J698" s="462"/>
      <c r="K698" s="462"/>
      <c r="L698" s="462"/>
      <c r="M698" s="462"/>
      <c r="N698" s="912"/>
      <c r="O698" s="462"/>
      <c r="P698" s="462"/>
    </row>
    <row r="699">
      <c r="A699" s="462"/>
      <c r="B699" s="462"/>
      <c r="C699" s="462"/>
      <c r="D699" s="462"/>
      <c r="E699" s="462"/>
      <c r="F699" s="462"/>
      <c r="G699" s="942"/>
      <c r="H699" s="462"/>
      <c r="I699" s="462"/>
      <c r="J699" s="462"/>
      <c r="K699" s="462"/>
      <c r="L699" s="462"/>
      <c r="M699" s="462"/>
      <c r="N699" s="912"/>
      <c r="O699" s="462"/>
      <c r="P699" s="462"/>
    </row>
    <row r="700">
      <c r="A700" s="462"/>
      <c r="B700" s="462"/>
      <c r="C700" s="462"/>
      <c r="D700" s="462"/>
      <c r="E700" s="462"/>
      <c r="F700" s="462"/>
      <c r="G700" s="942"/>
      <c r="H700" s="462"/>
      <c r="I700" s="462"/>
      <c r="J700" s="462"/>
      <c r="K700" s="462"/>
      <c r="L700" s="462"/>
      <c r="M700" s="462"/>
      <c r="N700" s="912"/>
      <c r="O700" s="462"/>
      <c r="P700" s="462"/>
    </row>
    <row r="701">
      <c r="A701" s="462"/>
      <c r="B701" s="462"/>
      <c r="C701" s="462"/>
      <c r="D701" s="462"/>
      <c r="E701" s="462"/>
      <c r="F701" s="462"/>
      <c r="G701" s="942"/>
      <c r="H701" s="462"/>
      <c r="I701" s="462"/>
      <c r="J701" s="462"/>
      <c r="K701" s="462"/>
      <c r="L701" s="462"/>
      <c r="M701" s="462"/>
      <c r="N701" s="912"/>
      <c r="O701" s="462"/>
      <c r="P701" s="462"/>
    </row>
    <row r="702">
      <c r="A702" s="462"/>
      <c r="B702" s="462"/>
      <c r="C702" s="462"/>
      <c r="D702" s="462"/>
      <c r="E702" s="462"/>
      <c r="F702" s="462"/>
      <c r="G702" s="942"/>
      <c r="H702" s="462"/>
      <c r="I702" s="462"/>
      <c r="J702" s="462"/>
      <c r="K702" s="462"/>
      <c r="L702" s="462"/>
      <c r="M702" s="462"/>
      <c r="N702" s="912"/>
      <c r="O702" s="462"/>
      <c r="P702" s="462"/>
    </row>
    <row r="703">
      <c r="A703" s="462"/>
      <c r="B703" s="462"/>
      <c r="C703" s="462"/>
      <c r="D703" s="462"/>
      <c r="E703" s="462"/>
      <c r="F703" s="462"/>
      <c r="G703" s="942"/>
      <c r="H703" s="462"/>
      <c r="I703" s="462"/>
      <c r="J703" s="462"/>
      <c r="K703" s="462"/>
      <c r="L703" s="462"/>
      <c r="M703" s="462"/>
      <c r="N703" s="912"/>
      <c r="O703" s="462"/>
      <c r="P703" s="462"/>
    </row>
    <row r="704">
      <c r="A704" s="462"/>
      <c r="B704" s="462"/>
      <c r="C704" s="462"/>
      <c r="D704" s="462"/>
      <c r="E704" s="462"/>
      <c r="F704" s="462"/>
      <c r="G704" s="942"/>
      <c r="H704" s="462"/>
      <c r="I704" s="462"/>
      <c r="J704" s="462"/>
      <c r="K704" s="462"/>
      <c r="L704" s="462"/>
      <c r="M704" s="462"/>
      <c r="N704" s="912"/>
      <c r="O704" s="462"/>
      <c r="P704" s="462"/>
    </row>
    <row r="705">
      <c r="A705" s="462"/>
      <c r="B705" s="462"/>
      <c r="C705" s="462"/>
      <c r="D705" s="462"/>
      <c r="E705" s="462"/>
      <c r="F705" s="462"/>
      <c r="G705" s="942"/>
      <c r="H705" s="462"/>
      <c r="I705" s="462"/>
      <c r="J705" s="462"/>
      <c r="K705" s="462"/>
      <c r="L705" s="462"/>
      <c r="M705" s="462"/>
      <c r="N705" s="912"/>
      <c r="O705" s="462"/>
      <c r="P705" s="462"/>
    </row>
    <row r="706">
      <c r="A706" s="462"/>
      <c r="B706" s="462"/>
      <c r="C706" s="462"/>
      <c r="D706" s="462"/>
      <c r="E706" s="462"/>
      <c r="F706" s="462"/>
      <c r="G706" s="942"/>
      <c r="H706" s="462"/>
      <c r="I706" s="462"/>
      <c r="J706" s="462"/>
      <c r="K706" s="462"/>
      <c r="L706" s="462"/>
      <c r="M706" s="462"/>
      <c r="N706" s="912"/>
      <c r="O706" s="462"/>
      <c r="P706" s="462"/>
    </row>
    <row r="707">
      <c r="A707" s="462"/>
      <c r="B707" s="462"/>
      <c r="C707" s="462"/>
      <c r="D707" s="462"/>
      <c r="E707" s="462"/>
      <c r="F707" s="462"/>
      <c r="G707" s="942"/>
      <c r="H707" s="462"/>
      <c r="I707" s="462"/>
      <c r="J707" s="462"/>
      <c r="K707" s="462"/>
      <c r="L707" s="462"/>
      <c r="M707" s="462"/>
      <c r="N707" s="912"/>
      <c r="O707" s="462"/>
      <c r="P707" s="462"/>
    </row>
    <row r="708">
      <c r="A708" s="462"/>
      <c r="B708" s="462"/>
      <c r="C708" s="462"/>
      <c r="D708" s="462"/>
      <c r="E708" s="462"/>
      <c r="F708" s="462"/>
      <c r="G708" s="942"/>
      <c r="H708" s="462"/>
      <c r="I708" s="462"/>
      <c r="J708" s="462"/>
      <c r="K708" s="462"/>
      <c r="L708" s="462"/>
      <c r="M708" s="462"/>
      <c r="N708" s="912"/>
      <c r="O708" s="462"/>
      <c r="P708" s="462"/>
    </row>
    <row r="709">
      <c r="A709" s="462"/>
      <c r="B709" s="462"/>
      <c r="C709" s="462"/>
      <c r="D709" s="462"/>
      <c r="E709" s="462"/>
      <c r="F709" s="462"/>
      <c r="G709" s="942"/>
      <c r="H709" s="462"/>
      <c r="I709" s="462"/>
      <c r="J709" s="462"/>
      <c r="K709" s="462"/>
      <c r="L709" s="462"/>
      <c r="M709" s="462"/>
      <c r="N709" s="912"/>
      <c r="O709" s="462"/>
      <c r="P709" s="462"/>
    </row>
    <row r="710">
      <c r="A710" s="462"/>
      <c r="B710" s="462"/>
      <c r="C710" s="462"/>
      <c r="D710" s="462"/>
      <c r="E710" s="462"/>
      <c r="F710" s="462"/>
      <c r="G710" s="942"/>
      <c r="H710" s="462"/>
      <c r="I710" s="462"/>
      <c r="J710" s="462"/>
      <c r="K710" s="462"/>
      <c r="L710" s="462"/>
      <c r="M710" s="462"/>
      <c r="N710" s="912"/>
      <c r="O710" s="462"/>
      <c r="P710" s="462"/>
    </row>
    <row r="711">
      <c r="A711" s="462"/>
      <c r="B711" s="462"/>
      <c r="C711" s="462"/>
      <c r="D711" s="462"/>
      <c r="E711" s="462"/>
      <c r="F711" s="462"/>
      <c r="G711" s="942"/>
      <c r="H711" s="462"/>
      <c r="I711" s="462"/>
      <c r="J711" s="462"/>
      <c r="K711" s="462"/>
      <c r="L711" s="462"/>
      <c r="M711" s="462"/>
      <c r="N711" s="912"/>
      <c r="O711" s="462"/>
      <c r="P711" s="462"/>
    </row>
    <row r="712">
      <c r="A712" s="462"/>
      <c r="B712" s="462"/>
      <c r="C712" s="462"/>
      <c r="D712" s="462"/>
      <c r="E712" s="462"/>
      <c r="F712" s="462"/>
      <c r="G712" s="942"/>
      <c r="H712" s="462"/>
      <c r="I712" s="462"/>
      <c r="J712" s="462"/>
      <c r="K712" s="462"/>
      <c r="L712" s="462"/>
      <c r="M712" s="462"/>
      <c r="N712" s="912"/>
      <c r="O712" s="462"/>
      <c r="P712" s="462"/>
    </row>
    <row r="713">
      <c r="A713" s="462"/>
      <c r="B713" s="462"/>
      <c r="C713" s="462"/>
      <c r="D713" s="462"/>
      <c r="E713" s="462"/>
      <c r="F713" s="462"/>
      <c r="G713" s="942"/>
      <c r="H713" s="462"/>
      <c r="I713" s="462"/>
      <c r="J713" s="462"/>
      <c r="K713" s="462"/>
      <c r="L713" s="462"/>
      <c r="M713" s="462"/>
      <c r="N713" s="912"/>
      <c r="O713" s="462"/>
      <c r="P713" s="462"/>
    </row>
    <row r="714">
      <c r="A714" s="462"/>
      <c r="B714" s="462"/>
      <c r="C714" s="462"/>
      <c r="D714" s="462"/>
      <c r="E714" s="462"/>
      <c r="F714" s="462"/>
      <c r="G714" s="942"/>
      <c r="H714" s="462"/>
      <c r="I714" s="462"/>
      <c r="J714" s="462"/>
      <c r="K714" s="462"/>
      <c r="L714" s="462"/>
      <c r="M714" s="462"/>
      <c r="N714" s="912"/>
      <c r="O714" s="462"/>
      <c r="P714" s="462"/>
    </row>
    <row r="715">
      <c r="A715" s="462"/>
      <c r="B715" s="462"/>
      <c r="C715" s="462"/>
      <c r="D715" s="462"/>
      <c r="E715" s="462"/>
      <c r="F715" s="462"/>
      <c r="G715" s="942"/>
      <c r="H715" s="462"/>
      <c r="I715" s="462"/>
      <c r="J715" s="462"/>
      <c r="K715" s="462"/>
      <c r="L715" s="462"/>
      <c r="M715" s="462"/>
      <c r="N715" s="912"/>
      <c r="O715" s="462"/>
      <c r="P715" s="462"/>
    </row>
    <row r="716">
      <c r="A716" s="462"/>
      <c r="B716" s="462"/>
      <c r="C716" s="462"/>
      <c r="D716" s="462"/>
      <c r="E716" s="462"/>
      <c r="F716" s="462"/>
      <c r="G716" s="942"/>
      <c r="H716" s="462"/>
      <c r="I716" s="462"/>
      <c r="J716" s="462"/>
      <c r="K716" s="462"/>
      <c r="L716" s="462"/>
      <c r="M716" s="462"/>
      <c r="N716" s="912"/>
      <c r="O716" s="462"/>
      <c r="P716" s="462"/>
    </row>
    <row r="717">
      <c r="A717" s="462"/>
      <c r="B717" s="462"/>
      <c r="C717" s="462"/>
      <c r="D717" s="462"/>
      <c r="E717" s="462"/>
      <c r="F717" s="462"/>
      <c r="G717" s="942"/>
      <c r="H717" s="462"/>
      <c r="I717" s="462"/>
      <c r="J717" s="462"/>
      <c r="K717" s="462"/>
      <c r="L717" s="462"/>
      <c r="M717" s="462"/>
      <c r="N717" s="912"/>
      <c r="O717" s="462"/>
      <c r="P717" s="462"/>
    </row>
    <row r="718">
      <c r="A718" s="462"/>
      <c r="B718" s="462"/>
      <c r="C718" s="462"/>
      <c r="D718" s="462"/>
      <c r="E718" s="462"/>
      <c r="F718" s="462"/>
      <c r="G718" s="942"/>
      <c r="H718" s="462"/>
      <c r="I718" s="462"/>
      <c r="J718" s="462"/>
      <c r="K718" s="462"/>
      <c r="L718" s="462"/>
      <c r="M718" s="462"/>
      <c r="N718" s="912"/>
      <c r="O718" s="462"/>
      <c r="P718" s="462"/>
    </row>
    <row r="719">
      <c r="A719" s="462"/>
      <c r="B719" s="462"/>
      <c r="C719" s="462"/>
      <c r="D719" s="462"/>
      <c r="E719" s="462"/>
      <c r="F719" s="462"/>
      <c r="G719" s="942"/>
      <c r="H719" s="462"/>
      <c r="I719" s="462"/>
      <c r="J719" s="462"/>
      <c r="K719" s="462"/>
      <c r="L719" s="462"/>
      <c r="M719" s="462"/>
      <c r="N719" s="912"/>
      <c r="O719" s="462"/>
      <c r="P719" s="462"/>
    </row>
    <row r="720">
      <c r="A720" s="462"/>
      <c r="B720" s="462"/>
      <c r="C720" s="462"/>
      <c r="D720" s="462"/>
      <c r="E720" s="462"/>
      <c r="F720" s="462"/>
      <c r="G720" s="942"/>
      <c r="H720" s="462"/>
      <c r="I720" s="462"/>
      <c r="J720" s="462"/>
      <c r="K720" s="462"/>
      <c r="L720" s="462"/>
      <c r="M720" s="462"/>
      <c r="N720" s="912"/>
      <c r="O720" s="462"/>
      <c r="P720" s="462"/>
    </row>
    <row r="721">
      <c r="A721" s="462"/>
      <c r="B721" s="462"/>
      <c r="C721" s="462"/>
      <c r="D721" s="462"/>
      <c r="E721" s="462"/>
      <c r="F721" s="462"/>
      <c r="G721" s="942"/>
      <c r="H721" s="462"/>
      <c r="I721" s="462"/>
      <c r="J721" s="462"/>
      <c r="K721" s="462"/>
      <c r="L721" s="462"/>
      <c r="M721" s="462"/>
      <c r="N721" s="912"/>
      <c r="O721" s="462"/>
      <c r="P721" s="462"/>
    </row>
    <row r="722">
      <c r="A722" s="462"/>
      <c r="B722" s="462"/>
      <c r="C722" s="462"/>
      <c r="D722" s="462"/>
      <c r="E722" s="462"/>
      <c r="F722" s="462"/>
      <c r="G722" s="942"/>
      <c r="H722" s="462"/>
      <c r="I722" s="462"/>
      <c r="J722" s="462"/>
      <c r="K722" s="462"/>
      <c r="L722" s="462"/>
      <c r="M722" s="462"/>
      <c r="N722" s="912"/>
      <c r="O722" s="462"/>
      <c r="P722" s="462"/>
    </row>
    <row r="723">
      <c r="A723" s="462"/>
      <c r="B723" s="462"/>
      <c r="C723" s="462"/>
      <c r="D723" s="462"/>
      <c r="E723" s="462"/>
      <c r="F723" s="462"/>
      <c r="G723" s="942"/>
      <c r="H723" s="462"/>
      <c r="I723" s="462"/>
      <c r="J723" s="462"/>
      <c r="K723" s="462"/>
      <c r="L723" s="462"/>
      <c r="M723" s="462"/>
      <c r="N723" s="912"/>
      <c r="O723" s="462"/>
      <c r="P723" s="462"/>
    </row>
    <row r="724">
      <c r="A724" s="462"/>
      <c r="B724" s="462"/>
      <c r="C724" s="462"/>
      <c r="D724" s="462"/>
      <c r="E724" s="462"/>
      <c r="F724" s="462"/>
      <c r="G724" s="942"/>
      <c r="H724" s="462"/>
      <c r="I724" s="462"/>
      <c r="J724" s="462"/>
      <c r="K724" s="462"/>
      <c r="L724" s="462"/>
      <c r="M724" s="462"/>
      <c r="N724" s="912"/>
      <c r="O724" s="462"/>
      <c r="P724" s="462"/>
    </row>
    <row r="725">
      <c r="A725" s="462"/>
      <c r="B725" s="462"/>
      <c r="C725" s="462"/>
      <c r="D725" s="462"/>
      <c r="E725" s="462"/>
      <c r="F725" s="462"/>
      <c r="G725" s="942"/>
      <c r="H725" s="462"/>
      <c r="I725" s="462"/>
      <c r="J725" s="462"/>
      <c r="K725" s="462"/>
      <c r="L725" s="462"/>
      <c r="M725" s="462"/>
      <c r="N725" s="912"/>
      <c r="O725" s="462"/>
      <c r="P725" s="462"/>
    </row>
    <row r="726">
      <c r="A726" s="462"/>
      <c r="B726" s="462"/>
      <c r="C726" s="462"/>
      <c r="D726" s="462"/>
      <c r="E726" s="462"/>
      <c r="F726" s="462"/>
      <c r="G726" s="942"/>
      <c r="H726" s="462"/>
      <c r="I726" s="462"/>
      <c r="J726" s="462"/>
      <c r="K726" s="462"/>
      <c r="L726" s="462"/>
      <c r="M726" s="462"/>
      <c r="N726" s="912"/>
      <c r="O726" s="462"/>
      <c r="P726" s="462"/>
    </row>
    <row r="727">
      <c r="A727" s="462"/>
      <c r="B727" s="462"/>
      <c r="C727" s="462"/>
      <c r="D727" s="462"/>
      <c r="E727" s="462"/>
      <c r="F727" s="462"/>
      <c r="G727" s="942"/>
      <c r="H727" s="462"/>
      <c r="I727" s="462"/>
      <c r="J727" s="462"/>
      <c r="K727" s="462"/>
      <c r="L727" s="462"/>
      <c r="M727" s="462"/>
      <c r="N727" s="912"/>
      <c r="O727" s="462"/>
      <c r="P727" s="462"/>
    </row>
    <row r="728">
      <c r="A728" s="462"/>
      <c r="B728" s="462"/>
      <c r="C728" s="462"/>
      <c r="D728" s="462"/>
      <c r="E728" s="462"/>
      <c r="F728" s="462"/>
      <c r="G728" s="942"/>
      <c r="H728" s="462"/>
      <c r="I728" s="462"/>
      <c r="J728" s="462"/>
      <c r="K728" s="462"/>
      <c r="L728" s="462"/>
      <c r="M728" s="462"/>
      <c r="N728" s="912"/>
      <c r="O728" s="462"/>
      <c r="P728" s="462"/>
    </row>
    <row r="729">
      <c r="A729" s="462"/>
      <c r="B729" s="462"/>
      <c r="C729" s="462"/>
      <c r="D729" s="462"/>
      <c r="E729" s="462"/>
      <c r="F729" s="462"/>
      <c r="G729" s="942"/>
      <c r="H729" s="462"/>
      <c r="I729" s="462"/>
      <c r="J729" s="462"/>
      <c r="K729" s="462"/>
      <c r="L729" s="462"/>
      <c r="M729" s="462"/>
      <c r="N729" s="912"/>
      <c r="O729" s="462"/>
      <c r="P729" s="462"/>
    </row>
    <row r="730">
      <c r="A730" s="462"/>
      <c r="B730" s="462"/>
      <c r="C730" s="462"/>
      <c r="D730" s="462"/>
      <c r="E730" s="462"/>
      <c r="F730" s="462"/>
      <c r="G730" s="942"/>
      <c r="H730" s="462"/>
      <c r="I730" s="462"/>
      <c r="J730" s="462"/>
      <c r="K730" s="462"/>
      <c r="L730" s="462"/>
      <c r="M730" s="462"/>
      <c r="N730" s="912"/>
      <c r="O730" s="462"/>
      <c r="P730" s="462"/>
    </row>
    <row r="731">
      <c r="A731" s="462"/>
      <c r="B731" s="462"/>
      <c r="C731" s="462"/>
      <c r="D731" s="462"/>
      <c r="E731" s="462"/>
      <c r="F731" s="462"/>
      <c r="G731" s="942"/>
      <c r="H731" s="462"/>
      <c r="I731" s="462"/>
      <c r="J731" s="462"/>
      <c r="K731" s="462"/>
      <c r="L731" s="462"/>
      <c r="M731" s="462"/>
      <c r="N731" s="912"/>
      <c r="O731" s="462"/>
      <c r="P731" s="462"/>
    </row>
    <row r="732">
      <c r="A732" s="462"/>
      <c r="B732" s="462"/>
      <c r="C732" s="462"/>
      <c r="D732" s="462"/>
      <c r="E732" s="462"/>
      <c r="F732" s="462"/>
      <c r="G732" s="942"/>
      <c r="H732" s="462"/>
      <c r="I732" s="462"/>
      <c r="J732" s="462"/>
      <c r="K732" s="462"/>
      <c r="L732" s="462"/>
      <c r="M732" s="462"/>
      <c r="N732" s="912"/>
      <c r="O732" s="462"/>
      <c r="P732" s="462"/>
    </row>
    <row r="733">
      <c r="A733" s="462"/>
      <c r="B733" s="462"/>
      <c r="C733" s="462"/>
      <c r="D733" s="462"/>
      <c r="E733" s="462"/>
      <c r="F733" s="462"/>
      <c r="G733" s="942"/>
      <c r="H733" s="462"/>
      <c r="I733" s="462"/>
      <c r="J733" s="462"/>
      <c r="K733" s="462"/>
      <c r="L733" s="462"/>
      <c r="M733" s="462"/>
      <c r="N733" s="912"/>
      <c r="O733" s="462"/>
      <c r="P733" s="462"/>
    </row>
    <row r="734">
      <c r="A734" s="462"/>
      <c r="B734" s="462"/>
      <c r="C734" s="462"/>
      <c r="D734" s="462"/>
      <c r="E734" s="462"/>
      <c r="F734" s="462"/>
      <c r="G734" s="942"/>
      <c r="H734" s="462"/>
      <c r="I734" s="462"/>
      <c r="J734" s="462"/>
      <c r="K734" s="462"/>
      <c r="L734" s="462"/>
      <c r="M734" s="462"/>
      <c r="N734" s="912"/>
      <c r="O734" s="462"/>
      <c r="P734" s="462"/>
    </row>
    <row r="735">
      <c r="A735" s="462"/>
      <c r="B735" s="462"/>
      <c r="C735" s="462"/>
      <c r="D735" s="462"/>
      <c r="E735" s="462"/>
      <c r="F735" s="462"/>
      <c r="G735" s="942"/>
      <c r="H735" s="462"/>
      <c r="I735" s="462"/>
      <c r="J735" s="462"/>
      <c r="K735" s="462"/>
      <c r="L735" s="462"/>
      <c r="M735" s="462"/>
      <c r="N735" s="912"/>
      <c r="O735" s="462"/>
      <c r="P735" s="462"/>
    </row>
    <row r="736">
      <c r="A736" s="462"/>
      <c r="B736" s="462"/>
      <c r="C736" s="462"/>
      <c r="D736" s="462"/>
      <c r="E736" s="462"/>
      <c r="F736" s="462"/>
      <c r="G736" s="942"/>
      <c r="H736" s="462"/>
      <c r="I736" s="462"/>
      <c r="J736" s="462"/>
      <c r="K736" s="462"/>
      <c r="L736" s="462"/>
      <c r="M736" s="462"/>
      <c r="N736" s="912"/>
      <c r="O736" s="462"/>
      <c r="P736" s="462"/>
    </row>
    <row r="737">
      <c r="A737" s="462"/>
      <c r="B737" s="462"/>
      <c r="C737" s="462"/>
      <c r="D737" s="462"/>
      <c r="E737" s="462"/>
      <c r="F737" s="462"/>
      <c r="G737" s="942"/>
      <c r="H737" s="462"/>
      <c r="I737" s="462"/>
      <c r="J737" s="462"/>
      <c r="K737" s="462"/>
      <c r="L737" s="462"/>
      <c r="M737" s="462"/>
      <c r="N737" s="912"/>
      <c r="O737" s="462"/>
      <c r="P737" s="462"/>
    </row>
    <row r="738">
      <c r="A738" s="462"/>
      <c r="B738" s="462"/>
      <c r="C738" s="462"/>
      <c r="D738" s="462"/>
      <c r="E738" s="462"/>
      <c r="F738" s="462"/>
      <c r="G738" s="942"/>
      <c r="H738" s="462"/>
      <c r="I738" s="462"/>
      <c r="J738" s="462"/>
      <c r="K738" s="462"/>
      <c r="L738" s="462"/>
      <c r="M738" s="462"/>
      <c r="N738" s="912"/>
      <c r="O738" s="462"/>
      <c r="P738" s="462"/>
    </row>
    <row r="739">
      <c r="A739" s="462"/>
      <c r="B739" s="462"/>
      <c r="C739" s="462"/>
      <c r="D739" s="462"/>
      <c r="E739" s="462"/>
      <c r="F739" s="462"/>
      <c r="G739" s="942"/>
      <c r="H739" s="462"/>
      <c r="I739" s="462"/>
      <c r="J739" s="462"/>
      <c r="K739" s="462"/>
      <c r="L739" s="462"/>
      <c r="M739" s="462"/>
      <c r="N739" s="912"/>
      <c r="O739" s="462"/>
      <c r="P739" s="462"/>
    </row>
    <row r="740">
      <c r="A740" s="462"/>
      <c r="B740" s="462"/>
      <c r="C740" s="462"/>
      <c r="D740" s="462"/>
      <c r="E740" s="462"/>
      <c r="F740" s="462"/>
      <c r="G740" s="942"/>
      <c r="H740" s="462"/>
      <c r="I740" s="462"/>
      <c r="J740" s="462"/>
      <c r="K740" s="462"/>
      <c r="L740" s="462"/>
      <c r="M740" s="462"/>
      <c r="N740" s="912"/>
      <c r="O740" s="462"/>
      <c r="P740" s="462"/>
    </row>
    <row r="741">
      <c r="A741" s="462"/>
      <c r="B741" s="462"/>
      <c r="C741" s="462"/>
      <c r="D741" s="462"/>
      <c r="E741" s="462"/>
      <c r="F741" s="462"/>
      <c r="G741" s="942"/>
      <c r="H741" s="462"/>
      <c r="I741" s="462"/>
      <c r="J741" s="462"/>
      <c r="K741" s="462"/>
      <c r="L741" s="462"/>
      <c r="M741" s="462"/>
      <c r="N741" s="912"/>
      <c r="O741" s="462"/>
      <c r="P741" s="462"/>
    </row>
    <row r="742">
      <c r="A742" s="462"/>
      <c r="B742" s="462"/>
      <c r="C742" s="462"/>
      <c r="D742" s="462"/>
      <c r="E742" s="462"/>
      <c r="F742" s="462"/>
      <c r="G742" s="942"/>
      <c r="H742" s="462"/>
      <c r="I742" s="462"/>
      <c r="J742" s="462"/>
      <c r="K742" s="462"/>
      <c r="L742" s="462"/>
      <c r="M742" s="462"/>
      <c r="N742" s="912"/>
      <c r="O742" s="462"/>
      <c r="P742" s="462"/>
    </row>
    <row r="743">
      <c r="A743" s="462"/>
      <c r="B743" s="462"/>
      <c r="C743" s="462"/>
      <c r="D743" s="462"/>
      <c r="E743" s="462"/>
      <c r="F743" s="462"/>
      <c r="G743" s="942"/>
      <c r="H743" s="462"/>
      <c r="I743" s="462"/>
      <c r="J743" s="462"/>
      <c r="K743" s="462"/>
      <c r="L743" s="462"/>
      <c r="M743" s="462"/>
      <c r="N743" s="912"/>
      <c r="O743" s="462"/>
      <c r="P743" s="462"/>
    </row>
    <row r="744">
      <c r="A744" s="462"/>
      <c r="B744" s="462"/>
      <c r="C744" s="462"/>
      <c r="D744" s="462"/>
      <c r="E744" s="462"/>
      <c r="F744" s="462"/>
      <c r="G744" s="942"/>
      <c r="H744" s="462"/>
      <c r="I744" s="462"/>
      <c r="J744" s="462"/>
      <c r="K744" s="462"/>
      <c r="L744" s="462"/>
      <c r="M744" s="462"/>
      <c r="N744" s="912"/>
      <c r="O744" s="462"/>
      <c r="P744" s="462"/>
    </row>
    <row r="745">
      <c r="A745" s="462"/>
      <c r="B745" s="462"/>
      <c r="C745" s="462"/>
      <c r="D745" s="462"/>
      <c r="E745" s="462"/>
      <c r="F745" s="462"/>
      <c r="G745" s="942"/>
      <c r="H745" s="462"/>
      <c r="I745" s="462"/>
      <c r="J745" s="462"/>
      <c r="K745" s="462"/>
      <c r="L745" s="462"/>
      <c r="M745" s="462"/>
      <c r="N745" s="912"/>
      <c r="O745" s="462"/>
      <c r="P745" s="462"/>
    </row>
    <row r="746">
      <c r="A746" s="462"/>
      <c r="B746" s="462"/>
      <c r="C746" s="462"/>
      <c r="D746" s="462"/>
      <c r="E746" s="462"/>
      <c r="F746" s="462"/>
      <c r="G746" s="942"/>
      <c r="H746" s="462"/>
      <c r="I746" s="462"/>
      <c r="J746" s="462"/>
      <c r="K746" s="462"/>
      <c r="L746" s="462"/>
      <c r="M746" s="462"/>
      <c r="N746" s="912"/>
      <c r="O746" s="462"/>
      <c r="P746" s="462"/>
    </row>
    <row r="747">
      <c r="A747" s="462"/>
      <c r="B747" s="462"/>
      <c r="C747" s="462"/>
      <c r="D747" s="462"/>
      <c r="E747" s="462"/>
      <c r="F747" s="462"/>
      <c r="G747" s="942"/>
      <c r="H747" s="462"/>
      <c r="I747" s="462"/>
      <c r="J747" s="462"/>
      <c r="K747" s="462"/>
      <c r="L747" s="462"/>
      <c r="M747" s="462"/>
      <c r="N747" s="912"/>
      <c r="O747" s="462"/>
      <c r="P747" s="462"/>
    </row>
    <row r="748">
      <c r="A748" s="462"/>
      <c r="B748" s="462"/>
      <c r="C748" s="462"/>
      <c r="D748" s="462"/>
      <c r="E748" s="462"/>
      <c r="F748" s="462"/>
      <c r="G748" s="942"/>
      <c r="H748" s="462"/>
      <c r="I748" s="462"/>
      <c r="J748" s="462"/>
      <c r="K748" s="462"/>
      <c r="L748" s="462"/>
      <c r="M748" s="462"/>
      <c r="N748" s="912"/>
      <c r="O748" s="462"/>
      <c r="P748" s="462"/>
    </row>
    <row r="749">
      <c r="A749" s="462"/>
      <c r="B749" s="462"/>
      <c r="C749" s="462"/>
      <c r="D749" s="462"/>
      <c r="E749" s="462"/>
      <c r="F749" s="462"/>
      <c r="G749" s="942"/>
      <c r="H749" s="462"/>
      <c r="I749" s="462"/>
      <c r="J749" s="462"/>
      <c r="K749" s="462"/>
      <c r="L749" s="462"/>
      <c r="M749" s="462"/>
      <c r="N749" s="912"/>
      <c r="O749" s="462"/>
      <c r="P749" s="462"/>
    </row>
    <row r="750">
      <c r="A750" s="462"/>
      <c r="B750" s="462"/>
      <c r="C750" s="462"/>
      <c r="D750" s="462"/>
      <c r="E750" s="462"/>
      <c r="F750" s="462"/>
      <c r="G750" s="942"/>
      <c r="H750" s="462"/>
      <c r="I750" s="462"/>
      <c r="J750" s="462"/>
      <c r="K750" s="462"/>
      <c r="L750" s="462"/>
      <c r="M750" s="462"/>
      <c r="N750" s="912"/>
      <c r="O750" s="462"/>
      <c r="P750" s="462"/>
    </row>
    <row r="751">
      <c r="A751" s="462"/>
      <c r="B751" s="462"/>
      <c r="C751" s="462"/>
      <c r="D751" s="462"/>
      <c r="E751" s="462"/>
      <c r="F751" s="462"/>
      <c r="G751" s="942"/>
      <c r="H751" s="462"/>
      <c r="I751" s="462"/>
      <c r="J751" s="462"/>
      <c r="K751" s="462"/>
      <c r="L751" s="462"/>
      <c r="M751" s="462"/>
      <c r="N751" s="912"/>
      <c r="O751" s="462"/>
      <c r="P751" s="462"/>
    </row>
    <row r="752">
      <c r="A752" s="462"/>
      <c r="B752" s="462"/>
      <c r="C752" s="462"/>
      <c r="D752" s="462"/>
      <c r="E752" s="462"/>
      <c r="F752" s="462"/>
      <c r="G752" s="942"/>
      <c r="H752" s="462"/>
      <c r="I752" s="462"/>
      <c r="J752" s="462"/>
      <c r="K752" s="462"/>
      <c r="L752" s="462"/>
      <c r="M752" s="462"/>
      <c r="N752" s="912"/>
      <c r="O752" s="462"/>
      <c r="P752" s="462"/>
    </row>
    <row r="753">
      <c r="A753" s="462"/>
      <c r="B753" s="462"/>
      <c r="C753" s="462"/>
      <c r="D753" s="462"/>
      <c r="E753" s="462"/>
      <c r="F753" s="462"/>
      <c r="G753" s="942"/>
      <c r="H753" s="462"/>
      <c r="I753" s="462"/>
      <c r="J753" s="462"/>
      <c r="K753" s="462"/>
      <c r="L753" s="462"/>
      <c r="M753" s="462"/>
      <c r="N753" s="912"/>
      <c r="O753" s="462"/>
      <c r="P753" s="462"/>
    </row>
    <row r="754">
      <c r="A754" s="462"/>
      <c r="B754" s="462"/>
      <c r="C754" s="462"/>
      <c r="D754" s="462"/>
      <c r="E754" s="462"/>
      <c r="F754" s="462"/>
      <c r="G754" s="942"/>
      <c r="H754" s="462"/>
      <c r="I754" s="462"/>
      <c r="J754" s="462"/>
      <c r="K754" s="462"/>
      <c r="L754" s="462"/>
      <c r="M754" s="462"/>
      <c r="N754" s="912"/>
      <c r="O754" s="462"/>
      <c r="P754" s="462"/>
    </row>
    <row r="755">
      <c r="A755" s="462"/>
      <c r="B755" s="462"/>
      <c r="C755" s="462"/>
      <c r="D755" s="462"/>
      <c r="E755" s="462"/>
      <c r="F755" s="462"/>
      <c r="G755" s="942"/>
      <c r="H755" s="462"/>
      <c r="I755" s="462"/>
      <c r="J755" s="462"/>
      <c r="K755" s="462"/>
      <c r="L755" s="462"/>
      <c r="M755" s="462"/>
      <c r="N755" s="912"/>
      <c r="O755" s="462"/>
      <c r="P755" s="462"/>
    </row>
    <row r="756">
      <c r="A756" s="462"/>
      <c r="B756" s="462"/>
      <c r="C756" s="462"/>
      <c r="D756" s="462"/>
      <c r="E756" s="462"/>
      <c r="F756" s="462"/>
      <c r="G756" s="942"/>
      <c r="H756" s="462"/>
      <c r="I756" s="462"/>
      <c r="J756" s="462"/>
      <c r="K756" s="462"/>
      <c r="L756" s="462"/>
      <c r="M756" s="462"/>
      <c r="N756" s="912"/>
      <c r="O756" s="462"/>
      <c r="P756" s="462"/>
    </row>
    <row r="757">
      <c r="A757" s="462"/>
      <c r="B757" s="462"/>
      <c r="C757" s="462"/>
      <c r="D757" s="462"/>
      <c r="E757" s="462"/>
      <c r="F757" s="462"/>
      <c r="G757" s="942"/>
      <c r="H757" s="462"/>
      <c r="I757" s="462"/>
      <c r="J757" s="462"/>
      <c r="K757" s="462"/>
      <c r="L757" s="462"/>
      <c r="M757" s="462"/>
      <c r="N757" s="912"/>
      <c r="O757" s="462"/>
      <c r="P757" s="462"/>
    </row>
    <row r="758">
      <c r="A758" s="462"/>
      <c r="B758" s="462"/>
      <c r="C758" s="462"/>
      <c r="D758" s="462"/>
      <c r="E758" s="462"/>
      <c r="F758" s="462"/>
      <c r="G758" s="942"/>
      <c r="H758" s="462"/>
      <c r="I758" s="462"/>
      <c r="J758" s="462"/>
      <c r="K758" s="462"/>
      <c r="L758" s="462"/>
      <c r="M758" s="462"/>
      <c r="N758" s="912"/>
      <c r="O758" s="462"/>
      <c r="P758" s="462"/>
    </row>
    <row r="759">
      <c r="A759" s="462"/>
      <c r="B759" s="462"/>
      <c r="C759" s="462"/>
      <c r="D759" s="462"/>
      <c r="E759" s="462"/>
      <c r="F759" s="462"/>
      <c r="G759" s="942"/>
      <c r="H759" s="462"/>
      <c r="I759" s="462"/>
      <c r="J759" s="462"/>
      <c r="K759" s="462"/>
      <c r="L759" s="462"/>
      <c r="M759" s="462"/>
      <c r="N759" s="912"/>
      <c r="O759" s="462"/>
      <c r="P759" s="462"/>
    </row>
    <row r="760">
      <c r="A760" s="462"/>
      <c r="B760" s="462"/>
      <c r="C760" s="462"/>
      <c r="D760" s="462"/>
      <c r="E760" s="462"/>
      <c r="F760" s="462"/>
      <c r="G760" s="942"/>
      <c r="H760" s="462"/>
      <c r="I760" s="462"/>
      <c r="J760" s="462"/>
      <c r="K760" s="462"/>
      <c r="L760" s="462"/>
      <c r="M760" s="462"/>
      <c r="N760" s="912"/>
      <c r="O760" s="462"/>
      <c r="P760" s="462"/>
    </row>
    <row r="761">
      <c r="A761" s="462"/>
      <c r="B761" s="462"/>
      <c r="C761" s="462"/>
      <c r="D761" s="462"/>
      <c r="E761" s="462"/>
      <c r="F761" s="462"/>
      <c r="G761" s="942"/>
      <c r="H761" s="462"/>
      <c r="I761" s="462"/>
      <c r="J761" s="462"/>
      <c r="K761" s="462"/>
      <c r="L761" s="462"/>
      <c r="M761" s="462"/>
      <c r="N761" s="912"/>
      <c r="O761" s="462"/>
      <c r="P761" s="462"/>
    </row>
    <row r="762">
      <c r="A762" s="462"/>
      <c r="B762" s="462"/>
      <c r="C762" s="462"/>
      <c r="D762" s="462"/>
      <c r="E762" s="462"/>
      <c r="F762" s="462"/>
      <c r="G762" s="942"/>
      <c r="H762" s="462"/>
      <c r="I762" s="462"/>
      <c r="J762" s="462"/>
      <c r="K762" s="462"/>
      <c r="L762" s="462"/>
      <c r="M762" s="462"/>
      <c r="N762" s="912"/>
      <c r="O762" s="462"/>
      <c r="P762" s="462"/>
    </row>
    <row r="763">
      <c r="A763" s="462"/>
      <c r="B763" s="462"/>
      <c r="C763" s="462"/>
      <c r="D763" s="462"/>
      <c r="E763" s="462"/>
      <c r="F763" s="462"/>
      <c r="G763" s="942"/>
      <c r="H763" s="462"/>
      <c r="I763" s="462"/>
      <c r="J763" s="462"/>
      <c r="K763" s="462"/>
      <c r="L763" s="462"/>
      <c r="M763" s="462"/>
      <c r="N763" s="912"/>
      <c r="O763" s="462"/>
      <c r="P763" s="462"/>
    </row>
    <row r="764">
      <c r="A764" s="462"/>
      <c r="B764" s="462"/>
      <c r="C764" s="462"/>
      <c r="D764" s="462"/>
      <c r="E764" s="462"/>
      <c r="F764" s="462"/>
      <c r="G764" s="942"/>
      <c r="H764" s="462"/>
      <c r="I764" s="462"/>
      <c r="J764" s="462"/>
      <c r="K764" s="462"/>
      <c r="L764" s="462"/>
      <c r="M764" s="462"/>
      <c r="N764" s="912"/>
      <c r="O764" s="462"/>
      <c r="P764" s="462"/>
    </row>
    <row r="765">
      <c r="A765" s="462"/>
      <c r="B765" s="462"/>
      <c r="C765" s="462"/>
      <c r="D765" s="462"/>
      <c r="E765" s="462"/>
      <c r="F765" s="462"/>
      <c r="G765" s="942"/>
      <c r="H765" s="462"/>
      <c r="I765" s="462"/>
      <c r="J765" s="462"/>
      <c r="K765" s="462"/>
      <c r="L765" s="462"/>
      <c r="M765" s="462"/>
      <c r="N765" s="912"/>
      <c r="O765" s="462"/>
      <c r="P765" s="462"/>
    </row>
    <row r="766">
      <c r="A766" s="462"/>
      <c r="B766" s="462"/>
      <c r="C766" s="462"/>
      <c r="D766" s="462"/>
      <c r="E766" s="462"/>
      <c r="F766" s="462"/>
      <c r="G766" s="942"/>
      <c r="H766" s="462"/>
      <c r="I766" s="462"/>
      <c r="J766" s="462"/>
      <c r="K766" s="462"/>
      <c r="L766" s="462"/>
      <c r="M766" s="462"/>
      <c r="N766" s="912"/>
      <c r="O766" s="462"/>
      <c r="P766" s="462"/>
    </row>
    <row r="767">
      <c r="A767" s="462"/>
      <c r="B767" s="462"/>
      <c r="C767" s="462"/>
      <c r="D767" s="462"/>
      <c r="E767" s="462"/>
      <c r="F767" s="462"/>
      <c r="G767" s="942"/>
      <c r="H767" s="462"/>
      <c r="I767" s="462"/>
      <c r="J767" s="462"/>
      <c r="K767" s="462"/>
      <c r="L767" s="462"/>
      <c r="M767" s="462"/>
      <c r="N767" s="912"/>
      <c r="O767" s="462"/>
      <c r="P767" s="462"/>
    </row>
    <row r="768">
      <c r="A768" s="462"/>
      <c r="B768" s="462"/>
      <c r="C768" s="462"/>
      <c r="D768" s="462"/>
      <c r="E768" s="462"/>
      <c r="F768" s="462"/>
      <c r="G768" s="942"/>
      <c r="H768" s="462"/>
      <c r="I768" s="462"/>
      <c r="J768" s="462"/>
      <c r="K768" s="462"/>
      <c r="L768" s="462"/>
      <c r="M768" s="462"/>
      <c r="N768" s="912"/>
      <c r="O768" s="462"/>
      <c r="P768" s="462"/>
    </row>
    <row r="769">
      <c r="A769" s="462"/>
      <c r="B769" s="462"/>
      <c r="C769" s="462"/>
      <c r="D769" s="462"/>
      <c r="E769" s="462"/>
      <c r="F769" s="462"/>
      <c r="G769" s="942"/>
      <c r="H769" s="462"/>
      <c r="I769" s="462"/>
      <c r="J769" s="462"/>
      <c r="K769" s="462"/>
      <c r="L769" s="462"/>
      <c r="M769" s="462"/>
      <c r="N769" s="912"/>
      <c r="O769" s="462"/>
      <c r="P769" s="462"/>
    </row>
    <row r="770">
      <c r="A770" s="462"/>
      <c r="B770" s="462"/>
      <c r="C770" s="462"/>
      <c r="D770" s="462"/>
      <c r="E770" s="462"/>
      <c r="F770" s="462"/>
      <c r="G770" s="942"/>
      <c r="H770" s="462"/>
      <c r="I770" s="462"/>
      <c r="J770" s="462"/>
      <c r="K770" s="462"/>
      <c r="L770" s="462"/>
      <c r="M770" s="462"/>
      <c r="N770" s="912"/>
      <c r="O770" s="462"/>
      <c r="P770" s="462"/>
    </row>
    <row r="771">
      <c r="A771" s="462"/>
      <c r="B771" s="462"/>
      <c r="C771" s="462"/>
      <c r="D771" s="462"/>
      <c r="E771" s="462"/>
      <c r="F771" s="462"/>
      <c r="G771" s="942"/>
      <c r="H771" s="462"/>
      <c r="I771" s="462"/>
      <c r="J771" s="462"/>
      <c r="K771" s="462"/>
      <c r="L771" s="462"/>
      <c r="M771" s="462"/>
      <c r="N771" s="912"/>
      <c r="O771" s="462"/>
      <c r="P771" s="462"/>
    </row>
    <row r="772">
      <c r="A772" s="462"/>
      <c r="B772" s="462"/>
      <c r="C772" s="462"/>
      <c r="D772" s="462"/>
      <c r="E772" s="462"/>
      <c r="F772" s="462"/>
      <c r="G772" s="942"/>
      <c r="H772" s="462"/>
      <c r="I772" s="462"/>
      <c r="J772" s="462"/>
      <c r="K772" s="462"/>
      <c r="L772" s="462"/>
      <c r="M772" s="462"/>
      <c r="N772" s="912"/>
      <c r="O772" s="462"/>
      <c r="P772" s="462"/>
    </row>
    <row r="773">
      <c r="A773" s="462"/>
      <c r="B773" s="462"/>
      <c r="C773" s="462"/>
      <c r="D773" s="462"/>
      <c r="E773" s="462"/>
      <c r="F773" s="462"/>
      <c r="G773" s="942"/>
      <c r="H773" s="462"/>
      <c r="I773" s="462"/>
      <c r="J773" s="462"/>
      <c r="K773" s="462"/>
      <c r="L773" s="462"/>
      <c r="M773" s="462"/>
      <c r="N773" s="912"/>
      <c r="O773" s="462"/>
      <c r="P773" s="462"/>
    </row>
    <row r="774">
      <c r="A774" s="462"/>
      <c r="B774" s="462"/>
      <c r="C774" s="462"/>
      <c r="D774" s="462"/>
      <c r="E774" s="462"/>
      <c r="F774" s="462"/>
      <c r="G774" s="942"/>
      <c r="H774" s="462"/>
      <c r="I774" s="462"/>
      <c r="J774" s="462"/>
      <c r="K774" s="462"/>
      <c r="L774" s="462"/>
      <c r="M774" s="462"/>
      <c r="N774" s="912"/>
      <c r="O774" s="462"/>
      <c r="P774" s="462"/>
    </row>
    <row r="775">
      <c r="A775" s="462"/>
      <c r="B775" s="462"/>
      <c r="C775" s="462"/>
      <c r="D775" s="462"/>
      <c r="E775" s="462"/>
      <c r="F775" s="462"/>
      <c r="G775" s="942"/>
      <c r="H775" s="462"/>
      <c r="I775" s="462"/>
      <c r="J775" s="462"/>
      <c r="K775" s="462"/>
      <c r="L775" s="462"/>
      <c r="M775" s="462"/>
      <c r="N775" s="912"/>
      <c r="O775" s="462"/>
      <c r="P775" s="462"/>
    </row>
    <row r="776">
      <c r="A776" s="462"/>
      <c r="B776" s="462"/>
      <c r="C776" s="462"/>
      <c r="D776" s="462"/>
      <c r="E776" s="462"/>
      <c r="F776" s="462"/>
      <c r="G776" s="942"/>
      <c r="H776" s="462"/>
      <c r="I776" s="462"/>
      <c r="J776" s="462"/>
      <c r="K776" s="462"/>
      <c r="L776" s="462"/>
      <c r="M776" s="462"/>
      <c r="N776" s="912"/>
      <c r="O776" s="462"/>
      <c r="P776" s="462"/>
    </row>
    <row r="777">
      <c r="A777" s="462"/>
      <c r="B777" s="462"/>
      <c r="C777" s="462"/>
      <c r="D777" s="462"/>
      <c r="E777" s="462"/>
      <c r="F777" s="462"/>
      <c r="G777" s="942"/>
      <c r="H777" s="462"/>
      <c r="I777" s="462"/>
      <c r="J777" s="462"/>
      <c r="K777" s="462"/>
      <c r="L777" s="462"/>
      <c r="M777" s="462"/>
      <c r="N777" s="912"/>
      <c r="O777" s="462"/>
      <c r="P777" s="462"/>
    </row>
    <row r="778">
      <c r="A778" s="462"/>
      <c r="B778" s="462"/>
      <c r="C778" s="462"/>
      <c r="D778" s="462"/>
      <c r="E778" s="462"/>
      <c r="F778" s="462"/>
      <c r="G778" s="942"/>
      <c r="H778" s="462"/>
      <c r="I778" s="462"/>
      <c r="J778" s="462"/>
      <c r="K778" s="462"/>
      <c r="L778" s="462"/>
      <c r="M778" s="462"/>
      <c r="N778" s="912"/>
      <c r="O778" s="462"/>
      <c r="P778" s="462"/>
    </row>
    <row r="779">
      <c r="A779" s="462"/>
      <c r="B779" s="462"/>
      <c r="C779" s="462"/>
      <c r="D779" s="462"/>
      <c r="E779" s="462"/>
      <c r="F779" s="462"/>
      <c r="G779" s="942"/>
      <c r="H779" s="462"/>
      <c r="I779" s="462"/>
      <c r="J779" s="462"/>
      <c r="K779" s="462"/>
      <c r="L779" s="462"/>
      <c r="M779" s="462"/>
      <c r="N779" s="912"/>
      <c r="O779" s="462"/>
      <c r="P779" s="462"/>
    </row>
    <row r="780">
      <c r="A780" s="462"/>
      <c r="B780" s="462"/>
      <c r="C780" s="462"/>
      <c r="D780" s="462"/>
      <c r="E780" s="462"/>
      <c r="F780" s="462"/>
      <c r="G780" s="942"/>
      <c r="H780" s="462"/>
      <c r="I780" s="462"/>
      <c r="J780" s="462"/>
      <c r="K780" s="462"/>
      <c r="L780" s="462"/>
      <c r="M780" s="462"/>
      <c r="N780" s="912"/>
      <c r="O780" s="462"/>
      <c r="P780" s="462"/>
    </row>
    <row r="781">
      <c r="A781" s="462"/>
      <c r="B781" s="462"/>
      <c r="C781" s="462"/>
      <c r="D781" s="462"/>
      <c r="E781" s="462"/>
      <c r="F781" s="462"/>
      <c r="G781" s="942"/>
      <c r="H781" s="462"/>
      <c r="I781" s="462"/>
      <c r="J781" s="462"/>
      <c r="K781" s="462"/>
      <c r="L781" s="462"/>
      <c r="M781" s="462"/>
      <c r="N781" s="912"/>
      <c r="O781" s="462"/>
      <c r="P781" s="462"/>
    </row>
    <row r="782">
      <c r="A782" s="462"/>
      <c r="B782" s="462"/>
      <c r="C782" s="462"/>
      <c r="D782" s="462"/>
      <c r="E782" s="462"/>
      <c r="F782" s="462"/>
      <c r="G782" s="942"/>
      <c r="H782" s="462"/>
      <c r="I782" s="462"/>
      <c r="J782" s="462"/>
      <c r="K782" s="462"/>
      <c r="L782" s="462"/>
      <c r="M782" s="462"/>
      <c r="N782" s="912"/>
      <c r="O782" s="462"/>
      <c r="P782" s="462"/>
    </row>
    <row r="783">
      <c r="A783" s="462"/>
      <c r="B783" s="462"/>
      <c r="C783" s="462"/>
      <c r="D783" s="462"/>
      <c r="E783" s="462"/>
      <c r="F783" s="462"/>
      <c r="G783" s="942"/>
      <c r="H783" s="462"/>
      <c r="I783" s="462"/>
      <c r="J783" s="462"/>
      <c r="K783" s="462"/>
      <c r="L783" s="462"/>
      <c r="M783" s="462"/>
      <c r="N783" s="912"/>
      <c r="O783" s="462"/>
      <c r="P783" s="462"/>
    </row>
    <row r="784">
      <c r="A784" s="462"/>
      <c r="B784" s="462"/>
      <c r="C784" s="462"/>
      <c r="D784" s="462"/>
      <c r="E784" s="462"/>
      <c r="F784" s="462"/>
      <c r="G784" s="942"/>
      <c r="H784" s="462"/>
      <c r="I784" s="462"/>
      <c r="J784" s="462"/>
      <c r="K784" s="462"/>
      <c r="L784" s="462"/>
      <c r="M784" s="462"/>
      <c r="N784" s="912"/>
      <c r="O784" s="462"/>
      <c r="P784" s="462"/>
    </row>
    <row r="785">
      <c r="A785" s="462"/>
      <c r="B785" s="462"/>
      <c r="C785" s="462"/>
      <c r="D785" s="462"/>
      <c r="E785" s="462"/>
      <c r="F785" s="462"/>
      <c r="G785" s="942"/>
      <c r="H785" s="462"/>
      <c r="I785" s="462"/>
      <c r="J785" s="462"/>
      <c r="K785" s="462"/>
      <c r="L785" s="462"/>
      <c r="M785" s="462"/>
      <c r="N785" s="912"/>
      <c r="O785" s="462"/>
      <c r="P785" s="462"/>
    </row>
    <row r="786">
      <c r="A786" s="462"/>
      <c r="B786" s="462"/>
      <c r="C786" s="462"/>
      <c r="D786" s="462"/>
      <c r="E786" s="462"/>
      <c r="F786" s="462"/>
      <c r="G786" s="942"/>
      <c r="H786" s="462"/>
      <c r="I786" s="462"/>
      <c r="J786" s="462"/>
      <c r="K786" s="462"/>
      <c r="L786" s="462"/>
      <c r="M786" s="462"/>
      <c r="N786" s="912"/>
      <c r="O786" s="462"/>
      <c r="P786" s="462"/>
    </row>
    <row r="787">
      <c r="A787" s="462"/>
      <c r="B787" s="462"/>
      <c r="C787" s="462"/>
      <c r="D787" s="462"/>
      <c r="E787" s="462"/>
      <c r="F787" s="462"/>
      <c r="G787" s="942"/>
      <c r="H787" s="462"/>
      <c r="I787" s="462"/>
      <c r="J787" s="462"/>
      <c r="K787" s="462"/>
      <c r="L787" s="462"/>
      <c r="M787" s="462"/>
      <c r="N787" s="912"/>
      <c r="O787" s="462"/>
      <c r="P787" s="462"/>
    </row>
    <row r="788">
      <c r="A788" s="462"/>
      <c r="B788" s="462"/>
      <c r="C788" s="462"/>
      <c r="D788" s="462"/>
      <c r="E788" s="462"/>
      <c r="F788" s="462"/>
      <c r="G788" s="942"/>
      <c r="H788" s="462"/>
      <c r="I788" s="462"/>
      <c r="J788" s="462"/>
      <c r="K788" s="462"/>
      <c r="L788" s="462"/>
      <c r="M788" s="462"/>
      <c r="N788" s="912"/>
      <c r="O788" s="462"/>
      <c r="P788" s="462"/>
    </row>
    <row r="789">
      <c r="A789" s="462"/>
      <c r="B789" s="462"/>
      <c r="C789" s="462"/>
      <c r="D789" s="462"/>
      <c r="E789" s="462"/>
      <c r="F789" s="462"/>
      <c r="G789" s="942"/>
      <c r="H789" s="462"/>
      <c r="I789" s="462"/>
      <c r="J789" s="462"/>
      <c r="K789" s="462"/>
      <c r="L789" s="462"/>
      <c r="M789" s="462"/>
      <c r="N789" s="912"/>
      <c r="O789" s="462"/>
      <c r="P789" s="462"/>
    </row>
    <row r="790">
      <c r="A790" s="462"/>
      <c r="B790" s="462"/>
      <c r="C790" s="462"/>
      <c r="D790" s="462"/>
      <c r="E790" s="462"/>
      <c r="F790" s="462"/>
      <c r="G790" s="942"/>
      <c r="H790" s="462"/>
      <c r="I790" s="462"/>
      <c r="J790" s="462"/>
      <c r="K790" s="462"/>
      <c r="L790" s="462"/>
      <c r="M790" s="462"/>
      <c r="N790" s="912"/>
      <c r="O790" s="462"/>
      <c r="P790" s="462"/>
    </row>
    <row r="791">
      <c r="A791" s="462"/>
      <c r="B791" s="462"/>
      <c r="C791" s="462"/>
      <c r="D791" s="462"/>
      <c r="E791" s="462"/>
      <c r="F791" s="462"/>
      <c r="G791" s="942"/>
      <c r="H791" s="462"/>
      <c r="I791" s="462"/>
      <c r="J791" s="462"/>
      <c r="K791" s="462"/>
      <c r="L791" s="462"/>
      <c r="M791" s="462"/>
      <c r="N791" s="912"/>
      <c r="O791" s="462"/>
      <c r="P791" s="462"/>
    </row>
    <row r="792">
      <c r="A792" s="462"/>
      <c r="B792" s="462"/>
      <c r="C792" s="462"/>
      <c r="D792" s="462"/>
      <c r="E792" s="462"/>
      <c r="F792" s="462"/>
      <c r="G792" s="942"/>
      <c r="H792" s="462"/>
      <c r="I792" s="462"/>
      <c r="J792" s="462"/>
      <c r="K792" s="462"/>
      <c r="L792" s="462"/>
      <c r="M792" s="462"/>
      <c r="N792" s="912"/>
      <c r="O792" s="462"/>
      <c r="P792" s="462"/>
    </row>
    <row r="793">
      <c r="A793" s="462"/>
      <c r="B793" s="462"/>
      <c r="C793" s="462"/>
      <c r="D793" s="462"/>
      <c r="E793" s="462"/>
      <c r="F793" s="462"/>
      <c r="G793" s="942"/>
      <c r="H793" s="462"/>
      <c r="I793" s="462"/>
      <c r="J793" s="462"/>
      <c r="K793" s="462"/>
      <c r="L793" s="462"/>
      <c r="M793" s="462"/>
      <c r="N793" s="912"/>
      <c r="O793" s="462"/>
      <c r="P793" s="462"/>
    </row>
    <row r="794">
      <c r="A794" s="462"/>
      <c r="B794" s="462"/>
      <c r="C794" s="462"/>
      <c r="D794" s="462"/>
      <c r="E794" s="462"/>
      <c r="F794" s="462"/>
      <c r="G794" s="942"/>
      <c r="H794" s="462"/>
      <c r="I794" s="462"/>
      <c r="J794" s="462"/>
      <c r="K794" s="462"/>
      <c r="L794" s="462"/>
      <c r="M794" s="462"/>
      <c r="N794" s="912"/>
      <c r="O794" s="462"/>
      <c r="P794" s="462"/>
    </row>
    <row r="795">
      <c r="A795" s="462"/>
      <c r="B795" s="462"/>
      <c r="C795" s="462"/>
      <c r="D795" s="462"/>
      <c r="E795" s="462"/>
      <c r="F795" s="462"/>
      <c r="G795" s="942"/>
      <c r="H795" s="462"/>
      <c r="I795" s="462"/>
      <c r="J795" s="462"/>
      <c r="K795" s="462"/>
      <c r="L795" s="462"/>
      <c r="M795" s="462"/>
      <c r="N795" s="912"/>
      <c r="O795" s="462"/>
      <c r="P795" s="462"/>
    </row>
    <row r="796">
      <c r="A796" s="462"/>
      <c r="B796" s="462"/>
      <c r="C796" s="462"/>
      <c r="D796" s="462"/>
      <c r="E796" s="462"/>
      <c r="F796" s="462"/>
      <c r="G796" s="942"/>
      <c r="H796" s="462"/>
      <c r="I796" s="462"/>
      <c r="J796" s="462"/>
      <c r="K796" s="462"/>
      <c r="L796" s="462"/>
      <c r="M796" s="462"/>
      <c r="N796" s="912"/>
      <c r="O796" s="462"/>
      <c r="P796" s="462"/>
    </row>
    <row r="797">
      <c r="A797" s="462"/>
      <c r="B797" s="462"/>
      <c r="C797" s="462"/>
      <c r="D797" s="462"/>
      <c r="E797" s="462"/>
      <c r="F797" s="462"/>
      <c r="G797" s="942"/>
      <c r="H797" s="462"/>
      <c r="I797" s="462"/>
      <c r="J797" s="462"/>
      <c r="K797" s="462"/>
      <c r="L797" s="462"/>
      <c r="M797" s="462"/>
      <c r="N797" s="912"/>
      <c r="O797" s="462"/>
      <c r="P797" s="462"/>
    </row>
    <row r="798">
      <c r="A798" s="462"/>
      <c r="B798" s="462"/>
      <c r="C798" s="462"/>
      <c r="D798" s="462"/>
      <c r="E798" s="462"/>
      <c r="F798" s="462"/>
      <c r="G798" s="942"/>
      <c r="H798" s="462"/>
      <c r="I798" s="462"/>
      <c r="J798" s="462"/>
      <c r="K798" s="462"/>
      <c r="L798" s="462"/>
      <c r="M798" s="462"/>
      <c r="N798" s="912"/>
      <c r="O798" s="462"/>
      <c r="P798" s="462"/>
    </row>
    <row r="799">
      <c r="A799" s="462"/>
      <c r="B799" s="462"/>
      <c r="C799" s="462"/>
      <c r="D799" s="462"/>
      <c r="E799" s="462"/>
      <c r="F799" s="462"/>
      <c r="G799" s="942"/>
      <c r="H799" s="462"/>
      <c r="I799" s="462"/>
      <c r="J799" s="462"/>
      <c r="K799" s="462"/>
      <c r="L799" s="462"/>
      <c r="M799" s="462"/>
      <c r="N799" s="912"/>
      <c r="O799" s="462"/>
      <c r="P799" s="462"/>
    </row>
    <row r="800">
      <c r="A800" s="462"/>
      <c r="B800" s="462"/>
      <c r="C800" s="462"/>
      <c r="D800" s="462"/>
      <c r="E800" s="462"/>
      <c r="F800" s="462"/>
      <c r="G800" s="942"/>
      <c r="H800" s="462"/>
      <c r="I800" s="462"/>
      <c r="J800" s="462"/>
      <c r="K800" s="462"/>
      <c r="L800" s="462"/>
      <c r="M800" s="462"/>
      <c r="N800" s="912"/>
      <c r="O800" s="462"/>
      <c r="P800" s="462"/>
    </row>
    <row r="801">
      <c r="A801" s="462"/>
      <c r="B801" s="462"/>
      <c r="C801" s="462"/>
      <c r="D801" s="462"/>
      <c r="E801" s="462"/>
      <c r="F801" s="462"/>
      <c r="G801" s="942"/>
      <c r="H801" s="462"/>
      <c r="I801" s="462"/>
      <c r="J801" s="462"/>
      <c r="K801" s="462"/>
      <c r="L801" s="462"/>
      <c r="M801" s="462"/>
      <c r="N801" s="912"/>
      <c r="O801" s="462"/>
      <c r="P801" s="462"/>
    </row>
    <row r="802">
      <c r="A802" s="462"/>
      <c r="B802" s="462"/>
      <c r="C802" s="462"/>
      <c r="D802" s="462"/>
      <c r="E802" s="462"/>
      <c r="F802" s="462"/>
      <c r="G802" s="942"/>
      <c r="H802" s="462"/>
      <c r="I802" s="462"/>
      <c r="J802" s="462"/>
      <c r="K802" s="462"/>
      <c r="L802" s="462"/>
      <c r="M802" s="462"/>
      <c r="N802" s="912"/>
      <c r="O802" s="462"/>
      <c r="P802" s="462"/>
    </row>
    <row r="803">
      <c r="A803" s="462"/>
      <c r="B803" s="462"/>
      <c r="C803" s="462"/>
      <c r="D803" s="462"/>
      <c r="E803" s="462"/>
      <c r="F803" s="462"/>
      <c r="G803" s="942"/>
      <c r="H803" s="462"/>
      <c r="I803" s="462"/>
      <c r="J803" s="462"/>
      <c r="K803" s="462"/>
      <c r="L803" s="462"/>
      <c r="M803" s="462"/>
      <c r="N803" s="912"/>
      <c r="O803" s="462"/>
      <c r="P803" s="462"/>
    </row>
    <row r="804">
      <c r="A804" s="462"/>
      <c r="B804" s="462"/>
      <c r="C804" s="462"/>
      <c r="D804" s="462"/>
      <c r="E804" s="462"/>
      <c r="F804" s="462"/>
      <c r="G804" s="942"/>
      <c r="H804" s="462"/>
      <c r="I804" s="462"/>
      <c r="J804" s="462"/>
      <c r="K804" s="462"/>
      <c r="L804" s="462"/>
      <c r="M804" s="462"/>
      <c r="N804" s="912"/>
      <c r="O804" s="462"/>
      <c r="P804" s="462"/>
    </row>
    <row r="805">
      <c r="A805" s="462"/>
      <c r="B805" s="462"/>
      <c r="C805" s="462"/>
      <c r="D805" s="462"/>
      <c r="E805" s="462"/>
      <c r="F805" s="462"/>
      <c r="G805" s="942"/>
      <c r="H805" s="462"/>
      <c r="I805" s="462"/>
      <c r="J805" s="462"/>
      <c r="K805" s="462"/>
      <c r="L805" s="462"/>
      <c r="M805" s="462"/>
      <c r="N805" s="912"/>
      <c r="O805" s="462"/>
      <c r="P805" s="462"/>
    </row>
    <row r="806">
      <c r="A806" s="462"/>
      <c r="B806" s="462"/>
      <c r="C806" s="462"/>
      <c r="D806" s="462"/>
      <c r="E806" s="462"/>
      <c r="F806" s="462"/>
      <c r="G806" s="942"/>
      <c r="H806" s="462"/>
      <c r="I806" s="462"/>
      <c r="J806" s="462"/>
      <c r="K806" s="462"/>
      <c r="L806" s="462"/>
      <c r="M806" s="462"/>
      <c r="N806" s="912"/>
      <c r="O806" s="462"/>
      <c r="P806" s="462"/>
    </row>
    <row r="807">
      <c r="A807" s="462"/>
      <c r="B807" s="462"/>
      <c r="C807" s="462"/>
      <c r="D807" s="462"/>
      <c r="E807" s="462"/>
      <c r="F807" s="462"/>
      <c r="G807" s="942"/>
      <c r="H807" s="462"/>
      <c r="I807" s="462"/>
      <c r="J807" s="462"/>
      <c r="K807" s="462"/>
      <c r="L807" s="462"/>
      <c r="M807" s="462"/>
      <c r="N807" s="912"/>
      <c r="O807" s="462"/>
      <c r="P807" s="462"/>
    </row>
    <row r="808">
      <c r="A808" s="462"/>
      <c r="B808" s="462"/>
      <c r="C808" s="462"/>
      <c r="D808" s="462"/>
      <c r="E808" s="462"/>
      <c r="F808" s="462"/>
      <c r="G808" s="942"/>
      <c r="H808" s="462"/>
      <c r="I808" s="462"/>
      <c r="J808" s="462"/>
      <c r="K808" s="462"/>
      <c r="L808" s="462"/>
      <c r="M808" s="462"/>
      <c r="N808" s="912"/>
      <c r="O808" s="462"/>
      <c r="P808" s="462"/>
    </row>
    <row r="809">
      <c r="A809" s="462"/>
      <c r="B809" s="462"/>
      <c r="C809" s="462"/>
      <c r="D809" s="462"/>
      <c r="E809" s="462"/>
      <c r="F809" s="462"/>
      <c r="G809" s="942"/>
      <c r="H809" s="462"/>
      <c r="I809" s="462"/>
      <c r="J809" s="462"/>
      <c r="K809" s="462"/>
      <c r="L809" s="462"/>
      <c r="M809" s="462"/>
      <c r="N809" s="912"/>
      <c r="O809" s="462"/>
      <c r="P809" s="462"/>
    </row>
    <row r="810">
      <c r="A810" s="462"/>
      <c r="B810" s="462"/>
      <c r="C810" s="462"/>
      <c r="D810" s="462"/>
      <c r="E810" s="462"/>
      <c r="F810" s="462"/>
      <c r="G810" s="942"/>
      <c r="H810" s="462"/>
      <c r="I810" s="462"/>
      <c r="J810" s="462"/>
      <c r="K810" s="462"/>
      <c r="L810" s="462"/>
      <c r="M810" s="462"/>
      <c r="N810" s="912"/>
      <c r="O810" s="462"/>
      <c r="P810" s="462"/>
    </row>
    <row r="811">
      <c r="A811" s="462"/>
      <c r="B811" s="462"/>
      <c r="C811" s="462"/>
      <c r="D811" s="462"/>
      <c r="E811" s="462"/>
      <c r="F811" s="462"/>
      <c r="G811" s="942"/>
      <c r="H811" s="462"/>
      <c r="I811" s="462"/>
      <c r="J811" s="462"/>
      <c r="K811" s="462"/>
      <c r="L811" s="462"/>
      <c r="M811" s="462"/>
      <c r="N811" s="912"/>
      <c r="O811" s="462"/>
      <c r="P811" s="462"/>
    </row>
    <row r="812">
      <c r="A812" s="462"/>
      <c r="B812" s="462"/>
      <c r="C812" s="462"/>
      <c r="D812" s="462"/>
      <c r="E812" s="462"/>
      <c r="F812" s="462"/>
      <c r="G812" s="942"/>
      <c r="H812" s="462"/>
      <c r="I812" s="462"/>
      <c r="J812" s="462"/>
      <c r="K812" s="462"/>
      <c r="L812" s="462"/>
      <c r="M812" s="462"/>
      <c r="N812" s="912"/>
      <c r="O812" s="462"/>
      <c r="P812" s="462"/>
    </row>
    <row r="813">
      <c r="A813" s="462"/>
      <c r="B813" s="462"/>
      <c r="C813" s="462"/>
      <c r="D813" s="462"/>
      <c r="E813" s="462"/>
      <c r="F813" s="462"/>
      <c r="G813" s="942"/>
      <c r="H813" s="462"/>
      <c r="I813" s="462"/>
      <c r="J813" s="462"/>
      <c r="K813" s="462"/>
      <c r="L813" s="462"/>
      <c r="M813" s="462"/>
      <c r="N813" s="912"/>
      <c r="O813" s="462"/>
      <c r="P813" s="462"/>
    </row>
    <row r="814">
      <c r="A814" s="462"/>
      <c r="B814" s="462"/>
      <c r="C814" s="462"/>
      <c r="D814" s="462"/>
      <c r="E814" s="462"/>
      <c r="F814" s="462"/>
      <c r="G814" s="942"/>
      <c r="H814" s="462"/>
      <c r="I814" s="462"/>
      <c r="J814" s="462"/>
      <c r="K814" s="462"/>
      <c r="L814" s="462"/>
      <c r="M814" s="462"/>
      <c r="N814" s="912"/>
      <c r="O814" s="462"/>
      <c r="P814" s="462"/>
    </row>
    <row r="815">
      <c r="A815" s="462"/>
      <c r="B815" s="462"/>
      <c r="C815" s="462"/>
      <c r="D815" s="462"/>
      <c r="E815" s="462"/>
      <c r="F815" s="462"/>
      <c r="G815" s="942"/>
      <c r="H815" s="462"/>
      <c r="I815" s="462"/>
      <c r="J815" s="462"/>
      <c r="K815" s="462"/>
      <c r="L815" s="462"/>
      <c r="M815" s="462"/>
      <c r="N815" s="912"/>
      <c r="O815" s="462"/>
      <c r="P815" s="462"/>
    </row>
    <row r="816">
      <c r="A816" s="462"/>
      <c r="B816" s="462"/>
      <c r="C816" s="462"/>
      <c r="D816" s="462"/>
      <c r="E816" s="462"/>
      <c r="F816" s="462"/>
      <c r="G816" s="942"/>
      <c r="H816" s="462"/>
      <c r="I816" s="462"/>
      <c r="J816" s="462"/>
      <c r="K816" s="462"/>
      <c r="L816" s="462"/>
      <c r="M816" s="462"/>
      <c r="N816" s="912"/>
      <c r="O816" s="462"/>
      <c r="P816" s="462"/>
    </row>
    <row r="817">
      <c r="A817" s="462"/>
      <c r="B817" s="462"/>
      <c r="C817" s="462"/>
      <c r="D817" s="462"/>
      <c r="E817" s="462"/>
      <c r="F817" s="462"/>
      <c r="G817" s="942"/>
      <c r="H817" s="462"/>
      <c r="I817" s="462"/>
      <c r="J817" s="462"/>
      <c r="K817" s="462"/>
      <c r="L817" s="462"/>
      <c r="M817" s="462"/>
      <c r="N817" s="912"/>
      <c r="O817" s="462"/>
      <c r="P817" s="462"/>
    </row>
    <row r="818">
      <c r="A818" s="462"/>
      <c r="B818" s="462"/>
      <c r="C818" s="462"/>
      <c r="D818" s="462"/>
      <c r="E818" s="462"/>
      <c r="F818" s="462"/>
      <c r="G818" s="942"/>
      <c r="H818" s="462"/>
      <c r="I818" s="462"/>
      <c r="J818" s="462"/>
      <c r="K818" s="462"/>
      <c r="L818" s="462"/>
      <c r="M818" s="462"/>
      <c r="N818" s="912"/>
      <c r="O818" s="462"/>
      <c r="P818" s="462"/>
    </row>
    <row r="819">
      <c r="A819" s="462"/>
      <c r="B819" s="462"/>
      <c r="C819" s="462"/>
      <c r="D819" s="462"/>
      <c r="E819" s="462"/>
      <c r="F819" s="462"/>
      <c r="G819" s="942"/>
      <c r="H819" s="462"/>
      <c r="I819" s="462"/>
      <c r="J819" s="462"/>
      <c r="K819" s="462"/>
      <c r="L819" s="462"/>
      <c r="M819" s="462"/>
      <c r="N819" s="912"/>
      <c r="O819" s="462"/>
      <c r="P819" s="462"/>
    </row>
    <row r="820">
      <c r="A820" s="462"/>
      <c r="B820" s="462"/>
      <c r="C820" s="462"/>
      <c r="D820" s="462"/>
      <c r="E820" s="462"/>
      <c r="F820" s="462"/>
      <c r="G820" s="942"/>
      <c r="H820" s="462"/>
      <c r="I820" s="462"/>
      <c r="J820" s="462"/>
      <c r="K820" s="462"/>
      <c r="L820" s="462"/>
      <c r="M820" s="462"/>
      <c r="N820" s="912"/>
      <c r="O820" s="462"/>
      <c r="P820" s="462"/>
    </row>
    <row r="821">
      <c r="A821" s="462"/>
      <c r="B821" s="462"/>
      <c r="C821" s="462"/>
      <c r="D821" s="462"/>
      <c r="E821" s="462"/>
      <c r="F821" s="462"/>
      <c r="G821" s="942"/>
      <c r="H821" s="462"/>
      <c r="I821" s="462"/>
      <c r="J821" s="462"/>
      <c r="K821" s="462"/>
      <c r="L821" s="462"/>
      <c r="M821" s="462"/>
      <c r="N821" s="912"/>
      <c r="O821" s="462"/>
      <c r="P821" s="462"/>
    </row>
    <row r="822">
      <c r="A822" s="462"/>
      <c r="B822" s="462"/>
      <c r="C822" s="462"/>
      <c r="D822" s="462"/>
      <c r="E822" s="462"/>
      <c r="F822" s="462"/>
      <c r="G822" s="942"/>
      <c r="H822" s="462"/>
      <c r="I822" s="462"/>
      <c r="J822" s="462"/>
      <c r="K822" s="462"/>
      <c r="L822" s="462"/>
      <c r="M822" s="462"/>
      <c r="N822" s="912"/>
      <c r="O822" s="462"/>
      <c r="P822" s="462"/>
    </row>
    <row r="823">
      <c r="A823" s="462"/>
      <c r="B823" s="462"/>
      <c r="C823" s="462"/>
      <c r="D823" s="462"/>
      <c r="E823" s="462"/>
      <c r="F823" s="462"/>
      <c r="G823" s="942"/>
      <c r="H823" s="462"/>
      <c r="I823" s="462"/>
      <c r="J823" s="462"/>
      <c r="K823" s="462"/>
      <c r="L823" s="462"/>
      <c r="M823" s="462"/>
      <c r="N823" s="912"/>
      <c r="O823" s="462"/>
      <c r="P823" s="462"/>
    </row>
    <row r="824">
      <c r="A824" s="462"/>
      <c r="B824" s="462"/>
      <c r="C824" s="462"/>
      <c r="D824" s="462"/>
      <c r="E824" s="462"/>
      <c r="F824" s="462"/>
      <c r="G824" s="942"/>
      <c r="H824" s="462"/>
      <c r="I824" s="462"/>
      <c r="J824" s="462"/>
      <c r="K824" s="462"/>
      <c r="L824" s="462"/>
      <c r="M824" s="462"/>
      <c r="N824" s="912"/>
      <c r="O824" s="462"/>
      <c r="P824" s="462"/>
    </row>
    <row r="825">
      <c r="A825" s="462"/>
      <c r="B825" s="462"/>
      <c r="C825" s="462"/>
      <c r="D825" s="462"/>
      <c r="E825" s="462"/>
      <c r="F825" s="462"/>
      <c r="G825" s="942"/>
      <c r="H825" s="462"/>
      <c r="I825" s="462"/>
      <c r="J825" s="462"/>
      <c r="K825" s="462"/>
      <c r="L825" s="462"/>
      <c r="M825" s="462"/>
      <c r="N825" s="912"/>
      <c r="O825" s="462"/>
      <c r="P825" s="462"/>
    </row>
    <row r="826">
      <c r="A826" s="462"/>
      <c r="B826" s="462"/>
      <c r="C826" s="462"/>
      <c r="D826" s="462"/>
      <c r="E826" s="462"/>
      <c r="F826" s="462"/>
      <c r="G826" s="942"/>
      <c r="H826" s="462"/>
      <c r="I826" s="462"/>
      <c r="J826" s="462"/>
      <c r="K826" s="462"/>
      <c r="L826" s="462"/>
      <c r="M826" s="462"/>
      <c r="N826" s="912"/>
      <c r="O826" s="462"/>
      <c r="P826" s="462"/>
    </row>
    <row r="827">
      <c r="A827" s="462"/>
      <c r="B827" s="462"/>
      <c r="C827" s="462"/>
      <c r="D827" s="462"/>
      <c r="E827" s="462"/>
      <c r="F827" s="462"/>
      <c r="G827" s="942"/>
      <c r="H827" s="462"/>
      <c r="I827" s="462"/>
      <c r="J827" s="462"/>
      <c r="K827" s="462"/>
      <c r="L827" s="462"/>
      <c r="M827" s="462"/>
      <c r="N827" s="912"/>
      <c r="O827" s="462"/>
      <c r="P827" s="462"/>
    </row>
    <row r="828">
      <c r="A828" s="462"/>
      <c r="B828" s="462"/>
      <c r="C828" s="462"/>
      <c r="D828" s="462"/>
      <c r="E828" s="462"/>
      <c r="F828" s="462"/>
      <c r="G828" s="942"/>
      <c r="H828" s="462"/>
      <c r="I828" s="462"/>
      <c r="J828" s="462"/>
      <c r="K828" s="462"/>
      <c r="L828" s="462"/>
      <c r="M828" s="462"/>
      <c r="N828" s="912"/>
      <c r="O828" s="462"/>
      <c r="P828" s="462"/>
    </row>
    <row r="829">
      <c r="A829" s="462"/>
      <c r="B829" s="462"/>
      <c r="C829" s="462"/>
      <c r="D829" s="462"/>
      <c r="E829" s="462"/>
      <c r="F829" s="462"/>
      <c r="G829" s="942"/>
      <c r="H829" s="462"/>
      <c r="I829" s="462"/>
      <c r="J829" s="462"/>
      <c r="K829" s="462"/>
      <c r="L829" s="462"/>
      <c r="M829" s="462"/>
      <c r="N829" s="912"/>
      <c r="O829" s="462"/>
      <c r="P829" s="462"/>
    </row>
    <row r="830">
      <c r="A830" s="462"/>
      <c r="B830" s="462"/>
      <c r="C830" s="462"/>
      <c r="D830" s="462"/>
      <c r="E830" s="462"/>
      <c r="F830" s="462"/>
      <c r="G830" s="942"/>
      <c r="H830" s="462"/>
      <c r="I830" s="462"/>
      <c r="J830" s="462"/>
      <c r="K830" s="462"/>
      <c r="L830" s="462"/>
      <c r="M830" s="462"/>
      <c r="N830" s="912"/>
      <c r="O830" s="462"/>
      <c r="P830" s="462"/>
    </row>
    <row r="831">
      <c r="A831" s="462"/>
      <c r="B831" s="462"/>
      <c r="C831" s="462"/>
      <c r="D831" s="462"/>
      <c r="E831" s="462"/>
      <c r="F831" s="462"/>
      <c r="G831" s="942"/>
      <c r="H831" s="462"/>
      <c r="I831" s="462"/>
      <c r="J831" s="462"/>
      <c r="K831" s="462"/>
      <c r="L831" s="462"/>
      <c r="M831" s="462"/>
      <c r="N831" s="912"/>
      <c r="O831" s="462"/>
      <c r="P831" s="462"/>
    </row>
    <row r="832">
      <c r="A832" s="462"/>
      <c r="B832" s="462"/>
      <c r="C832" s="462"/>
      <c r="D832" s="462"/>
      <c r="E832" s="462"/>
      <c r="F832" s="462"/>
      <c r="G832" s="942"/>
      <c r="H832" s="462"/>
      <c r="I832" s="462"/>
      <c r="J832" s="462"/>
      <c r="K832" s="462"/>
      <c r="L832" s="462"/>
      <c r="M832" s="462"/>
      <c r="N832" s="912"/>
      <c r="O832" s="462"/>
      <c r="P832" s="462"/>
    </row>
    <row r="833">
      <c r="A833" s="462"/>
      <c r="B833" s="462"/>
      <c r="C833" s="462"/>
      <c r="D833" s="462"/>
      <c r="E833" s="462"/>
      <c r="F833" s="462"/>
      <c r="G833" s="942"/>
      <c r="H833" s="462"/>
      <c r="I833" s="462"/>
      <c r="J833" s="462"/>
      <c r="K833" s="462"/>
      <c r="L833" s="462"/>
      <c r="M833" s="462"/>
      <c r="N833" s="912"/>
      <c r="O833" s="462"/>
      <c r="P833" s="462"/>
    </row>
    <row r="834">
      <c r="A834" s="462"/>
      <c r="B834" s="462"/>
      <c r="C834" s="462"/>
      <c r="D834" s="462"/>
      <c r="E834" s="462"/>
      <c r="F834" s="462"/>
      <c r="G834" s="942"/>
      <c r="H834" s="462"/>
      <c r="I834" s="462"/>
      <c r="J834" s="462"/>
      <c r="K834" s="462"/>
      <c r="L834" s="462"/>
      <c r="M834" s="462"/>
      <c r="N834" s="912"/>
      <c r="O834" s="462"/>
      <c r="P834" s="462"/>
    </row>
    <row r="835">
      <c r="A835" s="462"/>
      <c r="B835" s="462"/>
      <c r="C835" s="462"/>
      <c r="D835" s="462"/>
      <c r="E835" s="462"/>
      <c r="F835" s="462"/>
      <c r="G835" s="942"/>
      <c r="H835" s="462"/>
      <c r="I835" s="462"/>
      <c r="J835" s="462"/>
      <c r="K835" s="462"/>
      <c r="L835" s="462"/>
      <c r="M835" s="462"/>
      <c r="N835" s="912"/>
      <c r="O835" s="462"/>
      <c r="P835" s="462"/>
    </row>
    <row r="836">
      <c r="A836" s="462"/>
      <c r="B836" s="462"/>
      <c r="C836" s="462"/>
      <c r="D836" s="462"/>
      <c r="E836" s="462"/>
      <c r="F836" s="462"/>
      <c r="G836" s="942"/>
      <c r="H836" s="462"/>
      <c r="I836" s="462"/>
      <c r="J836" s="462"/>
      <c r="K836" s="462"/>
      <c r="L836" s="462"/>
      <c r="M836" s="462"/>
      <c r="N836" s="912"/>
      <c r="O836" s="462"/>
      <c r="P836" s="462"/>
    </row>
    <row r="837">
      <c r="A837" s="462"/>
      <c r="B837" s="462"/>
      <c r="C837" s="462"/>
      <c r="D837" s="462"/>
      <c r="E837" s="462"/>
      <c r="F837" s="462"/>
      <c r="G837" s="942"/>
      <c r="H837" s="462"/>
      <c r="I837" s="462"/>
      <c r="J837" s="462"/>
      <c r="K837" s="462"/>
      <c r="L837" s="462"/>
      <c r="M837" s="462"/>
      <c r="N837" s="912"/>
      <c r="O837" s="462"/>
      <c r="P837" s="462"/>
    </row>
    <row r="838">
      <c r="A838" s="462"/>
      <c r="B838" s="462"/>
      <c r="C838" s="462"/>
      <c r="D838" s="462"/>
      <c r="E838" s="462"/>
      <c r="F838" s="462"/>
      <c r="G838" s="942"/>
      <c r="H838" s="462"/>
      <c r="I838" s="462"/>
      <c r="J838" s="462"/>
      <c r="K838" s="462"/>
      <c r="L838" s="462"/>
      <c r="M838" s="462"/>
      <c r="N838" s="912"/>
      <c r="O838" s="462"/>
      <c r="P838" s="462"/>
    </row>
    <row r="839">
      <c r="A839" s="462"/>
      <c r="B839" s="462"/>
      <c r="C839" s="462"/>
      <c r="D839" s="462"/>
      <c r="E839" s="462"/>
      <c r="F839" s="462"/>
      <c r="G839" s="942"/>
      <c r="H839" s="462"/>
      <c r="I839" s="462"/>
      <c r="J839" s="462"/>
      <c r="K839" s="462"/>
      <c r="L839" s="462"/>
      <c r="M839" s="462"/>
      <c r="N839" s="912"/>
      <c r="O839" s="462"/>
      <c r="P839" s="462"/>
    </row>
    <row r="840">
      <c r="A840" s="462"/>
      <c r="B840" s="462"/>
      <c r="C840" s="462"/>
      <c r="D840" s="462"/>
      <c r="E840" s="462"/>
      <c r="F840" s="462"/>
      <c r="G840" s="942"/>
      <c r="H840" s="462"/>
      <c r="I840" s="462"/>
      <c r="J840" s="462"/>
      <c r="K840" s="462"/>
      <c r="L840" s="462"/>
      <c r="M840" s="462"/>
      <c r="N840" s="912"/>
      <c r="O840" s="462"/>
      <c r="P840" s="462"/>
    </row>
    <row r="841">
      <c r="A841" s="462"/>
      <c r="B841" s="462"/>
      <c r="C841" s="462"/>
      <c r="D841" s="462"/>
      <c r="E841" s="462"/>
      <c r="F841" s="462"/>
      <c r="G841" s="942"/>
      <c r="H841" s="462"/>
      <c r="I841" s="462"/>
      <c r="J841" s="462"/>
      <c r="K841" s="462"/>
      <c r="L841" s="462"/>
      <c r="M841" s="462"/>
      <c r="N841" s="912"/>
      <c r="O841" s="462"/>
      <c r="P841" s="462"/>
    </row>
    <row r="842">
      <c r="A842" s="462"/>
      <c r="B842" s="462"/>
      <c r="C842" s="462"/>
      <c r="D842" s="462"/>
      <c r="E842" s="462"/>
      <c r="F842" s="462"/>
      <c r="G842" s="942"/>
      <c r="H842" s="462"/>
      <c r="I842" s="462"/>
      <c r="J842" s="462"/>
      <c r="K842" s="462"/>
      <c r="L842" s="462"/>
      <c r="M842" s="462"/>
      <c r="N842" s="912"/>
      <c r="O842" s="462"/>
      <c r="P842" s="462"/>
    </row>
    <row r="843">
      <c r="A843" s="462"/>
      <c r="B843" s="462"/>
      <c r="C843" s="462"/>
      <c r="D843" s="462"/>
      <c r="E843" s="462"/>
      <c r="F843" s="462"/>
      <c r="G843" s="942"/>
      <c r="H843" s="462"/>
      <c r="I843" s="462"/>
      <c r="J843" s="462"/>
      <c r="K843" s="462"/>
      <c r="L843" s="462"/>
      <c r="M843" s="462"/>
      <c r="N843" s="912"/>
      <c r="O843" s="462"/>
      <c r="P843" s="462"/>
    </row>
    <row r="844">
      <c r="A844" s="462"/>
      <c r="B844" s="462"/>
      <c r="C844" s="462"/>
      <c r="D844" s="462"/>
      <c r="E844" s="462"/>
      <c r="F844" s="462"/>
      <c r="G844" s="942"/>
      <c r="H844" s="462"/>
      <c r="I844" s="462"/>
      <c r="J844" s="462"/>
      <c r="K844" s="462"/>
      <c r="L844" s="462"/>
      <c r="M844" s="462"/>
      <c r="N844" s="912"/>
      <c r="O844" s="462"/>
      <c r="P844" s="462"/>
    </row>
    <row r="845">
      <c r="A845" s="462"/>
      <c r="B845" s="462"/>
      <c r="C845" s="462"/>
      <c r="D845" s="462"/>
      <c r="E845" s="462"/>
      <c r="F845" s="462"/>
      <c r="G845" s="942"/>
      <c r="H845" s="462"/>
      <c r="I845" s="462"/>
      <c r="J845" s="462"/>
      <c r="K845" s="462"/>
      <c r="L845" s="462"/>
      <c r="M845" s="462"/>
      <c r="N845" s="912"/>
      <c r="O845" s="462"/>
      <c r="P845" s="462"/>
    </row>
    <row r="846">
      <c r="A846" s="462"/>
      <c r="B846" s="462"/>
      <c r="C846" s="462"/>
      <c r="D846" s="462"/>
      <c r="E846" s="462"/>
      <c r="F846" s="462"/>
      <c r="G846" s="942"/>
      <c r="H846" s="462"/>
      <c r="I846" s="462"/>
      <c r="J846" s="462"/>
      <c r="K846" s="462"/>
      <c r="L846" s="462"/>
      <c r="M846" s="462"/>
      <c r="N846" s="912"/>
      <c r="O846" s="462"/>
      <c r="P846" s="462"/>
    </row>
    <row r="847">
      <c r="A847" s="462"/>
      <c r="B847" s="462"/>
      <c r="C847" s="462"/>
      <c r="D847" s="462"/>
      <c r="E847" s="462"/>
      <c r="F847" s="462"/>
      <c r="G847" s="942"/>
      <c r="H847" s="462"/>
      <c r="I847" s="462"/>
      <c r="J847" s="462"/>
      <c r="K847" s="462"/>
      <c r="L847" s="462"/>
      <c r="M847" s="462"/>
      <c r="N847" s="912"/>
      <c r="O847" s="462"/>
      <c r="P847" s="462"/>
    </row>
    <row r="848">
      <c r="A848" s="462"/>
      <c r="B848" s="462"/>
      <c r="C848" s="462"/>
      <c r="D848" s="462"/>
      <c r="E848" s="462"/>
      <c r="F848" s="462"/>
      <c r="G848" s="942"/>
      <c r="H848" s="462"/>
      <c r="I848" s="462"/>
      <c r="J848" s="462"/>
      <c r="K848" s="462"/>
      <c r="L848" s="462"/>
      <c r="M848" s="462"/>
      <c r="N848" s="912"/>
      <c r="O848" s="462"/>
      <c r="P848" s="462"/>
    </row>
    <row r="849">
      <c r="A849" s="462"/>
      <c r="B849" s="462"/>
      <c r="C849" s="462"/>
      <c r="D849" s="462"/>
      <c r="E849" s="462"/>
      <c r="F849" s="462"/>
      <c r="G849" s="942"/>
      <c r="H849" s="462"/>
      <c r="I849" s="462"/>
      <c r="J849" s="462"/>
      <c r="K849" s="462"/>
      <c r="L849" s="462"/>
      <c r="M849" s="462"/>
      <c r="N849" s="912"/>
      <c r="O849" s="462"/>
      <c r="P849" s="462"/>
    </row>
    <row r="850">
      <c r="A850" s="462"/>
      <c r="B850" s="462"/>
      <c r="C850" s="462"/>
      <c r="D850" s="462"/>
      <c r="E850" s="462"/>
      <c r="F850" s="462"/>
      <c r="G850" s="942"/>
      <c r="H850" s="462"/>
      <c r="I850" s="462"/>
      <c r="J850" s="462"/>
      <c r="K850" s="462"/>
      <c r="L850" s="462"/>
      <c r="M850" s="462"/>
      <c r="N850" s="912"/>
      <c r="O850" s="462"/>
      <c r="P850" s="462"/>
    </row>
    <row r="851">
      <c r="A851" s="462"/>
      <c r="B851" s="462"/>
      <c r="C851" s="462"/>
      <c r="D851" s="462"/>
      <c r="E851" s="462"/>
      <c r="F851" s="462"/>
      <c r="G851" s="942"/>
      <c r="H851" s="462"/>
      <c r="I851" s="462"/>
      <c r="J851" s="462"/>
      <c r="K851" s="462"/>
      <c r="L851" s="462"/>
      <c r="M851" s="462"/>
      <c r="N851" s="912"/>
      <c r="O851" s="462"/>
      <c r="P851" s="462"/>
    </row>
    <row r="852">
      <c r="A852" s="462"/>
      <c r="B852" s="462"/>
      <c r="C852" s="462"/>
      <c r="D852" s="462"/>
      <c r="E852" s="462"/>
      <c r="F852" s="462"/>
      <c r="G852" s="942"/>
      <c r="H852" s="462"/>
      <c r="I852" s="462"/>
      <c r="J852" s="462"/>
      <c r="K852" s="462"/>
      <c r="L852" s="462"/>
      <c r="M852" s="462"/>
      <c r="N852" s="912"/>
      <c r="O852" s="462"/>
      <c r="P852" s="462"/>
    </row>
    <row r="853">
      <c r="A853" s="462"/>
      <c r="B853" s="462"/>
      <c r="C853" s="462"/>
      <c r="D853" s="462"/>
      <c r="E853" s="462"/>
      <c r="F853" s="462"/>
      <c r="G853" s="942"/>
      <c r="H853" s="462"/>
      <c r="I853" s="462"/>
      <c r="J853" s="462"/>
      <c r="K853" s="462"/>
      <c r="L853" s="462"/>
      <c r="M853" s="462"/>
      <c r="N853" s="912"/>
      <c r="O853" s="462"/>
      <c r="P853" s="462"/>
    </row>
    <row r="854">
      <c r="A854" s="462"/>
      <c r="B854" s="462"/>
      <c r="C854" s="462"/>
      <c r="D854" s="462"/>
      <c r="E854" s="462"/>
      <c r="F854" s="462"/>
      <c r="G854" s="942"/>
      <c r="H854" s="462"/>
      <c r="I854" s="462"/>
      <c r="J854" s="462"/>
      <c r="K854" s="462"/>
      <c r="L854" s="462"/>
      <c r="M854" s="462"/>
      <c r="N854" s="912"/>
      <c r="O854" s="462"/>
      <c r="P854" s="462"/>
    </row>
    <row r="855">
      <c r="A855" s="462"/>
      <c r="B855" s="462"/>
      <c r="C855" s="462"/>
      <c r="D855" s="462"/>
      <c r="E855" s="462"/>
      <c r="F855" s="462"/>
      <c r="G855" s="942"/>
      <c r="H855" s="462"/>
      <c r="I855" s="462"/>
      <c r="J855" s="462"/>
      <c r="K855" s="462"/>
      <c r="L855" s="462"/>
      <c r="M855" s="462"/>
      <c r="N855" s="912"/>
      <c r="O855" s="462"/>
      <c r="P855" s="462"/>
    </row>
    <row r="856">
      <c r="A856" s="462"/>
      <c r="B856" s="462"/>
      <c r="C856" s="462"/>
      <c r="D856" s="462"/>
      <c r="E856" s="462"/>
      <c r="F856" s="462"/>
      <c r="G856" s="942"/>
      <c r="H856" s="462"/>
      <c r="I856" s="462"/>
      <c r="J856" s="462"/>
      <c r="K856" s="462"/>
      <c r="L856" s="462"/>
      <c r="M856" s="462"/>
      <c r="N856" s="912"/>
      <c r="O856" s="462"/>
      <c r="P856" s="462"/>
    </row>
    <row r="857">
      <c r="A857" s="462"/>
      <c r="B857" s="462"/>
      <c r="C857" s="462"/>
      <c r="D857" s="462"/>
      <c r="E857" s="462"/>
      <c r="F857" s="462"/>
      <c r="G857" s="942"/>
      <c r="H857" s="462"/>
      <c r="I857" s="462"/>
      <c r="J857" s="462"/>
      <c r="K857" s="462"/>
      <c r="L857" s="462"/>
      <c r="M857" s="462"/>
      <c r="N857" s="912"/>
      <c r="O857" s="462"/>
      <c r="P857" s="462"/>
    </row>
    <row r="858">
      <c r="A858" s="462"/>
      <c r="B858" s="462"/>
      <c r="C858" s="462"/>
      <c r="D858" s="462"/>
      <c r="E858" s="462"/>
      <c r="F858" s="462"/>
      <c r="G858" s="942"/>
      <c r="H858" s="462"/>
      <c r="I858" s="462"/>
      <c r="J858" s="462"/>
      <c r="K858" s="462"/>
      <c r="L858" s="462"/>
      <c r="M858" s="462"/>
      <c r="N858" s="912"/>
      <c r="O858" s="462"/>
      <c r="P858" s="462"/>
    </row>
    <row r="859">
      <c r="A859" s="462"/>
      <c r="B859" s="462"/>
      <c r="C859" s="462"/>
      <c r="D859" s="462"/>
      <c r="E859" s="462"/>
      <c r="F859" s="462"/>
      <c r="G859" s="942"/>
      <c r="H859" s="462"/>
      <c r="I859" s="462"/>
      <c r="J859" s="462"/>
      <c r="K859" s="462"/>
      <c r="L859" s="462"/>
      <c r="M859" s="462"/>
      <c r="N859" s="912"/>
      <c r="O859" s="462"/>
      <c r="P859" s="462"/>
    </row>
    <row r="860">
      <c r="A860" s="462"/>
      <c r="B860" s="462"/>
      <c r="C860" s="462"/>
      <c r="D860" s="462"/>
      <c r="E860" s="462"/>
      <c r="F860" s="462"/>
      <c r="G860" s="942"/>
      <c r="H860" s="462"/>
      <c r="I860" s="462"/>
      <c r="J860" s="462"/>
      <c r="K860" s="462"/>
      <c r="L860" s="462"/>
      <c r="M860" s="462"/>
      <c r="N860" s="912"/>
      <c r="O860" s="462"/>
      <c r="P860" s="462"/>
    </row>
    <row r="861">
      <c r="A861" s="462"/>
      <c r="B861" s="462"/>
      <c r="C861" s="462"/>
      <c r="D861" s="462"/>
      <c r="E861" s="462"/>
      <c r="F861" s="462"/>
      <c r="G861" s="942"/>
      <c r="H861" s="462"/>
      <c r="I861" s="462"/>
      <c r="J861" s="462"/>
      <c r="K861" s="462"/>
      <c r="L861" s="462"/>
      <c r="M861" s="462"/>
      <c r="N861" s="912"/>
      <c r="O861" s="462"/>
      <c r="P861" s="462"/>
    </row>
    <row r="862">
      <c r="A862" s="462"/>
      <c r="B862" s="462"/>
      <c r="C862" s="462"/>
      <c r="D862" s="462"/>
      <c r="E862" s="462"/>
      <c r="F862" s="462"/>
      <c r="G862" s="942"/>
      <c r="H862" s="462"/>
      <c r="I862" s="462"/>
      <c r="J862" s="462"/>
      <c r="K862" s="462"/>
      <c r="L862" s="462"/>
      <c r="M862" s="462"/>
      <c r="N862" s="912"/>
      <c r="O862" s="462"/>
      <c r="P862" s="462"/>
    </row>
    <row r="863">
      <c r="A863" s="462"/>
      <c r="B863" s="462"/>
      <c r="C863" s="462"/>
      <c r="D863" s="462"/>
      <c r="E863" s="462"/>
      <c r="F863" s="462"/>
      <c r="G863" s="942"/>
      <c r="H863" s="462"/>
      <c r="I863" s="462"/>
      <c r="J863" s="462"/>
      <c r="K863" s="462"/>
      <c r="L863" s="462"/>
      <c r="M863" s="462"/>
      <c r="N863" s="912"/>
      <c r="O863" s="462"/>
      <c r="P863" s="462"/>
    </row>
    <row r="864">
      <c r="A864" s="462"/>
      <c r="B864" s="462"/>
      <c r="C864" s="462"/>
      <c r="D864" s="462"/>
      <c r="E864" s="462"/>
      <c r="F864" s="462"/>
      <c r="G864" s="942"/>
      <c r="H864" s="462"/>
      <c r="I864" s="462"/>
      <c r="J864" s="462"/>
      <c r="K864" s="462"/>
      <c r="L864" s="462"/>
      <c r="M864" s="462"/>
      <c r="N864" s="912"/>
      <c r="O864" s="462"/>
      <c r="P864" s="462"/>
    </row>
    <row r="865">
      <c r="A865" s="462"/>
      <c r="B865" s="462"/>
      <c r="C865" s="462"/>
      <c r="D865" s="462"/>
      <c r="E865" s="462"/>
      <c r="F865" s="462"/>
      <c r="G865" s="942"/>
      <c r="H865" s="462"/>
      <c r="I865" s="462"/>
      <c r="J865" s="462"/>
      <c r="K865" s="462"/>
      <c r="L865" s="462"/>
      <c r="M865" s="462"/>
      <c r="N865" s="912"/>
      <c r="O865" s="462"/>
      <c r="P865" s="462"/>
    </row>
    <row r="866">
      <c r="A866" s="462"/>
      <c r="B866" s="462"/>
      <c r="C866" s="462"/>
      <c r="D866" s="462"/>
      <c r="E866" s="462"/>
      <c r="F866" s="462"/>
      <c r="G866" s="942"/>
      <c r="H866" s="462"/>
      <c r="I866" s="462"/>
      <c r="J866" s="462"/>
      <c r="K866" s="462"/>
      <c r="L866" s="462"/>
      <c r="M866" s="462"/>
      <c r="N866" s="912"/>
      <c r="O866" s="462"/>
      <c r="P866" s="462"/>
    </row>
    <row r="867">
      <c r="A867" s="462"/>
      <c r="B867" s="462"/>
      <c r="C867" s="462"/>
      <c r="D867" s="462"/>
      <c r="E867" s="462"/>
      <c r="F867" s="462"/>
      <c r="G867" s="942"/>
      <c r="H867" s="462"/>
      <c r="I867" s="462"/>
      <c r="J867" s="462"/>
      <c r="K867" s="462"/>
      <c r="L867" s="462"/>
      <c r="M867" s="462"/>
      <c r="N867" s="912"/>
      <c r="O867" s="462"/>
      <c r="P867" s="462"/>
    </row>
    <row r="868">
      <c r="A868" s="462"/>
      <c r="B868" s="462"/>
      <c r="C868" s="462"/>
      <c r="D868" s="462"/>
      <c r="E868" s="462"/>
      <c r="F868" s="462"/>
      <c r="G868" s="942"/>
      <c r="H868" s="462"/>
      <c r="I868" s="462"/>
      <c r="J868" s="462"/>
      <c r="K868" s="462"/>
      <c r="L868" s="462"/>
      <c r="M868" s="462"/>
      <c r="N868" s="912"/>
      <c r="O868" s="462"/>
      <c r="P868" s="462"/>
    </row>
    <row r="869">
      <c r="A869" s="462"/>
      <c r="B869" s="462"/>
      <c r="C869" s="462"/>
      <c r="D869" s="462"/>
      <c r="E869" s="462"/>
      <c r="F869" s="462"/>
      <c r="G869" s="942"/>
      <c r="H869" s="462"/>
      <c r="I869" s="462"/>
      <c r="J869" s="462"/>
      <c r="K869" s="462"/>
      <c r="L869" s="462"/>
      <c r="M869" s="462"/>
      <c r="N869" s="912"/>
      <c r="O869" s="462"/>
      <c r="P869" s="462"/>
    </row>
    <row r="870">
      <c r="A870" s="462"/>
      <c r="B870" s="462"/>
      <c r="C870" s="462"/>
      <c r="D870" s="462"/>
      <c r="E870" s="462"/>
      <c r="F870" s="462"/>
      <c r="G870" s="942"/>
      <c r="H870" s="462"/>
      <c r="I870" s="462"/>
      <c r="J870" s="462"/>
      <c r="K870" s="462"/>
      <c r="L870" s="462"/>
      <c r="M870" s="462"/>
      <c r="N870" s="912"/>
      <c r="O870" s="462"/>
      <c r="P870" s="462"/>
    </row>
    <row r="871">
      <c r="A871" s="462"/>
      <c r="B871" s="462"/>
      <c r="C871" s="462"/>
      <c r="D871" s="462"/>
      <c r="E871" s="462"/>
      <c r="F871" s="462"/>
      <c r="G871" s="942"/>
      <c r="H871" s="462"/>
      <c r="I871" s="462"/>
      <c r="J871" s="462"/>
      <c r="K871" s="462"/>
      <c r="L871" s="462"/>
      <c r="M871" s="462"/>
      <c r="N871" s="912"/>
      <c r="O871" s="462"/>
      <c r="P871" s="462"/>
    </row>
    <row r="872">
      <c r="A872" s="462"/>
      <c r="B872" s="462"/>
      <c r="C872" s="462"/>
      <c r="D872" s="462"/>
      <c r="E872" s="462"/>
      <c r="F872" s="462"/>
      <c r="G872" s="942"/>
      <c r="H872" s="462"/>
      <c r="I872" s="462"/>
      <c r="J872" s="462"/>
      <c r="K872" s="462"/>
      <c r="L872" s="462"/>
      <c r="M872" s="462"/>
      <c r="N872" s="912"/>
      <c r="O872" s="462"/>
      <c r="P872" s="462"/>
    </row>
    <row r="873">
      <c r="A873" s="462"/>
      <c r="B873" s="462"/>
      <c r="C873" s="462"/>
      <c r="D873" s="462"/>
      <c r="E873" s="462"/>
      <c r="F873" s="462"/>
      <c r="G873" s="942"/>
      <c r="H873" s="462"/>
      <c r="I873" s="462"/>
      <c r="J873" s="462"/>
      <c r="K873" s="462"/>
      <c r="L873" s="462"/>
      <c r="M873" s="462"/>
      <c r="N873" s="912"/>
      <c r="O873" s="462"/>
      <c r="P873" s="462"/>
    </row>
    <row r="874">
      <c r="A874" s="462"/>
      <c r="B874" s="462"/>
      <c r="C874" s="462"/>
      <c r="D874" s="462"/>
      <c r="E874" s="462"/>
      <c r="F874" s="462"/>
      <c r="G874" s="942"/>
      <c r="H874" s="462"/>
      <c r="I874" s="462"/>
      <c r="J874" s="462"/>
      <c r="K874" s="462"/>
      <c r="L874" s="462"/>
      <c r="M874" s="462"/>
      <c r="N874" s="912"/>
      <c r="O874" s="462"/>
      <c r="P874" s="462"/>
    </row>
    <row r="875">
      <c r="A875" s="462"/>
      <c r="B875" s="462"/>
      <c r="C875" s="462"/>
      <c r="D875" s="462"/>
      <c r="E875" s="462"/>
      <c r="F875" s="462"/>
      <c r="G875" s="942"/>
      <c r="H875" s="462"/>
      <c r="I875" s="462"/>
      <c r="J875" s="462"/>
      <c r="K875" s="462"/>
      <c r="L875" s="462"/>
      <c r="M875" s="462"/>
      <c r="N875" s="912"/>
      <c r="O875" s="462"/>
      <c r="P875" s="462"/>
    </row>
    <row r="876">
      <c r="A876" s="462"/>
      <c r="B876" s="462"/>
      <c r="C876" s="462"/>
      <c r="D876" s="462"/>
      <c r="E876" s="462"/>
      <c r="F876" s="462"/>
      <c r="G876" s="942"/>
      <c r="H876" s="462"/>
      <c r="I876" s="462"/>
      <c r="J876" s="462"/>
      <c r="K876" s="462"/>
      <c r="L876" s="462"/>
      <c r="M876" s="462"/>
      <c r="N876" s="912"/>
      <c r="O876" s="462"/>
      <c r="P876" s="462"/>
    </row>
    <row r="877">
      <c r="A877" s="462"/>
      <c r="B877" s="462"/>
      <c r="C877" s="462"/>
      <c r="D877" s="462"/>
      <c r="E877" s="462"/>
      <c r="F877" s="462"/>
      <c r="G877" s="942"/>
      <c r="H877" s="462"/>
      <c r="I877" s="462"/>
      <c r="J877" s="462"/>
      <c r="K877" s="462"/>
      <c r="L877" s="462"/>
      <c r="M877" s="462"/>
      <c r="N877" s="912"/>
      <c r="O877" s="462"/>
      <c r="P877" s="462"/>
    </row>
    <row r="878">
      <c r="A878" s="462"/>
      <c r="B878" s="462"/>
      <c r="C878" s="462"/>
      <c r="D878" s="462"/>
      <c r="E878" s="462"/>
      <c r="F878" s="462"/>
      <c r="G878" s="942"/>
      <c r="H878" s="462"/>
      <c r="I878" s="462"/>
      <c r="J878" s="462"/>
      <c r="K878" s="462"/>
      <c r="L878" s="462"/>
      <c r="M878" s="462"/>
      <c r="N878" s="912"/>
      <c r="O878" s="462"/>
      <c r="P878" s="462"/>
    </row>
    <row r="879">
      <c r="A879" s="462"/>
      <c r="B879" s="462"/>
      <c r="C879" s="462"/>
      <c r="D879" s="462"/>
      <c r="E879" s="462"/>
      <c r="F879" s="462"/>
      <c r="G879" s="942"/>
      <c r="H879" s="462"/>
      <c r="I879" s="462"/>
      <c r="J879" s="462"/>
      <c r="K879" s="462"/>
      <c r="L879" s="462"/>
      <c r="M879" s="462"/>
      <c r="N879" s="912"/>
      <c r="O879" s="462"/>
      <c r="P879" s="462"/>
    </row>
    <row r="880">
      <c r="A880" s="462"/>
      <c r="B880" s="462"/>
      <c r="C880" s="462"/>
      <c r="D880" s="462"/>
      <c r="E880" s="462"/>
      <c r="F880" s="462"/>
      <c r="G880" s="942"/>
      <c r="H880" s="462"/>
      <c r="I880" s="462"/>
      <c r="J880" s="462"/>
      <c r="K880" s="462"/>
      <c r="L880" s="462"/>
      <c r="M880" s="462"/>
      <c r="N880" s="912"/>
      <c r="O880" s="462"/>
      <c r="P880" s="462"/>
    </row>
    <row r="881">
      <c r="A881" s="462"/>
      <c r="B881" s="462"/>
      <c r="C881" s="462"/>
      <c r="D881" s="462"/>
      <c r="E881" s="462"/>
      <c r="F881" s="462"/>
      <c r="G881" s="942"/>
      <c r="H881" s="462"/>
      <c r="I881" s="462"/>
      <c r="J881" s="462"/>
      <c r="K881" s="462"/>
      <c r="L881" s="462"/>
      <c r="M881" s="462"/>
      <c r="N881" s="912"/>
      <c r="O881" s="462"/>
      <c r="P881" s="462"/>
    </row>
    <row r="882">
      <c r="A882" s="462"/>
      <c r="B882" s="462"/>
      <c r="C882" s="462"/>
      <c r="D882" s="462"/>
      <c r="E882" s="462"/>
      <c r="F882" s="462"/>
      <c r="G882" s="942"/>
      <c r="H882" s="462"/>
      <c r="I882" s="462"/>
      <c r="J882" s="462"/>
      <c r="K882" s="462"/>
      <c r="L882" s="462"/>
      <c r="M882" s="462"/>
      <c r="N882" s="912"/>
      <c r="O882" s="462"/>
      <c r="P882" s="462"/>
    </row>
    <row r="883">
      <c r="A883" s="462"/>
      <c r="B883" s="462"/>
      <c r="C883" s="462"/>
      <c r="D883" s="462"/>
      <c r="E883" s="462"/>
      <c r="F883" s="462"/>
      <c r="G883" s="942"/>
      <c r="H883" s="462"/>
      <c r="I883" s="462"/>
      <c r="J883" s="462"/>
      <c r="K883" s="462"/>
      <c r="L883" s="462"/>
      <c r="M883" s="462"/>
      <c r="N883" s="912"/>
      <c r="O883" s="462"/>
      <c r="P883" s="462"/>
    </row>
    <row r="884">
      <c r="A884" s="462"/>
      <c r="B884" s="462"/>
      <c r="C884" s="462"/>
      <c r="D884" s="462"/>
      <c r="E884" s="462"/>
      <c r="F884" s="462"/>
      <c r="G884" s="942"/>
      <c r="H884" s="462"/>
      <c r="I884" s="462"/>
      <c r="J884" s="462"/>
      <c r="K884" s="462"/>
      <c r="L884" s="462"/>
      <c r="M884" s="462"/>
      <c r="N884" s="912"/>
      <c r="O884" s="462"/>
      <c r="P884" s="462"/>
    </row>
    <row r="885">
      <c r="A885" s="462"/>
      <c r="B885" s="462"/>
      <c r="C885" s="462"/>
      <c r="D885" s="462"/>
      <c r="E885" s="462"/>
      <c r="F885" s="462"/>
      <c r="G885" s="942"/>
      <c r="H885" s="462"/>
      <c r="I885" s="462"/>
      <c r="J885" s="462"/>
      <c r="K885" s="462"/>
      <c r="L885" s="462"/>
      <c r="M885" s="462"/>
      <c r="N885" s="912"/>
      <c r="O885" s="462"/>
      <c r="P885" s="462"/>
    </row>
    <row r="886">
      <c r="A886" s="462"/>
      <c r="B886" s="462"/>
      <c r="C886" s="462"/>
      <c r="D886" s="462"/>
      <c r="E886" s="462"/>
      <c r="F886" s="462"/>
      <c r="G886" s="942"/>
      <c r="H886" s="462"/>
      <c r="I886" s="462"/>
      <c r="J886" s="462"/>
      <c r="K886" s="462"/>
      <c r="L886" s="462"/>
      <c r="M886" s="462"/>
      <c r="N886" s="912"/>
      <c r="O886" s="462"/>
      <c r="P886" s="462"/>
    </row>
    <row r="887">
      <c r="A887" s="462"/>
      <c r="B887" s="462"/>
      <c r="C887" s="462"/>
      <c r="D887" s="462"/>
      <c r="E887" s="462"/>
      <c r="F887" s="462"/>
      <c r="G887" s="942"/>
      <c r="H887" s="462"/>
      <c r="I887" s="462"/>
      <c r="J887" s="462"/>
      <c r="K887" s="462"/>
      <c r="L887" s="462"/>
      <c r="M887" s="462"/>
      <c r="N887" s="912"/>
      <c r="O887" s="462"/>
      <c r="P887" s="462"/>
    </row>
    <row r="888">
      <c r="A888" s="462"/>
      <c r="B888" s="462"/>
      <c r="C888" s="462"/>
      <c r="D888" s="462"/>
      <c r="E888" s="462"/>
      <c r="F888" s="462"/>
      <c r="G888" s="942"/>
      <c r="H888" s="462"/>
      <c r="I888" s="462"/>
      <c r="J888" s="462"/>
      <c r="K888" s="462"/>
      <c r="L888" s="462"/>
      <c r="M888" s="462"/>
      <c r="N888" s="912"/>
      <c r="O888" s="462"/>
      <c r="P888" s="462"/>
    </row>
    <row r="889">
      <c r="A889" s="462"/>
      <c r="B889" s="462"/>
      <c r="C889" s="462"/>
      <c r="D889" s="462"/>
      <c r="E889" s="462"/>
      <c r="F889" s="462"/>
      <c r="G889" s="942"/>
      <c r="H889" s="462"/>
      <c r="I889" s="462"/>
      <c r="J889" s="462"/>
      <c r="K889" s="462"/>
      <c r="L889" s="462"/>
      <c r="M889" s="462"/>
      <c r="N889" s="912"/>
      <c r="O889" s="462"/>
      <c r="P889" s="462"/>
    </row>
    <row r="890">
      <c r="A890" s="462"/>
      <c r="B890" s="462"/>
      <c r="C890" s="462"/>
      <c r="D890" s="462"/>
      <c r="E890" s="462"/>
      <c r="F890" s="462"/>
      <c r="G890" s="942"/>
      <c r="H890" s="462"/>
      <c r="I890" s="462"/>
      <c r="J890" s="462"/>
      <c r="K890" s="462"/>
      <c r="L890" s="462"/>
      <c r="M890" s="462"/>
      <c r="N890" s="912"/>
      <c r="O890" s="462"/>
      <c r="P890" s="462"/>
    </row>
    <row r="891">
      <c r="A891" s="462"/>
      <c r="B891" s="462"/>
      <c r="C891" s="462"/>
      <c r="D891" s="462"/>
      <c r="E891" s="462"/>
      <c r="F891" s="462"/>
      <c r="G891" s="942"/>
      <c r="H891" s="462"/>
      <c r="I891" s="462"/>
      <c r="J891" s="462"/>
      <c r="K891" s="462"/>
      <c r="L891" s="462"/>
      <c r="M891" s="462"/>
      <c r="N891" s="912"/>
      <c r="O891" s="462"/>
      <c r="P891" s="462"/>
    </row>
    <row r="892">
      <c r="A892" s="462"/>
      <c r="B892" s="462"/>
      <c r="C892" s="462"/>
      <c r="D892" s="462"/>
      <c r="E892" s="462"/>
      <c r="F892" s="462"/>
      <c r="G892" s="942"/>
      <c r="H892" s="462"/>
      <c r="I892" s="462"/>
      <c r="J892" s="462"/>
      <c r="K892" s="462"/>
      <c r="L892" s="462"/>
      <c r="M892" s="462"/>
      <c r="N892" s="912"/>
      <c r="O892" s="462"/>
      <c r="P892" s="462"/>
    </row>
    <row r="893">
      <c r="A893" s="462"/>
      <c r="B893" s="462"/>
      <c r="C893" s="462"/>
      <c r="D893" s="462"/>
      <c r="E893" s="462"/>
      <c r="F893" s="462"/>
      <c r="G893" s="942"/>
      <c r="H893" s="462"/>
      <c r="I893" s="462"/>
      <c r="J893" s="462"/>
      <c r="K893" s="462"/>
      <c r="L893" s="462"/>
      <c r="M893" s="462"/>
      <c r="N893" s="912"/>
      <c r="O893" s="462"/>
      <c r="P893" s="462"/>
    </row>
    <row r="894">
      <c r="A894" s="462"/>
      <c r="B894" s="462"/>
      <c r="C894" s="462"/>
      <c r="D894" s="462"/>
      <c r="E894" s="462"/>
      <c r="F894" s="462"/>
      <c r="G894" s="942"/>
      <c r="H894" s="462"/>
      <c r="I894" s="462"/>
      <c r="J894" s="462"/>
      <c r="K894" s="462"/>
      <c r="L894" s="462"/>
      <c r="M894" s="462"/>
      <c r="N894" s="912"/>
      <c r="O894" s="462"/>
      <c r="P894" s="462"/>
    </row>
    <row r="895">
      <c r="A895" s="462"/>
      <c r="B895" s="462"/>
      <c r="C895" s="462"/>
      <c r="D895" s="462"/>
      <c r="E895" s="462"/>
      <c r="F895" s="462"/>
      <c r="G895" s="942"/>
      <c r="H895" s="462"/>
      <c r="I895" s="462"/>
      <c r="J895" s="462"/>
      <c r="K895" s="462"/>
      <c r="L895" s="462"/>
      <c r="M895" s="462"/>
      <c r="N895" s="912"/>
      <c r="O895" s="462"/>
      <c r="P895" s="462"/>
    </row>
    <row r="896">
      <c r="A896" s="462"/>
      <c r="B896" s="462"/>
      <c r="C896" s="462"/>
      <c r="D896" s="462"/>
      <c r="E896" s="462"/>
      <c r="F896" s="462"/>
      <c r="G896" s="942"/>
      <c r="H896" s="462"/>
      <c r="I896" s="462"/>
      <c r="J896" s="462"/>
      <c r="K896" s="462"/>
      <c r="L896" s="462"/>
      <c r="M896" s="462"/>
      <c r="N896" s="912"/>
      <c r="O896" s="462"/>
      <c r="P896" s="462"/>
    </row>
    <row r="897">
      <c r="A897" s="462"/>
      <c r="B897" s="462"/>
      <c r="C897" s="462"/>
      <c r="D897" s="462"/>
      <c r="E897" s="462"/>
      <c r="F897" s="462"/>
      <c r="G897" s="942"/>
      <c r="H897" s="462"/>
      <c r="I897" s="462"/>
      <c r="J897" s="462"/>
      <c r="K897" s="462"/>
      <c r="L897" s="462"/>
      <c r="M897" s="462"/>
      <c r="N897" s="912"/>
      <c r="O897" s="462"/>
      <c r="P897" s="462"/>
    </row>
    <row r="898">
      <c r="A898" s="462"/>
      <c r="B898" s="462"/>
      <c r="C898" s="462"/>
      <c r="D898" s="462"/>
      <c r="E898" s="462"/>
      <c r="F898" s="462"/>
      <c r="G898" s="942"/>
      <c r="H898" s="462"/>
      <c r="I898" s="462"/>
      <c r="J898" s="462"/>
      <c r="K898" s="462"/>
      <c r="L898" s="462"/>
      <c r="M898" s="462"/>
      <c r="N898" s="912"/>
      <c r="O898" s="462"/>
      <c r="P898" s="462"/>
    </row>
    <row r="899">
      <c r="A899" s="462"/>
      <c r="B899" s="462"/>
      <c r="C899" s="462"/>
      <c r="D899" s="462"/>
      <c r="E899" s="462"/>
      <c r="F899" s="462"/>
      <c r="G899" s="942"/>
      <c r="H899" s="462"/>
      <c r="I899" s="462"/>
      <c r="J899" s="462"/>
      <c r="K899" s="462"/>
      <c r="L899" s="462"/>
      <c r="M899" s="462"/>
      <c r="N899" s="912"/>
      <c r="O899" s="462"/>
      <c r="P899" s="462"/>
    </row>
    <row r="900">
      <c r="A900" s="462"/>
      <c r="B900" s="462"/>
      <c r="C900" s="462"/>
      <c r="D900" s="462"/>
      <c r="E900" s="462"/>
      <c r="F900" s="462"/>
      <c r="G900" s="942"/>
      <c r="H900" s="462"/>
      <c r="I900" s="462"/>
      <c r="J900" s="462"/>
      <c r="K900" s="462"/>
      <c r="L900" s="462"/>
      <c r="M900" s="462"/>
      <c r="N900" s="912"/>
      <c r="O900" s="462"/>
      <c r="P900" s="462"/>
    </row>
    <row r="901">
      <c r="A901" s="462"/>
      <c r="B901" s="462"/>
      <c r="C901" s="462"/>
      <c r="D901" s="462"/>
      <c r="E901" s="462"/>
      <c r="F901" s="462"/>
      <c r="G901" s="942"/>
      <c r="H901" s="462"/>
      <c r="I901" s="462"/>
      <c r="J901" s="462"/>
      <c r="K901" s="462"/>
      <c r="L901" s="462"/>
      <c r="M901" s="462"/>
      <c r="N901" s="912"/>
      <c r="O901" s="462"/>
      <c r="P901" s="462"/>
    </row>
    <row r="902">
      <c r="A902" s="462"/>
      <c r="B902" s="462"/>
      <c r="C902" s="462"/>
      <c r="D902" s="462"/>
      <c r="E902" s="462"/>
      <c r="F902" s="462"/>
      <c r="G902" s="942"/>
      <c r="H902" s="462"/>
      <c r="I902" s="462"/>
      <c r="J902" s="462"/>
      <c r="K902" s="462"/>
      <c r="L902" s="462"/>
      <c r="M902" s="462"/>
      <c r="N902" s="912"/>
      <c r="O902" s="462"/>
      <c r="P902" s="462"/>
    </row>
    <row r="903">
      <c r="A903" s="462"/>
      <c r="B903" s="462"/>
      <c r="C903" s="462"/>
      <c r="D903" s="462"/>
      <c r="E903" s="462"/>
      <c r="F903" s="462"/>
      <c r="G903" s="942"/>
      <c r="H903" s="462"/>
      <c r="I903" s="462"/>
      <c r="J903" s="462"/>
      <c r="K903" s="462"/>
      <c r="L903" s="462"/>
      <c r="M903" s="462"/>
      <c r="N903" s="912"/>
      <c r="O903" s="462"/>
      <c r="P903" s="462"/>
    </row>
    <row r="904">
      <c r="A904" s="462"/>
      <c r="B904" s="462"/>
      <c r="C904" s="462"/>
      <c r="D904" s="462"/>
      <c r="E904" s="462"/>
      <c r="F904" s="462"/>
      <c r="G904" s="942"/>
      <c r="H904" s="462"/>
      <c r="I904" s="462"/>
      <c r="J904" s="462"/>
      <c r="K904" s="462"/>
      <c r="L904" s="462"/>
      <c r="M904" s="462"/>
      <c r="N904" s="912"/>
      <c r="O904" s="462"/>
      <c r="P904" s="462"/>
    </row>
    <row r="905">
      <c r="A905" s="462"/>
      <c r="B905" s="462"/>
      <c r="C905" s="462"/>
      <c r="D905" s="462"/>
      <c r="E905" s="462"/>
      <c r="F905" s="462"/>
      <c r="G905" s="942"/>
      <c r="H905" s="462"/>
      <c r="I905" s="462"/>
      <c r="J905" s="462"/>
      <c r="K905" s="462"/>
      <c r="L905" s="462"/>
      <c r="M905" s="462"/>
      <c r="N905" s="912"/>
      <c r="O905" s="462"/>
      <c r="P905" s="462"/>
    </row>
    <row r="906">
      <c r="A906" s="462"/>
      <c r="B906" s="462"/>
      <c r="C906" s="462"/>
      <c r="D906" s="462"/>
      <c r="E906" s="462"/>
      <c r="F906" s="462"/>
      <c r="G906" s="942"/>
      <c r="H906" s="462"/>
      <c r="I906" s="462"/>
      <c r="J906" s="462"/>
      <c r="K906" s="462"/>
      <c r="L906" s="462"/>
      <c r="M906" s="462"/>
      <c r="N906" s="912"/>
      <c r="O906" s="462"/>
      <c r="P906" s="462"/>
    </row>
    <row r="907">
      <c r="A907" s="462"/>
      <c r="B907" s="462"/>
      <c r="C907" s="462"/>
      <c r="D907" s="462"/>
      <c r="E907" s="462"/>
      <c r="F907" s="462"/>
      <c r="G907" s="942"/>
      <c r="H907" s="462"/>
      <c r="I907" s="462"/>
      <c r="J907" s="462"/>
      <c r="K907" s="462"/>
      <c r="L907" s="462"/>
      <c r="M907" s="462"/>
      <c r="N907" s="912"/>
      <c r="O907" s="462"/>
      <c r="P907" s="462"/>
    </row>
    <row r="908">
      <c r="A908" s="462"/>
      <c r="B908" s="462"/>
      <c r="C908" s="462"/>
      <c r="D908" s="462"/>
      <c r="E908" s="462"/>
      <c r="F908" s="462"/>
      <c r="G908" s="942"/>
      <c r="H908" s="462"/>
      <c r="I908" s="462"/>
      <c r="J908" s="462"/>
      <c r="K908" s="462"/>
      <c r="L908" s="462"/>
      <c r="M908" s="462"/>
      <c r="N908" s="912"/>
      <c r="O908" s="462"/>
      <c r="P908" s="462"/>
    </row>
    <row r="909">
      <c r="A909" s="462"/>
      <c r="B909" s="462"/>
      <c r="C909" s="462"/>
      <c r="D909" s="462"/>
      <c r="E909" s="462"/>
      <c r="F909" s="462"/>
      <c r="G909" s="942"/>
      <c r="H909" s="462"/>
      <c r="I909" s="462"/>
      <c r="J909" s="462"/>
      <c r="K909" s="462"/>
      <c r="L909" s="462"/>
      <c r="M909" s="462"/>
      <c r="N909" s="912"/>
      <c r="O909" s="462"/>
      <c r="P909" s="462"/>
    </row>
    <row r="910">
      <c r="A910" s="462"/>
      <c r="B910" s="462"/>
      <c r="C910" s="462"/>
      <c r="D910" s="462"/>
      <c r="E910" s="462"/>
      <c r="F910" s="462"/>
      <c r="G910" s="942"/>
      <c r="H910" s="462"/>
      <c r="I910" s="462"/>
      <c r="J910" s="462"/>
      <c r="K910" s="462"/>
      <c r="L910" s="462"/>
      <c r="M910" s="462"/>
      <c r="N910" s="912"/>
      <c r="O910" s="462"/>
      <c r="P910" s="462"/>
    </row>
    <row r="911">
      <c r="A911" s="462"/>
      <c r="B911" s="462"/>
      <c r="C911" s="462"/>
      <c r="D911" s="462"/>
      <c r="E911" s="462"/>
      <c r="F911" s="462"/>
      <c r="G911" s="942"/>
      <c r="H911" s="462"/>
      <c r="I911" s="462"/>
      <c r="J911" s="462"/>
      <c r="K911" s="462"/>
      <c r="L911" s="462"/>
      <c r="M911" s="462"/>
      <c r="N911" s="912"/>
      <c r="O911" s="462"/>
      <c r="P911" s="462"/>
    </row>
    <row r="912">
      <c r="A912" s="462"/>
      <c r="B912" s="462"/>
      <c r="C912" s="462"/>
      <c r="D912" s="462"/>
      <c r="E912" s="462"/>
      <c r="F912" s="462"/>
      <c r="G912" s="942"/>
      <c r="H912" s="462"/>
      <c r="I912" s="462"/>
      <c r="J912" s="462"/>
      <c r="K912" s="462"/>
      <c r="L912" s="462"/>
      <c r="M912" s="462"/>
      <c r="N912" s="912"/>
      <c r="O912" s="462"/>
      <c r="P912" s="462"/>
    </row>
    <row r="913">
      <c r="A913" s="462"/>
      <c r="B913" s="462"/>
      <c r="C913" s="462"/>
      <c r="D913" s="462"/>
      <c r="E913" s="462"/>
      <c r="F913" s="462"/>
      <c r="G913" s="942"/>
      <c r="H913" s="462"/>
      <c r="I913" s="462"/>
      <c r="J913" s="462"/>
      <c r="K913" s="462"/>
      <c r="L913" s="462"/>
      <c r="M913" s="462"/>
      <c r="N913" s="912"/>
      <c r="O913" s="462"/>
      <c r="P913" s="462"/>
    </row>
    <row r="914">
      <c r="A914" s="462"/>
      <c r="B914" s="462"/>
      <c r="C914" s="462"/>
      <c r="D914" s="462"/>
      <c r="E914" s="462"/>
      <c r="F914" s="462"/>
      <c r="G914" s="942"/>
      <c r="H914" s="462"/>
      <c r="I914" s="462"/>
      <c r="J914" s="462"/>
      <c r="K914" s="462"/>
      <c r="L914" s="462"/>
      <c r="M914" s="462"/>
      <c r="N914" s="912"/>
      <c r="O914" s="462"/>
      <c r="P914" s="462"/>
    </row>
    <row r="915">
      <c r="A915" s="462"/>
      <c r="B915" s="462"/>
      <c r="C915" s="462"/>
      <c r="D915" s="462"/>
      <c r="E915" s="462"/>
      <c r="F915" s="462"/>
      <c r="G915" s="942"/>
      <c r="H915" s="462"/>
      <c r="I915" s="462"/>
      <c r="J915" s="462"/>
      <c r="K915" s="462"/>
      <c r="L915" s="462"/>
      <c r="M915" s="462"/>
      <c r="N915" s="912"/>
      <c r="O915" s="462"/>
      <c r="P915" s="462"/>
    </row>
    <row r="916">
      <c r="A916" s="462"/>
      <c r="B916" s="462"/>
      <c r="C916" s="462"/>
      <c r="D916" s="462"/>
      <c r="E916" s="462"/>
      <c r="F916" s="462"/>
      <c r="G916" s="942"/>
      <c r="H916" s="462"/>
      <c r="I916" s="462"/>
      <c r="J916" s="462"/>
      <c r="K916" s="462"/>
      <c r="L916" s="462"/>
      <c r="M916" s="462"/>
      <c r="N916" s="912"/>
      <c r="O916" s="462"/>
      <c r="P916" s="462"/>
    </row>
    <row r="917">
      <c r="A917" s="462"/>
      <c r="B917" s="462"/>
      <c r="C917" s="462"/>
      <c r="D917" s="462"/>
      <c r="E917" s="462"/>
      <c r="F917" s="462"/>
      <c r="G917" s="942"/>
      <c r="H917" s="462"/>
      <c r="I917" s="462"/>
      <c r="J917" s="462"/>
      <c r="K917" s="462"/>
      <c r="L917" s="462"/>
      <c r="M917" s="462"/>
      <c r="N917" s="912"/>
      <c r="O917" s="462"/>
      <c r="P917" s="462"/>
    </row>
    <row r="918">
      <c r="A918" s="462"/>
      <c r="B918" s="462"/>
      <c r="C918" s="462"/>
      <c r="D918" s="462"/>
      <c r="E918" s="462"/>
      <c r="F918" s="462"/>
      <c r="G918" s="942"/>
      <c r="H918" s="462"/>
      <c r="I918" s="462"/>
      <c r="J918" s="462"/>
      <c r="K918" s="462"/>
      <c r="L918" s="462"/>
      <c r="M918" s="462"/>
      <c r="N918" s="912"/>
      <c r="O918" s="462"/>
      <c r="P918" s="462"/>
    </row>
    <row r="919">
      <c r="A919" s="462"/>
      <c r="B919" s="462"/>
      <c r="C919" s="462"/>
      <c r="D919" s="462"/>
      <c r="E919" s="462"/>
      <c r="F919" s="462"/>
      <c r="G919" s="942"/>
      <c r="H919" s="462"/>
      <c r="I919" s="462"/>
      <c r="J919" s="462"/>
      <c r="K919" s="462"/>
      <c r="L919" s="462"/>
      <c r="M919" s="462"/>
      <c r="N919" s="912"/>
      <c r="O919" s="462"/>
      <c r="P919" s="462"/>
    </row>
    <row r="920">
      <c r="A920" s="462"/>
      <c r="B920" s="462"/>
      <c r="C920" s="462"/>
      <c r="D920" s="462"/>
      <c r="E920" s="462"/>
      <c r="F920" s="462"/>
      <c r="G920" s="942"/>
      <c r="H920" s="462"/>
      <c r="I920" s="462"/>
      <c r="J920" s="462"/>
      <c r="K920" s="462"/>
      <c r="L920" s="462"/>
      <c r="M920" s="462"/>
      <c r="N920" s="912"/>
      <c r="O920" s="462"/>
      <c r="P920" s="462"/>
    </row>
    <row r="921">
      <c r="A921" s="462"/>
      <c r="B921" s="462"/>
      <c r="C921" s="462"/>
      <c r="D921" s="462"/>
      <c r="E921" s="462"/>
      <c r="F921" s="462"/>
      <c r="G921" s="942"/>
      <c r="H921" s="462"/>
      <c r="I921" s="462"/>
      <c r="J921" s="462"/>
      <c r="K921" s="462"/>
      <c r="L921" s="462"/>
      <c r="M921" s="462"/>
      <c r="N921" s="912"/>
      <c r="O921" s="462"/>
      <c r="P921" s="462"/>
    </row>
    <row r="922">
      <c r="A922" s="462"/>
      <c r="B922" s="462"/>
      <c r="C922" s="462"/>
      <c r="D922" s="462"/>
      <c r="E922" s="462"/>
      <c r="F922" s="462"/>
      <c r="G922" s="942"/>
      <c r="H922" s="462"/>
      <c r="I922" s="462"/>
      <c r="J922" s="462"/>
      <c r="K922" s="462"/>
      <c r="L922" s="462"/>
      <c r="M922" s="462"/>
      <c r="N922" s="912"/>
      <c r="O922" s="462"/>
      <c r="P922" s="462"/>
    </row>
    <row r="923">
      <c r="A923" s="462"/>
      <c r="B923" s="462"/>
      <c r="C923" s="462"/>
      <c r="D923" s="462"/>
      <c r="E923" s="462"/>
      <c r="F923" s="462"/>
      <c r="G923" s="942"/>
      <c r="H923" s="462"/>
      <c r="I923" s="462"/>
      <c r="J923" s="462"/>
      <c r="K923" s="462"/>
      <c r="L923" s="462"/>
      <c r="M923" s="462"/>
      <c r="N923" s="912"/>
      <c r="O923" s="462"/>
      <c r="P923" s="462"/>
    </row>
    <row r="924">
      <c r="A924" s="462"/>
      <c r="B924" s="462"/>
      <c r="C924" s="462"/>
      <c r="D924" s="462"/>
      <c r="E924" s="462"/>
      <c r="F924" s="462"/>
      <c r="G924" s="942"/>
      <c r="H924" s="462"/>
      <c r="I924" s="462"/>
      <c r="J924" s="462"/>
      <c r="K924" s="462"/>
      <c r="L924" s="462"/>
      <c r="M924" s="462"/>
      <c r="N924" s="912"/>
      <c r="O924" s="462"/>
      <c r="P924" s="462"/>
    </row>
    <row r="925">
      <c r="A925" s="462"/>
      <c r="B925" s="462"/>
      <c r="C925" s="462"/>
      <c r="D925" s="462"/>
      <c r="E925" s="462"/>
      <c r="F925" s="462"/>
      <c r="G925" s="942"/>
      <c r="H925" s="462"/>
      <c r="I925" s="462"/>
      <c r="J925" s="462"/>
      <c r="K925" s="462"/>
      <c r="L925" s="462"/>
      <c r="M925" s="462"/>
      <c r="N925" s="912"/>
      <c r="O925" s="462"/>
      <c r="P925" s="462"/>
    </row>
    <row r="926">
      <c r="A926" s="462"/>
      <c r="B926" s="462"/>
      <c r="C926" s="462"/>
      <c r="D926" s="462"/>
      <c r="E926" s="462"/>
      <c r="F926" s="462"/>
      <c r="G926" s="942"/>
      <c r="H926" s="462"/>
      <c r="I926" s="462"/>
      <c r="J926" s="462"/>
      <c r="K926" s="462"/>
      <c r="L926" s="462"/>
      <c r="M926" s="462"/>
      <c r="N926" s="912"/>
      <c r="O926" s="462"/>
      <c r="P926" s="462"/>
    </row>
    <row r="927">
      <c r="A927" s="462"/>
      <c r="B927" s="462"/>
      <c r="C927" s="462"/>
      <c r="D927" s="462"/>
      <c r="E927" s="462"/>
      <c r="F927" s="462"/>
      <c r="G927" s="942"/>
      <c r="H927" s="462"/>
      <c r="I927" s="462"/>
      <c r="J927" s="462"/>
      <c r="K927" s="462"/>
      <c r="L927" s="462"/>
      <c r="M927" s="462"/>
      <c r="N927" s="912"/>
      <c r="O927" s="462"/>
      <c r="P927" s="462"/>
    </row>
    <row r="928">
      <c r="A928" s="462"/>
      <c r="B928" s="462"/>
      <c r="C928" s="462"/>
      <c r="D928" s="462"/>
      <c r="E928" s="462"/>
      <c r="F928" s="462"/>
      <c r="G928" s="942"/>
      <c r="H928" s="462"/>
      <c r="I928" s="462"/>
      <c r="J928" s="462"/>
      <c r="K928" s="462"/>
      <c r="L928" s="462"/>
      <c r="M928" s="462"/>
      <c r="N928" s="912"/>
      <c r="O928" s="462"/>
      <c r="P928" s="462"/>
    </row>
    <row r="929">
      <c r="A929" s="462"/>
      <c r="B929" s="462"/>
      <c r="C929" s="462"/>
      <c r="D929" s="462"/>
      <c r="E929" s="462"/>
      <c r="F929" s="462"/>
      <c r="G929" s="942"/>
      <c r="H929" s="462"/>
      <c r="I929" s="462"/>
      <c r="J929" s="462"/>
      <c r="K929" s="462"/>
      <c r="L929" s="462"/>
      <c r="M929" s="462"/>
      <c r="N929" s="912"/>
      <c r="O929" s="462"/>
      <c r="P929" s="462"/>
    </row>
    <row r="930">
      <c r="A930" s="462"/>
      <c r="B930" s="462"/>
      <c r="C930" s="462"/>
      <c r="D930" s="462"/>
      <c r="E930" s="462"/>
      <c r="F930" s="462"/>
      <c r="G930" s="942"/>
      <c r="H930" s="462"/>
      <c r="I930" s="462"/>
      <c r="J930" s="462"/>
      <c r="K930" s="462"/>
      <c r="L930" s="462"/>
      <c r="M930" s="462"/>
      <c r="N930" s="912"/>
      <c r="O930" s="462"/>
      <c r="P930" s="462"/>
    </row>
    <row r="931">
      <c r="A931" s="462"/>
      <c r="B931" s="462"/>
      <c r="C931" s="462"/>
      <c r="D931" s="462"/>
      <c r="E931" s="462"/>
      <c r="F931" s="462"/>
      <c r="G931" s="942"/>
      <c r="H931" s="462"/>
      <c r="I931" s="462"/>
      <c r="J931" s="462"/>
      <c r="K931" s="462"/>
      <c r="L931" s="462"/>
      <c r="M931" s="462"/>
      <c r="N931" s="912"/>
      <c r="O931" s="462"/>
      <c r="P931" s="462"/>
    </row>
    <row r="932">
      <c r="A932" s="462"/>
      <c r="B932" s="462"/>
      <c r="C932" s="462"/>
      <c r="D932" s="462"/>
      <c r="E932" s="462"/>
      <c r="F932" s="462"/>
      <c r="G932" s="942"/>
      <c r="H932" s="462"/>
      <c r="I932" s="462"/>
      <c r="J932" s="462"/>
      <c r="K932" s="462"/>
      <c r="L932" s="462"/>
      <c r="M932" s="462"/>
      <c r="N932" s="912"/>
      <c r="O932" s="462"/>
      <c r="P932" s="462"/>
    </row>
    <row r="933">
      <c r="A933" s="462"/>
      <c r="B933" s="462"/>
      <c r="C933" s="462"/>
      <c r="D933" s="462"/>
      <c r="E933" s="462"/>
      <c r="F933" s="462"/>
      <c r="G933" s="942"/>
      <c r="H933" s="462"/>
      <c r="I933" s="462"/>
      <c r="J933" s="462"/>
      <c r="K933" s="462"/>
      <c r="L933" s="462"/>
      <c r="M933" s="462"/>
      <c r="N933" s="912"/>
      <c r="O933" s="462"/>
      <c r="P933" s="462"/>
    </row>
    <row r="934">
      <c r="A934" s="462"/>
      <c r="B934" s="462"/>
      <c r="C934" s="462"/>
      <c r="D934" s="462"/>
      <c r="E934" s="462"/>
      <c r="F934" s="462"/>
      <c r="G934" s="942"/>
      <c r="H934" s="462"/>
      <c r="I934" s="462"/>
      <c r="J934" s="462"/>
      <c r="K934" s="462"/>
      <c r="L934" s="462"/>
      <c r="M934" s="462"/>
      <c r="N934" s="912"/>
      <c r="O934" s="462"/>
      <c r="P934" s="462"/>
    </row>
    <row r="935">
      <c r="A935" s="462"/>
      <c r="B935" s="462"/>
      <c r="C935" s="462"/>
      <c r="D935" s="462"/>
      <c r="E935" s="462"/>
      <c r="F935" s="462"/>
      <c r="G935" s="942"/>
      <c r="H935" s="462"/>
      <c r="I935" s="462"/>
      <c r="J935" s="462"/>
      <c r="K935" s="462"/>
      <c r="L935" s="462"/>
      <c r="M935" s="462"/>
      <c r="N935" s="912"/>
      <c r="O935" s="462"/>
      <c r="P935" s="462"/>
    </row>
    <row r="936">
      <c r="A936" s="462"/>
      <c r="B936" s="462"/>
      <c r="C936" s="462"/>
      <c r="D936" s="462"/>
      <c r="E936" s="462"/>
      <c r="F936" s="462"/>
      <c r="G936" s="942"/>
      <c r="H936" s="462"/>
      <c r="I936" s="462"/>
      <c r="J936" s="462"/>
      <c r="K936" s="462"/>
      <c r="L936" s="462"/>
      <c r="M936" s="462"/>
      <c r="N936" s="912"/>
      <c r="O936" s="462"/>
      <c r="P936" s="462"/>
    </row>
    <row r="937">
      <c r="A937" s="462"/>
      <c r="B937" s="462"/>
      <c r="C937" s="462"/>
      <c r="D937" s="462"/>
      <c r="E937" s="462"/>
      <c r="F937" s="462"/>
      <c r="G937" s="942"/>
      <c r="H937" s="462"/>
      <c r="I937" s="462"/>
      <c r="J937" s="462"/>
      <c r="K937" s="462"/>
      <c r="L937" s="462"/>
      <c r="M937" s="462"/>
      <c r="N937" s="912"/>
      <c r="O937" s="462"/>
      <c r="P937" s="462"/>
    </row>
    <row r="938">
      <c r="A938" s="462"/>
      <c r="B938" s="462"/>
      <c r="C938" s="462"/>
      <c r="D938" s="462"/>
      <c r="E938" s="462"/>
      <c r="F938" s="462"/>
      <c r="G938" s="942"/>
      <c r="H938" s="462"/>
      <c r="I938" s="462"/>
      <c r="J938" s="462"/>
      <c r="K938" s="462"/>
      <c r="L938" s="462"/>
      <c r="M938" s="462"/>
      <c r="N938" s="912"/>
      <c r="O938" s="462"/>
      <c r="P938" s="462"/>
    </row>
    <row r="939">
      <c r="A939" s="462"/>
      <c r="B939" s="462"/>
      <c r="C939" s="462"/>
      <c r="D939" s="462"/>
      <c r="E939" s="462"/>
      <c r="F939" s="462"/>
      <c r="G939" s="942"/>
      <c r="H939" s="462"/>
      <c r="I939" s="462"/>
      <c r="J939" s="462"/>
      <c r="K939" s="462"/>
      <c r="L939" s="462"/>
      <c r="M939" s="462"/>
      <c r="N939" s="912"/>
      <c r="O939" s="462"/>
      <c r="P939" s="462"/>
    </row>
    <row r="940">
      <c r="A940" s="462"/>
      <c r="B940" s="462"/>
      <c r="C940" s="462"/>
      <c r="D940" s="462"/>
      <c r="E940" s="462"/>
      <c r="F940" s="462"/>
      <c r="G940" s="942"/>
      <c r="H940" s="462"/>
      <c r="I940" s="462"/>
      <c r="J940" s="462"/>
      <c r="K940" s="462"/>
      <c r="L940" s="462"/>
      <c r="M940" s="462"/>
      <c r="N940" s="912"/>
      <c r="O940" s="462"/>
      <c r="P940" s="462"/>
    </row>
    <row r="941">
      <c r="A941" s="462"/>
      <c r="B941" s="462"/>
      <c r="C941" s="462"/>
      <c r="D941" s="462"/>
      <c r="E941" s="462"/>
      <c r="F941" s="462"/>
      <c r="G941" s="942"/>
      <c r="H941" s="462"/>
      <c r="I941" s="462"/>
      <c r="J941" s="462"/>
      <c r="K941" s="462"/>
      <c r="L941" s="462"/>
      <c r="M941" s="462"/>
      <c r="N941" s="912"/>
      <c r="O941" s="462"/>
      <c r="P941" s="462"/>
    </row>
    <row r="942">
      <c r="A942" s="462"/>
      <c r="B942" s="462"/>
      <c r="C942" s="462"/>
      <c r="D942" s="462"/>
      <c r="E942" s="462"/>
      <c r="F942" s="462"/>
      <c r="G942" s="942"/>
      <c r="H942" s="462"/>
      <c r="I942" s="462"/>
      <c r="J942" s="462"/>
      <c r="K942" s="462"/>
      <c r="L942" s="462"/>
      <c r="M942" s="462"/>
      <c r="N942" s="912"/>
      <c r="O942" s="462"/>
      <c r="P942" s="462"/>
    </row>
    <row r="943">
      <c r="A943" s="462"/>
      <c r="B943" s="462"/>
      <c r="C943" s="462"/>
      <c r="D943" s="462"/>
      <c r="E943" s="462"/>
      <c r="F943" s="462"/>
      <c r="G943" s="942"/>
      <c r="H943" s="462"/>
      <c r="I943" s="462"/>
      <c r="J943" s="462"/>
      <c r="K943" s="462"/>
      <c r="L943" s="462"/>
      <c r="M943" s="462"/>
      <c r="N943" s="912"/>
      <c r="O943" s="462"/>
      <c r="P943" s="462"/>
    </row>
    <row r="944">
      <c r="A944" s="462"/>
      <c r="B944" s="462"/>
      <c r="C944" s="462"/>
      <c r="D944" s="462"/>
      <c r="E944" s="462"/>
      <c r="F944" s="462"/>
      <c r="G944" s="942"/>
      <c r="H944" s="462"/>
      <c r="I944" s="462"/>
      <c r="J944" s="462"/>
      <c r="K944" s="462"/>
      <c r="L944" s="462"/>
      <c r="M944" s="462"/>
      <c r="N944" s="912"/>
      <c r="O944" s="462"/>
      <c r="P944" s="462"/>
    </row>
    <row r="945">
      <c r="A945" s="462"/>
      <c r="B945" s="462"/>
      <c r="C945" s="462"/>
      <c r="D945" s="462"/>
      <c r="E945" s="462"/>
      <c r="F945" s="462"/>
      <c r="G945" s="942"/>
      <c r="H945" s="462"/>
      <c r="I945" s="462"/>
      <c r="J945" s="462"/>
      <c r="K945" s="462"/>
      <c r="L945" s="462"/>
      <c r="M945" s="462"/>
      <c r="N945" s="912"/>
      <c r="O945" s="462"/>
      <c r="P945" s="462"/>
    </row>
    <row r="946">
      <c r="A946" s="462"/>
      <c r="B946" s="462"/>
      <c r="C946" s="462"/>
      <c r="D946" s="462"/>
      <c r="E946" s="462"/>
      <c r="F946" s="462"/>
      <c r="G946" s="942"/>
      <c r="H946" s="462"/>
      <c r="I946" s="462"/>
      <c r="J946" s="462"/>
      <c r="K946" s="462"/>
      <c r="L946" s="462"/>
      <c r="M946" s="462"/>
      <c r="N946" s="912"/>
      <c r="O946" s="462"/>
      <c r="P946" s="462"/>
    </row>
    <row r="947">
      <c r="A947" s="462"/>
      <c r="B947" s="462"/>
      <c r="C947" s="462"/>
      <c r="D947" s="462"/>
      <c r="E947" s="462"/>
      <c r="F947" s="462"/>
      <c r="G947" s="942"/>
      <c r="H947" s="462"/>
      <c r="I947" s="462"/>
      <c r="J947" s="462"/>
      <c r="K947" s="462"/>
      <c r="L947" s="462"/>
      <c r="M947" s="462"/>
      <c r="N947" s="912"/>
      <c r="O947" s="462"/>
      <c r="P947" s="462"/>
    </row>
    <row r="948">
      <c r="A948" s="462"/>
      <c r="B948" s="462"/>
      <c r="C948" s="462"/>
      <c r="D948" s="462"/>
      <c r="E948" s="462"/>
      <c r="F948" s="462"/>
      <c r="G948" s="942"/>
      <c r="H948" s="462"/>
      <c r="I948" s="462"/>
      <c r="J948" s="462"/>
      <c r="K948" s="462"/>
      <c r="L948" s="462"/>
      <c r="M948" s="462"/>
      <c r="N948" s="912"/>
      <c r="O948" s="462"/>
      <c r="P948" s="462"/>
    </row>
    <row r="949">
      <c r="A949" s="462"/>
      <c r="B949" s="462"/>
      <c r="C949" s="462"/>
      <c r="D949" s="462"/>
      <c r="E949" s="462"/>
      <c r="F949" s="462"/>
      <c r="G949" s="942"/>
      <c r="H949" s="462"/>
      <c r="I949" s="462"/>
      <c r="J949" s="462"/>
      <c r="K949" s="462"/>
      <c r="L949" s="462"/>
      <c r="M949" s="462"/>
      <c r="N949" s="912"/>
      <c r="O949" s="462"/>
      <c r="P949" s="462"/>
    </row>
    <row r="950">
      <c r="A950" s="462"/>
      <c r="B950" s="462"/>
      <c r="C950" s="462"/>
      <c r="D950" s="462"/>
      <c r="E950" s="462"/>
      <c r="F950" s="462"/>
      <c r="G950" s="942"/>
      <c r="H950" s="462"/>
      <c r="I950" s="462"/>
      <c r="J950" s="462"/>
      <c r="K950" s="462"/>
      <c r="L950" s="462"/>
      <c r="M950" s="462"/>
      <c r="N950" s="912"/>
      <c r="O950" s="462"/>
      <c r="P950" s="462"/>
    </row>
    <row r="951">
      <c r="A951" s="462"/>
      <c r="B951" s="462"/>
      <c r="C951" s="462"/>
      <c r="D951" s="462"/>
      <c r="E951" s="462"/>
      <c r="F951" s="462"/>
      <c r="G951" s="942"/>
      <c r="H951" s="462"/>
      <c r="I951" s="462"/>
      <c r="J951" s="462"/>
      <c r="K951" s="462"/>
      <c r="L951" s="462"/>
      <c r="M951" s="462"/>
      <c r="N951" s="912"/>
      <c r="O951" s="462"/>
      <c r="P951" s="462"/>
    </row>
    <row r="952">
      <c r="A952" s="462"/>
      <c r="B952" s="462"/>
      <c r="C952" s="462"/>
      <c r="D952" s="462"/>
      <c r="E952" s="462"/>
      <c r="F952" s="462"/>
      <c r="G952" s="942"/>
      <c r="H952" s="462"/>
      <c r="I952" s="462"/>
      <c r="J952" s="462"/>
      <c r="K952" s="462"/>
      <c r="L952" s="462"/>
      <c r="M952" s="462"/>
      <c r="N952" s="912"/>
      <c r="O952" s="462"/>
      <c r="P952" s="462"/>
    </row>
    <row r="953">
      <c r="A953" s="462"/>
      <c r="B953" s="462"/>
      <c r="C953" s="462"/>
      <c r="D953" s="462"/>
      <c r="E953" s="462"/>
      <c r="F953" s="462"/>
      <c r="G953" s="942"/>
      <c r="H953" s="462"/>
      <c r="I953" s="462"/>
      <c r="J953" s="462"/>
      <c r="K953" s="462"/>
      <c r="L953" s="462"/>
      <c r="M953" s="462"/>
      <c r="N953" s="912"/>
      <c r="O953" s="462"/>
      <c r="P953" s="462"/>
    </row>
    <row r="954">
      <c r="A954" s="462"/>
      <c r="B954" s="462"/>
      <c r="C954" s="462"/>
      <c r="D954" s="462"/>
      <c r="E954" s="462"/>
      <c r="F954" s="462"/>
      <c r="G954" s="942"/>
      <c r="H954" s="462"/>
      <c r="I954" s="462"/>
      <c r="J954" s="462"/>
      <c r="K954" s="462"/>
      <c r="L954" s="462"/>
      <c r="M954" s="462"/>
      <c r="N954" s="912"/>
      <c r="O954" s="462"/>
      <c r="P954" s="462"/>
    </row>
    <row r="955">
      <c r="A955" s="462"/>
      <c r="B955" s="462"/>
      <c r="C955" s="462"/>
      <c r="D955" s="462"/>
      <c r="E955" s="462"/>
      <c r="F955" s="462"/>
      <c r="G955" s="942"/>
      <c r="H955" s="462"/>
      <c r="I955" s="462"/>
      <c r="J955" s="462"/>
      <c r="K955" s="462"/>
      <c r="L955" s="462"/>
      <c r="M955" s="462"/>
      <c r="N955" s="912"/>
      <c r="O955" s="462"/>
      <c r="P955" s="462"/>
    </row>
    <row r="956">
      <c r="A956" s="462"/>
      <c r="B956" s="462"/>
      <c r="C956" s="462"/>
      <c r="D956" s="462"/>
      <c r="E956" s="462"/>
      <c r="F956" s="462"/>
      <c r="G956" s="942"/>
      <c r="H956" s="462"/>
      <c r="I956" s="462"/>
      <c r="J956" s="462"/>
      <c r="K956" s="462"/>
      <c r="L956" s="462"/>
      <c r="M956" s="462"/>
      <c r="N956" s="912"/>
      <c r="O956" s="462"/>
      <c r="P956" s="462"/>
    </row>
    <row r="957">
      <c r="A957" s="462"/>
      <c r="B957" s="462"/>
      <c r="C957" s="462"/>
      <c r="D957" s="462"/>
      <c r="E957" s="462"/>
      <c r="F957" s="462"/>
      <c r="G957" s="942"/>
      <c r="H957" s="462"/>
      <c r="I957" s="462"/>
      <c r="J957" s="462"/>
      <c r="K957" s="462"/>
      <c r="L957" s="462"/>
      <c r="M957" s="462"/>
      <c r="N957" s="912"/>
      <c r="O957" s="462"/>
      <c r="P957" s="462"/>
    </row>
    <row r="958">
      <c r="A958" s="462"/>
      <c r="B958" s="462"/>
      <c r="C958" s="462"/>
      <c r="D958" s="462"/>
      <c r="E958" s="462"/>
      <c r="F958" s="462"/>
      <c r="G958" s="942"/>
      <c r="H958" s="462"/>
      <c r="I958" s="462"/>
      <c r="J958" s="462"/>
      <c r="K958" s="462"/>
      <c r="L958" s="462"/>
      <c r="M958" s="462"/>
      <c r="N958" s="912"/>
      <c r="O958" s="462"/>
      <c r="P958" s="462"/>
    </row>
    <row r="959">
      <c r="A959" s="462"/>
      <c r="B959" s="462"/>
      <c r="C959" s="462"/>
      <c r="D959" s="462"/>
      <c r="E959" s="462"/>
      <c r="F959" s="462"/>
      <c r="G959" s="942"/>
      <c r="H959" s="462"/>
      <c r="I959" s="462"/>
      <c r="J959" s="462"/>
      <c r="K959" s="462"/>
      <c r="L959" s="462"/>
      <c r="M959" s="462"/>
      <c r="N959" s="912"/>
      <c r="O959" s="462"/>
      <c r="P959" s="462"/>
    </row>
    <row r="960">
      <c r="A960" s="462"/>
      <c r="B960" s="462"/>
      <c r="C960" s="462"/>
      <c r="D960" s="462"/>
      <c r="E960" s="462"/>
      <c r="F960" s="462"/>
      <c r="G960" s="942"/>
      <c r="H960" s="462"/>
      <c r="I960" s="462"/>
      <c r="J960" s="462"/>
      <c r="K960" s="462"/>
      <c r="L960" s="462"/>
      <c r="M960" s="462"/>
      <c r="N960" s="912"/>
      <c r="O960" s="462"/>
      <c r="P960" s="462"/>
    </row>
    <row r="961">
      <c r="A961" s="462"/>
      <c r="B961" s="462"/>
      <c r="C961" s="462"/>
      <c r="D961" s="462"/>
      <c r="E961" s="462"/>
      <c r="F961" s="462"/>
      <c r="G961" s="942"/>
      <c r="H961" s="462"/>
      <c r="I961" s="462"/>
      <c r="J961" s="462"/>
      <c r="K961" s="462"/>
      <c r="L961" s="462"/>
      <c r="M961" s="462"/>
      <c r="N961" s="912"/>
      <c r="O961" s="462"/>
      <c r="P961" s="462"/>
    </row>
    <row r="962">
      <c r="A962" s="462"/>
      <c r="B962" s="462"/>
      <c r="C962" s="462"/>
      <c r="D962" s="462"/>
      <c r="E962" s="462"/>
      <c r="F962" s="462"/>
      <c r="G962" s="942"/>
      <c r="H962" s="462"/>
      <c r="I962" s="462"/>
      <c r="J962" s="462"/>
      <c r="K962" s="462"/>
      <c r="L962" s="462"/>
      <c r="M962" s="462"/>
      <c r="N962" s="912"/>
      <c r="O962" s="462"/>
      <c r="P962" s="462"/>
    </row>
    <row r="963">
      <c r="A963" s="462"/>
      <c r="B963" s="462"/>
      <c r="C963" s="462"/>
      <c r="D963" s="462"/>
      <c r="E963" s="462"/>
      <c r="F963" s="462"/>
      <c r="G963" s="942"/>
      <c r="H963" s="462"/>
      <c r="I963" s="462"/>
      <c r="J963" s="462"/>
      <c r="K963" s="462"/>
      <c r="L963" s="462"/>
      <c r="M963" s="462"/>
      <c r="N963" s="912"/>
      <c r="O963" s="462"/>
      <c r="P963" s="462"/>
    </row>
    <row r="964">
      <c r="A964" s="462"/>
      <c r="B964" s="462"/>
      <c r="C964" s="462"/>
      <c r="D964" s="462"/>
      <c r="E964" s="462"/>
      <c r="F964" s="462"/>
      <c r="G964" s="942"/>
      <c r="H964" s="462"/>
      <c r="I964" s="462"/>
      <c r="J964" s="462"/>
      <c r="K964" s="462"/>
      <c r="L964" s="462"/>
      <c r="M964" s="462"/>
      <c r="N964" s="912"/>
      <c r="O964" s="462"/>
      <c r="P964" s="462"/>
    </row>
    <row r="965">
      <c r="A965" s="462"/>
      <c r="B965" s="462"/>
      <c r="C965" s="462"/>
      <c r="D965" s="462"/>
      <c r="E965" s="462"/>
      <c r="F965" s="462"/>
      <c r="G965" s="942"/>
      <c r="H965" s="462"/>
      <c r="I965" s="462"/>
      <c r="J965" s="462"/>
      <c r="K965" s="462"/>
      <c r="L965" s="462"/>
      <c r="M965" s="462"/>
      <c r="N965" s="912"/>
      <c r="O965" s="462"/>
      <c r="P965" s="462"/>
    </row>
    <row r="966">
      <c r="A966" s="462"/>
      <c r="B966" s="462"/>
      <c r="C966" s="462"/>
      <c r="D966" s="462"/>
      <c r="E966" s="462"/>
      <c r="F966" s="462"/>
      <c r="G966" s="942"/>
      <c r="H966" s="462"/>
      <c r="I966" s="462"/>
      <c r="J966" s="462"/>
      <c r="K966" s="462"/>
      <c r="L966" s="462"/>
      <c r="M966" s="462"/>
      <c r="N966" s="912"/>
      <c r="O966" s="462"/>
      <c r="P966" s="462"/>
    </row>
    <row r="967">
      <c r="A967" s="462"/>
      <c r="B967" s="462"/>
      <c r="C967" s="462"/>
      <c r="D967" s="462"/>
      <c r="E967" s="462"/>
      <c r="F967" s="462"/>
      <c r="G967" s="942"/>
      <c r="H967" s="462"/>
      <c r="I967" s="462"/>
      <c r="J967" s="462"/>
      <c r="K967" s="462"/>
      <c r="L967" s="462"/>
      <c r="M967" s="462"/>
      <c r="N967" s="912"/>
      <c r="O967" s="462"/>
      <c r="P967" s="462"/>
    </row>
    <row r="968">
      <c r="A968" s="462"/>
      <c r="B968" s="462"/>
      <c r="C968" s="462"/>
      <c r="D968" s="462"/>
      <c r="E968" s="462"/>
      <c r="F968" s="462"/>
      <c r="G968" s="942"/>
      <c r="H968" s="462"/>
      <c r="I968" s="462"/>
      <c r="J968" s="462"/>
      <c r="K968" s="462"/>
      <c r="L968" s="462"/>
      <c r="M968" s="462"/>
      <c r="N968" s="912"/>
      <c r="O968" s="462"/>
      <c r="P968" s="462"/>
    </row>
    <row r="969">
      <c r="A969" s="462"/>
      <c r="B969" s="462"/>
      <c r="C969" s="462"/>
      <c r="D969" s="462"/>
      <c r="E969" s="462"/>
      <c r="F969" s="462"/>
      <c r="G969" s="942"/>
      <c r="H969" s="462"/>
      <c r="I969" s="462"/>
      <c r="J969" s="462"/>
      <c r="K969" s="462"/>
      <c r="L969" s="462"/>
      <c r="M969" s="462"/>
      <c r="N969" s="912"/>
      <c r="O969" s="462"/>
      <c r="P969" s="462"/>
    </row>
    <row r="970">
      <c r="A970" s="462"/>
      <c r="B970" s="462"/>
      <c r="C970" s="462"/>
      <c r="D970" s="462"/>
      <c r="E970" s="462"/>
      <c r="F970" s="462"/>
      <c r="G970" s="942"/>
      <c r="H970" s="462"/>
      <c r="I970" s="462"/>
      <c r="J970" s="462"/>
      <c r="K970" s="462"/>
      <c r="L970" s="462"/>
      <c r="M970" s="462"/>
      <c r="N970" s="912"/>
      <c r="O970" s="462"/>
      <c r="P970" s="462"/>
    </row>
    <row r="971">
      <c r="A971" s="462"/>
      <c r="B971" s="462"/>
      <c r="C971" s="462"/>
      <c r="D971" s="462"/>
      <c r="E971" s="462"/>
      <c r="F971" s="462"/>
      <c r="G971" s="942"/>
      <c r="H971" s="462"/>
      <c r="I971" s="462"/>
      <c r="J971" s="462"/>
      <c r="K971" s="462"/>
      <c r="L971" s="462"/>
      <c r="M971" s="462"/>
      <c r="N971" s="912"/>
      <c r="O971" s="462"/>
      <c r="P971" s="462"/>
    </row>
    <row r="972">
      <c r="A972" s="462"/>
      <c r="B972" s="462"/>
      <c r="C972" s="462"/>
      <c r="D972" s="462"/>
      <c r="E972" s="462"/>
      <c r="F972" s="462"/>
      <c r="G972" s="942"/>
      <c r="H972" s="462"/>
      <c r="I972" s="462"/>
      <c r="J972" s="462"/>
      <c r="K972" s="462"/>
      <c r="L972" s="462"/>
      <c r="M972" s="462"/>
      <c r="N972" s="912"/>
      <c r="O972" s="462"/>
      <c r="P972" s="462"/>
    </row>
    <row r="973">
      <c r="A973" s="462"/>
      <c r="B973" s="462"/>
      <c r="C973" s="462"/>
      <c r="D973" s="462"/>
      <c r="E973" s="462"/>
      <c r="F973" s="462"/>
      <c r="G973" s="942"/>
      <c r="H973" s="462"/>
      <c r="I973" s="462"/>
      <c r="J973" s="462"/>
      <c r="K973" s="462"/>
      <c r="L973" s="462"/>
      <c r="M973" s="462"/>
      <c r="N973" s="912"/>
      <c r="O973" s="462"/>
      <c r="P973" s="462"/>
    </row>
    <row r="974">
      <c r="A974" s="462"/>
      <c r="B974" s="462"/>
      <c r="C974" s="462"/>
      <c r="D974" s="462"/>
      <c r="E974" s="462"/>
      <c r="F974" s="462"/>
      <c r="G974" s="942"/>
      <c r="H974" s="462"/>
      <c r="I974" s="462"/>
      <c r="J974" s="462"/>
      <c r="K974" s="462"/>
      <c r="L974" s="462"/>
      <c r="M974" s="462"/>
      <c r="N974" s="912"/>
      <c r="O974" s="462"/>
      <c r="P974" s="462"/>
    </row>
    <row r="975">
      <c r="A975" s="462"/>
      <c r="B975" s="462"/>
      <c r="C975" s="462"/>
      <c r="D975" s="462"/>
      <c r="E975" s="462"/>
      <c r="F975" s="462"/>
      <c r="G975" s="942"/>
      <c r="H975" s="462"/>
      <c r="I975" s="462"/>
      <c r="J975" s="462"/>
      <c r="K975" s="462"/>
      <c r="L975" s="462"/>
      <c r="M975" s="462"/>
      <c r="N975" s="912"/>
      <c r="O975" s="462"/>
      <c r="P975" s="462"/>
    </row>
    <row r="976">
      <c r="A976" s="462"/>
      <c r="B976" s="462"/>
      <c r="C976" s="462"/>
      <c r="D976" s="462"/>
      <c r="E976" s="462"/>
      <c r="F976" s="462"/>
      <c r="G976" s="942"/>
      <c r="H976" s="462"/>
      <c r="I976" s="462"/>
      <c r="J976" s="462"/>
      <c r="K976" s="462"/>
      <c r="L976" s="462"/>
      <c r="M976" s="462"/>
      <c r="N976" s="912"/>
      <c r="O976" s="462"/>
      <c r="P976" s="462"/>
    </row>
    <row r="977">
      <c r="A977" s="462"/>
      <c r="B977" s="462"/>
      <c r="C977" s="462"/>
      <c r="D977" s="462"/>
      <c r="E977" s="462"/>
      <c r="F977" s="462"/>
      <c r="G977" s="942"/>
      <c r="H977" s="462"/>
      <c r="I977" s="462"/>
      <c r="J977" s="462"/>
      <c r="K977" s="462"/>
      <c r="L977" s="462"/>
      <c r="M977" s="462"/>
      <c r="N977" s="912"/>
      <c r="O977" s="462"/>
      <c r="P977" s="462"/>
    </row>
    <row r="978">
      <c r="A978" s="462"/>
      <c r="B978" s="462"/>
      <c r="C978" s="462"/>
      <c r="D978" s="462"/>
      <c r="E978" s="462"/>
      <c r="F978" s="462"/>
      <c r="G978" s="942"/>
      <c r="H978" s="462"/>
      <c r="I978" s="462"/>
      <c r="J978" s="462"/>
      <c r="K978" s="462"/>
      <c r="L978" s="462"/>
      <c r="M978" s="462"/>
      <c r="N978" s="912"/>
      <c r="O978" s="462"/>
      <c r="P978" s="462"/>
    </row>
    <row r="979">
      <c r="A979" s="462"/>
      <c r="B979" s="462"/>
      <c r="C979" s="462"/>
      <c r="D979" s="462"/>
      <c r="E979" s="462"/>
      <c r="F979" s="462"/>
      <c r="G979" s="942"/>
      <c r="H979" s="462"/>
      <c r="I979" s="462"/>
      <c r="J979" s="462"/>
      <c r="K979" s="462"/>
      <c r="L979" s="462"/>
      <c r="M979" s="462"/>
      <c r="N979" s="912"/>
      <c r="O979" s="462"/>
      <c r="P979" s="462"/>
    </row>
    <row r="980">
      <c r="A980" s="462"/>
      <c r="B980" s="462"/>
      <c r="C980" s="462"/>
      <c r="D980" s="462"/>
      <c r="E980" s="462"/>
      <c r="F980" s="462"/>
      <c r="G980" s="942"/>
      <c r="H980" s="462"/>
      <c r="I980" s="462"/>
      <c r="J980" s="462"/>
      <c r="K980" s="462"/>
      <c r="L980" s="462"/>
      <c r="M980" s="462"/>
      <c r="N980" s="912"/>
      <c r="O980" s="462"/>
      <c r="P980" s="462"/>
    </row>
    <row r="981">
      <c r="A981" s="462"/>
      <c r="B981" s="462"/>
      <c r="C981" s="462"/>
      <c r="D981" s="462"/>
      <c r="E981" s="462"/>
      <c r="F981" s="462"/>
      <c r="G981" s="942"/>
      <c r="H981" s="462"/>
      <c r="I981" s="462"/>
      <c r="J981" s="462"/>
      <c r="K981" s="462"/>
      <c r="L981" s="462"/>
      <c r="M981" s="462"/>
      <c r="N981" s="912"/>
      <c r="O981" s="462"/>
      <c r="P981" s="462"/>
    </row>
    <row r="982">
      <c r="A982" s="462"/>
      <c r="B982" s="462"/>
      <c r="C982" s="462"/>
      <c r="D982" s="462"/>
      <c r="E982" s="462"/>
      <c r="F982" s="462"/>
      <c r="G982" s="942"/>
      <c r="H982" s="462"/>
      <c r="I982" s="462"/>
      <c r="J982" s="462"/>
      <c r="K982" s="462"/>
      <c r="L982" s="462"/>
      <c r="M982" s="462"/>
      <c r="N982" s="912"/>
      <c r="O982" s="462"/>
      <c r="P982" s="462"/>
    </row>
    <row r="983">
      <c r="A983" s="462"/>
      <c r="B983" s="462"/>
      <c r="C983" s="462"/>
      <c r="D983" s="462"/>
      <c r="E983" s="462"/>
      <c r="F983" s="462"/>
      <c r="G983" s="942"/>
      <c r="H983" s="462"/>
      <c r="I983" s="462"/>
      <c r="J983" s="462"/>
      <c r="K983" s="462"/>
      <c r="L983" s="462"/>
      <c r="M983" s="462"/>
      <c r="N983" s="912"/>
      <c r="O983" s="462"/>
      <c r="P983" s="462"/>
    </row>
    <row r="984">
      <c r="A984" s="462"/>
      <c r="B984" s="462"/>
      <c r="C984" s="462"/>
      <c r="D984" s="462"/>
      <c r="E984" s="462"/>
      <c r="F984" s="462"/>
      <c r="G984" s="942"/>
      <c r="H984" s="462"/>
      <c r="I984" s="462"/>
      <c r="J984" s="462"/>
      <c r="K984" s="462"/>
      <c r="L984" s="462"/>
      <c r="M984" s="462"/>
      <c r="N984" s="912"/>
      <c r="O984" s="462"/>
      <c r="P984" s="462"/>
    </row>
    <row r="985">
      <c r="A985" s="462"/>
      <c r="B985" s="462"/>
      <c r="C985" s="462"/>
      <c r="D985" s="462"/>
      <c r="E985" s="462"/>
      <c r="F985" s="462"/>
      <c r="G985" s="942"/>
      <c r="H985" s="462"/>
      <c r="I985" s="462"/>
      <c r="J985" s="462"/>
      <c r="K985" s="462"/>
      <c r="L985" s="462"/>
      <c r="M985" s="462"/>
      <c r="N985" s="912"/>
      <c r="O985" s="462"/>
      <c r="P985" s="462"/>
    </row>
    <row r="986">
      <c r="A986" s="462"/>
      <c r="B986" s="462"/>
      <c r="C986" s="462"/>
      <c r="D986" s="462"/>
      <c r="E986" s="462"/>
      <c r="F986" s="462"/>
      <c r="G986" s="942"/>
      <c r="H986" s="462"/>
      <c r="I986" s="462"/>
      <c r="J986" s="462"/>
      <c r="K986" s="462"/>
      <c r="L986" s="462"/>
      <c r="M986" s="462"/>
      <c r="N986" s="912"/>
      <c r="O986" s="462"/>
      <c r="P986" s="462"/>
    </row>
    <row r="987">
      <c r="A987" s="462"/>
      <c r="B987" s="462"/>
      <c r="C987" s="462"/>
      <c r="D987" s="462"/>
      <c r="E987" s="462"/>
      <c r="F987" s="462"/>
      <c r="G987" s="942"/>
      <c r="H987" s="462"/>
      <c r="I987" s="462"/>
      <c r="J987" s="462"/>
      <c r="K987" s="462"/>
      <c r="L987" s="462"/>
      <c r="M987" s="462"/>
      <c r="N987" s="912"/>
      <c r="O987" s="462"/>
      <c r="P987" s="462"/>
    </row>
    <row r="988">
      <c r="A988" s="462"/>
      <c r="B988" s="462"/>
      <c r="C988" s="462"/>
      <c r="D988" s="462"/>
      <c r="E988" s="462"/>
      <c r="F988" s="462"/>
      <c r="G988" s="950"/>
      <c r="H988" s="462"/>
      <c r="I988" s="462"/>
      <c r="J988" s="462"/>
      <c r="K988" s="462"/>
      <c r="L988" s="462"/>
      <c r="M988" s="462"/>
      <c r="N988" s="912"/>
      <c r="O988" s="462"/>
      <c r="P988" s="462"/>
    </row>
  </sheetData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5.25"/>
    <col customWidth="1" min="2" max="2" width="29.88"/>
    <col customWidth="1" min="3" max="3" width="13.88"/>
    <col customWidth="1" min="4" max="4" width="14.13"/>
    <col customWidth="1" min="5" max="5" width="19.13"/>
    <col customWidth="1" min="6" max="6" width="15.88"/>
    <col customWidth="1" min="7" max="7" width="14.0"/>
    <col customWidth="1" min="8" max="26" width="9.38"/>
  </cols>
  <sheetData>
    <row r="1" ht="12.75" customHeight="1">
      <c r="A1" s="317"/>
      <c r="B1" s="318" t="s">
        <v>735</v>
      </c>
      <c r="C1" s="317"/>
      <c r="D1" s="317"/>
      <c r="E1" s="317"/>
      <c r="F1" s="317"/>
      <c r="G1" s="317"/>
      <c r="H1" s="321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</row>
    <row r="2" ht="12.75" customHeight="1">
      <c r="A2" s="322"/>
      <c r="B2" s="322"/>
      <c r="C2" s="323"/>
      <c r="D2" s="324"/>
      <c r="E2" s="323"/>
      <c r="F2" s="324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T2" s="322"/>
      <c r="U2" s="322"/>
      <c r="V2" s="322"/>
      <c r="W2" s="322"/>
      <c r="X2" s="322"/>
      <c r="Y2" s="322"/>
      <c r="Z2" s="322"/>
    </row>
    <row r="3" ht="12.75" customHeight="1">
      <c r="A3" s="323"/>
      <c r="B3" s="325" t="s">
        <v>736</v>
      </c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</row>
    <row r="4" ht="12.75" customHeight="1">
      <c r="A4" s="323"/>
      <c r="B4" s="323" t="s">
        <v>297</v>
      </c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</row>
    <row r="5" ht="12.75" customHeight="1">
      <c r="A5" s="323"/>
      <c r="B5" s="323" t="s">
        <v>298</v>
      </c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</row>
    <row r="6" ht="12.75" customHeight="1">
      <c r="A6" s="322"/>
      <c r="B6" s="322"/>
      <c r="C6" s="323"/>
      <c r="D6" s="324"/>
      <c r="E6" s="323"/>
      <c r="F6" s="324"/>
      <c r="G6" s="322"/>
      <c r="H6" s="322"/>
      <c r="I6" s="322"/>
      <c r="J6" s="322"/>
      <c r="K6" s="322"/>
      <c r="L6" s="322"/>
      <c r="M6" s="322"/>
      <c r="N6" s="322"/>
      <c r="O6" s="322"/>
      <c r="P6" s="322"/>
      <c r="Q6" s="322"/>
      <c r="R6" s="322"/>
      <c r="S6" s="322"/>
      <c r="T6" s="322"/>
      <c r="U6" s="322"/>
      <c r="V6" s="322"/>
      <c r="W6" s="322"/>
      <c r="X6" s="322"/>
      <c r="Y6" s="322"/>
      <c r="Z6" s="322"/>
    </row>
    <row r="7" ht="12.75" customHeight="1">
      <c r="A7" s="326"/>
      <c r="B7" s="327" t="s">
        <v>299</v>
      </c>
      <c r="C7" s="328" t="s">
        <v>300</v>
      </c>
      <c r="D7" s="329" t="s">
        <v>301</v>
      </c>
      <c r="E7" s="328" t="s">
        <v>302</v>
      </c>
      <c r="F7" s="329" t="s">
        <v>303</v>
      </c>
      <c r="G7" s="330" t="s">
        <v>304</v>
      </c>
      <c r="H7" s="326"/>
      <c r="I7" s="335"/>
      <c r="J7" s="332"/>
      <c r="K7" s="333"/>
      <c r="L7" s="334"/>
      <c r="M7" s="335"/>
      <c r="N7" s="326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</row>
    <row r="8" ht="12.75" customHeight="1">
      <c r="A8" s="322"/>
      <c r="B8" s="336" t="s">
        <v>737</v>
      </c>
      <c r="C8" s="351">
        <v>0.0</v>
      </c>
      <c r="D8" s="339">
        <v>0.2599</v>
      </c>
      <c r="E8" s="340">
        <v>200.0</v>
      </c>
      <c r="F8" s="324" t="str">
        <f t="shared" ref="F8:F9" si="1">IF(C8&gt;0,C8/SUM($C$8:$C$17), "")</f>
        <v/>
      </c>
      <c r="G8" s="951" t="s">
        <v>306</v>
      </c>
      <c r="H8" s="322"/>
      <c r="I8" s="343"/>
      <c r="J8" s="361"/>
      <c r="K8" s="362"/>
      <c r="L8" s="340"/>
      <c r="M8" s="343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22"/>
    </row>
    <row r="9" ht="12.75" customHeight="1">
      <c r="A9" s="322"/>
      <c r="B9" s="952" t="s">
        <v>315</v>
      </c>
      <c r="C9" s="343">
        <v>997.0</v>
      </c>
      <c r="D9" s="362">
        <v>0.22</v>
      </c>
      <c r="E9" s="953">
        <v>200.0</v>
      </c>
      <c r="F9" s="324">
        <f t="shared" si="1"/>
        <v>0.02481996192</v>
      </c>
      <c r="G9" s="951" t="s">
        <v>306</v>
      </c>
      <c r="H9" s="322"/>
      <c r="I9" s="351"/>
      <c r="J9" s="954"/>
      <c r="K9" s="339"/>
      <c r="L9" s="340"/>
      <c r="M9" s="351"/>
      <c r="N9" s="322"/>
      <c r="O9" s="322"/>
      <c r="P9" s="322"/>
      <c r="Q9" s="322"/>
      <c r="R9" s="322"/>
      <c r="S9" s="322"/>
      <c r="T9" s="322"/>
      <c r="U9" s="322"/>
      <c r="V9" s="322"/>
      <c r="W9" s="322"/>
      <c r="X9" s="322"/>
      <c r="Y9" s="322"/>
      <c r="Z9" s="322"/>
    </row>
    <row r="10" ht="12.75" customHeight="1">
      <c r="A10" s="322"/>
      <c r="B10" s="354" t="s">
        <v>321</v>
      </c>
      <c r="C10" s="343">
        <v>1500.0</v>
      </c>
      <c r="D10" s="339"/>
      <c r="E10" s="340"/>
      <c r="F10" s="324"/>
      <c r="G10" s="951"/>
      <c r="H10" s="322"/>
      <c r="I10" s="351"/>
      <c r="J10" s="954"/>
      <c r="K10" s="955"/>
      <c r="L10" s="340"/>
      <c r="M10" s="351"/>
      <c r="N10" s="322"/>
      <c r="O10" s="322"/>
      <c r="P10" s="322"/>
      <c r="Q10" s="322"/>
      <c r="R10" s="322"/>
      <c r="S10" s="322"/>
      <c r="T10" s="322"/>
      <c r="U10" s="322"/>
      <c r="V10" s="322"/>
      <c r="W10" s="322"/>
      <c r="X10" s="322"/>
      <c r="Y10" s="322"/>
      <c r="Z10" s="322"/>
    </row>
    <row r="11" ht="12.75" customHeight="1">
      <c r="A11" s="322"/>
      <c r="B11" s="354" t="s">
        <v>319</v>
      </c>
      <c r="C11" s="351">
        <v>1500.0</v>
      </c>
      <c r="D11" s="339">
        <v>0.2265</v>
      </c>
      <c r="E11" s="340">
        <v>200.0</v>
      </c>
      <c r="F11" s="324">
        <f t="shared" ref="F11:F17" si="2">IF(C11&gt;0,C11/SUM($C$8:$C$17), "")</f>
        <v>0.03734196879</v>
      </c>
      <c r="G11" s="951" t="s">
        <v>306</v>
      </c>
      <c r="H11" s="322"/>
      <c r="I11" s="351"/>
      <c r="J11" s="954"/>
      <c r="K11" s="955"/>
      <c r="L11" s="340"/>
      <c r="M11" s="351"/>
      <c r="N11" s="322"/>
      <c r="O11" s="322"/>
      <c r="P11" s="322"/>
      <c r="Q11" s="322"/>
      <c r="R11" s="322"/>
      <c r="S11" s="322"/>
      <c r="T11" s="322"/>
      <c r="U11" s="322"/>
      <c r="V11" s="322"/>
      <c r="W11" s="322"/>
      <c r="X11" s="322"/>
      <c r="Y11" s="322"/>
      <c r="Z11" s="322"/>
    </row>
    <row r="12" ht="12.75" customHeight="1">
      <c r="A12" s="322"/>
      <c r="B12" s="354" t="s">
        <v>66</v>
      </c>
      <c r="C12" s="351">
        <v>2864.0</v>
      </c>
      <c r="D12" s="955" t="s">
        <v>738</v>
      </c>
      <c r="E12" s="340">
        <v>75.0</v>
      </c>
      <c r="F12" s="324">
        <f t="shared" si="2"/>
        <v>0.07129826574</v>
      </c>
      <c r="G12" s="951" t="s">
        <v>306</v>
      </c>
      <c r="H12" s="322"/>
      <c r="I12" s="343"/>
      <c r="J12" s="954"/>
      <c r="K12" s="339"/>
      <c r="L12" s="340"/>
      <c r="M12" s="351"/>
      <c r="N12" s="322"/>
      <c r="O12" s="322"/>
      <c r="P12" s="322"/>
      <c r="Q12" s="322"/>
      <c r="R12" s="322"/>
      <c r="S12" s="322"/>
      <c r="T12" s="322"/>
      <c r="U12" s="322"/>
      <c r="V12" s="322"/>
      <c r="W12" s="322"/>
      <c r="X12" s="322"/>
      <c r="Y12" s="322"/>
      <c r="Z12" s="322"/>
    </row>
    <row r="13" ht="12.75" customHeight="1">
      <c r="A13" s="322"/>
      <c r="B13" s="349" t="s">
        <v>60</v>
      </c>
      <c r="C13" s="351">
        <f>7002.65-109</f>
        <v>6893.65</v>
      </c>
      <c r="D13" s="956">
        <v>0.044</v>
      </c>
      <c r="E13" s="340">
        <v>109.0</v>
      </c>
      <c r="F13" s="324">
        <f t="shared" si="2"/>
        <v>0.1716149754</v>
      </c>
      <c r="G13" s="951" t="s">
        <v>306</v>
      </c>
      <c r="H13" s="322"/>
      <c r="I13" s="343"/>
      <c r="J13" s="352"/>
      <c r="K13" s="345"/>
      <c r="L13" s="346"/>
      <c r="M13" s="347"/>
      <c r="N13" s="322"/>
      <c r="O13" s="322"/>
      <c r="P13" s="322"/>
      <c r="Q13" s="322"/>
      <c r="R13" s="322"/>
      <c r="S13" s="322"/>
      <c r="T13" s="322"/>
      <c r="U13" s="322"/>
      <c r="V13" s="322"/>
      <c r="W13" s="322"/>
      <c r="X13" s="322"/>
      <c r="Y13" s="322"/>
      <c r="Z13" s="322"/>
    </row>
    <row r="14" ht="12.75" customHeight="1">
      <c r="A14" s="322"/>
      <c r="B14" s="349" t="s">
        <v>739</v>
      </c>
      <c r="C14" s="351">
        <v>3000.0</v>
      </c>
      <c r="D14" s="956">
        <v>5.0E-4</v>
      </c>
      <c r="E14" s="340">
        <v>100.0</v>
      </c>
      <c r="F14" s="324">
        <f t="shared" si="2"/>
        <v>0.07468393758</v>
      </c>
      <c r="G14" s="951" t="s">
        <v>306</v>
      </c>
      <c r="H14" s="322"/>
      <c r="I14" s="351"/>
      <c r="J14" s="352"/>
      <c r="K14" s="345"/>
      <c r="L14" s="346"/>
      <c r="M14" s="347"/>
      <c r="N14" s="322"/>
      <c r="O14" s="322"/>
      <c r="P14" s="322"/>
      <c r="Q14" s="322"/>
      <c r="R14" s="322"/>
      <c r="S14" s="322"/>
      <c r="T14" s="322"/>
      <c r="U14" s="322"/>
      <c r="V14" s="322"/>
      <c r="W14" s="322"/>
      <c r="X14" s="322"/>
      <c r="Y14" s="322"/>
      <c r="Z14" s="322"/>
    </row>
    <row r="15" ht="12.75" customHeight="1">
      <c r="A15" s="322"/>
      <c r="B15" s="349" t="s">
        <v>307</v>
      </c>
      <c r="C15" s="351">
        <f>2500+6950+750+300+100-100+411-500-500+1903.63-400-400-400</f>
        <v>10614.63</v>
      </c>
      <c r="D15" s="956">
        <v>0.0</v>
      </c>
      <c r="E15" s="390">
        <v>400.0</v>
      </c>
      <c r="F15" s="324">
        <f t="shared" si="2"/>
        <v>0.2642474548</v>
      </c>
      <c r="G15" s="951" t="s">
        <v>306</v>
      </c>
      <c r="H15" s="322"/>
      <c r="I15" s="351"/>
      <c r="J15" s="352"/>
      <c r="K15" s="345"/>
      <c r="L15" s="346"/>
      <c r="M15" s="347"/>
      <c r="N15" s="322"/>
      <c r="O15" s="322"/>
      <c r="P15" s="322"/>
      <c r="Q15" s="322"/>
      <c r="R15" s="322"/>
      <c r="S15" s="322"/>
      <c r="T15" s="322"/>
      <c r="U15" s="322"/>
      <c r="V15" s="322"/>
      <c r="W15" s="322"/>
      <c r="X15" s="322"/>
      <c r="Y15" s="322"/>
      <c r="Z15" s="322"/>
    </row>
    <row r="16" ht="12.75" customHeight="1">
      <c r="A16" s="322"/>
      <c r="B16" s="349" t="s">
        <v>740</v>
      </c>
      <c r="C16" s="351">
        <f>13800-200-200-200-200-200-200-200</f>
        <v>12400</v>
      </c>
      <c r="D16" s="956">
        <v>0.05</v>
      </c>
      <c r="E16" s="390">
        <v>200.0</v>
      </c>
      <c r="F16" s="324">
        <f t="shared" si="2"/>
        <v>0.3086936086</v>
      </c>
      <c r="G16" s="951" t="s">
        <v>306</v>
      </c>
      <c r="H16" s="322"/>
      <c r="I16" s="351"/>
      <c r="J16" s="352"/>
      <c r="K16" s="345"/>
      <c r="L16" s="346"/>
      <c r="M16" s="347"/>
      <c r="N16" s="322"/>
      <c r="O16" s="322"/>
      <c r="P16" s="322"/>
      <c r="Q16" s="322"/>
      <c r="R16" s="322"/>
      <c r="S16" s="322"/>
      <c r="T16" s="322"/>
      <c r="U16" s="322"/>
      <c r="V16" s="322"/>
      <c r="W16" s="322"/>
      <c r="X16" s="322"/>
      <c r="Y16" s="322"/>
      <c r="Z16" s="322"/>
    </row>
    <row r="17" ht="12.75" customHeight="1">
      <c r="A17" s="322"/>
      <c r="B17" s="336" t="s">
        <v>741</v>
      </c>
      <c r="C17" s="390">
        <f>500-100</f>
        <v>400</v>
      </c>
      <c r="D17" s="414">
        <v>0.0</v>
      </c>
      <c r="E17" s="390">
        <v>100.0</v>
      </c>
      <c r="F17" s="324">
        <f t="shared" si="2"/>
        <v>0.009957858343</v>
      </c>
      <c r="G17" s="951" t="s">
        <v>306</v>
      </c>
      <c r="H17" s="322"/>
      <c r="I17" s="347"/>
      <c r="J17" s="352"/>
      <c r="K17" s="345"/>
      <c r="L17" s="346"/>
      <c r="M17" s="347"/>
      <c r="N17" s="322"/>
      <c r="O17" s="322"/>
      <c r="P17" s="322"/>
      <c r="Q17" s="322"/>
      <c r="R17" s="322"/>
      <c r="S17" s="322"/>
      <c r="T17" s="322"/>
      <c r="U17" s="322"/>
      <c r="V17" s="322"/>
      <c r="W17" s="322"/>
      <c r="X17" s="322"/>
      <c r="Y17" s="322"/>
      <c r="Z17" s="322"/>
    </row>
    <row r="18" ht="12.75" customHeight="1">
      <c r="A18" s="322"/>
      <c r="B18" s="322" t="s">
        <v>322</v>
      </c>
      <c r="C18" s="323">
        <f>SUBTOTAL(109,'Debt - v2'!$C$8:$C$17)</f>
        <v>40169.28</v>
      </c>
      <c r="D18" s="324">
        <f>SUMPRODUCT('Debt - v2'!$C$8:$C$17,'Debt - v2'!$D$8:$D$17)/SUM('Debt - v2'!$C$8:$C$17)</f>
        <v>0.03694142887</v>
      </c>
      <c r="E18" s="323">
        <f>SUBTOTAL(109,'Debt - v2'!$E$8:$E$17)</f>
        <v>1584</v>
      </c>
      <c r="F18" s="324">
        <f>SUBTOTAL(109,'Debt - v2'!$F$8:$F$17)</f>
        <v>0.9626580312</v>
      </c>
      <c r="G18" s="951" t="s">
        <v>306</v>
      </c>
      <c r="H18" s="322"/>
      <c r="I18" s="347"/>
      <c r="J18" s="352"/>
      <c r="K18" s="345"/>
      <c r="L18" s="346"/>
      <c r="M18" s="347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22"/>
    </row>
    <row r="19" ht="24.0" customHeight="1">
      <c r="A19" s="322"/>
      <c r="B19" s="322"/>
      <c r="C19" s="323"/>
      <c r="D19" s="324"/>
      <c r="E19" s="323"/>
      <c r="F19" s="324"/>
      <c r="G19" s="322"/>
      <c r="H19" s="322"/>
      <c r="I19" s="347"/>
      <c r="J19" s="361"/>
      <c r="K19" s="339"/>
      <c r="L19" s="340"/>
      <c r="M19" s="351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</row>
    <row r="20" ht="12.75" customHeight="1">
      <c r="A20" s="323"/>
      <c r="B20" s="325" t="s">
        <v>323</v>
      </c>
      <c r="C20" s="323"/>
      <c r="D20" s="323"/>
      <c r="E20" s="323"/>
      <c r="F20" s="323"/>
      <c r="G20" s="323"/>
      <c r="H20" s="323"/>
      <c r="I20" s="351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</row>
    <row r="21" ht="12.75" customHeight="1">
      <c r="A21" s="323"/>
      <c r="B21" s="323" t="s">
        <v>324</v>
      </c>
      <c r="C21" s="323"/>
      <c r="D21" s="323"/>
      <c r="E21" s="323"/>
      <c r="F21" s="323"/>
      <c r="G21" s="323"/>
      <c r="H21" s="323"/>
      <c r="I21" s="323"/>
      <c r="J21" s="323"/>
      <c r="K21" s="323"/>
      <c r="L21" s="323"/>
      <c r="M21" s="323"/>
      <c r="N21" s="323"/>
      <c r="O21" s="323"/>
      <c r="P21" s="323"/>
      <c r="Q21" s="323"/>
      <c r="R21" s="323"/>
      <c r="S21" s="323"/>
      <c r="T21" s="323"/>
      <c r="U21" s="323"/>
      <c r="V21" s="323"/>
      <c r="W21" s="323"/>
      <c r="X21" s="323"/>
      <c r="Y21" s="323"/>
      <c r="Z21" s="323"/>
    </row>
    <row r="22" ht="12.75" customHeight="1">
      <c r="A22" s="323"/>
      <c r="B22" s="323" t="s">
        <v>325</v>
      </c>
      <c r="C22" s="323"/>
      <c r="D22" s="323"/>
      <c r="E22" s="323"/>
      <c r="F22" s="323"/>
      <c r="G22" s="323"/>
      <c r="H22" s="323"/>
      <c r="I22" s="323"/>
      <c r="J22" s="323"/>
      <c r="K22" s="323"/>
      <c r="L22" s="323"/>
      <c r="M22" s="323"/>
      <c r="N22" s="323"/>
      <c r="O22" s="323"/>
      <c r="P22" s="323"/>
      <c r="Q22" s="323"/>
      <c r="R22" s="323"/>
      <c r="S22" s="323"/>
      <c r="T22" s="323"/>
      <c r="U22" s="323"/>
      <c r="V22" s="323"/>
      <c r="W22" s="323"/>
      <c r="X22" s="323"/>
      <c r="Y22" s="323"/>
      <c r="Z22" s="323"/>
    </row>
    <row r="23" ht="12.75" customHeight="1">
      <c r="A23" s="322"/>
      <c r="B23" s="322"/>
      <c r="C23" s="323"/>
      <c r="D23" s="324"/>
      <c r="E23" s="323"/>
      <c r="F23" s="324"/>
      <c r="G23" s="322"/>
      <c r="H23" s="322"/>
      <c r="I23" s="322"/>
      <c r="J23" s="322"/>
      <c r="K23" s="322"/>
      <c r="L23" s="322"/>
      <c r="M23" s="322"/>
      <c r="N23" s="322"/>
      <c r="O23" s="322"/>
      <c r="P23" s="322"/>
      <c r="Q23" s="322"/>
      <c r="R23" s="322"/>
      <c r="S23" s="322"/>
      <c r="T23" s="322"/>
      <c r="U23" s="322"/>
      <c r="V23" s="322"/>
      <c r="W23" s="322"/>
      <c r="X23" s="322"/>
      <c r="Y23" s="322"/>
      <c r="Z23" s="322"/>
    </row>
    <row r="24" ht="12.75" customHeight="1">
      <c r="A24" s="322"/>
      <c r="B24" s="396" t="s">
        <v>326</v>
      </c>
      <c r="C24" s="397" t="s">
        <v>327</v>
      </c>
      <c r="D24" s="324"/>
      <c r="E24" s="323"/>
      <c r="F24" s="324"/>
      <c r="G24" s="322"/>
      <c r="H24" s="322"/>
      <c r="I24" s="322"/>
      <c r="J24" s="322"/>
      <c r="K24" s="322"/>
      <c r="L24" s="322"/>
      <c r="M24" s="322"/>
      <c r="N24" s="322"/>
      <c r="O24" s="322"/>
      <c r="P24" s="322"/>
      <c r="Q24" s="322"/>
      <c r="R24" s="322"/>
      <c r="S24" s="322"/>
      <c r="T24" s="322"/>
      <c r="U24" s="322"/>
      <c r="V24" s="322"/>
      <c r="W24" s="322"/>
      <c r="X24" s="322"/>
      <c r="Y24" s="322"/>
      <c r="Z24" s="322"/>
    </row>
    <row r="25" ht="12.75" customHeight="1">
      <c r="A25" s="322"/>
      <c r="B25" s="322" t="s">
        <v>328</v>
      </c>
      <c r="C25" s="398">
        <v>1800.0</v>
      </c>
      <c r="D25" s="324"/>
      <c r="E25" s="323"/>
      <c r="F25" s="324"/>
      <c r="G25" s="322"/>
      <c r="H25" s="322"/>
      <c r="I25" s="322"/>
      <c r="J25" s="322"/>
      <c r="K25" s="322"/>
      <c r="L25" s="322"/>
      <c r="M25" s="322"/>
      <c r="N25" s="322"/>
      <c r="O25" s="322"/>
      <c r="P25" s="322"/>
      <c r="Q25" s="322"/>
      <c r="R25" s="322"/>
      <c r="S25" s="322"/>
      <c r="T25" s="322"/>
      <c r="U25" s="322"/>
      <c r="V25" s="322"/>
      <c r="W25" s="322"/>
      <c r="X25" s="322"/>
      <c r="Y25" s="322"/>
      <c r="Z25" s="322"/>
    </row>
    <row r="26" ht="24.0" customHeight="1">
      <c r="A26" s="322"/>
      <c r="B26" s="322"/>
      <c r="C26" s="323"/>
      <c r="D26" s="324"/>
      <c r="E26" s="323"/>
      <c r="F26" s="324" t="str">
        <f>IF(C30&gt;0, C30/SUM($C$8:$C$30), "")</f>
        <v/>
      </c>
      <c r="G26" s="322"/>
      <c r="H26" s="322"/>
      <c r="I26" s="322"/>
      <c r="J26" s="322"/>
      <c r="K26" s="322"/>
      <c r="L26" s="322"/>
      <c r="M26" s="322"/>
      <c r="N26" s="322"/>
      <c r="O26" s="322"/>
      <c r="P26" s="322"/>
      <c r="Q26" s="322"/>
      <c r="R26" s="322"/>
      <c r="S26" s="322"/>
      <c r="T26" s="322"/>
      <c r="U26" s="322"/>
      <c r="V26" s="322"/>
      <c r="W26" s="322"/>
      <c r="X26" s="322"/>
      <c r="Y26" s="322"/>
      <c r="Z26" s="322"/>
    </row>
    <row r="27" ht="12.75" customHeight="1">
      <c r="A27" s="323"/>
      <c r="B27" s="325" t="s">
        <v>330</v>
      </c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</row>
    <row r="28" ht="12.75" customHeight="1">
      <c r="A28" s="323"/>
      <c r="B28" s="323" t="s">
        <v>331</v>
      </c>
      <c r="C28" s="323"/>
      <c r="D28" s="323"/>
      <c r="E28" s="323"/>
      <c r="F28" s="323"/>
      <c r="G28" s="323"/>
      <c r="H28" s="323"/>
      <c r="I28" s="323"/>
      <c r="J28" s="323"/>
      <c r="K28" s="323"/>
      <c r="L28" s="323"/>
      <c r="M28" s="323"/>
      <c r="N28" s="323"/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  <c r="Z28" s="323"/>
    </row>
    <row r="29" ht="12.75" customHeight="1">
      <c r="A29" s="323"/>
      <c r="B29" s="323" t="s">
        <v>332</v>
      </c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V29" s="323"/>
      <c r="W29" s="323"/>
      <c r="X29" s="323"/>
      <c r="Y29" s="323"/>
      <c r="Z29" s="323"/>
    </row>
    <row r="30" ht="12.75" customHeight="1">
      <c r="A30" s="322"/>
      <c r="B30" s="322"/>
      <c r="C30" s="323"/>
      <c r="D30" s="324"/>
      <c r="E30" s="323"/>
      <c r="F30" s="324"/>
      <c r="G30" s="322"/>
      <c r="H30" s="322"/>
      <c r="I30" s="322"/>
      <c r="J30" s="322"/>
      <c r="K30" s="322"/>
      <c r="L30" s="322"/>
      <c r="M30" s="322"/>
      <c r="N30" s="322"/>
      <c r="O30" s="322"/>
      <c r="P30" s="322"/>
      <c r="Q30" s="322"/>
      <c r="R30" s="322"/>
      <c r="S30" s="322"/>
      <c r="T30" s="322"/>
      <c r="U30" s="322"/>
      <c r="V30" s="322"/>
      <c r="W30" s="322"/>
      <c r="X30" s="322"/>
      <c r="Y30" s="322"/>
      <c r="Z30" s="322"/>
    </row>
    <row r="31" ht="12.75" customHeight="1">
      <c r="A31" s="381"/>
      <c r="B31" s="401" t="s">
        <v>326</v>
      </c>
      <c r="C31" s="397" t="s">
        <v>327</v>
      </c>
      <c r="D31" s="383"/>
      <c r="E31" s="382"/>
      <c r="F31" s="383"/>
      <c r="G31" s="381"/>
      <c r="H31" s="381"/>
      <c r="I31" s="381"/>
      <c r="J31" s="381"/>
      <c r="K31" s="381"/>
      <c r="L31" s="381"/>
      <c r="M31" s="381"/>
      <c r="N31" s="381"/>
      <c r="O31" s="381"/>
      <c r="P31" s="381"/>
      <c r="Q31" s="381"/>
      <c r="R31" s="381"/>
      <c r="S31" s="381"/>
      <c r="T31" s="381"/>
      <c r="U31" s="381"/>
      <c r="V31" s="381"/>
      <c r="W31" s="381"/>
      <c r="X31" s="381"/>
      <c r="Y31" s="381"/>
      <c r="Z31" s="381"/>
    </row>
    <row r="32" ht="12.75" customHeight="1">
      <c r="A32" s="381"/>
      <c r="B32" s="381" t="s">
        <v>333</v>
      </c>
      <c r="C32" s="382">
        <f>'Debt - v2'!$C$18</f>
        <v>40169.28</v>
      </c>
      <c r="D32" s="383"/>
      <c r="E32" s="382"/>
      <c r="F32" s="383"/>
      <c r="G32" s="381"/>
      <c r="H32" s="381"/>
      <c r="I32" s="381"/>
      <c r="J32" s="381"/>
      <c r="K32" s="381"/>
      <c r="L32" s="381"/>
      <c r="M32" s="381"/>
      <c r="N32" s="381"/>
      <c r="O32" s="381"/>
      <c r="P32" s="381"/>
      <c r="Q32" s="381"/>
      <c r="R32" s="381"/>
      <c r="S32" s="381"/>
      <c r="T32" s="381"/>
      <c r="U32" s="381"/>
      <c r="V32" s="381"/>
      <c r="W32" s="381"/>
      <c r="X32" s="381"/>
      <c r="Y32" s="381"/>
      <c r="Z32" s="381"/>
    </row>
    <row r="33" ht="12.75" customHeight="1">
      <c r="A33" s="381"/>
      <c r="B33" s="381" t="s">
        <v>339</v>
      </c>
      <c r="C33" s="383">
        <f>'Debt - v2'!$D$18</f>
        <v>0.03694142887</v>
      </c>
      <c r="D33" s="383"/>
      <c r="E33" s="382"/>
      <c r="F33" s="383"/>
      <c r="G33" s="381"/>
      <c r="H33" s="381"/>
      <c r="I33" s="381"/>
      <c r="J33" s="381"/>
      <c r="K33" s="381"/>
      <c r="L33" s="381"/>
      <c r="M33" s="381"/>
      <c r="N33" s="381"/>
      <c r="O33" s="381"/>
      <c r="P33" s="381"/>
      <c r="Q33" s="381"/>
      <c r="R33" s="381"/>
      <c r="S33" s="381"/>
      <c r="T33" s="381"/>
      <c r="U33" s="381"/>
      <c r="V33" s="381"/>
      <c r="W33" s="381"/>
      <c r="X33" s="381"/>
      <c r="Y33" s="381"/>
      <c r="Z33" s="381"/>
    </row>
    <row r="34" ht="12.75" customHeight="1">
      <c r="A34" s="322"/>
      <c r="B34" s="381" t="s">
        <v>341</v>
      </c>
      <c r="C34" s="382">
        <f>C32*C33/12</f>
        <v>123.6592167</v>
      </c>
      <c r="D34" s="383"/>
      <c r="E34" s="382"/>
      <c r="F34" s="383"/>
      <c r="G34" s="322"/>
      <c r="H34" s="322"/>
      <c r="I34" s="322"/>
      <c r="J34" s="322"/>
      <c r="K34" s="322"/>
      <c r="L34" s="322"/>
      <c r="M34" s="322"/>
      <c r="N34" s="322"/>
      <c r="O34" s="322"/>
      <c r="P34" s="322"/>
      <c r="Q34" s="322"/>
      <c r="R34" s="322"/>
      <c r="S34" s="322"/>
      <c r="T34" s="322"/>
      <c r="U34" s="322"/>
      <c r="V34" s="322"/>
      <c r="W34" s="322"/>
      <c r="X34" s="322"/>
      <c r="Y34" s="322"/>
      <c r="Z34" s="322"/>
    </row>
    <row r="35" ht="12.75" customHeight="1">
      <c r="A35" s="322"/>
      <c r="B35" s="381"/>
      <c r="C35" s="382"/>
      <c r="D35" s="324"/>
      <c r="E35" s="323"/>
      <c r="F35" s="324"/>
      <c r="G35" s="322"/>
      <c r="H35" s="322"/>
      <c r="I35" s="322"/>
      <c r="J35" s="322"/>
      <c r="K35" s="322"/>
      <c r="L35" s="322"/>
      <c r="M35" s="322"/>
      <c r="N35" s="322"/>
      <c r="O35" s="322"/>
      <c r="P35" s="322"/>
      <c r="Q35" s="322"/>
      <c r="R35" s="322"/>
      <c r="S35" s="322"/>
      <c r="T35" s="322"/>
      <c r="U35" s="322"/>
      <c r="V35" s="322"/>
      <c r="W35" s="322"/>
      <c r="X35" s="322"/>
      <c r="Y35" s="322"/>
      <c r="Z35" s="322"/>
    </row>
    <row r="36" ht="12.75" customHeight="1">
      <c r="A36" s="322"/>
      <c r="B36" s="381" t="s">
        <v>342</v>
      </c>
      <c r="C36" s="382">
        <f>'Debt - v2'!$E$18</f>
        <v>1584</v>
      </c>
      <c r="D36" s="324"/>
      <c r="E36" s="323"/>
      <c r="F36" s="324"/>
      <c r="G36" s="322"/>
      <c r="H36" s="322"/>
      <c r="I36" s="322"/>
      <c r="J36" s="322"/>
      <c r="K36" s="322"/>
      <c r="L36" s="322"/>
      <c r="M36" s="322"/>
      <c r="N36" s="322"/>
      <c r="O36" s="322"/>
      <c r="P36" s="322"/>
      <c r="Q36" s="322"/>
      <c r="R36" s="322"/>
      <c r="S36" s="322"/>
      <c r="T36" s="322"/>
      <c r="U36" s="322"/>
      <c r="V36" s="322"/>
      <c r="W36" s="322"/>
      <c r="X36" s="322"/>
      <c r="Y36" s="322"/>
      <c r="Z36" s="322"/>
    </row>
    <row r="37" ht="12.75" customHeight="1">
      <c r="A37" s="322"/>
      <c r="B37" s="381" t="s">
        <v>343</v>
      </c>
      <c r="C37" s="382">
        <f>'Debt - v2'!$C$25</f>
        <v>1800</v>
      </c>
      <c r="D37" s="324"/>
      <c r="E37" s="323"/>
      <c r="F37" s="324"/>
      <c r="G37" s="322"/>
      <c r="H37" s="322"/>
      <c r="I37" s="322"/>
      <c r="J37" s="322"/>
      <c r="K37" s="322"/>
      <c r="L37" s="322"/>
      <c r="M37" s="322"/>
      <c r="N37" s="322"/>
      <c r="O37" s="322"/>
      <c r="P37" s="322"/>
      <c r="Q37" s="322"/>
      <c r="R37" s="322"/>
      <c r="S37" s="322"/>
      <c r="T37" s="322"/>
      <c r="U37" s="322"/>
      <c r="V37" s="322"/>
      <c r="W37" s="322"/>
      <c r="X37" s="322"/>
      <c r="Y37" s="322"/>
      <c r="Z37" s="322"/>
    </row>
    <row r="38" ht="12.75" customHeight="1">
      <c r="A38" s="322"/>
      <c r="B38" s="381"/>
      <c r="C38" s="382"/>
      <c r="D38" s="324"/>
      <c r="E38" s="323"/>
      <c r="F38" s="324"/>
      <c r="G38" s="322"/>
      <c r="H38" s="322"/>
      <c r="I38" s="322"/>
      <c r="J38" s="322"/>
      <c r="K38" s="322"/>
      <c r="L38" s="322"/>
      <c r="M38" s="322"/>
      <c r="N38" s="322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</row>
    <row r="39" ht="12.75" customHeight="1">
      <c r="A39" s="322"/>
      <c r="B39" s="381" t="s">
        <v>344</v>
      </c>
      <c r="C39" s="382">
        <f>C37-C36</f>
        <v>216</v>
      </c>
      <c r="D39" s="324"/>
      <c r="E39" s="323"/>
      <c r="F39" s="324"/>
      <c r="G39" s="322"/>
      <c r="H39" s="322"/>
      <c r="I39" s="322"/>
      <c r="J39" s="322"/>
      <c r="K39" s="322"/>
      <c r="L39" s="322"/>
      <c r="M39" s="322"/>
      <c r="N39" s="322"/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2"/>
      <c r="Z39" s="322"/>
    </row>
    <row r="40" ht="12.75" customHeight="1">
      <c r="A40" s="322"/>
      <c r="B40" s="322"/>
      <c r="C40" s="323"/>
      <c r="D40" s="324"/>
      <c r="E40" s="323"/>
      <c r="F40" s="324"/>
      <c r="G40" s="322"/>
      <c r="H40" s="322"/>
      <c r="I40" s="322"/>
      <c r="J40" s="322"/>
      <c r="K40" s="322"/>
      <c r="L40" s="322"/>
      <c r="M40" s="322"/>
      <c r="N40" s="322"/>
      <c r="O40" s="322"/>
      <c r="P40" s="322"/>
      <c r="Q40" s="322"/>
      <c r="R40" s="322"/>
      <c r="S40" s="322"/>
      <c r="T40" s="322"/>
      <c r="U40" s="322"/>
      <c r="V40" s="322"/>
      <c r="W40" s="322"/>
      <c r="X40" s="322"/>
      <c r="Y40" s="322"/>
      <c r="Z40" s="322"/>
    </row>
    <row r="41" ht="12.75" customHeight="1">
      <c r="A41" s="322"/>
      <c r="B41" s="322"/>
      <c r="C41" s="323"/>
      <c r="D41" s="324"/>
      <c r="E41" s="323"/>
      <c r="F41" s="324"/>
      <c r="G41" s="322"/>
      <c r="H41" s="322"/>
      <c r="I41" s="322"/>
      <c r="J41" s="322"/>
      <c r="K41" s="322"/>
      <c r="L41" s="322"/>
      <c r="M41" s="322"/>
      <c r="N41" s="322"/>
      <c r="O41" s="322"/>
      <c r="P41" s="322"/>
      <c r="Q41" s="322"/>
      <c r="R41" s="322"/>
      <c r="S41" s="322"/>
      <c r="T41" s="322"/>
      <c r="U41" s="322"/>
      <c r="V41" s="322"/>
      <c r="W41" s="322"/>
      <c r="X41" s="322"/>
      <c r="Y41" s="322"/>
      <c r="Z41" s="322"/>
    </row>
    <row r="42" ht="12.75" customHeight="1">
      <c r="A42" s="322"/>
      <c r="B42" s="322"/>
      <c r="C42" s="419"/>
      <c r="D42" s="324"/>
      <c r="E42" s="323"/>
      <c r="F42" s="324"/>
      <c r="G42" s="322"/>
      <c r="H42" s="322"/>
      <c r="I42" s="322"/>
      <c r="J42" s="322"/>
      <c r="K42" s="322"/>
      <c r="L42" s="322"/>
      <c r="M42" s="322"/>
      <c r="N42" s="322"/>
      <c r="O42" s="322"/>
      <c r="P42" s="322"/>
      <c r="Q42" s="322"/>
      <c r="R42" s="322"/>
      <c r="S42" s="322"/>
      <c r="T42" s="322"/>
      <c r="U42" s="322"/>
      <c r="V42" s="322"/>
      <c r="W42" s="322"/>
      <c r="X42" s="322"/>
      <c r="Y42" s="322"/>
      <c r="Z42" s="322"/>
    </row>
    <row r="43" ht="12.75" customHeight="1">
      <c r="A43" s="322"/>
      <c r="B43" s="325" t="s">
        <v>345</v>
      </c>
      <c r="C43" s="323"/>
      <c r="D43" s="323"/>
      <c r="E43" s="323"/>
      <c r="F43" s="323"/>
      <c r="G43" s="323"/>
      <c r="H43" s="322"/>
      <c r="I43" s="322"/>
      <c r="J43" s="322"/>
      <c r="K43" s="322"/>
      <c r="L43" s="322"/>
      <c r="M43" s="322"/>
      <c r="N43" s="322"/>
      <c r="O43" s="322"/>
      <c r="P43" s="322"/>
      <c r="Q43" s="322"/>
      <c r="R43" s="322"/>
      <c r="S43" s="322"/>
      <c r="T43" s="322"/>
      <c r="U43" s="322"/>
      <c r="V43" s="322"/>
      <c r="W43" s="322"/>
      <c r="X43" s="322"/>
      <c r="Y43" s="322"/>
      <c r="Z43" s="322"/>
    </row>
    <row r="44" ht="12.75" customHeight="1">
      <c r="A44" s="322"/>
      <c r="B44" s="323" t="s">
        <v>346</v>
      </c>
      <c r="C44" s="323"/>
      <c r="D44" s="323"/>
      <c r="E44" s="323"/>
      <c r="F44" s="323"/>
      <c r="G44" s="323"/>
      <c r="H44" s="322"/>
      <c r="I44" s="322"/>
      <c r="J44" s="322"/>
      <c r="K44" s="322"/>
      <c r="L44" s="322"/>
      <c r="M44" s="322"/>
      <c r="N44" s="322"/>
      <c r="O44" s="322"/>
      <c r="P44" s="322"/>
      <c r="Q44" s="322"/>
      <c r="R44" s="322"/>
      <c r="S44" s="322"/>
      <c r="T44" s="322"/>
      <c r="U44" s="322"/>
      <c r="V44" s="322"/>
      <c r="W44" s="322"/>
      <c r="X44" s="322"/>
      <c r="Y44" s="322"/>
      <c r="Z44" s="322"/>
    </row>
    <row r="45" ht="12.75" customHeight="1">
      <c r="A45" s="322"/>
      <c r="E45" s="323"/>
      <c r="F45" s="324"/>
      <c r="G45" s="322"/>
      <c r="H45" s="322"/>
      <c r="I45" s="322"/>
      <c r="J45" s="322"/>
      <c r="K45" s="322"/>
      <c r="L45" s="322"/>
      <c r="M45" s="322"/>
      <c r="N45" s="322"/>
      <c r="O45" s="322"/>
      <c r="P45" s="322"/>
      <c r="Q45" s="322"/>
      <c r="R45" s="322"/>
      <c r="S45" s="322"/>
      <c r="T45" s="322"/>
      <c r="U45" s="322"/>
      <c r="V45" s="322"/>
      <c r="W45" s="322"/>
      <c r="X45" s="322"/>
      <c r="Y45" s="322"/>
      <c r="Z45" s="322"/>
    </row>
    <row r="46" ht="12.75" customHeight="1">
      <c r="A46" s="322"/>
      <c r="B46" s="381" t="s">
        <v>347</v>
      </c>
      <c r="E46" s="323"/>
      <c r="F46" s="324"/>
      <c r="G46" s="322"/>
      <c r="H46" s="322"/>
      <c r="I46" s="322"/>
      <c r="J46" s="322"/>
      <c r="K46" s="322"/>
      <c r="L46" s="322"/>
      <c r="M46" s="322"/>
      <c r="N46" s="322"/>
      <c r="O46" s="322"/>
      <c r="P46" s="322"/>
      <c r="Q46" s="322"/>
      <c r="R46" s="322"/>
      <c r="S46" s="322"/>
      <c r="T46" s="322"/>
      <c r="U46" s="322"/>
      <c r="V46" s="322"/>
      <c r="W46" s="322"/>
      <c r="X46" s="322"/>
      <c r="Y46" s="322"/>
      <c r="Z46" s="322"/>
    </row>
    <row r="47" ht="12.75" customHeight="1">
      <c r="A47" s="322"/>
      <c r="E47" s="323"/>
      <c r="F47" s="324"/>
      <c r="G47" s="322"/>
      <c r="H47" s="957"/>
      <c r="I47" s="322"/>
      <c r="J47" s="322"/>
      <c r="K47" s="322"/>
      <c r="L47" s="322"/>
      <c r="M47" s="322"/>
      <c r="N47" s="322"/>
      <c r="O47" s="322"/>
      <c r="P47" s="322"/>
      <c r="Q47" s="322"/>
      <c r="R47" s="322"/>
      <c r="S47" s="322"/>
      <c r="T47" s="322"/>
      <c r="U47" s="322"/>
      <c r="V47" s="322"/>
      <c r="W47" s="322"/>
      <c r="X47" s="322"/>
      <c r="Y47" s="322"/>
      <c r="Z47" s="322"/>
    </row>
    <row r="48" ht="12.75" customHeight="1">
      <c r="A48" s="322"/>
      <c r="B48" s="326" t="s">
        <v>299</v>
      </c>
      <c r="C48" s="397" t="s">
        <v>300</v>
      </c>
      <c r="D48" s="420" t="s">
        <v>301</v>
      </c>
      <c r="E48" s="397" t="s">
        <v>302</v>
      </c>
      <c r="F48" s="397" t="s">
        <v>348</v>
      </c>
      <c r="G48" s="322"/>
      <c r="H48" s="322"/>
      <c r="I48" s="322"/>
      <c r="J48" s="322"/>
      <c r="K48" s="322"/>
      <c r="L48" s="322"/>
      <c r="M48" s="322"/>
      <c r="N48" s="322"/>
      <c r="O48" s="322"/>
      <c r="P48" s="322"/>
      <c r="Q48" s="322"/>
      <c r="R48" s="322"/>
      <c r="S48" s="322"/>
      <c r="T48" s="322"/>
      <c r="U48" s="322"/>
      <c r="V48" s="322"/>
      <c r="W48" s="322"/>
      <c r="X48" s="322"/>
      <c r="Y48" s="322"/>
      <c r="Z48" s="322"/>
    </row>
    <row r="49" ht="12.75" customHeight="1">
      <c r="A49" s="322"/>
      <c r="B49" s="326" t="str">
        <f t="array" ref="B49">INDEX('Debt - v2'!$B$8:$E$17, MATCH(MAX('Debt - v2'!$D$8:$D$17),'Debt - v2'!$D$8:$D$17, 0), 1)</f>
        <v>Capital One-2</v>
      </c>
      <c r="C49" s="397">
        <f t="array" ref="C49">INDEX('Debt - v2'!$B$8:$E$17, MATCH(MAX('Debt - v2'!$D$8:$D$17),'Debt - v2'!$D$8:$D$17, 0), 2)</f>
        <v>0</v>
      </c>
      <c r="D49" s="420">
        <f t="array" ref="D49">INDEX('Debt - v2'!$B$8:$E$17, MATCH(MAX('Debt - v2'!$D$8:$D$17),'Debt - v2'!$D$8:$D$17, 0), 3)</f>
        <v>0.2599</v>
      </c>
      <c r="E49" s="397">
        <f t="array" ref="E49">INDEX('Debt - v2'!$B$8:$E$17, MATCH(MAX('Debt - v2'!$D$8:$D$17),'Debt - v2'!$D$8:$D$17, 0), 4)</f>
        <v>200</v>
      </c>
      <c r="F49" s="397">
        <f t="array" ref="F49">INDEX('Debt - v2'!$B$8:$E$17,MATCH(MAX('Debt - v2'!$D$8:$D$17),'Debt - v2'!$D$8:$D$17,0),4)+$C$39</f>
        <v>416</v>
      </c>
      <c r="G49" s="322"/>
      <c r="H49" s="322"/>
      <c r="I49" s="322"/>
      <c r="J49" s="322"/>
      <c r="K49" s="322"/>
      <c r="L49" s="322"/>
      <c r="M49" s="322"/>
      <c r="N49" s="322"/>
      <c r="O49" s="322"/>
      <c r="P49" s="322"/>
      <c r="Q49" s="322"/>
      <c r="R49" s="322"/>
      <c r="S49" s="322"/>
      <c r="T49" s="322"/>
      <c r="U49" s="322"/>
      <c r="V49" s="322"/>
      <c r="W49" s="322"/>
      <c r="X49" s="322"/>
      <c r="Y49" s="322"/>
      <c r="Z49" s="322"/>
    </row>
    <row r="50" ht="12.75" customHeight="1">
      <c r="A50" s="322"/>
      <c r="B50" s="326"/>
      <c r="C50" s="397"/>
      <c r="D50" s="420"/>
      <c r="E50" s="397"/>
      <c r="F50" s="397"/>
      <c r="G50" s="322"/>
      <c r="H50" s="322"/>
      <c r="I50" s="322"/>
      <c r="J50" s="322"/>
      <c r="K50" s="322"/>
      <c r="L50" s="322"/>
      <c r="M50" s="322"/>
      <c r="N50" s="322"/>
      <c r="O50" s="322"/>
      <c r="P50" s="322"/>
      <c r="Q50" s="322"/>
      <c r="R50" s="322"/>
      <c r="S50" s="322"/>
      <c r="T50" s="322"/>
      <c r="U50" s="322"/>
      <c r="V50" s="322"/>
      <c r="W50" s="322"/>
      <c r="X50" s="322"/>
      <c r="Y50" s="322"/>
      <c r="Z50" s="322"/>
    </row>
    <row r="51" ht="12.75" customHeight="1">
      <c r="A51" s="322"/>
      <c r="B51" s="381" t="s">
        <v>349</v>
      </c>
      <c r="C51" s="422"/>
      <c r="D51" s="422"/>
      <c r="E51" s="397"/>
      <c r="F51" s="420"/>
      <c r="G51" s="322"/>
      <c r="H51" s="322"/>
      <c r="I51" s="322"/>
      <c r="J51" s="322"/>
      <c r="K51" s="322"/>
      <c r="L51" s="322"/>
      <c r="M51" s="322"/>
      <c r="N51" s="322"/>
      <c r="O51" s="322"/>
      <c r="P51" s="322"/>
      <c r="Q51" s="322"/>
      <c r="R51" s="322"/>
      <c r="S51" s="322"/>
      <c r="T51" s="322"/>
      <c r="U51" s="322"/>
      <c r="V51" s="322"/>
      <c r="W51" s="322"/>
      <c r="X51" s="322"/>
      <c r="Y51" s="322"/>
      <c r="Z51" s="322"/>
    </row>
    <row r="52" ht="12.75" customHeight="1">
      <c r="A52" s="322"/>
      <c r="C52" s="422"/>
      <c r="D52" s="422"/>
      <c r="E52" s="397"/>
      <c r="F52" s="420"/>
      <c r="G52" s="322"/>
      <c r="H52" s="322"/>
      <c r="I52" s="322"/>
      <c r="J52" s="322"/>
      <c r="K52" s="322"/>
      <c r="L52" s="322"/>
      <c r="M52" s="322"/>
      <c r="N52" s="322"/>
      <c r="O52" s="322"/>
      <c r="P52" s="322"/>
      <c r="Q52" s="322"/>
      <c r="R52" s="322"/>
      <c r="S52" s="322"/>
      <c r="T52" s="322"/>
      <c r="U52" s="322"/>
      <c r="V52" s="322"/>
      <c r="W52" s="322"/>
      <c r="X52" s="322"/>
      <c r="Y52" s="322"/>
      <c r="Z52" s="322"/>
    </row>
    <row r="53" ht="12.75" customHeight="1">
      <c r="A53" s="322"/>
      <c r="B53" s="326" t="s">
        <v>299</v>
      </c>
      <c r="C53" s="397" t="s">
        <v>300</v>
      </c>
      <c r="D53" s="420" t="s">
        <v>301</v>
      </c>
      <c r="E53" s="397" t="s">
        <v>302</v>
      </c>
      <c r="F53" s="397" t="s">
        <v>348</v>
      </c>
      <c r="G53" s="322"/>
      <c r="H53" s="322"/>
      <c r="I53" s="322"/>
      <c r="J53" s="322"/>
      <c r="K53" s="322"/>
      <c r="L53" s="322"/>
      <c r="M53" s="322"/>
      <c r="N53" s="322"/>
      <c r="O53" s="322"/>
      <c r="P53" s="322"/>
      <c r="Q53" s="322"/>
      <c r="R53" s="322"/>
      <c r="S53" s="322"/>
      <c r="T53" s="322"/>
      <c r="U53" s="322"/>
      <c r="V53" s="322"/>
      <c r="W53" s="322"/>
      <c r="X53" s="322"/>
      <c r="Y53" s="322"/>
      <c r="Z53" s="322"/>
    </row>
    <row r="54" ht="12.75" customHeight="1">
      <c r="A54" s="322"/>
      <c r="B54" s="326" t="str">
        <f t="array" ref="B54">INDEX('Debt - v2'!$B$8:$E$17, MATCH(MIN('Debt - v2'!$C$8:$C$17),'Debt - v2'!$C$8:$C$17, 0), 1)</f>
        <v>Capital One-2</v>
      </c>
      <c r="C54" s="397">
        <f t="array" ref="C54">INDEX('Debt - v2'!$B$8:$E$17, MATCH(MIN('Debt - v2'!$C$8:$C$17),'Debt - v2'!$C$8:$C$17, 0), 2)</f>
        <v>0</v>
      </c>
      <c r="D54" s="420">
        <f t="array" ref="D54">INDEX('Debt - v2'!$B$8:$E$17, MATCH(MIN('Debt - v2'!$C$8:$C$17),'Debt - v2'!$C$8:$C$17, 0), 3)</f>
        <v>0.2599</v>
      </c>
      <c r="E54" s="397">
        <f t="array" ref="E54">INDEX('Debt - v2'!$B$8:$E$17, MATCH(MIN('Debt - v2'!$C$8:$C$17),'Debt - v2'!$C$8:$C$17, 0), 4)</f>
        <v>200</v>
      </c>
      <c r="F54" s="397">
        <f t="array" ref="F54">INDEX('Debt - v2'!$B$8:$E$17, MATCH(MIN('Debt - v2'!$C$8:$C$17),'Debt - v2'!$C$8:$C$17, 0), 4) + $C$39</f>
        <v>416</v>
      </c>
      <c r="G54" s="322"/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T54" s="322"/>
      <c r="U54" s="322"/>
      <c r="V54" s="322"/>
      <c r="W54" s="322"/>
      <c r="X54" s="322"/>
      <c r="Y54" s="322"/>
      <c r="Z54" s="322"/>
    </row>
    <row r="55" ht="12.75" customHeight="1">
      <c r="A55" s="322"/>
      <c r="B55" s="322"/>
      <c r="C55" s="323"/>
      <c r="D55" s="324"/>
      <c r="E55" s="323"/>
      <c r="F55" s="324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2"/>
      <c r="Y55" s="322"/>
      <c r="Z55" s="322"/>
    </row>
    <row r="56" ht="12.75" customHeight="1">
      <c r="A56" s="322"/>
      <c r="B56" s="322"/>
      <c r="C56" s="323"/>
      <c r="D56" s="324"/>
      <c r="E56" s="323"/>
      <c r="F56" s="324"/>
      <c r="G56" s="322"/>
      <c r="H56" s="322"/>
      <c r="I56" s="322"/>
      <c r="J56" s="322"/>
      <c r="K56" s="322"/>
      <c r="L56" s="322"/>
      <c r="M56" s="322"/>
      <c r="N56" s="322"/>
      <c r="O56" s="322"/>
      <c r="P56" s="322"/>
      <c r="Q56" s="322"/>
      <c r="R56" s="322"/>
      <c r="S56" s="322"/>
      <c r="T56" s="322"/>
      <c r="U56" s="322"/>
      <c r="V56" s="322"/>
      <c r="W56" s="322"/>
      <c r="X56" s="322"/>
      <c r="Y56" s="322"/>
      <c r="Z56" s="322"/>
    </row>
    <row r="57" ht="12.75" customHeight="1">
      <c r="A57" s="322"/>
      <c r="B57" s="322"/>
      <c r="C57" s="323"/>
      <c r="D57" s="324"/>
      <c r="E57" s="323"/>
      <c r="F57" s="324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</row>
    <row r="58" ht="12.75" customHeight="1">
      <c r="A58" s="322"/>
      <c r="H58" s="322"/>
      <c r="I58" s="322"/>
      <c r="J58" s="322"/>
      <c r="K58" s="322"/>
      <c r="L58" s="322"/>
      <c r="M58" s="322"/>
      <c r="N58" s="322"/>
      <c r="O58" s="322"/>
      <c r="P58" s="322"/>
      <c r="Q58" s="322"/>
      <c r="R58" s="322"/>
      <c r="S58" s="322"/>
      <c r="T58" s="322"/>
      <c r="U58" s="322"/>
      <c r="V58" s="322"/>
      <c r="W58" s="322"/>
      <c r="X58" s="322"/>
      <c r="Y58" s="322"/>
      <c r="Z58" s="322"/>
    </row>
    <row r="59" ht="12.75" customHeight="1">
      <c r="A59" s="322"/>
      <c r="H59" s="322"/>
      <c r="I59" s="322"/>
      <c r="J59" s="322"/>
      <c r="K59" s="322"/>
      <c r="L59" s="322"/>
      <c r="M59" s="322"/>
      <c r="N59" s="322"/>
      <c r="O59" s="322"/>
      <c r="P59" s="322"/>
      <c r="Q59" s="322"/>
      <c r="R59" s="322"/>
      <c r="S59" s="322"/>
      <c r="T59" s="322"/>
      <c r="U59" s="322"/>
      <c r="V59" s="322"/>
      <c r="W59" s="322"/>
      <c r="X59" s="322"/>
      <c r="Y59" s="322"/>
      <c r="Z59" s="322"/>
    </row>
    <row r="60" ht="12.75" customHeight="1">
      <c r="A60" s="322"/>
      <c r="H60" s="322"/>
      <c r="I60" s="322"/>
      <c r="J60" s="322"/>
      <c r="K60" s="322"/>
      <c r="L60" s="322"/>
      <c r="M60" s="322"/>
      <c r="N60" s="322"/>
      <c r="O60" s="322"/>
      <c r="P60" s="322"/>
      <c r="Q60" s="322"/>
      <c r="R60" s="322"/>
      <c r="S60" s="322"/>
      <c r="T60" s="322"/>
      <c r="U60" s="322"/>
      <c r="V60" s="322"/>
      <c r="W60" s="322"/>
      <c r="X60" s="322"/>
      <c r="Y60" s="322"/>
      <c r="Z60" s="322"/>
    </row>
    <row r="61" ht="12.75" customHeight="1">
      <c r="A61" s="322"/>
      <c r="H61" s="322"/>
      <c r="I61" s="322"/>
      <c r="J61" s="322"/>
      <c r="K61" s="322"/>
      <c r="L61" s="322"/>
      <c r="M61" s="322"/>
      <c r="N61" s="322"/>
      <c r="O61" s="322"/>
      <c r="P61" s="322"/>
      <c r="Q61" s="322"/>
      <c r="R61" s="322"/>
      <c r="S61" s="322"/>
      <c r="T61" s="322"/>
      <c r="U61" s="322"/>
      <c r="V61" s="322"/>
      <c r="W61" s="322"/>
      <c r="X61" s="322"/>
      <c r="Y61" s="322"/>
      <c r="Z61" s="322"/>
    </row>
    <row r="62" ht="12.75" customHeight="1">
      <c r="A62" s="322"/>
      <c r="H62" s="322"/>
      <c r="I62" s="322"/>
      <c r="J62" s="322"/>
      <c r="K62" s="322"/>
      <c r="L62" s="322"/>
      <c r="M62" s="322"/>
      <c r="N62" s="322"/>
      <c r="O62" s="322"/>
      <c r="P62" s="322"/>
      <c r="Q62" s="322"/>
      <c r="R62" s="322"/>
      <c r="S62" s="322"/>
      <c r="T62" s="322"/>
      <c r="U62" s="322"/>
      <c r="V62" s="322"/>
      <c r="W62" s="322"/>
      <c r="X62" s="322"/>
      <c r="Y62" s="322"/>
      <c r="Z62" s="322"/>
    </row>
    <row r="63" ht="12.75" customHeight="1">
      <c r="A63" s="322"/>
      <c r="H63" s="322"/>
      <c r="I63" s="322"/>
      <c r="J63" s="322"/>
      <c r="K63" s="322"/>
      <c r="L63" s="322"/>
      <c r="M63" s="322"/>
      <c r="N63" s="322"/>
      <c r="O63" s="322"/>
      <c r="P63" s="322"/>
      <c r="Q63" s="322"/>
      <c r="R63" s="322"/>
      <c r="S63" s="322"/>
      <c r="T63" s="322"/>
      <c r="U63" s="322"/>
      <c r="V63" s="322"/>
      <c r="W63" s="322"/>
      <c r="X63" s="322"/>
      <c r="Y63" s="322"/>
      <c r="Z63" s="322"/>
    </row>
    <row r="64" ht="12.75" customHeight="1">
      <c r="A64" s="322"/>
      <c r="H64" s="322"/>
      <c r="I64" s="322"/>
      <c r="J64" s="322"/>
      <c r="K64" s="322"/>
      <c r="L64" s="322"/>
      <c r="M64" s="322"/>
      <c r="N64" s="322"/>
      <c r="O64" s="322"/>
      <c r="P64" s="322"/>
      <c r="Q64" s="322"/>
      <c r="R64" s="322"/>
      <c r="S64" s="322"/>
      <c r="T64" s="322"/>
      <c r="U64" s="322"/>
      <c r="V64" s="322"/>
      <c r="W64" s="322"/>
      <c r="X64" s="322"/>
      <c r="Y64" s="322"/>
      <c r="Z64" s="322"/>
    </row>
    <row r="65" ht="12.75" customHeight="1">
      <c r="A65" s="322"/>
      <c r="H65" s="322"/>
      <c r="I65" s="322"/>
      <c r="J65" s="322"/>
      <c r="K65" s="322"/>
      <c r="L65" s="322"/>
      <c r="M65" s="322"/>
      <c r="N65" s="322"/>
      <c r="O65" s="322"/>
      <c r="P65" s="322"/>
      <c r="Q65" s="322"/>
      <c r="R65" s="322"/>
      <c r="S65" s="322"/>
      <c r="T65" s="322"/>
      <c r="U65" s="322"/>
      <c r="V65" s="322"/>
      <c r="W65" s="322"/>
      <c r="X65" s="322"/>
      <c r="Y65" s="322"/>
      <c r="Z65" s="322"/>
    </row>
    <row r="66" ht="12.75" customHeight="1">
      <c r="A66" s="322"/>
      <c r="H66" s="322"/>
      <c r="I66" s="322"/>
      <c r="J66" s="322"/>
      <c r="K66" s="322"/>
      <c r="L66" s="322"/>
      <c r="M66" s="322"/>
      <c r="N66" s="322"/>
      <c r="O66" s="322"/>
      <c r="P66" s="322"/>
      <c r="Q66" s="322"/>
      <c r="R66" s="322"/>
      <c r="S66" s="322"/>
      <c r="T66" s="322"/>
      <c r="U66" s="322"/>
      <c r="V66" s="322"/>
      <c r="W66" s="322"/>
      <c r="X66" s="322"/>
      <c r="Y66" s="322"/>
      <c r="Z66" s="322"/>
    </row>
    <row r="67" ht="12.75" customHeight="1">
      <c r="A67" s="322"/>
      <c r="H67" s="322"/>
      <c r="I67" s="322"/>
      <c r="J67" s="322"/>
      <c r="K67" s="322"/>
      <c r="L67" s="322"/>
      <c r="M67" s="322"/>
      <c r="N67" s="322"/>
      <c r="O67" s="322"/>
      <c r="P67" s="322"/>
      <c r="Q67" s="322"/>
      <c r="R67" s="322"/>
      <c r="S67" s="322"/>
      <c r="T67" s="322"/>
      <c r="U67" s="322"/>
      <c r="V67" s="322"/>
      <c r="W67" s="322"/>
      <c r="X67" s="322"/>
      <c r="Y67" s="322"/>
      <c r="Z67" s="322"/>
    </row>
    <row r="68" ht="12.75" customHeight="1">
      <c r="A68" s="322"/>
      <c r="H68" s="322"/>
      <c r="I68" s="322"/>
      <c r="J68" s="322"/>
      <c r="K68" s="322"/>
      <c r="L68" s="322"/>
      <c r="M68" s="322"/>
      <c r="N68" s="322"/>
      <c r="O68" s="322"/>
      <c r="P68" s="322"/>
      <c r="Q68" s="322"/>
      <c r="R68" s="322"/>
      <c r="S68" s="322"/>
      <c r="T68" s="322"/>
      <c r="U68" s="322"/>
      <c r="V68" s="322"/>
      <c r="W68" s="322"/>
      <c r="X68" s="322"/>
      <c r="Y68" s="322"/>
      <c r="Z68" s="322"/>
    </row>
    <row r="69" ht="12.75" customHeight="1">
      <c r="A69" s="323"/>
      <c r="H69" s="323"/>
      <c r="I69" s="323"/>
      <c r="J69" s="323"/>
      <c r="K69" s="323"/>
      <c r="L69" s="323"/>
      <c r="M69" s="323"/>
      <c r="N69" s="323"/>
      <c r="O69" s="323"/>
      <c r="P69" s="323"/>
      <c r="Q69" s="323"/>
      <c r="R69" s="323"/>
      <c r="S69" s="323"/>
      <c r="T69" s="323"/>
      <c r="U69" s="323"/>
      <c r="V69" s="323"/>
      <c r="W69" s="323"/>
      <c r="X69" s="323"/>
      <c r="Y69" s="323"/>
      <c r="Z69" s="323"/>
    </row>
    <row r="70" ht="12.75" customHeight="1">
      <c r="A70" s="323"/>
      <c r="H70" s="323"/>
      <c r="I70" s="323"/>
      <c r="J70" s="323"/>
      <c r="K70" s="323"/>
      <c r="L70" s="323"/>
      <c r="M70" s="323"/>
      <c r="N70" s="323"/>
      <c r="O70" s="323"/>
      <c r="P70" s="323"/>
      <c r="Q70" s="323"/>
      <c r="R70" s="323"/>
      <c r="S70" s="323"/>
      <c r="T70" s="323"/>
      <c r="U70" s="323"/>
      <c r="V70" s="323"/>
      <c r="W70" s="323"/>
      <c r="X70" s="323"/>
      <c r="Y70" s="323"/>
      <c r="Z70" s="323"/>
    </row>
    <row r="71" ht="12.75" customHeight="1">
      <c r="A71" s="322"/>
      <c r="H71" s="322"/>
      <c r="I71" s="322"/>
      <c r="J71" s="322"/>
      <c r="K71" s="322"/>
      <c r="L71" s="322"/>
      <c r="M71" s="322"/>
      <c r="N71" s="322"/>
      <c r="O71" s="322"/>
      <c r="P71" s="322"/>
      <c r="Q71" s="322"/>
      <c r="R71" s="322"/>
      <c r="S71" s="322"/>
      <c r="T71" s="322"/>
      <c r="U71" s="322"/>
      <c r="V71" s="322"/>
      <c r="W71" s="322"/>
      <c r="X71" s="322"/>
      <c r="Y71" s="322"/>
      <c r="Z71" s="322"/>
    </row>
    <row r="72" ht="12.75" customHeight="1">
      <c r="A72" s="322"/>
      <c r="H72" s="322"/>
      <c r="I72" s="322"/>
      <c r="J72" s="322"/>
      <c r="K72" s="322"/>
      <c r="L72" s="322"/>
      <c r="M72" s="322"/>
      <c r="N72" s="322"/>
      <c r="O72" s="322"/>
      <c r="P72" s="322"/>
      <c r="Q72" s="322"/>
      <c r="R72" s="322"/>
      <c r="S72" s="322"/>
      <c r="T72" s="322"/>
      <c r="U72" s="322"/>
      <c r="V72" s="322"/>
      <c r="W72" s="322"/>
      <c r="X72" s="322"/>
      <c r="Y72" s="322"/>
      <c r="Z72" s="322"/>
    </row>
    <row r="73" ht="4.5" customHeight="1">
      <c r="A73" s="322"/>
      <c r="H73" s="322"/>
      <c r="I73" s="322"/>
      <c r="J73" s="322"/>
      <c r="K73" s="322"/>
      <c r="L73" s="322"/>
      <c r="M73" s="322"/>
      <c r="N73" s="322"/>
      <c r="O73" s="322"/>
      <c r="P73" s="322"/>
      <c r="Q73" s="322"/>
      <c r="R73" s="322"/>
      <c r="S73" s="322"/>
      <c r="T73" s="322"/>
      <c r="U73" s="322"/>
      <c r="V73" s="322"/>
      <c r="W73" s="322"/>
      <c r="X73" s="322"/>
      <c r="Y73" s="322"/>
      <c r="Z73" s="322"/>
    </row>
    <row r="74" ht="12.75" customHeight="1">
      <c r="A74" s="322"/>
      <c r="H74" s="322"/>
      <c r="I74" s="322"/>
      <c r="J74" s="322"/>
      <c r="K74" s="322"/>
      <c r="L74" s="322"/>
      <c r="M74" s="322"/>
      <c r="N74" s="322"/>
      <c r="O74" s="322"/>
      <c r="P74" s="322"/>
      <c r="Q74" s="322"/>
      <c r="R74" s="322"/>
      <c r="S74" s="322"/>
      <c r="T74" s="322"/>
      <c r="U74" s="322"/>
      <c r="V74" s="322"/>
      <c r="W74" s="322"/>
      <c r="X74" s="322"/>
      <c r="Y74" s="322"/>
      <c r="Z74" s="322"/>
    </row>
    <row r="75" ht="12.75" customHeight="1">
      <c r="A75" s="322"/>
      <c r="H75" s="322"/>
      <c r="I75" s="322"/>
      <c r="J75" s="322"/>
      <c r="K75" s="322"/>
      <c r="L75" s="322"/>
      <c r="M75" s="322"/>
      <c r="N75" s="322"/>
      <c r="O75" s="322"/>
      <c r="P75" s="322"/>
      <c r="Q75" s="322"/>
      <c r="R75" s="322"/>
      <c r="S75" s="322"/>
      <c r="T75" s="322"/>
      <c r="U75" s="322"/>
      <c r="V75" s="322"/>
      <c r="W75" s="322"/>
      <c r="X75" s="322"/>
      <c r="Y75" s="322"/>
      <c r="Z75" s="322"/>
    </row>
    <row r="76" ht="12.75" customHeight="1">
      <c r="A76" s="322"/>
      <c r="H76" s="322"/>
      <c r="I76" s="322"/>
      <c r="J76" s="322"/>
      <c r="K76" s="322"/>
      <c r="L76" s="322"/>
      <c r="M76" s="322"/>
      <c r="N76" s="322"/>
      <c r="O76" s="322"/>
      <c r="P76" s="322"/>
      <c r="Q76" s="322"/>
      <c r="R76" s="322"/>
      <c r="S76" s="322"/>
      <c r="T76" s="322"/>
      <c r="U76" s="322"/>
      <c r="V76" s="322"/>
      <c r="W76" s="322"/>
      <c r="X76" s="322"/>
      <c r="Y76" s="322"/>
      <c r="Z76" s="322"/>
    </row>
    <row r="77" ht="12.75" customHeight="1">
      <c r="A77" s="322"/>
      <c r="H77" s="322"/>
      <c r="I77" s="322"/>
      <c r="J77" s="322"/>
      <c r="K77" s="322"/>
      <c r="L77" s="322"/>
      <c r="M77" s="322"/>
      <c r="N77" s="322"/>
      <c r="O77" s="322"/>
      <c r="P77" s="322"/>
      <c r="Q77" s="322"/>
      <c r="R77" s="322"/>
      <c r="S77" s="322"/>
      <c r="T77" s="322"/>
      <c r="U77" s="322"/>
      <c r="V77" s="322"/>
      <c r="W77" s="322"/>
      <c r="X77" s="322"/>
      <c r="Y77" s="322"/>
      <c r="Z77" s="322"/>
    </row>
    <row r="78" ht="4.5" customHeight="1">
      <c r="A78" s="322"/>
      <c r="H78" s="322"/>
      <c r="I78" s="322"/>
      <c r="J78" s="322"/>
      <c r="K78" s="322"/>
      <c r="L78" s="322"/>
      <c r="M78" s="322"/>
      <c r="N78" s="322"/>
      <c r="O78" s="322"/>
      <c r="P78" s="322"/>
      <c r="Q78" s="322"/>
      <c r="R78" s="322"/>
      <c r="S78" s="322"/>
      <c r="T78" s="322"/>
      <c r="U78" s="322"/>
      <c r="V78" s="322"/>
      <c r="W78" s="322"/>
      <c r="X78" s="322"/>
      <c r="Y78" s="322"/>
      <c r="Z78" s="322"/>
    </row>
    <row r="79" ht="12.75" customHeight="1">
      <c r="A79" s="322"/>
      <c r="H79" s="322"/>
      <c r="I79" s="322"/>
      <c r="J79" s="322"/>
      <c r="K79" s="322"/>
      <c r="L79" s="322"/>
      <c r="M79" s="322"/>
      <c r="N79" s="322"/>
      <c r="O79" s="322"/>
      <c r="P79" s="322"/>
      <c r="Q79" s="322"/>
      <c r="R79" s="322"/>
      <c r="S79" s="322"/>
      <c r="T79" s="322"/>
      <c r="U79" s="322"/>
      <c r="V79" s="322"/>
      <c r="W79" s="322"/>
      <c r="X79" s="322"/>
      <c r="Y79" s="322"/>
      <c r="Z79" s="322"/>
    </row>
    <row r="80" ht="12.75" customHeight="1">
      <c r="A80" s="322"/>
      <c r="H80" s="322"/>
      <c r="I80" s="322"/>
      <c r="J80" s="322"/>
      <c r="K80" s="322"/>
      <c r="L80" s="322"/>
      <c r="M80" s="322"/>
      <c r="N80" s="322"/>
      <c r="O80" s="322"/>
      <c r="P80" s="322"/>
      <c r="Q80" s="322"/>
      <c r="R80" s="322"/>
      <c r="S80" s="322"/>
      <c r="T80" s="322"/>
      <c r="U80" s="322"/>
      <c r="V80" s="322"/>
      <c r="W80" s="322"/>
      <c r="X80" s="322"/>
      <c r="Y80" s="322"/>
      <c r="Z80" s="322"/>
    </row>
    <row r="81" ht="12.75" customHeight="1">
      <c r="A81" s="322"/>
      <c r="H81" s="322"/>
      <c r="I81" s="322"/>
      <c r="J81" s="322"/>
      <c r="K81" s="322"/>
      <c r="L81" s="322"/>
      <c r="M81" s="322"/>
      <c r="N81" s="322"/>
      <c r="O81" s="322"/>
      <c r="P81" s="322"/>
      <c r="Q81" s="322"/>
      <c r="R81" s="322"/>
      <c r="S81" s="322"/>
      <c r="T81" s="322"/>
      <c r="U81" s="322"/>
      <c r="V81" s="322"/>
      <c r="W81" s="322"/>
      <c r="X81" s="322"/>
      <c r="Y81" s="322"/>
      <c r="Z81" s="322"/>
    </row>
    <row r="82" ht="12.75" customHeight="1">
      <c r="A82" s="322"/>
      <c r="H82" s="322"/>
      <c r="I82" s="322"/>
      <c r="J82" s="322"/>
      <c r="K82" s="322"/>
      <c r="L82" s="322"/>
      <c r="M82" s="322"/>
      <c r="N82" s="322"/>
      <c r="O82" s="322"/>
      <c r="P82" s="322"/>
      <c r="Q82" s="322"/>
      <c r="R82" s="322"/>
      <c r="S82" s="322"/>
      <c r="T82" s="322"/>
      <c r="U82" s="322"/>
      <c r="V82" s="322"/>
      <c r="W82" s="322"/>
      <c r="X82" s="322"/>
      <c r="Y82" s="322"/>
      <c r="Z82" s="322"/>
    </row>
    <row r="83" ht="12.75" customHeight="1">
      <c r="A83" s="322"/>
      <c r="B83" s="322"/>
      <c r="C83" s="323"/>
      <c r="D83" s="324"/>
      <c r="E83" s="323"/>
      <c r="F83" s="324"/>
      <c r="G83" s="322"/>
      <c r="H83" s="322"/>
      <c r="I83" s="322"/>
      <c r="J83" s="322"/>
      <c r="K83" s="322"/>
      <c r="L83" s="322"/>
      <c r="M83" s="322"/>
      <c r="N83" s="322"/>
      <c r="O83" s="322"/>
      <c r="P83" s="322"/>
      <c r="Q83" s="322"/>
      <c r="R83" s="322"/>
      <c r="S83" s="322"/>
      <c r="T83" s="322"/>
      <c r="U83" s="322"/>
      <c r="V83" s="322"/>
      <c r="W83" s="322"/>
      <c r="X83" s="322"/>
      <c r="Y83" s="322"/>
      <c r="Z83" s="322"/>
    </row>
    <row r="84" ht="12.75" customHeight="1">
      <c r="A84" s="322"/>
      <c r="B84" s="322"/>
      <c r="C84" s="323"/>
      <c r="D84" s="324"/>
      <c r="E84" s="323"/>
      <c r="F84" s="324"/>
      <c r="G84" s="322"/>
      <c r="H84" s="322"/>
      <c r="I84" s="322"/>
      <c r="J84" s="322"/>
      <c r="K84" s="322"/>
      <c r="L84" s="322"/>
      <c r="M84" s="322"/>
      <c r="N84" s="322"/>
      <c r="O84" s="322"/>
      <c r="P84" s="322"/>
      <c r="Q84" s="322"/>
      <c r="R84" s="322"/>
      <c r="S84" s="322"/>
      <c r="T84" s="322"/>
      <c r="U84" s="322"/>
      <c r="V84" s="322"/>
      <c r="W84" s="322"/>
      <c r="X84" s="322"/>
      <c r="Y84" s="322"/>
      <c r="Z84" s="322"/>
    </row>
    <row r="85" ht="12.75" customHeight="1">
      <c r="A85" s="322"/>
      <c r="B85" s="322"/>
      <c r="C85" s="323"/>
      <c r="D85" s="324"/>
      <c r="E85" s="323"/>
      <c r="F85" s="324"/>
      <c r="G85" s="322"/>
      <c r="H85" s="322"/>
      <c r="I85" s="322"/>
      <c r="J85" s="322"/>
      <c r="K85" s="322"/>
      <c r="L85" s="322"/>
      <c r="M85" s="322"/>
      <c r="N85" s="322"/>
      <c r="O85" s="322"/>
      <c r="P85" s="322"/>
      <c r="Q85" s="322"/>
      <c r="R85" s="322"/>
      <c r="S85" s="322"/>
      <c r="T85" s="322"/>
      <c r="U85" s="322"/>
      <c r="V85" s="322"/>
      <c r="W85" s="322"/>
      <c r="X85" s="322"/>
      <c r="Y85" s="322"/>
      <c r="Z85" s="322"/>
    </row>
    <row r="86" ht="12.75" customHeight="1">
      <c r="A86" s="322"/>
      <c r="B86" s="322"/>
      <c r="C86" s="323"/>
      <c r="D86" s="324"/>
      <c r="E86" s="323"/>
      <c r="F86" s="324"/>
      <c r="G86" s="322"/>
      <c r="H86" s="322"/>
      <c r="I86" s="322"/>
      <c r="J86" s="322"/>
      <c r="K86" s="322"/>
      <c r="L86" s="322"/>
      <c r="M86" s="322"/>
      <c r="N86" s="322"/>
      <c r="O86" s="322"/>
      <c r="P86" s="322"/>
      <c r="Q86" s="322"/>
      <c r="R86" s="322"/>
      <c r="S86" s="322"/>
      <c r="T86" s="322"/>
      <c r="U86" s="322"/>
      <c r="V86" s="322"/>
      <c r="W86" s="322"/>
      <c r="X86" s="322"/>
      <c r="Y86" s="322"/>
      <c r="Z86" s="322"/>
    </row>
    <row r="87" ht="12.75" customHeight="1">
      <c r="A87" s="322"/>
      <c r="B87" s="322"/>
      <c r="C87" s="323"/>
      <c r="D87" s="324"/>
      <c r="E87" s="323"/>
      <c r="F87" s="324"/>
      <c r="G87" s="322"/>
      <c r="H87" s="322"/>
      <c r="I87" s="322"/>
      <c r="J87" s="322"/>
      <c r="K87" s="322"/>
      <c r="L87" s="322"/>
      <c r="M87" s="322"/>
      <c r="N87" s="322"/>
      <c r="O87" s="322"/>
      <c r="P87" s="322"/>
      <c r="Q87" s="322"/>
      <c r="R87" s="322"/>
      <c r="S87" s="322"/>
      <c r="T87" s="322"/>
      <c r="U87" s="322"/>
      <c r="V87" s="322"/>
      <c r="W87" s="322"/>
      <c r="X87" s="322"/>
      <c r="Y87" s="322"/>
      <c r="Z87" s="322"/>
    </row>
    <row r="88" ht="12.75" customHeight="1">
      <c r="A88" s="322"/>
      <c r="B88" s="322"/>
      <c r="C88" s="323"/>
      <c r="D88" s="324"/>
      <c r="E88" s="323"/>
      <c r="F88" s="324"/>
      <c r="G88" s="322"/>
      <c r="H88" s="322"/>
      <c r="I88" s="322"/>
      <c r="J88" s="322"/>
      <c r="K88" s="322"/>
      <c r="L88" s="322"/>
      <c r="M88" s="322"/>
      <c r="N88" s="322"/>
      <c r="O88" s="322"/>
      <c r="P88" s="322"/>
      <c r="Q88" s="322"/>
      <c r="R88" s="322"/>
      <c r="S88" s="322"/>
      <c r="T88" s="322"/>
      <c r="U88" s="322"/>
      <c r="V88" s="322"/>
      <c r="W88" s="322"/>
      <c r="X88" s="322"/>
      <c r="Y88" s="322"/>
      <c r="Z88" s="322"/>
    </row>
    <row r="89" ht="12.75" customHeight="1">
      <c r="A89" s="322"/>
      <c r="B89" s="322"/>
      <c r="C89" s="323"/>
      <c r="D89" s="324"/>
      <c r="E89" s="323"/>
      <c r="F89" s="324"/>
      <c r="G89" s="322"/>
      <c r="H89" s="322"/>
      <c r="I89" s="322"/>
      <c r="J89" s="322"/>
      <c r="K89" s="322"/>
      <c r="L89" s="322"/>
      <c r="M89" s="322"/>
      <c r="N89" s="322"/>
      <c r="O89" s="322"/>
      <c r="P89" s="322"/>
      <c r="Q89" s="322"/>
      <c r="R89" s="322"/>
      <c r="S89" s="322"/>
      <c r="T89" s="322"/>
      <c r="U89" s="322"/>
      <c r="V89" s="322"/>
      <c r="W89" s="322"/>
      <c r="X89" s="322"/>
      <c r="Y89" s="322"/>
      <c r="Z89" s="322"/>
    </row>
    <row r="90" ht="12.75" customHeight="1">
      <c r="A90" s="322"/>
      <c r="B90" s="322"/>
      <c r="C90" s="323"/>
      <c r="D90" s="324"/>
      <c r="E90" s="323"/>
      <c r="F90" s="324"/>
      <c r="G90" s="322"/>
      <c r="H90" s="322"/>
      <c r="I90" s="322"/>
      <c r="J90" s="322"/>
      <c r="K90" s="322"/>
      <c r="L90" s="322"/>
      <c r="M90" s="322"/>
      <c r="N90" s="322"/>
      <c r="O90" s="322"/>
      <c r="P90" s="322"/>
      <c r="Q90" s="322"/>
      <c r="R90" s="322"/>
      <c r="S90" s="322"/>
      <c r="T90" s="322"/>
      <c r="U90" s="322"/>
      <c r="V90" s="322"/>
      <c r="W90" s="322"/>
      <c r="X90" s="322"/>
      <c r="Y90" s="322"/>
      <c r="Z90" s="322"/>
    </row>
    <row r="91" ht="12.75" customHeight="1">
      <c r="A91" s="322"/>
      <c r="B91" s="322"/>
      <c r="C91" s="323"/>
      <c r="D91" s="324"/>
      <c r="E91" s="323"/>
      <c r="F91" s="324"/>
      <c r="G91" s="322"/>
      <c r="H91" s="322"/>
      <c r="I91" s="322"/>
      <c r="J91" s="322"/>
      <c r="K91" s="322"/>
      <c r="L91" s="322"/>
      <c r="M91" s="322"/>
      <c r="N91" s="322"/>
      <c r="O91" s="322"/>
      <c r="P91" s="322"/>
      <c r="Q91" s="322"/>
      <c r="R91" s="322"/>
      <c r="S91" s="322"/>
      <c r="T91" s="322"/>
      <c r="U91" s="322"/>
      <c r="V91" s="322"/>
      <c r="W91" s="322"/>
      <c r="X91" s="322"/>
      <c r="Y91" s="322"/>
      <c r="Z91" s="322"/>
    </row>
    <row r="92" ht="12.75" customHeight="1">
      <c r="A92" s="322"/>
      <c r="B92" s="322"/>
      <c r="C92" s="323"/>
      <c r="D92" s="324"/>
      <c r="E92" s="323"/>
      <c r="F92" s="324"/>
      <c r="G92" s="322"/>
      <c r="H92" s="322"/>
      <c r="I92" s="322"/>
      <c r="J92" s="322"/>
      <c r="K92" s="322"/>
      <c r="L92" s="322"/>
      <c r="M92" s="322"/>
      <c r="N92" s="322"/>
      <c r="O92" s="322"/>
      <c r="P92" s="322"/>
      <c r="Q92" s="322"/>
      <c r="R92" s="322"/>
      <c r="S92" s="322"/>
      <c r="T92" s="322"/>
      <c r="U92" s="322"/>
      <c r="V92" s="322"/>
      <c r="W92" s="322"/>
      <c r="X92" s="322"/>
      <c r="Y92" s="322"/>
      <c r="Z92" s="322"/>
    </row>
    <row r="93" ht="12.75" customHeight="1">
      <c r="A93" s="322"/>
      <c r="B93" s="322"/>
      <c r="C93" s="323"/>
      <c r="D93" s="324"/>
      <c r="E93" s="323"/>
      <c r="F93" s="324"/>
      <c r="G93" s="322"/>
      <c r="H93" s="322"/>
      <c r="I93" s="322"/>
      <c r="J93" s="322"/>
      <c r="K93" s="322"/>
      <c r="L93" s="322"/>
      <c r="M93" s="322"/>
      <c r="N93" s="322"/>
      <c r="O93" s="322"/>
      <c r="P93" s="322"/>
      <c r="Q93" s="322"/>
      <c r="R93" s="322"/>
      <c r="S93" s="322"/>
      <c r="T93" s="322"/>
      <c r="U93" s="322"/>
      <c r="V93" s="322"/>
      <c r="W93" s="322"/>
      <c r="X93" s="322"/>
      <c r="Y93" s="322"/>
      <c r="Z93" s="322"/>
    </row>
    <row r="94" ht="12.75" customHeight="1">
      <c r="A94" s="322"/>
      <c r="B94" s="322"/>
      <c r="C94" s="323"/>
      <c r="D94" s="324"/>
      <c r="E94" s="323"/>
      <c r="F94" s="324"/>
      <c r="G94" s="322"/>
      <c r="H94" s="322"/>
      <c r="I94" s="322"/>
      <c r="J94" s="322"/>
      <c r="K94" s="322"/>
      <c r="L94" s="322"/>
      <c r="M94" s="322"/>
      <c r="N94" s="322"/>
      <c r="O94" s="322"/>
      <c r="P94" s="322"/>
      <c r="Q94" s="322"/>
      <c r="R94" s="322"/>
      <c r="S94" s="322"/>
      <c r="T94" s="322"/>
      <c r="U94" s="322"/>
      <c r="V94" s="322"/>
      <c r="W94" s="322"/>
      <c r="X94" s="322"/>
      <c r="Y94" s="322"/>
      <c r="Z94" s="322"/>
    </row>
    <row r="95" ht="12.75" customHeight="1">
      <c r="A95" s="322"/>
      <c r="B95" s="322"/>
      <c r="C95" s="323"/>
      <c r="D95" s="324"/>
      <c r="E95" s="323"/>
      <c r="F95" s="324"/>
      <c r="G95" s="322"/>
      <c r="H95" s="322"/>
      <c r="I95" s="322"/>
      <c r="J95" s="322"/>
      <c r="K95" s="322"/>
      <c r="L95" s="322"/>
      <c r="M95" s="322"/>
      <c r="N95" s="322"/>
      <c r="O95" s="322"/>
      <c r="P95" s="322"/>
      <c r="Q95" s="322"/>
      <c r="R95" s="322"/>
      <c r="S95" s="322"/>
      <c r="T95" s="322"/>
      <c r="U95" s="322"/>
      <c r="V95" s="322"/>
      <c r="W95" s="322"/>
      <c r="X95" s="322"/>
      <c r="Y95" s="322"/>
      <c r="Z95" s="322"/>
    </row>
    <row r="96" ht="12.75" customHeight="1">
      <c r="A96" s="322"/>
      <c r="B96" s="322"/>
      <c r="C96" s="323"/>
      <c r="D96" s="324"/>
      <c r="E96" s="323"/>
      <c r="F96" s="324"/>
      <c r="G96" s="322"/>
      <c r="H96" s="322"/>
      <c r="I96" s="322"/>
      <c r="J96" s="322"/>
      <c r="K96" s="322"/>
      <c r="L96" s="322"/>
      <c r="M96" s="322"/>
      <c r="N96" s="322"/>
      <c r="O96" s="322"/>
      <c r="P96" s="322"/>
      <c r="Q96" s="322"/>
      <c r="R96" s="322"/>
      <c r="S96" s="322"/>
      <c r="T96" s="322"/>
      <c r="U96" s="322"/>
      <c r="V96" s="322"/>
      <c r="W96" s="322"/>
      <c r="X96" s="322"/>
      <c r="Y96" s="322"/>
      <c r="Z96" s="322"/>
    </row>
    <row r="97" ht="12.75" customHeight="1">
      <c r="A97" s="322"/>
      <c r="B97" s="322"/>
      <c r="C97" s="323"/>
      <c r="D97" s="324"/>
      <c r="E97" s="323"/>
      <c r="F97" s="324"/>
      <c r="G97" s="322"/>
      <c r="H97" s="322"/>
      <c r="I97" s="322"/>
      <c r="J97" s="322"/>
      <c r="K97" s="322"/>
      <c r="L97" s="322"/>
      <c r="M97" s="322"/>
      <c r="N97" s="322"/>
      <c r="O97" s="322"/>
      <c r="P97" s="322"/>
      <c r="Q97" s="322"/>
      <c r="R97" s="322"/>
      <c r="S97" s="322"/>
      <c r="T97" s="322"/>
      <c r="U97" s="322"/>
      <c r="V97" s="322"/>
      <c r="W97" s="322"/>
      <c r="X97" s="322"/>
      <c r="Y97" s="322"/>
      <c r="Z97" s="322"/>
    </row>
    <row r="98" ht="12.75" customHeight="1">
      <c r="A98" s="322"/>
      <c r="B98" s="322"/>
      <c r="C98" s="958">
        <v>43756.0</v>
      </c>
      <c r="D98" s="959">
        <v>55000.0</v>
      </c>
      <c r="E98" s="323"/>
      <c r="F98" s="324"/>
      <c r="G98" s="322"/>
      <c r="H98" s="322"/>
      <c r="I98" s="322"/>
      <c r="J98" s="322"/>
      <c r="K98" s="322"/>
      <c r="L98" s="322"/>
      <c r="M98" s="322"/>
      <c r="N98" s="322"/>
      <c r="O98" s="322"/>
      <c r="P98" s="322"/>
      <c r="Q98" s="322"/>
      <c r="R98" s="322"/>
      <c r="S98" s="322"/>
      <c r="T98" s="322"/>
      <c r="U98" s="322"/>
      <c r="V98" s="322"/>
      <c r="W98" s="322"/>
      <c r="X98" s="322"/>
      <c r="Y98" s="322"/>
      <c r="Z98" s="322"/>
    </row>
    <row r="99" ht="12.75" customHeight="1">
      <c r="A99" s="322"/>
      <c r="B99" s="322"/>
      <c r="C99" s="958">
        <v>43787.0</v>
      </c>
      <c r="D99" s="960">
        <v>60000.0</v>
      </c>
      <c r="E99" s="323"/>
      <c r="F99" s="324"/>
      <c r="G99" s="322"/>
      <c r="H99" s="322"/>
      <c r="I99" s="322"/>
      <c r="J99" s="322"/>
      <c r="K99" s="322"/>
      <c r="L99" s="322"/>
      <c r="M99" s="322"/>
      <c r="N99" s="322"/>
      <c r="O99" s="322"/>
      <c r="P99" s="322"/>
      <c r="Q99" s="322"/>
      <c r="R99" s="322"/>
      <c r="S99" s="322"/>
      <c r="T99" s="322"/>
      <c r="U99" s="322"/>
      <c r="V99" s="322"/>
      <c r="W99" s="322"/>
      <c r="X99" s="322"/>
      <c r="Y99" s="322"/>
      <c r="Z99" s="322"/>
    </row>
    <row r="100" ht="12.75" customHeight="1">
      <c r="A100" s="322"/>
      <c r="B100" s="322"/>
      <c r="C100" s="958">
        <v>43817.0</v>
      </c>
      <c r="D100" s="960">
        <f t="shared" ref="D100:D105" si="3">D99-3000</f>
        <v>57000</v>
      </c>
      <c r="E100" s="323"/>
      <c r="F100" s="324"/>
      <c r="G100" s="322"/>
      <c r="H100" s="322"/>
      <c r="I100" s="322"/>
      <c r="J100" s="322"/>
      <c r="K100" s="322"/>
      <c r="L100" s="322"/>
      <c r="M100" s="322"/>
      <c r="N100" s="322"/>
      <c r="O100" s="322"/>
      <c r="P100" s="322"/>
      <c r="Q100" s="322"/>
      <c r="R100" s="322"/>
      <c r="S100" s="322"/>
      <c r="T100" s="322"/>
      <c r="U100" s="322"/>
      <c r="V100" s="322"/>
      <c r="W100" s="322"/>
      <c r="X100" s="322"/>
      <c r="Y100" s="322"/>
      <c r="Z100" s="322"/>
    </row>
    <row r="101" ht="12.75" customHeight="1">
      <c r="A101" s="322"/>
      <c r="B101" s="322"/>
      <c r="C101" s="961">
        <v>43484.0</v>
      </c>
      <c r="D101" s="960">
        <f t="shared" si="3"/>
        <v>54000</v>
      </c>
      <c r="E101" s="323"/>
      <c r="F101" s="324"/>
      <c r="G101" s="322"/>
      <c r="H101" s="322"/>
      <c r="I101" s="322"/>
      <c r="J101" s="322"/>
      <c r="K101" s="322"/>
      <c r="L101" s="322"/>
      <c r="M101" s="322"/>
      <c r="N101" s="322"/>
      <c r="O101" s="322"/>
      <c r="P101" s="322"/>
      <c r="Q101" s="322"/>
      <c r="R101" s="322"/>
      <c r="S101" s="322"/>
      <c r="T101" s="322"/>
      <c r="U101" s="322"/>
      <c r="V101" s="322"/>
      <c r="W101" s="322"/>
      <c r="X101" s="322"/>
      <c r="Y101" s="322"/>
      <c r="Z101" s="322"/>
    </row>
    <row r="102" ht="12.75" customHeight="1">
      <c r="A102" s="322"/>
      <c r="B102" s="322"/>
      <c r="C102" s="962">
        <v>43515.0</v>
      </c>
      <c r="D102" s="960">
        <f t="shared" si="3"/>
        <v>51000</v>
      </c>
      <c r="E102" s="323"/>
      <c r="F102" s="324"/>
      <c r="G102" s="322"/>
      <c r="H102" s="322"/>
      <c r="I102" s="322"/>
      <c r="J102" s="322"/>
      <c r="K102" s="322"/>
      <c r="L102" s="322"/>
      <c r="M102" s="322"/>
      <c r="N102" s="322"/>
      <c r="O102" s="322"/>
      <c r="P102" s="322"/>
      <c r="Q102" s="322"/>
      <c r="R102" s="322"/>
      <c r="S102" s="322"/>
      <c r="T102" s="322"/>
      <c r="U102" s="322"/>
      <c r="V102" s="322"/>
      <c r="W102" s="322"/>
      <c r="X102" s="322"/>
      <c r="Y102" s="322"/>
      <c r="Z102" s="322"/>
    </row>
    <row r="103" ht="12.75" customHeight="1">
      <c r="A103" s="322"/>
      <c r="B103" s="322"/>
      <c r="C103" s="961">
        <v>43543.0</v>
      </c>
      <c r="D103" s="960">
        <f t="shared" si="3"/>
        <v>48000</v>
      </c>
      <c r="E103" s="323"/>
      <c r="F103" s="324"/>
      <c r="G103" s="322"/>
      <c r="H103" s="322"/>
      <c r="I103" s="322"/>
      <c r="J103" s="322"/>
      <c r="K103" s="322"/>
      <c r="L103" s="322"/>
      <c r="M103" s="322"/>
      <c r="N103" s="322"/>
      <c r="O103" s="322"/>
      <c r="P103" s="322"/>
      <c r="Q103" s="322"/>
      <c r="R103" s="322"/>
      <c r="S103" s="322"/>
      <c r="T103" s="322"/>
      <c r="U103" s="322"/>
      <c r="V103" s="322"/>
      <c r="W103" s="322"/>
      <c r="X103" s="322"/>
      <c r="Y103" s="322"/>
      <c r="Z103" s="322"/>
    </row>
    <row r="104" ht="12.75" customHeight="1">
      <c r="A104" s="322"/>
      <c r="B104" s="322"/>
      <c r="C104" s="962">
        <v>43574.0</v>
      </c>
      <c r="D104" s="960">
        <f t="shared" si="3"/>
        <v>45000</v>
      </c>
      <c r="E104" s="323"/>
      <c r="F104" s="324"/>
      <c r="G104" s="322"/>
      <c r="H104" s="322"/>
      <c r="I104" s="322"/>
      <c r="J104" s="322"/>
      <c r="K104" s="322"/>
      <c r="L104" s="322"/>
      <c r="M104" s="322"/>
      <c r="N104" s="322"/>
      <c r="O104" s="322"/>
      <c r="P104" s="322"/>
      <c r="Q104" s="322"/>
      <c r="R104" s="322"/>
      <c r="S104" s="322"/>
      <c r="T104" s="322"/>
      <c r="U104" s="322"/>
      <c r="V104" s="322"/>
      <c r="W104" s="322"/>
      <c r="X104" s="322"/>
      <c r="Y104" s="322"/>
      <c r="Z104" s="322"/>
    </row>
    <row r="105" ht="12.75" customHeight="1">
      <c r="A105" s="322"/>
      <c r="B105" s="322"/>
      <c r="C105" s="961">
        <v>43604.0</v>
      </c>
      <c r="D105" s="960">
        <f t="shared" si="3"/>
        <v>42000</v>
      </c>
      <c r="E105" s="323"/>
      <c r="F105" s="324"/>
      <c r="G105" s="322"/>
      <c r="H105" s="322"/>
      <c r="I105" s="322"/>
      <c r="J105" s="322"/>
      <c r="K105" s="322"/>
      <c r="L105" s="322"/>
      <c r="M105" s="322"/>
      <c r="N105" s="322"/>
      <c r="O105" s="322"/>
      <c r="P105" s="322"/>
      <c r="Q105" s="322"/>
      <c r="R105" s="322"/>
      <c r="S105" s="322"/>
      <c r="T105" s="322"/>
      <c r="U105" s="322"/>
      <c r="V105" s="322"/>
      <c r="W105" s="322"/>
      <c r="X105" s="322"/>
      <c r="Y105" s="322"/>
      <c r="Z105" s="322"/>
    </row>
    <row r="106" ht="12.75" customHeight="1">
      <c r="A106" s="322"/>
      <c r="B106" s="322"/>
      <c r="C106" s="962">
        <v>43635.0</v>
      </c>
      <c r="D106" s="960">
        <f>D105</f>
        <v>42000</v>
      </c>
      <c r="E106" s="323"/>
      <c r="F106" s="324"/>
      <c r="G106" s="322"/>
      <c r="H106" s="322"/>
      <c r="I106" s="322"/>
      <c r="J106" s="322"/>
      <c r="K106" s="322"/>
      <c r="L106" s="322"/>
      <c r="M106" s="322"/>
      <c r="N106" s="322"/>
      <c r="O106" s="322"/>
      <c r="P106" s="322"/>
      <c r="Q106" s="322"/>
      <c r="R106" s="322"/>
      <c r="S106" s="322"/>
      <c r="T106" s="322"/>
      <c r="U106" s="322"/>
      <c r="V106" s="322"/>
      <c r="W106" s="322"/>
      <c r="X106" s="322"/>
      <c r="Y106" s="322"/>
      <c r="Z106" s="322"/>
    </row>
    <row r="107" ht="12.75" customHeight="1">
      <c r="A107" s="322"/>
      <c r="B107" s="322"/>
      <c r="C107" s="961">
        <v>43665.0</v>
      </c>
      <c r="D107" s="960">
        <v>43781.0</v>
      </c>
      <c r="E107" s="323"/>
      <c r="F107" s="324"/>
      <c r="G107" s="322"/>
      <c r="H107" s="322"/>
      <c r="I107" s="322"/>
      <c r="J107" s="322"/>
      <c r="K107" s="322"/>
      <c r="L107" s="322"/>
      <c r="M107" s="322"/>
      <c r="N107" s="322"/>
      <c r="O107" s="322"/>
      <c r="P107" s="322"/>
      <c r="Q107" s="322"/>
      <c r="R107" s="322"/>
      <c r="S107" s="322"/>
      <c r="T107" s="322"/>
      <c r="U107" s="322"/>
      <c r="V107" s="322"/>
      <c r="W107" s="322"/>
      <c r="X107" s="322"/>
      <c r="Y107" s="322"/>
      <c r="Z107" s="322"/>
    </row>
    <row r="108" ht="12.75" customHeight="1">
      <c r="A108" s="322"/>
      <c r="B108" s="322"/>
      <c r="C108" s="962">
        <v>43696.0</v>
      </c>
      <c r="D108" s="960">
        <f>D107-BUDGET!J48</f>
        <v>40581</v>
      </c>
      <c r="E108" s="323"/>
      <c r="F108" s="324"/>
      <c r="G108" s="322"/>
      <c r="H108" s="322"/>
      <c r="I108" s="322"/>
      <c r="J108" s="322"/>
      <c r="K108" s="322"/>
      <c r="L108" s="322"/>
      <c r="M108" s="322"/>
      <c r="N108" s="322"/>
      <c r="O108" s="322"/>
      <c r="P108" s="322"/>
      <c r="Q108" s="322"/>
      <c r="R108" s="322"/>
      <c r="S108" s="322"/>
      <c r="T108" s="322"/>
      <c r="U108" s="322"/>
      <c r="V108" s="322"/>
      <c r="W108" s="322"/>
      <c r="X108" s="322"/>
      <c r="Y108" s="322"/>
      <c r="Z108" s="322"/>
    </row>
    <row r="109" ht="12.75" customHeight="1">
      <c r="A109" s="322"/>
      <c r="B109" s="322"/>
      <c r="C109" s="961">
        <v>43727.0</v>
      </c>
      <c r="D109" s="960">
        <f>D108-BUDGET!K48</f>
        <v>39581</v>
      </c>
      <c r="E109" s="323"/>
      <c r="F109" s="324"/>
      <c r="G109" s="322"/>
      <c r="H109" s="322"/>
      <c r="I109" s="322"/>
      <c r="J109" s="322"/>
      <c r="K109" s="322"/>
      <c r="L109" s="322"/>
      <c r="M109" s="322"/>
      <c r="N109" s="322"/>
      <c r="O109" s="322"/>
      <c r="P109" s="322"/>
      <c r="Q109" s="322"/>
      <c r="R109" s="322"/>
      <c r="S109" s="322"/>
      <c r="T109" s="322"/>
      <c r="U109" s="322"/>
      <c r="V109" s="322"/>
      <c r="W109" s="322"/>
      <c r="X109" s="322"/>
      <c r="Y109" s="322"/>
      <c r="Z109" s="322"/>
    </row>
    <row r="110" ht="12.75" customHeight="1">
      <c r="A110" s="322"/>
      <c r="B110" s="322"/>
      <c r="C110" s="962">
        <v>43757.0</v>
      </c>
      <c r="D110" s="960">
        <f>D109-BUDGET!L48</f>
        <v>38581</v>
      </c>
      <c r="E110" s="323"/>
      <c r="F110" s="324"/>
      <c r="G110" s="322"/>
      <c r="H110" s="322"/>
      <c r="I110" s="322"/>
      <c r="J110" s="322"/>
      <c r="K110" s="322"/>
      <c r="L110" s="322"/>
      <c r="M110" s="322"/>
      <c r="N110" s="322"/>
      <c r="O110" s="322"/>
      <c r="P110" s="322"/>
      <c r="Q110" s="322"/>
      <c r="R110" s="322"/>
      <c r="S110" s="322"/>
      <c r="T110" s="322"/>
      <c r="U110" s="322"/>
      <c r="V110" s="322"/>
      <c r="W110" s="322"/>
      <c r="X110" s="322"/>
      <c r="Y110" s="322"/>
      <c r="Z110" s="322"/>
    </row>
    <row r="111" ht="12.75" customHeight="1">
      <c r="A111" s="322"/>
      <c r="B111" s="322"/>
      <c r="C111" s="958">
        <v>43788.0</v>
      </c>
      <c r="D111" s="960">
        <f>D110-BUDGET!M48</f>
        <v>38581</v>
      </c>
      <c r="E111" s="323"/>
      <c r="F111" s="324"/>
      <c r="G111" s="322"/>
      <c r="H111" s="322"/>
      <c r="I111" s="322"/>
      <c r="J111" s="322"/>
      <c r="K111" s="322"/>
      <c r="L111" s="322"/>
      <c r="M111" s="322"/>
      <c r="N111" s="322"/>
      <c r="O111" s="322"/>
      <c r="P111" s="322"/>
      <c r="Q111" s="322"/>
      <c r="R111" s="322"/>
      <c r="S111" s="322"/>
      <c r="T111" s="322"/>
      <c r="U111" s="322"/>
      <c r="V111" s="322"/>
      <c r="W111" s="322"/>
      <c r="X111" s="322"/>
      <c r="Y111" s="322"/>
      <c r="Z111" s="322"/>
    </row>
    <row r="112" ht="12.75" customHeight="1">
      <c r="A112" s="322"/>
      <c r="B112" s="322"/>
      <c r="C112" s="958">
        <v>43818.0</v>
      </c>
      <c r="D112" s="960">
        <f>D111-BUDGET!N48</f>
        <v>36848.5</v>
      </c>
      <c r="E112" s="323"/>
      <c r="F112" s="324"/>
      <c r="G112" s="322"/>
      <c r="H112" s="322"/>
      <c r="I112" s="322"/>
      <c r="J112" s="322"/>
      <c r="K112" s="322"/>
      <c r="L112" s="322"/>
      <c r="M112" s="322"/>
      <c r="N112" s="322"/>
      <c r="O112" s="322"/>
      <c r="P112" s="322"/>
      <c r="Q112" s="322"/>
      <c r="R112" s="322"/>
      <c r="S112" s="322"/>
      <c r="T112" s="322"/>
      <c r="U112" s="322"/>
      <c r="V112" s="322"/>
      <c r="W112" s="322"/>
      <c r="X112" s="322"/>
      <c r="Y112" s="322"/>
      <c r="Z112" s="322"/>
    </row>
    <row r="113" ht="12.75" customHeight="1">
      <c r="A113" s="322"/>
      <c r="B113" s="322"/>
      <c r="C113" s="958">
        <v>43485.0</v>
      </c>
      <c r="D113" s="960">
        <f>D112-BUDGET!O48</f>
        <v>34328.5</v>
      </c>
      <c r="E113" s="323"/>
      <c r="F113" s="324"/>
      <c r="G113" s="322"/>
      <c r="H113" s="322"/>
      <c r="I113" s="322"/>
      <c r="J113" s="322"/>
      <c r="K113" s="322"/>
      <c r="L113" s="322"/>
      <c r="M113" s="322"/>
      <c r="N113" s="322"/>
      <c r="O113" s="322"/>
      <c r="P113" s="322"/>
      <c r="Q113" s="322"/>
      <c r="R113" s="322"/>
      <c r="S113" s="322"/>
      <c r="T113" s="322"/>
      <c r="U113" s="322"/>
      <c r="V113" s="322"/>
      <c r="W113" s="322"/>
      <c r="X113" s="322"/>
      <c r="Y113" s="322"/>
      <c r="Z113" s="322"/>
    </row>
    <row r="114" ht="12.75" customHeight="1">
      <c r="A114" s="322"/>
      <c r="B114" s="322"/>
      <c r="C114" s="958">
        <v>43516.0</v>
      </c>
      <c r="D114" s="960">
        <f>D113-BUDGET!P48</f>
        <v>28372.5</v>
      </c>
      <c r="E114" s="323"/>
      <c r="F114" s="324"/>
      <c r="G114" s="322"/>
      <c r="H114" s="322"/>
      <c r="I114" s="322"/>
      <c r="J114" s="322"/>
      <c r="K114" s="322"/>
      <c r="L114" s="322"/>
      <c r="M114" s="322"/>
      <c r="N114" s="322"/>
      <c r="O114" s="322"/>
      <c r="P114" s="322"/>
      <c r="Q114" s="322"/>
      <c r="R114" s="322"/>
      <c r="S114" s="322"/>
      <c r="T114" s="322"/>
      <c r="U114" s="322"/>
      <c r="V114" s="322"/>
      <c r="W114" s="322"/>
      <c r="X114" s="322"/>
      <c r="Y114" s="322"/>
      <c r="Z114" s="322"/>
    </row>
    <row r="115" ht="12.75" customHeight="1">
      <c r="A115" s="322"/>
      <c r="B115" s="322"/>
      <c r="C115" s="958">
        <v>43544.0</v>
      </c>
      <c r="D115" s="960">
        <f>D114-BUDGET!Q48</f>
        <v>26364.5</v>
      </c>
      <c r="E115" s="323"/>
      <c r="F115" s="324"/>
      <c r="G115" s="322"/>
      <c r="H115" s="322"/>
      <c r="I115" s="322"/>
      <c r="J115" s="322"/>
      <c r="K115" s="322"/>
      <c r="L115" s="322"/>
      <c r="M115" s="322"/>
      <c r="N115" s="322"/>
      <c r="O115" s="322"/>
      <c r="P115" s="322"/>
      <c r="Q115" s="322"/>
      <c r="R115" s="322"/>
      <c r="S115" s="322"/>
      <c r="T115" s="322"/>
      <c r="U115" s="322"/>
      <c r="V115" s="322"/>
      <c r="W115" s="322"/>
      <c r="X115" s="322"/>
      <c r="Y115" s="322"/>
      <c r="Z115" s="322"/>
    </row>
    <row r="116" ht="12.75" customHeight="1">
      <c r="A116" s="322"/>
      <c r="B116" s="322"/>
      <c r="C116" s="958">
        <v>43575.0</v>
      </c>
      <c r="D116" s="960">
        <f>D115-BUDGET!R48</f>
        <v>23701.5</v>
      </c>
      <c r="E116" s="323"/>
      <c r="F116" s="324"/>
      <c r="G116" s="322"/>
      <c r="H116" s="322"/>
      <c r="I116" s="322"/>
      <c r="J116" s="322"/>
      <c r="K116" s="322"/>
      <c r="L116" s="322"/>
      <c r="M116" s="322"/>
      <c r="N116" s="322"/>
      <c r="O116" s="322"/>
      <c r="P116" s="322"/>
      <c r="Q116" s="322"/>
      <c r="R116" s="322"/>
      <c r="S116" s="322"/>
      <c r="T116" s="322"/>
      <c r="U116" s="322"/>
      <c r="V116" s="322"/>
      <c r="W116" s="322"/>
      <c r="X116" s="322"/>
      <c r="Y116" s="322"/>
      <c r="Z116" s="322"/>
    </row>
    <row r="117" ht="12.75" customHeight="1">
      <c r="A117" s="322"/>
      <c r="B117" s="322"/>
      <c r="C117" s="958">
        <v>43605.0</v>
      </c>
      <c r="D117" s="960">
        <f>D116-BUDGET!S48</f>
        <v>18101.5</v>
      </c>
      <c r="E117" s="323"/>
      <c r="F117" s="324"/>
      <c r="G117" s="322"/>
      <c r="H117" s="322"/>
      <c r="I117" s="322"/>
      <c r="J117" s="322"/>
      <c r="K117" s="322"/>
      <c r="L117" s="322"/>
      <c r="M117" s="322"/>
      <c r="N117" s="322"/>
      <c r="O117" s="322"/>
      <c r="P117" s="322"/>
      <c r="Q117" s="322"/>
      <c r="R117" s="322"/>
      <c r="S117" s="322"/>
      <c r="T117" s="322"/>
      <c r="U117" s="322"/>
      <c r="V117" s="322"/>
      <c r="W117" s="322"/>
      <c r="X117" s="322"/>
      <c r="Y117" s="322"/>
      <c r="Z117" s="322"/>
    </row>
    <row r="118" ht="12.75" customHeight="1">
      <c r="A118" s="322"/>
      <c r="B118" s="322"/>
      <c r="C118" s="958">
        <v>43636.0</v>
      </c>
      <c r="D118" s="960">
        <f>D117-BUDGET!T48</f>
        <v>16487.125</v>
      </c>
      <c r="E118" s="323"/>
      <c r="F118" s="324"/>
      <c r="G118" s="322"/>
      <c r="H118" s="322"/>
      <c r="I118" s="322"/>
      <c r="J118" s="322"/>
      <c r="K118" s="322"/>
      <c r="L118" s="322"/>
      <c r="M118" s="322"/>
      <c r="N118" s="322"/>
      <c r="O118" s="322"/>
      <c r="P118" s="322"/>
      <c r="Q118" s="322"/>
      <c r="R118" s="322"/>
      <c r="S118" s="322"/>
      <c r="T118" s="322"/>
      <c r="U118" s="322"/>
      <c r="V118" s="322"/>
      <c r="W118" s="322"/>
      <c r="X118" s="322"/>
      <c r="Y118" s="322"/>
      <c r="Z118" s="322"/>
    </row>
    <row r="119" ht="12.75" customHeight="1">
      <c r="A119" s="322"/>
      <c r="B119" s="322"/>
      <c r="C119" s="958">
        <v>43666.0</v>
      </c>
      <c r="D119" s="960">
        <f>D118-781</f>
        <v>15706.125</v>
      </c>
      <c r="E119" s="323"/>
      <c r="F119" s="324"/>
      <c r="G119" s="322"/>
      <c r="H119" s="322"/>
      <c r="I119" s="322"/>
      <c r="J119" s="322"/>
      <c r="K119" s="322"/>
      <c r="L119" s="322"/>
      <c r="M119" s="322"/>
      <c r="N119" s="322"/>
      <c r="O119" s="322"/>
      <c r="P119" s="322"/>
      <c r="Q119" s="322"/>
      <c r="R119" s="322"/>
      <c r="S119" s="322"/>
      <c r="T119" s="322"/>
      <c r="U119" s="322"/>
      <c r="V119" s="322"/>
      <c r="W119" s="322"/>
      <c r="X119" s="322"/>
      <c r="Y119" s="322"/>
      <c r="Z119" s="322"/>
    </row>
    <row r="120" ht="12.75" customHeight="1">
      <c r="A120" s="322"/>
      <c r="B120" s="322"/>
      <c r="C120" s="323"/>
      <c r="D120" s="324"/>
      <c r="E120" s="323"/>
      <c r="F120" s="324"/>
      <c r="G120" s="322"/>
      <c r="H120" s="322"/>
      <c r="I120" s="322"/>
      <c r="J120" s="322"/>
      <c r="K120" s="322"/>
      <c r="L120" s="322"/>
      <c r="M120" s="322"/>
      <c r="N120" s="322"/>
      <c r="O120" s="322"/>
      <c r="P120" s="322"/>
      <c r="Q120" s="322"/>
      <c r="R120" s="322"/>
      <c r="S120" s="322"/>
      <c r="T120" s="322"/>
      <c r="U120" s="322"/>
      <c r="V120" s="322"/>
      <c r="W120" s="322"/>
      <c r="X120" s="322"/>
      <c r="Y120" s="322"/>
      <c r="Z120" s="322"/>
    </row>
    <row r="121" ht="12.75" customHeight="1">
      <c r="A121" s="322"/>
      <c r="B121" s="322"/>
      <c r="C121" s="323"/>
      <c r="D121" s="324"/>
      <c r="E121" s="323"/>
      <c r="F121" s="324"/>
      <c r="G121" s="322"/>
      <c r="H121" s="322"/>
      <c r="I121" s="322"/>
      <c r="J121" s="322"/>
      <c r="K121" s="322"/>
      <c r="L121" s="322"/>
      <c r="M121" s="322"/>
      <c r="N121" s="322"/>
      <c r="O121" s="322"/>
      <c r="P121" s="322"/>
      <c r="Q121" s="322"/>
      <c r="R121" s="322"/>
      <c r="S121" s="322"/>
      <c r="T121" s="322"/>
      <c r="U121" s="322"/>
      <c r="V121" s="322"/>
      <c r="W121" s="322"/>
      <c r="X121" s="322"/>
      <c r="Y121" s="322"/>
      <c r="Z121" s="322"/>
    </row>
    <row r="122" ht="12.75" customHeight="1">
      <c r="A122" s="322"/>
      <c r="B122" s="322"/>
      <c r="C122" s="323"/>
      <c r="D122" s="324"/>
      <c r="E122" s="323"/>
      <c r="F122" s="324"/>
      <c r="G122" s="322"/>
      <c r="H122" s="322"/>
      <c r="I122" s="322"/>
      <c r="J122" s="322"/>
      <c r="K122" s="322"/>
      <c r="L122" s="322"/>
      <c r="M122" s="322"/>
      <c r="N122" s="322"/>
      <c r="O122" s="322"/>
      <c r="P122" s="322"/>
      <c r="Q122" s="322"/>
      <c r="R122" s="322"/>
      <c r="S122" s="322"/>
      <c r="T122" s="322"/>
      <c r="U122" s="322"/>
      <c r="V122" s="322"/>
      <c r="W122" s="322"/>
      <c r="X122" s="322"/>
      <c r="Y122" s="322"/>
      <c r="Z122" s="322"/>
    </row>
    <row r="123" ht="12.75" customHeight="1">
      <c r="A123" s="322"/>
      <c r="B123" s="322"/>
      <c r="C123" s="323"/>
      <c r="D123" s="324"/>
      <c r="E123" s="323"/>
      <c r="F123" s="324"/>
      <c r="G123" s="322"/>
      <c r="H123" s="322"/>
      <c r="I123" s="322"/>
      <c r="J123" s="322"/>
      <c r="K123" s="322"/>
      <c r="L123" s="322"/>
      <c r="M123" s="322"/>
      <c r="N123" s="322"/>
      <c r="O123" s="322"/>
      <c r="P123" s="322"/>
      <c r="Q123" s="322"/>
      <c r="R123" s="322"/>
      <c r="S123" s="322"/>
      <c r="T123" s="322"/>
      <c r="U123" s="322"/>
      <c r="V123" s="322"/>
      <c r="W123" s="322"/>
      <c r="X123" s="322"/>
      <c r="Y123" s="322"/>
      <c r="Z123" s="322"/>
    </row>
    <row r="124" ht="12.75" customHeight="1">
      <c r="A124" s="322"/>
      <c r="B124" s="322"/>
      <c r="C124" s="323"/>
      <c r="D124" s="324"/>
      <c r="E124" s="323"/>
      <c r="F124" s="324"/>
      <c r="G124" s="322"/>
      <c r="H124" s="322"/>
      <c r="I124" s="322"/>
      <c r="J124" s="322"/>
      <c r="K124" s="322"/>
      <c r="L124" s="322"/>
      <c r="M124" s="322"/>
      <c r="N124" s="322"/>
      <c r="O124" s="322"/>
      <c r="P124" s="322"/>
      <c r="Q124" s="322"/>
      <c r="R124" s="322"/>
      <c r="S124" s="322"/>
      <c r="T124" s="322"/>
      <c r="U124" s="322"/>
      <c r="V124" s="322"/>
      <c r="W124" s="322"/>
      <c r="X124" s="322"/>
      <c r="Y124" s="322"/>
      <c r="Z124" s="322"/>
    </row>
    <row r="125" ht="12.75" customHeight="1">
      <c r="A125" s="322"/>
      <c r="B125" s="322"/>
      <c r="C125" s="323"/>
      <c r="D125" s="324"/>
      <c r="E125" s="323"/>
      <c r="F125" s="324"/>
      <c r="G125" s="322"/>
      <c r="H125" s="322"/>
      <c r="I125" s="322"/>
      <c r="J125" s="322"/>
      <c r="K125" s="322"/>
      <c r="L125" s="322"/>
      <c r="M125" s="322"/>
      <c r="N125" s="322"/>
      <c r="O125" s="322"/>
      <c r="P125" s="322"/>
      <c r="Q125" s="322"/>
      <c r="R125" s="322"/>
      <c r="S125" s="322"/>
      <c r="T125" s="322"/>
      <c r="U125" s="322"/>
      <c r="V125" s="322"/>
      <c r="W125" s="322"/>
      <c r="X125" s="322"/>
      <c r="Y125" s="322"/>
      <c r="Z125" s="322"/>
    </row>
    <row r="126" ht="12.75" customHeight="1">
      <c r="A126" s="322"/>
      <c r="B126" s="322"/>
      <c r="C126" s="323"/>
      <c r="D126" s="324"/>
      <c r="E126" s="323"/>
      <c r="F126" s="324"/>
      <c r="G126" s="322"/>
      <c r="H126" s="322"/>
      <c r="I126" s="322"/>
      <c r="J126" s="322"/>
      <c r="K126" s="322"/>
      <c r="L126" s="322"/>
      <c r="M126" s="322"/>
      <c r="N126" s="322"/>
      <c r="O126" s="322"/>
      <c r="P126" s="322"/>
      <c r="Q126" s="322"/>
      <c r="R126" s="322"/>
      <c r="S126" s="322"/>
      <c r="T126" s="322"/>
      <c r="U126" s="322"/>
      <c r="V126" s="322"/>
      <c r="W126" s="322"/>
      <c r="X126" s="322"/>
      <c r="Y126" s="322"/>
      <c r="Z126" s="322"/>
    </row>
    <row r="127" ht="12.75" customHeight="1">
      <c r="A127" s="322"/>
      <c r="B127" s="322"/>
      <c r="C127" s="323"/>
      <c r="D127" s="324"/>
      <c r="E127" s="323"/>
      <c r="F127" s="324"/>
      <c r="G127" s="322"/>
      <c r="H127" s="322"/>
      <c r="I127" s="322"/>
      <c r="J127" s="322"/>
      <c r="K127" s="322"/>
      <c r="L127" s="322"/>
      <c r="M127" s="322"/>
      <c r="N127" s="322"/>
      <c r="O127" s="322"/>
      <c r="P127" s="322"/>
      <c r="Q127" s="322"/>
      <c r="R127" s="322"/>
      <c r="S127" s="322"/>
      <c r="T127" s="322"/>
      <c r="U127" s="322"/>
      <c r="V127" s="322"/>
      <c r="W127" s="322"/>
      <c r="X127" s="322"/>
      <c r="Y127" s="322"/>
      <c r="Z127" s="322"/>
    </row>
    <row r="128" ht="12.75" customHeight="1">
      <c r="A128" s="322"/>
      <c r="B128" s="322"/>
      <c r="C128" s="323"/>
      <c r="D128" s="324"/>
      <c r="E128" s="323"/>
      <c r="F128" s="324"/>
      <c r="G128" s="322"/>
      <c r="H128" s="322"/>
      <c r="I128" s="322"/>
      <c r="J128" s="322"/>
      <c r="K128" s="322"/>
      <c r="L128" s="322"/>
      <c r="M128" s="322"/>
      <c r="N128" s="322"/>
      <c r="O128" s="322"/>
      <c r="P128" s="322"/>
      <c r="Q128" s="322"/>
      <c r="R128" s="322"/>
      <c r="S128" s="322"/>
      <c r="T128" s="322"/>
      <c r="U128" s="322"/>
      <c r="V128" s="322"/>
      <c r="W128" s="322"/>
      <c r="X128" s="322"/>
      <c r="Y128" s="322"/>
      <c r="Z128" s="322"/>
    </row>
    <row r="129" ht="12.75" customHeight="1">
      <c r="A129" s="322"/>
      <c r="B129" s="322"/>
      <c r="C129" s="323"/>
      <c r="D129" s="324"/>
      <c r="E129" s="323"/>
      <c r="F129" s="324"/>
      <c r="G129" s="322"/>
      <c r="H129" s="322"/>
      <c r="I129" s="322"/>
      <c r="J129" s="322"/>
      <c r="K129" s="322"/>
      <c r="L129" s="322"/>
      <c r="M129" s="322"/>
      <c r="N129" s="322"/>
      <c r="O129" s="322"/>
      <c r="P129" s="322"/>
      <c r="Q129" s="322"/>
      <c r="R129" s="322"/>
      <c r="S129" s="322"/>
      <c r="T129" s="322"/>
      <c r="U129" s="322"/>
      <c r="V129" s="322"/>
      <c r="W129" s="322"/>
      <c r="X129" s="322"/>
      <c r="Y129" s="322"/>
      <c r="Z129" s="322"/>
    </row>
    <row r="130" ht="12.75" customHeight="1">
      <c r="A130" s="322"/>
      <c r="B130" s="322"/>
      <c r="C130" s="323"/>
      <c r="D130" s="324"/>
      <c r="E130" s="323"/>
      <c r="F130" s="324"/>
      <c r="G130" s="322"/>
      <c r="H130" s="322"/>
      <c r="I130" s="322"/>
      <c r="J130" s="322"/>
      <c r="K130" s="322"/>
      <c r="L130" s="322"/>
      <c r="M130" s="322"/>
      <c r="N130" s="322"/>
      <c r="O130" s="322"/>
      <c r="P130" s="322"/>
      <c r="Q130" s="322"/>
      <c r="R130" s="322"/>
      <c r="S130" s="322"/>
      <c r="T130" s="322"/>
      <c r="U130" s="322"/>
      <c r="V130" s="322"/>
      <c r="W130" s="322"/>
      <c r="X130" s="322"/>
      <c r="Y130" s="322"/>
      <c r="Z130" s="322"/>
    </row>
    <row r="131" ht="12.75" customHeight="1">
      <c r="A131" s="322"/>
      <c r="B131" s="322"/>
      <c r="C131" s="323"/>
      <c r="D131" s="324"/>
      <c r="E131" s="323"/>
      <c r="F131" s="324"/>
      <c r="G131" s="322"/>
      <c r="H131" s="322"/>
      <c r="I131" s="322"/>
      <c r="J131" s="322"/>
      <c r="K131" s="322"/>
      <c r="L131" s="322"/>
      <c r="M131" s="322"/>
      <c r="N131" s="322"/>
      <c r="O131" s="322"/>
      <c r="P131" s="322"/>
      <c r="Q131" s="322"/>
      <c r="R131" s="322"/>
      <c r="S131" s="322"/>
      <c r="T131" s="322"/>
      <c r="U131" s="322"/>
      <c r="V131" s="322"/>
      <c r="W131" s="322"/>
      <c r="X131" s="322"/>
      <c r="Y131" s="322"/>
      <c r="Z131" s="322"/>
    </row>
    <row r="132" ht="12.75" customHeight="1">
      <c r="A132" s="322"/>
      <c r="B132" s="322"/>
      <c r="C132" s="323"/>
      <c r="D132" s="324"/>
      <c r="E132" s="323"/>
      <c r="F132" s="324"/>
      <c r="G132" s="322"/>
      <c r="H132" s="322"/>
      <c r="I132" s="322"/>
      <c r="J132" s="322"/>
      <c r="K132" s="322"/>
      <c r="L132" s="322"/>
      <c r="M132" s="322"/>
      <c r="N132" s="322"/>
      <c r="O132" s="322"/>
      <c r="P132" s="322"/>
      <c r="Q132" s="322"/>
      <c r="R132" s="322"/>
      <c r="S132" s="322"/>
      <c r="T132" s="322"/>
      <c r="U132" s="322"/>
      <c r="V132" s="322"/>
      <c r="W132" s="322"/>
      <c r="X132" s="322"/>
      <c r="Y132" s="322"/>
      <c r="Z132" s="322"/>
    </row>
    <row r="133" ht="12.75" customHeight="1">
      <c r="A133" s="322"/>
      <c r="B133" s="322"/>
      <c r="C133" s="323"/>
      <c r="D133" s="324"/>
      <c r="E133" s="323"/>
      <c r="F133" s="324"/>
      <c r="G133" s="322"/>
      <c r="H133" s="322"/>
      <c r="I133" s="322"/>
      <c r="J133" s="322"/>
      <c r="K133" s="322"/>
      <c r="L133" s="322"/>
      <c r="M133" s="322"/>
      <c r="N133" s="322"/>
      <c r="O133" s="322"/>
      <c r="P133" s="322"/>
      <c r="Q133" s="322"/>
      <c r="R133" s="322"/>
      <c r="S133" s="322"/>
      <c r="T133" s="322"/>
      <c r="U133" s="322"/>
      <c r="V133" s="322"/>
      <c r="W133" s="322"/>
      <c r="X133" s="322"/>
      <c r="Y133" s="322"/>
      <c r="Z133" s="322"/>
    </row>
    <row r="134" ht="12.75" customHeight="1">
      <c r="A134" s="322"/>
      <c r="B134" s="322"/>
      <c r="C134" s="323"/>
      <c r="D134" s="324"/>
      <c r="E134" s="323"/>
      <c r="F134" s="324"/>
      <c r="G134" s="322"/>
      <c r="H134" s="322"/>
      <c r="I134" s="322"/>
      <c r="J134" s="322"/>
      <c r="K134" s="322"/>
      <c r="L134" s="322"/>
      <c r="M134" s="322"/>
      <c r="N134" s="322"/>
      <c r="O134" s="322"/>
      <c r="P134" s="322"/>
      <c r="Q134" s="322"/>
      <c r="R134" s="322"/>
      <c r="S134" s="322"/>
      <c r="T134" s="322"/>
      <c r="U134" s="322"/>
      <c r="V134" s="322"/>
      <c r="W134" s="322"/>
      <c r="X134" s="322"/>
      <c r="Y134" s="322"/>
      <c r="Z134" s="322"/>
    </row>
    <row r="135" ht="12.75" customHeight="1">
      <c r="A135" s="322"/>
      <c r="B135" s="322"/>
      <c r="C135" s="323"/>
      <c r="D135" s="324"/>
      <c r="E135" s="323"/>
      <c r="F135" s="324"/>
      <c r="G135" s="322"/>
      <c r="H135" s="322"/>
      <c r="I135" s="322"/>
      <c r="J135" s="322"/>
      <c r="K135" s="322"/>
      <c r="L135" s="322"/>
      <c r="M135" s="322"/>
      <c r="N135" s="322"/>
      <c r="O135" s="322"/>
      <c r="P135" s="322"/>
      <c r="Q135" s="322"/>
      <c r="R135" s="322"/>
      <c r="S135" s="322"/>
      <c r="T135" s="322"/>
      <c r="U135" s="322"/>
      <c r="V135" s="322"/>
      <c r="W135" s="322"/>
      <c r="X135" s="322"/>
      <c r="Y135" s="322"/>
      <c r="Z135" s="322"/>
    </row>
    <row r="136" ht="12.75" customHeight="1">
      <c r="A136" s="322"/>
      <c r="B136" s="322"/>
      <c r="C136" s="323"/>
      <c r="D136" s="324"/>
      <c r="E136" s="323"/>
      <c r="F136" s="324"/>
      <c r="G136" s="322"/>
      <c r="H136" s="322"/>
      <c r="I136" s="322"/>
      <c r="J136" s="322"/>
      <c r="K136" s="322"/>
      <c r="L136" s="322"/>
      <c r="M136" s="322"/>
      <c r="N136" s="322"/>
      <c r="O136" s="322"/>
      <c r="P136" s="322"/>
      <c r="Q136" s="322"/>
      <c r="R136" s="322"/>
      <c r="S136" s="322"/>
      <c r="T136" s="322"/>
      <c r="U136" s="322"/>
      <c r="V136" s="322"/>
      <c r="W136" s="322"/>
      <c r="X136" s="322"/>
      <c r="Y136" s="322"/>
      <c r="Z136" s="322"/>
    </row>
    <row r="137" ht="12.75" customHeight="1">
      <c r="A137" s="322"/>
      <c r="B137" s="322"/>
      <c r="C137" s="323"/>
      <c r="D137" s="324"/>
      <c r="E137" s="323"/>
      <c r="F137" s="324"/>
      <c r="G137" s="322"/>
      <c r="H137" s="322"/>
      <c r="I137" s="322"/>
      <c r="J137" s="322"/>
      <c r="K137" s="322"/>
      <c r="L137" s="322"/>
      <c r="M137" s="322"/>
      <c r="N137" s="322"/>
      <c r="O137" s="322"/>
      <c r="P137" s="322"/>
      <c r="Q137" s="322"/>
      <c r="R137" s="322"/>
      <c r="S137" s="322"/>
      <c r="T137" s="322"/>
      <c r="U137" s="322"/>
      <c r="V137" s="322"/>
      <c r="W137" s="322"/>
      <c r="X137" s="322"/>
      <c r="Y137" s="322"/>
      <c r="Z137" s="322"/>
    </row>
    <row r="138" ht="12.75" customHeight="1">
      <c r="A138" s="322"/>
      <c r="B138" s="322"/>
      <c r="C138" s="323"/>
      <c r="D138" s="324"/>
      <c r="E138" s="323"/>
      <c r="F138" s="324"/>
      <c r="G138" s="322"/>
      <c r="H138" s="322"/>
      <c r="I138" s="322"/>
      <c r="J138" s="322"/>
      <c r="K138" s="322"/>
      <c r="L138" s="322"/>
      <c r="M138" s="322"/>
      <c r="N138" s="322"/>
      <c r="O138" s="322"/>
      <c r="P138" s="322"/>
      <c r="Q138" s="322"/>
      <c r="R138" s="322"/>
      <c r="S138" s="322"/>
      <c r="T138" s="322"/>
      <c r="U138" s="322"/>
      <c r="V138" s="322"/>
      <c r="W138" s="322"/>
      <c r="X138" s="322"/>
      <c r="Y138" s="322"/>
      <c r="Z138" s="322"/>
    </row>
    <row r="139" ht="12.75" customHeight="1">
      <c r="A139" s="322"/>
      <c r="B139" s="322"/>
      <c r="C139" s="323"/>
      <c r="D139" s="324"/>
      <c r="E139" s="323"/>
      <c r="F139" s="324"/>
      <c r="G139" s="322"/>
      <c r="H139" s="322"/>
      <c r="I139" s="322"/>
      <c r="J139" s="322"/>
      <c r="K139" s="322"/>
      <c r="L139" s="322"/>
      <c r="M139" s="322"/>
      <c r="N139" s="322"/>
      <c r="O139" s="322"/>
      <c r="P139" s="322"/>
      <c r="Q139" s="322"/>
      <c r="R139" s="322"/>
      <c r="S139" s="322"/>
      <c r="T139" s="322"/>
      <c r="U139" s="322"/>
      <c r="V139" s="322"/>
      <c r="W139" s="322"/>
      <c r="X139" s="322"/>
      <c r="Y139" s="322"/>
      <c r="Z139" s="322"/>
    </row>
    <row r="140" ht="12.75" customHeight="1">
      <c r="A140" s="322"/>
      <c r="B140" s="322"/>
      <c r="C140" s="323"/>
      <c r="D140" s="324"/>
      <c r="E140" s="323"/>
      <c r="F140" s="324"/>
      <c r="G140" s="322"/>
      <c r="H140" s="322"/>
      <c r="I140" s="322"/>
      <c r="J140" s="322"/>
      <c r="K140" s="322"/>
      <c r="L140" s="322"/>
      <c r="M140" s="322"/>
      <c r="N140" s="322"/>
      <c r="O140" s="322"/>
      <c r="P140" s="322"/>
      <c r="Q140" s="322"/>
      <c r="R140" s="322"/>
      <c r="S140" s="322"/>
      <c r="T140" s="322"/>
      <c r="U140" s="322"/>
      <c r="V140" s="322"/>
      <c r="W140" s="322"/>
      <c r="X140" s="322"/>
      <c r="Y140" s="322"/>
      <c r="Z140" s="322"/>
    </row>
    <row r="141" ht="12.75" customHeight="1">
      <c r="A141" s="322"/>
      <c r="B141" s="322"/>
      <c r="C141" s="323"/>
      <c r="D141" s="324"/>
      <c r="E141" s="323"/>
      <c r="F141" s="324"/>
      <c r="G141" s="322"/>
      <c r="H141" s="322"/>
      <c r="I141" s="322"/>
      <c r="J141" s="322"/>
      <c r="K141" s="322"/>
      <c r="L141" s="322"/>
      <c r="M141" s="322"/>
      <c r="N141" s="322"/>
      <c r="O141" s="322"/>
      <c r="P141" s="322"/>
      <c r="Q141" s="322"/>
      <c r="R141" s="322"/>
      <c r="S141" s="322"/>
      <c r="T141" s="322"/>
      <c r="U141" s="322"/>
      <c r="V141" s="322"/>
      <c r="W141" s="322"/>
      <c r="X141" s="322"/>
      <c r="Y141" s="322"/>
      <c r="Z141" s="322"/>
    </row>
    <row r="142" ht="12.75" customHeight="1">
      <c r="A142" s="322"/>
      <c r="B142" s="322"/>
      <c r="C142" s="323"/>
      <c r="D142" s="324"/>
      <c r="E142" s="323"/>
      <c r="F142" s="324"/>
      <c r="G142" s="322"/>
      <c r="H142" s="322"/>
      <c r="I142" s="322"/>
      <c r="J142" s="322"/>
      <c r="K142" s="322"/>
      <c r="L142" s="322"/>
      <c r="M142" s="322"/>
      <c r="N142" s="322"/>
      <c r="O142" s="322"/>
      <c r="P142" s="322"/>
      <c r="Q142" s="322"/>
      <c r="R142" s="322"/>
      <c r="S142" s="322"/>
      <c r="T142" s="322"/>
      <c r="U142" s="322"/>
      <c r="V142" s="322"/>
      <c r="W142" s="322"/>
      <c r="X142" s="322"/>
      <c r="Y142" s="322"/>
      <c r="Z142" s="322"/>
    </row>
    <row r="143" ht="12.75" customHeight="1">
      <c r="A143" s="322"/>
      <c r="B143" s="322"/>
      <c r="C143" s="323"/>
      <c r="D143" s="324"/>
      <c r="E143" s="323"/>
      <c r="F143" s="324"/>
      <c r="G143" s="322"/>
      <c r="H143" s="322"/>
      <c r="I143" s="322"/>
      <c r="J143" s="322"/>
      <c r="K143" s="322"/>
      <c r="L143" s="322"/>
      <c r="M143" s="322"/>
      <c r="N143" s="322"/>
      <c r="O143" s="322"/>
      <c r="P143" s="322"/>
      <c r="Q143" s="322"/>
      <c r="R143" s="322"/>
      <c r="S143" s="322"/>
      <c r="T143" s="322"/>
      <c r="U143" s="322"/>
      <c r="V143" s="322"/>
      <c r="W143" s="322"/>
      <c r="X143" s="322"/>
      <c r="Y143" s="322"/>
      <c r="Z143" s="322"/>
    </row>
    <row r="144" ht="12.75" customHeight="1">
      <c r="A144" s="322"/>
      <c r="B144" s="322"/>
      <c r="C144" s="323"/>
      <c r="D144" s="324"/>
      <c r="E144" s="323"/>
      <c r="F144" s="324"/>
      <c r="G144" s="322"/>
      <c r="H144" s="322"/>
      <c r="I144" s="322"/>
      <c r="J144" s="322"/>
      <c r="K144" s="322"/>
      <c r="L144" s="322"/>
      <c r="M144" s="322"/>
      <c r="N144" s="322"/>
      <c r="O144" s="322"/>
      <c r="P144" s="322"/>
      <c r="Q144" s="322"/>
      <c r="R144" s="322"/>
      <c r="S144" s="322"/>
      <c r="T144" s="322"/>
      <c r="U144" s="322"/>
      <c r="V144" s="322"/>
      <c r="W144" s="322"/>
      <c r="X144" s="322"/>
      <c r="Y144" s="322"/>
      <c r="Z144" s="322"/>
    </row>
    <row r="145" ht="12.75" customHeight="1">
      <c r="A145" s="322"/>
      <c r="B145" s="322"/>
      <c r="C145" s="323"/>
      <c r="D145" s="324"/>
      <c r="E145" s="323"/>
      <c r="F145" s="324"/>
      <c r="G145" s="322"/>
      <c r="H145" s="322"/>
      <c r="I145" s="322"/>
      <c r="J145" s="322"/>
      <c r="K145" s="322"/>
      <c r="L145" s="322"/>
      <c r="M145" s="322"/>
      <c r="N145" s="322"/>
      <c r="O145" s="322"/>
      <c r="P145" s="322"/>
      <c r="Q145" s="322"/>
      <c r="R145" s="322"/>
      <c r="S145" s="322"/>
      <c r="T145" s="322"/>
      <c r="U145" s="322"/>
      <c r="V145" s="322"/>
      <c r="W145" s="322"/>
      <c r="X145" s="322"/>
      <c r="Y145" s="322"/>
      <c r="Z145" s="322"/>
    </row>
    <row r="146" ht="12.75" customHeight="1">
      <c r="A146" s="322"/>
      <c r="B146" s="322"/>
      <c r="C146" s="323"/>
      <c r="D146" s="324"/>
      <c r="E146" s="323"/>
      <c r="F146" s="324"/>
      <c r="G146" s="322"/>
      <c r="H146" s="322"/>
      <c r="I146" s="322"/>
      <c r="J146" s="322"/>
      <c r="K146" s="322"/>
      <c r="L146" s="322"/>
      <c r="M146" s="322"/>
      <c r="N146" s="322"/>
      <c r="O146" s="322"/>
      <c r="P146" s="322"/>
      <c r="Q146" s="322"/>
      <c r="R146" s="322"/>
      <c r="S146" s="322"/>
      <c r="T146" s="322"/>
      <c r="U146" s="322"/>
      <c r="V146" s="322"/>
      <c r="W146" s="322"/>
      <c r="X146" s="322"/>
      <c r="Y146" s="322"/>
      <c r="Z146" s="322"/>
    </row>
    <row r="147" ht="12.75" customHeight="1">
      <c r="A147" s="322"/>
      <c r="B147" s="322"/>
      <c r="C147" s="323"/>
      <c r="D147" s="324"/>
      <c r="E147" s="323"/>
      <c r="F147" s="324"/>
      <c r="G147" s="322"/>
      <c r="H147" s="322"/>
      <c r="I147" s="322"/>
      <c r="J147" s="322"/>
      <c r="K147" s="322"/>
      <c r="L147" s="322"/>
      <c r="M147" s="322"/>
      <c r="N147" s="322"/>
      <c r="O147" s="322"/>
      <c r="P147" s="322"/>
      <c r="Q147" s="322"/>
      <c r="R147" s="322"/>
      <c r="S147" s="322"/>
      <c r="T147" s="322"/>
      <c r="U147" s="322"/>
      <c r="V147" s="322"/>
      <c r="W147" s="322"/>
      <c r="X147" s="322"/>
      <c r="Y147" s="322"/>
      <c r="Z147" s="322"/>
    </row>
    <row r="148" ht="12.75" customHeight="1">
      <c r="A148" s="322"/>
      <c r="B148" s="322"/>
      <c r="C148" s="323"/>
      <c r="D148" s="324"/>
      <c r="E148" s="323"/>
      <c r="F148" s="324"/>
      <c r="G148" s="322"/>
      <c r="H148" s="322"/>
      <c r="I148" s="322"/>
      <c r="J148" s="322"/>
      <c r="K148" s="322"/>
      <c r="L148" s="322"/>
      <c r="M148" s="322"/>
      <c r="N148" s="322"/>
      <c r="O148" s="322"/>
      <c r="P148" s="322"/>
      <c r="Q148" s="322"/>
      <c r="R148" s="322"/>
      <c r="S148" s="322"/>
      <c r="T148" s="322"/>
      <c r="U148" s="322"/>
      <c r="V148" s="322"/>
      <c r="W148" s="322"/>
      <c r="X148" s="322"/>
      <c r="Y148" s="322"/>
      <c r="Z148" s="322"/>
    </row>
    <row r="149" ht="12.75" customHeight="1">
      <c r="A149" s="322"/>
      <c r="B149" s="322"/>
      <c r="C149" s="323"/>
      <c r="D149" s="324"/>
      <c r="E149" s="323"/>
      <c r="F149" s="324"/>
      <c r="G149" s="322"/>
      <c r="H149" s="322"/>
      <c r="I149" s="322"/>
      <c r="J149" s="322"/>
      <c r="K149" s="322"/>
      <c r="L149" s="322"/>
      <c r="M149" s="322"/>
      <c r="N149" s="322"/>
      <c r="O149" s="322"/>
      <c r="P149" s="322"/>
      <c r="Q149" s="322"/>
      <c r="R149" s="322"/>
      <c r="S149" s="322"/>
      <c r="T149" s="322"/>
      <c r="U149" s="322"/>
      <c r="V149" s="322"/>
      <c r="W149" s="322"/>
      <c r="X149" s="322"/>
      <c r="Y149" s="322"/>
      <c r="Z149" s="322"/>
    </row>
    <row r="150" ht="12.75" customHeight="1">
      <c r="A150" s="322"/>
      <c r="B150" s="322"/>
      <c r="C150" s="323"/>
      <c r="D150" s="324"/>
      <c r="E150" s="323"/>
      <c r="F150" s="324"/>
      <c r="G150" s="322"/>
      <c r="H150" s="322"/>
      <c r="I150" s="322"/>
      <c r="J150" s="322"/>
      <c r="K150" s="322"/>
      <c r="L150" s="322"/>
      <c r="M150" s="322"/>
      <c r="N150" s="322"/>
      <c r="O150" s="322"/>
      <c r="P150" s="322"/>
      <c r="Q150" s="322"/>
      <c r="R150" s="322"/>
      <c r="S150" s="322"/>
      <c r="T150" s="322"/>
      <c r="U150" s="322"/>
      <c r="V150" s="322"/>
      <c r="W150" s="322"/>
      <c r="X150" s="322"/>
      <c r="Y150" s="322"/>
      <c r="Z150" s="322"/>
    </row>
    <row r="151" ht="12.75" customHeight="1">
      <c r="A151" s="322"/>
      <c r="B151" s="322"/>
      <c r="C151" s="323"/>
      <c r="D151" s="324"/>
      <c r="E151" s="323"/>
      <c r="F151" s="324"/>
      <c r="G151" s="322"/>
      <c r="H151" s="322"/>
      <c r="I151" s="322"/>
      <c r="J151" s="322"/>
      <c r="K151" s="322"/>
      <c r="L151" s="322"/>
      <c r="M151" s="322"/>
      <c r="N151" s="322"/>
      <c r="O151" s="322"/>
      <c r="P151" s="322"/>
      <c r="Q151" s="322"/>
      <c r="R151" s="322"/>
      <c r="S151" s="322"/>
      <c r="T151" s="322"/>
      <c r="U151" s="322"/>
      <c r="V151" s="322"/>
      <c r="W151" s="322"/>
      <c r="X151" s="322"/>
      <c r="Y151" s="322"/>
      <c r="Z151" s="322"/>
    </row>
    <row r="152" ht="12.75" customHeight="1">
      <c r="A152" s="322"/>
      <c r="B152" s="322"/>
      <c r="C152" s="323"/>
      <c r="D152" s="324"/>
      <c r="E152" s="323"/>
      <c r="F152" s="324"/>
      <c r="G152" s="322"/>
      <c r="H152" s="322"/>
      <c r="I152" s="322"/>
      <c r="J152" s="322"/>
      <c r="K152" s="322"/>
      <c r="L152" s="322"/>
      <c r="M152" s="322"/>
      <c r="N152" s="322"/>
      <c r="O152" s="322"/>
      <c r="P152" s="322"/>
      <c r="Q152" s="322"/>
      <c r="R152" s="322"/>
      <c r="S152" s="322"/>
      <c r="T152" s="322"/>
      <c r="U152" s="322"/>
      <c r="V152" s="322"/>
      <c r="W152" s="322"/>
      <c r="X152" s="322"/>
      <c r="Y152" s="322"/>
      <c r="Z152" s="322"/>
    </row>
    <row r="153" ht="12.75" customHeight="1">
      <c r="A153" s="322"/>
      <c r="B153" s="322"/>
      <c r="C153" s="323"/>
      <c r="D153" s="324"/>
      <c r="E153" s="323"/>
      <c r="F153" s="324"/>
      <c r="G153" s="322"/>
      <c r="H153" s="322"/>
      <c r="I153" s="322"/>
      <c r="J153" s="322"/>
      <c r="K153" s="322"/>
      <c r="L153" s="322"/>
      <c r="M153" s="322"/>
      <c r="N153" s="322"/>
      <c r="O153" s="322"/>
      <c r="P153" s="322"/>
      <c r="Q153" s="322"/>
      <c r="R153" s="322"/>
      <c r="S153" s="322"/>
      <c r="T153" s="322"/>
      <c r="U153" s="322"/>
      <c r="V153" s="322"/>
      <c r="W153" s="322"/>
      <c r="X153" s="322"/>
      <c r="Y153" s="322"/>
      <c r="Z153" s="322"/>
    </row>
    <row r="154" ht="12.75" customHeight="1">
      <c r="A154" s="322"/>
      <c r="B154" s="322"/>
      <c r="C154" s="323"/>
      <c r="D154" s="324"/>
      <c r="E154" s="323"/>
      <c r="F154" s="324"/>
      <c r="G154" s="322"/>
      <c r="H154" s="322"/>
      <c r="I154" s="322"/>
      <c r="J154" s="322"/>
      <c r="K154" s="322"/>
      <c r="L154" s="322"/>
      <c r="M154" s="322"/>
      <c r="N154" s="322"/>
      <c r="O154" s="322"/>
      <c r="P154" s="322"/>
      <c r="Q154" s="322"/>
      <c r="R154" s="322"/>
      <c r="S154" s="322"/>
      <c r="T154" s="322"/>
      <c r="U154" s="322"/>
      <c r="V154" s="322"/>
      <c r="W154" s="322"/>
      <c r="X154" s="322"/>
      <c r="Y154" s="322"/>
      <c r="Z154" s="322"/>
    </row>
    <row r="155" ht="12.75" customHeight="1">
      <c r="A155" s="322"/>
      <c r="B155" s="322"/>
      <c r="C155" s="323"/>
      <c r="D155" s="324"/>
      <c r="E155" s="323"/>
      <c r="F155" s="324"/>
      <c r="G155" s="322"/>
      <c r="H155" s="322"/>
      <c r="I155" s="322"/>
      <c r="J155" s="322"/>
      <c r="K155" s="322"/>
      <c r="L155" s="322"/>
      <c r="M155" s="322"/>
      <c r="N155" s="322"/>
      <c r="O155" s="322"/>
      <c r="P155" s="322"/>
      <c r="Q155" s="322"/>
      <c r="R155" s="322"/>
      <c r="S155" s="322"/>
      <c r="T155" s="322"/>
      <c r="U155" s="322"/>
      <c r="V155" s="322"/>
      <c r="W155" s="322"/>
      <c r="X155" s="322"/>
      <c r="Y155" s="322"/>
      <c r="Z155" s="322"/>
    </row>
    <row r="156" ht="12.75" customHeight="1">
      <c r="A156" s="322"/>
      <c r="B156" s="322"/>
      <c r="C156" s="323"/>
      <c r="D156" s="324"/>
      <c r="E156" s="323"/>
      <c r="F156" s="324"/>
      <c r="G156" s="322"/>
      <c r="H156" s="322"/>
      <c r="I156" s="322"/>
      <c r="J156" s="322"/>
      <c r="K156" s="322"/>
      <c r="L156" s="322"/>
      <c r="M156" s="322"/>
      <c r="N156" s="322"/>
      <c r="O156" s="322"/>
      <c r="P156" s="322"/>
      <c r="Q156" s="322"/>
      <c r="R156" s="322"/>
      <c r="S156" s="322"/>
      <c r="T156" s="322"/>
      <c r="U156" s="322"/>
      <c r="V156" s="322"/>
      <c r="W156" s="322"/>
      <c r="X156" s="322"/>
      <c r="Y156" s="322"/>
      <c r="Z156" s="322"/>
    </row>
    <row r="157" ht="12.75" customHeight="1">
      <c r="A157" s="322"/>
      <c r="B157" s="322"/>
      <c r="C157" s="323"/>
      <c r="D157" s="324"/>
      <c r="E157" s="323"/>
      <c r="F157" s="324"/>
      <c r="G157" s="322"/>
      <c r="H157" s="322"/>
      <c r="I157" s="322"/>
      <c r="J157" s="322"/>
      <c r="K157" s="322"/>
      <c r="L157" s="322"/>
      <c r="M157" s="322"/>
      <c r="N157" s="322"/>
      <c r="O157" s="322"/>
      <c r="P157" s="322"/>
      <c r="Q157" s="322"/>
      <c r="R157" s="322"/>
      <c r="S157" s="322"/>
      <c r="T157" s="322"/>
      <c r="U157" s="322"/>
      <c r="V157" s="322"/>
      <c r="W157" s="322"/>
      <c r="X157" s="322"/>
      <c r="Y157" s="322"/>
      <c r="Z157" s="322"/>
    </row>
    <row r="158" ht="12.75" customHeight="1">
      <c r="A158" s="322"/>
      <c r="B158" s="322"/>
      <c r="C158" s="323"/>
      <c r="D158" s="324"/>
      <c r="E158" s="323"/>
      <c r="F158" s="324"/>
      <c r="G158" s="322"/>
      <c r="H158" s="322"/>
      <c r="I158" s="322"/>
      <c r="J158" s="322"/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</row>
    <row r="159" ht="12.75" customHeight="1">
      <c r="A159" s="322"/>
      <c r="B159" s="322"/>
      <c r="C159" s="323"/>
      <c r="D159" s="324"/>
      <c r="E159" s="323"/>
      <c r="F159" s="324"/>
      <c r="G159" s="322"/>
      <c r="H159" s="322"/>
      <c r="I159" s="322"/>
      <c r="J159" s="322"/>
      <c r="K159" s="322"/>
      <c r="L159" s="322"/>
      <c r="M159" s="322"/>
      <c r="N159" s="322"/>
      <c r="O159" s="322"/>
      <c r="P159" s="322"/>
      <c r="Q159" s="322"/>
      <c r="R159" s="322"/>
      <c r="S159" s="322"/>
      <c r="T159" s="322"/>
      <c r="U159" s="322"/>
      <c r="V159" s="322"/>
      <c r="W159" s="322"/>
      <c r="X159" s="322"/>
      <c r="Y159" s="322"/>
      <c r="Z159" s="322"/>
    </row>
    <row r="160" ht="12.75" customHeight="1">
      <c r="A160" s="322"/>
      <c r="B160" s="322"/>
      <c r="C160" s="323"/>
      <c r="D160" s="324"/>
      <c r="E160" s="323"/>
      <c r="F160" s="324"/>
      <c r="G160" s="322"/>
      <c r="H160" s="322"/>
      <c r="I160" s="322"/>
      <c r="J160" s="322"/>
      <c r="K160" s="322"/>
      <c r="L160" s="322"/>
      <c r="M160" s="322"/>
      <c r="N160" s="322"/>
      <c r="O160" s="322"/>
      <c r="P160" s="322"/>
      <c r="Q160" s="322"/>
      <c r="R160" s="322"/>
      <c r="S160" s="322"/>
      <c r="T160" s="322"/>
      <c r="U160" s="322"/>
      <c r="V160" s="322"/>
      <c r="W160" s="322"/>
      <c r="X160" s="322"/>
      <c r="Y160" s="322"/>
      <c r="Z160" s="322"/>
    </row>
    <row r="161" ht="12.75" customHeight="1">
      <c r="A161" s="322"/>
      <c r="B161" s="322"/>
      <c r="C161" s="323"/>
      <c r="D161" s="324"/>
      <c r="E161" s="323"/>
      <c r="F161" s="324"/>
      <c r="G161" s="322"/>
      <c r="H161" s="322"/>
      <c r="I161" s="322"/>
      <c r="J161" s="322"/>
      <c r="K161" s="322"/>
      <c r="L161" s="322"/>
      <c r="M161" s="322"/>
      <c r="N161" s="322"/>
      <c r="O161" s="322"/>
      <c r="P161" s="322"/>
      <c r="Q161" s="322"/>
      <c r="R161" s="322"/>
      <c r="S161" s="322"/>
      <c r="T161" s="322"/>
      <c r="U161" s="322"/>
      <c r="V161" s="322"/>
      <c r="W161" s="322"/>
      <c r="X161" s="322"/>
      <c r="Y161" s="322"/>
      <c r="Z161" s="322"/>
    </row>
    <row r="162" ht="12.75" customHeight="1">
      <c r="A162" s="322"/>
      <c r="B162" s="322"/>
      <c r="C162" s="323"/>
      <c r="D162" s="324"/>
      <c r="E162" s="323"/>
      <c r="F162" s="324"/>
      <c r="G162" s="322"/>
      <c r="H162" s="322"/>
      <c r="I162" s="322"/>
      <c r="J162" s="322"/>
      <c r="K162" s="322"/>
      <c r="L162" s="322"/>
      <c r="M162" s="322"/>
      <c r="N162" s="322"/>
      <c r="O162" s="322"/>
      <c r="P162" s="322"/>
      <c r="Q162" s="322"/>
      <c r="R162" s="322"/>
      <c r="S162" s="322"/>
      <c r="T162" s="322"/>
      <c r="U162" s="322"/>
      <c r="V162" s="322"/>
      <c r="W162" s="322"/>
      <c r="X162" s="322"/>
      <c r="Y162" s="322"/>
      <c r="Z162" s="322"/>
    </row>
    <row r="163" ht="12.75" customHeight="1">
      <c r="A163" s="322"/>
      <c r="B163" s="322"/>
      <c r="C163" s="323"/>
      <c r="D163" s="324"/>
      <c r="E163" s="323"/>
      <c r="F163" s="324"/>
      <c r="G163" s="322"/>
      <c r="H163" s="322"/>
      <c r="I163" s="322"/>
      <c r="J163" s="322"/>
      <c r="K163" s="322"/>
      <c r="L163" s="322"/>
      <c r="M163" s="322"/>
      <c r="N163" s="322"/>
      <c r="O163" s="322"/>
      <c r="P163" s="322"/>
      <c r="Q163" s="322"/>
      <c r="R163" s="322"/>
      <c r="S163" s="322"/>
      <c r="T163" s="322"/>
      <c r="U163" s="322"/>
      <c r="V163" s="322"/>
      <c r="W163" s="322"/>
      <c r="X163" s="322"/>
      <c r="Y163" s="322"/>
      <c r="Z163" s="322"/>
    </row>
    <row r="164" ht="12.75" customHeight="1">
      <c r="A164" s="322"/>
      <c r="B164" s="322"/>
      <c r="C164" s="323"/>
      <c r="D164" s="324"/>
      <c r="E164" s="323"/>
      <c r="F164" s="324"/>
      <c r="G164" s="322"/>
      <c r="H164" s="322"/>
      <c r="I164" s="322"/>
      <c r="J164" s="322"/>
      <c r="K164" s="322"/>
      <c r="L164" s="322"/>
      <c r="M164" s="322"/>
      <c r="N164" s="322"/>
      <c r="O164" s="322"/>
      <c r="P164" s="322"/>
      <c r="Q164" s="322"/>
      <c r="R164" s="322"/>
      <c r="S164" s="322"/>
      <c r="T164" s="322"/>
      <c r="U164" s="322"/>
      <c r="V164" s="322"/>
      <c r="W164" s="322"/>
      <c r="X164" s="322"/>
      <c r="Y164" s="322"/>
      <c r="Z164" s="322"/>
    </row>
    <row r="165" ht="12.75" customHeight="1">
      <c r="A165" s="322"/>
      <c r="B165" s="322"/>
      <c r="C165" s="323"/>
      <c r="D165" s="324"/>
      <c r="E165" s="323"/>
      <c r="F165" s="324"/>
      <c r="G165" s="322"/>
      <c r="H165" s="322"/>
      <c r="I165" s="322"/>
      <c r="J165" s="322"/>
      <c r="K165" s="32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</row>
    <row r="166" ht="12.75" customHeight="1">
      <c r="A166" s="322"/>
      <c r="B166" s="322"/>
      <c r="C166" s="323"/>
      <c r="D166" s="324"/>
      <c r="E166" s="323"/>
      <c r="F166" s="324"/>
      <c r="G166" s="322"/>
      <c r="H166" s="322"/>
      <c r="I166" s="322"/>
      <c r="J166" s="322"/>
      <c r="K166" s="322"/>
      <c r="L166" s="322"/>
      <c r="M166" s="322"/>
      <c r="N166" s="322"/>
      <c r="O166" s="322"/>
      <c r="P166" s="322"/>
      <c r="Q166" s="322"/>
      <c r="R166" s="322"/>
      <c r="S166" s="322"/>
      <c r="T166" s="322"/>
      <c r="U166" s="322"/>
      <c r="V166" s="322"/>
      <c r="W166" s="322"/>
      <c r="X166" s="322"/>
      <c r="Y166" s="322"/>
      <c r="Z166" s="322"/>
    </row>
    <row r="167" ht="12.75" customHeight="1">
      <c r="A167" s="322"/>
      <c r="B167" s="322"/>
      <c r="C167" s="323"/>
      <c r="D167" s="324"/>
      <c r="E167" s="323"/>
      <c r="F167" s="324"/>
      <c r="G167" s="322"/>
      <c r="H167" s="322"/>
      <c r="I167" s="322"/>
      <c r="J167" s="322"/>
      <c r="K167" s="322"/>
      <c r="L167" s="322"/>
      <c r="M167" s="322"/>
      <c r="N167" s="322"/>
      <c r="O167" s="322"/>
      <c r="P167" s="322"/>
      <c r="Q167" s="322"/>
      <c r="R167" s="322"/>
      <c r="S167" s="322"/>
      <c r="T167" s="322"/>
      <c r="U167" s="322"/>
      <c r="V167" s="322"/>
      <c r="W167" s="322"/>
      <c r="X167" s="322"/>
      <c r="Y167" s="322"/>
      <c r="Z167" s="322"/>
    </row>
    <row r="168" ht="12.75" customHeight="1">
      <c r="A168" s="322"/>
      <c r="B168" s="322"/>
      <c r="C168" s="323"/>
      <c r="D168" s="324"/>
      <c r="E168" s="323"/>
      <c r="F168" s="324"/>
      <c r="G168" s="322"/>
      <c r="H168" s="322"/>
      <c r="I168" s="322"/>
      <c r="J168" s="322"/>
      <c r="K168" s="322"/>
      <c r="L168" s="322"/>
      <c r="M168" s="322"/>
      <c r="N168" s="322"/>
      <c r="O168" s="322"/>
      <c r="P168" s="322"/>
      <c r="Q168" s="322"/>
      <c r="R168" s="322"/>
      <c r="S168" s="322"/>
      <c r="T168" s="322"/>
      <c r="U168" s="322"/>
      <c r="V168" s="322"/>
      <c r="W168" s="322"/>
      <c r="X168" s="322"/>
      <c r="Y168" s="322"/>
      <c r="Z168" s="322"/>
    </row>
    <row r="169" ht="12.75" customHeight="1">
      <c r="A169" s="322"/>
      <c r="B169" s="322"/>
      <c r="C169" s="323"/>
      <c r="D169" s="324"/>
      <c r="E169" s="323"/>
      <c r="F169" s="324"/>
      <c r="G169" s="322"/>
      <c r="H169" s="322"/>
      <c r="I169" s="322"/>
      <c r="J169" s="322"/>
      <c r="K169" s="322"/>
      <c r="L169" s="322"/>
      <c r="M169" s="322"/>
      <c r="N169" s="322"/>
      <c r="O169" s="322"/>
      <c r="P169" s="322"/>
      <c r="Q169" s="322"/>
      <c r="R169" s="322"/>
      <c r="S169" s="322"/>
      <c r="T169" s="322"/>
      <c r="U169" s="322"/>
      <c r="V169" s="322"/>
      <c r="W169" s="322"/>
      <c r="X169" s="322"/>
      <c r="Y169" s="322"/>
      <c r="Z169" s="322"/>
    </row>
    <row r="170" ht="12.75" customHeight="1">
      <c r="A170" s="322"/>
      <c r="B170" s="322"/>
      <c r="C170" s="323"/>
      <c r="D170" s="324"/>
      <c r="E170" s="323"/>
      <c r="F170" s="324"/>
      <c r="G170" s="322"/>
      <c r="H170" s="322"/>
      <c r="I170" s="322"/>
      <c r="J170" s="322"/>
      <c r="K170" s="322"/>
      <c r="L170" s="322"/>
      <c r="M170" s="322"/>
      <c r="N170" s="322"/>
      <c r="O170" s="322"/>
      <c r="P170" s="322"/>
      <c r="Q170" s="322"/>
      <c r="R170" s="322"/>
      <c r="S170" s="322"/>
      <c r="T170" s="322"/>
      <c r="U170" s="322"/>
      <c r="V170" s="322"/>
      <c r="W170" s="322"/>
      <c r="X170" s="322"/>
      <c r="Y170" s="322"/>
      <c r="Z170" s="322"/>
    </row>
    <row r="171" ht="12.75" customHeight="1">
      <c r="A171" s="322"/>
      <c r="B171" s="322"/>
      <c r="C171" s="323"/>
      <c r="D171" s="324"/>
      <c r="E171" s="323"/>
      <c r="F171" s="324"/>
      <c r="G171" s="322"/>
      <c r="H171" s="322"/>
      <c r="I171" s="322"/>
      <c r="J171" s="322"/>
      <c r="K171" s="322"/>
      <c r="L171" s="322"/>
      <c r="M171" s="322"/>
      <c r="N171" s="322"/>
      <c r="O171" s="322"/>
      <c r="P171" s="322"/>
      <c r="Q171" s="322"/>
      <c r="R171" s="322"/>
      <c r="S171" s="322"/>
      <c r="T171" s="322"/>
      <c r="U171" s="322"/>
      <c r="V171" s="322"/>
      <c r="W171" s="322"/>
      <c r="X171" s="322"/>
      <c r="Y171" s="322"/>
      <c r="Z171" s="322"/>
    </row>
    <row r="172" ht="12.75" customHeight="1">
      <c r="A172" s="322"/>
      <c r="B172" s="322"/>
      <c r="C172" s="323"/>
      <c r="D172" s="324"/>
      <c r="E172" s="323"/>
      <c r="F172" s="324"/>
      <c r="G172" s="322"/>
      <c r="H172" s="322"/>
      <c r="I172" s="322"/>
      <c r="J172" s="322"/>
      <c r="K172" s="322"/>
      <c r="L172" s="322"/>
      <c r="M172" s="322"/>
      <c r="N172" s="322"/>
      <c r="O172" s="322"/>
      <c r="P172" s="322"/>
      <c r="Q172" s="322"/>
      <c r="R172" s="322"/>
      <c r="S172" s="322"/>
      <c r="T172" s="322"/>
      <c r="U172" s="322"/>
      <c r="V172" s="322"/>
      <c r="W172" s="322"/>
      <c r="X172" s="322"/>
      <c r="Y172" s="322"/>
      <c r="Z172" s="322"/>
    </row>
    <row r="173" ht="12.75" customHeight="1">
      <c r="A173" s="322"/>
      <c r="B173" s="322"/>
      <c r="C173" s="323"/>
      <c r="D173" s="324"/>
      <c r="E173" s="323"/>
      <c r="F173" s="324"/>
      <c r="G173" s="322"/>
      <c r="H173" s="322"/>
      <c r="I173" s="322"/>
      <c r="J173" s="322"/>
      <c r="K173" s="322"/>
      <c r="L173" s="322"/>
      <c r="M173" s="322"/>
      <c r="N173" s="322"/>
      <c r="O173" s="322"/>
      <c r="P173" s="322"/>
      <c r="Q173" s="322"/>
      <c r="R173" s="322"/>
      <c r="S173" s="322"/>
      <c r="T173" s="322"/>
      <c r="U173" s="322"/>
      <c r="V173" s="322"/>
      <c r="W173" s="322"/>
      <c r="X173" s="322"/>
      <c r="Y173" s="322"/>
      <c r="Z173" s="322"/>
    </row>
    <row r="174" ht="12.75" customHeight="1">
      <c r="A174" s="322"/>
      <c r="B174" s="322"/>
      <c r="C174" s="323"/>
      <c r="D174" s="324"/>
      <c r="E174" s="323"/>
      <c r="F174" s="324"/>
      <c r="G174" s="322"/>
      <c r="H174" s="322"/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  <c r="Z174" s="322"/>
    </row>
    <row r="175" ht="12.75" customHeight="1">
      <c r="A175" s="322"/>
      <c r="B175" s="322"/>
      <c r="C175" s="323"/>
      <c r="D175" s="324"/>
      <c r="E175" s="323"/>
      <c r="F175" s="324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  <c r="Z175" s="322"/>
    </row>
    <row r="176" ht="12.75" customHeight="1">
      <c r="A176" s="322"/>
      <c r="B176" s="322"/>
      <c r="C176" s="323"/>
      <c r="D176" s="324"/>
      <c r="E176" s="323"/>
      <c r="F176" s="324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  <c r="Z176" s="322"/>
    </row>
    <row r="177" ht="12.75" customHeight="1">
      <c r="A177" s="322"/>
      <c r="B177" s="322"/>
      <c r="C177" s="323"/>
      <c r="D177" s="324"/>
      <c r="E177" s="323"/>
      <c r="F177" s="324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</row>
    <row r="178" ht="12.75" customHeight="1">
      <c r="A178" s="322"/>
      <c r="B178" s="322"/>
      <c r="C178" s="323"/>
      <c r="D178" s="324"/>
      <c r="E178" s="323"/>
      <c r="F178" s="324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  <c r="Z178" s="322"/>
    </row>
    <row r="179" ht="12.75" customHeight="1">
      <c r="A179" s="322"/>
      <c r="B179" s="322"/>
      <c r="C179" s="323"/>
      <c r="D179" s="324"/>
      <c r="E179" s="323"/>
      <c r="F179" s="324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  <c r="Z179" s="322"/>
    </row>
    <row r="180" ht="12.75" customHeight="1">
      <c r="A180" s="322"/>
      <c r="B180" s="322"/>
      <c r="C180" s="323"/>
      <c r="D180" s="324"/>
      <c r="E180" s="323"/>
      <c r="F180" s="324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  <c r="Z180" s="322"/>
    </row>
    <row r="181" ht="12.75" customHeight="1">
      <c r="A181" s="322"/>
      <c r="B181" s="322"/>
      <c r="C181" s="323"/>
      <c r="D181" s="324"/>
      <c r="E181" s="323"/>
      <c r="F181" s="324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  <c r="Z181" s="322"/>
    </row>
    <row r="182" ht="12.75" customHeight="1">
      <c r="A182" s="322"/>
      <c r="B182" s="322"/>
      <c r="C182" s="323"/>
      <c r="D182" s="324"/>
      <c r="E182" s="323"/>
      <c r="F182" s="324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  <c r="Z182" s="322"/>
    </row>
    <row r="183" ht="12.75" customHeight="1">
      <c r="A183" s="322"/>
      <c r="B183" s="322"/>
      <c r="C183" s="323"/>
      <c r="D183" s="324"/>
      <c r="E183" s="323"/>
      <c r="F183" s="324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  <c r="Z183" s="322"/>
    </row>
    <row r="184" ht="12.75" customHeight="1">
      <c r="A184" s="322"/>
      <c r="B184" s="322"/>
      <c r="C184" s="323"/>
      <c r="D184" s="324"/>
      <c r="E184" s="323"/>
      <c r="F184" s="324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  <c r="Z184" s="322"/>
    </row>
    <row r="185" ht="12.75" customHeight="1">
      <c r="A185" s="322"/>
      <c r="B185" s="322"/>
      <c r="C185" s="323"/>
      <c r="D185" s="324"/>
      <c r="E185" s="323"/>
      <c r="F185" s="324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  <c r="Z185" s="322"/>
    </row>
    <row r="186" ht="12.75" customHeight="1">
      <c r="A186" s="322"/>
      <c r="B186" s="322"/>
      <c r="C186" s="323"/>
      <c r="D186" s="324"/>
      <c r="E186" s="323"/>
      <c r="F186" s="324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  <c r="Z186" s="322"/>
    </row>
    <row r="187" ht="12.75" customHeight="1">
      <c r="A187" s="322"/>
      <c r="B187" s="322"/>
      <c r="C187" s="323"/>
      <c r="D187" s="324"/>
      <c r="E187" s="323"/>
      <c r="F187" s="324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  <c r="Z187" s="322"/>
    </row>
    <row r="188" ht="12.75" customHeight="1">
      <c r="A188" s="322"/>
      <c r="B188" s="322"/>
      <c r="C188" s="323"/>
      <c r="D188" s="324"/>
      <c r="E188" s="323"/>
      <c r="F188" s="324"/>
      <c r="G188" s="322"/>
      <c r="H188" s="322"/>
      <c r="I188" s="322"/>
      <c r="J188" s="322"/>
      <c r="K188" s="32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  <c r="Z188" s="322"/>
    </row>
    <row r="189" ht="12.75" customHeight="1">
      <c r="A189" s="322"/>
      <c r="B189" s="322"/>
      <c r="C189" s="323"/>
      <c r="D189" s="324"/>
      <c r="E189" s="323"/>
      <c r="F189" s="324"/>
      <c r="G189" s="322"/>
      <c r="H189" s="322"/>
      <c r="I189" s="322"/>
      <c r="J189" s="322"/>
      <c r="K189" s="322"/>
      <c r="L189" s="322"/>
      <c r="M189" s="322"/>
      <c r="N189" s="322"/>
      <c r="O189" s="322"/>
      <c r="P189" s="322"/>
      <c r="Q189" s="322"/>
      <c r="R189" s="322"/>
      <c r="S189" s="322"/>
      <c r="T189" s="322"/>
      <c r="U189" s="322"/>
      <c r="V189" s="322"/>
      <c r="W189" s="322"/>
      <c r="X189" s="322"/>
      <c r="Y189" s="322"/>
      <c r="Z189" s="322"/>
    </row>
    <row r="190" ht="12.75" customHeight="1">
      <c r="A190" s="322"/>
      <c r="B190" s="322"/>
      <c r="C190" s="323"/>
      <c r="D190" s="324"/>
      <c r="E190" s="323"/>
      <c r="F190" s="324"/>
      <c r="G190" s="322"/>
      <c r="H190" s="322"/>
      <c r="I190" s="322"/>
      <c r="J190" s="322"/>
      <c r="K190" s="322"/>
      <c r="L190" s="322"/>
      <c r="M190" s="322"/>
      <c r="N190" s="322"/>
      <c r="O190" s="322"/>
      <c r="P190" s="322"/>
      <c r="Q190" s="322"/>
      <c r="R190" s="322"/>
      <c r="S190" s="322"/>
      <c r="T190" s="322"/>
      <c r="U190" s="322"/>
      <c r="V190" s="322"/>
      <c r="W190" s="322"/>
      <c r="X190" s="322"/>
      <c r="Y190" s="322"/>
      <c r="Z190" s="322"/>
    </row>
    <row r="191" ht="12.75" customHeight="1">
      <c r="A191" s="322"/>
      <c r="B191" s="322"/>
      <c r="C191" s="323"/>
      <c r="D191" s="324"/>
      <c r="E191" s="323"/>
      <c r="F191" s="324"/>
      <c r="G191" s="322"/>
      <c r="H191" s="322"/>
      <c r="I191" s="322"/>
      <c r="J191" s="322"/>
      <c r="K191" s="322"/>
      <c r="L191" s="322"/>
      <c r="M191" s="322"/>
      <c r="N191" s="322"/>
      <c r="O191" s="322"/>
      <c r="P191" s="322"/>
      <c r="Q191" s="322"/>
      <c r="R191" s="322"/>
      <c r="S191" s="322"/>
      <c r="T191" s="322"/>
      <c r="U191" s="322"/>
      <c r="V191" s="322"/>
      <c r="W191" s="322"/>
      <c r="X191" s="322"/>
      <c r="Y191" s="322"/>
      <c r="Z191" s="322"/>
    </row>
    <row r="192" ht="12.75" customHeight="1">
      <c r="A192" s="322"/>
      <c r="B192" s="322"/>
      <c r="C192" s="323"/>
      <c r="D192" s="324"/>
      <c r="E192" s="323"/>
      <c r="F192" s="324"/>
      <c r="G192" s="322"/>
      <c r="H192" s="322"/>
      <c r="I192" s="322"/>
      <c r="J192" s="322"/>
      <c r="K192" s="322"/>
      <c r="L192" s="322"/>
      <c r="M192" s="322"/>
      <c r="N192" s="322"/>
      <c r="O192" s="322"/>
      <c r="P192" s="322"/>
      <c r="Q192" s="322"/>
      <c r="R192" s="322"/>
      <c r="S192" s="322"/>
      <c r="T192" s="322"/>
      <c r="U192" s="322"/>
      <c r="V192" s="322"/>
      <c r="W192" s="322"/>
      <c r="X192" s="322"/>
      <c r="Y192" s="322"/>
      <c r="Z192" s="322"/>
    </row>
    <row r="193" ht="12.75" customHeight="1">
      <c r="A193" s="322"/>
      <c r="B193" s="322"/>
      <c r="C193" s="323"/>
      <c r="D193" s="324"/>
      <c r="E193" s="323"/>
      <c r="F193" s="324"/>
      <c r="G193" s="322"/>
      <c r="H193" s="322"/>
      <c r="I193" s="322"/>
      <c r="J193" s="322"/>
      <c r="K193" s="322"/>
      <c r="L193" s="322"/>
      <c r="M193" s="322"/>
      <c r="N193" s="322"/>
      <c r="O193" s="322"/>
      <c r="P193" s="322"/>
      <c r="Q193" s="322"/>
      <c r="R193" s="322"/>
      <c r="S193" s="322"/>
      <c r="T193" s="322"/>
      <c r="U193" s="322"/>
      <c r="V193" s="322"/>
      <c r="W193" s="322"/>
      <c r="X193" s="322"/>
      <c r="Y193" s="322"/>
      <c r="Z193" s="322"/>
    </row>
    <row r="194" ht="12.75" customHeight="1">
      <c r="A194" s="322"/>
      <c r="B194" s="322"/>
      <c r="C194" s="323"/>
      <c r="D194" s="324"/>
      <c r="E194" s="323"/>
      <c r="F194" s="324"/>
      <c r="G194" s="322"/>
      <c r="H194" s="322"/>
      <c r="I194" s="322"/>
      <c r="J194" s="322"/>
      <c r="K194" s="322"/>
      <c r="L194" s="322"/>
      <c r="M194" s="322"/>
      <c r="N194" s="322"/>
      <c r="O194" s="322"/>
      <c r="P194" s="322"/>
      <c r="Q194" s="322"/>
      <c r="R194" s="322"/>
      <c r="S194" s="322"/>
      <c r="T194" s="322"/>
      <c r="U194" s="322"/>
      <c r="V194" s="322"/>
      <c r="W194" s="322"/>
      <c r="X194" s="322"/>
      <c r="Y194" s="322"/>
      <c r="Z194" s="322"/>
    </row>
    <row r="195" ht="12.75" customHeight="1">
      <c r="A195" s="322"/>
      <c r="B195" s="322"/>
      <c r="C195" s="323"/>
      <c r="D195" s="324"/>
      <c r="E195" s="323"/>
      <c r="F195" s="324"/>
      <c r="G195" s="322"/>
      <c r="H195" s="322"/>
      <c r="I195" s="322"/>
      <c r="J195" s="322"/>
      <c r="K195" s="322"/>
      <c r="L195" s="322"/>
      <c r="M195" s="322"/>
      <c r="N195" s="322"/>
      <c r="O195" s="322"/>
      <c r="P195" s="322"/>
      <c r="Q195" s="322"/>
      <c r="R195" s="322"/>
      <c r="S195" s="322"/>
      <c r="T195" s="322"/>
      <c r="U195" s="322"/>
      <c r="V195" s="322"/>
      <c r="W195" s="322"/>
      <c r="X195" s="322"/>
      <c r="Y195" s="322"/>
      <c r="Z195" s="322"/>
    </row>
    <row r="196" ht="12.75" customHeight="1">
      <c r="A196" s="322"/>
      <c r="B196" s="322"/>
      <c r="C196" s="323"/>
      <c r="D196" s="324"/>
      <c r="E196" s="323"/>
      <c r="F196" s="324"/>
      <c r="G196" s="322"/>
      <c r="H196" s="322"/>
      <c r="I196" s="322"/>
      <c r="J196" s="322"/>
      <c r="K196" s="322"/>
      <c r="L196" s="322"/>
      <c r="M196" s="322"/>
      <c r="N196" s="322"/>
      <c r="O196" s="322"/>
      <c r="P196" s="322"/>
      <c r="Q196" s="322"/>
      <c r="R196" s="322"/>
      <c r="S196" s="322"/>
      <c r="T196" s="322"/>
      <c r="U196" s="322"/>
      <c r="V196" s="322"/>
      <c r="W196" s="322"/>
      <c r="X196" s="322"/>
      <c r="Y196" s="322"/>
      <c r="Z196" s="322"/>
    </row>
    <row r="197" ht="12.75" customHeight="1">
      <c r="A197" s="322"/>
      <c r="B197" s="322"/>
      <c r="C197" s="323"/>
      <c r="D197" s="324"/>
      <c r="E197" s="323"/>
      <c r="F197" s="324"/>
      <c r="G197" s="322"/>
      <c r="H197" s="322"/>
      <c r="I197" s="322"/>
      <c r="J197" s="322"/>
      <c r="K197" s="322"/>
      <c r="L197" s="322"/>
      <c r="M197" s="322"/>
      <c r="N197" s="322"/>
      <c r="O197" s="322"/>
      <c r="P197" s="322"/>
      <c r="Q197" s="322"/>
      <c r="R197" s="322"/>
      <c r="S197" s="322"/>
      <c r="T197" s="322"/>
      <c r="U197" s="322"/>
      <c r="V197" s="322"/>
      <c r="W197" s="322"/>
      <c r="X197" s="322"/>
      <c r="Y197" s="322"/>
      <c r="Z197" s="322"/>
    </row>
    <row r="198" ht="12.75" customHeight="1">
      <c r="A198" s="322"/>
      <c r="B198" s="322"/>
      <c r="C198" s="323"/>
      <c r="D198" s="324"/>
      <c r="E198" s="323"/>
      <c r="F198" s="324"/>
      <c r="G198" s="322"/>
      <c r="H198" s="322"/>
      <c r="I198" s="322"/>
      <c r="J198" s="322"/>
      <c r="K198" s="322"/>
      <c r="L198" s="322"/>
      <c r="M198" s="322"/>
      <c r="N198" s="322"/>
      <c r="O198" s="322"/>
      <c r="P198" s="322"/>
      <c r="Q198" s="322"/>
      <c r="R198" s="322"/>
      <c r="S198" s="322"/>
      <c r="T198" s="322"/>
      <c r="U198" s="322"/>
      <c r="V198" s="322"/>
      <c r="W198" s="322"/>
      <c r="X198" s="322"/>
      <c r="Y198" s="322"/>
      <c r="Z198" s="322"/>
    </row>
    <row r="199" ht="12.75" customHeight="1">
      <c r="A199" s="322"/>
      <c r="B199" s="322"/>
      <c r="C199" s="323"/>
      <c r="D199" s="324"/>
      <c r="E199" s="323"/>
      <c r="F199" s="324"/>
      <c r="G199" s="322"/>
      <c r="H199" s="322"/>
      <c r="I199" s="322"/>
      <c r="J199" s="322"/>
      <c r="K199" s="322"/>
      <c r="L199" s="322"/>
      <c r="M199" s="322"/>
      <c r="N199" s="322"/>
      <c r="O199" s="322"/>
      <c r="P199" s="322"/>
      <c r="Q199" s="322"/>
      <c r="R199" s="322"/>
      <c r="S199" s="322"/>
      <c r="T199" s="322"/>
      <c r="U199" s="322"/>
      <c r="V199" s="322"/>
      <c r="W199" s="322"/>
      <c r="X199" s="322"/>
      <c r="Y199" s="322"/>
      <c r="Z199" s="322"/>
    </row>
    <row r="200" ht="12.75" customHeight="1">
      <c r="A200" s="322"/>
      <c r="B200" s="322"/>
      <c r="C200" s="323"/>
      <c r="D200" s="324"/>
      <c r="E200" s="323"/>
      <c r="F200" s="324"/>
      <c r="G200" s="322"/>
      <c r="H200" s="322"/>
      <c r="I200" s="322"/>
      <c r="J200" s="322"/>
      <c r="K200" s="322"/>
      <c r="L200" s="322"/>
      <c r="M200" s="322"/>
      <c r="N200" s="322"/>
      <c r="O200" s="322"/>
      <c r="P200" s="322"/>
      <c r="Q200" s="322"/>
      <c r="R200" s="322"/>
      <c r="S200" s="322"/>
      <c r="T200" s="322"/>
      <c r="U200" s="322"/>
      <c r="V200" s="322"/>
      <c r="W200" s="322"/>
      <c r="X200" s="322"/>
      <c r="Y200" s="322"/>
      <c r="Z200" s="322"/>
    </row>
    <row r="201" ht="12.75" customHeight="1">
      <c r="A201" s="322"/>
      <c r="B201" s="322"/>
      <c r="C201" s="323"/>
      <c r="D201" s="324"/>
      <c r="E201" s="323"/>
      <c r="F201" s="324"/>
      <c r="G201" s="322"/>
      <c r="H201" s="322"/>
      <c r="I201" s="322"/>
      <c r="J201" s="322"/>
      <c r="K201" s="322"/>
      <c r="L201" s="322"/>
      <c r="M201" s="322"/>
      <c r="N201" s="322"/>
      <c r="O201" s="322"/>
      <c r="P201" s="322"/>
      <c r="Q201" s="322"/>
      <c r="R201" s="322"/>
      <c r="S201" s="322"/>
      <c r="T201" s="322"/>
      <c r="U201" s="322"/>
      <c r="V201" s="322"/>
      <c r="W201" s="322"/>
      <c r="X201" s="322"/>
      <c r="Y201" s="322"/>
      <c r="Z201" s="322"/>
    </row>
    <row r="202" ht="12.75" customHeight="1">
      <c r="A202" s="322"/>
      <c r="B202" s="322"/>
      <c r="C202" s="323"/>
      <c r="D202" s="324"/>
      <c r="E202" s="323"/>
      <c r="F202" s="324"/>
      <c r="G202" s="322"/>
      <c r="H202" s="322"/>
      <c r="I202" s="322"/>
      <c r="J202" s="322"/>
      <c r="K202" s="322"/>
      <c r="L202" s="322"/>
      <c r="M202" s="322"/>
      <c r="N202" s="322"/>
      <c r="O202" s="322"/>
      <c r="P202" s="322"/>
      <c r="Q202" s="322"/>
      <c r="R202" s="322"/>
      <c r="S202" s="322"/>
      <c r="T202" s="322"/>
      <c r="U202" s="322"/>
      <c r="V202" s="322"/>
      <c r="W202" s="322"/>
      <c r="X202" s="322"/>
      <c r="Y202" s="322"/>
      <c r="Z202" s="322"/>
    </row>
    <row r="203" ht="12.75" customHeight="1">
      <c r="A203" s="322"/>
      <c r="B203" s="322"/>
      <c r="C203" s="323"/>
      <c r="D203" s="324"/>
      <c r="E203" s="323"/>
      <c r="F203" s="324"/>
      <c r="G203" s="322"/>
      <c r="H203" s="322"/>
      <c r="I203" s="322"/>
      <c r="J203" s="322"/>
      <c r="K203" s="322"/>
      <c r="L203" s="322"/>
      <c r="M203" s="322"/>
      <c r="N203" s="322"/>
      <c r="O203" s="322"/>
      <c r="P203" s="322"/>
      <c r="Q203" s="322"/>
      <c r="R203" s="322"/>
      <c r="S203" s="322"/>
      <c r="T203" s="322"/>
      <c r="U203" s="322"/>
      <c r="V203" s="322"/>
      <c r="W203" s="322"/>
      <c r="X203" s="322"/>
      <c r="Y203" s="322"/>
      <c r="Z203" s="322"/>
    </row>
    <row r="204" ht="12.75" customHeight="1">
      <c r="A204" s="322"/>
      <c r="B204" s="322"/>
      <c r="C204" s="323"/>
      <c r="D204" s="324"/>
      <c r="E204" s="323"/>
      <c r="F204" s="324"/>
      <c r="G204" s="322"/>
      <c r="H204" s="322"/>
      <c r="I204" s="322"/>
      <c r="J204" s="322"/>
      <c r="K204" s="322"/>
      <c r="L204" s="322"/>
      <c r="M204" s="322"/>
      <c r="N204" s="322"/>
      <c r="O204" s="322"/>
      <c r="P204" s="322"/>
      <c r="Q204" s="322"/>
      <c r="R204" s="322"/>
      <c r="S204" s="322"/>
      <c r="T204" s="322"/>
      <c r="U204" s="322"/>
      <c r="V204" s="322"/>
      <c r="W204" s="322"/>
      <c r="X204" s="322"/>
      <c r="Y204" s="322"/>
      <c r="Z204" s="322"/>
    </row>
    <row r="205" ht="12.75" customHeight="1">
      <c r="A205" s="322"/>
      <c r="B205" s="322"/>
      <c r="C205" s="323"/>
      <c r="D205" s="324"/>
      <c r="E205" s="323"/>
      <c r="F205" s="324"/>
      <c r="G205" s="322"/>
      <c r="H205" s="322"/>
      <c r="I205" s="322"/>
      <c r="J205" s="322"/>
      <c r="K205" s="322"/>
      <c r="L205" s="322"/>
      <c r="M205" s="322"/>
      <c r="N205" s="322"/>
      <c r="O205" s="322"/>
      <c r="P205" s="322"/>
      <c r="Q205" s="322"/>
      <c r="R205" s="322"/>
      <c r="S205" s="322"/>
      <c r="T205" s="322"/>
      <c r="U205" s="322"/>
      <c r="V205" s="322"/>
      <c r="W205" s="322"/>
      <c r="X205" s="322"/>
      <c r="Y205" s="322"/>
      <c r="Z205" s="322"/>
    </row>
    <row r="206" ht="12.75" customHeight="1">
      <c r="A206" s="322"/>
      <c r="B206" s="322"/>
      <c r="C206" s="323"/>
      <c r="D206" s="324"/>
      <c r="E206" s="323"/>
      <c r="F206" s="324"/>
      <c r="G206" s="322"/>
      <c r="H206" s="322"/>
      <c r="I206" s="322"/>
      <c r="J206" s="322"/>
      <c r="K206" s="322"/>
      <c r="L206" s="322"/>
      <c r="M206" s="322"/>
      <c r="N206" s="322"/>
      <c r="O206" s="322"/>
      <c r="P206" s="322"/>
      <c r="Q206" s="322"/>
      <c r="R206" s="322"/>
      <c r="S206" s="322"/>
      <c r="T206" s="322"/>
      <c r="U206" s="322"/>
      <c r="V206" s="322"/>
      <c r="W206" s="322"/>
      <c r="X206" s="322"/>
      <c r="Y206" s="322"/>
      <c r="Z206" s="322"/>
    </row>
    <row r="207" ht="12.75" customHeight="1">
      <c r="A207" s="322"/>
      <c r="B207" s="322"/>
      <c r="C207" s="323"/>
      <c r="D207" s="324"/>
      <c r="E207" s="323"/>
      <c r="F207" s="324"/>
      <c r="G207" s="322"/>
      <c r="H207" s="322"/>
      <c r="I207" s="322"/>
      <c r="J207" s="322"/>
      <c r="K207" s="322"/>
      <c r="L207" s="322"/>
      <c r="M207" s="322"/>
      <c r="N207" s="322"/>
      <c r="O207" s="322"/>
      <c r="P207" s="322"/>
      <c r="Q207" s="322"/>
      <c r="R207" s="322"/>
      <c r="S207" s="322"/>
      <c r="T207" s="322"/>
      <c r="U207" s="322"/>
      <c r="V207" s="322"/>
      <c r="W207" s="322"/>
      <c r="X207" s="322"/>
      <c r="Y207" s="322"/>
      <c r="Z207" s="322"/>
    </row>
    <row r="208" ht="12.75" customHeight="1">
      <c r="A208" s="322"/>
      <c r="B208" s="322"/>
      <c r="C208" s="323"/>
      <c r="D208" s="324"/>
      <c r="E208" s="323"/>
      <c r="F208" s="324"/>
      <c r="G208" s="322"/>
      <c r="H208" s="322"/>
      <c r="I208" s="322"/>
      <c r="J208" s="322"/>
      <c r="K208" s="322"/>
      <c r="L208" s="322"/>
      <c r="M208" s="322"/>
      <c r="N208" s="322"/>
      <c r="O208" s="322"/>
      <c r="P208" s="322"/>
      <c r="Q208" s="322"/>
      <c r="R208" s="322"/>
      <c r="S208" s="322"/>
      <c r="T208" s="322"/>
      <c r="U208" s="322"/>
      <c r="V208" s="322"/>
      <c r="W208" s="322"/>
      <c r="X208" s="322"/>
      <c r="Y208" s="322"/>
      <c r="Z208" s="322"/>
    </row>
    <row r="209" ht="12.75" customHeight="1">
      <c r="A209" s="322"/>
      <c r="B209" s="322"/>
      <c r="C209" s="323"/>
      <c r="D209" s="324"/>
      <c r="E209" s="323"/>
      <c r="F209" s="324"/>
      <c r="G209" s="322"/>
      <c r="H209" s="322"/>
      <c r="I209" s="322"/>
      <c r="J209" s="322"/>
      <c r="K209" s="322"/>
      <c r="L209" s="322"/>
      <c r="M209" s="322"/>
      <c r="N209" s="322"/>
      <c r="O209" s="322"/>
      <c r="P209" s="322"/>
      <c r="Q209" s="322"/>
      <c r="R209" s="322"/>
      <c r="S209" s="322"/>
      <c r="T209" s="322"/>
      <c r="U209" s="322"/>
      <c r="V209" s="322"/>
      <c r="W209" s="322"/>
      <c r="X209" s="322"/>
      <c r="Y209" s="322"/>
      <c r="Z209" s="322"/>
    </row>
    <row r="210" ht="12.75" customHeight="1">
      <c r="A210" s="322"/>
      <c r="B210" s="322"/>
      <c r="C210" s="323"/>
      <c r="D210" s="324"/>
      <c r="E210" s="323"/>
      <c r="F210" s="324"/>
      <c r="G210" s="322"/>
      <c r="H210" s="322"/>
      <c r="I210" s="322"/>
      <c r="J210" s="322"/>
      <c r="K210" s="322"/>
      <c r="L210" s="322"/>
      <c r="M210" s="322"/>
      <c r="N210" s="322"/>
      <c r="O210" s="322"/>
      <c r="P210" s="322"/>
      <c r="Q210" s="322"/>
      <c r="R210" s="322"/>
      <c r="S210" s="322"/>
      <c r="T210" s="322"/>
      <c r="U210" s="322"/>
      <c r="V210" s="322"/>
      <c r="W210" s="322"/>
      <c r="X210" s="322"/>
      <c r="Y210" s="322"/>
      <c r="Z210" s="322"/>
    </row>
    <row r="211" ht="12.75" customHeight="1">
      <c r="A211" s="322"/>
      <c r="B211" s="322"/>
      <c r="C211" s="323"/>
      <c r="D211" s="324"/>
      <c r="E211" s="323"/>
      <c r="F211" s="324"/>
      <c r="G211" s="322"/>
      <c r="H211" s="322"/>
      <c r="I211" s="322"/>
      <c r="J211" s="322"/>
      <c r="K211" s="322"/>
      <c r="L211" s="322"/>
      <c r="M211" s="322"/>
      <c r="N211" s="322"/>
      <c r="O211" s="322"/>
      <c r="P211" s="322"/>
      <c r="Q211" s="322"/>
      <c r="R211" s="322"/>
      <c r="S211" s="322"/>
      <c r="T211" s="322"/>
      <c r="U211" s="322"/>
      <c r="V211" s="322"/>
      <c r="W211" s="322"/>
      <c r="X211" s="322"/>
      <c r="Y211" s="322"/>
      <c r="Z211" s="322"/>
    </row>
    <row r="212" ht="12.75" customHeight="1">
      <c r="A212" s="322"/>
      <c r="B212" s="322"/>
      <c r="C212" s="323"/>
      <c r="D212" s="324"/>
      <c r="E212" s="323"/>
      <c r="F212" s="324"/>
      <c r="G212" s="322"/>
      <c r="H212" s="322"/>
      <c r="I212" s="322"/>
      <c r="J212" s="322"/>
      <c r="K212" s="322"/>
      <c r="L212" s="322"/>
      <c r="M212" s="322"/>
      <c r="N212" s="322"/>
      <c r="O212" s="322"/>
      <c r="P212" s="322"/>
      <c r="Q212" s="322"/>
      <c r="R212" s="322"/>
      <c r="S212" s="322"/>
      <c r="T212" s="322"/>
      <c r="U212" s="322"/>
      <c r="V212" s="322"/>
      <c r="W212" s="322"/>
      <c r="X212" s="322"/>
      <c r="Y212" s="322"/>
      <c r="Z212" s="322"/>
    </row>
    <row r="213" ht="12.75" customHeight="1">
      <c r="A213" s="322"/>
      <c r="B213" s="322"/>
      <c r="C213" s="323"/>
      <c r="D213" s="324"/>
      <c r="E213" s="323"/>
      <c r="F213" s="324"/>
      <c r="G213" s="322"/>
      <c r="H213" s="322"/>
      <c r="I213" s="322"/>
      <c r="J213" s="322"/>
      <c r="K213" s="322"/>
      <c r="L213" s="322"/>
      <c r="M213" s="322"/>
      <c r="N213" s="322"/>
      <c r="O213" s="322"/>
      <c r="P213" s="322"/>
      <c r="Q213" s="322"/>
      <c r="R213" s="322"/>
      <c r="S213" s="322"/>
      <c r="T213" s="322"/>
      <c r="U213" s="322"/>
      <c r="V213" s="322"/>
      <c r="W213" s="322"/>
      <c r="X213" s="322"/>
      <c r="Y213" s="322"/>
      <c r="Z213" s="322"/>
    </row>
    <row r="214" ht="12.75" customHeight="1">
      <c r="A214" s="322"/>
      <c r="B214" s="322"/>
      <c r="C214" s="323"/>
      <c r="D214" s="324"/>
      <c r="E214" s="323"/>
      <c r="F214" s="324"/>
      <c r="G214" s="322"/>
      <c r="H214" s="322"/>
      <c r="I214" s="322"/>
      <c r="J214" s="322"/>
      <c r="K214" s="322"/>
      <c r="L214" s="322"/>
      <c r="M214" s="322"/>
      <c r="N214" s="322"/>
      <c r="O214" s="322"/>
      <c r="P214" s="322"/>
      <c r="Q214" s="322"/>
      <c r="R214" s="322"/>
      <c r="S214" s="322"/>
      <c r="T214" s="322"/>
      <c r="U214" s="322"/>
      <c r="V214" s="322"/>
      <c r="W214" s="322"/>
      <c r="X214" s="322"/>
      <c r="Y214" s="322"/>
      <c r="Z214" s="322"/>
    </row>
    <row r="215" ht="12.75" customHeight="1">
      <c r="A215" s="322"/>
      <c r="B215" s="322"/>
      <c r="C215" s="323"/>
      <c r="D215" s="324"/>
      <c r="E215" s="323"/>
      <c r="F215" s="324"/>
      <c r="G215" s="322"/>
      <c r="H215" s="322"/>
      <c r="I215" s="322"/>
      <c r="J215" s="322"/>
      <c r="K215" s="322"/>
      <c r="L215" s="322"/>
      <c r="M215" s="322"/>
      <c r="N215" s="322"/>
      <c r="O215" s="322"/>
      <c r="P215" s="322"/>
      <c r="Q215" s="322"/>
      <c r="R215" s="322"/>
      <c r="S215" s="322"/>
      <c r="T215" s="322"/>
      <c r="U215" s="322"/>
      <c r="V215" s="322"/>
      <c r="W215" s="322"/>
      <c r="X215" s="322"/>
      <c r="Y215" s="322"/>
      <c r="Z215" s="322"/>
    </row>
    <row r="216" ht="12.75" customHeight="1">
      <c r="A216" s="322"/>
      <c r="B216" s="322"/>
      <c r="C216" s="323"/>
      <c r="D216" s="324"/>
      <c r="E216" s="323"/>
      <c r="F216" s="324"/>
      <c r="G216" s="322"/>
      <c r="H216" s="322"/>
      <c r="I216" s="322"/>
      <c r="J216" s="322"/>
      <c r="K216" s="322"/>
      <c r="L216" s="322"/>
      <c r="M216" s="322"/>
      <c r="N216" s="322"/>
      <c r="O216" s="322"/>
      <c r="P216" s="322"/>
      <c r="Q216" s="322"/>
      <c r="R216" s="322"/>
      <c r="S216" s="322"/>
      <c r="T216" s="322"/>
      <c r="U216" s="322"/>
      <c r="V216" s="322"/>
      <c r="W216" s="322"/>
      <c r="X216" s="322"/>
      <c r="Y216" s="322"/>
      <c r="Z216" s="322"/>
    </row>
    <row r="217" ht="12.75" customHeight="1">
      <c r="A217" s="322"/>
      <c r="B217" s="322"/>
      <c r="C217" s="323"/>
      <c r="D217" s="324"/>
      <c r="E217" s="323"/>
      <c r="F217" s="324"/>
      <c r="G217" s="322"/>
      <c r="H217" s="322"/>
      <c r="I217" s="322"/>
      <c r="J217" s="322"/>
      <c r="K217" s="322"/>
      <c r="L217" s="322"/>
      <c r="M217" s="322"/>
      <c r="N217" s="322"/>
      <c r="O217" s="322"/>
      <c r="P217" s="322"/>
      <c r="Q217" s="322"/>
      <c r="R217" s="322"/>
      <c r="S217" s="322"/>
      <c r="T217" s="322"/>
      <c r="U217" s="322"/>
      <c r="V217" s="322"/>
      <c r="W217" s="322"/>
      <c r="X217" s="322"/>
      <c r="Y217" s="322"/>
      <c r="Z217" s="322"/>
    </row>
    <row r="218" ht="12.75" customHeight="1">
      <c r="A218" s="322"/>
      <c r="B218" s="322"/>
      <c r="C218" s="323"/>
      <c r="D218" s="324"/>
      <c r="E218" s="323"/>
      <c r="F218" s="324"/>
      <c r="G218" s="322"/>
      <c r="H218" s="322"/>
      <c r="I218" s="322"/>
      <c r="J218" s="322"/>
      <c r="K218" s="322"/>
      <c r="L218" s="322"/>
      <c r="M218" s="322"/>
      <c r="N218" s="322"/>
      <c r="O218" s="322"/>
      <c r="P218" s="322"/>
      <c r="Q218" s="322"/>
      <c r="R218" s="322"/>
      <c r="S218" s="322"/>
      <c r="T218" s="322"/>
      <c r="U218" s="322"/>
      <c r="V218" s="322"/>
      <c r="W218" s="322"/>
      <c r="X218" s="322"/>
      <c r="Y218" s="322"/>
      <c r="Z218" s="322"/>
    </row>
    <row r="219" ht="12.75" customHeight="1">
      <c r="A219" s="322"/>
      <c r="B219" s="322"/>
      <c r="C219" s="323"/>
      <c r="D219" s="324"/>
      <c r="E219" s="323"/>
      <c r="F219" s="324"/>
      <c r="G219" s="322"/>
      <c r="H219" s="322"/>
      <c r="I219" s="322"/>
      <c r="J219" s="322"/>
      <c r="K219" s="322"/>
      <c r="L219" s="322"/>
      <c r="M219" s="322"/>
      <c r="N219" s="322"/>
      <c r="O219" s="322"/>
      <c r="P219" s="322"/>
      <c r="Q219" s="322"/>
      <c r="R219" s="322"/>
      <c r="S219" s="322"/>
      <c r="T219" s="322"/>
      <c r="U219" s="322"/>
      <c r="V219" s="322"/>
      <c r="W219" s="322"/>
      <c r="X219" s="322"/>
      <c r="Y219" s="322"/>
      <c r="Z219" s="322"/>
    </row>
    <row r="220" ht="12.75" customHeight="1">
      <c r="A220" s="322"/>
      <c r="B220" s="322"/>
      <c r="C220" s="323"/>
      <c r="D220" s="324"/>
      <c r="E220" s="323"/>
      <c r="F220" s="324"/>
      <c r="G220" s="322"/>
      <c r="H220" s="322"/>
      <c r="I220" s="322"/>
      <c r="J220" s="322"/>
      <c r="K220" s="322"/>
      <c r="L220" s="322"/>
      <c r="M220" s="322"/>
      <c r="N220" s="322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</row>
    <row r="221" ht="12.75" customHeight="1">
      <c r="A221" s="322"/>
      <c r="B221" s="322"/>
      <c r="C221" s="323"/>
      <c r="D221" s="324"/>
      <c r="E221" s="323"/>
      <c r="F221" s="324"/>
      <c r="G221" s="322"/>
      <c r="H221" s="322"/>
      <c r="I221" s="322"/>
      <c r="J221" s="322"/>
      <c r="K221" s="322"/>
      <c r="L221" s="322"/>
      <c r="M221" s="322"/>
      <c r="N221" s="322"/>
      <c r="O221" s="322"/>
      <c r="P221" s="322"/>
      <c r="Q221" s="322"/>
      <c r="R221" s="322"/>
      <c r="S221" s="322"/>
      <c r="T221" s="322"/>
      <c r="U221" s="322"/>
      <c r="V221" s="322"/>
      <c r="W221" s="322"/>
      <c r="X221" s="322"/>
      <c r="Y221" s="322"/>
      <c r="Z221" s="322"/>
    </row>
    <row r="222" ht="12.75" customHeight="1">
      <c r="A222" s="322"/>
      <c r="B222" s="322"/>
      <c r="C222" s="323"/>
      <c r="D222" s="324"/>
      <c r="E222" s="323"/>
      <c r="F222" s="324"/>
      <c r="G222" s="322"/>
      <c r="H222" s="322"/>
      <c r="I222" s="322"/>
      <c r="J222" s="322"/>
      <c r="K222" s="322"/>
      <c r="L222" s="322"/>
      <c r="M222" s="322"/>
      <c r="N222" s="322"/>
      <c r="O222" s="322"/>
      <c r="P222" s="322"/>
      <c r="Q222" s="322"/>
      <c r="R222" s="322"/>
      <c r="S222" s="322"/>
      <c r="T222" s="322"/>
      <c r="U222" s="322"/>
      <c r="V222" s="322"/>
      <c r="W222" s="322"/>
      <c r="X222" s="322"/>
      <c r="Y222" s="322"/>
      <c r="Z222" s="322"/>
    </row>
    <row r="223" ht="12.75" customHeight="1">
      <c r="A223" s="322"/>
      <c r="B223" s="322"/>
      <c r="C223" s="323"/>
      <c r="D223" s="324"/>
      <c r="E223" s="323"/>
      <c r="F223" s="324"/>
      <c r="G223" s="322"/>
      <c r="H223" s="322"/>
      <c r="I223" s="322"/>
      <c r="J223" s="322"/>
      <c r="K223" s="322"/>
      <c r="L223" s="322"/>
      <c r="M223" s="322"/>
      <c r="N223" s="322"/>
      <c r="O223" s="322"/>
      <c r="P223" s="322"/>
      <c r="Q223" s="322"/>
      <c r="R223" s="322"/>
      <c r="S223" s="322"/>
      <c r="T223" s="322"/>
      <c r="U223" s="322"/>
      <c r="V223" s="322"/>
      <c r="W223" s="322"/>
      <c r="X223" s="322"/>
      <c r="Y223" s="322"/>
      <c r="Z223" s="322"/>
    </row>
    <row r="224" ht="12.75" customHeight="1">
      <c r="A224" s="322"/>
      <c r="B224" s="322"/>
      <c r="C224" s="323"/>
      <c r="D224" s="324"/>
      <c r="E224" s="323"/>
      <c r="F224" s="324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</row>
    <row r="225" ht="12.75" customHeight="1">
      <c r="A225" s="322"/>
      <c r="B225" s="322"/>
      <c r="C225" s="323"/>
      <c r="D225" s="324"/>
      <c r="E225" s="323"/>
      <c r="F225" s="324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</row>
    <row r="226" ht="12.75" customHeight="1">
      <c r="A226" s="322"/>
      <c r="B226" s="322"/>
      <c r="C226" s="323"/>
      <c r="D226" s="324"/>
      <c r="E226" s="323"/>
      <c r="F226" s="324"/>
      <c r="G226" s="322"/>
      <c r="H226" s="322"/>
      <c r="I226" s="322"/>
      <c r="J226" s="322"/>
      <c r="K226" s="322"/>
      <c r="L226" s="322"/>
      <c r="M226" s="322"/>
      <c r="N226" s="322"/>
      <c r="O226" s="322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</row>
    <row r="227" ht="12.75" customHeight="1">
      <c r="A227" s="322"/>
      <c r="B227" s="322"/>
      <c r="C227" s="323"/>
      <c r="D227" s="324"/>
      <c r="E227" s="323"/>
      <c r="F227" s="324"/>
      <c r="G227" s="322"/>
      <c r="H227" s="322"/>
      <c r="I227" s="322"/>
      <c r="J227" s="322"/>
      <c r="K227" s="322"/>
      <c r="L227" s="322"/>
      <c r="M227" s="322"/>
      <c r="N227" s="322"/>
      <c r="O227" s="322"/>
      <c r="P227" s="322"/>
      <c r="Q227" s="322"/>
      <c r="R227" s="322"/>
      <c r="S227" s="322"/>
      <c r="T227" s="322"/>
      <c r="U227" s="322"/>
      <c r="V227" s="322"/>
      <c r="W227" s="322"/>
      <c r="X227" s="322"/>
      <c r="Y227" s="322"/>
      <c r="Z227" s="322"/>
    </row>
    <row r="228" ht="12.75" customHeight="1">
      <c r="A228" s="322"/>
      <c r="B228" s="322"/>
      <c r="C228" s="323"/>
      <c r="D228" s="324"/>
      <c r="E228" s="323"/>
      <c r="F228" s="324"/>
      <c r="G228" s="322"/>
      <c r="H228" s="322"/>
      <c r="I228" s="322"/>
      <c r="J228" s="322"/>
      <c r="K228" s="322"/>
      <c r="L228" s="322"/>
      <c r="M228" s="322"/>
      <c r="N228" s="322"/>
      <c r="O228" s="322"/>
      <c r="P228" s="322"/>
      <c r="Q228" s="322"/>
      <c r="R228" s="322"/>
      <c r="S228" s="322"/>
      <c r="T228" s="322"/>
      <c r="U228" s="322"/>
      <c r="V228" s="322"/>
      <c r="W228" s="322"/>
      <c r="X228" s="322"/>
      <c r="Y228" s="322"/>
      <c r="Z228" s="322"/>
    </row>
    <row r="229" ht="12.75" customHeight="1">
      <c r="A229" s="322"/>
      <c r="B229" s="322"/>
      <c r="C229" s="323"/>
      <c r="D229" s="324"/>
      <c r="E229" s="323"/>
      <c r="F229" s="324"/>
      <c r="G229" s="322"/>
      <c r="H229" s="322"/>
      <c r="I229" s="322"/>
      <c r="J229" s="322"/>
      <c r="K229" s="322"/>
      <c r="L229" s="322"/>
      <c r="M229" s="322"/>
      <c r="N229" s="322"/>
      <c r="O229" s="322"/>
      <c r="P229" s="322"/>
      <c r="Q229" s="322"/>
      <c r="R229" s="322"/>
      <c r="S229" s="322"/>
      <c r="T229" s="322"/>
      <c r="U229" s="322"/>
      <c r="V229" s="322"/>
      <c r="W229" s="322"/>
      <c r="X229" s="322"/>
      <c r="Y229" s="322"/>
      <c r="Z229" s="322"/>
    </row>
    <row r="230" ht="12.75" customHeight="1">
      <c r="A230" s="322"/>
      <c r="B230" s="322"/>
      <c r="C230" s="323"/>
      <c r="D230" s="324"/>
      <c r="E230" s="323"/>
      <c r="F230" s="324"/>
      <c r="G230" s="322"/>
      <c r="H230" s="322"/>
      <c r="I230" s="322"/>
      <c r="J230" s="322"/>
      <c r="K230" s="322"/>
      <c r="L230" s="322"/>
      <c r="M230" s="322"/>
      <c r="N230" s="322"/>
      <c r="O230" s="322"/>
      <c r="P230" s="322"/>
      <c r="Q230" s="322"/>
      <c r="R230" s="322"/>
      <c r="S230" s="322"/>
      <c r="T230" s="322"/>
      <c r="U230" s="322"/>
      <c r="V230" s="322"/>
      <c r="W230" s="322"/>
      <c r="X230" s="322"/>
      <c r="Y230" s="322"/>
      <c r="Z230" s="322"/>
    </row>
    <row r="231" ht="12.75" customHeight="1">
      <c r="A231" s="322"/>
      <c r="B231" s="322"/>
      <c r="C231" s="323"/>
      <c r="D231" s="324"/>
      <c r="E231" s="323"/>
      <c r="F231" s="324"/>
      <c r="G231" s="322"/>
      <c r="H231" s="322"/>
      <c r="I231" s="322"/>
      <c r="J231" s="322"/>
      <c r="K231" s="322"/>
      <c r="L231" s="322"/>
      <c r="M231" s="322"/>
      <c r="N231" s="322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</row>
    <row r="232" ht="12.75" customHeight="1">
      <c r="A232" s="322"/>
      <c r="B232" s="322"/>
      <c r="C232" s="323"/>
      <c r="D232" s="324"/>
      <c r="E232" s="323"/>
      <c r="F232" s="324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</row>
    <row r="233" ht="12.75" customHeight="1">
      <c r="A233" s="322"/>
      <c r="B233" s="322"/>
      <c r="C233" s="323"/>
      <c r="D233" s="324"/>
      <c r="E233" s="323"/>
      <c r="F233" s="324"/>
      <c r="G233" s="322"/>
      <c r="H233" s="322"/>
      <c r="I233" s="322"/>
      <c r="J233" s="322"/>
      <c r="K233" s="322"/>
      <c r="L233" s="322"/>
      <c r="M233" s="322"/>
      <c r="N233" s="322"/>
      <c r="O233" s="322"/>
      <c r="P233" s="322"/>
      <c r="Q233" s="322"/>
      <c r="R233" s="322"/>
      <c r="S233" s="322"/>
      <c r="T233" s="322"/>
      <c r="U233" s="322"/>
      <c r="V233" s="322"/>
      <c r="W233" s="322"/>
      <c r="X233" s="322"/>
      <c r="Y233" s="322"/>
      <c r="Z233" s="322"/>
    </row>
    <row r="234" ht="12.75" customHeight="1">
      <c r="A234" s="322"/>
      <c r="B234" s="322"/>
      <c r="C234" s="323"/>
      <c r="D234" s="324"/>
      <c r="E234" s="323"/>
      <c r="F234" s="324"/>
      <c r="G234" s="322"/>
      <c r="H234" s="322"/>
      <c r="I234" s="322"/>
      <c r="J234" s="322"/>
      <c r="K234" s="322"/>
      <c r="L234" s="322"/>
      <c r="M234" s="322"/>
      <c r="N234" s="322"/>
      <c r="O234" s="322"/>
      <c r="P234" s="322"/>
      <c r="Q234" s="322"/>
      <c r="R234" s="322"/>
      <c r="S234" s="322"/>
      <c r="T234" s="322"/>
      <c r="U234" s="322"/>
      <c r="V234" s="322"/>
      <c r="W234" s="322"/>
      <c r="X234" s="322"/>
      <c r="Y234" s="322"/>
      <c r="Z234" s="322"/>
    </row>
    <row r="235" ht="12.75" customHeight="1">
      <c r="A235" s="322"/>
      <c r="B235" s="322"/>
      <c r="C235" s="323"/>
      <c r="D235" s="324"/>
      <c r="E235" s="323"/>
      <c r="F235" s="324"/>
      <c r="G235" s="322"/>
      <c r="H235" s="322"/>
      <c r="I235" s="322"/>
      <c r="J235" s="322"/>
      <c r="K235" s="322"/>
      <c r="L235" s="322"/>
      <c r="M235" s="322"/>
      <c r="N235" s="322"/>
      <c r="O235" s="322"/>
      <c r="P235" s="322"/>
      <c r="Q235" s="322"/>
      <c r="R235" s="322"/>
      <c r="S235" s="322"/>
      <c r="T235" s="322"/>
      <c r="U235" s="322"/>
      <c r="V235" s="322"/>
      <c r="W235" s="322"/>
      <c r="X235" s="322"/>
      <c r="Y235" s="322"/>
      <c r="Z235" s="322"/>
    </row>
    <row r="236" ht="12.75" customHeight="1">
      <c r="A236" s="322"/>
      <c r="B236" s="322"/>
      <c r="C236" s="323"/>
      <c r="D236" s="324"/>
      <c r="E236" s="323"/>
      <c r="F236" s="324"/>
      <c r="G236" s="322"/>
      <c r="H236" s="322"/>
      <c r="I236" s="322"/>
      <c r="J236" s="322"/>
      <c r="K236" s="322"/>
      <c r="L236" s="322"/>
      <c r="M236" s="322"/>
      <c r="N236" s="322"/>
      <c r="O236" s="322"/>
      <c r="P236" s="322"/>
      <c r="Q236" s="322"/>
      <c r="R236" s="322"/>
      <c r="S236" s="322"/>
      <c r="T236" s="322"/>
      <c r="U236" s="322"/>
      <c r="V236" s="322"/>
      <c r="W236" s="322"/>
      <c r="X236" s="322"/>
      <c r="Y236" s="322"/>
      <c r="Z236" s="322"/>
    </row>
    <row r="237" ht="12.75" customHeight="1">
      <c r="A237" s="322"/>
      <c r="B237" s="322"/>
      <c r="C237" s="323"/>
      <c r="D237" s="324"/>
      <c r="E237" s="323"/>
      <c r="F237" s="324"/>
      <c r="G237" s="322"/>
      <c r="H237" s="322"/>
      <c r="I237" s="322"/>
      <c r="J237" s="322"/>
      <c r="K237" s="322"/>
      <c r="L237" s="322"/>
      <c r="M237" s="322"/>
      <c r="N237" s="322"/>
      <c r="O237" s="322"/>
      <c r="P237" s="322"/>
      <c r="Q237" s="322"/>
      <c r="R237" s="322"/>
      <c r="S237" s="322"/>
      <c r="T237" s="322"/>
      <c r="U237" s="322"/>
      <c r="V237" s="322"/>
      <c r="W237" s="322"/>
      <c r="X237" s="322"/>
      <c r="Y237" s="322"/>
      <c r="Z237" s="322"/>
    </row>
    <row r="238" ht="12.75" customHeight="1">
      <c r="A238" s="322"/>
      <c r="B238" s="322"/>
      <c r="C238" s="323"/>
      <c r="D238" s="324"/>
      <c r="E238" s="323"/>
      <c r="F238" s="324"/>
      <c r="G238" s="322"/>
      <c r="H238" s="322"/>
      <c r="I238" s="322"/>
      <c r="J238" s="322"/>
      <c r="K238" s="322"/>
      <c r="L238" s="322"/>
      <c r="M238" s="322"/>
      <c r="N238" s="322"/>
      <c r="O238" s="322"/>
      <c r="P238" s="322"/>
      <c r="Q238" s="322"/>
      <c r="R238" s="322"/>
      <c r="S238" s="322"/>
      <c r="T238" s="322"/>
      <c r="U238" s="322"/>
      <c r="V238" s="322"/>
      <c r="W238" s="322"/>
      <c r="X238" s="322"/>
      <c r="Y238" s="322"/>
      <c r="Z238" s="322"/>
    </row>
    <row r="239" ht="12.75" customHeight="1">
      <c r="A239" s="322"/>
      <c r="B239" s="322"/>
      <c r="C239" s="323"/>
      <c r="D239" s="324"/>
      <c r="E239" s="323"/>
      <c r="F239" s="324"/>
      <c r="G239" s="322"/>
      <c r="H239" s="322"/>
      <c r="I239" s="322"/>
      <c r="J239" s="322"/>
      <c r="K239" s="322"/>
      <c r="L239" s="322"/>
      <c r="M239" s="322"/>
      <c r="N239" s="322"/>
      <c r="O239" s="322"/>
      <c r="P239" s="322"/>
      <c r="Q239" s="322"/>
      <c r="R239" s="322"/>
      <c r="S239" s="322"/>
      <c r="T239" s="322"/>
      <c r="U239" s="322"/>
      <c r="V239" s="322"/>
      <c r="W239" s="322"/>
      <c r="X239" s="322"/>
      <c r="Y239" s="322"/>
      <c r="Z239" s="322"/>
    </row>
    <row r="240" ht="12.75" customHeight="1">
      <c r="A240" s="322"/>
      <c r="B240" s="322"/>
      <c r="C240" s="323"/>
      <c r="D240" s="324"/>
      <c r="E240" s="323"/>
      <c r="F240" s="324"/>
      <c r="G240" s="322"/>
      <c r="H240" s="322"/>
      <c r="I240" s="322"/>
      <c r="J240" s="322"/>
      <c r="K240" s="322"/>
      <c r="L240" s="322"/>
      <c r="M240" s="322"/>
      <c r="N240" s="322"/>
      <c r="O240" s="322"/>
      <c r="P240" s="322"/>
      <c r="Q240" s="322"/>
      <c r="R240" s="322"/>
      <c r="S240" s="322"/>
      <c r="T240" s="322"/>
      <c r="U240" s="322"/>
      <c r="V240" s="322"/>
      <c r="W240" s="322"/>
      <c r="X240" s="322"/>
      <c r="Y240" s="322"/>
      <c r="Z240" s="322"/>
    </row>
    <row r="241" ht="12.75" customHeight="1">
      <c r="A241" s="322"/>
      <c r="B241" s="322"/>
      <c r="C241" s="323"/>
      <c r="D241" s="324"/>
      <c r="E241" s="323"/>
      <c r="F241" s="324"/>
      <c r="G241" s="322"/>
      <c r="H241" s="322"/>
      <c r="I241" s="322"/>
      <c r="J241" s="322"/>
      <c r="K241" s="322"/>
      <c r="L241" s="322"/>
      <c r="M241" s="322"/>
      <c r="N241" s="322"/>
      <c r="O241" s="322"/>
      <c r="P241" s="322"/>
      <c r="Q241" s="322"/>
      <c r="R241" s="322"/>
      <c r="S241" s="322"/>
      <c r="T241" s="322"/>
      <c r="U241" s="322"/>
      <c r="V241" s="322"/>
      <c r="W241" s="322"/>
      <c r="X241" s="322"/>
      <c r="Y241" s="322"/>
      <c r="Z241" s="322"/>
    </row>
    <row r="242" ht="12.75" customHeight="1">
      <c r="A242" s="322"/>
      <c r="B242" s="322"/>
      <c r="C242" s="323"/>
      <c r="D242" s="324"/>
      <c r="E242" s="323"/>
      <c r="F242" s="324"/>
      <c r="G242" s="322"/>
      <c r="H242" s="322"/>
      <c r="I242" s="322"/>
      <c r="J242" s="322"/>
      <c r="K242" s="322"/>
      <c r="L242" s="322"/>
      <c r="M242" s="322"/>
      <c r="N242" s="322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</row>
    <row r="243" ht="12.75" customHeight="1">
      <c r="A243" s="322"/>
      <c r="B243" s="322"/>
      <c r="C243" s="323"/>
      <c r="D243" s="324"/>
      <c r="E243" s="323"/>
      <c r="F243" s="324"/>
      <c r="G243" s="322"/>
      <c r="H243" s="322"/>
      <c r="I243" s="322"/>
      <c r="J243" s="322"/>
      <c r="K243" s="322"/>
      <c r="L243" s="322"/>
      <c r="M243" s="322"/>
      <c r="N243" s="322"/>
      <c r="O243" s="322"/>
      <c r="P243" s="322"/>
      <c r="Q243" s="322"/>
      <c r="R243" s="322"/>
      <c r="S243" s="322"/>
      <c r="T243" s="322"/>
      <c r="U243" s="322"/>
      <c r="V243" s="322"/>
      <c r="W243" s="322"/>
      <c r="X243" s="322"/>
      <c r="Y243" s="322"/>
      <c r="Z243" s="322"/>
    </row>
    <row r="244" ht="12.75" customHeight="1">
      <c r="A244" s="322"/>
      <c r="B244" s="322"/>
      <c r="C244" s="323"/>
      <c r="D244" s="324"/>
      <c r="E244" s="323"/>
      <c r="F244" s="324"/>
      <c r="G244" s="322"/>
      <c r="H244" s="322"/>
      <c r="I244" s="322"/>
      <c r="J244" s="322"/>
      <c r="K244" s="322"/>
      <c r="L244" s="322"/>
      <c r="M244" s="322"/>
      <c r="N244" s="322"/>
      <c r="O244" s="322"/>
      <c r="P244" s="322"/>
      <c r="Q244" s="322"/>
      <c r="R244" s="322"/>
      <c r="S244" s="322"/>
      <c r="T244" s="322"/>
      <c r="U244" s="322"/>
      <c r="V244" s="322"/>
      <c r="W244" s="322"/>
      <c r="X244" s="322"/>
      <c r="Y244" s="322"/>
      <c r="Z244" s="322"/>
    </row>
    <row r="245" ht="12.75" customHeight="1">
      <c r="A245" s="322"/>
      <c r="B245" s="322"/>
      <c r="C245" s="323"/>
      <c r="D245" s="324"/>
      <c r="E245" s="323"/>
      <c r="F245" s="324"/>
      <c r="G245" s="322"/>
      <c r="H245" s="322"/>
      <c r="I245" s="322"/>
      <c r="J245" s="322"/>
      <c r="K245" s="322"/>
      <c r="L245" s="322"/>
      <c r="M245" s="322"/>
      <c r="N245" s="322"/>
      <c r="O245" s="322"/>
      <c r="P245" s="322"/>
      <c r="Q245" s="322"/>
      <c r="R245" s="322"/>
      <c r="S245" s="322"/>
      <c r="T245" s="322"/>
      <c r="U245" s="322"/>
      <c r="V245" s="322"/>
      <c r="W245" s="322"/>
      <c r="X245" s="322"/>
      <c r="Y245" s="322"/>
      <c r="Z245" s="322"/>
    </row>
    <row r="246" ht="12.75" customHeight="1">
      <c r="A246" s="322"/>
      <c r="B246" s="322"/>
      <c r="C246" s="323"/>
      <c r="D246" s="324"/>
      <c r="E246" s="323"/>
      <c r="F246" s="324"/>
      <c r="G246" s="322"/>
      <c r="H246" s="322"/>
      <c r="I246" s="322"/>
      <c r="J246" s="322"/>
      <c r="K246" s="322"/>
      <c r="L246" s="322"/>
      <c r="M246" s="322"/>
      <c r="N246" s="322"/>
      <c r="O246" s="322"/>
      <c r="P246" s="322"/>
      <c r="Q246" s="322"/>
      <c r="R246" s="322"/>
      <c r="S246" s="322"/>
      <c r="T246" s="322"/>
      <c r="U246" s="322"/>
      <c r="V246" s="322"/>
      <c r="W246" s="322"/>
      <c r="X246" s="322"/>
      <c r="Y246" s="322"/>
      <c r="Z246" s="322"/>
    </row>
    <row r="247" ht="12.75" customHeight="1">
      <c r="A247" s="322"/>
      <c r="B247" s="322"/>
      <c r="C247" s="323"/>
      <c r="D247" s="324"/>
      <c r="E247" s="323"/>
      <c r="F247" s="324"/>
      <c r="G247" s="322"/>
      <c r="H247" s="322"/>
      <c r="I247" s="322"/>
      <c r="J247" s="322"/>
      <c r="K247" s="322"/>
      <c r="L247" s="322"/>
      <c r="M247" s="322"/>
      <c r="N247" s="322"/>
      <c r="O247" s="322"/>
      <c r="P247" s="322"/>
      <c r="Q247" s="322"/>
      <c r="R247" s="322"/>
      <c r="S247" s="322"/>
      <c r="T247" s="322"/>
      <c r="U247" s="322"/>
      <c r="V247" s="322"/>
      <c r="W247" s="322"/>
      <c r="X247" s="322"/>
      <c r="Y247" s="322"/>
      <c r="Z247" s="322"/>
    </row>
    <row r="248" ht="12.75" customHeight="1">
      <c r="A248" s="322"/>
      <c r="B248" s="322"/>
      <c r="C248" s="323"/>
      <c r="D248" s="324"/>
      <c r="E248" s="323"/>
      <c r="F248" s="324"/>
      <c r="G248" s="322"/>
      <c r="H248" s="322"/>
      <c r="I248" s="322"/>
      <c r="J248" s="322"/>
      <c r="K248" s="322"/>
      <c r="L248" s="322"/>
      <c r="M248" s="322"/>
      <c r="N248" s="322"/>
      <c r="O248" s="322"/>
      <c r="P248" s="322"/>
      <c r="Q248" s="322"/>
      <c r="R248" s="322"/>
      <c r="S248" s="322"/>
      <c r="T248" s="322"/>
      <c r="U248" s="322"/>
      <c r="V248" s="322"/>
      <c r="W248" s="322"/>
      <c r="X248" s="322"/>
      <c r="Y248" s="322"/>
      <c r="Z248" s="322"/>
    </row>
    <row r="249" ht="12.75" customHeight="1">
      <c r="A249" s="322"/>
      <c r="B249" s="322"/>
      <c r="C249" s="323"/>
      <c r="D249" s="324"/>
      <c r="E249" s="323"/>
      <c r="F249" s="324"/>
      <c r="G249" s="322"/>
      <c r="H249" s="322"/>
      <c r="I249" s="322"/>
      <c r="J249" s="322"/>
      <c r="K249" s="322"/>
      <c r="L249" s="322"/>
      <c r="M249" s="322"/>
      <c r="N249" s="322"/>
      <c r="O249" s="322"/>
      <c r="P249" s="322"/>
      <c r="Q249" s="322"/>
      <c r="R249" s="322"/>
      <c r="S249" s="322"/>
      <c r="T249" s="322"/>
      <c r="U249" s="322"/>
      <c r="V249" s="322"/>
      <c r="W249" s="322"/>
      <c r="X249" s="322"/>
      <c r="Y249" s="322"/>
      <c r="Z249" s="322"/>
    </row>
    <row r="250" ht="12.75" customHeight="1">
      <c r="A250" s="322"/>
      <c r="B250" s="322"/>
      <c r="C250" s="323"/>
      <c r="D250" s="324"/>
      <c r="E250" s="323"/>
      <c r="F250" s="324"/>
      <c r="G250" s="322"/>
      <c r="H250" s="322"/>
      <c r="I250" s="322"/>
      <c r="J250" s="322"/>
      <c r="K250" s="322"/>
      <c r="L250" s="322"/>
      <c r="M250" s="322"/>
      <c r="N250" s="322"/>
      <c r="O250" s="322"/>
      <c r="P250" s="322"/>
      <c r="Q250" s="322"/>
      <c r="R250" s="322"/>
      <c r="S250" s="322"/>
      <c r="T250" s="322"/>
      <c r="U250" s="322"/>
      <c r="V250" s="322"/>
      <c r="W250" s="322"/>
      <c r="X250" s="322"/>
      <c r="Y250" s="322"/>
      <c r="Z250" s="322"/>
    </row>
    <row r="251" ht="12.75" customHeight="1">
      <c r="A251" s="322"/>
      <c r="B251" s="322"/>
      <c r="C251" s="323"/>
      <c r="D251" s="324"/>
      <c r="E251" s="323"/>
      <c r="F251" s="324"/>
      <c r="G251" s="322"/>
      <c r="H251" s="322"/>
      <c r="I251" s="322"/>
      <c r="J251" s="322"/>
      <c r="K251" s="322"/>
      <c r="L251" s="322"/>
      <c r="M251" s="322"/>
      <c r="N251" s="322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</row>
    <row r="252" ht="12.75" customHeight="1">
      <c r="A252" s="322"/>
      <c r="B252" s="322"/>
      <c r="C252" s="323"/>
      <c r="D252" s="324"/>
      <c r="E252" s="323"/>
      <c r="F252" s="324"/>
      <c r="G252" s="322"/>
      <c r="H252" s="322"/>
      <c r="I252" s="322"/>
      <c r="J252" s="322"/>
      <c r="K252" s="322"/>
      <c r="L252" s="322"/>
      <c r="M252" s="322"/>
      <c r="N252" s="322"/>
      <c r="O252" s="322"/>
      <c r="P252" s="322"/>
      <c r="Q252" s="322"/>
      <c r="R252" s="322"/>
      <c r="S252" s="322"/>
      <c r="T252" s="322"/>
      <c r="U252" s="322"/>
      <c r="V252" s="322"/>
      <c r="W252" s="322"/>
      <c r="X252" s="322"/>
      <c r="Y252" s="322"/>
      <c r="Z252" s="322"/>
    </row>
    <row r="253" ht="12.75" customHeight="1">
      <c r="A253" s="322"/>
      <c r="B253" s="322"/>
      <c r="C253" s="323"/>
      <c r="D253" s="324"/>
      <c r="E253" s="323"/>
      <c r="F253" s="324"/>
      <c r="G253" s="322"/>
      <c r="H253" s="322"/>
      <c r="I253" s="322"/>
      <c r="J253" s="322"/>
      <c r="K253" s="322"/>
      <c r="L253" s="322"/>
      <c r="M253" s="322"/>
      <c r="N253" s="322"/>
      <c r="O253" s="322"/>
      <c r="P253" s="322"/>
      <c r="Q253" s="322"/>
      <c r="R253" s="322"/>
      <c r="S253" s="322"/>
      <c r="T253" s="322"/>
      <c r="U253" s="322"/>
      <c r="V253" s="322"/>
      <c r="W253" s="322"/>
      <c r="X253" s="322"/>
      <c r="Y253" s="322"/>
      <c r="Z253" s="322"/>
    </row>
    <row r="254" ht="12.75" customHeight="1">
      <c r="A254" s="322"/>
      <c r="B254" s="322"/>
      <c r="C254" s="323"/>
      <c r="D254" s="324"/>
      <c r="E254" s="323"/>
      <c r="F254" s="324"/>
      <c r="G254" s="322"/>
      <c r="H254" s="322"/>
      <c r="I254" s="322"/>
      <c r="J254" s="322"/>
      <c r="K254" s="322"/>
      <c r="L254" s="322"/>
      <c r="M254" s="322"/>
      <c r="N254" s="322"/>
      <c r="O254" s="322"/>
      <c r="P254" s="322"/>
      <c r="Q254" s="322"/>
      <c r="R254" s="322"/>
      <c r="S254" s="322"/>
      <c r="T254" s="322"/>
      <c r="U254" s="322"/>
      <c r="V254" s="322"/>
      <c r="W254" s="322"/>
      <c r="X254" s="322"/>
      <c r="Y254" s="322"/>
      <c r="Z254" s="322"/>
    </row>
    <row r="255" ht="12.75" customHeight="1">
      <c r="A255" s="322"/>
      <c r="B255" s="322"/>
      <c r="C255" s="323"/>
      <c r="D255" s="324"/>
      <c r="E255" s="323"/>
      <c r="F255" s="324"/>
      <c r="G255" s="322"/>
      <c r="H255" s="322"/>
      <c r="I255" s="322"/>
      <c r="J255" s="322"/>
      <c r="K255" s="322"/>
      <c r="L255" s="322"/>
      <c r="M255" s="322"/>
      <c r="N255" s="322"/>
      <c r="O255" s="322"/>
      <c r="P255" s="322"/>
      <c r="Q255" s="322"/>
      <c r="R255" s="322"/>
      <c r="S255" s="322"/>
      <c r="T255" s="322"/>
      <c r="U255" s="322"/>
      <c r="V255" s="322"/>
      <c r="W255" s="322"/>
      <c r="X255" s="322"/>
      <c r="Y255" s="322"/>
      <c r="Z255" s="322"/>
    </row>
    <row r="256" ht="12.75" customHeight="1">
      <c r="A256" s="322"/>
      <c r="B256" s="322"/>
      <c r="C256" s="323"/>
      <c r="D256" s="324"/>
      <c r="E256" s="323"/>
      <c r="F256" s="324"/>
      <c r="G256" s="322"/>
      <c r="H256" s="322"/>
      <c r="I256" s="322"/>
      <c r="J256" s="322"/>
      <c r="K256" s="322"/>
      <c r="L256" s="322"/>
      <c r="M256" s="322"/>
      <c r="N256" s="322"/>
      <c r="O256" s="322"/>
      <c r="P256" s="322"/>
      <c r="Q256" s="322"/>
      <c r="R256" s="322"/>
      <c r="S256" s="322"/>
      <c r="T256" s="322"/>
      <c r="U256" s="322"/>
      <c r="V256" s="322"/>
      <c r="W256" s="322"/>
      <c r="X256" s="322"/>
      <c r="Y256" s="322"/>
      <c r="Z256" s="322"/>
    </row>
    <row r="257" ht="12.75" customHeight="1">
      <c r="A257" s="322"/>
      <c r="B257" s="322"/>
      <c r="C257" s="323"/>
      <c r="D257" s="324"/>
      <c r="E257" s="323"/>
      <c r="F257" s="324"/>
      <c r="G257" s="322"/>
      <c r="H257" s="322"/>
      <c r="I257" s="322"/>
      <c r="J257" s="322"/>
      <c r="K257" s="322"/>
      <c r="L257" s="322"/>
      <c r="M257" s="322"/>
      <c r="N257" s="322"/>
      <c r="O257" s="322"/>
      <c r="P257" s="322"/>
      <c r="Q257" s="322"/>
      <c r="R257" s="322"/>
      <c r="S257" s="322"/>
      <c r="T257" s="322"/>
      <c r="U257" s="322"/>
      <c r="V257" s="322"/>
      <c r="W257" s="322"/>
      <c r="X257" s="322"/>
      <c r="Y257" s="322"/>
      <c r="Z257" s="322"/>
    </row>
    <row r="258" ht="12.75" customHeight="1">
      <c r="A258" s="322"/>
      <c r="B258" s="322"/>
      <c r="C258" s="323"/>
      <c r="D258" s="324"/>
      <c r="E258" s="323"/>
      <c r="F258" s="324"/>
      <c r="G258" s="322"/>
      <c r="H258" s="322"/>
      <c r="I258" s="322"/>
      <c r="J258" s="322"/>
      <c r="K258" s="322"/>
      <c r="L258" s="322"/>
      <c r="M258" s="322"/>
      <c r="N258" s="322"/>
      <c r="O258" s="322"/>
      <c r="P258" s="322"/>
      <c r="Q258" s="322"/>
      <c r="R258" s="322"/>
      <c r="S258" s="322"/>
      <c r="T258" s="322"/>
      <c r="U258" s="322"/>
      <c r="V258" s="322"/>
      <c r="W258" s="322"/>
      <c r="X258" s="322"/>
      <c r="Y258" s="322"/>
      <c r="Z258" s="322"/>
    </row>
    <row r="259" ht="12.75" customHeight="1">
      <c r="A259" s="322"/>
      <c r="B259" s="322"/>
      <c r="C259" s="323"/>
      <c r="D259" s="324"/>
      <c r="E259" s="323"/>
      <c r="F259" s="324"/>
      <c r="G259" s="322"/>
      <c r="H259" s="322"/>
      <c r="I259" s="322"/>
      <c r="J259" s="322"/>
      <c r="K259" s="322"/>
      <c r="L259" s="322"/>
      <c r="M259" s="322"/>
      <c r="N259" s="322"/>
      <c r="O259" s="322"/>
      <c r="P259" s="322"/>
      <c r="Q259" s="322"/>
      <c r="R259" s="322"/>
      <c r="S259" s="322"/>
      <c r="T259" s="322"/>
      <c r="U259" s="322"/>
      <c r="V259" s="322"/>
      <c r="W259" s="322"/>
      <c r="X259" s="322"/>
      <c r="Y259" s="322"/>
      <c r="Z259" s="322"/>
    </row>
    <row r="260" ht="12.75" customHeight="1">
      <c r="A260" s="322"/>
      <c r="B260" s="322"/>
      <c r="C260" s="323"/>
      <c r="D260" s="324"/>
      <c r="E260" s="323"/>
      <c r="F260" s="324"/>
      <c r="G260" s="322"/>
      <c r="H260" s="322"/>
      <c r="I260" s="322"/>
      <c r="J260" s="322"/>
      <c r="K260" s="322"/>
      <c r="L260" s="322"/>
      <c r="M260" s="322"/>
      <c r="N260" s="322"/>
      <c r="O260" s="322"/>
      <c r="P260" s="322"/>
      <c r="Q260" s="322"/>
      <c r="R260" s="322"/>
      <c r="S260" s="322"/>
      <c r="T260" s="322"/>
      <c r="U260" s="322"/>
      <c r="V260" s="322"/>
      <c r="W260" s="322"/>
      <c r="X260" s="322"/>
      <c r="Y260" s="322"/>
      <c r="Z260" s="322"/>
    </row>
    <row r="261" ht="12.75" customHeight="1">
      <c r="A261" s="322"/>
      <c r="B261" s="322"/>
      <c r="C261" s="323"/>
      <c r="D261" s="324"/>
      <c r="E261" s="323"/>
      <c r="F261" s="324"/>
      <c r="G261" s="322"/>
      <c r="H261" s="322"/>
      <c r="I261" s="322"/>
      <c r="J261" s="322"/>
      <c r="K261" s="322"/>
      <c r="L261" s="322"/>
      <c r="M261" s="322"/>
      <c r="N261" s="322"/>
      <c r="O261" s="322"/>
      <c r="P261" s="322"/>
      <c r="Q261" s="322"/>
      <c r="R261" s="322"/>
      <c r="S261" s="322"/>
      <c r="T261" s="322"/>
      <c r="U261" s="322"/>
      <c r="V261" s="322"/>
      <c r="W261" s="322"/>
      <c r="X261" s="322"/>
      <c r="Y261" s="322"/>
      <c r="Z261" s="322"/>
    </row>
    <row r="262" ht="12.75" customHeight="1">
      <c r="A262" s="322"/>
      <c r="B262" s="322"/>
      <c r="C262" s="323"/>
      <c r="D262" s="324"/>
      <c r="E262" s="323"/>
      <c r="F262" s="324"/>
      <c r="G262" s="322"/>
      <c r="H262" s="322"/>
      <c r="I262" s="322"/>
      <c r="J262" s="322"/>
      <c r="K262" s="322"/>
      <c r="L262" s="322"/>
      <c r="M262" s="322"/>
      <c r="N262" s="322"/>
      <c r="O262" s="322"/>
      <c r="P262" s="322"/>
      <c r="Q262" s="322"/>
      <c r="R262" s="322"/>
      <c r="S262" s="322"/>
      <c r="T262" s="322"/>
      <c r="U262" s="322"/>
      <c r="V262" s="322"/>
      <c r="W262" s="322"/>
      <c r="X262" s="322"/>
      <c r="Y262" s="322"/>
      <c r="Z262" s="322"/>
    </row>
    <row r="263" ht="12.75" customHeight="1">
      <c r="A263" s="322"/>
      <c r="B263" s="322"/>
      <c r="C263" s="323"/>
      <c r="D263" s="324"/>
      <c r="E263" s="323"/>
      <c r="F263" s="324"/>
      <c r="G263" s="322"/>
      <c r="H263" s="322"/>
      <c r="I263" s="322"/>
      <c r="J263" s="322"/>
      <c r="K263" s="322"/>
      <c r="L263" s="322"/>
      <c r="M263" s="322"/>
      <c r="N263" s="322"/>
      <c r="O263" s="322"/>
      <c r="P263" s="322"/>
      <c r="Q263" s="322"/>
      <c r="R263" s="322"/>
      <c r="S263" s="322"/>
      <c r="T263" s="322"/>
      <c r="U263" s="322"/>
      <c r="V263" s="322"/>
      <c r="W263" s="322"/>
      <c r="X263" s="322"/>
      <c r="Y263" s="322"/>
      <c r="Z263" s="322"/>
    </row>
    <row r="264" ht="12.75" customHeight="1">
      <c r="A264" s="322"/>
      <c r="B264" s="322"/>
      <c r="C264" s="323"/>
      <c r="D264" s="324"/>
      <c r="E264" s="323"/>
      <c r="F264" s="324"/>
      <c r="G264" s="322"/>
      <c r="H264" s="322"/>
      <c r="I264" s="322"/>
      <c r="J264" s="322"/>
      <c r="K264" s="322"/>
      <c r="L264" s="322"/>
      <c r="M264" s="322"/>
      <c r="N264" s="322"/>
      <c r="O264" s="322"/>
      <c r="P264" s="322"/>
      <c r="Q264" s="322"/>
      <c r="R264" s="322"/>
      <c r="S264" s="322"/>
      <c r="T264" s="322"/>
      <c r="U264" s="322"/>
      <c r="V264" s="322"/>
      <c r="W264" s="322"/>
      <c r="X264" s="322"/>
      <c r="Y264" s="322"/>
      <c r="Z264" s="322"/>
    </row>
    <row r="265" ht="12.75" customHeight="1">
      <c r="A265" s="322"/>
      <c r="B265" s="322"/>
      <c r="C265" s="323"/>
      <c r="D265" s="324"/>
      <c r="E265" s="323"/>
      <c r="F265" s="324"/>
      <c r="G265" s="322"/>
      <c r="H265" s="322"/>
      <c r="I265" s="322"/>
      <c r="J265" s="322"/>
      <c r="K265" s="322"/>
      <c r="L265" s="322"/>
      <c r="M265" s="322"/>
      <c r="N265" s="322"/>
      <c r="O265" s="322"/>
      <c r="P265" s="322"/>
      <c r="Q265" s="322"/>
      <c r="R265" s="322"/>
      <c r="S265" s="322"/>
      <c r="T265" s="322"/>
      <c r="U265" s="322"/>
      <c r="V265" s="322"/>
      <c r="W265" s="322"/>
      <c r="X265" s="322"/>
      <c r="Y265" s="322"/>
      <c r="Z265" s="322"/>
    </row>
    <row r="266" ht="12.75" customHeight="1">
      <c r="A266" s="322"/>
      <c r="B266" s="322"/>
      <c r="C266" s="323"/>
      <c r="D266" s="324"/>
      <c r="E266" s="323"/>
      <c r="F266" s="324"/>
      <c r="G266" s="322"/>
      <c r="H266" s="322"/>
      <c r="I266" s="322"/>
      <c r="J266" s="322"/>
      <c r="K266" s="322"/>
      <c r="L266" s="322"/>
      <c r="M266" s="322"/>
      <c r="N266" s="322"/>
      <c r="O266" s="322"/>
      <c r="P266" s="322"/>
      <c r="Q266" s="322"/>
      <c r="R266" s="322"/>
      <c r="S266" s="322"/>
      <c r="T266" s="322"/>
      <c r="U266" s="322"/>
      <c r="V266" s="322"/>
      <c r="W266" s="322"/>
      <c r="X266" s="322"/>
      <c r="Y266" s="322"/>
      <c r="Z266" s="322"/>
    </row>
    <row r="267" ht="12.75" customHeight="1">
      <c r="A267" s="322"/>
      <c r="B267" s="322"/>
      <c r="C267" s="323"/>
      <c r="D267" s="324"/>
      <c r="E267" s="323"/>
      <c r="F267" s="324"/>
      <c r="G267" s="322"/>
      <c r="H267" s="322"/>
      <c r="I267" s="322"/>
      <c r="J267" s="322"/>
      <c r="K267" s="322"/>
      <c r="L267" s="322"/>
      <c r="M267" s="322"/>
      <c r="N267" s="322"/>
      <c r="O267" s="322"/>
      <c r="P267" s="322"/>
      <c r="Q267" s="322"/>
      <c r="R267" s="322"/>
      <c r="S267" s="322"/>
      <c r="T267" s="322"/>
      <c r="U267" s="322"/>
      <c r="V267" s="322"/>
      <c r="W267" s="322"/>
      <c r="X267" s="322"/>
      <c r="Y267" s="322"/>
      <c r="Z267" s="322"/>
    </row>
    <row r="268" ht="12.75" customHeight="1">
      <c r="A268" s="322"/>
      <c r="B268" s="322"/>
      <c r="C268" s="323"/>
      <c r="D268" s="324"/>
      <c r="E268" s="323"/>
      <c r="F268" s="324"/>
      <c r="G268" s="322"/>
      <c r="H268" s="322"/>
      <c r="I268" s="322"/>
      <c r="J268" s="322"/>
      <c r="K268" s="322"/>
      <c r="L268" s="322"/>
      <c r="M268" s="322"/>
      <c r="N268" s="322"/>
      <c r="O268" s="322"/>
      <c r="P268" s="322"/>
      <c r="Q268" s="322"/>
      <c r="R268" s="322"/>
      <c r="S268" s="322"/>
      <c r="T268" s="322"/>
      <c r="U268" s="322"/>
      <c r="V268" s="322"/>
      <c r="W268" s="322"/>
      <c r="X268" s="322"/>
      <c r="Y268" s="322"/>
      <c r="Z268" s="322"/>
    </row>
    <row r="269" ht="12.75" customHeight="1">
      <c r="A269" s="322"/>
      <c r="B269" s="322"/>
      <c r="C269" s="323"/>
      <c r="D269" s="324"/>
      <c r="E269" s="323"/>
      <c r="F269" s="324"/>
      <c r="G269" s="322"/>
      <c r="H269" s="322"/>
      <c r="I269" s="322"/>
      <c r="J269" s="322"/>
      <c r="K269" s="322"/>
      <c r="L269" s="322"/>
      <c r="M269" s="322"/>
      <c r="N269" s="322"/>
      <c r="O269" s="322"/>
      <c r="P269" s="322"/>
      <c r="Q269" s="322"/>
      <c r="R269" s="322"/>
      <c r="S269" s="322"/>
      <c r="T269" s="322"/>
      <c r="U269" s="322"/>
      <c r="V269" s="322"/>
      <c r="W269" s="322"/>
      <c r="X269" s="322"/>
      <c r="Y269" s="322"/>
      <c r="Z269" s="322"/>
    </row>
    <row r="270" ht="12.75" customHeight="1">
      <c r="A270" s="322"/>
      <c r="B270" s="322"/>
      <c r="C270" s="323"/>
      <c r="D270" s="324"/>
      <c r="E270" s="323"/>
      <c r="F270" s="324"/>
      <c r="G270" s="322"/>
      <c r="H270" s="322"/>
      <c r="I270" s="322"/>
      <c r="J270" s="322"/>
      <c r="K270" s="322"/>
      <c r="L270" s="322"/>
      <c r="M270" s="322"/>
      <c r="N270" s="322"/>
      <c r="O270" s="322"/>
      <c r="P270" s="322"/>
      <c r="Q270" s="322"/>
      <c r="R270" s="322"/>
      <c r="S270" s="322"/>
      <c r="T270" s="322"/>
      <c r="U270" s="322"/>
      <c r="V270" s="322"/>
      <c r="W270" s="322"/>
      <c r="X270" s="322"/>
      <c r="Y270" s="322"/>
      <c r="Z270" s="322"/>
    </row>
    <row r="271" ht="12.75" customHeight="1">
      <c r="A271" s="322"/>
      <c r="B271" s="322"/>
      <c r="C271" s="323"/>
      <c r="D271" s="324"/>
      <c r="E271" s="323"/>
      <c r="F271" s="324"/>
      <c r="G271" s="322"/>
      <c r="H271" s="322"/>
      <c r="I271" s="322"/>
      <c r="J271" s="322"/>
      <c r="K271" s="322"/>
      <c r="L271" s="322"/>
      <c r="M271" s="322"/>
      <c r="N271" s="322"/>
      <c r="O271" s="322"/>
      <c r="P271" s="322"/>
      <c r="Q271" s="322"/>
      <c r="R271" s="322"/>
      <c r="S271" s="322"/>
      <c r="T271" s="322"/>
      <c r="U271" s="322"/>
      <c r="V271" s="322"/>
      <c r="W271" s="322"/>
      <c r="X271" s="322"/>
      <c r="Y271" s="322"/>
      <c r="Z271" s="322"/>
    </row>
    <row r="272" ht="12.75" customHeight="1">
      <c r="A272" s="322"/>
      <c r="B272" s="322"/>
      <c r="C272" s="323"/>
      <c r="D272" s="324"/>
      <c r="E272" s="323"/>
      <c r="F272" s="324"/>
      <c r="G272" s="322"/>
      <c r="H272" s="322"/>
      <c r="I272" s="322"/>
      <c r="J272" s="322"/>
      <c r="K272" s="322"/>
      <c r="L272" s="322"/>
      <c r="M272" s="322"/>
      <c r="N272" s="322"/>
      <c r="O272" s="322"/>
      <c r="P272" s="322"/>
      <c r="Q272" s="322"/>
      <c r="R272" s="322"/>
      <c r="S272" s="322"/>
      <c r="T272" s="322"/>
      <c r="U272" s="322"/>
      <c r="V272" s="322"/>
      <c r="W272" s="322"/>
      <c r="X272" s="322"/>
      <c r="Y272" s="322"/>
      <c r="Z272" s="322"/>
    </row>
    <row r="273" ht="12.75" customHeight="1">
      <c r="A273" s="322"/>
      <c r="B273" s="322"/>
      <c r="C273" s="323"/>
      <c r="D273" s="324"/>
      <c r="E273" s="323"/>
      <c r="F273" s="324"/>
      <c r="G273" s="322"/>
      <c r="H273" s="322"/>
      <c r="I273" s="322"/>
      <c r="J273" s="322"/>
      <c r="K273" s="322"/>
      <c r="L273" s="322"/>
      <c r="M273" s="322"/>
      <c r="N273" s="322"/>
      <c r="O273" s="322"/>
      <c r="P273" s="322"/>
      <c r="Q273" s="322"/>
      <c r="R273" s="322"/>
      <c r="S273" s="322"/>
      <c r="T273" s="322"/>
      <c r="U273" s="322"/>
      <c r="V273" s="322"/>
      <c r="W273" s="322"/>
      <c r="X273" s="322"/>
      <c r="Y273" s="322"/>
      <c r="Z273" s="322"/>
    </row>
    <row r="274" ht="12.75" customHeight="1">
      <c r="A274" s="322"/>
      <c r="B274" s="322"/>
      <c r="C274" s="323"/>
      <c r="D274" s="324"/>
      <c r="E274" s="323"/>
      <c r="F274" s="324"/>
      <c r="G274" s="322"/>
      <c r="H274" s="322"/>
      <c r="I274" s="322"/>
      <c r="J274" s="322"/>
      <c r="K274" s="322"/>
      <c r="L274" s="322"/>
      <c r="M274" s="322"/>
      <c r="N274" s="322"/>
      <c r="O274" s="322"/>
      <c r="P274" s="322"/>
      <c r="Q274" s="322"/>
      <c r="R274" s="322"/>
      <c r="S274" s="322"/>
      <c r="T274" s="322"/>
      <c r="U274" s="322"/>
      <c r="V274" s="322"/>
      <c r="W274" s="322"/>
      <c r="X274" s="322"/>
      <c r="Y274" s="322"/>
      <c r="Z274" s="322"/>
    </row>
    <row r="275" ht="12.75" customHeight="1">
      <c r="A275" s="322"/>
      <c r="B275" s="322"/>
      <c r="C275" s="323"/>
      <c r="D275" s="324"/>
      <c r="E275" s="323"/>
      <c r="F275" s="324"/>
      <c r="G275" s="322"/>
      <c r="H275" s="322"/>
      <c r="I275" s="322"/>
      <c r="J275" s="322"/>
      <c r="K275" s="322"/>
      <c r="L275" s="322"/>
      <c r="M275" s="322"/>
      <c r="N275" s="322"/>
      <c r="O275" s="322"/>
      <c r="P275" s="322"/>
      <c r="Q275" s="322"/>
      <c r="R275" s="322"/>
      <c r="S275" s="322"/>
      <c r="T275" s="322"/>
      <c r="U275" s="322"/>
      <c r="V275" s="322"/>
      <c r="W275" s="322"/>
      <c r="X275" s="322"/>
      <c r="Y275" s="322"/>
      <c r="Z275" s="322"/>
    </row>
    <row r="276" ht="12.75" customHeight="1">
      <c r="A276" s="322"/>
      <c r="B276" s="322"/>
      <c r="C276" s="323"/>
      <c r="D276" s="324"/>
      <c r="E276" s="323"/>
      <c r="F276" s="324"/>
      <c r="G276" s="322"/>
      <c r="H276" s="322"/>
      <c r="I276" s="322"/>
      <c r="J276" s="322"/>
      <c r="K276" s="322"/>
      <c r="L276" s="322"/>
      <c r="M276" s="322"/>
      <c r="N276" s="322"/>
      <c r="O276" s="322"/>
      <c r="P276" s="322"/>
      <c r="Q276" s="322"/>
      <c r="R276" s="322"/>
      <c r="S276" s="322"/>
      <c r="T276" s="322"/>
      <c r="U276" s="322"/>
      <c r="V276" s="322"/>
      <c r="W276" s="322"/>
      <c r="X276" s="322"/>
      <c r="Y276" s="322"/>
      <c r="Z276" s="322"/>
    </row>
    <row r="277" ht="12.75" customHeight="1">
      <c r="A277" s="322"/>
      <c r="B277" s="322"/>
      <c r="C277" s="323"/>
      <c r="D277" s="324"/>
      <c r="E277" s="323"/>
      <c r="F277" s="324"/>
      <c r="G277" s="322"/>
      <c r="H277" s="322"/>
      <c r="I277" s="322"/>
      <c r="J277" s="322"/>
      <c r="K277" s="322"/>
      <c r="L277" s="322"/>
      <c r="M277" s="322"/>
      <c r="N277" s="322"/>
      <c r="O277" s="322"/>
      <c r="P277" s="322"/>
      <c r="Q277" s="322"/>
      <c r="R277" s="322"/>
      <c r="S277" s="322"/>
      <c r="T277" s="322"/>
      <c r="U277" s="322"/>
      <c r="V277" s="322"/>
      <c r="W277" s="322"/>
      <c r="X277" s="322"/>
      <c r="Y277" s="322"/>
      <c r="Z277" s="322"/>
    </row>
    <row r="278" ht="12.75" customHeight="1">
      <c r="A278" s="322"/>
      <c r="B278" s="322"/>
      <c r="C278" s="323"/>
      <c r="D278" s="324"/>
      <c r="E278" s="323"/>
      <c r="F278" s="324"/>
      <c r="G278" s="322"/>
      <c r="H278" s="322"/>
      <c r="I278" s="322"/>
      <c r="J278" s="322"/>
      <c r="K278" s="322"/>
      <c r="L278" s="322"/>
      <c r="M278" s="322"/>
      <c r="N278" s="322"/>
      <c r="O278" s="322"/>
      <c r="P278" s="322"/>
      <c r="Q278" s="322"/>
      <c r="R278" s="322"/>
      <c r="S278" s="322"/>
      <c r="T278" s="322"/>
      <c r="U278" s="322"/>
      <c r="V278" s="322"/>
      <c r="W278" s="322"/>
      <c r="X278" s="322"/>
      <c r="Y278" s="322"/>
      <c r="Z278" s="322"/>
    </row>
    <row r="279" ht="12.75" customHeight="1">
      <c r="A279" s="322"/>
      <c r="B279" s="322"/>
      <c r="C279" s="323"/>
      <c r="D279" s="324"/>
      <c r="E279" s="323"/>
      <c r="F279" s="324"/>
      <c r="G279" s="322"/>
      <c r="H279" s="322"/>
      <c r="I279" s="322"/>
      <c r="J279" s="322"/>
      <c r="K279" s="322"/>
      <c r="L279" s="322"/>
      <c r="M279" s="322"/>
      <c r="N279" s="322"/>
      <c r="O279" s="322"/>
      <c r="P279" s="322"/>
      <c r="Q279" s="322"/>
      <c r="R279" s="322"/>
      <c r="S279" s="322"/>
      <c r="T279" s="322"/>
      <c r="U279" s="322"/>
      <c r="V279" s="322"/>
      <c r="W279" s="322"/>
      <c r="X279" s="322"/>
      <c r="Y279" s="322"/>
      <c r="Z279" s="322"/>
    </row>
    <row r="280" ht="12.75" customHeight="1">
      <c r="A280" s="322"/>
      <c r="B280" s="322"/>
      <c r="C280" s="323"/>
      <c r="D280" s="324"/>
      <c r="E280" s="323"/>
      <c r="F280" s="324"/>
      <c r="G280" s="322"/>
      <c r="H280" s="322"/>
      <c r="I280" s="322"/>
      <c r="J280" s="322"/>
      <c r="K280" s="322"/>
      <c r="L280" s="322"/>
      <c r="M280" s="322"/>
      <c r="N280" s="322"/>
      <c r="O280" s="322"/>
      <c r="P280" s="322"/>
      <c r="Q280" s="322"/>
      <c r="R280" s="322"/>
      <c r="S280" s="322"/>
      <c r="T280" s="322"/>
      <c r="U280" s="322"/>
      <c r="V280" s="322"/>
      <c r="W280" s="322"/>
      <c r="X280" s="322"/>
      <c r="Y280" s="322"/>
      <c r="Z280" s="322"/>
    </row>
    <row r="281" ht="12.75" customHeight="1">
      <c r="A281" s="322"/>
      <c r="B281" s="322"/>
      <c r="C281" s="323"/>
      <c r="D281" s="324"/>
      <c r="E281" s="323"/>
      <c r="F281" s="324"/>
      <c r="G281" s="322"/>
      <c r="H281" s="322"/>
      <c r="I281" s="322"/>
      <c r="J281" s="322"/>
      <c r="K281" s="322"/>
      <c r="L281" s="322"/>
      <c r="M281" s="322"/>
      <c r="N281" s="322"/>
      <c r="O281" s="322"/>
      <c r="P281" s="322"/>
      <c r="Q281" s="322"/>
      <c r="R281" s="322"/>
      <c r="S281" s="322"/>
      <c r="T281" s="322"/>
      <c r="U281" s="322"/>
      <c r="V281" s="322"/>
      <c r="W281" s="322"/>
      <c r="X281" s="322"/>
      <c r="Y281" s="322"/>
      <c r="Z281" s="322"/>
    </row>
    <row r="282" ht="12.75" customHeight="1">
      <c r="A282" s="322"/>
      <c r="B282" s="322"/>
      <c r="C282" s="323"/>
      <c r="D282" s="324"/>
      <c r="E282" s="323"/>
      <c r="F282" s="324"/>
      <c r="G282" s="322"/>
      <c r="H282" s="322"/>
      <c r="I282" s="322"/>
      <c r="J282" s="322"/>
      <c r="K282" s="322"/>
      <c r="L282" s="322"/>
      <c r="M282" s="322"/>
      <c r="N282" s="322"/>
      <c r="O282" s="322"/>
      <c r="P282" s="322"/>
      <c r="Q282" s="322"/>
      <c r="R282" s="322"/>
      <c r="S282" s="322"/>
      <c r="T282" s="322"/>
      <c r="U282" s="322"/>
      <c r="V282" s="322"/>
      <c r="W282" s="322"/>
      <c r="X282" s="322"/>
      <c r="Y282" s="322"/>
      <c r="Z282" s="322"/>
    </row>
    <row r="283" ht="12.75" customHeight="1">
      <c r="A283" s="322"/>
      <c r="B283" s="322"/>
      <c r="C283" s="323"/>
      <c r="D283" s="324"/>
      <c r="E283" s="323"/>
      <c r="F283" s="324"/>
      <c r="G283" s="322"/>
      <c r="H283" s="322"/>
      <c r="I283" s="322"/>
      <c r="J283" s="322"/>
      <c r="K283" s="322"/>
      <c r="L283" s="322"/>
      <c r="M283" s="322"/>
      <c r="N283" s="322"/>
      <c r="O283" s="322"/>
      <c r="P283" s="322"/>
      <c r="Q283" s="322"/>
      <c r="R283" s="322"/>
      <c r="S283" s="322"/>
      <c r="T283" s="322"/>
      <c r="U283" s="322"/>
      <c r="V283" s="322"/>
      <c r="W283" s="322"/>
      <c r="X283" s="322"/>
      <c r="Y283" s="322"/>
      <c r="Z283" s="322"/>
    </row>
    <row r="284" ht="12.75" customHeight="1">
      <c r="A284" s="322"/>
      <c r="B284" s="322"/>
      <c r="C284" s="323"/>
      <c r="D284" s="324"/>
      <c r="E284" s="323"/>
      <c r="F284" s="324"/>
      <c r="G284" s="322"/>
      <c r="H284" s="322"/>
      <c r="I284" s="322"/>
      <c r="J284" s="322"/>
      <c r="K284" s="322"/>
      <c r="L284" s="322"/>
      <c r="M284" s="322"/>
      <c r="N284" s="322"/>
      <c r="O284" s="322"/>
      <c r="P284" s="322"/>
      <c r="Q284" s="322"/>
      <c r="R284" s="322"/>
      <c r="S284" s="322"/>
      <c r="T284" s="322"/>
      <c r="U284" s="322"/>
      <c r="V284" s="322"/>
      <c r="W284" s="322"/>
      <c r="X284" s="322"/>
      <c r="Y284" s="322"/>
      <c r="Z284" s="322"/>
    </row>
    <row r="285" ht="12.75" customHeight="1">
      <c r="A285" s="322"/>
      <c r="B285" s="322"/>
      <c r="C285" s="323"/>
      <c r="D285" s="324"/>
      <c r="E285" s="323"/>
      <c r="F285" s="324"/>
      <c r="G285" s="322"/>
      <c r="H285" s="322"/>
      <c r="I285" s="322"/>
      <c r="J285" s="322"/>
      <c r="K285" s="322"/>
      <c r="L285" s="322"/>
      <c r="M285" s="322"/>
      <c r="N285" s="322"/>
      <c r="O285" s="322"/>
      <c r="P285" s="322"/>
      <c r="Q285" s="322"/>
      <c r="R285" s="322"/>
      <c r="S285" s="322"/>
      <c r="T285" s="322"/>
      <c r="U285" s="322"/>
      <c r="V285" s="322"/>
      <c r="W285" s="322"/>
      <c r="X285" s="322"/>
      <c r="Y285" s="322"/>
      <c r="Z285" s="322"/>
    </row>
    <row r="286" ht="12.75" customHeight="1">
      <c r="A286" s="322"/>
      <c r="B286" s="322"/>
      <c r="C286" s="323"/>
      <c r="D286" s="324"/>
      <c r="E286" s="323"/>
      <c r="F286" s="324"/>
      <c r="G286" s="322"/>
      <c r="H286" s="322"/>
      <c r="I286" s="322"/>
      <c r="J286" s="322"/>
      <c r="K286" s="322"/>
      <c r="L286" s="322"/>
      <c r="M286" s="322"/>
      <c r="N286" s="322"/>
      <c r="O286" s="322"/>
      <c r="P286" s="322"/>
      <c r="Q286" s="322"/>
      <c r="R286" s="322"/>
      <c r="S286" s="322"/>
      <c r="T286" s="322"/>
      <c r="U286" s="322"/>
      <c r="V286" s="322"/>
      <c r="W286" s="322"/>
      <c r="X286" s="322"/>
      <c r="Y286" s="322"/>
      <c r="Z286" s="322"/>
    </row>
    <row r="287" ht="12.75" customHeight="1">
      <c r="A287" s="322"/>
      <c r="B287" s="322"/>
      <c r="C287" s="323"/>
      <c r="D287" s="324"/>
      <c r="E287" s="323"/>
      <c r="F287" s="324"/>
      <c r="G287" s="322"/>
      <c r="H287" s="322"/>
      <c r="I287" s="322"/>
      <c r="J287" s="322"/>
      <c r="K287" s="322"/>
      <c r="L287" s="322"/>
      <c r="M287" s="322"/>
      <c r="N287" s="322"/>
      <c r="O287" s="322"/>
      <c r="P287" s="322"/>
      <c r="Q287" s="322"/>
      <c r="R287" s="322"/>
      <c r="S287" s="322"/>
      <c r="T287" s="322"/>
      <c r="U287" s="322"/>
      <c r="V287" s="322"/>
      <c r="W287" s="322"/>
      <c r="X287" s="322"/>
      <c r="Y287" s="322"/>
      <c r="Z287" s="322"/>
    </row>
    <row r="288" ht="12.75" customHeight="1">
      <c r="A288" s="322"/>
      <c r="B288" s="322"/>
      <c r="C288" s="323"/>
      <c r="D288" s="324"/>
      <c r="E288" s="323"/>
      <c r="F288" s="324"/>
      <c r="G288" s="322"/>
      <c r="H288" s="322"/>
      <c r="I288" s="322"/>
      <c r="J288" s="322"/>
      <c r="K288" s="322"/>
      <c r="L288" s="322"/>
      <c r="M288" s="322"/>
      <c r="N288" s="322"/>
      <c r="O288" s="322"/>
      <c r="P288" s="322"/>
      <c r="Q288" s="322"/>
      <c r="R288" s="322"/>
      <c r="S288" s="322"/>
      <c r="T288" s="322"/>
      <c r="U288" s="322"/>
      <c r="V288" s="322"/>
      <c r="W288" s="322"/>
      <c r="X288" s="322"/>
      <c r="Y288" s="322"/>
      <c r="Z288" s="322"/>
    </row>
    <row r="289" ht="12.75" customHeight="1">
      <c r="A289" s="322"/>
      <c r="B289" s="322"/>
      <c r="C289" s="323"/>
      <c r="D289" s="324"/>
      <c r="E289" s="323"/>
      <c r="F289" s="324"/>
      <c r="G289" s="322"/>
      <c r="H289" s="322"/>
      <c r="I289" s="322"/>
      <c r="J289" s="322"/>
      <c r="K289" s="322"/>
      <c r="L289" s="322"/>
      <c r="M289" s="322"/>
      <c r="N289" s="322"/>
      <c r="O289" s="322"/>
      <c r="P289" s="322"/>
      <c r="Q289" s="322"/>
      <c r="R289" s="322"/>
      <c r="S289" s="322"/>
      <c r="T289" s="322"/>
      <c r="U289" s="322"/>
      <c r="V289" s="322"/>
      <c r="W289" s="322"/>
      <c r="X289" s="322"/>
      <c r="Y289" s="322"/>
      <c r="Z289" s="322"/>
    </row>
    <row r="290" ht="12.75" customHeight="1">
      <c r="A290" s="322"/>
      <c r="B290" s="322"/>
      <c r="C290" s="323"/>
      <c r="D290" s="324"/>
      <c r="E290" s="323"/>
      <c r="F290" s="324"/>
      <c r="G290" s="322"/>
      <c r="H290" s="322"/>
      <c r="I290" s="322"/>
      <c r="J290" s="322"/>
      <c r="K290" s="322"/>
      <c r="L290" s="322"/>
      <c r="M290" s="322"/>
      <c r="N290" s="322"/>
      <c r="O290" s="322"/>
      <c r="P290" s="322"/>
      <c r="Q290" s="322"/>
      <c r="R290" s="322"/>
      <c r="S290" s="322"/>
      <c r="T290" s="322"/>
      <c r="U290" s="322"/>
      <c r="V290" s="322"/>
      <c r="W290" s="322"/>
      <c r="X290" s="322"/>
      <c r="Y290" s="322"/>
      <c r="Z290" s="322"/>
    </row>
    <row r="291" ht="12.75" customHeight="1">
      <c r="A291" s="322"/>
      <c r="B291" s="322"/>
      <c r="C291" s="323"/>
      <c r="D291" s="324"/>
      <c r="E291" s="323"/>
      <c r="F291" s="324"/>
      <c r="G291" s="322"/>
      <c r="H291" s="322"/>
      <c r="I291" s="322"/>
      <c r="J291" s="322"/>
      <c r="K291" s="322"/>
      <c r="L291" s="322"/>
      <c r="M291" s="322"/>
      <c r="N291" s="322"/>
      <c r="O291" s="322"/>
      <c r="P291" s="322"/>
      <c r="Q291" s="322"/>
      <c r="R291" s="322"/>
      <c r="S291" s="322"/>
      <c r="T291" s="322"/>
      <c r="U291" s="322"/>
      <c r="V291" s="322"/>
      <c r="W291" s="322"/>
      <c r="X291" s="322"/>
      <c r="Y291" s="322"/>
      <c r="Z291" s="322"/>
    </row>
    <row r="292" ht="12.75" customHeight="1">
      <c r="A292" s="322"/>
      <c r="B292" s="322"/>
      <c r="C292" s="323"/>
      <c r="D292" s="324"/>
      <c r="E292" s="323"/>
      <c r="F292" s="324"/>
      <c r="G292" s="322"/>
      <c r="H292" s="322"/>
      <c r="I292" s="322"/>
      <c r="J292" s="322"/>
      <c r="K292" s="322"/>
      <c r="L292" s="322"/>
      <c r="M292" s="322"/>
      <c r="N292" s="322"/>
      <c r="O292" s="322"/>
      <c r="P292" s="322"/>
      <c r="Q292" s="322"/>
      <c r="R292" s="322"/>
      <c r="S292" s="322"/>
      <c r="T292" s="322"/>
      <c r="U292" s="322"/>
      <c r="V292" s="322"/>
      <c r="W292" s="322"/>
      <c r="X292" s="322"/>
      <c r="Y292" s="322"/>
      <c r="Z292" s="322"/>
    </row>
    <row r="293" ht="12.75" customHeight="1">
      <c r="A293" s="322"/>
      <c r="B293" s="322"/>
      <c r="C293" s="323"/>
      <c r="D293" s="324"/>
      <c r="E293" s="323"/>
      <c r="F293" s="324"/>
      <c r="G293" s="322"/>
      <c r="H293" s="322"/>
      <c r="I293" s="322"/>
      <c r="J293" s="322"/>
      <c r="K293" s="322"/>
      <c r="L293" s="322"/>
      <c r="M293" s="322"/>
      <c r="N293" s="322"/>
      <c r="O293" s="322"/>
      <c r="P293" s="322"/>
      <c r="Q293" s="322"/>
      <c r="R293" s="322"/>
      <c r="S293" s="322"/>
      <c r="T293" s="322"/>
      <c r="U293" s="322"/>
      <c r="V293" s="322"/>
      <c r="W293" s="322"/>
      <c r="X293" s="322"/>
      <c r="Y293" s="322"/>
      <c r="Z293" s="322"/>
    </row>
    <row r="294" ht="12.75" customHeight="1">
      <c r="A294" s="322"/>
      <c r="B294" s="322"/>
      <c r="C294" s="323"/>
      <c r="D294" s="324"/>
      <c r="E294" s="323"/>
      <c r="F294" s="324"/>
      <c r="G294" s="322"/>
      <c r="H294" s="322"/>
      <c r="I294" s="322"/>
      <c r="J294" s="322"/>
      <c r="K294" s="322"/>
      <c r="L294" s="322"/>
      <c r="M294" s="322"/>
      <c r="N294" s="322"/>
      <c r="O294" s="322"/>
      <c r="P294" s="322"/>
      <c r="Q294" s="322"/>
      <c r="R294" s="322"/>
      <c r="S294" s="322"/>
      <c r="T294" s="322"/>
      <c r="U294" s="322"/>
      <c r="V294" s="322"/>
      <c r="W294" s="322"/>
      <c r="X294" s="322"/>
      <c r="Y294" s="322"/>
      <c r="Z294" s="322"/>
    </row>
    <row r="295" ht="12.75" customHeight="1">
      <c r="A295" s="322"/>
      <c r="B295" s="322"/>
      <c r="C295" s="323"/>
      <c r="D295" s="324"/>
      <c r="E295" s="323"/>
      <c r="F295" s="324"/>
      <c r="G295" s="322"/>
      <c r="H295" s="322"/>
      <c r="I295" s="322"/>
      <c r="J295" s="322"/>
      <c r="K295" s="322"/>
      <c r="L295" s="322"/>
      <c r="M295" s="322"/>
      <c r="N295" s="322"/>
      <c r="O295" s="322"/>
      <c r="P295" s="322"/>
      <c r="Q295" s="322"/>
      <c r="R295" s="322"/>
      <c r="S295" s="322"/>
      <c r="T295" s="322"/>
      <c r="U295" s="322"/>
      <c r="V295" s="322"/>
      <c r="W295" s="322"/>
      <c r="X295" s="322"/>
      <c r="Y295" s="322"/>
      <c r="Z295" s="322"/>
    </row>
    <row r="296" ht="12.75" customHeight="1">
      <c r="A296" s="322"/>
      <c r="B296" s="322"/>
      <c r="C296" s="323"/>
      <c r="D296" s="324"/>
      <c r="E296" s="323"/>
      <c r="F296" s="324"/>
      <c r="G296" s="322"/>
      <c r="H296" s="322"/>
      <c r="I296" s="322"/>
      <c r="J296" s="322"/>
      <c r="K296" s="322"/>
      <c r="L296" s="322"/>
      <c r="M296" s="322"/>
      <c r="N296" s="322"/>
      <c r="O296" s="322"/>
      <c r="P296" s="322"/>
      <c r="Q296" s="322"/>
      <c r="R296" s="322"/>
      <c r="S296" s="322"/>
      <c r="T296" s="322"/>
      <c r="U296" s="322"/>
      <c r="V296" s="322"/>
      <c r="W296" s="322"/>
      <c r="X296" s="322"/>
      <c r="Y296" s="322"/>
      <c r="Z296" s="322"/>
    </row>
    <row r="297" ht="12.75" customHeight="1">
      <c r="A297" s="322"/>
      <c r="B297" s="322"/>
      <c r="C297" s="323"/>
      <c r="D297" s="324"/>
      <c r="E297" s="323"/>
      <c r="F297" s="324"/>
      <c r="G297" s="322"/>
      <c r="H297" s="322"/>
      <c r="I297" s="322"/>
      <c r="J297" s="322"/>
      <c r="K297" s="322"/>
      <c r="L297" s="322"/>
      <c r="M297" s="322"/>
      <c r="N297" s="322"/>
      <c r="O297" s="322"/>
      <c r="P297" s="322"/>
      <c r="Q297" s="322"/>
      <c r="R297" s="322"/>
      <c r="S297" s="322"/>
      <c r="T297" s="322"/>
      <c r="U297" s="322"/>
      <c r="V297" s="322"/>
      <c r="W297" s="322"/>
      <c r="X297" s="322"/>
      <c r="Y297" s="322"/>
      <c r="Z297" s="322"/>
    </row>
    <row r="298" ht="12.75" customHeight="1">
      <c r="A298" s="322"/>
      <c r="B298" s="322"/>
      <c r="C298" s="323"/>
      <c r="D298" s="324"/>
      <c r="E298" s="323"/>
      <c r="F298" s="324"/>
      <c r="G298" s="322"/>
      <c r="H298" s="322"/>
      <c r="I298" s="322"/>
      <c r="J298" s="322"/>
      <c r="K298" s="322"/>
      <c r="L298" s="322"/>
      <c r="M298" s="322"/>
      <c r="N298" s="322"/>
      <c r="O298" s="322"/>
      <c r="P298" s="322"/>
      <c r="Q298" s="322"/>
      <c r="R298" s="322"/>
      <c r="S298" s="322"/>
      <c r="T298" s="322"/>
      <c r="U298" s="322"/>
      <c r="V298" s="322"/>
      <c r="W298" s="322"/>
      <c r="X298" s="322"/>
      <c r="Y298" s="322"/>
      <c r="Z298" s="322"/>
    </row>
    <row r="299" ht="12.75" customHeight="1">
      <c r="A299" s="322"/>
      <c r="B299" s="322"/>
      <c r="C299" s="323"/>
      <c r="D299" s="324"/>
      <c r="E299" s="323"/>
      <c r="F299" s="324"/>
      <c r="G299" s="322"/>
      <c r="H299" s="322"/>
      <c r="I299" s="322"/>
      <c r="J299" s="322"/>
      <c r="K299" s="322"/>
      <c r="L299" s="322"/>
      <c r="M299" s="322"/>
      <c r="N299" s="322"/>
      <c r="O299" s="322"/>
      <c r="P299" s="322"/>
      <c r="Q299" s="322"/>
      <c r="R299" s="322"/>
      <c r="S299" s="322"/>
      <c r="T299" s="322"/>
      <c r="U299" s="322"/>
      <c r="V299" s="322"/>
      <c r="W299" s="322"/>
      <c r="X299" s="322"/>
      <c r="Y299" s="322"/>
      <c r="Z299" s="322"/>
    </row>
    <row r="300" ht="12.75" customHeight="1">
      <c r="A300" s="322"/>
      <c r="B300" s="322"/>
      <c r="C300" s="323"/>
      <c r="D300" s="324"/>
      <c r="E300" s="323"/>
      <c r="F300" s="324"/>
      <c r="G300" s="322"/>
      <c r="H300" s="322"/>
      <c r="I300" s="322"/>
      <c r="J300" s="322"/>
      <c r="K300" s="322"/>
      <c r="L300" s="322"/>
      <c r="M300" s="322"/>
      <c r="N300" s="322"/>
      <c r="O300" s="322"/>
      <c r="P300" s="322"/>
      <c r="Q300" s="322"/>
      <c r="R300" s="322"/>
      <c r="S300" s="322"/>
      <c r="T300" s="322"/>
      <c r="U300" s="322"/>
      <c r="V300" s="322"/>
      <c r="W300" s="322"/>
      <c r="X300" s="322"/>
      <c r="Y300" s="322"/>
      <c r="Z300" s="322"/>
    </row>
    <row r="301" ht="12.75" customHeight="1">
      <c r="A301" s="322"/>
      <c r="B301" s="322"/>
      <c r="C301" s="323"/>
      <c r="D301" s="324"/>
      <c r="E301" s="323"/>
      <c r="F301" s="324"/>
      <c r="G301" s="322"/>
      <c r="H301" s="322"/>
      <c r="I301" s="322"/>
      <c r="J301" s="322"/>
      <c r="K301" s="322"/>
      <c r="L301" s="322"/>
      <c r="M301" s="322"/>
      <c r="N301" s="322"/>
      <c r="O301" s="322"/>
      <c r="P301" s="322"/>
      <c r="Q301" s="322"/>
      <c r="R301" s="322"/>
      <c r="S301" s="322"/>
      <c r="T301" s="322"/>
      <c r="U301" s="322"/>
      <c r="V301" s="322"/>
      <c r="W301" s="322"/>
      <c r="X301" s="322"/>
      <c r="Y301" s="322"/>
      <c r="Z301" s="322"/>
    </row>
    <row r="302" ht="12.75" customHeight="1">
      <c r="A302" s="322"/>
      <c r="B302" s="322"/>
      <c r="C302" s="323"/>
      <c r="D302" s="324"/>
      <c r="E302" s="323"/>
      <c r="F302" s="324"/>
      <c r="G302" s="322"/>
      <c r="H302" s="322"/>
      <c r="I302" s="322"/>
      <c r="J302" s="322"/>
      <c r="K302" s="322"/>
      <c r="L302" s="322"/>
      <c r="M302" s="322"/>
      <c r="N302" s="322"/>
      <c r="O302" s="322"/>
      <c r="P302" s="322"/>
      <c r="Q302" s="322"/>
      <c r="R302" s="322"/>
      <c r="S302" s="322"/>
      <c r="T302" s="322"/>
      <c r="U302" s="322"/>
      <c r="V302" s="322"/>
      <c r="W302" s="322"/>
      <c r="X302" s="322"/>
      <c r="Y302" s="322"/>
      <c r="Z302" s="322"/>
    </row>
    <row r="303" ht="12.75" customHeight="1">
      <c r="A303" s="322"/>
      <c r="B303" s="322"/>
      <c r="C303" s="323"/>
      <c r="D303" s="324"/>
      <c r="E303" s="323"/>
      <c r="F303" s="324"/>
      <c r="G303" s="322"/>
      <c r="H303" s="322"/>
      <c r="I303" s="322"/>
      <c r="J303" s="322"/>
      <c r="K303" s="322"/>
      <c r="L303" s="322"/>
      <c r="M303" s="322"/>
      <c r="N303" s="322"/>
      <c r="O303" s="322"/>
      <c r="P303" s="322"/>
      <c r="Q303" s="322"/>
      <c r="R303" s="322"/>
      <c r="S303" s="322"/>
      <c r="T303" s="322"/>
      <c r="U303" s="322"/>
      <c r="V303" s="322"/>
      <c r="W303" s="322"/>
      <c r="X303" s="322"/>
      <c r="Y303" s="322"/>
      <c r="Z303" s="322"/>
    </row>
    <row r="304" ht="12.75" customHeight="1">
      <c r="A304" s="322"/>
      <c r="B304" s="322"/>
      <c r="C304" s="323"/>
      <c r="D304" s="324"/>
      <c r="E304" s="323"/>
      <c r="F304" s="324"/>
      <c r="G304" s="322"/>
      <c r="H304" s="322"/>
      <c r="I304" s="322"/>
      <c r="J304" s="322"/>
      <c r="K304" s="322"/>
      <c r="L304" s="322"/>
      <c r="M304" s="322"/>
      <c r="N304" s="322"/>
      <c r="O304" s="322"/>
      <c r="P304" s="322"/>
      <c r="Q304" s="322"/>
      <c r="R304" s="322"/>
      <c r="S304" s="322"/>
      <c r="T304" s="322"/>
      <c r="U304" s="322"/>
      <c r="V304" s="322"/>
      <c r="W304" s="322"/>
      <c r="X304" s="322"/>
      <c r="Y304" s="322"/>
      <c r="Z304" s="322"/>
    </row>
    <row r="305" ht="12.75" customHeight="1">
      <c r="A305" s="322"/>
      <c r="B305" s="322"/>
      <c r="C305" s="323"/>
      <c r="D305" s="324"/>
      <c r="E305" s="323"/>
      <c r="F305" s="324"/>
      <c r="G305" s="322"/>
      <c r="H305" s="322"/>
      <c r="I305" s="322"/>
      <c r="J305" s="322"/>
      <c r="K305" s="322"/>
      <c r="L305" s="322"/>
      <c r="M305" s="322"/>
      <c r="N305" s="322"/>
      <c r="O305" s="322"/>
      <c r="P305" s="322"/>
      <c r="Q305" s="322"/>
      <c r="R305" s="322"/>
      <c r="S305" s="322"/>
      <c r="T305" s="322"/>
      <c r="U305" s="322"/>
      <c r="V305" s="322"/>
      <c r="W305" s="322"/>
      <c r="X305" s="322"/>
      <c r="Y305" s="322"/>
      <c r="Z305" s="322"/>
    </row>
    <row r="306" ht="12.75" customHeight="1">
      <c r="A306" s="322"/>
      <c r="B306" s="322"/>
      <c r="C306" s="323"/>
      <c r="D306" s="324"/>
      <c r="E306" s="323"/>
      <c r="F306" s="324"/>
      <c r="G306" s="322"/>
      <c r="H306" s="322"/>
      <c r="I306" s="322"/>
      <c r="J306" s="322"/>
      <c r="K306" s="322"/>
      <c r="L306" s="322"/>
      <c r="M306" s="322"/>
      <c r="N306" s="322"/>
      <c r="O306" s="322"/>
      <c r="P306" s="322"/>
      <c r="Q306" s="322"/>
      <c r="R306" s="322"/>
      <c r="S306" s="322"/>
      <c r="T306" s="322"/>
      <c r="U306" s="322"/>
      <c r="V306" s="322"/>
      <c r="W306" s="322"/>
      <c r="X306" s="322"/>
      <c r="Y306" s="322"/>
      <c r="Z306" s="322"/>
    </row>
    <row r="307" ht="12.75" customHeight="1">
      <c r="A307" s="322"/>
      <c r="B307" s="322"/>
      <c r="C307" s="323"/>
      <c r="D307" s="324"/>
      <c r="E307" s="323"/>
      <c r="F307" s="324"/>
      <c r="G307" s="322"/>
      <c r="H307" s="322"/>
      <c r="I307" s="322"/>
      <c r="J307" s="322"/>
      <c r="K307" s="322"/>
      <c r="L307" s="322"/>
      <c r="M307" s="322"/>
      <c r="N307" s="322"/>
      <c r="O307" s="322"/>
      <c r="P307" s="322"/>
      <c r="Q307" s="322"/>
      <c r="R307" s="322"/>
      <c r="S307" s="322"/>
      <c r="T307" s="322"/>
      <c r="U307" s="322"/>
      <c r="V307" s="322"/>
      <c r="W307" s="322"/>
      <c r="X307" s="322"/>
      <c r="Y307" s="322"/>
      <c r="Z307" s="322"/>
    </row>
    <row r="308" ht="12.75" customHeight="1">
      <c r="A308" s="322"/>
      <c r="B308" s="322"/>
      <c r="C308" s="323"/>
      <c r="D308" s="324"/>
      <c r="E308" s="323"/>
      <c r="F308" s="324"/>
      <c r="G308" s="322"/>
      <c r="H308" s="322"/>
      <c r="I308" s="322"/>
      <c r="J308" s="322"/>
      <c r="K308" s="322"/>
      <c r="L308" s="322"/>
      <c r="M308" s="322"/>
      <c r="N308" s="322"/>
      <c r="O308" s="322"/>
      <c r="P308" s="322"/>
      <c r="Q308" s="322"/>
      <c r="R308" s="322"/>
      <c r="S308" s="322"/>
      <c r="T308" s="322"/>
      <c r="U308" s="322"/>
      <c r="V308" s="322"/>
      <c r="W308" s="322"/>
      <c r="X308" s="322"/>
      <c r="Y308" s="322"/>
      <c r="Z308" s="322"/>
    </row>
    <row r="309" ht="12.75" customHeight="1">
      <c r="A309" s="322"/>
      <c r="B309" s="322"/>
      <c r="C309" s="323"/>
      <c r="D309" s="324"/>
      <c r="E309" s="323"/>
      <c r="F309" s="324"/>
      <c r="G309" s="322"/>
      <c r="H309" s="322"/>
      <c r="I309" s="322"/>
      <c r="J309" s="322"/>
      <c r="K309" s="322"/>
      <c r="L309" s="322"/>
      <c r="M309" s="322"/>
      <c r="N309" s="322"/>
      <c r="O309" s="322"/>
      <c r="P309" s="322"/>
      <c r="Q309" s="322"/>
      <c r="R309" s="322"/>
      <c r="S309" s="322"/>
      <c r="T309" s="322"/>
      <c r="U309" s="322"/>
      <c r="V309" s="322"/>
      <c r="W309" s="322"/>
      <c r="X309" s="322"/>
      <c r="Y309" s="322"/>
      <c r="Z309" s="322"/>
    </row>
    <row r="310" ht="12.75" customHeight="1">
      <c r="A310" s="322"/>
      <c r="B310" s="322"/>
      <c r="C310" s="323"/>
      <c r="D310" s="324"/>
      <c r="E310" s="323"/>
      <c r="F310" s="324"/>
      <c r="G310" s="322"/>
      <c r="H310" s="322"/>
      <c r="I310" s="322"/>
      <c r="J310" s="322"/>
      <c r="K310" s="322"/>
      <c r="L310" s="322"/>
      <c r="M310" s="322"/>
      <c r="N310" s="322"/>
      <c r="O310" s="322"/>
      <c r="P310" s="322"/>
      <c r="Q310" s="322"/>
      <c r="R310" s="322"/>
      <c r="S310" s="322"/>
      <c r="T310" s="322"/>
      <c r="U310" s="322"/>
      <c r="V310" s="322"/>
      <c r="W310" s="322"/>
      <c r="X310" s="322"/>
      <c r="Y310" s="322"/>
      <c r="Z310" s="322"/>
    </row>
    <row r="311" ht="12.75" customHeight="1">
      <c r="A311" s="322"/>
      <c r="B311" s="322"/>
      <c r="C311" s="323"/>
      <c r="D311" s="324"/>
      <c r="E311" s="323"/>
      <c r="F311" s="324"/>
      <c r="G311" s="322"/>
      <c r="H311" s="322"/>
      <c r="I311" s="322"/>
      <c r="J311" s="322"/>
      <c r="K311" s="322"/>
      <c r="L311" s="322"/>
      <c r="M311" s="322"/>
      <c r="N311" s="322"/>
      <c r="O311" s="322"/>
      <c r="P311" s="322"/>
      <c r="Q311" s="322"/>
      <c r="R311" s="322"/>
      <c r="S311" s="322"/>
      <c r="T311" s="322"/>
      <c r="U311" s="322"/>
      <c r="V311" s="322"/>
      <c r="W311" s="322"/>
      <c r="X311" s="322"/>
      <c r="Y311" s="322"/>
      <c r="Z311" s="322"/>
    </row>
    <row r="312" ht="12.75" customHeight="1">
      <c r="A312" s="322"/>
      <c r="B312" s="322"/>
      <c r="C312" s="323"/>
      <c r="D312" s="324"/>
      <c r="E312" s="323"/>
      <c r="F312" s="324"/>
      <c r="G312" s="322"/>
      <c r="H312" s="322"/>
      <c r="I312" s="322"/>
      <c r="J312" s="322"/>
      <c r="K312" s="322"/>
      <c r="L312" s="322"/>
      <c r="M312" s="322"/>
      <c r="N312" s="322"/>
      <c r="O312" s="322"/>
      <c r="P312" s="322"/>
      <c r="Q312" s="322"/>
      <c r="R312" s="322"/>
      <c r="S312" s="322"/>
      <c r="T312" s="322"/>
      <c r="U312" s="322"/>
      <c r="V312" s="322"/>
      <c r="W312" s="322"/>
      <c r="X312" s="322"/>
      <c r="Y312" s="322"/>
      <c r="Z312" s="322"/>
    </row>
    <row r="313" ht="12.75" customHeight="1">
      <c r="A313" s="322"/>
      <c r="B313" s="322"/>
      <c r="C313" s="323"/>
      <c r="D313" s="324"/>
      <c r="E313" s="323"/>
      <c r="F313" s="324"/>
      <c r="G313" s="322"/>
      <c r="H313" s="322"/>
      <c r="I313" s="322"/>
      <c r="J313" s="322"/>
      <c r="K313" s="322"/>
      <c r="L313" s="322"/>
      <c r="M313" s="322"/>
      <c r="N313" s="322"/>
      <c r="O313" s="322"/>
      <c r="P313" s="322"/>
      <c r="Q313" s="322"/>
      <c r="R313" s="322"/>
      <c r="S313" s="322"/>
      <c r="T313" s="322"/>
      <c r="U313" s="322"/>
      <c r="V313" s="322"/>
      <c r="W313" s="322"/>
      <c r="X313" s="322"/>
      <c r="Y313" s="322"/>
      <c r="Z313" s="322"/>
    </row>
    <row r="314" ht="12.75" customHeight="1">
      <c r="A314" s="322"/>
      <c r="B314" s="322"/>
      <c r="C314" s="323"/>
      <c r="D314" s="324"/>
      <c r="E314" s="323"/>
      <c r="F314" s="324"/>
      <c r="G314" s="322"/>
      <c r="H314" s="322"/>
      <c r="I314" s="322"/>
      <c r="J314" s="322"/>
      <c r="K314" s="322"/>
      <c r="L314" s="322"/>
      <c r="M314" s="322"/>
      <c r="N314" s="322"/>
      <c r="O314" s="322"/>
      <c r="P314" s="322"/>
      <c r="Q314" s="322"/>
      <c r="R314" s="322"/>
      <c r="S314" s="322"/>
      <c r="T314" s="322"/>
      <c r="U314" s="322"/>
      <c r="V314" s="322"/>
      <c r="W314" s="322"/>
      <c r="X314" s="322"/>
      <c r="Y314" s="322"/>
      <c r="Z314" s="322"/>
    </row>
    <row r="315" ht="12.75" customHeight="1">
      <c r="A315" s="322"/>
      <c r="B315" s="322"/>
      <c r="C315" s="323"/>
      <c r="D315" s="324"/>
      <c r="E315" s="323"/>
      <c r="F315" s="324"/>
      <c r="G315" s="322"/>
      <c r="H315" s="322"/>
      <c r="I315" s="322"/>
      <c r="J315" s="322"/>
      <c r="K315" s="322"/>
      <c r="L315" s="322"/>
      <c r="M315" s="322"/>
      <c r="N315" s="322"/>
      <c r="O315" s="322"/>
      <c r="P315" s="322"/>
      <c r="Q315" s="322"/>
      <c r="R315" s="322"/>
      <c r="S315" s="322"/>
      <c r="T315" s="322"/>
      <c r="U315" s="322"/>
      <c r="V315" s="322"/>
      <c r="W315" s="322"/>
      <c r="X315" s="322"/>
      <c r="Y315" s="322"/>
      <c r="Z315" s="322"/>
    </row>
    <row r="316" ht="12.75" customHeight="1">
      <c r="A316" s="322"/>
      <c r="B316" s="322"/>
      <c r="C316" s="323"/>
      <c r="D316" s="324"/>
      <c r="E316" s="323"/>
      <c r="F316" s="324"/>
      <c r="G316" s="322"/>
      <c r="H316" s="322"/>
      <c r="I316" s="322"/>
      <c r="J316" s="322"/>
      <c r="K316" s="322"/>
      <c r="L316" s="322"/>
      <c r="M316" s="322"/>
      <c r="N316" s="322"/>
      <c r="O316" s="322"/>
      <c r="P316" s="322"/>
      <c r="Q316" s="322"/>
      <c r="R316" s="322"/>
      <c r="S316" s="322"/>
      <c r="T316" s="322"/>
      <c r="U316" s="322"/>
      <c r="V316" s="322"/>
      <c r="W316" s="322"/>
      <c r="X316" s="322"/>
      <c r="Y316" s="322"/>
      <c r="Z316" s="322"/>
    </row>
    <row r="317" ht="12.75" customHeight="1">
      <c r="A317" s="322"/>
      <c r="B317" s="322"/>
      <c r="C317" s="323"/>
      <c r="D317" s="324"/>
      <c r="E317" s="323"/>
      <c r="F317" s="324"/>
      <c r="G317" s="322"/>
      <c r="H317" s="322"/>
      <c r="I317" s="322"/>
      <c r="J317" s="322"/>
      <c r="K317" s="322"/>
      <c r="L317" s="322"/>
      <c r="M317" s="322"/>
      <c r="N317" s="322"/>
      <c r="O317" s="322"/>
      <c r="P317" s="322"/>
      <c r="Q317" s="322"/>
      <c r="R317" s="322"/>
      <c r="S317" s="322"/>
      <c r="T317" s="322"/>
      <c r="U317" s="322"/>
      <c r="V317" s="322"/>
      <c r="W317" s="322"/>
      <c r="X317" s="322"/>
      <c r="Y317" s="322"/>
      <c r="Z317" s="322"/>
    </row>
    <row r="318" ht="12.75" customHeight="1">
      <c r="A318" s="322"/>
      <c r="B318" s="322"/>
      <c r="C318" s="323"/>
      <c r="D318" s="324"/>
      <c r="E318" s="323"/>
      <c r="F318" s="324"/>
      <c r="G318" s="322"/>
      <c r="H318" s="322"/>
      <c r="I318" s="322"/>
      <c r="J318" s="322"/>
      <c r="K318" s="322"/>
      <c r="L318" s="322"/>
      <c r="M318" s="322"/>
      <c r="N318" s="322"/>
      <c r="O318" s="322"/>
      <c r="P318" s="322"/>
      <c r="Q318" s="322"/>
      <c r="R318" s="322"/>
      <c r="S318" s="322"/>
      <c r="T318" s="322"/>
      <c r="U318" s="322"/>
      <c r="V318" s="322"/>
      <c r="W318" s="322"/>
      <c r="X318" s="322"/>
      <c r="Y318" s="322"/>
      <c r="Z318" s="322"/>
    </row>
    <row r="319" ht="12.75" customHeight="1">
      <c r="A319" s="322"/>
      <c r="B319" s="322"/>
      <c r="C319" s="323"/>
      <c r="D319" s="324"/>
      <c r="E319" s="323"/>
      <c r="F319" s="324"/>
      <c r="G319" s="322"/>
      <c r="H319" s="322"/>
      <c r="I319" s="322"/>
      <c r="J319" s="322"/>
      <c r="K319" s="322"/>
      <c r="L319" s="322"/>
      <c r="M319" s="322"/>
      <c r="N319" s="322"/>
      <c r="O319" s="322"/>
      <c r="P319" s="322"/>
      <c r="Q319" s="322"/>
      <c r="R319" s="322"/>
      <c r="S319" s="322"/>
      <c r="T319" s="322"/>
      <c r="U319" s="322"/>
      <c r="V319" s="322"/>
      <c r="W319" s="322"/>
      <c r="X319" s="322"/>
      <c r="Y319" s="322"/>
      <c r="Z319" s="322"/>
    </row>
    <row r="320" ht="12.75" customHeight="1">
      <c r="A320" s="322"/>
      <c r="B320" s="322"/>
      <c r="C320" s="323"/>
      <c r="D320" s="324"/>
      <c r="E320" s="323"/>
      <c r="F320" s="324"/>
      <c r="G320" s="322"/>
      <c r="H320" s="322"/>
      <c r="I320" s="322"/>
      <c r="J320" s="322"/>
      <c r="K320" s="322"/>
      <c r="L320" s="322"/>
      <c r="M320" s="322"/>
      <c r="N320" s="322"/>
      <c r="O320" s="322"/>
      <c r="P320" s="322"/>
      <c r="Q320" s="322"/>
      <c r="R320" s="322"/>
      <c r="S320" s="322"/>
      <c r="T320" s="322"/>
      <c r="U320" s="322"/>
      <c r="V320" s="322"/>
      <c r="W320" s="322"/>
      <c r="X320" s="322"/>
      <c r="Y320" s="322"/>
      <c r="Z320" s="322"/>
    </row>
    <row r="321" ht="12.75" customHeight="1">
      <c r="A321" s="322"/>
      <c r="B321" s="322"/>
      <c r="C321" s="323"/>
      <c r="D321" s="324"/>
      <c r="E321" s="323"/>
      <c r="F321" s="324"/>
      <c r="G321" s="322"/>
      <c r="H321" s="322"/>
      <c r="I321" s="322"/>
      <c r="J321" s="322"/>
      <c r="K321" s="322"/>
      <c r="L321" s="322"/>
      <c r="M321" s="322"/>
      <c r="N321" s="322"/>
      <c r="O321" s="322"/>
      <c r="P321" s="322"/>
      <c r="Q321" s="322"/>
      <c r="R321" s="322"/>
      <c r="S321" s="322"/>
      <c r="T321" s="322"/>
      <c r="U321" s="322"/>
      <c r="V321" s="322"/>
      <c r="W321" s="322"/>
      <c r="X321" s="322"/>
      <c r="Y321" s="322"/>
      <c r="Z321" s="322"/>
    </row>
    <row r="322" ht="12.75" customHeight="1">
      <c r="A322" s="322"/>
      <c r="B322" s="322"/>
      <c r="C322" s="323"/>
      <c r="D322" s="324"/>
      <c r="E322" s="323"/>
      <c r="F322" s="324"/>
      <c r="G322" s="322"/>
      <c r="H322" s="322"/>
      <c r="I322" s="322"/>
      <c r="J322" s="322"/>
      <c r="K322" s="322"/>
      <c r="L322" s="322"/>
      <c r="M322" s="322"/>
      <c r="N322" s="322"/>
      <c r="O322" s="322"/>
      <c r="P322" s="322"/>
      <c r="Q322" s="322"/>
      <c r="R322" s="322"/>
      <c r="S322" s="322"/>
      <c r="T322" s="322"/>
      <c r="U322" s="322"/>
      <c r="V322" s="322"/>
      <c r="W322" s="322"/>
      <c r="X322" s="322"/>
      <c r="Y322" s="322"/>
      <c r="Z322" s="322"/>
    </row>
    <row r="323" ht="12.75" customHeight="1">
      <c r="A323" s="322"/>
      <c r="B323" s="322"/>
      <c r="C323" s="323"/>
      <c r="D323" s="324"/>
      <c r="E323" s="323"/>
      <c r="F323" s="324"/>
      <c r="G323" s="322"/>
      <c r="H323" s="322"/>
      <c r="I323" s="322"/>
      <c r="J323" s="322"/>
      <c r="K323" s="322"/>
      <c r="L323" s="322"/>
      <c r="M323" s="322"/>
      <c r="N323" s="322"/>
      <c r="O323" s="322"/>
      <c r="P323" s="322"/>
      <c r="Q323" s="322"/>
      <c r="R323" s="322"/>
      <c r="S323" s="322"/>
      <c r="T323" s="322"/>
      <c r="U323" s="322"/>
      <c r="V323" s="322"/>
      <c r="W323" s="322"/>
      <c r="X323" s="322"/>
      <c r="Y323" s="322"/>
      <c r="Z323" s="322"/>
    </row>
    <row r="324" ht="12.75" customHeight="1">
      <c r="A324" s="322"/>
      <c r="B324" s="322"/>
      <c r="C324" s="323"/>
      <c r="D324" s="324"/>
      <c r="E324" s="323"/>
      <c r="F324" s="324"/>
      <c r="G324" s="322"/>
      <c r="H324" s="322"/>
      <c r="I324" s="322"/>
      <c r="J324" s="322"/>
      <c r="K324" s="322"/>
      <c r="L324" s="322"/>
      <c r="M324" s="322"/>
      <c r="N324" s="322"/>
      <c r="O324" s="322"/>
      <c r="P324" s="322"/>
      <c r="Q324" s="322"/>
      <c r="R324" s="322"/>
      <c r="S324" s="322"/>
      <c r="T324" s="322"/>
      <c r="U324" s="322"/>
      <c r="V324" s="322"/>
      <c r="W324" s="322"/>
      <c r="X324" s="322"/>
      <c r="Y324" s="322"/>
      <c r="Z324" s="322"/>
    </row>
    <row r="325" ht="12.75" customHeight="1">
      <c r="A325" s="322"/>
      <c r="B325" s="322"/>
      <c r="C325" s="323"/>
      <c r="D325" s="324"/>
      <c r="E325" s="323"/>
      <c r="F325" s="324"/>
      <c r="G325" s="322"/>
      <c r="H325" s="322"/>
      <c r="I325" s="322"/>
      <c r="J325" s="322"/>
      <c r="K325" s="322"/>
      <c r="L325" s="322"/>
      <c r="M325" s="322"/>
      <c r="N325" s="322"/>
      <c r="O325" s="322"/>
      <c r="P325" s="322"/>
      <c r="Q325" s="322"/>
      <c r="R325" s="322"/>
      <c r="S325" s="322"/>
      <c r="T325" s="322"/>
      <c r="U325" s="322"/>
      <c r="V325" s="322"/>
      <c r="W325" s="322"/>
      <c r="X325" s="322"/>
      <c r="Y325" s="322"/>
      <c r="Z325" s="322"/>
    </row>
    <row r="326" ht="12.75" customHeight="1">
      <c r="A326" s="322"/>
      <c r="B326" s="322"/>
      <c r="C326" s="323"/>
      <c r="D326" s="324"/>
      <c r="E326" s="323"/>
      <c r="F326" s="324"/>
      <c r="G326" s="322"/>
      <c r="H326" s="322"/>
      <c r="I326" s="322"/>
      <c r="J326" s="322"/>
      <c r="K326" s="322"/>
      <c r="L326" s="322"/>
      <c r="M326" s="322"/>
      <c r="N326" s="322"/>
      <c r="O326" s="322"/>
      <c r="P326" s="322"/>
      <c r="Q326" s="322"/>
      <c r="R326" s="322"/>
      <c r="S326" s="322"/>
      <c r="T326" s="322"/>
      <c r="U326" s="322"/>
      <c r="V326" s="322"/>
      <c r="W326" s="322"/>
      <c r="X326" s="322"/>
      <c r="Y326" s="322"/>
      <c r="Z326" s="322"/>
    </row>
    <row r="327" ht="12.75" customHeight="1">
      <c r="A327" s="322"/>
      <c r="B327" s="322"/>
      <c r="C327" s="323"/>
      <c r="D327" s="324"/>
      <c r="E327" s="323"/>
      <c r="F327" s="324"/>
      <c r="G327" s="322"/>
      <c r="H327" s="322"/>
      <c r="I327" s="322"/>
      <c r="J327" s="322"/>
      <c r="K327" s="322"/>
      <c r="L327" s="322"/>
      <c r="M327" s="322"/>
      <c r="N327" s="322"/>
      <c r="O327" s="322"/>
      <c r="P327" s="322"/>
      <c r="Q327" s="322"/>
      <c r="R327" s="322"/>
      <c r="S327" s="322"/>
      <c r="T327" s="322"/>
      <c r="U327" s="322"/>
      <c r="V327" s="322"/>
      <c r="W327" s="322"/>
      <c r="X327" s="322"/>
      <c r="Y327" s="322"/>
      <c r="Z327" s="322"/>
    </row>
    <row r="328" ht="12.75" customHeight="1">
      <c r="A328" s="322"/>
      <c r="B328" s="322"/>
      <c r="C328" s="323"/>
      <c r="D328" s="324"/>
      <c r="E328" s="323"/>
      <c r="F328" s="324"/>
      <c r="G328" s="322"/>
      <c r="H328" s="322"/>
      <c r="I328" s="322"/>
      <c r="J328" s="322"/>
      <c r="K328" s="322"/>
      <c r="L328" s="322"/>
      <c r="M328" s="322"/>
      <c r="N328" s="322"/>
      <c r="O328" s="322"/>
      <c r="P328" s="322"/>
      <c r="Q328" s="322"/>
      <c r="R328" s="322"/>
      <c r="S328" s="322"/>
      <c r="T328" s="322"/>
      <c r="U328" s="322"/>
      <c r="V328" s="322"/>
      <c r="W328" s="322"/>
      <c r="X328" s="322"/>
      <c r="Y328" s="322"/>
      <c r="Z328" s="322"/>
    </row>
    <row r="329" ht="12.75" customHeight="1">
      <c r="A329" s="322"/>
      <c r="B329" s="322"/>
      <c r="C329" s="323"/>
      <c r="D329" s="324"/>
      <c r="E329" s="323"/>
      <c r="F329" s="324"/>
      <c r="G329" s="322"/>
      <c r="H329" s="322"/>
      <c r="I329" s="322"/>
      <c r="J329" s="322"/>
      <c r="K329" s="322"/>
      <c r="L329" s="322"/>
      <c r="M329" s="322"/>
      <c r="N329" s="322"/>
      <c r="O329" s="322"/>
      <c r="P329" s="322"/>
      <c r="Q329" s="322"/>
      <c r="R329" s="322"/>
      <c r="S329" s="322"/>
      <c r="T329" s="322"/>
      <c r="U329" s="322"/>
      <c r="V329" s="322"/>
      <c r="W329" s="322"/>
      <c r="X329" s="322"/>
      <c r="Y329" s="322"/>
      <c r="Z329" s="322"/>
    </row>
    <row r="330" ht="12.75" customHeight="1">
      <c r="A330" s="322"/>
      <c r="B330" s="322"/>
      <c r="C330" s="323"/>
      <c r="D330" s="324"/>
      <c r="E330" s="323"/>
      <c r="F330" s="324"/>
      <c r="G330" s="322"/>
      <c r="H330" s="322"/>
      <c r="I330" s="322"/>
      <c r="J330" s="322"/>
      <c r="K330" s="322"/>
      <c r="L330" s="322"/>
      <c r="M330" s="322"/>
      <c r="N330" s="322"/>
      <c r="O330" s="322"/>
      <c r="P330" s="322"/>
      <c r="Q330" s="322"/>
      <c r="R330" s="322"/>
      <c r="S330" s="322"/>
      <c r="T330" s="322"/>
      <c r="U330" s="322"/>
      <c r="V330" s="322"/>
      <c r="W330" s="322"/>
      <c r="X330" s="322"/>
      <c r="Y330" s="322"/>
      <c r="Z330" s="322"/>
    </row>
    <row r="331" ht="12.75" customHeight="1">
      <c r="A331" s="322"/>
      <c r="B331" s="322"/>
      <c r="C331" s="323"/>
      <c r="D331" s="324"/>
      <c r="E331" s="323"/>
      <c r="F331" s="324"/>
      <c r="G331" s="322"/>
      <c r="H331" s="322"/>
      <c r="I331" s="322"/>
      <c r="J331" s="322"/>
      <c r="K331" s="322"/>
      <c r="L331" s="322"/>
      <c r="M331" s="322"/>
      <c r="N331" s="322"/>
      <c r="O331" s="322"/>
      <c r="P331" s="322"/>
      <c r="Q331" s="322"/>
      <c r="R331" s="322"/>
      <c r="S331" s="322"/>
      <c r="T331" s="322"/>
      <c r="U331" s="322"/>
      <c r="V331" s="322"/>
      <c r="W331" s="322"/>
      <c r="X331" s="322"/>
      <c r="Y331" s="322"/>
      <c r="Z331" s="322"/>
    </row>
    <row r="332" ht="12.75" customHeight="1">
      <c r="A332" s="322"/>
      <c r="B332" s="322"/>
      <c r="C332" s="323"/>
      <c r="D332" s="324"/>
      <c r="E332" s="323"/>
      <c r="F332" s="324"/>
      <c r="G332" s="322"/>
      <c r="H332" s="322"/>
      <c r="I332" s="322"/>
      <c r="J332" s="322"/>
      <c r="K332" s="322"/>
      <c r="L332" s="322"/>
      <c r="M332" s="322"/>
      <c r="N332" s="322"/>
      <c r="O332" s="322"/>
      <c r="P332" s="322"/>
      <c r="Q332" s="322"/>
      <c r="R332" s="322"/>
      <c r="S332" s="322"/>
      <c r="T332" s="322"/>
      <c r="U332" s="322"/>
      <c r="V332" s="322"/>
      <c r="W332" s="322"/>
      <c r="X332" s="322"/>
      <c r="Y332" s="322"/>
      <c r="Z332" s="322"/>
    </row>
    <row r="333" ht="12.75" customHeight="1">
      <c r="A333" s="322"/>
      <c r="B333" s="322"/>
      <c r="C333" s="323"/>
      <c r="D333" s="324"/>
      <c r="E333" s="323"/>
      <c r="F333" s="324"/>
      <c r="G333" s="322"/>
      <c r="H333" s="322"/>
      <c r="I333" s="322"/>
      <c r="J333" s="322"/>
      <c r="K333" s="322"/>
      <c r="L333" s="322"/>
      <c r="M333" s="322"/>
      <c r="N333" s="322"/>
      <c r="O333" s="322"/>
      <c r="P333" s="322"/>
      <c r="Q333" s="322"/>
      <c r="R333" s="322"/>
      <c r="S333" s="322"/>
      <c r="T333" s="322"/>
      <c r="U333" s="322"/>
      <c r="V333" s="322"/>
      <c r="W333" s="322"/>
      <c r="X333" s="322"/>
      <c r="Y333" s="322"/>
      <c r="Z333" s="322"/>
    </row>
    <row r="334" ht="12.75" customHeight="1">
      <c r="A334" s="322"/>
      <c r="B334" s="322"/>
      <c r="C334" s="323"/>
      <c r="D334" s="324"/>
      <c r="E334" s="323"/>
      <c r="F334" s="324"/>
      <c r="G334" s="322"/>
      <c r="H334" s="322"/>
      <c r="I334" s="322"/>
      <c r="J334" s="322"/>
      <c r="K334" s="322"/>
      <c r="L334" s="322"/>
      <c r="M334" s="322"/>
      <c r="N334" s="322"/>
      <c r="O334" s="322"/>
      <c r="P334" s="322"/>
      <c r="Q334" s="322"/>
      <c r="R334" s="322"/>
      <c r="S334" s="322"/>
      <c r="T334" s="322"/>
      <c r="U334" s="322"/>
      <c r="V334" s="322"/>
      <c r="W334" s="322"/>
      <c r="X334" s="322"/>
      <c r="Y334" s="322"/>
      <c r="Z334" s="322"/>
    </row>
    <row r="335" ht="12.75" customHeight="1">
      <c r="A335" s="322"/>
      <c r="B335" s="322"/>
      <c r="C335" s="323"/>
      <c r="D335" s="324"/>
      <c r="E335" s="323"/>
      <c r="F335" s="324"/>
      <c r="G335" s="322"/>
      <c r="H335" s="322"/>
      <c r="I335" s="322"/>
      <c r="J335" s="322"/>
      <c r="K335" s="322"/>
      <c r="L335" s="322"/>
      <c r="M335" s="322"/>
      <c r="N335" s="322"/>
      <c r="O335" s="322"/>
      <c r="P335" s="322"/>
      <c r="Q335" s="322"/>
      <c r="R335" s="322"/>
      <c r="S335" s="322"/>
      <c r="T335" s="322"/>
      <c r="U335" s="322"/>
      <c r="V335" s="322"/>
      <c r="W335" s="322"/>
      <c r="X335" s="322"/>
      <c r="Y335" s="322"/>
      <c r="Z335" s="322"/>
    </row>
    <row r="336" ht="12.75" customHeight="1">
      <c r="A336" s="322"/>
      <c r="B336" s="322"/>
      <c r="C336" s="323"/>
      <c r="D336" s="324"/>
      <c r="E336" s="323"/>
      <c r="F336" s="324"/>
      <c r="G336" s="322"/>
      <c r="H336" s="322"/>
      <c r="I336" s="322"/>
      <c r="J336" s="322"/>
      <c r="K336" s="322"/>
      <c r="L336" s="322"/>
      <c r="M336" s="322"/>
      <c r="N336" s="322"/>
      <c r="O336" s="322"/>
      <c r="P336" s="322"/>
      <c r="Q336" s="322"/>
      <c r="R336" s="322"/>
      <c r="S336" s="322"/>
      <c r="T336" s="322"/>
      <c r="U336" s="322"/>
      <c r="V336" s="322"/>
      <c r="W336" s="322"/>
      <c r="X336" s="322"/>
      <c r="Y336" s="322"/>
      <c r="Z336" s="322"/>
    </row>
    <row r="337" ht="12.75" customHeight="1">
      <c r="A337" s="322"/>
      <c r="B337" s="322"/>
      <c r="C337" s="323"/>
      <c r="D337" s="324"/>
      <c r="E337" s="323"/>
      <c r="F337" s="324"/>
      <c r="G337" s="322"/>
      <c r="H337" s="322"/>
      <c r="I337" s="322"/>
      <c r="J337" s="322"/>
      <c r="K337" s="322"/>
      <c r="L337" s="322"/>
      <c r="M337" s="322"/>
      <c r="N337" s="322"/>
      <c r="O337" s="322"/>
      <c r="P337" s="322"/>
      <c r="Q337" s="322"/>
      <c r="R337" s="322"/>
      <c r="S337" s="322"/>
      <c r="T337" s="322"/>
      <c r="U337" s="322"/>
      <c r="V337" s="322"/>
      <c r="W337" s="322"/>
      <c r="X337" s="322"/>
      <c r="Y337" s="322"/>
      <c r="Z337" s="322"/>
    </row>
    <row r="338" ht="12.75" customHeight="1">
      <c r="A338" s="322"/>
      <c r="B338" s="322"/>
      <c r="C338" s="323"/>
      <c r="D338" s="324"/>
      <c r="E338" s="323"/>
      <c r="F338" s="324"/>
      <c r="G338" s="322"/>
      <c r="H338" s="322"/>
      <c r="I338" s="322"/>
      <c r="J338" s="322"/>
      <c r="K338" s="322"/>
      <c r="L338" s="322"/>
      <c r="M338" s="322"/>
      <c r="N338" s="322"/>
      <c r="O338" s="322"/>
      <c r="P338" s="322"/>
      <c r="Q338" s="322"/>
      <c r="R338" s="322"/>
      <c r="S338" s="322"/>
      <c r="T338" s="322"/>
      <c r="U338" s="322"/>
      <c r="V338" s="322"/>
      <c r="W338" s="322"/>
      <c r="X338" s="322"/>
      <c r="Y338" s="322"/>
      <c r="Z338" s="322"/>
    </row>
    <row r="339" ht="12.75" customHeight="1">
      <c r="A339" s="322"/>
      <c r="B339" s="322"/>
      <c r="C339" s="323"/>
      <c r="D339" s="324"/>
      <c r="E339" s="323"/>
      <c r="F339" s="324"/>
      <c r="G339" s="322"/>
      <c r="H339" s="322"/>
      <c r="I339" s="322"/>
      <c r="J339" s="322"/>
      <c r="K339" s="322"/>
      <c r="L339" s="322"/>
      <c r="M339" s="322"/>
      <c r="N339" s="322"/>
      <c r="O339" s="322"/>
      <c r="P339" s="322"/>
      <c r="Q339" s="322"/>
      <c r="R339" s="322"/>
      <c r="S339" s="322"/>
      <c r="T339" s="322"/>
      <c r="U339" s="322"/>
      <c r="V339" s="322"/>
      <c r="W339" s="322"/>
      <c r="X339" s="322"/>
      <c r="Y339" s="322"/>
      <c r="Z339" s="322"/>
    </row>
    <row r="340" ht="12.75" customHeight="1">
      <c r="A340" s="322"/>
      <c r="B340" s="322"/>
      <c r="C340" s="323"/>
      <c r="D340" s="324"/>
      <c r="E340" s="323"/>
      <c r="F340" s="324"/>
      <c r="G340" s="322"/>
      <c r="H340" s="322"/>
      <c r="I340" s="322"/>
      <c r="J340" s="322"/>
      <c r="K340" s="322"/>
      <c r="L340" s="322"/>
      <c r="M340" s="322"/>
      <c r="N340" s="322"/>
      <c r="O340" s="322"/>
      <c r="P340" s="322"/>
      <c r="Q340" s="322"/>
      <c r="R340" s="322"/>
      <c r="S340" s="322"/>
      <c r="T340" s="322"/>
      <c r="U340" s="322"/>
      <c r="V340" s="322"/>
      <c r="W340" s="322"/>
      <c r="X340" s="322"/>
      <c r="Y340" s="322"/>
      <c r="Z340" s="322"/>
    </row>
    <row r="341" ht="12.75" customHeight="1">
      <c r="A341" s="322"/>
      <c r="B341" s="322"/>
      <c r="C341" s="323"/>
      <c r="D341" s="324"/>
      <c r="E341" s="323"/>
      <c r="F341" s="324"/>
      <c r="G341" s="322"/>
      <c r="H341" s="322"/>
      <c r="I341" s="322"/>
      <c r="J341" s="322"/>
      <c r="K341" s="322"/>
      <c r="L341" s="322"/>
      <c r="M341" s="322"/>
      <c r="N341" s="322"/>
      <c r="O341" s="322"/>
      <c r="P341" s="322"/>
      <c r="Q341" s="322"/>
      <c r="R341" s="322"/>
      <c r="S341" s="322"/>
      <c r="T341" s="322"/>
      <c r="U341" s="322"/>
      <c r="V341" s="322"/>
      <c r="W341" s="322"/>
      <c r="X341" s="322"/>
      <c r="Y341" s="322"/>
      <c r="Z341" s="322"/>
    </row>
    <row r="342" ht="12.75" customHeight="1">
      <c r="A342" s="322"/>
      <c r="B342" s="322"/>
      <c r="C342" s="323"/>
      <c r="D342" s="324"/>
      <c r="E342" s="323"/>
      <c r="F342" s="324"/>
      <c r="G342" s="322"/>
      <c r="H342" s="322"/>
      <c r="I342" s="322"/>
      <c r="J342" s="322"/>
      <c r="K342" s="322"/>
      <c r="L342" s="322"/>
      <c r="M342" s="322"/>
      <c r="N342" s="322"/>
      <c r="O342" s="322"/>
      <c r="P342" s="322"/>
      <c r="Q342" s="322"/>
      <c r="R342" s="322"/>
      <c r="S342" s="322"/>
      <c r="T342" s="322"/>
      <c r="U342" s="322"/>
      <c r="V342" s="322"/>
      <c r="W342" s="322"/>
      <c r="X342" s="322"/>
      <c r="Y342" s="322"/>
      <c r="Z342" s="322"/>
    </row>
    <row r="343" ht="12.75" customHeight="1">
      <c r="A343" s="322"/>
      <c r="B343" s="322"/>
      <c r="C343" s="323"/>
      <c r="D343" s="324"/>
      <c r="E343" s="323"/>
      <c r="F343" s="324"/>
      <c r="G343" s="322"/>
      <c r="H343" s="322"/>
      <c r="I343" s="322"/>
      <c r="J343" s="322"/>
      <c r="K343" s="322"/>
      <c r="L343" s="322"/>
      <c r="M343" s="322"/>
      <c r="N343" s="322"/>
      <c r="O343" s="322"/>
      <c r="P343" s="322"/>
      <c r="Q343" s="322"/>
      <c r="R343" s="322"/>
      <c r="S343" s="322"/>
      <c r="T343" s="322"/>
      <c r="U343" s="322"/>
      <c r="V343" s="322"/>
      <c r="W343" s="322"/>
      <c r="X343" s="322"/>
      <c r="Y343" s="322"/>
      <c r="Z343" s="322"/>
    </row>
    <row r="344" ht="12.75" customHeight="1">
      <c r="A344" s="322"/>
      <c r="B344" s="322"/>
      <c r="C344" s="323"/>
      <c r="D344" s="324"/>
      <c r="E344" s="323"/>
      <c r="F344" s="324"/>
      <c r="G344" s="322"/>
      <c r="H344" s="322"/>
      <c r="I344" s="322"/>
      <c r="J344" s="322"/>
      <c r="K344" s="322"/>
      <c r="L344" s="322"/>
      <c r="M344" s="322"/>
      <c r="N344" s="322"/>
      <c r="O344" s="322"/>
      <c r="P344" s="322"/>
      <c r="Q344" s="322"/>
      <c r="R344" s="322"/>
      <c r="S344" s="322"/>
      <c r="T344" s="322"/>
      <c r="U344" s="322"/>
      <c r="V344" s="322"/>
      <c r="W344" s="322"/>
      <c r="X344" s="322"/>
      <c r="Y344" s="322"/>
      <c r="Z344" s="322"/>
    </row>
    <row r="345" ht="12.75" customHeight="1">
      <c r="A345" s="322"/>
      <c r="B345" s="322"/>
      <c r="C345" s="323"/>
      <c r="D345" s="324"/>
      <c r="E345" s="323"/>
      <c r="F345" s="324"/>
      <c r="G345" s="322"/>
      <c r="H345" s="322"/>
      <c r="I345" s="322"/>
      <c r="J345" s="322"/>
      <c r="K345" s="322"/>
      <c r="L345" s="322"/>
      <c r="M345" s="322"/>
      <c r="N345" s="322"/>
      <c r="O345" s="322"/>
      <c r="P345" s="322"/>
      <c r="Q345" s="322"/>
      <c r="R345" s="322"/>
      <c r="S345" s="322"/>
      <c r="T345" s="322"/>
      <c r="U345" s="322"/>
      <c r="V345" s="322"/>
      <c r="W345" s="322"/>
      <c r="X345" s="322"/>
      <c r="Y345" s="322"/>
      <c r="Z345" s="322"/>
    </row>
    <row r="346" ht="12.75" customHeight="1">
      <c r="A346" s="322"/>
      <c r="B346" s="322"/>
      <c r="C346" s="323"/>
      <c r="D346" s="324"/>
      <c r="E346" s="323"/>
      <c r="F346" s="324"/>
      <c r="G346" s="322"/>
      <c r="H346" s="322"/>
      <c r="I346" s="322"/>
      <c r="J346" s="322"/>
      <c r="K346" s="322"/>
      <c r="L346" s="322"/>
      <c r="M346" s="322"/>
      <c r="N346" s="322"/>
      <c r="O346" s="322"/>
      <c r="P346" s="322"/>
      <c r="Q346" s="322"/>
      <c r="R346" s="322"/>
      <c r="S346" s="322"/>
      <c r="T346" s="322"/>
      <c r="U346" s="322"/>
      <c r="V346" s="322"/>
      <c r="W346" s="322"/>
      <c r="X346" s="322"/>
      <c r="Y346" s="322"/>
      <c r="Z346" s="322"/>
    </row>
    <row r="347" ht="12.75" customHeight="1">
      <c r="A347" s="322"/>
      <c r="B347" s="322"/>
      <c r="C347" s="323"/>
      <c r="D347" s="324"/>
      <c r="E347" s="323"/>
      <c r="F347" s="324"/>
      <c r="G347" s="322"/>
      <c r="H347" s="322"/>
      <c r="I347" s="322"/>
      <c r="J347" s="322"/>
      <c r="K347" s="322"/>
      <c r="L347" s="322"/>
      <c r="M347" s="322"/>
      <c r="N347" s="322"/>
      <c r="O347" s="322"/>
      <c r="P347" s="322"/>
      <c r="Q347" s="322"/>
      <c r="R347" s="322"/>
      <c r="S347" s="322"/>
      <c r="T347" s="322"/>
      <c r="U347" s="322"/>
      <c r="V347" s="322"/>
      <c r="W347" s="322"/>
      <c r="X347" s="322"/>
      <c r="Y347" s="322"/>
      <c r="Z347" s="322"/>
    </row>
    <row r="348" ht="12.75" customHeight="1">
      <c r="A348" s="322"/>
      <c r="B348" s="322"/>
      <c r="C348" s="323"/>
      <c r="D348" s="324"/>
      <c r="E348" s="323"/>
      <c r="F348" s="324"/>
      <c r="G348" s="322"/>
      <c r="H348" s="322"/>
      <c r="I348" s="322"/>
      <c r="J348" s="322"/>
      <c r="K348" s="322"/>
      <c r="L348" s="322"/>
      <c r="M348" s="322"/>
      <c r="N348" s="322"/>
      <c r="O348" s="322"/>
      <c r="P348" s="322"/>
      <c r="Q348" s="322"/>
      <c r="R348" s="322"/>
      <c r="S348" s="322"/>
      <c r="T348" s="322"/>
      <c r="U348" s="322"/>
      <c r="V348" s="322"/>
      <c r="W348" s="322"/>
      <c r="X348" s="322"/>
      <c r="Y348" s="322"/>
      <c r="Z348" s="322"/>
    </row>
    <row r="349" ht="12.75" customHeight="1">
      <c r="A349" s="322"/>
      <c r="B349" s="322"/>
      <c r="C349" s="323"/>
      <c r="D349" s="324"/>
      <c r="E349" s="323"/>
      <c r="F349" s="324"/>
      <c r="G349" s="322"/>
      <c r="H349" s="322"/>
      <c r="I349" s="322"/>
      <c r="J349" s="322"/>
      <c r="K349" s="322"/>
      <c r="L349" s="322"/>
      <c r="M349" s="322"/>
      <c r="N349" s="322"/>
      <c r="O349" s="322"/>
      <c r="P349" s="322"/>
      <c r="Q349" s="322"/>
      <c r="R349" s="322"/>
      <c r="S349" s="322"/>
      <c r="T349" s="322"/>
      <c r="U349" s="322"/>
      <c r="V349" s="322"/>
      <c r="W349" s="322"/>
      <c r="X349" s="322"/>
      <c r="Y349" s="322"/>
      <c r="Z349" s="322"/>
    </row>
    <row r="350" ht="12.75" customHeight="1">
      <c r="A350" s="322"/>
      <c r="B350" s="322"/>
      <c r="C350" s="323"/>
      <c r="D350" s="324"/>
      <c r="E350" s="323"/>
      <c r="F350" s="324"/>
      <c r="G350" s="322"/>
      <c r="H350" s="322"/>
      <c r="I350" s="322"/>
      <c r="J350" s="322"/>
      <c r="K350" s="322"/>
      <c r="L350" s="322"/>
      <c r="M350" s="322"/>
      <c r="N350" s="322"/>
      <c r="O350" s="322"/>
      <c r="P350" s="322"/>
      <c r="Q350" s="322"/>
      <c r="R350" s="322"/>
      <c r="S350" s="322"/>
      <c r="T350" s="322"/>
      <c r="U350" s="322"/>
      <c r="V350" s="322"/>
      <c r="W350" s="322"/>
      <c r="X350" s="322"/>
      <c r="Y350" s="322"/>
      <c r="Z350" s="322"/>
    </row>
    <row r="351" ht="12.75" customHeight="1">
      <c r="A351" s="322"/>
      <c r="B351" s="322"/>
      <c r="C351" s="323"/>
      <c r="D351" s="324"/>
      <c r="E351" s="323"/>
      <c r="F351" s="324"/>
      <c r="G351" s="322"/>
      <c r="H351" s="322"/>
      <c r="I351" s="322"/>
      <c r="J351" s="322"/>
      <c r="K351" s="322"/>
      <c r="L351" s="322"/>
      <c r="M351" s="322"/>
      <c r="N351" s="322"/>
      <c r="O351" s="322"/>
      <c r="P351" s="322"/>
      <c r="Q351" s="322"/>
      <c r="R351" s="322"/>
      <c r="S351" s="322"/>
      <c r="T351" s="322"/>
      <c r="U351" s="322"/>
      <c r="V351" s="322"/>
      <c r="W351" s="322"/>
      <c r="X351" s="322"/>
      <c r="Y351" s="322"/>
      <c r="Z351" s="322"/>
    </row>
    <row r="352" ht="12.75" customHeight="1">
      <c r="A352" s="322"/>
      <c r="B352" s="322"/>
      <c r="C352" s="323"/>
      <c r="D352" s="324"/>
      <c r="E352" s="323"/>
      <c r="F352" s="324"/>
      <c r="G352" s="322"/>
      <c r="H352" s="322"/>
      <c r="I352" s="322"/>
      <c r="J352" s="322"/>
      <c r="K352" s="322"/>
      <c r="L352" s="322"/>
      <c r="M352" s="322"/>
      <c r="N352" s="322"/>
      <c r="O352" s="322"/>
      <c r="P352" s="322"/>
      <c r="Q352" s="322"/>
      <c r="R352" s="322"/>
      <c r="S352" s="322"/>
      <c r="T352" s="322"/>
      <c r="U352" s="322"/>
      <c r="V352" s="322"/>
      <c r="W352" s="322"/>
      <c r="X352" s="322"/>
      <c r="Y352" s="322"/>
      <c r="Z352" s="322"/>
    </row>
    <row r="353" ht="12.75" customHeight="1">
      <c r="A353" s="322"/>
      <c r="B353" s="322"/>
      <c r="C353" s="323"/>
      <c r="D353" s="324"/>
      <c r="E353" s="323"/>
      <c r="F353" s="324"/>
      <c r="G353" s="322"/>
      <c r="H353" s="322"/>
      <c r="I353" s="322"/>
      <c r="J353" s="322"/>
      <c r="K353" s="322"/>
      <c r="L353" s="322"/>
      <c r="M353" s="322"/>
      <c r="N353" s="322"/>
      <c r="O353" s="322"/>
      <c r="P353" s="322"/>
      <c r="Q353" s="322"/>
      <c r="R353" s="322"/>
      <c r="S353" s="322"/>
      <c r="T353" s="322"/>
      <c r="U353" s="322"/>
      <c r="V353" s="322"/>
      <c r="W353" s="322"/>
      <c r="X353" s="322"/>
      <c r="Y353" s="322"/>
      <c r="Z353" s="322"/>
    </row>
    <row r="354" ht="12.75" customHeight="1">
      <c r="A354" s="322"/>
      <c r="B354" s="322"/>
      <c r="C354" s="323"/>
      <c r="D354" s="324"/>
      <c r="E354" s="323"/>
      <c r="F354" s="324"/>
      <c r="G354" s="322"/>
      <c r="H354" s="322"/>
      <c r="I354" s="322"/>
      <c r="J354" s="322"/>
      <c r="K354" s="322"/>
      <c r="L354" s="322"/>
      <c r="M354" s="322"/>
      <c r="N354" s="322"/>
      <c r="O354" s="322"/>
      <c r="P354" s="322"/>
      <c r="Q354" s="322"/>
      <c r="R354" s="322"/>
      <c r="S354" s="322"/>
      <c r="T354" s="322"/>
      <c r="U354" s="322"/>
      <c r="V354" s="322"/>
      <c r="W354" s="322"/>
      <c r="X354" s="322"/>
      <c r="Y354" s="322"/>
      <c r="Z354" s="322"/>
    </row>
    <row r="355" ht="12.75" customHeight="1">
      <c r="A355" s="322"/>
      <c r="B355" s="322"/>
      <c r="C355" s="323"/>
      <c r="D355" s="324"/>
      <c r="E355" s="323"/>
      <c r="F355" s="324"/>
      <c r="G355" s="322"/>
      <c r="H355" s="322"/>
      <c r="I355" s="322"/>
      <c r="J355" s="322"/>
      <c r="K355" s="322"/>
      <c r="L355" s="322"/>
      <c r="M355" s="322"/>
      <c r="N355" s="322"/>
      <c r="O355" s="322"/>
      <c r="P355" s="322"/>
      <c r="Q355" s="322"/>
      <c r="R355" s="322"/>
      <c r="S355" s="322"/>
      <c r="T355" s="322"/>
      <c r="U355" s="322"/>
      <c r="V355" s="322"/>
      <c r="W355" s="322"/>
      <c r="X355" s="322"/>
      <c r="Y355" s="322"/>
      <c r="Z355" s="322"/>
    </row>
    <row r="356" ht="12.75" customHeight="1">
      <c r="A356" s="322"/>
      <c r="B356" s="322"/>
      <c r="C356" s="323"/>
      <c r="D356" s="324"/>
      <c r="E356" s="323"/>
      <c r="F356" s="324"/>
      <c r="G356" s="322"/>
      <c r="H356" s="322"/>
      <c r="I356" s="322"/>
      <c r="J356" s="322"/>
      <c r="K356" s="322"/>
      <c r="L356" s="322"/>
      <c r="M356" s="322"/>
      <c r="N356" s="322"/>
      <c r="O356" s="322"/>
      <c r="P356" s="322"/>
      <c r="Q356" s="322"/>
      <c r="R356" s="322"/>
      <c r="S356" s="322"/>
      <c r="T356" s="322"/>
      <c r="U356" s="322"/>
      <c r="V356" s="322"/>
      <c r="W356" s="322"/>
      <c r="X356" s="322"/>
      <c r="Y356" s="322"/>
      <c r="Z356" s="322"/>
    </row>
    <row r="357" ht="12.75" customHeight="1">
      <c r="A357" s="322"/>
      <c r="B357" s="322"/>
      <c r="C357" s="323"/>
      <c r="D357" s="324"/>
      <c r="E357" s="323"/>
      <c r="F357" s="324"/>
      <c r="G357" s="322"/>
      <c r="H357" s="322"/>
      <c r="I357" s="322"/>
      <c r="J357" s="322"/>
      <c r="K357" s="322"/>
      <c r="L357" s="322"/>
      <c r="M357" s="322"/>
      <c r="N357" s="322"/>
      <c r="O357" s="322"/>
      <c r="P357" s="322"/>
      <c r="Q357" s="322"/>
      <c r="R357" s="322"/>
      <c r="S357" s="322"/>
      <c r="T357" s="322"/>
      <c r="U357" s="322"/>
      <c r="V357" s="322"/>
      <c r="W357" s="322"/>
      <c r="X357" s="322"/>
      <c r="Y357" s="322"/>
      <c r="Z357" s="322"/>
    </row>
    <row r="358" ht="12.75" customHeight="1">
      <c r="A358" s="322"/>
      <c r="B358" s="322"/>
      <c r="C358" s="323"/>
      <c r="D358" s="324"/>
      <c r="E358" s="323"/>
      <c r="F358" s="324"/>
      <c r="G358" s="322"/>
      <c r="H358" s="322"/>
      <c r="I358" s="322"/>
      <c r="J358" s="322"/>
      <c r="K358" s="322"/>
      <c r="L358" s="322"/>
      <c r="M358" s="322"/>
      <c r="N358" s="322"/>
      <c r="O358" s="322"/>
      <c r="P358" s="322"/>
      <c r="Q358" s="322"/>
      <c r="R358" s="322"/>
      <c r="S358" s="322"/>
      <c r="T358" s="322"/>
      <c r="U358" s="322"/>
      <c r="V358" s="322"/>
      <c r="W358" s="322"/>
      <c r="X358" s="322"/>
      <c r="Y358" s="322"/>
      <c r="Z358" s="322"/>
    </row>
    <row r="359" ht="12.75" customHeight="1">
      <c r="A359" s="322"/>
      <c r="B359" s="322"/>
      <c r="C359" s="323"/>
      <c r="D359" s="324"/>
      <c r="E359" s="323"/>
      <c r="F359" s="324"/>
      <c r="G359" s="322"/>
      <c r="H359" s="322"/>
      <c r="I359" s="322"/>
      <c r="J359" s="322"/>
      <c r="K359" s="322"/>
      <c r="L359" s="322"/>
      <c r="M359" s="322"/>
      <c r="N359" s="322"/>
      <c r="O359" s="322"/>
      <c r="P359" s="322"/>
      <c r="Q359" s="322"/>
      <c r="R359" s="322"/>
      <c r="S359" s="322"/>
      <c r="T359" s="322"/>
      <c r="U359" s="322"/>
      <c r="V359" s="322"/>
      <c r="W359" s="322"/>
      <c r="X359" s="322"/>
      <c r="Y359" s="322"/>
      <c r="Z359" s="322"/>
    </row>
    <row r="360" ht="12.75" customHeight="1">
      <c r="A360" s="322"/>
      <c r="B360" s="322"/>
      <c r="C360" s="323"/>
      <c r="D360" s="324"/>
      <c r="E360" s="323"/>
      <c r="F360" s="324"/>
      <c r="G360" s="322"/>
      <c r="H360" s="322"/>
      <c r="I360" s="322"/>
      <c r="J360" s="322"/>
      <c r="K360" s="322"/>
      <c r="L360" s="322"/>
      <c r="M360" s="322"/>
      <c r="N360" s="322"/>
      <c r="O360" s="322"/>
      <c r="P360" s="322"/>
      <c r="Q360" s="322"/>
      <c r="R360" s="322"/>
      <c r="S360" s="322"/>
      <c r="T360" s="322"/>
      <c r="U360" s="322"/>
      <c r="V360" s="322"/>
      <c r="W360" s="322"/>
      <c r="X360" s="322"/>
      <c r="Y360" s="322"/>
      <c r="Z360" s="322"/>
    </row>
    <row r="361" ht="12.75" customHeight="1">
      <c r="A361" s="322"/>
      <c r="B361" s="322"/>
      <c r="C361" s="323"/>
      <c r="D361" s="324"/>
      <c r="E361" s="323"/>
      <c r="F361" s="324"/>
      <c r="G361" s="322"/>
      <c r="H361" s="322"/>
      <c r="I361" s="322"/>
      <c r="J361" s="322"/>
      <c r="K361" s="322"/>
      <c r="L361" s="322"/>
      <c r="M361" s="322"/>
      <c r="N361" s="322"/>
      <c r="O361" s="322"/>
      <c r="P361" s="322"/>
      <c r="Q361" s="322"/>
      <c r="R361" s="322"/>
      <c r="S361" s="322"/>
      <c r="T361" s="322"/>
      <c r="U361" s="322"/>
      <c r="V361" s="322"/>
      <c r="W361" s="322"/>
      <c r="X361" s="322"/>
      <c r="Y361" s="322"/>
      <c r="Z361" s="322"/>
    </row>
    <row r="362" ht="12.75" customHeight="1">
      <c r="A362" s="322"/>
      <c r="B362" s="322"/>
      <c r="C362" s="323"/>
      <c r="D362" s="324"/>
      <c r="E362" s="323"/>
      <c r="F362" s="324"/>
      <c r="G362" s="322"/>
      <c r="H362" s="322"/>
      <c r="I362" s="322"/>
      <c r="J362" s="322"/>
      <c r="K362" s="322"/>
      <c r="L362" s="322"/>
      <c r="M362" s="322"/>
      <c r="N362" s="322"/>
      <c r="O362" s="322"/>
      <c r="P362" s="322"/>
      <c r="Q362" s="322"/>
      <c r="R362" s="322"/>
      <c r="S362" s="322"/>
      <c r="T362" s="322"/>
      <c r="U362" s="322"/>
      <c r="V362" s="322"/>
      <c r="W362" s="322"/>
      <c r="X362" s="322"/>
      <c r="Y362" s="322"/>
      <c r="Z362" s="322"/>
    </row>
    <row r="363" ht="12.75" customHeight="1">
      <c r="A363" s="322"/>
      <c r="B363" s="322"/>
      <c r="C363" s="323"/>
      <c r="D363" s="324"/>
      <c r="E363" s="323"/>
      <c r="F363" s="324"/>
      <c r="G363" s="322"/>
      <c r="H363" s="322"/>
      <c r="I363" s="322"/>
      <c r="J363" s="322"/>
      <c r="K363" s="322"/>
      <c r="L363" s="322"/>
      <c r="M363" s="322"/>
      <c r="N363" s="322"/>
      <c r="O363" s="322"/>
      <c r="P363" s="322"/>
      <c r="Q363" s="322"/>
      <c r="R363" s="322"/>
      <c r="S363" s="322"/>
      <c r="T363" s="322"/>
      <c r="U363" s="322"/>
      <c r="V363" s="322"/>
      <c r="W363" s="322"/>
      <c r="X363" s="322"/>
      <c r="Y363" s="322"/>
      <c r="Z363" s="322"/>
    </row>
    <row r="364" ht="12.75" customHeight="1">
      <c r="A364" s="322"/>
      <c r="B364" s="322"/>
      <c r="C364" s="323"/>
      <c r="D364" s="324"/>
      <c r="E364" s="323"/>
      <c r="F364" s="324"/>
      <c r="G364" s="322"/>
      <c r="H364" s="322"/>
      <c r="I364" s="322"/>
      <c r="J364" s="322"/>
      <c r="K364" s="322"/>
      <c r="L364" s="322"/>
      <c r="M364" s="322"/>
      <c r="N364" s="322"/>
      <c r="O364" s="322"/>
      <c r="P364" s="322"/>
      <c r="Q364" s="322"/>
      <c r="R364" s="322"/>
      <c r="S364" s="322"/>
      <c r="T364" s="322"/>
      <c r="U364" s="322"/>
      <c r="V364" s="322"/>
      <c r="W364" s="322"/>
      <c r="X364" s="322"/>
      <c r="Y364" s="322"/>
      <c r="Z364" s="322"/>
    </row>
    <row r="365" ht="12.75" customHeight="1">
      <c r="A365" s="322"/>
      <c r="B365" s="322"/>
      <c r="C365" s="323"/>
      <c r="D365" s="324"/>
      <c r="E365" s="323"/>
      <c r="F365" s="324"/>
      <c r="G365" s="322"/>
      <c r="H365" s="322"/>
      <c r="I365" s="322"/>
      <c r="J365" s="322"/>
      <c r="K365" s="322"/>
      <c r="L365" s="322"/>
      <c r="M365" s="322"/>
      <c r="N365" s="322"/>
      <c r="O365" s="322"/>
      <c r="P365" s="322"/>
      <c r="Q365" s="322"/>
      <c r="R365" s="322"/>
      <c r="S365" s="322"/>
      <c r="T365" s="322"/>
      <c r="U365" s="322"/>
      <c r="V365" s="322"/>
      <c r="W365" s="322"/>
      <c r="X365" s="322"/>
      <c r="Y365" s="322"/>
      <c r="Z365" s="322"/>
    </row>
    <row r="366" ht="12.75" customHeight="1">
      <c r="A366" s="322"/>
      <c r="B366" s="322"/>
      <c r="C366" s="323"/>
      <c r="D366" s="324"/>
      <c r="E366" s="323"/>
      <c r="F366" s="324"/>
      <c r="G366" s="322"/>
      <c r="H366" s="322"/>
      <c r="I366" s="322"/>
      <c r="J366" s="322"/>
      <c r="K366" s="322"/>
      <c r="L366" s="322"/>
      <c r="M366" s="322"/>
      <c r="N366" s="322"/>
      <c r="O366" s="322"/>
      <c r="P366" s="322"/>
      <c r="Q366" s="322"/>
      <c r="R366" s="322"/>
      <c r="S366" s="322"/>
      <c r="T366" s="322"/>
      <c r="U366" s="322"/>
      <c r="V366" s="322"/>
      <c r="W366" s="322"/>
      <c r="X366" s="322"/>
      <c r="Y366" s="322"/>
      <c r="Z366" s="322"/>
    </row>
    <row r="367" ht="12.75" customHeight="1">
      <c r="A367" s="322"/>
      <c r="B367" s="322"/>
      <c r="C367" s="323"/>
      <c r="D367" s="324"/>
      <c r="E367" s="323"/>
      <c r="F367" s="324"/>
      <c r="G367" s="322"/>
      <c r="H367" s="322"/>
      <c r="I367" s="322"/>
      <c r="J367" s="322"/>
      <c r="K367" s="322"/>
      <c r="L367" s="322"/>
      <c r="M367" s="322"/>
      <c r="N367" s="322"/>
      <c r="O367" s="322"/>
      <c r="P367" s="322"/>
      <c r="Q367" s="322"/>
      <c r="R367" s="322"/>
      <c r="S367" s="322"/>
      <c r="T367" s="322"/>
      <c r="U367" s="322"/>
      <c r="V367" s="322"/>
      <c r="W367" s="322"/>
      <c r="X367" s="322"/>
      <c r="Y367" s="322"/>
      <c r="Z367" s="322"/>
    </row>
    <row r="368" ht="12.75" customHeight="1">
      <c r="A368" s="322"/>
      <c r="B368" s="322"/>
      <c r="C368" s="323"/>
      <c r="D368" s="324"/>
      <c r="E368" s="323"/>
      <c r="F368" s="324"/>
      <c r="G368" s="322"/>
      <c r="H368" s="322"/>
      <c r="I368" s="322"/>
      <c r="J368" s="322"/>
      <c r="K368" s="322"/>
      <c r="L368" s="322"/>
      <c r="M368" s="322"/>
      <c r="N368" s="322"/>
      <c r="O368" s="322"/>
      <c r="P368" s="322"/>
      <c r="Q368" s="322"/>
      <c r="R368" s="322"/>
      <c r="S368" s="322"/>
      <c r="T368" s="322"/>
      <c r="U368" s="322"/>
      <c r="V368" s="322"/>
      <c r="W368" s="322"/>
      <c r="X368" s="322"/>
      <c r="Y368" s="322"/>
      <c r="Z368" s="322"/>
    </row>
    <row r="369" ht="12.75" customHeight="1">
      <c r="A369" s="322"/>
      <c r="B369" s="322"/>
      <c r="C369" s="323"/>
      <c r="D369" s="324"/>
      <c r="E369" s="323"/>
      <c r="F369" s="324"/>
      <c r="G369" s="322"/>
      <c r="H369" s="322"/>
      <c r="I369" s="322"/>
      <c r="J369" s="322"/>
      <c r="K369" s="322"/>
      <c r="L369" s="322"/>
      <c r="M369" s="322"/>
      <c r="N369" s="322"/>
      <c r="O369" s="322"/>
      <c r="P369" s="322"/>
      <c r="Q369" s="322"/>
      <c r="R369" s="322"/>
      <c r="S369" s="322"/>
      <c r="T369" s="322"/>
      <c r="U369" s="322"/>
      <c r="V369" s="322"/>
      <c r="W369" s="322"/>
      <c r="X369" s="322"/>
      <c r="Y369" s="322"/>
      <c r="Z369" s="322"/>
    </row>
    <row r="370" ht="12.75" customHeight="1">
      <c r="A370" s="322"/>
      <c r="B370" s="322"/>
      <c r="C370" s="323"/>
      <c r="D370" s="324"/>
      <c r="E370" s="323"/>
      <c r="F370" s="324"/>
      <c r="G370" s="322"/>
      <c r="H370" s="322"/>
      <c r="I370" s="322"/>
      <c r="J370" s="322"/>
      <c r="K370" s="322"/>
      <c r="L370" s="322"/>
      <c r="M370" s="322"/>
      <c r="N370" s="322"/>
      <c r="O370" s="322"/>
      <c r="P370" s="322"/>
      <c r="Q370" s="322"/>
      <c r="R370" s="322"/>
      <c r="S370" s="322"/>
      <c r="T370" s="322"/>
      <c r="U370" s="322"/>
      <c r="V370" s="322"/>
      <c r="W370" s="322"/>
      <c r="X370" s="322"/>
      <c r="Y370" s="322"/>
      <c r="Z370" s="322"/>
    </row>
    <row r="371" ht="12.75" customHeight="1">
      <c r="A371" s="322"/>
      <c r="B371" s="322"/>
      <c r="C371" s="323"/>
      <c r="D371" s="324"/>
      <c r="E371" s="323"/>
      <c r="F371" s="324"/>
      <c r="G371" s="322"/>
      <c r="H371" s="322"/>
      <c r="I371" s="322"/>
      <c r="J371" s="322"/>
      <c r="K371" s="322"/>
      <c r="L371" s="322"/>
      <c r="M371" s="322"/>
      <c r="N371" s="322"/>
      <c r="O371" s="322"/>
      <c r="P371" s="322"/>
      <c r="Q371" s="322"/>
      <c r="R371" s="322"/>
      <c r="S371" s="322"/>
      <c r="T371" s="322"/>
      <c r="U371" s="322"/>
      <c r="V371" s="322"/>
      <c r="W371" s="322"/>
      <c r="X371" s="322"/>
      <c r="Y371" s="322"/>
      <c r="Z371" s="322"/>
    </row>
    <row r="372" ht="12.75" customHeight="1">
      <c r="A372" s="322"/>
      <c r="B372" s="322"/>
      <c r="C372" s="323"/>
      <c r="D372" s="324"/>
      <c r="E372" s="323"/>
      <c r="F372" s="324"/>
      <c r="G372" s="322"/>
      <c r="H372" s="322"/>
      <c r="I372" s="322"/>
      <c r="J372" s="322"/>
      <c r="K372" s="322"/>
      <c r="L372" s="322"/>
      <c r="M372" s="322"/>
      <c r="N372" s="322"/>
      <c r="O372" s="322"/>
      <c r="P372" s="322"/>
      <c r="Q372" s="322"/>
      <c r="R372" s="322"/>
      <c r="S372" s="322"/>
      <c r="T372" s="322"/>
      <c r="U372" s="322"/>
      <c r="V372" s="322"/>
      <c r="W372" s="322"/>
      <c r="X372" s="322"/>
      <c r="Y372" s="322"/>
      <c r="Z372" s="322"/>
    </row>
    <row r="373" ht="12.75" customHeight="1">
      <c r="A373" s="322"/>
      <c r="B373" s="322"/>
      <c r="C373" s="323"/>
      <c r="D373" s="324"/>
      <c r="E373" s="323"/>
      <c r="F373" s="324"/>
      <c r="G373" s="322"/>
      <c r="H373" s="322"/>
      <c r="I373" s="322"/>
      <c r="J373" s="322"/>
      <c r="K373" s="322"/>
      <c r="L373" s="322"/>
      <c r="M373" s="322"/>
      <c r="N373" s="322"/>
      <c r="O373" s="322"/>
      <c r="P373" s="322"/>
      <c r="Q373" s="322"/>
      <c r="R373" s="322"/>
      <c r="S373" s="322"/>
      <c r="T373" s="322"/>
      <c r="U373" s="322"/>
      <c r="V373" s="322"/>
      <c r="W373" s="322"/>
      <c r="X373" s="322"/>
      <c r="Y373" s="322"/>
      <c r="Z373" s="322"/>
    </row>
    <row r="374" ht="12.75" customHeight="1">
      <c r="A374" s="322"/>
      <c r="B374" s="322"/>
      <c r="C374" s="323"/>
      <c r="D374" s="324"/>
      <c r="E374" s="323"/>
      <c r="F374" s="324"/>
      <c r="G374" s="322"/>
      <c r="H374" s="322"/>
      <c r="I374" s="322"/>
      <c r="J374" s="322"/>
      <c r="K374" s="322"/>
      <c r="L374" s="322"/>
      <c r="M374" s="322"/>
      <c r="N374" s="322"/>
      <c r="O374" s="322"/>
      <c r="P374" s="322"/>
      <c r="Q374" s="322"/>
      <c r="R374" s="322"/>
      <c r="S374" s="322"/>
      <c r="T374" s="322"/>
      <c r="U374" s="322"/>
      <c r="V374" s="322"/>
      <c r="W374" s="322"/>
      <c r="X374" s="322"/>
      <c r="Y374" s="322"/>
      <c r="Z374" s="322"/>
    </row>
    <row r="375" ht="12.75" customHeight="1">
      <c r="A375" s="322"/>
      <c r="B375" s="322"/>
      <c r="C375" s="323"/>
      <c r="D375" s="324"/>
      <c r="E375" s="323"/>
      <c r="F375" s="324"/>
      <c r="G375" s="322"/>
      <c r="H375" s="322"/>
      <c r="I375" s="322"/>
      <c r="J375" s="322"/>
      <c r="K375" s="322"/>
      <c r="L375" s="322"/>
      <c r="M375" s="322"/>
      <c r="N375" s="322"/>
      <c r="O375" s="322"/>
      <c r="P375" s="322"/>
      <c r="Q375" s="322"/>
      <c r="R375" s="322"/>
      <c r="S375" s="322"/>
      <c r="T375" s="322"/>
      <c r="U375" s="322"/>
      <c r="V375" s="322"/>
      <c r="W375" s="322"/>
      <c r="X375" s="322"/>
      <c r="Y375" s="322"/>
      <c r="Z375" s="322"/>
    </row>
    <row r="376" ht="12.75" customHeight="1">
      <c r="A376" s="322"/>
      <c r="B376" s="322"/>
      <c r="C376" s="323"/>
      <c r="D376" s="324"/>
      <c r="E376" s="323"/>
      <c r="F376" s="324"/>
      <c r="G376" s="322"/>
      <c r="H376" s="322"/>
      <c r="I376" s="322"/>
      <c r="J376" s="322"/>
      <c r="K376" s="322"/>
      <c r="L376" s="322"/>
      <c r="M376" s="322"/>
      <c r="N376" s="322"/>
      <c r="O376" s="322"/>
      <c r="P376" s="322"/>
      <c r="Q376" s="322"/>
      <c r="R376" s="322"/>
      <c r="S376" s="322"/>
      <c r="T376" s="322"/>
      <c r="U376" s="322"/>
      <c r="V376" s="322"/>
      <c r="W376" s="322"/>
      <c r="X376" s="322"/>
      <c r="Y376" s="322"/>
      <c r="Z376" s="322"/>
    </row>
    <row r="377" ht="12.75" customHeight="1">
      <c r="A377" s="322"/>
      <c r="B377" s="322"/>
      <c r="C377" s="323"/>
      <c r="D377" s="324"/>
      <c r="E377" s="323"/>
      <c r="F377" s="324"/>
      <c r="G377" s="322"/>
      <c r="H377" s="322"/>
      <c r="I377" s="322"/>
      <c r="J377" s="322"/>
      <c r="K377" s="322"/>
      <c r="L377" s="322"/>
      <c r="M377" s="322"/>
      <c r="N377" s="322"/>
      <c r="O377" s="322"/>
      <c r="P377" s="322"/>
      <c r="Q377" s="322"/>
      <c r="R377" s="322"/>
      <c r="S377" s="322"/>
      <c r="T377" s="322"/>
      <c r="U377" s="322"/>
      <c r="V377" s="322"/>
      <c r="W377" s="322"/>
      <c r="X377" s="322"/>
      <c r="Y377" s="322"/>
      <c r="Z377" s="322"/>
    </row>
    <row r="378" ht="12.75" customHeight="1">
      <c r="A378" s="322"/>
      <c r="B378" s="322"/>
      <c r="C378" s="323"/>
      <c r="D378" s="324"/>
      <c r="E378" s="323"/>
      <c r="F378" s="324"/>
      <c r="G378" s="322"/>
      <c r="H378" s="322"/>
      <c r="I378" s="322"/>
      <c r="J378" s="322"/>
      <c r="K378" s="322"/>
      <c r="L378" s="322"/>
      <c r="M378" s="322"/>
      <c r="N378" s="322"/>
      <c r="O378" s="322"/>
      <c r="P378" s="322"/>
      <c r="Q378" s="322"/>
      <c r="R378" s="322"/>
      <c r="S378" s="322"/>
      <c r="T378" s="322"/>
      <c r="U378" s="322"/>
      <c r="V378" s="322"/>
      <c r="W378" s="322"/>
      <c r="X378" s="322"/>
      <c r="Y378" s="322"/>
      <c r="Z378" s="322"/>
    </row>
    <row r="379" ht="12.75" customHeight="1">
      <c r="A379" s="322"/>
      <c r="B379" s="322"/>
      <c r="C379" s="323"/>
      <c r="D379" s="324"/>
      <c r="E379" s="323"/>
      <c r="F379" s="324"/>
      <c r="G379" s="322"/>
      <c r="H379" s="322"/>
      <c r="I379" s="322"/>
      <c r="J379" s="322"/>
      <c r="K379" s="322"/>
      <c r="L379" s="322"/>
      <c r="M379" s="322"/>
      <c r="N379" s="322"/>
      <c r="O379" s="322"/>
      <c r="P379" s="322"/>
      <c r="Q379" s="322"/>
      <c r="R379" s="322"/>
      <c r="S379" s="322"/>
      <c r="T379" s="322"/>
      <c r="U379" s="322"/>
      <c r="V379" s="322"/>
      <c r="W379" s="322"/>
      <c r="X379" s="322"/>
      <c r="Y379" s="322"/>
      <c r="Z379" s="322"/>
    </row>
    <row r="380" ht="12.75" customHeight="1">
      <c r="A380" s="322"/>
      <c r="B380" s="322"/>
      <c r="C380" s="323"/>
      <c r="D380" s="324"/>
      <c r="E380" s="323"/>
      <c r="F380" s="324"/>
      <c r="G380" s="322"/>
      <c r="H380" s="322"/>
      <c r="I380" s="322"/>
      <c r="J380" s="322"/>
      <c r="K380" s="322"/>
      <c r="L380" s="322"/>
      <c r="M380" s="322"/>
      <c r="N380" s="322"/>
      <c r="O380" s="322"/>
      <c r="P380" s="322"/>
      <c r="Q380" s="322"/>
      <c r="R380" s="322"/>
      <c r="S380" s="322"/>
      <c r="T380" s="322"/>
      <c r="U380" s="322"/>
      <c r="V380" s="322"/>
      <c r="W380" s="322"/>
      <c r="X380" s="322"/>
      <c r="Y380" s="322"/>
      <c r="Z380" s="322"/>
    </row>
    <row r="381" ht="12.75" customHeight="1">
      <c r="A381" s="322"/>
      <c r="B381" s="322"/>
      <c r="C381" s="323"/>
      <c r="D381" s="324"/>
      <c r="E381" s="323"/>
      <c r="F381" s="324"/>
      <c r="G381" s="322"/>
      <c r="H381" s="322"/>
      <c r="I381" s="322"/>
      <c r="J381" s="322"/>
      <c r="K381" s="322"/>
      <c r="L381" s="322"/>
      <c r="M381" s="322"/>
      <c r="N381" s="322"/>
      <c r="O381" s="322"/>
      <c r="P381" s="322"/>
      <c r="Q381" s="322"/>
      <c r="R381" s="322"/>
      <c r="S381" s="322"/>
      <c r="T381" s="322"/>
      <c r="U381" s="322"/>
      <c r="V381" s="322"/>
      <c r="W381" s="322"/>
      <c r="X381" s="322"/>
      <c r="Y381" s="322"/>
      <c r="Z381" s="322"/>
    </row>
    <row r="382" ht="12.75" customHeight="1">
      <c r="A382" s="322"/>
      <c r="B382" s="322"/>
      <c r="C382" s="323"/>
      <c r="D382" s="324"/>
      <c r="E382" s="323"/>
      <c r="F382" s="324"/>
      <c r="G382" s="322"/>
      <c r="H382" s="322"/>
      <c r="I382" s="322"/>
      <c r="J382" s="322"/>
      <c r="K382" s="322"/>
      <c r="L382" s="322"/>
      <c r="M382" s="322"/>
      <c r="N382" s="322"/>
      <c r="O382" s="322"/>
      <c r="P382" s="322"/>
      <c r="Q382" s="322"/>
      <c r="R382" s="322"/>
      <c r="S382" s="322"/>
      <c r="T382" s="322"/>
      <c r="U382" s="322"/>
      <c r="V382" s="322"/>
      <c r="W382" s="322"/>
      <c r="X382" s="322"/>
      <c r="Y382" s="322"/>
      <c r="Z382" s="322"/>
    </row>
    <row r="383" ht="12.75" customHeight="1">
      <c r="A383" s="322"/>
      <c r="B383" s="322"/>
      <c r="C383" s="323"/>
      <c r="D383" s="324"/>
      <c r="E383" s="323"/>
      <c r="F383" s="324"/>
      <c r="G383" s="322"/>
      <c r="H383" s="322"/>
      <c r="I383" s="322"/>
      <c r="J383" s="322"/>
      <c r="K383" s="322"/>
      <c r="L383" s="322"/>
      <c r="M383" s="322"/>
      <c r="N383" s="322"/>
      <c r="O383" s="322"/>
      <c r="P383" s="322"/>
      <c r="Q383" s="322"/>
      <c r="R383" s="322"/>
      <c r="S383" s="322"/>
      <c r="T383" s="322"/>
      <c r="U383" s="322"/>
      <c r="V383" s="322"/>
      <c r="W383" s="322"/>
      <c r="X383" s="322"/>
      <c r="Y383" s="322"/>
      <c r="Z383" s="322"/>
    </row>
    <row r="384" ht="12.75" customHeight="1">
      <c r="A384" s="322"/>
      <c r="B384" s="322"/>
      <c r="C384" s="323"/>
      <c r="D384" s="324"/>
      <c r="E384" s="323"/>
      <c r="F384" s="324"/>
      <c r="G384" s="322"/>
      <c r="H384" s="322"/>
      <c r="I384" s="322"/>
      <c r="J384" s="322"/>
      <c r="K384" s="322"/>
      <c r="L384" s="322"/>
      <c r="M384" s="322"/>
      <c r="N384" s="322"/>
      <c r="O384" s="322"/>
      <c r="P384" s="322"/>
      <c r="Q384" s="322"/>
      <c r="R384" s="322"/>
      <c r="S384" s="322"/>
      <c r="T384" s="322"/>
      <c r="U384" s="322"/>
      <c r="V384" s="322"/>
      <c r="W384" s="322"/>
      <c r="X384" s="322"/>
      <c r="Y384" s="322"/>
      <c r="Z384" s="322"/>
    </row>
    <row r="385" ht="12.75" customHeight="1">
      <c r="A385" s="322"/>
      <c r="B385" s="322"/>
      <c r="C385" s="323"/>
      <c r="D385" s="324"/>
      <c r="E385" s="323"/>
      <c r="F385" s="324"/>
      <c r="G385" s="322"/>
      <c r="H385" s="322"/>
      <c r="I385" s="322"/>
      <c r="J385" s="322"/>
      <c r="K385" s="322"/>
      <c r="L385" s="322"/>
      <c r="M385" s="322"/>
      <c r="N385" s="322"/>
      <c r="O385" s="322"/>
      <c r="P385" s="322"/>
      <c r="Q385" s="322"/>
      <c r="R385" s="322"/>
      <c r="S385" s="322"/>
      <c r="T385" s="322"/>
      <c r="U385" s="322"/>
      <c r="V385" s="322"/>
      <c r="W385" s="322"/>
      <c r="X385" s="322"/>
      <c r="Y385" s="322"/>
      <c r="Z385" s="322"/>
    </row>
    <row r="386" ht="12.75" customHeight="1">
      <c r="A386" s="322"/>
      <c r="B386" s="322"/>
      <c r="C386" s="323"/>
      <c r="D386" s="324"/>
      <c r="E386" s="323"/>
      <c r="F386" s="324"/>
      <c r="G386" s="322"/>
      <c r="H386" s="322"/>
      <c r="I386" s="322"/>
      <c r="J386" s="322"/>
      <c r="K386" s="322"/>
      <c r="L386" s="322"/>
      <c r="M386" s="322"/>
      <c r="N386" s="322"/>
      <c r="O386" s="322"/>
      <c r="P386" s="322"/>
      <c r="Q386" s="322"/>
      <c r="R386" s="322"/>
      <c r="S386" s="322"/>
      <c r="T386" s="322"/>
      <c r="U386" s="322"/>
      <c r="V386" s="322"/>
      <c r="W386" s="322"/>
      <c r="X386" s="322"/>
      <c r="Y386" s="322"/>
      <c r="Z386" s="322"/>
    </row>
    <row r="387" ht="12.75" customHeight="1">
      <c r="A387" s="322"/>
      <c r="B387" s="322"/>
      <c r="C387" s="323"/>
      <c r="D387" s="324"/>
      <c r="E387" s="323"/>
      <c r="F387" s="324"/>
      <c r="G387" s="322"/>
      <c r="H387" s="322"/>
      <c r="I387" s="322"/>
      <c r="J387" s="322"/>
      <c r="K387" s="322"/>
      <c r="L387" s="322"/>
      <c r="M387" s="322"/>
      <c r="N387" s="322"/>
      <c r="O387" s="322"/>
      <c r="P387" s="322"/>
      <c r="Q387" s="322"/>
      <c r="R387" s="322"/>
      <c r="S387" s="322"/>
      <c r="T387" s="322"/>
      <c r="U387" s="322"/>
      <c r="V387" s="322"/>
      <c r="W387" s="322"/>
      <c r="X387" s="322"/>
      <c r="Y387" s="322"/>
      <c r="Z387" s="322"/>
    </row>
    <row r="388" ht="12.75" customHeight="1">
      <c r="A388" s="322"/>
      <c r="B388" s="322"/>
      <c r="C388" s="323"/>
      <c r="D388" s="324"/>
      <c r="E388" s="323"/>
      <c r="F388" s="324"/>
      <c r="G388" s="322"/>
      <c r="H388" s="322"/>
      <c r="I388" s="322"/>
      <c r="J388" s="322"/>
      <c r="K388" s="322"/>
      <c r="L388" s="322"/>
      <c r="M388" s="322"/>
      <c r="N388" s="322"/>
      <c r="O388" s="322"/>
      <c r="P388" s="322"/>
      <c r="Q388" s="322"/>
      <c r="R388" s="322"/>
      <c r="S388" s="322"/>
      <c r="T388" s="322"/>
      <c r="U388" s="322"/>
      <c r="V388" s="322"/>
      <c r="W388" s="322"/>
      <c r="X388" s="322"/>
      <c r="Y388" s="322"/>
      <c r="Z388" s="322"/>
    </row>
    <row r="389" ht="12.75" customHeight="1">
      <c r="A389" s="322"/>
      <c r="B389" s="322"/>
      <c r="C389" s="323"/>
      <c r="D389" s="324"/>
      <c r="E389" s="323"/>
      <c r="F389" s="324"/>
      <c r="G389" s="322"/>
      <c r="H389" s="322"/>
      <c r="I389" s="322"/>
      <c r="J389" s="322"/>
      <c r="K389" s="322"/>
      <c r="L389" s="322"/>
      <c r="M389" s="322"/>
      <c r="N389" s="322"/>
      <c r="O389" s="322"/>
      <c r="P389" s="322"/>
      <c r="Q389" s="322"/>
      <c r="R389" s="322"/>
      <c r="S389" s="322"/>
      <c r="T389" s="322"/>
      <c r="U389" s="322"/>
      <c r="V389" s="322"/>
      <c r="W389" s="322"/>
      <c r="X389" s="322"/>
      <c r="Y389" s="322"/>
      <c r="Z389" s="322"/>
    </row>
    <row r="390" ht="12.75" customHeight="1">
      <c r="A390" s="322"/>
      <c r="B390" s="322"/>
      <c r="C390" s="323"/>
      <c r="D390" s="324"/>
      <c r="E390" s="323"/>
      <c r="F390" s="324"/>
      <c r="G390" s="322"/>
      <c r="H390" s="322"/>
      <c r="I390" s="322"/>
      <c r="J390" s="322"/>
      <c r="K390" s="322"/>
      <c r="L390" s="322"/>
      <c r="M390" s="322"/>
      <c r="N390" s="322"/>
      <c r="O390" s="322"/>
      <c r="P390" s="322"/>
      <c r="Q390" s="322"/>
      <c r="R390" s="322"/>
      <c r="S390" s="322"/>
      <c r="T390" s="322"/>
      <c r="U390" s="322"/>
      <c r="V390" s="322"/>
      <c r="W390" s="322"/>
      <c r="X390" s="322"/>
      <c r="Y390" s="322"/>
      <c r="Z390" s="322"/>
    </row>
    <row r="391" ht="12.75" customHeight="1">
      <c r="A391" s="322"/>
      <c r="B391" s="322"/>
      <c r="C391" s="323"/>
      <c r="D391" s="324"/>
      <c r="E391" s="323"/>
      <c r="F391" s="324"/>
      <c r="G391" s="322"/>
      <c r="H391" s="322"/>
      <c r="I391" s="322"/>
      <c r="J391" s="322"/>
      <c r="K391" s="322"/>
      <c r="L391" s="322"/>
      <c r="M391" s="322"/>
      <c r="N391" s="322"/>
      <c r="O391" s="322"/>
      <c r="P391" s="322"/>
      <c r="Q391" s="322"/>
      <c r="R391" s="322"/>
      <c r="S391" s="322"/>
      <c r="T391" s="322"/>
      <c r="U391" s="322"/>
      <c r="V391" s="322"/>
      <c r="W391" s="322"/>
      <c r="X391" s="322"/>
      <c r="Y391" s="322"/>
      <c r="Z391" s="322"/>
    </row>
    <row r="392" ht="12.75" customHeight="1">
      <c r="A392" s="322"/>
      <c r="B392" s="322"/>
      <c r="C392" s="323"/>
      <c r="D392" s="324"/>
      <c r="E392" s="323"/>
      <c r="F392" s="324"/>
      <c r="G392" s="322"/>
      <c r="H392" s="322"/>
      <c r="I392" s="322"/>
      <c r="J392" s="322"/>
      <c r="K392" s="322"/>
      <c r="L392" s="322"/>
      <c r="M392" s="322"/>
      <c r="N392" s="322"/>
      <c r="O392" s="322"/>
      <c r="P392" s="322"/>
      <c r="Q392" s="322"/>
      <c r="R392" s="322"/>
      <c r="S392" s="322"/>
      <c r="T392" s="322"/>
      <c r="U392" s="322"/>
      <c r="V392" s="322"/>
      <c r="W392" s="322"/>
      <c r="X392" s="322"/>
      <c r="Y392" s="322"/>
      <c r="Z392" s="322"/>
    </row>
    <row r="393" ht="12.75" customHeight="1">
      <c r="A393" s="322"/>
      <c r="B393" s="322"/>
      <c r="C393" s="323"/>
      <c r="D393" s="324"/>
      <c r="E393" s="323"/>
      <c r="F393" s="324"/>
      <c r="G393" s="322"/>
      <c r="H393" s="322"/>
      <c r="I393" s="322"/>
      <c r="J393" s="322"/>
      <c r="K393" s="322"/>
      <c r="L393" s="322"/>
      <c r="M393" s="322"/>
      <c r="N393" s="322"/>
      <c r="O393" s="322"/>
      <c r="P393" s="322"/>
      <c r="Q393" s="322"/>
      <c r="R393" s="322"/>
      <c r="S393" s="322"/>
      <c r="T393" s="322"/>
      <c r="U393" s="322"/>
      <c r="V393" s="322"/>
      <c r="W393" s="322"/>
      <c r="X393" s="322"/>
      <c r="Y393" s="322"/>
      <c r="Z393" s="322"/>
    </row>
    <row r="394" ht="12.75" customHeight="1">
      <c r="A394" s="322"/>
      <c r="B394" s="322"/>
      <c r="C394" s="323"/>
      <c r="D394" s="324"/>
      <c r="E394" s="323"/>
      <c r="F394" s="324"/>
      <c r="G394" s="322"/>
      <c r="H394" s="322"/>
      <c r="I394" s="322"/>
      <c r="J394" s="322"/>
      <c r="K394" s="322"/>
      <c r="L394" s="322"/>
      <c r="M394" s="322"/>
      <c r="N394" s="322"/>
      <c r="O394" s="322"/>
      <c r="P394" s="322"/>
      <c r="Q394" s="322"/>
      <c r="R394" s="322"/>
      <c r="S394" s="322"/>
      <c r="T394" s="322"/>
      <c r="U394" s="322"/>
      <c r="V394" s="322"/>
      <c r="W394" s="322"/>
      <c r="X394" s="322"/>
      <c r="Y394" s="322"/>
      <c r="Z394" s="322"/>
    </row>
    <row r="395" ht="12.75" customHeight="1">
      <c r="A395" s="322"/>
      <c r="B395" s="322"/>
      <c r="C395" s="323"/>
      <c r="D395" s="324"/>
      <c r="E395" s="323"/>
      <c r="F395" s="324"/>
      <c r="G395" s="322"/>
      <c r="H395" s="322"/>
      <c r="I395" s="322"/>
      <c r="J395" s="322"/>
      <c r="K395" s="322"/>
      <c r="L395" s="322"/>
      <c r="M395" s="322"/>
      <c r="N395" s="322"/>
      <c r="O395" s="322"/>
      <c r="P395" s="322"/>
      <c r="Q395" s="322"/>
      <c r="R395" s="322"/>
      <c r="S395" s="322"/>
      <c r="T395" s="322"/>
      <c r="U395" s="322"/>
      <c r="V395" s="322"/>
      <c r="W395" s="322"/>
      <c r="X395" s="322"/>
      <c r="Y395" s="322"/>
      <c r="Z395" s="322"/>
    </row>
    <row r="396" ht="12.75" customHeight="1">
      <c r="A396" s="322"/>
      <c r="B396" s="322"/>
      <c r="C396" s="323"/>
      <c r="D396" s="324"/>
      <c r="E396" s="323"/>
      <c r="F396" s="324"/>
      <c r="G396" s="322"/>
      <c r="H396" s="322"/>
      <c r="I396" s="322"/>
      <c r="J396" s="322"/>
      <c r="K396" s="322"/>
      <c r="L396" s="322"/>
      <c r="M396" s="322"/>
      <c r="N396" s="322"/>
      <c r="O396" s="322"/>
      <c r="P396" s="322"/>
      <c r="Q396" s="322"/>
      <c r="R396" s="322"/>
      <c r="S396" s="322"/>
      <c r="T396" s="322"/>
      <c r="U396" s="322"/>
      <c r="V396" s="322"/>
      <c r="W396" s="322"/>
      <c r="X396" s="322"/>
      <c r="Y396" s="322"/>
      <c r="Z396" s="322"/>
    </row>
    <row r="397" ht="12.75" customHeight="1">
      <c r="A397" s="322"/>
      <c r="B397" s="322"/>
      <c r="C397" s="323"/>
      <c r="D397" s="324"/>
      <c r="E397" s="323"/>
      <c r="F397" s="324"/>
      <c r="G397" s="322"/>
      <c r="H397" s="322"/>
      <c r="I397" s="322"/>
      <c r="J397" s="322"/>
      <c r="K397" s="322"/>
      <c r="L397" s="322"/>
      <c r="M397" s="322"/>
      <c r="N397" s="322"/>
      <c r="O397" s="322"/>
      <c r="P397" s="322"/>
      <c r="Q397" s="322"/>
      <c r="R397" s="322"/>
      <c r="S397" s="322"/>
      <c r="T397" s="322"/>
      <c r="U397" s="322"/>
      <c r="V397" s="322"/>
      <c r="W397" s="322"/>
      <c r="X397" s="322"/>
      <c r="Y397" s="322"/>
      <c r="Z397" s="322"/>
    </row>
    <row r="398" ht="12.75" customHeight="1">
      <c r="A398" s="322"/>
      <c r="B398" s="322"/>
      <c r="C398" s="323"/>
      <c r="D398" s="324"/>
      <c r="E398" s="323"/>
      <c r="F398" s="324"/>
      <c r="G398" s="322"/>
      <c r="H398" s="322"/>
      <c r="I398" s="322"/>
      <c r="J398" s="322"/>
      <c r="K398" s="322"/>
      <c r="L398" s="322"/>
      <c r="M398" s="322"/>
      <c r="N398" s="322"/>
      <c r="O398" s="322"/>
      <c r="P398" s="322"/>
      <c r="Q398" s="322"/>
      <c r="R398" s="322"/>
      <c r="S398" s="322"/>
      <c r="T398" s="322"/>
      <c r="U398" s="322"/>
      <c r="V398" s="322"/>
      <c r="W398" s="322"/>
      <c r="X398" s="322"/>
      <c r="Y398" s="322"/>
      <c r="Z398" s="322"/>
    </row>
    <row r="399" ht="12.75" customHeight="1">
      <c r="A399" s="322"/>
      <c r="B399" s="322"/>
      <c r="C399" s="323"/>
      <c r="D399" s="324"/>
      <c r="E399" s="323"/>
      <c r="F399" s="324"/>
      <c r="G399" s="322"/>
      <c r="H399" s="322"/>
      <c r="I399" s="322"/>
      <c r="J399" s="322"/>
      <c r="K399" s="322"/>
      <c r="L399" s="322"/>
      <c r="M399" s="322"/>
      <c r="N399" s="322"/>
      <c r="O399" s="322"/>
      <c r="P399" s="322"/>
      <c r="Q399" s="322"/>
      <c r="R399" s="322"/>
      <c r="S399" s="322"/>
      <c r="T399" s="322"/>
      <c r="U399" s="322"/>
      <c r="V399" s="322"/>
      <c r="W399" s="322"/>
      <c r="X399" s="322"/>
      <c r="Y399" s="322"/>
      <c r="Z399" s="322"/>
    </row>
    <row r="400" ht="12.75" customHeight="1">
      <c r="A400" s="322"/>
      <c r="B400" s="322"/>
      <c r="C400" s="323"/>
      <c r="D400" s="324"/>
      <c r="E400" s="323"/>
      <c r="F400" s="324"/>
      <c r="G400" s="322"/>
      <c r="H400" s="322"/>
      <c r="I400" s="322"/>
      <c r="J400" s="322"/>
      <c r="K400" s="322"/>
      <c r="L400" s="322"/>
      <c r="M400" s="322"/>
      <c r="N400" s="322"/>
      <c r="O400" s="322"/>
      <c r="P400" s="322"/>
      <c r="Q400" s="322"/>
      <c r="R400" s="322"/>
      <c r="S400" s="322"/>
      <c r="T400" s="322"/>
      <c r="U400" s="322"/>
      <c r="V400" s="322"/>
      <c r="W400" s="322"/>
      <c r="X400" s="322"/>
      <c r="Y400" s="322"/>
      <c r="Z400" s="322"/>
    </row>
    <row r="401" ht="12.75" customHeight="1">
      <c r="A401" s="322"/>
      <c r="B401" s="322"/>
      <c r="C401" s="323"/>
      <c r="D401" s="324"/>
      <c r="E401" s="323"/>
      <c r="F401" s="324"/>
      <c r="G401" s="322"/>
      <c r="H401" s="322"/>
      <c r="I401" s="322"/>
      <c r="J401" s="322"/>
      <c r="K401" s="322"/>
      <c r="L401" s="322"/>
      <c r="M401" s="322"/>
      <c r="N401" s="322"/>
      <c r="O401" s="322"/>
      <c r="P401" s="322"/>
      <c r="Q401" s="322"/>
      <c r="R401" s="322"/>
      <c r="S401" s="322"/>
      <c r="T401" s="322"/>
      <c r="U401" s="322"/>
      <c r="V401" s="322"/>
      <c r="W401" s="322"/>
      <c r="X401" s="322"/>
      <c r="Y401" s="322"/>
      <c r="Z401" s="322"/>
    </row>
    <row r="402" ht="12.75" customHeight="1">
      <c r="A402" s="322"/>
      <c r="B402" s="322"/>
      <c r="C402" s="323"/>
      <c r="D402" s="324"/>
      <c r="E402" s="323"/>
      <c r="F402" s="324"/>
      <c r="G402" s="322"/>
      <c r="H402" s="322"/>
      <c r="I402" s="322"/>
      <c r="J402" s="322"/>
      <c r="K402" s="322"/>
      <c r="L402" s="322"/>
      <c r="M402" s="322"/>
      <c r="N402" s="322"/>
      <c r="O402" s="322"/>
      <c r="P402" s="322"/>
      <c r="Q402" s="322"/>
      <c r="R402" s="322"/>
      <c r="S402" s="322"/>
      <c r="T402" s="322"/>
      <c r="U402" s="322"/>
      <c r="V402" s="322"/>
      <c r="W402" s="322"/>
      <c r="X402" s="322"/>
      <c r="Y402" s="322"/>
      <c r="Z402" s="322"/>
    </row>
    <row r="403" ht="12.75" customHeight="1">
      <c r="A403" s="322"/>
      <c r="B403" s="322"/>
      <c r="C403" s="323"/>
      <c r="D403" s="324"/>
      <c r="E403" s="323"/>
      <c r="F403" s="324"/>
      <c r="G403" s="322"/>
      <c r="H403" s="322"/>
      <c r="I403" s="322"/>
      <c r="J403" s="322"/>
      <c r="K403" s="322"/>
      <c r="L403" s="322"/>
      <c r="M403" s="322"/>
      <c r="N403" s="322"/>
      <c r="O403" s="322"/>
      <c r="P403" s="322"/>
      <c r="Q403" s="322"/>
      <c r="R403" s="322"/>
      <c r="S403" s="322"/>
      <c r="T403" s="322"/>
      <c r="U403" s="322"/>
      <c r="V403" s="322"/>
      <c r="W403" s="322"/>
      <c r="X403" s="322"/>
      <c r="Y403" s="322"/>
      <c r="Z403" s="322"/>
    </row>
    <row r="404" ht="12.75" customHeight="1">
      <c r="A404" s="322"/>
      <c r="B404" s="322"/>
      <c r="C404" s="323"/>
      <c r="D404" s="324"/>
      <c r="E404" s="323"/>
      <c r="F404" s="324"/>
      <c r="G404" s="322"/>
      <c r="H404" s="322"/>
      <c r="I404" s="322"/>
      <c r="J404" s="322"/>
      <c r="K404" s="322"/>
      <c r="L404" s="322"/>
      <c r="M404" s="322"/>
      <c r="N404" s="322"/>
      <c r="O404" s="322"/>
      <c r="P404" s="322"/>
      <c r="Q404" s="322"/>
      <c r="R404" s="322"/>
      <c r="S404" s="322"/>
      <c r="T404" s="322"/>
      <c r="U404" s="322"/>
      <c r="V404" s="322"/>
      <c r="W404" s="322"/>
      <c r="X404" s="322"/>
      <c r="Y404" s="322"/>
      <c r="Z404" s="322"/>
    </row>
    <row r="405" ht="12.75" customHeight="1">
      <c r="A405" s="322"/>
      <c r="B405" s="322"/>
      <c r="C405" s="323"/>
      <c r="D405" s="324"/>
      <c r="E405" s="323"/>
      <c r="F405" s="324"/>
      <c r="G405" s="322"/>
      <c r="H405" s="322"/>
      <c r="I405" s="322"/>
      <c r="J405" s="322"/>
      <c r="K405" s="322"/>
      <c r="L405" s="322"/>
      <c r="M405" s="322"/>
      <c r="N405" s="322"/>
      <c r="O405" s="322"/>
      <c r="P405" s="322"/>
      <c r="Q405" s="322"/>
      <c r="R405" s="322"/>
      <c r="S405" s="322"/>
      <c r="T405" s="322"/>
      <c r="U405" s="322"/>
      <c r="V405" s="322"/>
      <c r="W405" s="322"/>
      <c r="X405" s="322"/>
      <c r="Y405" s="322"/>
      <c r="Z405" s="322"/>
    </row>
    <row r="406" ht="12.75" customHeight="1">
      <c r="A406" s="322"/>
      <c r="B406" s="322"/>
      <c r="C406" s="323"/>
      <c r="D406" s="324"/>
      <c r="E406" s="323"/>
      <c r="F406" s="324"/>
      <c r="G406" s="322"/>
      <c r="H406" s="322"/>
      <c r="I406" s="322"/>
      <c r="J406" s="322"/>
      <c r="K406" s="322"/>
      <c r="L406" s="322"/>
      <c r="M406" s="322"/>
      <c r="N406" s="322"/>
      <c r="O406" s="322"/>
      <c r="P406" s="322"/>
      <c r="Q406" s="322"/>
      <c r="R406" s="322"/>
      <c r="S406" s="322"/>
      <c r="T406" s="322"/>
      <c r="U406" s="322"/>
      <c r="V406" s="322"/>
      <c r="W406" s="322"/>
      <c r="X406" s="322"/>
      <c r="Y406" s="322"/>
      <c r="Z406" s="322"/>
    </row>
    <row r="407" ht="12.75" customHeight="1">
      <c r="A407" s="322"/>
      <c r="B407" s="322"/>
      <c r="C407" s="323"/>
      <c r="D407" s="324"/>
      <c r="E407" s="323"/>
      <c r="F407" s="324"/>
      <c r="G407" s="322"/>
      <c r="H407" s="322"/>
      <c r="I407" s="322"/>
      <c r="J407" s="322"/>
      <c r="K407" s="322"/>
      <c r="L407" s="322"/>
      <c r="M407" s="322"/>
      <c r="N407" s="322"/>
      <c r="O407" s="322"/>
      <c r="P407" s="322"/>
      <c r="Q407" s="322"/>
      <c r="R407" s="322"/>
      <c r="S407" s="322"/>
      <c r="T407" s="322"/>
      <c r="U407" s="322"/>
      <c r="V407" s="322"/>
      <c r="W407" s="322"/>
      <c r="X407" s="322"/>
      <c r="Y407" s="322"/>
      <c r="Z407" s="322"/>
    </row>
    <row r="408" ht="12.75" customHeight="1">
      <c r="A408" s="322"/>
      <c r="B408" s="322"/>
      <c r="C408" s="323"/>
      <c r="D408" s="324"/>
      <c r="E408" s="323"/>
      <c r="F408" s="324"/>
      <c r="G408" s="322"/>
      <c r="H408" s="322"/>
      <c r="I408" s="322"/>
      <c r="J408" s="322"/>
      <c r="K408" s="322"/>
      <c r="L408" s="322"/>
      <c r="M408" s="322"/>
      <c r="N408" s="322"/>
      <c r="O408" s="322"/>
      <c r="P408" s="322"/>
      <c r="Q408" s="322"/>
      <c r="R408" s="322"/>
      <c r="S408" s="322"/>
      <c r="T408" s="322"/>
      <c r="U408" s="322"/>
      <c r="V408" s="322"/>
      <c r="W408" s="322"/>
      <c r="X408" s="322"/>
      <c r="Y408" s="322"/>
      <c r="Z408" s="322"/>
    </row>
    <row r="409" ht="12.75" customHeight="1">
      <c r="A409" s="322"/>
      <c r="B409" s="322"/>
      <c r="C409" s="323"/>
      <c r="D409" s="324"/>
      <c r="E409" s="323"/>
      <c r="F409" s="324"/>
      <c r="G409" s="322"/>
      <c r="H409" s="322"/>
      <c r="I409" s="322"/>
      <c r="J409" s="322"/>
      <c r="K409" s="322"/>
      <c r="L409" s="322"/>
      <c r="M409" s="322"/>
      <c r="N409" s="322"/>
      <c r="O409" s="322"/>
      <c r="P409" s="322"/>
      <c r="Q409" s="322"/>
      <c r="R409" s="322"/>
      <c r="S409" s="322"/>
      <c r="T409" s="322"/>
      <c r="U409" s="322"/>
      <c r="V409" s="322"/>
      <c r="W409" s="322"/>
      <c r="X409" s="322"/>
      <c r="Y409" s="322"/>
      <c r="Z409" s="322"/>
    </row>
    <row r="410" ht="12.75" customHeight="1">
      <c r="A410" s="322"/>
      <c r="B410" s="322"/>
      <c r="C410" s="323"/>
      <c r="D410" s="324"/>
      <c r="E410" s="323"/>
      <c r="F410" s="324"/>
      <c r="G410" s="322"/>
      <c r="H410" s="322"/>
      <c r="I410" s="322"/>
      <c r="J410" s="322"/>
      <c r="K410" s="322"/>
      <c r="L410" s="322"/>
      <c r="M410" s="322"/>
      <c r="N410" s="322"/>
      <c r="O410" s="322"/>
      <c r="P410" s="322"/>
      <c r="Q410" s="322"/>
      <c r="R410" s="322"/>
      <c r="S410" s="322"/>
      <c r="T410" s="322"/>
      <c r="U410" s="322"/>
      <c r="V410" s="322"/>
      <c r="W410" s="322"/>
      <c r="X410" s="322"/>
      <c r="Y410" s="322"/>
      <c r="Z410" s="322"/>
    </row>
    <row r="411" ht="12.75" customHeight="1">
      <c r="A411" s="322"/>
      <c r="B411" s="322"/>
      <c r="C411" s="323"/>
      <c r="D411" s="324"/>
      <c r="E411" s="323"/>
      <c r="F411" s="324"/>
      <c r="G411" s="322"/>
      <c r="H411" s="322"/>
      <c r="I411" s="322"/>
      <c r="J411" s="322"/>
      <c r="K411" s="322"/>
      <c r="L411" s="322"/>
      <c r="M411" s="322"/>
      <c r="N411" s="322"/>
      <c r="O411" s="322"/>
      <c r="P411" s="322"/>
      <c r="Q411" s="322"/>
      <c r="R411" s="322"/>
      <c r="S411" s="322"/>
      <c r="T411" s="322"/>
      <c r="U411" s="322"/>
      <c r="V411" s="322"/>
      <c r="W411" s="322"/>
      <c r="X411" s="322"/>
      <c r="Y411" s="322"/>
      <c r="Z411" s="322"/>
    </row>
    <row r="412" ht="12.75" customHeight="1">
      <c r="A412" s="322"/>
      <c r="B412" s="322"/>
      <c r="C412" s="323"/>
      <c r="D412" s="324"/>
      <c r="E412" s="323"/>
      <c r="F412" s="324"/>
      <c r="G412" s="322"/>
      <c r="H412" s="322"/>
      <c r="I412" s="322"/>
      <c r="J412" s="322"/>
      <c r="K412" s="322"/>
      <c r="L412" s="322"/>
      <c r="M412" s="322"/>
      <c r="N412" s="322"/>
      <c r="O412" s="322"/>
      <c r="P412" s="322"/>
      <c r="Q412" s="322"/>
      <c r="R412" s="322"/>
      <c r="S412" s="322"/>
      <c r="T412" s="322"/>
      <c r="U412" s="322"/>
      <c r="V412" s="322"/>
      <c r="W412" s="322"/>
      <c r="X412" s="322"/>
      <c r="Y412" s="322"/>
      <c r="Z412" s="322"/>
    </row>
    <row r="413" ht="12.75" customHeight="1">
      <c r="A413" s="322"/>
      <c r="B413" s="322"/>
      <c r="C413" s="323"/>
      <c r="D413" s="324"/>
      <c r="E413" s="323"/>
      <c r="F413" s="324"/>
      <c r="G413" s="322"/>
      <c r="H413" s="322"/>
      <c r="I413" s="322"/>
      <c r="J413" s="322"/>
      <c r="K413" s="322"/>
      <c r="L413" s="322"/>
      <c r="M413" s="322"/>
      <c r="N413" s="322"/>
      <c r="O413" s="322"/>
      <c r="P413" s="322"/>
      <c r="Q413" s="322"/>
      <c r="R413" s="322"/>
      <c r="S413" s="322"/>
      <c r="T413" s="322"/>
      <c r="U413" s="322"/>
      <c r="V413" s="322"/>
      <c r="W413" s="322"/>
      <c r="X413" s="322"/>
      <c r="Y413" s="322"/>
      <c r="Z413" s="322"/>
    </row>
    <row r="414" ht="12.75" customHeight="1">
      <c r="A414" s="322"/>
      <c r="B414" s="322"/>
      <c r="C414" s="323"/>
      <c r="D414" s="324"/>
      <c r="E414" s="323"/>
      <c r="F414" s="324"/>
      <c r="G414" s="322"/>
      <c r="H414" s="322"/>
      <c r="I414" s="322"/>
      <c r="J414" s="322"/>
      <c r="K414" s="322"/>
      <c r="L414" s="322"/>
      <c r="M414" s="322"/>
      <c r="N414" s="322"/>
      <c r="O414" s="322"/>
      <c r="P414" s="322"/>
      <c r="Q414" s="322"/>
      <c r="R414" s="322"/>
      <c r="S414" s="322"/>
      <c r="T414" s="322"/>
      <c r="U414" s="322"/>
      <c r="V414" s="322"/>
      <c r="W414" s="322"/>
      <c r="X414" s="322"/>
      <c r="Y414" s="322"/>
      <c r="Z414" s="322"/>
    </row>
    <row r="415" ht="12.75" customHeight="1">
      <c r="A415" s="322"/>
      <c r="B415" s="322"/>
      <c r="C415" s="323"/>
      <c r="D415" s="324"/>
      <c r="E415" s="323"/>
      <c r="F415" s="324"/>
      <c r="G415" s="322"/>
      <c r="H415" s="322"/>
      <c r="I415" s="322"/>
      <c r="J415" s="322"/>
      <c r="K415" s="322"/>
      <c r="L415" s="322"/>
      <c r="M415" s="322"/>
      <c r="N415" s="322"/>
      <c r="O415" s="322"/>
      <c r="P415" s="322"/>
      <c r="Q415" s="322"/>
      <c r="R415" s="322"/>
      <c r="S415" s="322"/>
      <c r="T415" s="322"/>
      <c r="U415" s="322"/>
      <c r="V415" s="322"/>
      <c r="W415" s="322"/>
      <c r="X415" s="322"/>
      <c r="Y415" s="322"/>
      <c r="Z415" s="322"/>
    </row>
    <row r="416" ht="12.75" customHeight="1">
      <c r="A416" s="322"/>
      <c r="B416" s="322"/>
      <c r="C416" s="323"/>
      <c r="D416" s="324"/>
      <c r="E416" s="323"/>
      <c r="F416" s="324"/>
      <c r="G416" s="322"/>
      <c r="H416" s="322"/>
      <c r="I416" s="322"/>
      <c r="J416" s="322"/>
      <c r="K416" s="322"/>
      <c r="L416" s="322"/>
      <c r="M416" s="322"/>
      <c r="N416" s="322"/>
      <c r="O416" s="322"/>
      <c r="P416" s="322"/>
      <c r="Q416" s="322"/>
      <c r="R416" s="322"/>
      <c r="S416" s="322"/>
      <c r="T416" s="322"/>
      <c r="U416" s="322"/>
      <c r="V416" s="322"/>
      <c r="W416" s="322"/>
      <c r="X416" s="322"/>
      <c r="Y416" s="322"/>
      <c r="Z416" s="322"/>
    </row>
    <row r="417" ht="12.75" customHeight="1">
      <c r="A417" s="322"/>
      <c r="B417" s="322"/>
      <c r="C417" s="323"/>
      <c r="D417" s="324"/>
      <c r="E417" s="323"/>
      <c r="F417" s="324"/>
      <c r="G417" s="322"/>
      <c r="H417" s="322"/>
      <c r="I417" s="322"/>
      <c r="J417" s="322"/>
      <c r="K417" s="322"/>
      <c r="L417" s="322"/>
      <c r="M417" s="322"/>
      <c r="N417" s="322"/>
      <c r="O417" s="322"/>
      <c r="P417" s="322"/>
      <c r="Q417" s="322"/>
      <c r="R417" s="322"/>
      <c r="S417" s="322"/>
      <c r="T417" s="322"/>
      <c r="U417" s="322"/>
      <c r="V417" s="322"/>
      <c r="W417" s="322"/>
      <c r="X417" s="322"/>
      <c r="Y417" s="322"/>
      <c r="Z417" s="322"/>
    </row>
    <row r="418" ht="12.75" customHeight="1">
      <c r="A418" s="322"/>
      <c r="B418" s="322"/>
      <c r="C418" s="323"/>
      <c r="D418" s="324"/>
      <c r="E418" s="323"/>
      <c r="F418" s="324"/>
      <c r="G418" s="322"/>
      <c r="H418" s="322"/>
      <c r="I418" s="322"/>
      <c r="J418" s="322"/>
      <c r="K418" s="322"/>
      <c r="L418" s="322"/>
      <c r="M418" s="322"/>
      <c r="N418" s="322"/>
      <c r="O418" s="322"/>
      <c r="P418" s="322"/>
      <c r="Q418" s="322"/>
      <c r="R418" s="322"/>
      <c r="S418" s="322"/>
      <c r="T418" s="322"/>
      <c r="U418" s="322"/>
      <c r="V418" s="322"/>
      <c r="W418" s="322"/>
      <c r="X418" s="322"/>
      <c r="Y418" s="322"/>
      <c r="Z418" s="322"/>
    </row>
    <row r="419" ht="12.75" customHeight="1">
      <c r="A419" s="322"/>
      <c r="B419" s="322"/>
      <c r="C419" s="323"/>
      <c r="D419" s="324"/>
      <c r="E419" s="323"/>
      <c r="F419" s="324"/>
      <c r="G419" s="322"/>
      <c r="H419" s="322"/>
      <c r="I419" s="322"/>
      <c r="J419" s="322"/>
      <c r="K419" s="322"/>
      <c r="L419" s="322"/>
      <c r="M419" s="322"/>
      <c r="N419" s="322"/>
      <c r="O419" s="322"/>
      <c r="P419" s="322"/>
      <c r="Q419" s="322"/>
      <c r="R419" s="322"/>
      <c r="S419" s="322"/>
      <c r="T419" s="322"/>
      <c r="U419" s="322"/>
      <c r="V419" s="322"/>
      <c r="W419" s="322"/>
      <c r="X419" s="322"/>
      <c r="Y419" s="322"/>
      <c r="Z419" s="322"/>
    </row>
    <row r="420" ht="12.75" customHeight="1">
      <c r="A420" s="322"/>
      <c r="B420" s="322"/>
      <c r="C420" s="323"/>
      <c r="D420" s="324"/>
      <c r="E420" s="323"/>
      <c r="F420" s="324"/>
      <c r="G420" s="322"/>
      <c r="H420" s="322"/>
      <c r="I420" s="322"/>
      <c r="J420" s="322"/>
      <c r="K420" s="322"/>
      <c r="L420" s="322"/>
      <c r="M420" s="322"/>
      <c r="N420" s="322"/>
      <c r="O420" s="322"/>
      <c r="P420" s="322"/>
      <c r="Q420" s="322"/>
      <c r="R420" s="322"/>
      <c r="S420" s="322"/>
      <c r="T420" s="322"/>
      <c r="U420" s="322"/>
      <c r="V420" s="322"/>
      <c r="W420" s="322"/>
      <c r="X420" s="322"/>
      <c r="Y420" s="322"/>
      <c r="Z420" s="322"/>
    </row>
    <row r="421" ht="12.75" customHeight="1">
      <c r="A421" s="322"/>
      <c r="B421" s="322"/>
      <c r="C421" s="323"/>
      <c r="D421" s="324"/>
      <c r="E421" s="323"/>
      <c r="F421" s="324"/>
      <c r="G421" s="322"/>
      <c r="H421" s="322"/>
      <c r="I421" s="322"/>
      <c r="J421" s="322"/>
      <c r="K421" s="322"/>
      <c r="L421" s="322"/>
      <c r="M421" s="322"/>
      <c r="N421" s="322"/>
      <c r="O421" s="322"/>
      <c r="P421" s="322"/>
      <c r="Q421" s="322"/>
      <c r="R421" s="322"/>
      <c r="S421" s="322"/>
      <c r="T421" s="322"/>
      <c r="U421" s="322"/>
      <c r="V421" s="322"/>
      <c r="W421" s="322"/>
      <c r="X421" s="322"/>
      <c r="Y421" s="322"/>
      <c r="Z421" s="322"/>
    </row>
    <row r="422" ht="12.75" customHeight="1">
      <c r="A422" s="322"/>
      <c r="B422" s="322"/>
      <c r="C422" s="323"/>
      <c r="D422" s="324"/>
      <c r="E422" s="323"/>
      <c r="F422" s="324"/>
      <c r="G422" s="322"/>
      <c r="H422" s="322"/>
      <c r="I422" s="322"/>
      <c r="J422" s="322"/>
      <c r="K422" s="322"/>
      <c r="L422" s="322"/>
      <c r="M422" s="322"/>
      <c r="N422" s="322"/>
      <c r="O422" s="322"/>
      <c r="P422" s="322"/>
      <c r="Q422" s="322"/>
      <c r="R422" s="322"/>
      <c r="S422" s="322"/>
      <c r="T422" s="322"/>
      <c r="U422" s="322"/>
      <c r="V422" s="322"/>
      <c r="W422" s="322"/>
      <c r="X422" s="322"/>
      <c r="Y422" s="322"/>
      <c r="Z422" s="322"/>
    </row>
    <row r="423" ht="12.75" customHeight="1">
      <c r="A423" s="322"/>
      <c r="B423" s="322"/>
      <c r="C423" s="323"/>
      <c r="D423" s="324"/>
      <c r="E423" s="323"/>
      <c r="F423" s="324"/>
      <c r="G423" s="322"/>
      <c r="H423" s="322"/>
      <c r="I423" s="322"/>
      <c r="J423" s="322"/>
      <c r="K423" s="322"/>
      <c r="L423" s="322"/>
      <c r="M423" s="322"/>
      <c r="N423" s="322"/>
      <c r="O423" s="322"/>
      <c r="P423" s="322"/>
      <c r="Q423" s="322"/>
      <c r="R423" s="322"/>
      <c r="S423" s="322"/>
      <c r="T423" s="322"/>
      <c r="U423" s="322"/>
      <c r="V423" s="322"/>
      <c r="W423" s="322"/>
      <c r="X423" s="322"/>
      <c r="Y423" s="322"/>
      <c r="Z423" s="322"/>
    </row>
    <row r="424" ht="12.75" customHeight="1">
      <c r="A424" s="322"/>
      <c r="B424" s="322"/>
      <c r="C424" s="323"/>
      <c r="D424" s="324"/>
      <c r="E424" s="323"/>
      <c r="F424" s="324"/>
      <c r="G424" s="322"/>
      <c r="H424" s="322"/>
      <c r="I424" s="322"/>
      <c r="J424" s="322"/>
      <c r="K424" s="322"/>
      <c r="L424" s="322"/>
      <c r="M424" s="322"/>
      <c r="N424" s="322"/>
      <c r="O424" s="322"/>
      <c r="P424" s="322"/>
      <c r="Q424" s="322"/>
      <c r="R424" s="322"/>
      <c r="S424" s="322"/>
      <c r="T424" s="322"/>
      <c r="U424" s="322"/>
      <c r="V424" s="322"/>
      <c r="W424" s="322"/>
      <c r="X424" s="322"/>
      <c r="Y424" s="322"/>
      <c r="Z424" s="322"/>
    </row>
    <row r="425" ht="12.75" customHeight="1">
      <c r="A425" s="322"/>
      <c r="B425" s="322"/>
      <c r="C425" s="323"/>
      <c r="D425" s="324"/>
      <c r="E425" s="323"/>
      <c r="F425" s="324"/>
      <c r="G425" s="322"/>
      <c r="H425" s="322"/>
      <c r="I425" s="322"/>
      <c r="J425" s="322"/>
      <c r="K425" s="322"/>
      <c r="L425" s="322"/>
      <c r="M425" s="322"/>
      <c r="N425" s="322"/>
      <c r="O425" s="322"/>
      <c r="P425" s="322"/>
      <c r="Q425" s="322"/>
      <c r="R425" s="322"/>
      <c r="S425" s="322"/>
      <c r="T425" s="322"/>
      <c r="U425" s="322"/>
      <c r="V425" s="322"/>
      <c r="W425" s="322"/>
      <c r="X425" s="322"/>
      <c r="Y425" s="322"/>
      <c r="Z425" s="322"/>
    </row>
    <row r="426" ht="12.75" customHeight="1">
      <c r="A426" s="322"/>
      <c r="B426" s="322"/>
      <c r="C426" s="323"/>
      <c r="D426" s="324"/>
      <c r="E426" s="323"/>
      <c r="F426" s="324"/>
      <c r="G426" s="322"/>
      <c r="H426" s="322"/>
      <c r="I426" s="322"/>
      <c r="J426" s="322"/>
      <c r="K426" s="322"/>
      <c r="L426" s="322"/>
      <c r="M426" s="322"/>
      <c r="N426" s="322"/>
      <c r="O426" s="322"/>
      <c r="P426" s="322"/>
      <c r="Q426" s="322"/>
      <c r="R426" s="322"/>
      <c r="S426" s="322"/>
      <c r="T426" s="322"/>
      <c r="U426" s="322"/>
      <c r="V426" s="322"/>
      <c r="W426" s="322"/>
      <c r="X426" s="322"/>
      <c r="Y426" s="322"/>
      <c r="Z426" s="322"/>
    </row>
    <row r="427" ht="12.75" customHeight="1">
      <c r="A427" s="322"/>
      <c r="B427" s="322"/>
      <c r="C427" s="323"/>
      <c r="D427" s="324"/>
      <c r="E427" s="323"/>
      <c r="F427" s="324"/>
      <c r="G427" s="322"/>
      <c r="H427" s="322"/>
      <c r="I427" s="322"/>
      <c r="J427" s="322"/>
      <c r="K427" s="322"/>
      <c r="L427" s="322"/>
      <c r="M427" s="322"/>
      <c r="N427" s="322"/>
      <c r="O427" s="322"/>
      <c r="P427" s="322"/>
      <c r="Q427" s="322"/>
      <c r="R427" s="322"/>
      <c r="S427" s="322"/>
      <c r="T427" s="322"/>
      <c r="U427" s="322"/>
      <c r="V427" s="322"/>
      <c r="W427" s="322"/>
      <c r="X427" s="322"/>
      <c r="Y427" s="322"/>
      <c r="Z427" s="322"/>
    </row>
    <row r="428" ht="12.75" customHeight="1">
      <c r="A428" s="322"/>
      <c r="B428" s="322"/>
      <c r="C428" s="323"/>
      <c r="D428" s="324"/>
      <c r="E428" s="323"/>
      <c r="F428" s="324"/>
      <c r="G428" s="322"/>
      <c r="H428" s="322"/>
      <c r="I428" s="322"/>
      <c r="J428" s="322"/>
      <c r="K428" s="322"/>
      <c r="L428" s="322"/>
      <c r="M428" s="322"/>
      <c r="N428" s="322"/>
      <c r="O428" s="322"/>
      <c r="P428" s="322"/>
      <c r="Q428" s="322"/>
      <c r="R428" s="322"/>
      <c r="S428" s="322"/>
      <c r="T428" s="322"/>
      <c r="U428" s="322"/>
      <c r="V428" s="322"/>
      <c r="W428" s="322"/>
      <c r="X428" s="322"/>
      <c r="Y428" s="322"/>
      <c r="Z428" s="322"/>
    </row>
    <row r="429" ht="12.75" customHeight="1">
      <c r="A429" s="322"/>
      <c r="B429" s="322"/>
      <c r="C429" s="323"/>
      <c r="D429" s="324"/>
      <c r="E429" s="323"/>
      <c r="F429" s="324"/>
      <c r="G429" s="322"/>
      <c r="H429" s="322"/>
      <c r="I429" s="322"/>
      <c r="J429" s="322"/>
      <c r="K429" s="322"/>
      <c r="L429" s="322"/>
      <c r="M429" s="322"/>
      <c r="N429" s="322"/>
      <c r="O429" s="322"/>
      <c r="P429" s="322"/>
      <c r="Q429" s="322"/>
      <c r="R429" s="322"/>
      <c r="S429" s="322"/>
      <c r="T429" s="322"/>
      <c r="U429" s="322"/>
      <c r="V429" s="322"/>
      <c r="W429" s="322"/>
      <c r="X429" s="322"/>
      <c r="Y429" s="322"/>
      <c r="Z429" s="322"/>
    </row>
    <row r="430" ht="12.75" customHeight="1">
      <c r="A430" s="322"/>
      <c r="B430" s="322"/>
      <c r="C430" s="323"/>
      <c r="D430" s="324"/>
      <c r="E430" s="323"/>
      <c r="F430" s="324"/>
      <c r="G430" s="322"/>
      <c r="H430" s="322"/>
      <c r="I430" s="322"/>
      <c r="J430" s="322"/>
      <c r="K430" s="322"/>
      <c r="L430" s="322"/>
      <c r="M430" s="322"/>
      <c r="N430" s="322"/>
      <c r="O430" s="322"/>
      <c r="P430" s="322"/>
      <c r="Q430" s="322"/>
      <c r="R430" s="322"/>
      <c r="S430" s="322"/>
      <c r="T430" s="322"/>
      <c r="U430" s="322"/>
      <c r="V430" s="322"/>
      <c r="W430" s="322"/>
      <c r="X430" s="322"/>
      <c r="Y430" s="322"/>
      <c r="Z430" s="322"/>
    </row>
    <row r="431" ht="12.75" customHeight="1">
      <c r="A431" s="322"/>
      <c r="B431" s="322"/>
      <c r="C431" s="323"/>
      <c r="D431" s="324"/>
      <c r="E431" s="323"/>
      <c r="F431" s="324"/>
      <c r="G431" s="322"/>
      <c r="H431" s="322"/>
      <c r="I431" s="322"/>
      <c r="J431" s="322"/>
      <c r="K431" s="322"/>
      <c r="L431" s="322"/>
      <c r="M431" s="322"/>
      <c r="N431" s="322"/>
      <c r="O431" s="322"/>
      <c r="P431" s="322"/>
      <c r="Q431" s="322"/>
      <c r="R431" s="322"/>
      <c r="S431" s="322"/>
      <c r="T431" s="322"/>
      <c r="U431" s="322"/>
      <c r="V431" s="322"/>
      <c r="W431" s="322"/>
      <c r="X431" s="322"/>
      <c r="Y431" s="322"/>
      <c r="Z431" s="322"/>
    </row>
    <row r="432" ht="12.75" customHeight="1">
      <c r="A432" s="322"/>
      <c r="B432" s="322"/>
      <c r="C432" s="323"/>
      <c r="D432" s="324"/>
      <c r="E432" s="323"/>
      <c r="F432" s="324"/>
      <c r="G432" s="322"/>
      <c r="H432" s="322"/>
      <c r="I432" s="322"/>
      <c r="J432" s="322"/>
      <c r="K432" s="322"/>
      <c r="L432" s="322"/>
      <c r="M432" s="322"/>
      <c r="N432" s="322"/>
      <c r="O432" s="322"/>
      <c r="P432" s="322"/>
      <c r="Q432" s="322"/>
      <c r="R432" s="322"/>
      <c r="S432" s="322"/>
      <c r="T432" s="322"/>
      <c r="U432" s="322"/>
      <c r="V432" s="322"/>
      <c r="W432" s="322"/>
      <c r="X432" s="322"/>
      <c r="Y432" s="322"/>
      <c r="Z432" s="322"/>
    </row>
    <row r="433" ht="12.75" customHeight="1">
      <c r="A433" s="322"/>
      <c r="B433" s="322"/>
      <c r="C433" s="323"/>
      <c r="D433" s="324"/>
      <c r="E433" s="323"/>
      <c r="F433" s="324"/>
      <c r="G433" s="322"/>
      <c r="H433" s="322"/>
      <c r="I433" s="322"/>
      <c r="J433" s="322"/>
      <c r="K433" s="322"/>
      <c r="L433" s="322"/>
      <c r="M433" s="322"/>
      <c r="N433" s="322"/>
      <c r="O433" s="322"/>
      <c r="P433" s="322"/>
      <c r="Q433" s="322"/>
      <c r="R433" s="322"/>
      <c r="S433" s="322"/>
      <c r="T433" s="322"/>
      <c r="U433" s="322"/>
      <c r="V433" s="322"/>
      <c r="W433" s="322"/>
      <c r="X433" s="322"/>
      <c r="Y433" s="322"/>
      <c r="Z433" s="322"/>
    </row>
    <row r="434" ht="12.75" customHeight="1">
      <c r="A434" s="322"/>
      <c r="B434" s="322"/>
      <c r="C434" s="323"/>
      <c r="D434" s="324"/>
      <c r="E434" s="323"/>
      <c r="F434" s="324"/>
      <c r="G434" s="322"/>
      <c r="H434" s="322"/>
      <c r="I434" s="322"/>
      <c r="J434" s="322"/>
      <c r="K434" s="322"/>
      <c r="L434" s="322"/>
      <c r="M434" s="322"/>
      <c r="N434" s="322"/>
      <c r="O434" s="322"/>
      <c r="P434" s="322"/>
      <c r="Q434" s="322"/>
      <c r="R434" s="322"/>
      <c r="S434" s="322"/>
      <c r="T434" s="322"/>
      <c r="U434" s="322"/>
      <c r="V434" s="322"/>
      <c r="W434" s="322"/>
      <c r="X434" s="322"/>
      <c r="Y434" s="322"/>
      <c r="Z434" s="322"/>
    </row>
    <row r="435" ht="12.75" customHeight="1">
      <c r="A435" s="322"/>
      <c r="B435" s="322"/>
      <c r="C435" s="323"/>
      <c r="D435" s="324"/>
      <c r="E435" s="323"/>
      <c r="F435" s="324"/>
      <c r="G435" s="322"/>
      <c r="H435" s="322"/>
      <c r="I435" s="322"/>
      <c r="J435" s="322"/>
      <c r="K435" s="322"/>
      <c r="L435" s="322"/>
      <c r="M435" s="322"/>
      <c r="N435" s="322"/>
      <c r="O435" s="322"/>
      <c r="P435" s="322"/>
      <c r="Q435" s="322"/>
      <c r="R435" s="322"/>
      <c r="S435" s="322"/>
      <c r="T435" s="322"/>
      <c r="U435" s="322"/>
      <c r="V435" s="322"/>
      <c r="W435" s="322"/>
      <c r="X435" s="322"/>
      <c r="Y435" s="322"/>
      <c r="Z435" s="322"/>
    </row>
    <row r="436" ht="12.75" customHeight="1">
      <c r="A436" s="322"/>
      <c r="B436" s="322"/>
      <c r="C436" s="323"/>
      <c r="D436" s="324"/>
      <c r="E436" s="323"/>
      <c r="F436" s="324"/>
      <c r="G436" s="322"/>
      <c r="H436" s="322"/>
      <c r="I436" s="322"/>
      <c r="J436" s="322"/>
      <c r="K436" s="322"/>
      <c r="L436" s="322"/>
      <c r="M436" s="322"/>
      <c r="N436" s="322"/>
      <c r="O436" s="322"/>
      <c r="P436" s="322"/>
      <c r="Q436" s="322"/>
      <c r="R436" s="322"/>
      <c r="S436" s="322"/>
      <c r="T436" s="322"/>
      <c r="U436" s="322"/>
      <c r="V436" s="322"/>
      <c r="W436" s="322"/>
      <c r="X436" s="322"/>
      <c r="Y436" s="322"/>
      <c r="Z436" s="322"/>
    </row>
    <row r="437" ht="12.75" customHeight="1">
      <c r="A437" s="322"/>
      <c r="B437" s="322"/>
      <c r="C437" s="323"/>
      <c r="D437" s="324"/>
      <c r="E437" s="323"/>
      <c r="F437" s="324"/>
      <c r="G437" s="322"/>
      <c r="H437" s="322"/>
      <c r="I437" s="322"/>
      <c r="J437" s="322"/>
      <c r="K437" s="322"/>
      <c r="L437" s="322"/>
      <c r="M437" s="322"/>
      <c r="N437" s="322"/>
      <c r="O437" s="322"/>
      <c r="P437" s="322"/>
      <c r="Q437" s="322"/>
      <c r="R437" s="322"/>
      <c r="S437" s="322"/>
      <c r="T437" s="322"/>
      <c r="U437" s="322"/>
      <c r="V437" s="322"/>
      <c r="W437" s="322"/>
      <c r="X437" s="322"/>
      <c r="Y437" s="322"/>
      <c r="Z437" s="322"/>
    </row>
    <row r="438" ht="12.75" customHeight="1">
      <c r="A438" s="322"/>
      <c r="B438" s="322"/>
      <c r="C438" s="323"/>
      <c r="D438" s="324"/>
      <c r="E438" s="323"/>
      <c r="F438" s="324"/>
      <c r="G438" s="322"/>
      <c r="H438" s="322"/>
      <c r="I438" s="322"/>
      <c r="J438" s="322"/>
      <c r="K438" s="322"/>
      <c r="L438" s="322"/>
      <c r="M438" s="322"/>
      <c r="N438" s="322"/>
      <c r="O438" s="322"/>
      <c r="P438" s="322"/>
      <c r="Q438" s="322"/>
      <c r="R438" s="322"/>
      <c r="S438" s="322"/>
      <c r="T438" s="322"/>
      <c r="U438" s="322"/>
      <c r="V438" s="322"/>
      <c r="W438" s="322"/>
      <c r="X438" s="322"/>
      <c r="Y438" s="322"/>
      <c r="Z438" s="322"/>
    </row>
    <row r="439" ht="12.75" customHeight="1">
      <c r="A439" s="322"/>
      <c r="B439" s="322"/>
      <c r="C439" s="323"/>
      <c r="D439" s="324"/>
      <c r="E439" s="323"/>
      <c r="F439" s="324"/>
      <c r="G439" s="322"/>
      <c r="H439" s="322"/>
      <c r="I439" s="322"/>
      <c r="J439" s="322"/>
      <c r="K439" s="322"/>
      <c r="L439" s="322"/>
      <c r="M439" s="322"/>
      <c r="N439" s="322"/>
      <c r="O439" s="322"/>
      <c r="P439" s="322"/>
      <c r="Q439" s="322"/>
      <c r="R439" s="322"/>
      <c r="S439" s="322"/>
      <c r="T439" s="322"/>
      <c r="U439" s="322"/>
      <c r="V439" s="322"/>
      <c r="W439" s="322"/>
      <c r="X439" s="322"/>
      <c r="Y439" s="322"/>
      <c r="Z439" s="322"/>
    </row>
    <row r="440" ht="12.75" customHeight="1">
      <c r="A440" s="322"/>
      <c r="B440" s="322"/>
      <c r="C440" s="323"/>
      <c r="D440" s="324"/>
      <c r="E440" s="323"/>
      <c r="F440" s="324"/>
      <c r="G440" s="322"/>
      <c r="H440" s="322"/>
      <c r="I440" s="322"/>
      <c r="J440" s="322"/>
      <c r="K440" s="322"/>
      <c r="L440" s="322"/>
      <c r="M440" s="322"/>
      <c r="N440" s="322"/>
      <c r="O440" s="322"/>
      <c r="P440" s="322"/>
      <c r="Q440" s="322"/>
      <c r="R440" s="322"/>
      <c r="S440" s="322"/>
      <c r="T440" s="322"/>
      <c r="U440" s="322"/>
      <c r="V440" s="322"/>
      <c r="W440" s="322"/>
      <c r="X440" s="322"/>
      <c r="Y440" s="322"/>
      <c r="Z440" s="322"/>
    </row>
    <row r="441" ht="12.75" customHeight="1">
      <c r="A441" s="322"/>
      <c r="B441" s="322"/>
      <c r="C441" s="323"/>
      <c r="D441" s="324"/>
      <c r="E441" s="323"/>
      <c r="F441" s="324"/>
      <c r="G441" s="322"/>
      <c r="H441" s="322"/>
      <c r="I441" s="322"/>
      <c r="J441" s="322"/>
      <c r="K441" s="322"/>
      <c r="L441" s="322"/>
      <c r="M441" s="322"/>
      <c r="N441" s="322"/>
      <c r="O441" s="322"/>
      <c r="P441" s="322"/>
      <c r="Q441" s="322"/>
      <c r="R441" s="322"/>
      <c r="S441" s="322"/>
      <c r="T441" s="322"/>
      <c r="U441" s="322"/>
      <c r="V441" s="322"/>
      <c r="W441" s="322"/>
      <c r="X441" s="322"/>
      <c r="Y441" s="322"/>
      <c r="Z441" s="322"/>
    </row>
    <row r="442" ht="12.75" customHeight="1">
      <c r="A442" s="322"/>
      <c r="B442" s="322"/>
      <c r="C442" s="323"/>
      <c r="D442" s="324"/>
      <c r="E442" s="323"/>
      <c r="F442" s="324"/>
      <c r="G442" s="322"/>
      <c r="H442" s="322"/>
      <c r="I442" s="322"/>
      <c r="J442" s="322"/>
      <c r="K442" s="322"/>
      <c r="L442" s="322"/>
      <c r="M442" s="322"/>
      <c r="N442" s="322"/>
      <c r="O442" s="322"/>
      <c r="P442" s="322"/>
      <c r="Q442" s="322"/>
      <c r="R442" s="322"/>
      <c r="S442" s="322"/>
      <c r="T442" s="322"/>
      <c r="U442" s="322"/>
      <c r="V442" s="322"/>
      <c r="W442" s="322"/>
      <c r="X442" s="322"/>
      <c r="Y442" s="322"/>
      <c r="Z442" s="322"/>
    </row>
    <row r="443" ht="12.75" customHeight="1">
      <c r="A443" s="322"/>
      <c r="B443" s="322"/>
      <c r="C443" s="323"/>
      <c r="D443" s="324"/>
      <c r="E443" s="323"/>
      <c r="F443" s="324"/>
      <c r="G443" s="322"/>
      <c r="H443" s="322"/>
      <c r="I443" s="322"/>
      <c r="J443" s="322"/>
      <c r="K443" s="322"/>
      <c r="L443" s="322"/>
      <c r="M443" s="322"/>
      <c r="N443" s="322"/>
      <c r="O443" s="322"/>
      <c r="P443" s="322"/>
      <c r="Q443" s="322"/>
      <c r="R443" s="322"/>
      <c r="S443" s="322"/>
      <c r="T443" s="322"/>
      <c r="U443" s="322"/>
      <c r="V443" s="322"/>
      <c r="W443" s="322"/>
      <c r="X443" s="322"/>
      <c r="Y443" s="322"/>
      <c r="Z443" s="322"/>
    </row>
    <row r="444" ht="12.75" customHeight="1">
      <c r="A444" s="322"/>
      <c r="B444" s="322"/>
      <c r="C444" s="323"/>
      <c r="D444" s="324"/>
      <c r="E444" s="323"/>
      <c r="F444" s="324"/>
      <c r="G444" s="322"/>
      <c r="H444" s="322"/>
      <c r="I444" s="322"/>
      <c r="J444" s="322"/>
      <c r="K444" s="322"/>
      <c r="L444" s="322"/>
      <c r="M444" s="322"/>
      <c r="N444" s="322"/>
      <c r="O444" s="322"/>
      <c r="P444" s="322"/>
      <c r="Q444" s="322"/>
      <c r="R444" s="322"/>
      <c r="S444" s="322"/>
      <c r="T444" s="322"/>
      <c r="U444" s="322"/>
      <c r="V444" s="322"/>
      <c r="W444" s="322"/>
      <c r="X444" s="322"/>
      <c r="Y444" s="322"/>
      <c r="Z444" s="322"/>
    </row>
    <row r="445" ht="12.75" customHeight="1">
      <c r="A445" s="322"/>
      <c r="B445" s="322"/>
      <c r="C445" s="323"/>
      <c r="D445" s="324"/>
      <c r="E445" s="323"/>
      <c r="F445" s="324"/>
      <c r="G445" s="322"/>
      <c r="H445" s="322"/>
      <c r="I445" s="322"/>
      <c r="J445" s="322"/>
      <c r="K445" s="322"/>
      <c r="L445" s="322"/>
      <c r="M445" s="322"/>
      <c r="N445" s="322"/>
      <c r="O445" s="322"/>
      <c r="P445" s="322"/>
      <c r="Q445" s="322"/>
      <c r="R445" s="322"/>
      <c r="S445" s="322"/>
      <c r="T445" s="322"/>
      <c r="U445" s="322"/>
      <c r="V445" s="322"/>
      <c r="W445" s="322"/>
      <c r="X445" s="322"/>
      <c r="Y445" s="322"/>
      <c r="Z445" s="322"/>
    </row>
    <row r="446" ht="12.75" customHeight="1">
      <c r="A446" s="322"/>
      <c r="B446" s="322"/>
      <c r="C446" s="323"/>
      <c r="D446" s="324"/>
      <c r="E446" s="323"/>
      <c r="F446" s="324"/>
      <c r="G446" s="322"/>
      <c r="H446" s="322"/>
      <c r="I446" s="322"/>
      <c r="J446" s="322"/>
      <c r="K446" s="322"/>
      <c r="L446" s="322"/>
      <c r="M446" s="322"/>
      <c r="N446" s="322"/>
      <c r="O446" s="322"/>
      <c r="P446" s="322"/>
      <c r="Q446" s="322"/>
      <c r="R446" s="322"/>
      <c r="S446" s="322"/>
      <c r="T446" s="322"/>
      <c r="U446" s="322"/>
      <c r="V446" s="322"/>
      <c r="W446" s="322"/>
      <c r="X446" s="322"/>
      <c r="Y446" s="322"/>
      <c r="Z446" s="322"/>
    </row>
    <row r="447" ht="12.75" customHeight="1">
      <c r="A447" s="322"/>
      <c r="B447" s="322"/>
      <c r="C447" s="323"/>
      <c r="D447" s="324"/>
      <c r="E447" s="323"/>
      <c r="F447" s="324"/>
      <c r="G447" s="322"/>
      <c r="H447" s="322"/>
      <c r="I447" s="322"/>
      <c r="J447" s="322"/>
      <c r="K447" s="322"/>
      <c r="L447" s="322"/>
      <c r="M447" s="322"/>
      <c r="N447" s="322"/>
      <c r="O447" s="322"/>
      <c r="P447" s="322"/>
      <c r="Q447" s="322"/>
      <c r="R447" s="322"/>
      <c r="S447" s="322"/>
      <c r="T447" s="322"/>
      <c r="U447" s="322"/>
      <c r="V447" s="322"/>
      <c r="W447" s="322"/>
      <c r="X447" s="322"/>
      <c r="Y447" s="322"/>
      <c r="Z447" s="322"/>
    </row>
    <row r="448" ht="12.75" customHeight="1">
      <c r="A448" s="322"/>
      <c r="B448" s="322"/>
      <c r="C448" s="323"/>
      <c r="D448" s="324"/>
      <c r="E448" s="323"/>
      <c r="F448" s="324"/>
      <c r="G448" s="322"/>
      <c r="H448" s="322"/>
      <c r="I448" s="322"/>
      <c r="J448" s="322"/>
      <c r="K448" s="322"/>
      <c r="L448" s="322"/>
      <c r="M448" s="322"/>
      <c r="N448" s="322"/>
      <c r="O448" s="322"/>
      <c r="P448" s="322"/>
      <c r="Q448" s="322"/>
      <c r="R448" s="322"/>
      <c r="S448" s="322"/>
      <c r="T448" s="322"/>
      <c r="U448" s="322"/>
      <c r="V448" s="322"/>
      <c r="W448" s="322"/>
      <c r="X448" s="322"/>
      <c r="Y448" s="322"/>
      <c r="Z448" s="322"/>
    </row>
    <row r="449" ht="12.75" customHeight="1">
      <c r="A449" s="322"/>
      <c r="B449" s="322"/>
      <c r="C449" s="323"/>
      <c r="D449" s="324"/>
      <c r="E449" s="323"/>
      <c r="F449" s="324"/>
      <c r="G449" s="322"/>
      <c r="H449" s="322"/>
      <c r="I449" s="322"/>
      <c r="J449" s="322"/>
      <c r="K449" s="322"/>
      <c r="L449" s="322"/>
      <c r="M449" s="322"/>
      <c r="N449" s="322"/>
      <c r="O449" s="322"/>
      <c r="P449" s="322"/>
      <c r="Q449" s="322"/>
      <c r="R449" s="322"/>
      <c r="S449" s="322"/>
      <c r="T449" s="322"/>
      <c r="U449" s="322"/>
      <c r="V449" s="322"/>
      <c r="W449" s="322"/>
      <c r="X449" s="322"/>
      <c r="Y449" s="322"/>
      <c r="Z449" s="322"/>
    </row>
    <row r="450" ht="12.75" customHeight="1">
      <c r="A450" s="322"/>
      <c r="B450" s="322"/>
      <c r="C450" s="323"/>
      <c r="D450" s="324"/>
      <c r="E450" s="323"/>
      <c r="F450" s="324"/>
      <c r="G450" s="322"/>
      <c r="H450" s="322"/>
      <c r="I450" s="322"/>
      <c r="J450" s="322"/>
      <c r="K450" s="322"/>
      <c r="L450" s="322"/>
      <c r="M450" s="322"/>
      <c r="N450" s="322"/>
      <c r="O450" s="322"/>
      <c r="P450" s="322"/>
      <c r="Q450" s="322"/>
      <c r="R450" s="322"/>
      <c r="S450" s="322"/>
      <c r="T450" s="322"/>
      <c r="U450" s="322"/>
      <c r="V450" s="322"/>
      <c r="W450" s="322"/>
      <c r="X450" s="322"/>
      <c r="Y450" s="322"/>
      <c r="Z450" s="322"/>
    </row>
    <row r="451" ht="12.75" customHeight="1">
      <c r="A451" s="322"/>
      <c r="B451" s="322"/>
      <c r="C451" s="323"/>
      <c r="D451" s="324"/>
      <c r="E451" s="323"/>
      <c r="F451" s="324"/>
      <c r="G451" s="322"/>
      <c r="H451" s="322"/>
      <c r="I451" s="322"/>
      <c r="J451" s="322"/>
      <c r="K451" s="322"/>
      <c r="L451" s="322"/>
      <c r="M451" s="322"/>
      <c r="N451" s="322"/>
      <c r="O451" s="322"/>
      <c r="P451" s="322"/>
      <c r="Q451" s="322"/>
      <c r="R451" s="322"/>
      <c r="S451" s="322"/>
      <c r="T451" s="322"/>
      <c r="U451" s="322"/>
      <c r="V451" s="322"/>
      <c r="W451" s="322"/>
      <c r="X451" s="322"/>
      <c r="Y451" s="322"/>
      <c r="Z451" s="322"/>
    </row>
    <row r="452" ht="12.75" customHeight="1">
      <c r="A452" s="322"/>
      <c r="B452" s="322"/>
      <c r="C452" s="323"/>
      <c r="D452" s="324"/>
      <c r="E452" s="323"/>
      <c r="F452" s="324"/>
      <c r="G452" s="322"/>
      <c r="H452" s="322"/>
      <c r="I452" s="322"/>
      <c r="J452" s="322"/>
      <c r="K452" s="322"/>
      <c r="L452" s="322"/>
      <c r="M452" s="322"/>
      <c r="N452" s="322"/>
      <c r="O452" s="322"/>
      <c r="P452" s="322"/>
      <c r="Q452" s="322"/>
      <c r="R452" s="322"/>
      <c r="S452" s="322"/>
      <c r="T452" s="322"/>
      <c r="U452" s="322"/>
      <c r="V452" s="322"/>
      <c r="W452" s="322"/>
      <c r="X452" s="322"/>
      <c r="Y452" s="322"/>
      <c r="Z452" s="322"/>
    </row>
    <row r="453" ht="12.75" customHeight="1">
      <c r="A453" s="322"/>
      <c r="B453" s="322"/>
      <c r="C453" s="323"/>
      <c r="D453" s="324"/>
      <c r="E453" s="323"/>
      <c r="F453" s="324"/>
      <c r="G453" s="322"/>
      <c r="H453" s="322"/>
      <c r="I453" s="322"/>
      <c r="J453" s="322"/>
      <c r="K453" s="322"/>
      <c r="L453" s="322"/>
      <c r="M453" s="322"/>
      <c r="N453" s="322"/>
      <c r="O453" s="322"/>
      <c r="P453" s="322"/>
      <c r="Q453" s="322"/>
      <c r="R453" s="322"/>
      <c r="S453" s="322"/>
      <c r="T453" s="322"/>
      <c r="U453" s="322"/>
      <c r="V453" s="322"/>
      <c r="W453" s="322"/>
      <c r="X453" s="322"/>
      <c r="Y453" s="322"/>
      <c r="Z453" s="322"/>
    </row>
    <row r="454" ht="12.75" customHeight="1">
      <c r="A454" s="322"/>
      <c r="B454" s="322"/>
      <c r="C454" s="323"/>
      <c r="D454" s="324"/>
      <c r="E454" s="323"/>
      <c r="F454" s="324"/>
      <c r="G454" s="322"/>
      <c r="H454" s="322"/>
      <c r="I454" s="322"/>
      <c r="J454" s="322"/>
      <c r="K454" s="322"/>
      <c r="L454" s="322"/>
      <c r="M454" s="322"/>
      <c r="N454" s="322"/>
      <c r="O454" s="322"/>
      <c r="P454" s="322"/>
      <c r="Q454" s="322"/>
      <c r="R454" s="322"/>
      <c r="S454" s="322"/>
      <c r="T454" s="322"/>
      <c r="U454" s="322"/>
      <c r="V454" s="322"/>
      <c r="W454" s="322"/>
      <c r="X454" s="322"/>
      <c r="Y454" s="322"/>
      <c r="Z454" s="322"/>
    </row>
    <row r="455" ht="12.75" customHeight="1">
      <c r="A455" s="322"/>
      <c r="B455" s="322"/>
      <c r="C455" s="323"/>
      <c r="D455" s="324"/>
      <c r="E455" s="323"/>
      <c r="F455" s="324"/>
      <c r="G455" s="322"/>
      <c r="H455" s="322"/>
      <c r="I455" s="322"/>
      <c r="J455" s="322"/>
      <c r="K455" s="322"/>
      <c r="L455" s="322"/>
      <c r="M455" s="322"/>
      <c r="N455" s="322"/>
      <c r="O455" s="322"/>
      <c r="P455" s="322"/>
      <c r="Q455" s="322"/>
      <c r="R455" s="322"/>
      <c r="S455" s="322"/>
      <c r="T455" s="322"/>
      <c r="U455" s="322"/>
      <c r="V455" s="322"/>
      <c r="W455" s="322"/>
      <c r="X455" s="322"/>
      <c r="Y455" s="322"/>
      <c r="Z455" s="322"/>
    </row>
    <row r="456" ht="12.75" customHeight="1">
      <c r="A456" s="322"/>
      <c r="B456" s="322"/>
      <c r="C456" s="323"/>
      <c r="D456" s="324"/>
      <c r="E456" s="323"/>
      <c r="F456" s="324"/>
      <c r="G456" s="322"/>
      <c r="H456" s="322"/>
      <c r="I456" s="322"/>
      <c r="J456" s="322"/>
      <c r="K456" s="322"/>
      <c r="L456" s="322"/>
      <c r="M456" s="322"/>
      <c r="N456" s="322"/>
      <c r="O456" s="322"/>
      <c r="P456" s="322"/>
      <c r="Q456" s="322"/>
      <c r="R456" s="322"/>
      <c r="S456" s="322"/>
      <c r="T456" s="322"/>
      <c r="U456" s="322"/>
      <c r="V456" s="322"/>
      <c r="W456" s="322"/>
      <c r="X456" s="322"/>
      <c r="Y456" s="322"/>
      <c r="Z456" s="322"/>
    </row>
    <row r="457" ht="12.75" customHeight="1">
      <c r="A457" s="322"/>
      <c r="B457" s="322"/>
      <c r="C457" s="323"/>
      <c r="D457" s="324"/>
      <c r="E457" s="323"/>
      <c r="F457" s="324"/>
      <c r="G457" s="322"/>
      <c r="H457" s="322"/>
      <c r="I457" s="322"/>
      <c r="J457" s="322"/>
      <c r="K457" s="322"/>
      <c r="L457" s="322"/>
      <c r="M457" s="322"/>
      <c r="N457" s="322"/>
      <c r="O457" s="322"/>
      <c r="P457" s="322"/>
      <c r="Q457" s="322"/>
      <c r="R457" s="322"/>
      <c r="S457" s="322"/>
      <c r="T457" s="322"/>
      <c r="U457" s="322"/>
      <c r="V457" s="322"/>
      <c r="W457" s="322"/>
      <c r="X457" s="322"/>
      <c r="Y457" s="322"/>
      <c r="Z457" s="322"/>
    </row>
    <row r="458" ht="12.75" customHeight="1">
      <c r="A458" s="322"/>
      <c r="B458" s="322"/>
      <c r="C458" s="323"/>
      <c r="D458" s="324"/>
      <c r="E458" s="323"/>
      <c r="F458" s="324"/>
      <c r="G458" s="322"/>
      <c r="H458" s="322"/>
      <c r="I458" s="322"/>
      <c r="J458" s="322"/>
      <c r="K458" s="322"/>
      <c r="L458" s="322"/>
      <c r="M458" s="322"/>
      <c r="N458" s="322"/>
      <c r="O458" s="322"/>
      <c r="P458" s="322"/>
      <c r="Q458" s="322"/>
      <c r="R458" s="322"/>
      <c r="S458" s="322"/>
      <c r="T458" s="322"/>
      <c r="U458" s="322"/>
      <c r="V458" s="322"/>
      <c r="W458" s="322"/>
      <c r="X458" s="322"/>
      <c r="Y458" s="322"/>
      <c r="Z458" s="322"/>
    </row>
    <row r="459" ht="12.75" customHeight="1">
      <c r="A459" s="322"/>
      <c r="B459" s="322"/>
      <c r="C459" s="323"/>
      <c r="D459" s="324"/>
      <c r="E459" s="323"/>
      <c r="F459" s="324"/>
      <c r="G459" s="322"/>
      <c r="H459" s="322"/>
      <c r="I459" s="322"/>
      <c r="J459" s="322"/>
      <c r="K459" s="322"/>
      <c r="L459" s="322"/>
      <c r="M459" s="322"/>
      <c r="N459" s="322"/>
      <c r="O459" s="322"/>
      <c r="P459" s="322"/>
      <c r="Q459" s="322"/>
      <c r="R459" s="322"/>
      <c r="S459" s="322"/>
      <c r="T459" s="322"/>
      <c r="U459" s="322"/>
      <c r="V459" s="322"/>
      <c r="W459" s="322"/>
      <c r="X459" s="322"/>
      <c r="Y459" s="322"/>
      <c r="Z459" s="322"/>
    </row>
    <row r="460" ht="12.75" customHeight="1">
      <c r="A460" s="322"/>
      <c r="B460" s="322"/>
      <c r="C460" s="323"/>
      <c r="D460" s="324"/>
      <c r="E460" s="323"/>
      <c r="F460" s="324"/>
      <c r="G460" s="322"/>
      <c r="H460" s="322"/>
      <c r="I460" s="322"/>
      <c r="J460" s="322"/>
      <c r="K460" s="322"/>
      <c r="L460" s="322"/>
      <c r="M460" s="322"/>
      <c r="N460" s="322"/>
      <c r="O460" s="322"/>
      <c r="P460" s="322"/>
      <c r="Q460" s="322"/>
      <c r="R460" s="322"/>
      <c r="S460" s="322"/>
      <c r="T460" s="322"/>
      <c r="U460" s="322"/>
      <c r="V460" s="322"/>
      <c r="W460" s="322"/>
      <c r="X460" s="322"/>
      <c r="Y460" s="322"/>
      <c r="Z460" s="322"/>
    </row>
    <row r="461" ht="12.75" customHeight="1">
      <c r="A461" s="322"/>
      <c r="B461" s="322"/>
      <c r="C461" s="323"/>
      <c r="D461" s="324"/>
      <c r="E461" s="323"/>
      <c r="F461" s="324"/>
      <c r="G461" s="322"/>
      <c r="H461" s="322"/>
      <c r="I461" s="322"/>
      <c r="J461" s="322"/>
      <c r="K461" s="322"/>
      <c r="L461" s="322"/>
      <c r="M461" s="322"/>
      <c r="N461" s="322"/>
      <c r="O461" s="322"/>
      <c r="P461" s="322"/>
      <c r="Q461" s="322"/>
      <c r="R461" s="322"/>
      <c r="S461" s="322"/>
      <c r="T461" s="322"/>
      <c r="U461" s="322"/>
      <c r="V461" s="322"/>
      <c r="W461" s="322"/>
      <c r="X461" s="322"/>
      <c r="Y461" s="322"/>
      <c r="Z461" s="322"/>
    </row>
    <row r="462" ht="12.75" customHeight="1">
      <c r="A462" s="322"/>
      <c r="B462" s="322"/>
      <c r="C462" s="323"/>
      <c r="D462" s="324"/>
      <c r="E462" s="323"/>
      <c r="F462" s="324"/>
      <c r="G462" s="322"/>
      <c r="H462" s="322"/>
      <c r="I462" s="322"/>
      <c r="J462" s="322"/>
      <c r="K462" s="322"/>
      <c r="L462" s="322"/>
      <c r="M462" s="322"/>
      <c r="N462" s="322"/>
      <c r="O462" s="322"/>
      <c r="P462" s="322"/>
      <c r="Q462" s="322"/>
      <c r="R462" s="322"/>
      <c r="S462" s="322"/>
      <c r="T462" s="322"/>
      <c r="U462" s="322"/>
      <c r="V462" s="322"/>
      <c r="W462" s="322"/>
      <c r="X462" s="322"/>
      <c r="Y462" s="322"/>
      <c r="Z462" s="322"/>
    </row>
    <row r="463" ht="12.75" customHeight="1">
      <c r="A463" s="322"/>
      <c r="B463" s="322"/>
      <c r="C463" s="323"/>
      <c r="D463" s="324"/>
      <c r="E463" s="323"/>
      <c r="F463" s="324"/>
      <c r="G463" s="322"/>
      <c r="H463" s="322"/>
      <c r="I463" s="322"/>
      <c r="J463" s="322"/>
      <c r="K463" s="322"/>
      <c r="L463" s="322"/>
      <c r="M463" s="322"/>
      <c r="N463" s="322"/>
      <c r="O463" s="322"/>
      <c r="P463" s="322"/>
      <c r="Q463" s="322"/>
      <c r="R463" s="322"/>
      <c r="S463" s="322"/>
      <c r="T463" s="322"/>
      <c r="U463" s="322"/>
      <c r="V463" s="322"/>
      <c r="W463" s="322"/>
      <c r="X463" s="322"/>
      <c r="Y463" s="322"/>
      <c r="Z463" s="322"/>
    </row>
    <row r="464" ht="12.75" customHeight="1">
      <c r="A464" s="322"/>
      <c r="B464" s="322"/>
      <c r="C464" s="323"/>
      <c r="D464" s="324"/>
      <c r="E464" s="323"/>
      <c r="F464" s="324"/>
      <c r="G464" s="322"/>
      <c r="H464" s="322"/>
      <c r="I464" s="322"/>
      <c r="J464" s="322"/>
      <c r="K464" s="322"/>
      <c r="L464" s="322"/>
      <c r="M464" s="322"/>
      <c r="N464" s="322"/>
      <c r="O464" s="322"/>
      <c r="P464" s="322"/>
      <c r="Q464" s="322"/>
      <c r="R464" s="322"/>
      <c r="S464" s="322"/>
      <c r="T464" s="322"/>
      <c r="U464" s="322"/>
      <c r="V464" s="322"/>
      <c r="W464" s="322"/>
      <c r="X464" s="322"/>
      <c r="Y464" s="322"/>
      <c r="Z464" s="322"/>
    </row>
    <row r="465" ht="12.75" customHeight="1">
      <c r="A465" s="322"/>
      <c r="B465" s="322"/>
      <c r="C465" s="323"/>
      <c r="D465" s="324"/>
      <c r="E465" s="323"/>
      <c r="F465" s="324"/>
      <c r="G465" s="322"/>
      <c r="H465" s="322"/>
      <c r="I465" s="322"/>
      <c r="J465" s="322"/>
      <c r="K465" s="322"/>
      <c r="L465" s="322"/>
      <c r="M465" s="322"/>
      <c r="N465" s="322"/>
      <c r="O465" s="322"/>
      <c r="P465" s="322"/>
      <c r="Q465" s="322"/>
      <c r="R465" s="322"/>
      <c r="S465" s="322"/>
      <c r="T465" s="322"/>
      <c r="U465" s="322"/>
      <c r="V465" s="322"/>
      <c r="W465" s="322"/>
      <c r="X465" s="322"/>
      <c r="Y465" s="322"/>
      <c r="Z465" s="322"/>
    </row>
    <row r="466" ht="12.75" customHeight="1">
      <c r="A466" s="322"/>
      <c r="B466" s="322"/>
      <c r="C466" s="323"/>
      <c r="D466" s="324"/>
      <c r="E466" s="323"/>
      <c r="F466" s="324"/>
      <c r="G466" s="322"/>
      <c r="H466" s="322"/>
      <c r="I466" s="322"/>
      <c r="J466" s="322"/>
      <c r="K466" s="322"/>
      <c r="L466" s="322"/>
      <c r="M466" s="322"/>
      <c r="N466" s="322"/>
      <c r="O466" s="322"/>
      <c r="P466" s="322"/>
      <c r="Q466" s="322"/>
      <c r="R466" s="322"/>
      <c r="S466" s="322"/>
      <c r="T466" s="322"/>
      <c r="U466" s="322"/>
      <c r="V466" s="322"/>
      <c r="W466" s="322"/>
      <c r="X466" s="322"/>
      <c r="Y466" s="322"/>
      <c r="Z466" s="322"/>
    </row>
    <row r="467" ht="12.75" customHeight="1">
      <c r="A467" s="322"/>
      <c r="B467" s="322"/>
      <c r="C467" s="323"/>
      <c r="D467" s="324"/>
      <c r="E467" s="323"/>
      <c r="F467" s="324"/>
      <c r="G467" s="322"/>
      <c r="H467" s="322"/>
      <c r="I467" s="322"/>
      <c r="J467" s="322"/>
      <c r="K467" s="322"/>
      <c r="L467" s="322"/>
      <c r="M467" s="322"/>
      <c r="N467" s="322"/>
      <c r="O467" s="322"/>
      <c r="P467" s="322"/>
      <c r="Q467" s="322"/>
      <c r="R467" s="322"/>
      <c r="S467" s="322"/>
      <c r="T467" s="322"/>
      <c r="U467" s="322"/>
      <c r="V467" s="322"/>
      <c r="W467" s="322"/>
      <c r="X467" s="322"/>
      <c r="Y467" s="322"/>
      <c r="Z467" s="322"/>
    </row>
    <row r="468" ht="12.75" customHeight="1">
      <c r="A468" s="322"/>
      <c r="B468" s="322"/>
      <c r="C468" s="323"/>
      <c r="D468" s="324"/>
      <c r="E468" s="323"/>
      <c r="F468" s="324"/>
      <c r="G468" s="322"/>
      <c r="H468" s="322"/>
      <c r="I468" s="322"/>
      <c r="J468" s="322"/>
      <c r="K468" s="322"/>
      <c r="L468" s="322"/>
      <c r="M468" s="322"/>
      <c r="N468" s="322"/>
      <c r="O468" s="322"/>
      <c r="P468" s="322"/>
      <c r="Q468" s="322"/>
      <c r="R468" s="322"/>
      <c r="S468" s="322"/>
      <c r="T468" s="322"/>
      <c r="U468" s="322"/>
      <c r="V468" s="322"/>
      <c r="W468" s="322"/>
      <c r="X468" s="322"/>
      <c r="Y468" s="322"/>
      <c r="Z468" s="322"/>
    </row>
    <row r="469" ht="12.75" customHeight="1">
      <c r="A469" s="322"/>
      <c r="B469" s="322"/>
      <c r="C469" s="323"/>
      <c r="D469" s="324"/>
      <c r="E469" s="323"/>
      <c r="F469" s="324"/>
      <c r="G469" s="322"/>
      <c r="H469" s="322"/>
      <c r="I469" s="322"/>
      <c r="J469" s="322"/>
      <c r="K469" s="322"/>
      <c r="L469" s="322"/>
      <c r="M469" s="322"/>
      <c r="N469" s="322"/>
      <c r="O469" s="322"/>
      <c r="P469" s="322"/>
      <c r="Q469" s="322"/>
      <c r="R469" s="322"/>
      <c r="S469" s="322"/>
      <c r="T469" s="322"/>
      <c r="U469" s="322"/>
      <c r="V469" s="322"/>
      <c r="W469" s="322"/>
      <c r="X469" s="322"/>
      <c r="Y469" s="322"/>
      <c r="Z469" s="322"/>
    </row>
    <row r="470" ht="12.75" customHeight="1">
      <c r="A470" s="322"/>
      <c r="B470" s="322"/>
      <c r="C470" s="323"/>
      <c r="D470" s="324"/>
      <c r="E470" s="323"/>
      <c r="F470" s="324"/>
      <c r="G470" s="322"/>
      <c r="H470" s="322"/>
      <c r="I470" s="322"/>
      <c r="J470" s="322"/>
      <c r="K470" s="322"/>
      <c r="L470" s="322"/>
      <c r="M470" s="322"/>
      <c r="N470" s="322"/>
      <c r="O470" s="322"/>
      <c r="P470" s="322"/>
      <c r="Q470" s="322"/>
      <c r="R470" s="322"/>
      <c r="S470" s="322"/>
      <c r="T470" s="322"/>
      <c r="U470" s="322"/>
      <c r="V470" s="322"/>
      <c r="W470" s="322"/>
      <c r="X470" s="322"/>
      <c r="Y470" s="322"/>
      <c r="Z470" s="322"/>
    </row>
    <row r="471" ht="12.75" customHeight="1">
      <c r="A471" s="322"/>
      <c r="B471" s="322"/>
      <c r="C471" s="323"/>
      <c r="D471" s="324"/>
      <c r="E471" s="323"/>
      <c r="F471" s="324"/>
      <c r="G471" s="322"/>
      <c r="H471" s="322"/>
      <c r="I471" s="322"/>
      <c r="J471" s="322"/>
      <c r="K471" s="322"/>
      <c r="L471" s="322"/>
      <c r="M471" s="322"/>
      <c r="N471" s="322"/>
      <c r="O471" s="322"/>
      <c r="P471" s="322"/>
      <c r="Q471" s="322"/>
      <c r="R471" s="322"/>
      <c r="S471" s="322"/>
      <c r="T471" s="322"/>
      <c r="U471" s="322"/>
      <c r="V471" s="322"/>
      <c r="W471" s="322"/>
      <c r="X471" s="322"/>
      <c r="Y471" s="322"/>
      <c r="Z471" s="322"/>
    </row>
    <row r="472" ht="12.75" customHeight="1">
      <c r="A472" s="322"/>
      <c r="B472" s="322"/>
      <c r="C472" s="323"/>
      <c r="D472" s="324"/>
      <c r="E472" s="323"/>
      <c r="F472" s="324"/>
      <c r="G472" s="322"/>
      <c r="H472" s="322"/>
      <c r="I472" s="322"/>
      <c r="J472" s="322"/>
      <c r="K472" s="322"/>
      <c r="L472" s="322"/>
      <c r="M472" s="322"/>
      <c r="N472" s="322"/>
      <c r="O472" s="322"/>
      <c r="P472" s="322"/>
      <c r="Q472" s="322"/>
      <c r="R472" s="322"/>
      <c r="S472" s="322"/>
      <c r="T472" s="322"/>
      <c r="U472" s="322"/>
      <c r="V472" s="322"/>
      <c r="W472" s="322"/>
      <c r="X472" s="322"/>
      <c r="Y472" s="322"/>
      <c r="Z472" s="322"/>
    </row>
    <row r="473" ht="12.75" customHeight="1">
      <c r="A473" s="322"/>
      <c r="B473" s="322"/>
      <c r="C473" s="323"/>
      <c r="D473" s="324"/>
      <c r="E473" s="323"/>
      <c r="F473" s="324"/>
      <c r="G473" s="322"/>
      <c r="H473" s="322"/>
      <c r="I473" s="322"/>
      <c r="J473" s="322"/>
      <c r="K473" s="322"/>
      <c r="L473" s="322"/>
      <c r="M473" s="322"/>
      <c r="N473" s="322"/>
      <c r="O473" s="322"/>
      <c r="P473" s="322"/>
      <c r="Q473" s="322"/>
      <c r="R473" s="322"/>
      <c r="S473" s="322"/>
      <c r="T473" s="322"/>
      <c r="U473" s="322"/>
      <c r="V473" s="322"/>
      <c r="W473" s="322"/>
      <c r="X473" s="322"/>
      <c r="Y473" s="322"/>
      <c r="Z473" s="322"/>
    </row>
    <row r="474" ht="12.75" customHeight="1">
      <c r="A474" s="322"/>
      <c r="B474" s="322"/>
      <c r="C474" s="323"/>
      <c r="D474" s="324"/>
      <c r="E474" s="323"/>
      <c r="F474" s="324"/>
      <c r="G474" s="322"/>
      <c r="H474" s="322"/>
      <c r="I474" s="322"/>
      <c r="J474" s="322"/>
      <c r="K474" s="322"/>
      <c r="L474" s="322"/>
      <c r="M474" s="322"/>
      <c r="N474" s="322"/>
      <c r="O474" s="322"/>
      <c r="P474" s="322"/>
      <c r="Q474" s="322"/>
      <c r="R474" s="322"/>
      <c r="S474" s="322"/>
      <c r="T474" s="322"/>
      <c r="U474" s="322"/>
      <c r="V474" s="322"/>
      <c r="W474" s="322"/>
      <c r="X474" s="322"/>
      <c r="Y474" s="322"/>
      <c r="Z474" s="322"/>
    </row>
    <row r="475" ht="12.75" customHeight="1">
      <c r="A475" s="322"/>
      <c r="B475" s="322"/>
      <c r="C475" s="323"/>
      <c r="D475" s="324"/>
      <c r="E475" s="323"/>
      <c r="F475" s="324"/>
      <c r="G475" s="322"/>
      <c r="H475" s="322"/>
      <c r="I475" s="322"/>
      <c r="J475" s="322"/>
      <c r="K475" s="322"/>
      <c r="L475" s="322"/>
      <c r="M475" s="322"/>
      <c r="N475" s="322"/>
      <c r="O475" s="322"/>
      <c r="P475" s="322"/>
      <c r="Q475" s="322"/>
      <c r="R475" s="322"/>
      <c r="S475" s="322"/>
      <c r="T475" s="322"/>
      <c r="U475" s="322"/>
      <c r="V475" s="322"/>
      <c r="W475" s="322"/>
      <c r="X475" s="322"/>
      <c r="Y475" s="322"/>
      <c r="Z475" s="322"/>
    </row>
    <row r="476" ht="12.75" customHeight="1">
      <c r="A476" s="322"/>
      <c r="B476" s="322"/>
      <c r="C476" s="323"/>
      <c r="D476" s="324"/>
      <c r="E476" s="323"/>
      <c r="F476" s="324"/>
      <c r="G476" s="322"/>
      <c r="H476" s="322"/>
      <c r="I476" s="322"/>
      <c r="J476" s="322"/>
      <c r="K476" s="322"/>
      <c r="L476" s="322"/>
      <c r="M476" s="322"/>
      <c r="N476" s="322"/>
      <c r="O476" s="322"/>
      <c r="P476" s="322"/>
      <c r="Q476" s="322"/>
      <c r="R476" s="322"/>
      <c r="S476" s="322"/>
      <c r="T476" s="322"/>
      <c r="U476" s="322"/>
      <c r="V476" s="322"/>
      <c r="W476" s="322"/>
      <c r="X476" s="322"/>
      <c r="Y476" s="322"/>
      <c r="Z476" s="322"/>
    </row>
    <row r="477" ht="12.75" customHeight="1">
      <c r="A477" s="322"/>
      <c r="B477" s="322"/>
      <c r="C477" s="323"/>
      <c r="D477" s="324"/>
      <c r="E477" s="323"/>
      <c r="F477" s="324"/>
      <c r="G477" s="322"/>
      <c r="H477" s="322"/>
      <c r="I477" s="322"/>
      <c r="J477" s="322"/>
      <c r="K477" s="322"/>
      <c r="L477" s="322"/>
      <c r="M477" s="322"/>
      <c r="N477" s="322"/>
      <c r="O477" s="322"/>
      <c r="P477" s="322"/>
      <c r="Q477" s="322"/>
      <c r="R477" s="322"/>
      <c r="S477" s="322"/>
      <c r="T477" s="322"/>
      <c r="U477" s="322"/>
      <c r="V477" s="322"/>
      <c r="W477" s="322"/>
      <c r="X477" s="322"/>
      <c r="Y477" s="322"/>
      <c r="Z477" s="322"/>
    </row>
    <row r="478" ht="12.75" customHeight="1">
      <c r="A478" s="322"/>
      <c r="B478" s="322"/>
      <c r="C478" s="323"/>
      <c r="D478" s="324"/>
      <c r="E478" s="323"/>
      <c r="F478" s="324"/>
      <c r="G478" s="322"/>
      <c r="H478" s="322"/>
      <c r="I478" s="322"/>
      <c r="J478" s="322"/>
      <c r="K478" s="322"/>
      <c r="L478" s="322"/>
      <c r="M478" s="322"/>
      <c r="N478" s="322"/>
      <c r="O478" s="322"/>
      <c r="P478" s="322"/>
      <c r="Q478" s="322"/>
      <c r="R478" s="322"/>
      <c r="S478" s="322"/>
      <c r="T478" s="322"/>
      <c r="U478" s="322"/>
      <c r="V478" s="322"/>
      <c r="W478" s="322"/>
      <c r="X478" s="322"/>
      <c r="Y478" s="322"/>
      <c r="Z478" s="322"/>
    </row>
    <row r="479" ht="12.75" customHeight="1">
      <c r="A479" s="322"/>
      <c r="B479" s="322"/>
      <c r="C479" s="323"/>
      <c r="D479" s="324"/>
      <c r="E479" s="323"/>
      <c r="F479" s="324"/>
      <c r="G479" s="322"/>
      <c r="H479" s="322"/>
      <c r="I479" s="322"/>
      <c r="J479" s="322"/>
      <c r="K479" s="322"/>
      <c r="L479" s="322"/>
      <c r="M479" s="322"/>
      <c r="N479" s="322"/>
      <c r="O479" s="322"/>
      <c r="P479" s="322"/>
      <c r="Q479" s="322"/>
      <c r="R479" s="322"/>
      <c r="S479" s="322"/>
      <c r="T479" s="322"/>
      <c r="U479" s="322"/>
      <c r="V479" s="322"/>
      <c r="W479" s="322"/>
      <c r="X479" s="322"/>
      <c r="Y479" s="322"/>
      <c r="Z479" s="322"/>
    </row>
    <row r="480" ht="12.75" customHeight="1">
      <c r="A480" s="322"/>
      <c r="B480" s="322"/>
      <c r="C480" s="323"/>
      <c r="D480" s="324"/>
      <c r="E480" s="323"/>
      <c r="F480" s="324"/>
      <c r="G480" s="322"/>
      <c r="H480" s="322"/>
      <c r="I480" s="322"/>
      <c r="J480" s="322"/>
      <c r="K480" s="322"/>
      <c r="L480" s="322"/>
      <c r="M480" s="322"/>
      <c r="N480" s="322"/>
      <c r="O480" s="322"/>
      <c r="P480" s="322"/>
      <c r="Q480" s="322"/>
      <c r="R480" s="322"/>
      <c r="S480" s="322"/>
      <c r="T480" s="322"/>
      <c r="U480" s="322"/>
      <c r="V480" s="322"/>
      <c r="W480" s="322"/>
      <c r="X480" s="322"/>
      <c r="Y480" s="322"/>
      <c r="Z480" s="322"/>
    </row>
    <row r="481" ht="12.75" customHeight="1">
      <c r="A481" s="322"/>
      <c r="B481" s="322"/>
      <c r="C481" s="323"/>
      <c r="D481" s="324"/>
      <c r="E481" s="323"/>
      <c r="F481" s="324"/>
      <c r="G481" s="322"/>
      <c r="H481" s="322"/>
      <c r="I481" s="322"/>
      <c r="J481" s="322"/>
      <c r="K481" s="322"/>
      <c r="L481" s="322"/>
      <c r="M481" s="322"/>
      <c r="N481" s="322"/>
      <c r="O481" s="322"/>
      <c r="P481" s="322"/>
      <c r="Q481" s="322"/>
      <c r="R481" s="322"/>
      <c r="S481" s="322"/>
      <c r="T481" s="322"/>
      <c r="U481" s="322"/>
      <c r="V481" s="322"/>
      <c r="W481" s="322"/>
      <c r="X481" s="322"/>
      <c r="Y481" s="322"/>
      <c r="Z481" s="322"/>
    </row>
    <row r="482" ht="12.75" customHeight="1">
      <c r="A482" s="322"/>
      <c r="B482" s="322"/>
      <c r="C482" s="323"/>
      <c r="D482" s="324"/>
      <c r="E482" s="323"/>
      <c r="F482" s="324"/>
      <c r="G482" s="322"/>
      <c r="H482" s="322"/>
      <c r="I482" s="322"/>
      <c r="J482" s="322"/>
      <c r="K482" s="322"/>
      <c r="L482" s="322"/>
      <c r="M482" s="322"/>
      <c r="N482" s="322"/>
      <c r="O482" s="322"/>
      <c r="P482" s="322"/>
      <c r="Q482" s="322"/>
      <c r="R482" s="322"/>
      <c r="S482" s="322"/>
      <c r="T482" s="322"/>
      <c r="U482" s="322"/>
      <c r="V482" s="322"/>
      <c r="W482" s="322"/>
      <c r="X482" s="322"/>
      <c r="Y482" s="322"/>
      <c r="Z482" s="322"/>
    </row>
    <row r="483" ht="12.75" customHeight="1">
      <c r="A483" s="322"/>
      <c r="B483" s="322"/>
      <c r="C483" s="323"/>
      <c r="D483" s="324"/>
      <c r="E483" s="323"/>
      <c r="F483" s="324"/>
      <c r="G483" s="322"/>
      <c r="H483" s="322"/>
      <c r="I483" s="322"/>
      <c r="J483" s="322"/>
      <c r="K483" s="322"/>
      <c r="L483" s="322"/>
      <c r="M483" s="322"/>
      <c r="N483" s="322"/>
      <c r="O483" s="322"/>
      <c r="P483" s="322"/>
      <c r="Q483" s="322"/>
      <c r="R483" s="322"/>
      <c r="S483" s="322"/>
      <c r="T483" s="322"/>
      <c r="U483" s="322"/>
      <c r="V483" s="322"/>
      <c r="W483" s="322"/>
      <c r="X483" s="322"/>
      <c r="Y483" s="322"/>
      <c r="Z483" s="322"/>
    </row>
    <row r="484" ht="12.75" customHeight="1">
      <c r="A484" s="322"/>
      <c r="B484" s="322"/>
      <c r="C484" s="323"/>
      <c r="D484" s="324"/>
      <c r="E484" s="323"/>
      <c r="F484" s="324"/>
      <c r="G484" s="322"/>
      <c r="H484" s="322"/>
      <c r="I484" s="322"/>
      <c r="J484" s="322"/>
      <c r="K484" s="322"/>
      <c r="L484" s="322"/>
      <c r="M484" s="322"/>
      <c r="N484" s="322"/>
      <c r="O484" s="322"/>
      <c r="P484" s="322"/>
      <c r="Q484" s="322"/>
      <c r="R484" s="322"/>
      <c r="S484" s="322"/>
      <c r="T484" s="322"/>
      <c r="U484" s="322"/>
      <c r="V484" s="322"/>
      <c r="W484" s="322"/>
      <c r="X484" s="322"/>
      <c r="Y484" s="322"/>
      <c r="Z484" s="322"/>
    </row>
    <row r="485" ht="12.75" customHeight="1">
      <c r="A485" s="322"/>
      <c r="B485" s="322"/>
      <c r="C485" s="323"/>
      <c r="D485" s="324"/>
      <c r="E485" s="323"/>
      <c r="F485" s="324"/>
      <c r="G485" s="322"/>
      <c r="H485" s="322"/>
      <c r="I485" s="322"/>
      <c r="J485" s="322"/>
      <c r="K485" s="322"/>
      <c r="L485" s="322"/>
      <c r="M485" s="322"/>
      <c r="N485" s="322"/>
      <c r="O485" s="322"/>
      <c r="P485" s="322"/>
      <c r="Q485" s="322"/>
      <c r="R485" s="322"/>
      <c r="S485" s="322"/>
      <c r="T485" s="322"/>
      <c r="U485" s="322"/>
      <c r="V485" s="322"/>
      <c r="W485" s="322"/>
      <c r="X485" s="322"/>
      <c r="Y485" s="322"/>
      <c r="Z485" s="322"/>
    </row>
    <row r="486" ht="12.75" customHeight="1">
      <c r="A486" s="322"/>
      <c r="B486" s="322"/>
      <c r="C486" s="323"/>
      <c r="D486" s="324"/>
      <c r="E486" s="323"/>
      <c r="F486" s="324"/>
      <c r="G486" s="322"/>
      <c r="H486" s="322"/>
      <c r="I486" s="322"/>
      <c r="J486" s="322"/>
      <c r="K486" s="322"/>
      <c r="L486" s="322"/>
      <c r="M486" s="322"/>
      <c r="N486" s="322"/>
      <c r="O486" s="322"/>
      <c r="P486" s="322"/>
      <c r="Q486" s="322"/>
      <c r="R486" s="322"/>
      <c r="S486" s="322"/>
      <c r="T486" s="322"/>
      <c r="U486" s="322"/>
      <c r="V486" s="322"/>
      <c r="W486" s="322"/>
      <c r="X486" s="322"/>
      <c r="Y486" s="322"/>
      <c r="Z486" s="322"/>
    </row>
    <row r="487" ht="12.75" customHeight="1">
      <c r="A487" s="322"/>
      <c r="B487" s="322"/>
      <c r="C487" s="323"/>
      <c r="D487" s="324"/>
      <c r="E487" s="323"/>
      <c r="F487" s="324"/>
      <c r="G487" s="322"/>
      <c r="H487" s="322"/>
      <c r="I487" s="322"/>
      <c r="J487" s="322"/>
      <c r="K487" s="322"/>
      <c r="L487" s="322"/>
      <c r="M487" s="322"/>
      <c r="N487" s="322"/>
      <c r="O487" s="322"/>
      <c r="P487" s="322"/>
      <c r="Q487" s="322"/>
      <c r="R487" s="322"/>
      <c r="S487" s="322"/>
      <c r="T487" s="322"/>
      <c r="U487" s="322"/>
      <c r="V487" s="322"/>
      <c r="W487" s="322"/>
      <c r="X487" s="322"/>
      <c r="Y487" s="322"/>
      <c r="Z487" s="322"/>
    </row>
    <row r="488" ht="12.75" customHeight="1">
      <c r="A488" s="322"/>
      <c r="B488" s="322"/>
      <c r="C488" s="323"/>
      <c r="D488" s="324"/>
      <c r="E488" s="323"/>
      <c r="F488" s="324"/>
      <c r="G488" s="322"/>
      <c r="H488" s="322"/>
      <c r="I488" s="322"/>
      <c r="J488" s="322"/>
      <c r="K488" s="322"/>
      <c r="L488" s="322"/>
      <c r="M488" s="322"/>
      <c r="N488" s="322"/>
      <c r="O488" s="322"/>
      <c r="P488" s="322"/>
      <c r="Q488" s="322"/>
      <c r="R488" s="322"/>
      <c r="S488" s="322"/>
      <c r="T488" s="322"/>
      <c r="U488" s="322"/>
      <c r="V488" s="322"/>
      <c r="W488" s="322"/>
      <c r="X488" s="322"/>
      <c r="Y488" s="322"/>
      <c r="Z488" s="322"/>
    </row>
    <row r="489" ht="12.75" customHeight="1">
      <c r="A489" s="322"/>
      <c r="B489" s="322"/>
      <c r="C489" s="323"/>
      <c r="D489" s="324"/>
      <c r="E489" s="323"/>
      <c r="F489" s="324"/>
      <c r="G489" s="322"/>
      <c r="H489" s="322"/>
      <c r="I489" s="322"/>
      <c r="J489" s="322"/>
      <c r="K489" s="322"/>
      <c r="L489" s="322"/>
      <c r="M489" s="322"/>
      <c r="N489" s="322"/>
      <c r="O489" s="322"/>
      <c r="P489" s="322"/>
      <c r="Q489" s="322"/>
      <c r="R489" s="322"/>
      <c r="S489" s="322"/>
      <c r="T489" s="322"/>
      <c r="U489" s="322"/>
      <c r="V489" s="322"/>
      <c r="W489" s="322"/>
      <c r="X489" s="322"/>
      <c r="Y489" s="322"/>
      <c r="Z489" s="322"/>
    </row>
    <row r="490" ht="12.75" customHeight="1">
      <c r="A490" s="322"/>
      <c r="B490" s="322"/>
      <c r="C490" s="323"/>
      <c r="D490" s="324"/>
      <c r="E490" s="323"/>
      <c r="F490" s="324"/>
      <c r="G490" s="322"/>
      <c r="H490" s="322"/>
      <c r="I490" s="322"/>
      <c r="J490" s="322"/>
      <c r="K490" s="322"/>
      <c r="L490" s="322"/>
      <c r="M490" s="322"/>
      <c r="N490" s="322"/>
      <c r="O490" s="322"/>
      <c r="P490" s="322"/>
      <c r="Q490" s="322"/>
      <c r="R490" s="322"/>
      <c r="S490" s="322"/>
      <c r="T490" s="322"/>
      <c r="U490" s="322"/>
      <c r="V490" s="322"/>
      <c r="W490" s="322"/>
      <c r="X490" s="322"/>
      <c r="Y490" s="322"/>
      <c r="Z490" s="322"/>
    </row>
    <row r="491" ht="12.75" customHeight="1">
      <c r="A491" s="322"/>
      <c r="B491" s="322"/>
      <c r="C491" s="323"/>
      <c r="D491" s="324"/>
      <c r="E491" s="323"/>
      <c r="F491" s="324"/>
      <c r="G491" s="322"/>
      <c r="H491" s="322"/>
      <c r="I491" s="322"/>
      <c r="J491" s="322"/>
      <c r="K491" s="322"/>
      <c r="L491" s="322"/>
      <c r="M491" s="322"/>
      <c r="N491" s="322"/>
      <c r="O491" s="322"/>
      <c r="P491" s="322"/>
      <c r="Q491" s="322"/>
      <c r="R491" s="322"/>
      <c r="S491" s="322"/>
      <c r="T491" s="322"/>
      <c r="U491" s="322"/>
      <c r="V491" s="322"/>
      <c r="W491" s="322"/>
      <c r="X491" s="322"/>
      <c r="Y491" s="322"/>
      <c r="Z491" s="322"/>
    </row>
    <row r="492" ht="12.75" customHeight="1">
      <c r="A492" s="322"/>
      <c r="B492" s="322"/>
      <c r="C492" s="323"/>
      <c r="D492" s="324"/>
      <c r="E492" s="323"/>
      <c r="F492" s="324"/>
      <c r="G492" s="322"/>
      <c r="H492" s="322"/>
      <c r="I492" s="322"/>
      <c r="J492" s="322"/>
      <c r="K492" s="322"/>
      <c r="L492" s="322"/>
      <c r="M492" s="322"/>
      <c r="N492" s="322"/>
      <c r="O492" s="322"/>
      <c r="P492" s="322"/>
      <c r="Q492" s="322"/>
      <c r="R492" s="322"/>
      <c r="S492" s="322"/>
      <c r="T492" s="322"/>
      <c r="U492" s="322"/>
      <c r="V492" s="322"/>
      <c r="W492" s="322"/>
      <c r="X492" s="322"/>
      <c r="Y492" s="322"/>
      <c r="Z492" s="322"/>
    </row>
    <row r="493" ht="12.75" customHeight="1">
      <c r="A493" s="322"/>
      <c r="B493" s="322"/>
      <c r="C493" s="323"/>
      <c r="D493" s="324"/>
      <c r="E493" s="323"/>
      <c r="F493" s="324"/>
      <c r="G493" s="322"/>
      <c r="H493" s="322"/>
      <c r="I493" s="322"/>
      <c r="J493" s="322"/>
      <c r="K493" s="322"/>
      <c r="L493" s="322"/>
      <c r="M493" s="322"/>
      <c r="N493" s="322"/>
      <c r="O493" s="322"/>
      <c r="P493" s="322"/>
      <c r="Q493" s="322"/>
      <c r="R493" s="322"/>
      <c r="S493" s="322"/>
      <c r="T493" s="322"/>
      <c r="U493" s="322"/>
      <c r="V493" s="322"/>
      <c r="W493" s="322"/>
      <c r="X493" s="322"/>
      <c r="Y493" s="322"/>
      <c r="Z493" s="322"/>
    </row>
    <row r="494" ht="12.75" customHeight="1">
      <c r="A494" s="322"/>
      <c r="B494" s="322"/>
      <c r="C494" s="323"/>
      <c r="D494" s="324"/>
      <c r="E494" s="323"/>
      <c r="F494" s="324"/>
      <c r="G494" s="322"/>
      <c r="H494" s="322"/>
      <c r="I494" s="322"/>
      <c r="J494" s="322"/>
      <c r="K494" s="322"/>
      <c r="L494" s="322"/>
      <c r="M494" s="322"/>
      <c r="N494" s="322"/>
      <c r="O494" s="322"/>
      <c r="P494" s="322"/>
      <c r="Q494" s="322"/>
      <c r="R494" s="322"/>
      <c r="S494" s="322"/>
      <c r="T494" s="322"/>
      <c r="U494" s="322"/>
      <c r="V494" s="322"/>
      <c r="W494" s="322"/>
      <c r="X494" s="322"/>
      <c r="Y494" s="322"/>
      <c r="Z494" s="322"/>
    </row>
    <row r="495" ht="12.75" customHeight="1">
      <c r="A495" s="322"/>
      <c r="B495" s="322"/>
      <c r="C495" s="323"/>
      <c r="D495" s="324"/>
      <c r="E495" s="323"/>
      <c r="F495" s="324"/>
      <c r="G495" s="322"/>
      <c r="H495" s="322"/>
      <c r="I495" s="322"/>
      <c r="J495" s="322"/>
      <c r="K495" s="322"/>
      <c r="L495" s="322"/>
      <c r="M495" s="322"/>
      <c r="N495" s="322"/>
      <c r="O495" s="322"/>
      <c r="P495" s="322"/>
      <c r="Q495" s="322"/>
      <c r="R495" s="322"/>
      <c r="S495" s="322"/>
      <c r="T495" s="322"/>
      <c r="U495" s="322"/>
      <c r="V495" s="322"/>
      <c r="W495" s="322"/>
      <c r="X495" s="322"/>
      <c r="Y495" s="322"/>
      <c r="Z495" s="322"/>
    </row>
    <row r="496" ht="12.75" customHeight="1">
      <c r="A496" s="322"/>
      <c r="B496" s="322"/>
      <c r="C496" s="323"/>
      <c r="D496" s="324"/>
      <c r="E496" s="323"/>
      <c r="F496" s="324"/>
      <c r="G496" s="322"/>
      <c r="H496" s="322"/>
      <c r="I496" s="322"/>
      <c r="J496" s="322"/>
      <c r="K496" s="322"/>
      <c r="L496" s="322"/>
      <c r="M496" s="322"/>
      <c r="N496" s="322"/>
      <c r="O496" s="322"/>
      <c r="P496" s="322"/>
      <c r="Q496" s="322"/>
      <c r="R496" s="322"/>
      <c r="S496" s="322"/>
      <c r="T496" s="322"/>
      <c r="U496" s="322"/>
      <c r="V496" s="322"/>
      <c r="W496" s="322"/>
      <c r="X496" s="322"/>
      <c r="Y496" s="322"/>
      <c r="Z496" s="322"/>
    </row>
    <row r="497" ht="12.75" customHeight="1">
      <c r="A497" s="322"/>
      <c r="B497" s="322"/>
      <c r="C497" s="323"/>
      <c r="D497" s="324"/>
      <c r="E497" s="323"/>
      <c r="F497" s="324"/>
      <c r="G497" s="322"/>
      <c r="H497" s="322"/>
      <c r="I497" s="322"/>
      <c r="J497" s="322"/>
      <c r="K497" s="322"/>
      <c r="L497" s="322"/>
      <c r="M497" s="322"/>
      <c r="N497" s="322"/>
      <c r="O497" s="322"/>
      <c r="P497" s="322"/>
      <c r="Q497" s="322"/>
      <c r="R497" s="322"/>
      <c r="S497" s="322"/>
      <c r="T497" s="322"/>
      <c r="U497" s="322"/>
      <c r="V497" s="322"/>
      <c r="W497" s="322"/>
      <c r="X497" s="322"/>
      <c r="Y497" s="322"/>
      <c r="Z497" s="322"/>
    </row>
    <row r="498" ht="12.75" customHeight="1">
      <c r="A498" s="322"/>
      <c r="B498" s="322"/>
      <c r="C498" s="323"/>
      <c r="D498" s="324"/>
      <c r="E498" s="323"/>
      <c r="F498" s="324"/>
      <c r="G498" s="322"/>
      <c r="H498" s="322"/>
      <c r="I498" s="322"/>
      <c r="J498" s="322"/>
      <c r="K498" s="322"/>
      <c r="L498" s="322"/>
      <c r="M498" s="322"/>
      <c r="N498" s="322"/>
      <c r="O498" s="322"/>
      <c r="P498" s="322"/>
      <c r="Q498" s="322"/>
      <c r="R498" s="322"/>
      <c r="S498" s="322"/>
      <c r="T498" s="322"/>
      <c r="U498" s="322"/>
      <c r="V498" s="322"/>
      <c r="W498" s="322"/>
      <c r="X498" s="322"/>
      <c r="Y498" s="322"/>
      <c r="Z498" s="322"/>
    </row>
    <row r="499" ht="12.75" customHeight="1">
      <c r="A499" s="322"/>
      <c r="B499" s="322"/>
      <c r="C499" s="323"/>
      <c r="D499" s="324"/>
      <c r="E499" s="323"/>
      <c r="F499" s="324"/>
      <c r="G499" s="322"/>
      <c r="H499" s="322"/>
      <c r="I499" s="322"/>
      <c r="J499" s="322"/>
      <c r="K499" s="322"/>
      <c r="L499" s="322"/>
      <c r="M499" s="322"/>
      <c r="N499" s="322"/>
      <c r="O499" s="322"/>
      <c r="P499" s="322"/>
      <c r="Q499" s="322"/>
      <c r="R499" s="322"/>
      <c r="S499" s="322"/>
      <c r="T499" s="322"/>
      <c r="U499" s="322"/>
      <c r="V499" s="322"/>
      <c r="W499" s="322"/>
      <c r="X499" s="322"/>
      <c r="Y499" s="322"/>
      <c r="Z499" s="322"/>
    </row>
    <row r="500" ht="12.75" customHeight="1">
      <c r="A500" s="322"/>
      <c r="B500" s="322"/>
      <c r="C500" s="323"/>
      <c r="D500" s="324"/>
      <c r="E500" s="323"/>
      <c r="F500" s="324"/>
      <c r="G500" s="322"/>
      <c r="H500" s="322"/>
      <c r="I500" s="322"/>
      <c r="J500" s="322"/>
      <c r="K500" s="322"/>
      <c r="L500" s="322"/>
      <c r="M500" s="322"/>
      <c r="N500" s="322"/>
      <c r="O500" s="322"/>
      <c r="P500" s="322"/>
      <c r="Q500" s="322"/>
      <c r="R500" s="322"/>
      <c r="S500" s="322"/>
      <c r="T500" s="322"/>
      <c r="U500" s="322"/>
      <c r="V500" s="322"/>
      <c r="W500" s="322"/>
      <c r="X500" s="322"/>
      <c r="Y500" s="322"/>
      <c r="Z500" s="322"/>
    </row>
    <row r="501" ht="12.75" customHeight="1">
      <c r="A501" s="322"/>
      <c r="B501" s="322"/>
      <c r="C501" s="323"/>
      <c r="D501" s="324"/>
      <c r="E501" s="323"/>
      <c r="F501" s="324"/>
      <c r="G501" s="322"/>
      <c r="H501" s="322"/>
      <c r="I501" s="322"/>
      <c r="J501" s="322"/>
      <c r="K501" s="322"/>
      <c r="L501" s="322"/>
      <c r="M501" s="322"/>
      <c r="N501" s="322"/>
      <c r="O501" s="322"/>
      <c r="P501" s="322"/>
      <c r="Q501" s="322"/>
      <c r="R501" s="322"/>
      <c r="S501" s="322"/>
      <c r="T501" s="322"/>
      <c r="U501" s="322"/>
      <c r="V501" s="322"/>
      <c r="W501" s="322"/>
      <c r="X501" s="322"/>
      <c r="Y501" s="322"/>
      <c r="Z501" s="322"/>
    </row>
    <row r="502" ht="12.75" customHeight="1">
      <c r="A502" s="322"/>
      <c r="B502" s="322"/>
      <c r="C502" s="323"/>
      <c r="D502" s="324"/>
      <c r="E502" s="323"/>
      <c r="F502" s="324"/>
      <c r="G502" s="322"/>
      <c r="H502" s="322"/>
      <c r="I502" s="322"/>
      <c r="J502" s="322"/>
      <c r="K502" s="322"/>
      <c r="L502" s="322"/>
      <c r="M502" s="322"/>
      <c r="N502" s="322"/>
      <c r="O502" s="322"/>
      <c r="P502" s="322"/>
      <c r="Q502" s="322"/>
      <c r="R502" s="322"/>
      <c r="S502" s="322"/>
      <c r="T502" s="322"/>
      <c r="U502" s="322"/>
      <c r="V502" s="322"/>
      <c r="W502" s="322"/>
      <c r="X502" s="322"/>
      <c r="Y502" s="322"/>
      <c r="Z502" s="322"/>
    </row>
    <row r="503" ht="12.75" customHeight="1">
      <c r="A503" s="322"/>
      <c r="B503" s="322"/>
      <c r="C503" s="323"/>
      <c r="D503" s="324"/>
      <c r="E503" s="323"/>
      <c r="F503" s="324"/>
      <c r="G503" s="322"/>
      <c r="H503" s="322"/>
      <c r="I503" s="322"/>
      <c r="J503" s="322"/>
      <c r="K503" s="322"/>
      <c r="L503" s="322"/>
      <c r="M503" s="322"/>
      <c r="N503" s="322"/>
      <c r="O503" s="322"/>
      <c r="P503" s="322"/>
      <c r="Q503" s="322"/>
      <c r="R503" s="322"/>
      <c r="S503" s="322"/>
      <c r="T503" s="322"/>
      <c r="U503" s="322"/>
      <c r="V503" s="322"/>
      <c r="W503" s="322"/>
      <c r="X503" s="322"/>
      <c r="Y503" s="322"/>
      <c r="Z503" s="322"/>
    </row>
    <row r="504" ht="12.75" customHeight="1">
      <c r="A504" s="322"/>
      <c r="B504" s="322"/>
      <c r="C504" s="323"/>
      <c r="D504" s="324"/>
      <c r="E504" s="323"/>
      <c r="F504" s="324"/>
      <c r="G504" s="322"/>
      <c r="H504" s="322"/>
      <c r="I504" s="322"/>
      <c r="J504" s="322"/>
      <c r="K504" s="322"/>
      <c r="L504" s="322"/>
      <c r="M504" s="322"/>
      <c r="N504" s="322"/>
      <c r="O504" s="322"/>
      <c r="P504" s="322"/>
      <c r="Q504" s="322"/>
      <c r="R504" s="322"/>
      <c r="S504" s="322"/>
      <c r="T504" s="322"/>
      <c r="U504" s="322"/>
      <c r="V504" s="322"/>
      <c r="W504" s="322"/>
      <c r="X504" s="322"/>
      <c r="Y504" s="322"/>
      <c r="Z504" s="322"/>
    </row>
    <row r="505" ht="12.75" customHeight="1">
      <c r="A505" s="322"/>
      <c r="B505" s="322"/>
      <c r="C505" s="323"/>
      <c r="D505" s="324"/>
      <c r="E505" s="323"/>
      <c r="F505" s="324"/>
      <c r="G505" s="322"/>
      <c r="H505" s="322"/>
      <c r="I505" s="322"/>
      <c r="J505" s="322"/>
      <c r="K505" s="322"/>
      <c r="L505" s="322"/>
      <c r="M505" s="322"/>
      <c r="N505" s="322"/>
      <c r="O505" s="322"/>
      <c r="P505" s="322"/>
      <c r="Q505" s="322"/>
      <c r="R505" s="322"/>
      <c r="S505" s="322"/>
      <c r="T505" s="322"/>
      <c r="U505" s="322"/>
      <c r="V505" s="322"/>
      <c r="W505" s="322"/>
      <c r="X505" s="322"/>
      <c r="Y505" s="322"/>
      <c r="Z505" s="322"/>
    </row>
    <row r="506" ht="12.75" customHeight="1">
      <c r="A506" s="322"/>
      <c r="B506" s="322"/>
      <c r="C506" s="323"/>
      <c r="D506" s="324"/>
      <c r="E506" s="323"/>
      <c r="F506" s="324"/>
      <c r="G506" s="322"/>
      <c r="H506" s="322"/>
      <c r="I506" s="322"/>
      <c r="J506" s="322"/>
      <c r="K506" s="322"/>
      <c r="L506" s="322"/>
      <c r="M506" s="322"/>
      <c r="N506" s="322"/>
      <c r="O506" s="322"/>
      <c r="P506" s="322"/>
      <c r="Q506" s="322"/>
      <c r="R506" s="322"/>
      <c r="S506" s="322"/>
      <c r="T506" s="322"/>
      <c r="U506" s="322"/>
      <c r="V506" s="322"/>
      <c r="W506" s="322"/>
      <c r="X506" s="322"/>
      <c r="Y506" s="322"/>
      <c r="Z506" s="322"/>
    </row>
    <row r="507" ht="12.75" customHeight="1">
      <c r="A507" s="322"/>
      <c r="B507" s="322"/>
      <c r="C507" s="323"/>
      <c r="D507" s="324"/>
      <c r="E507" s="323"/>
      <c r="F507" s="324"/>
      <c r="G507" s="322"/>
      <c r="H507" s="322"/>
      <c r="I507" s="322"/>
      <c r="J507" s="322"/>
      <c r="K507" s="322"/>
      <c r="L507" s="322"/>
      <c r="M507" s="322"/>
      <c r="N507" s="322"/>
      <c r="O507" s="322"/>
      <c r="P507" s="322"/>
      <c r="Q507" s="322"/>
      <c r="R507" s="322"/>
      <c r="S507" s="322"/>
      <c r="T507" s="322"/>
      <c r="U507" s="322"/>
      <c r="V507" s="322"/>
      <c r="W507" s="322"/>
      <c r="X507" s="322"/>
      <c r="Y507" s="322"/>
      <c r="Z507" s="322"/>
    </row>
    <row r="508" ht="12.75" customHeight="1">
      <c r="A508" s="322"/>
      <c r="B508" s="322"/>
      <c r="C508" s="323"/>
      <c r="D508" s="324"/>
      <c r="E508" s="323"/>
      <c r="F508" s="324"/>
      <c r="G508" s="322"/>
      <c r="H508" s="322"/>
      <c r="I508" s="322"/>
      <c r="J508" s="322"/>
      <c r="K508" s="322"/>
      <c r="L508" s="322"/>
      <c r="M508" s="322"/>
      <c r="N508" s="322"/>
      <c r="O508" s="322"/>
      <c r="P508" s="322"/>
      <c r="Q508" s="322"/>
      <c r="R508" s="322"/>
      <c r="S508" s="322"/>
      <c r="T508" s="322"/>
      <c r="U508" s="322"/>
      <c r="V508" s="322"/>
      <c r="W508" s="322"/>
      <c r="X508" s="322"/>
      <c r="Y508" s="322"/>
      <c r="Z508" s="322"/>
    </row>
    <row r="509" ht="12.75" customHeight="1">
      <c r="A509" s="322"/>
      <c r="B509" s="322"/>
      <c r="C509" s="323"/>
      <c r="D509" s="324"/>
      <c r="E509" s="323"/>
      <c r="F509" s="324"/>
      <c r="G509" s="322"/>
      <c r="H509" s="322"/>
      <c r="I509" s="322"/>
      <c r="J509" s="322"/>
      <c r="K509" s="322"/>
      <c r="L509" s="322"/>
      <c r="M509" s="322"/>
      <c r="N509" s="322"/>
      <c r="O509" s="322"/>
      <c r="P509" s="322"/>
      <c r="Q509" s="322"/>
      <c r="R509" s="322"/>
      <c r="S509" s="322"/>
      <c r="T509" s="322"/>
      <c r="U509" s="322"/>
      <c r="V509" s="322"/>
      <c r="W509" s="322"/>
      <c r="X509" s="322"/>
      <c r="Y509" s="322"/>
      <c r="Z509" s="322"/>
    </row>
    <row r="510" ht="12.75" customHeight="1">
      <c r="A510" s="322"/>
      <c r="B510" s="322"/>
      <c r="C510" s="323"/>
      <c r="D510" s="324"/>
      <c r="E510" s="323"/>
      <c r="F510" s="324"/>
      <c r="G510" s="322"/>
      <c r="H510" s="322"/>
      <c r="I510" s="322"/>
      <c r="J510" s="322"/>
      <c r="K510" s="322"/>
      <c r="L510" s="322"/>
      <c r="M510" s="322"/>
      <c r="N510" s="322"/>
      <c r="O510" s="322"/>
      <c r="P510" s="322"/>
      <c r="Q510" s="322"/>
      <c r="R510" s="322"/>
      <c r="S510" s="322"/>
      <c r="T510" s="322"/>
      <c r="U510" s="322"/>
      <c r="V510" s="322"/>
      <c r="W510" s="322"/>
      <c r="X510" s="322"/>
      <c r="Y510" s="322"/>
      <c r="Z510" s="322"/>
    </row>
    <row r="511" ht="12.75" customHeight="1">
      <c r="A511" s="322"/>
      <c r="B511" s="322"/>
      <c r="C511" s="323"/>
      <c r="D511" s="324"/>
      <c r="E511" s="323"/>
      <c r="F511" s="324"/>
      <c r="G511" s="322"/>
      <c r="H511" s="322"/>
      <c r="I511" s="322"/>
      <c r="J511" s="322"/>
      <c r="K511" s="322"/>
      <c r="L511" s="322"/>
      <c r="M511" s="322"/>
      <c r="N511" s="322"/>
      <c r="O511" s="322"/>
      <c r="P511" s="322"/>
      <c r="Q511" s="322"/>
      <c r="R511" s="322"/>
      <c r="S511" s="322"/>
      <c r="T511" s="322"/>
      <c r="U511" s="322"/>
      <c r="V511" s="322"/>
      <c r="W511" s="322"/>
      <c r="X511" s="322"/>
      <c r="Y511" s="322"/>
      <c r="Z511" s="322"/>
    </row>
    <row r="512" ht="12.75" customHeight="1">
      <c r="A512" s="322"/>
      <c r="B512" s="322"/>
      <c r="C512" s="323"/>
      <c r="D512" s="324"/>
      <c r="E512" s="323"/>
      <c r="F512" s="324"/>
      <c r="G512" s="322"/>
      <c r="H512" s="322"/>
      <c r="I512" s="322"/>
      <c r="J512" s="322"/>
      <c r="K512" s="322"/>
      <c r="L512" s="322"/>
      <c r="M512" s="322"/>
      <c r="N512" s="322"/>
      <c r="O512" s="322"/>
      <c r="P512" s="322"/>
      <c r="Q512" s="322"/>
      <c r="R512" s="322"/>
      <c r="S512" s="322"/>
      <c r="T512" s="322"/>
      <c r="U512" s="322"/>
      <c r="V512" s="322"/>
      <c r="W512" s="322"/>
      <c r="X512" s="322"/>
      <c r="Y512" s="322"/>
      <c r="Z512" s="322"/>
    </row>
    <row r="513" ht="12.75" customHeight="1">
      <c r="A513" s="322"/>
      <c r="B513" s="322"/>
      <c r="C513" s="323"/>
      <c r="D513" s="324"/>
      <c r="E513" s="323"/>
      <c r="F513" s="324"/>
      <c r="G513" s="322"/>
      <c r="H513" s="322"/>
      <c r="I513" s="322"/>
      <c r="J513" s="322"/>
      <c r="K513" s="322"/>
      <c r="L513" s="322"/>
      <c r="M513" s="322"/>
      <c r="N513" s="322"/>
      <c r="O513" s="322"/>
      <c r="P513" s="322"/>
      <c r="Q513" s="322"/>
      <c r="R513" s="322"/>
      <c r="S513" s="322"/>
      <c r="T513" s="322"/>
      <c r="U513" s="322"/>
      <c r="V513" s="322"/>
      <c r="W513" s="322"/>
      <c r="X513" s="322"/>
      <c r="Y513" s="322"/>
      <c r="Z513" s="322"/>
    </row>
    <row r="514" ht="12.75" customHeight="1">
      <c r="A514" s="322"/>
      <c r="B514" s="322"/>
      <c r="C514" s="323"/>
      <c r="D514" s="324"/>
      <c r="E514" s="323"/>
      <c r="F514" s="324"/>
      <c r="G514" s="322"/>
      <c r="H514" s="322"/>
      <c r="I514" s="322"/>
      <c r="J514" s="322"/>
      <c r="K514" s="322"/>
      <c r="L514" s="322"/>
      <c r="M514" s="322"/>
      <c r="N514" s="322"/>
      <c r="O514" s="322"/>
      <c r="P514" s="322"/>
      <c r="Q514" s="322"/>
      <c r="R514" s="322"/>
      <c r="S514" s="322"/>
      <c r="T514" s="322"/>
      <c r="U514" s="322"/>
      <c r="V514" s="322"/>
      <c r="W514" s="322"/>
      <c r="X514" s="322"/>
      <c r="Y514" s="322"/>
      <c r="Z514" s="322"/>
    </row>
    <row r="515" ht="12.75" customHeight="1">
      <c r="A515" s="322"/>
      <c r="B515" s="322"/>
      <c r="C515" s="323"/>
      <c r="D515" s="324"/>
      <c r="E515" s="323"/>
      <c r="F515" s="324"/>
      <c r="G515" s="322"/>
      <c r="H515" s="322"/>
      <c r="I515" s="322"/>
      <c r="J515" s="322"/>
      <c r="K515" s="322"/>
      <c r="L515" s="322"/>
      <c r="M515" s="322"/>
      <c r="N515" s="322"/>
      <c r="O515" s="322"/>
      <c r="P515" s="322"/>
      <c r="Q515" s="322"/>
      <c r="R515" s="322"/>
      <c r="S515" s="322"/>
      <c r="T515" s="322"/>
      <c r="U515" s="322"/>
      <c r="V515" s="322"/>
      <c r="W515" s="322"/>
      <c r="X515" s="322"/>
      <c r="Y515" s="322"/>
      <c r="Z515" s="322"/>
    </row>
    <row r="516" ht="12.75" customHeight="1">
      <c r="A516" s="322"/>
      <c r="B516" s="322"/>
      <c r="C516" s="323"/>
      <c r="D516" s="324"/>
      <c r="E516" s="323"/>
      <c r="F516" s="324"/>
      <c r="G516" s="322"/>
      <c r="H516" s="322"/>
      <c r="I516" s="322"/>
      <c r="J516" s="322"/>
      <c r="K516" s="322"/>
      <c r="L516" s="322"/>
      <c r="M516" s="322"/>
      <c r="N516" s="322"/>
      <c r="O516" s="322"/>
      <c r="P516" s="322"/>
      <c r="Q516" s="322"/>
      <c r="R516" s="322"/>
      <c r="S516" s="322"/>
      <c r="T516" s="322"/>
      <c r="U516" s="322"/>
      <c r="V516" s="322"/>
      <c r="W516" s="322"/>
      <c r="X516" s="322"/>
      <c r="Y516" s="322"/>
      <c r="Z516" s="322"/>
    </row>
    <row r="517" ht="12.75" customHeight="1">
      <c r="A517" s="322"/>
      <c r="B517" s="322"/>
      <c r="C517" s="323"/>
      <c r="D517" s="324"/>
      <c r="E517" s="323"/>
      <c r="F517" s="324"/>
      <c r="G517" s="322"/>
      <c r="H517" s="322"/>
      <c r="I517" s="322"/>
      <c r="J517" s="322"/>
      <c r="K517" s="322"/>
      <c r="L517" s="322"/>
      <c r="M517" s="322"/>
      <c r="N517" s="322"/>
      <c r="O517" s="322"/>
      <c r="P517" s="322"/>
      <c r="Q517" s="322"/>
      <c r="R517" s="322"/>
      <c r="S517" s="322"/>
      <c r="T517" s="322"/>
      <c r="U517" s="322"/>
      <c r="V517" s="322"/>
      <c r="W517" s="322"/>
      <c r="X517" s="322"/>
      <c r="Y517" s="322"/>
      <c r="Z517" s="322"/>
    </row>
    <row r="518" ht="12.75" customHeight="1">
      <c r="A518" s="322"/>
      <c r="B518" s="322"/>
      <c r="C518" s="323"/>
      <c r="D518" s="324"/>
      <c r="E518" s="323"/>
      <c r="F518" s="324"/>
      <c r="G518" s="322"/>
      <c r="H518" s="322"/>
      <c r="I518" s="322"/>
      <c r="J518" s="322"/>
      <c r="K518" s="322"/>
      <c r="L518" s="322"/>
      <c r="M518" s="322"/>
      <c r="N518" s="322"/>
      <c r="O518" s="322"/>
      <c r="P518" s="322"/>
      <c r="Q518" s="322"/>
      <c r="R518" s="322"/>
      <c r="S518" s="322"/>
      <c r="T518" s="322"/>
      <c r="U518" s="322"/>
      <c r="V518" s="322"/>
      <c r="W518" s="322"/>
      <c r="X518" s="322"/>
      <c r="Y518" s="322"/>
      <c r="Z518" s="322"/>
    </row>
    <row r="519" ht="12.75" customHeight="1">
      <c r="A519" s="322"/>
      <c r="B519" s="322"/>
      <c r="C519" s="323"/>
      <c r="D519" s="324"/>
      <c r="E519" s="323"/>
      <c r="F519" s="324"/>
      <c r="G519" s="322"/>
      <c r="H519" s="322"/>
      <c r="I519" s="322"/>
      <c r="J519" s="322"/>
      <c r="K519" s="322"/>
      <c r="L519" s="322"/>
      <c r="M519" s="322"/>
      <c r="N519" s="322"/>
      <c r="O519" s="322"/>
      <c r="P519" s="322"/>
      <c r="Q519" s="322"/>
      <c r="R519" s="322"/>
      <c r="S519" s="322"/>
      <c r="T519" s="322"/>
      <c r="U519" s="322"/>
      <c r="V519" s="322"/>
      <c r="W519" s="322"/>
      <c r="X519" s="322"/>
      <c r="Y519" s="322"/>
      <c r="Z519" s="322"/>
    </row>
    <row r="520" ht="12.75" customHeight="1">
      <c r="A520" s="322"/>
      <c r="B520" s="322"/>
      <c r="C520" s="323"/>
      <c r="D520" s="324"/>
      <c r="E520" s="323"/>
      <c r="F520" s="324"/>
      <c r="G520" s="322"/>
      <c r="H520" s="322"/>
      <c r="I520" s="322"/>
      <c r="J520" s="322"/>
      <c r="K520" s="322"/>
      <c r="L520" s="322"/>
      <c r="M520" s="322"/>
      <c r="N520" s="322"/>
      <c r="O520" s="322"/>
      <c r="P520" s="322"/>
      <c r="Q520" s="322"/>
      <c r="R520" s="322"/>
      <c r="S520" s="322"/>
      <c r="T520" s="322"/>
      <c r="U520" s="322"/>
      <c r="V520" s="322"/>
      <c r="W520" s="322"/>
      <c r="X520" s="322"/>
      <c r="Y520" s="322"/>
      <c r="Z520" s="322"/>
    </row>
    <row r="521" ht="12.75" customHeight="1">
      <c r="A521" s="322"/>
      <c r="B521" s="322"/>
      <c r="C521" s="323"/>
      <c r="D521" s="324"/>
      <c r="E521" s="323"/>
      <c r="F521" s="324"/>
      <c r="G521" s="322"/>
      <c r="H521" s="322"/>
      <c r="I521" s="322"/>
      <c r="J521" s="322"/>
      <c r="K521" s="322"/>
      <c r="L521" s="322"/>
      <c r="M521" s="322"/>
      <c r="N521" s="322"/>
      <c r="O521" s="322"/>
      <c r="P521" s="322"/>
      <c r="Q521" s="322"/>
      <c r="R521" s="322"/>
      <c r="S521" s="322"/>
      <c r="T521" s="322"/>
      <c r="U521" s="322"/>
      <c r="V521" s="322"/>
      <c r="W521" s="322"/>
      <c r="X521" s="322"/>
      <c r="Y521" s="322"/>
      <c r="Z521" s="322"/>
    </row>
    <row r="522" ht="12.75" customHeight="1">
      <c r="A522" s="322"/>
      <c r="B522" s="322"/>
      <c r="C522" s="323"/>
      <c r="D522" s="324"/>
      <c r="E522" s="323"/>
      <c r="F522" s="324"/>
      <c r="G522" s="322"/>
      <c r="H522" s="322"/>
      <c r="I522" s="322"/>
      <c r="J522" s="322"/>
      <c r="K522" s="322"/>
      <c r="L522" s="322"/>
      <c r="M522" s="322"/>
      <c r="N522" s="322"/>
      <c r="O522" s="322"/>
      <c r="P522" s="322"/>
      <c r="Q522" s="322"/>
      <c r="R522" s="322"/>
      <c r="S522" s="322"/>
      <c r="T522" s="322"/>
      <c r="U522" s="322"/>
      <c r="V522" s="322"/>
      <c r="W522" s="322"/>
      <c r="X522" s="322"/>
      <c r="Y522" s="322"/>
      <c r="Z522" s="322"/>
    </row>
    <row r="523" ht="12.75" customHeight="1">
      <c r="A523" s="322"/>
      <c r="B523" s="322"/>
      <c r="C523" s="323"/>
      <c r="D523" s="324"/>
      <c r="E523" s="323"/>
      <c r="F523" s="324"/>
      <c r="G523" s="322"/>
      <c r="H523" s="322"/>
      <c r="I523" s="322"/>
      <c r="J523" s="322"/>
      <c r="K523" s="322"/>
      <c r="L523" s="322"/>
      <c r="M523" s="322"/>
      <c r="N523" s="322"/>
      <c r="O523" s="322"/>
      <c r="P523" s="322"/>
      <c r="Q523" s="322"/>
      <c r="R523" s="322"/>
      <c r="S523" s="322"/>
      <c r="T523" s="322"/>
      <c r="U523" s="322"/>
      <c r="V523" s="322"/>
      <c r="W523" s="322"/>
      <c r="X523" s="322"/>
      <c r="Y523" s="322"/>
      <c r="Z523" s="322"/>
    </row>
    <row r="524" ht="12.75" customHeight="1">
      <c r="A524" s="322"/>
      <c r="B524" s="322"/>
      <c r="C524" s="323"/>
      <c r="D524" s="324"/>
      <c r="E524" s="323"/>
      <c r="F524" s="324"/>
      <c r="G524" s="322"/>
      <c r="H524" s="322"/>
      <c r="I524" s="322"/>
      <c r="J524" s="322"/>
      <c r="K524" s="322"/>
      <c r="L524" s="322"/>
      <c r="M524" s="322"/>
      <c r="N524" s="322"/>
      <c r="O524" s="322"/>
      <c r="P524" s="322"/>
      <c r="Q524" s="322"/>
      <c r="R524" s="322"/>
      <c r="S524" s="322"/>
      <c r="T524" s="322"/>
      <c r="U524" s="322"/>
      <c r="V524" s="322"/>
      <c r="W524" s="322"/>
      <c r="X524" s="322"/>
      <c r="Y524" s="322"/>
      <c r="Z524" s="322"/>
    </row>
    <row r="525" ht="12.75" customHeight="1">
      <c r="A525" s="322"/>
      <c r="B525" s="322"/>
      <c r="C525" s="323"/>
      <c r="D525" s="324"/>
      <c r="E525" s="323"/>
      <c r="F525" s="324"/>
      <c r="G525" s="322"/>
      <c r="H525" s="322"/>
      <c r="I525" s="322"/>
      <c r="J525" s="322"/>
      <c r="K525" s="322"/>
      <c r="L525" s="322"/>
      <c r="M525" s="322"/>
      <c r="N525" s="322"/>
      <c r="O525" s="322"/>
      <c r="P525" s="322"/>
      <c r="Q525" s="322"/>
      <c r="R525" s="322"/>
      <c r="S525" s="322"/>
      <c r="T525" s="322"/>
      <c r="U525" s="322"/>
      <c r="V525" s="322"/>
      <c r="W525" s="322"/>
      <c r="X525" s="322"/>
      <c r="Y525" s="322"/>
      <c r="Z525" s="322"/>
    </row>
    <row r="526" ht="12.75" customHeight="1">
      <c r="A526" s="322"/>
      <c r="B526" s="322"/>
      <c r="C526" s="323"/>
      <c r="D526" s="324"/>
      <c r="E526" s="323"/>
      <c r="F526" s="324"/>
      <c r="G526" s="322"/>
      <c r="H526" s="322"/>
      <c r="I526" s="322"/>
      <c r="J526" s="322"/>
      <c r="K526" s="322"/>
      <c r="L526" s="322"/>
      <c r="M526" s="322"/>
      <c r="N526" s="322"/>
      <c r="O526" s="322"/>
      <c r="P526" s="322"/>
      <c r="Q526" s="322"/>
      <c r="R526" s="322"/>
      <c r="S526" s="322"/>
      <c r="T526" s="322"/>
      <c r="U526" s="322"/>
      <c r="V526" s="322"/>
      <c r="W526" s="322"/>
      <c r="X526" s="322"/>
      <c r="Y526" s="322"/>
      <c r="Z526" s="322"/>
    </row>
    <row r="527" ht="12.75" customHeight="1">
      <c r="A527" s="322"/>
      <c r="B527" s="322"/>
      <c r="C527" s="323"/>
      <c r="D527" s="324"/>
      <c r="E527" s="323"/>
      <c r="F527" s="324"/>
      <c r="G527" s="322"/>
      <c r="H527" s="322"/>
      <c r="I527" s="322"/>
      <c r="J527" s="322"/>
      <c r="K527" s="322"/>
      <c r="L527" s="322"/>
      <c r="M527" s="322"/>
      <c r="N527" s="322"/>
      <c r="O527" s="322"/>
      <c r="P527" s="322"/>
      <c r="Q527" s="322"/>
      <c r="R527" s="322"/>
      <c r="S527" s="322"/>
      <c r="T527" s="322"/>
      <c r="U527" s="322"/>
      <c r="V527" s="322"/>
      <c r="W527" s="322"/>
      <c r="X527" s="322"/>
      <c r="Y527" s="322"/>
      <c r="Z527" s="322"/>
    </row>
    <row r="528" ht="12.75" customHeight="1">
      <c r="A528" s="322"/>
      <c r="B528" s="322"/>
      <c r="C528" s="323"/>
      <c r="D528" s="324"/>
      <c r="E528" s="323"/>
      <c r="F528" s="324"/>
      <c r="G528" s="322"/>
      <c r="H528" s="322"/>
      <c r="I528" s="322"/>
      <c r="J528" s="322"/>
      <c r="K528" s="322"/>
      <c r="L528" s="322"/>
      <c r="M528" s="322"/>
      <c r="N528" s="322"/>
      <c r="O528" s="322"/>
      <c r="P528" s="322"/>
      <c r="Q528" s="322"/>
      <c r="R528" s="322"/>
      <c r="S528" s="322"/>
      <c r="T528" s="322"/>
      <c r="U528" s="322"/>
      <c r="V528" s="322"/>
      <c r="W528" s="322"/>
      <c r="X528" s="322"/>
      <c r="Y528" s="322"/>
      <c r="Z528" s="322"/>
    </row>
    <row r="529" ht="12.75" customHeight="1">
      <c r="A529" s="322"/>
      <c r="B529" s="322"/>
      <c r="C529" s="323"/>
      <c r="D529" s="324"/>
      <c r="E529" s="323"/>
      <c r="F529" s="324"/>
      <c r="G529" s="322"/>
      <c r="H529" s="322"/>
      <c r="I529" s="322"/>
      <c r="J529" s="322"/>
      <c r="K529" s="322"/>
      <c r="L529" s="322"/>
      <c r="M529" s="322"/>
      <c r="N529" s="322"/>
      <c r="O529" s="322"/>
      <c r="P529" s="322"/>
      <c r="Q529" s="322"/>
      <c r="R529" s="322"/>
      <c r="S529" s="322"/>
      <c r="T529" s="322"/>
      <c r="U529" s="322"/>
      <c r="V529" s="322"/>
      <c r="W529" s="322"/>
      <c r="X529" s="322"/>
      <c r="Y529" s="322"/>
      <c r="Z529" s="322"/>
    </row>
    <row r="530" ht="12.75" customHeight="1">
      <c r="A530" s="322"/>
      <c r="B530" s="322"/>
      <c r="C530" s="323"/>
      <c r="D530" s="324"/>
      <c r="E530" s="323"/>
      <c r="F530" s="324"/>
      <c r="G530" s="322"/>
      <c r="H530" s="322"/>
      <c r="I530" s="322"/>
      <c r="J530" s="322"/>
      <c r="K530" s="322"/>
      <c r="L530" s="322"/>
      <c r="M530" s="322"/>
      <c r="N530" s="322"/>
      <c r="O530" s="322"/>
      <c r="P530" s="322"/>
      <c r="Q530" s="322"/>
      <c r="R530" s="322"/>
      <c r="S530" s="322"/>
      <c r="T530" s="322"/>
      <c r="U530" s="322"/>
      <c r="V530" s="322"/>
      <c r="W530" s="322"/>
      <c r="X530" s="322"/>
      <c r="Y530" s="322"/>
      <c r="Z530" s="322"/>
    </row>
    <row r="531" ht="12.75" customHeight="1">
      <c r="A531" s="322"/>
      <c r="B531" s="322"/>
      <c r="C531" s="323"/>
      <c r="D531" s="324"/>
      <c r="E531" s="323"/>
      <c r="F531" s="324"/>
      <c r="G531" s="322"/>
      <c r="H531" s="322"/>
      <c r="I531" s="322"/>
      <c r="J531" s="322"/>
      <c r="K531" s="322"/>
      <c r="L531" s="322"/>
      <c r="M531" s="322"/>
      <c r="N531" s="322"/>
      <c r="O531" s="322"/>
      <c r="P531" s="322"/>
      <c r="Q531" s="322"/>
      <c r="R531" s="322"/>
      <c r="S531" s="322"/>
      <c r="T531" s="322"/>
      <c r="U531" s="322"/>
      <c r="V531" s="322"/>
      <c r="W531" s="322"/>
      <c r="X531" s="322"/>
      <c r="Y531" s="322"/>
      <c r="Z531" s="322"/>
    </row>
    <row r="532" ht="12.75" customHeight="1">
      <c r="A532" s="322"/>
      <c r="B532" s="322"/>
      <c r="C532" s="323"/>
      <c r="D532" s="324"/>
      <c r="E532" s="323"/>
      <c r="F532" s="324"/>
      <c r="G532" s="322"/>
      <c r="H532" s="322"/>
      <c r="I532" s="322"/>
      <c r="J532" s="322"/>
      <c r="K532" s="322"/>
      <c r="L532" s="322"/>
      <c r="M532" s="322"/>
      <c r="N532" s="322"/>
      <c r="O532" s="322"/>
      <c r="P532" s="322"/>
      <c r="Q532" s="322"/>
      <c r="R532" s="322"/>
      <c r="S532" s="322"/>
      <c r="T532" s="322"/>
      <c r="U532" s="322"/>
      <c r="V532" s="322"/>
      <c r="W532" s="322"/>
      <c r="X532" s="322"/>
      <c r="Y532" s="322"/>
      <c r="Z532" s="322"/>
    </row>
    <row r="533" ht="12.75" customHeight="1">
      <c r="A533" s="322"/>
      <c r="B533" s="322"/>
      <c r="C533" s="323"/>
      <c r="D533" s="324"/>
      <c r="E533" s="323"/>
      <c r="F533" s="324"/>
      <c r="G533" s="322"/>
      <c r="H533" s="322"/>
      <c r="I533" s="322"/>
      <c r="J533" s="322"/>
      <c r="K533" s="322"/>
      <c r="L533" s="322"/>
      <c r="M533" s="322"/>
      <c r="N533" s="322"/>
      <c r="O533" s="322"/>
      <c r="P533" s="322"/>
      <c r="Q533" s="322"/>
      <c r="R533" s="322"/>
      <c r="S533" s="322"/>
      <c r="T533" s="322"/>
      <c r="U533" s="322"/>
      <c r="V533" s="322"/>
      <c r="W533" s="322"/>
      <c r="X533" s="322"/>
      <c r="Y533" s="322"/>
      <c r="Z533" s="322"/>
    </row>
    <row r="534" ht="12.75" customHeight="1">
      <c r="A534" s="322"/>
      <c r="B534" s="322"/>
      <c r="C534" s="323"/>
      <c r="D534" s="324"/>
      <c r="E534" s="323"/>
      <c r="F534" s="324"/>
      <c r="G534" s="322"/>
      <c r="H534" s="322"/>
      <c r="I534" s="322"/>
      <c r="J534" s="322"/>
      <c r="K534" s="322"/>
      <c r="L534" s="322"/>
      <c r="M534" s="322"/>
      <c r="N534" s="322"/>
      <c r="O534" s="322"/>
      <c r="P534" s="322"/>
      <c r="Q534" s="322"/>
      <c r="R534" s="322"/>
      <c r="S534" s="322"/>
      <c r="T534" s="322"/>
      <c r="U534" s="322"/>
      <c r="V534" s="322"/>
      <c r="W534" s="322"/>
      <c r="X534" s="322"/>
      <c r="Y534" s="322"/>
      <c r="Z534" s="322"/>
    </row>
    <row r="535" ht="12.75" customHeight="1">
      <c r="A535" s="322"/>
      <c r="B535" s="322"/>
      <c r="C535" s="323"/>
      <c r="D535" s="324"/>
      <c r="E535" s="323"/>
      <c r="F535" s="324"/>
      <c r="G535" s="322"/>
      <c r="H535" s="322"/>
      <c r="I535" s="322"/>
      <c r="J535" s="322"/>
      <c r="K535" s="322"/>
      <c r="L535" s="322"/>
      <c r="M535" s="322"/>
      <c r="N535" s="322"/>
      <c r="O535" s="322"/>
      <c r="P535" s="322"/>
      <c r="Q535" s="322"/>
      <c r="R535" s="322"/>
      <c r="S535" s="322"/>
      <c r="T535" s="322"/>
      <c r="U535" s="322"/>
      <c r="V535" s="322"/>
      <c r="W535" s="322"/>
      <c r="X535" s="322"/>
      <c r="Y535" s="322"/>
      <c r="Z535" s="322"/>
    </row>
    <row r="536" ht="12.75" customHeight="1">
      <c r="A536" s="322"/>
      <c r="B536" s="322"/>
      <c r="C536" s="323"/>
      <c r="D536" s="324"/>
      <c r="E536" s="323"/>
      <c r="F536" s="324"/>
      <c r="G536" s="322"/>
      <c r="H536" s="322"/>
      <c r="I536" s="322"/>
      <c r="J536" s="322"/>
      <c r="K536" s="322"/>
      <c r="L536" s="322"/>
      <c r="M536" s="322"/>
      <c r="N536" s="322"/>
      <c r="O536" s="322"/>
      <c r="P536" s="322"/>
      <c r="Q536" s="322"/>
      <c r="R536" s="322"/>
      <c r="S536" s="322"/>
      <c r="T536" s="322"/>
      <c r="U536" s="322"/>
      <c r="V536" s="322"/>
      <c r="W536" s="322"/>
      <c r="X536" s="322"/>
      <c r="Y536" s="322"/>
      <c r="Z536" s="322"/>
    </row>
    <row r="537" ht="12.75" customHeight="1">
      <c r="A537" s="322"/>
      <c r="B537" s="322"/>
      <c r="C537" s="323"/>
      <c r="D537" s="324"/>
      <c r="E537" s="323"/>
      <c r="F537" s="324"/>
      <c r="G537" s="322"/>
      <c r="H537" s="322"/>
      <c r="I537" s="322"/>
      <c r="J537" s="322"/>
      <c r="K537" s="322"/>
      <c r="L537" s="322"/>
      <c r="M537" s="322"/>
      <c r="N537" s="322"/>
      <c r="O537" s="322"/>
      <c r="P537" s="322"/>
      <c r="Q537" s="322"/>
      <c r="R537" s="322"/>
      <c r="S537" s="322"/>
      <c r="T537" s="322"/>
      <c r="U537" s="322"/>
      <c r="V537" s="322"/>
      <c r="W537" s="322"/>
      <c r="X537" s="322"/>
      <c r="Y537" s="322"/>
      <c r="Z537" s="322"/>
    </row>
    <row r="538" ht="12.75" customHeight="1">
      <c r="A538" s="322"/>
      <c r="B538" s="322"/>
      <c r="C538" s="323"/>
      <c r="D538" s="324"/>
      <c r="E538" s="323"/>
      <c r="F538" s="324"/>
      <c r="G538" s="322"/>
      <c r="H538" s="322"/>
      <c r="I538" s="322"/>
      <c r="J538" s="322"/>
      <c r="K538" s="322"/>
      <c r="L538" s="322"/>
      <c r="M538" s="322"/>
      <c r="N538" s="322"/>
      <c r="O538" s="322"/>
      <c r="P538" s="322"/>
      <c r="Q538" s="322"/>
      <c r="R538" s="322"/>
      <c r="S538" s="322"/>
      <c r="T538" s="322"/>
      <c r="U538" s="322"/>
      <c r="V538" s="322"/>
      <c r="W538" s="322"/>
      <c r="X538" s="322"/>
      <c r="Y538" s="322"/>
      <c r="Z538" s="322"/>
    </row>
    <row r="539" ht="12.75" customHeight="1">
      <c r="A539" s="322"/>
      <c r="B539" s="322"/>
      <c r="C539" s="323"/>
      <c r="D539" s="324"/>
      <c r="E539" s="323"/>
      <c r="F539" s="324"/>
      <c r="G539" s="322"/>
      <c r="H539" s="322"/>
      <c r="I539" s="322"/>
      <c r="J539" s="322"/>
      <c r="K539" s="322"/>
      <c r="L539" s="322"/>
      <c r="M539" s="322"/>
      <c r="N539" s="322"/>
      <c r="O539" s="322"/>
      <c r="P539" s="322"/>
      <c r="Q539" s="322"/>
      <c r="R539" s="322"/>
      <c r="S539" s="322"/>
      <c r="T539" s="322"/>
      <c r="U539" s="322"/>
      <c r="V539" s="322"/>
      <c r="W539" s="322"/>
      <c r="X539" s="322"/>
      <c r="Y539" s="322"/>
      <c r="Z539" s="322"/>
    </row>
    <row r="540" ht="12.75" customHeight="1">
      <c r="A540" s="322"/>
      <c r="B540" s="322"/>
      <c r="C540" s="323"/>
      <c r="D540" s="324"/>
      <c r="E540" s="323"/>
      <c r="F540" s="324"/>
      <c r="G540" s="322"/>
      <c r="H540" s="322"/>
      <c r="I540" s="322"/>
      <c r="J540" s="322"/>
      <c r="K540" s="322"/>
      <c r="L540" s="322"/>
      <c r="M540" s="322"/>
      <c r="N540" s="322"/>
      <c r="O540" s="322"/>
      <c r="P540" s="322"/>
      <c r="Q540" s="322"/>
      <c r="R540" s="322"/>
      <c r="S540" s="322"/>
      <c r="T540" s="322"/>
      <c r="U540" s="322"/>
      <c r="V540" s="322"/>
      <c r="W540" s="322"/>
      <c r="X540" s="322"/>
      <c r="Y540" s="322"/>
      <c r="Z540" s="322"/>
    </row>
    <row r="541" ht="12.75" customHeight="1">
      <c r="A541" s="322"/>
      <c r="B541" s="322"/>
      <c r="C541" s="323"/>
      <c r="D541" s="324"/>
      <c r="E541" s="323"/>
      <c r="F541" s="324"/>
      <c r="G541" s="322"/>
      <c r="H541" s="322"/>
      <c r="I541" s="322"/>
      <c r="J541" s="322"/>
      <c r="K541" s="322"/>
      <c r="L541" s="322"/>
      <c r="M541" s="322"/>
      <c r="N541" s="322"/>
      <c r="O541" s="322"/>
      <c r="P541" s="322"/>
      <c r="Q541" s="322"/>
      <c r="R541" s="322"/>
      <c r="S541" s="322"/>
      <c r="T541" s="322"/>
      <c r="U541" s="322"/>
      <c r="V541" s="322"/>
      <c r="W541" s="322"/>
      <c r="X541" s="322"/>
      <c r="Y541" s="322"/>
      <c r="Z541" s="322"/>
    </row>
    <row r="542" ht="12.75" customHeight="1">
      <c r="A542" s="322"/>
      <c r="B542" s="322"/>
      <c r="C542" s="323"/>
      <c r="D542" s="324"/>
      <c r="E542" s="323"/>
      <c r="F542" s="324"/>
      <c r="G542" s="322"/>
      <c r="H542" s="322"/>
      <c r="I542" s="322"/>
      <c r="J542" s="322"/>
      <c r="K542" s="322"/>
      <c r="L542" s="322"/>
      <c r="M542" s="322"/>
      <c r="N542" s="322"/>
      <c r="O542" s="322"/>
      <c r="P542" s="322"/>
      <c r="Q542" s="322"/>
      <c r="R542" s="322"/>
      <c r="S542" s="322"/>
      <c r="T542" s="322"/>
      <c r="U542" s="322"/>
      <c r="V542" s="322"/>
      <c r="W542" s="322"/>
      <c r="X542" s="322"/>
      <c r="Y542" s="322"/>
      <c r="Z542" s="322"/>
    </row>
    <row r="543" ht="12.75" customHeight="1">
      <c r="A543" s="322"/>
      <c r="B543" s="322"/>
      <c r="C543" s="323"/>
      <c r="D543" s="324"/>
      <c r="E543" s="323"/>
      <c r="F543" s="324"/>
      <c r="G543" s="322"/>
      <c r="H543" s="322"/>
      <c r="I543" s="322"/>
      <c r="J543" s="322"/>
      <c r="K543" s="322"/>
      <c r="L543" s="322"/>
      <c r="M543" s="322"/>
      <c r="N543" s="322"/>
      <c r="O543" s="322"/>
      <c r="P543" s="322"/>
      <c r="Q543" s="322"/>
      <c r="R543" s="322"/>
      <c r="S543" s="322"/>
      <c r="T543" s="322"/>
      <c r="U543" s="322"/>
      <c r="V543" s="322"/>
      <c r="W543" s="322"/>
      <c r="X543" s="322"/>
      <c r="Y543" s="322"/>
      <c r="Z543" s="322"/>
    </row>
    <row r="544" ht="12.75" customHeight="1">
      <c r="A544" s="322"/>
      <c r="B544" s="322"/>
      <c r="C544" s="323"/>
      <c r="D544" s="324"/>
      <c r="E544" s="323"/>
      <c r="F544" s="324"/>
      <c r="G544" s="322"/>
      <c r="H544" s="322"/>
      <c r="I544" s="322"/>
      <c r="J544" s="322"/>
      <c r="K544" s="322"/>
      <c r="L544" s="322"/>
      <c r="M544" s="322"/>
      <c r="N544" s="322"/>
      <c r="O544" s="322"/>
      <c r="P544" s="322"/>
      <c r="Q544" s="322"/>
      <c r="R544" s="322"/>
      <c r="S544" s="322"/>
      <c r="T544" s="322"/>
      <c r="U544" s="322"/>
      <c r="V544" s="322"/>
      <c r="W544" s="322"/>
      <c r="X544" s="322"/>
      <c r="Y544" s="322"/>
      <c r="Z544" s="322"/>
    </row>
    <row r="545" ht="12.75" customHeight="1">
      <c r="A545" s="322"/>
      <c r="B545" s="322"/>
      <c r="C545" s="323"/>
      <c r="D545" s="324"/>
      <c r="E545" s="323"/>
      <c r="F545" s="324"/>
      <c r="G545" s="322"/>
      <c r="H545" s="322"/>
      <c r="I545" s="322"/>
      <c r="J545" s="322"/>
      <c r="K545" s="322"/>
      <c r="L545" s="322"/>
      <c r="M545" s="322"/>
      <c r="N545" s="322"/>
      <c r="O545" s="322"/>
      <c r="P545" s="322"/>
      <c r="Q545" s="322"/>
      <c r="R545" s="322"/>
      <c r="S545" s="322"/>
      <c r="T545" s="322"/>
      <c r="U545" s="322"/>
      <c r="V545" s="322"/>
      <c r="W545" s="322"/>
      <c r="X545" s="322"/>
      <c r="Y545" s="322"/>
      <c r="Z545" s="322"/>
    </row>
    <row r="546" ht="12.75" customHeight="1">
      <c r="A546" s="322"/>
      <c r="B546" s="322"/>
      <c r="C546" s="323"/>
      <c r="D546" s="324"/>
      <c r="E546" s="323"/>
      <c r="F546" s="324"/>
      <c r="G546" s="322"/>
      <c r="H546" s="322"/>
      <c r="I546" s="322"/>
      <c r="J546" s="322"/>
      <c r="K546" s="322"/>
      <c r="L546" s="322"/>
      <c r="M546" s="322"/>
      <c r="N546" s="322"/>
      <c r="O546" s="322"/>
      <c r="P546" s="322"/>
      <c r="Q546" s="322"/>
      <c r="R546" s="322"/>
      <c r="S546" s="322"/>
      <c r="T546" s="322"/>
      <c r="U546" s="322"/>
      <c r="V546" s="322"/>
      <c r="W546" s="322"/>
      <c r="X546" s="322"/>
      <c r="Y546" s="322"/>
      <c r="Z546" s="322"/>
    </row>
    <row r="547" ht="12.75" customHeight="1">
      <c r="A547" s="322"/>
      <c r="B547" s="322"/>
      <c r="C547" s="323"/>
      <c r="D547" s="324"/>
      <c r="E547" s="323"/>
      <c r="F547" s="324"/>
      <c r="G547" s="322"/>
      <c r="H547" s="322"/>
      <c r="I547" s="322"/>
      <c r="J547" s="322"/>
      <c r="K547" s="322"/>
      <c r="L547" s="322"/>
      <c r="M547" s="322"/>
      <c r="N547" s="322"/>
      <c r="O547" s="322"/>
      <c r="P547" s="322"/>
      <c r="Q547" s="322"/>
      <c r="R547" s="322"/>
      <c r="S547" s="322"/>
      <c r="T547" s="322"/>
      <c r="U547" s="322"/>
      <c r="V547" s="322"/>
      <c r="W547" s="322"/>
      <c r="X547" s="322"/>
      <c r="Y547" s="322"/>
      <c r="Z547" s="322"/>
    </row>
    <row r="548" ht="12.75" customHeight="1">
      <c r="A548" s="322"/>
      <c r="B548" s="322"/>
      <c r="C548" s="323"/>
      <c r="D548" s="324"/>
      <c r="E548" s="323"/>
      <c r="F548" s="324"/>
      <c r="G548" s="322"/>
      <c r="H548" s="322"/>
      <c r="I548" s="322"/>
      <c r="J548" s="322"/>
      <c r="K548" s="322"/>
      <c r="L548" s="322"/>
      <c r="M548" s="322"/>
      <c r="N548" s="322"/>
      <c r="O548" s="322"/>
      <c r="P548" s="322"/>
      <c r="Q548" s="322"/>
      <c r="R548" s="322"/>
      <c r="S548" s="322"/>
      <c r="T548" s="322"/>
      <c r="U548" s="322"/>
      <c r="V548" s="322"/>
      <c r="W548" s="322"/>
      <c r="X548" s="322"/>
      <c r="Y548" s="322"/>
      <c r="Z548" s="322"/>
    </row>
    <row r="549" ht="12.75" customHeight="1">
      <c r="A549" s="322"/>
      <c r="B549" s="322"/>
      <c r="C549" s="323"/>
      <c r="D549" s="324"/>
      <c r="E549" s="323"/>
      <c r="F549" s="324"/>
      <c r="G549" s="322"/>
      <c r="H549" s="322"/>
      <c r="I549" s="322"/>
      <c r="J549" s="322"/>
      <c r="K549" s="322"/>
      <c r="L549" s="322"/>
      <c r="M549" s="322"/>
      <c r="N549" s="322"/>
      <c r="O549" s="322"/>
      <c r="P549" s="322"/>
      <c r="Q549" s="322"/>
      <c r="R549" s="322"/>
      <c r="S549" s="322"/>
      <c r="T549" s="322"/>
      <c r="U549" s="322"/>
      <c r="V549" s="322"/>
      <c r="W549" s="322"/>
      <c r="X549" s="322"/>
      <c r="Y549" s="322"/>
      <c r="Z549" s="322"/>
    </row>
    <row r="550" ht="12.75" customHeight="1">
      <c r="A550" s="322"/>
      <c r="B550" s="322"/>
      <c r="C550" s="323"/>
      <c r="D550" s="324"/>
      <c r="E550" s="323"/>
      <c r="F550" s="324"/>
      <c r="G550" s="322"/>
      <c r="H550" s="322"/>
      <c r="I550" s="322"/>
      <c r="J550" s="322"/>
      <c r="K550" s="322"/>
      <c r="L550" s="322"/>
      <c r="M550" s="322"/>
      <c r="N550" s="322"/>
      <c r="O550" s="322"/>
      <c r="P550" s="322"/>
      <c r="Q550" s="322"/>
      <c r="R550" s="322"/>
      <c r="S550" s="322"/>
      <c r="T550" s="322"/>
      <c r="U550" s="322"/>
      <c r="V550" s="322"/>
      <c r="W550" s="322"/>
      <c r="X550" s="322"/>
      <c r="Y550" s="322"/>
      <c r="Z550" s="322"/>
    </row>
    <row r="551" ht="12.75" customHeight="1">
      <c r="A551" s="322"/>
      <c r="B551" s="322"/>
      <c r="C551" s="323"/>
      <c r="D551" s="324"/>
      <c r="E551" s="323"/>
      <c r="F551" s="324"/>
      <c r="G551" s="322"/>
      <c r="H551" s="322"/>
      <c r="I551" s="322"/>
      <c r="J551" s="322"/>
      <c r="K551" s="322"/>
      <c r="L551" s="322"/>
      <c r="M551" s="322"/>
      <c r="N551" s="322"/>
      <c r="O551" s="322"/>
      <c r="P551" s="322"/>
      <c r="Q551" s="322"/>
      <c r="R551" s="322"/>
      <c r="S551" s="322"/>
      <c r="T551" s="322"/>
      <c r="U551" s="322"/>
      <c r="V551" s="322"/>
      <c r="W551" s="322"/>
      <c r="X551" s="322"/>
      <c r="Y551" s="322"/>
      <c r="Z551" s="322"/>
    </row>
    <row r="552" ht="12.75" customHeight="1">
      <c r="A552" s="322"/>
      <c r="B552" s="322"/>
      <c r="C552" s="323"/>
      <c r="D552" s="324"/>
      <c r="E552" s="323"/>
      <c r="F552" s="324"/>
      <c r="G552" s="322"/>
      <c r="H552" s="322"/>
      <c r="I552" s="322"/>
      <c r="J552" s="322"/>
      <c r="K552" s="322"/>
      <c r="L552" s="322"/>
      <c r="M552" s="322"/>
      <c r="N552" s="322"/>
      <c r="O552" s="322"/>
      <c r="P552" s="322"/>
      <c r="Q552" s="322"/>
      <c r="R552" s="322"/>
      <c r="S552" s="322"/>
      <c r="T552" s="322"/>
      <c r="U552" s="322"/>
      <c r="V552" s="322"/>
      <c r="W552" s="322"/>
      <c r="X552" s="322"/>
      <c r="Y552" s="322"/>
      <c r="Z552" s="322"/>
    </row>
    <row r="553" ht="12.75" customHeight="1">
      <c r="A553" s="322"/>
      <c r="B553" s="322"/>
      <c r="C553" s="323"/>
      <c r="D553" s="324"/>
      <c r="E553" s="323"/>
      <c r="F553" s="324"/>
      <c r="G553" s="322"/>
      <c r="H553" s="322"/>
      <c r="I553" s="322"/>
      <c r="J553" s="322"/>
      <c r="K553" s="322"/>
      <c r="L553" s="322"/>
      <c r="M553" s="322"/>
      <c r="N553" s="322"/>
      <c r="O553" s="322"/>
      <c r="P553" s="322"/>
      <c r="Q553" s="322"/>
      <c r="R553" s="322"/>
      <c r="S553" s="322"/>
      <c r="T553" s="322"/>
      <c r="U553" s="322"/>
      <c r="V553" s="322"/>
      <c r="W553" s="322"/>
      <c r="X553" s="322"/>
      <c r="Y553" s="322"/>
      <c r="Z553" s="322"/>
    </row>
    <row r="554" ht="12.75" customHeight="1">
      <c r="A554" s="322"/>
      <c r="B554" s="322"/>
      <c r="C554" s="323"/>
      <c r="D554" s="324"/>
      <c r="E554" s="323"/>
      <c r="F554" s="324"/>
      <c r="G554" s="322"/>
      <c r="H554" s="322"/>
      <c r="I554" s="322"/>
      <c r="J554" s="322"/>
      <c r="K554" s="322"/>
      <c r="L554" s="322"/>
      <c r="M554" s="322"/>
      <c r="N554" s="322"/>
      <c r="O554" s="322"/>
      <c r="P554" s="322"/>
      <c r="Q554" s="322"/>
      <c r="R554" s="322"/>
      <c r="S554" s="322"/>
      <c r="T554" s="322"/>
      <c r="U554" s="322"/>
      <c r="V554" s="322"/>
      <c r="W554" s="322"/>
      <c r="X554" s="322"/>
      <c r="Y554" s="322"/>
      <c r="Z554" s="322"/>
    </row>
    <row r="555" ht="12.75" customHeight="1">
      <c r="A555" s="322"/>
      <c r="B555" s="322"/>
      <c r="C555" s="323"/>
      <c r="D555" s="324"/>
      <c r="E555" s="323"/>
      <c r="F555" s="324"/>
      <c r="G555" s="322"/>
      <c r="H555" s="322"/>
      <c r="I555" s="322"/>
      <c r="J555" s="322"/>
      <c r="K555" s="322"/>
      <c r="L555" s="322"/>
      <c r="M555" s="322"/>
      <c r="N555" s="322"/>
      <c r="O555" s="322"/>
      <c r="P555" s="322"/>
      <c r="Q555" s="322"/>
      <c r="R555" s="322"/>
      <c r="S555" s="322"/>
      <c r="T555" s="322"/>
      <c r="U555" s="322"/>
      <c r="V555" s="322"/>
      <c r="W555" s="322"/>
      <c r="X555" s="322"/>
      <c r="Y555" s="322"/>
      <c r="Z555" s="322"/>
    </row>
    <row r="556" ht="12.75" customHeight="1">
      <c r="A556" s="322"/>
      <c r="B556" s="322"/>
      <c r="C556" s="323"/>
      <c r="D556" s="324"/>
      <c r="E556" s="323"/>
      <c r="F556" s="324"/>
      <c r="G556" s="322"/>
      <c r="H556" s="322"/>
      <c r="I556" s="322"/>
      <c r="J556" s="322"/>
      <c r="K556" s="322"/>
      <c r="L556" s="322"/>
      <c r="M556" s="322"/>
      <c r="N556" s="322"/>
      <c r="O556" s="322"/>
      <c r="P556" s="322"/>
      <c r="Q556" s="322"/>
      <c r="R556" s="322"/>
      <c r="S556" s="322"/>
      <c r="T556" s="322"/>
      <c r="U556" s="322"/>
      <c r="V556" s="322"/>
      <c r="W556" s="322"/>
      <c r="X556" s="322"/>
      <c r="Y556" s="322"/>
      <c r="Z556" s="322"/>
    </row>
    <row r="557" ht="12.75" customHeight="1">
      <c r="A557" s="322"/>
      <c r="B557" s="322"/>
      <c r="C557" s="323"/>
      <c r="D557" s="324"/>
      <c r="E557" s="323"/>
      <c r="F557" s="324"/>
      <c r="G557" s="322"/>
      <c r="H557" s="322"/>
      <c r="I557" s="322"/>
      <c r="J557" s="322"/>
      <c r="K557" s="322"/>
      <c r="L557" s="322"/>
      <c r="M557" s="322"/>
      <c r="N557" s="322"/>
      <c r="O557" s="322"/>
      <c r="P557" s="322"/>
      <c r="Q557" s="322"/>
      <c r="R557" s="322"/>
      <c r="S557" s="322"/>
      <c r="T557" s="322"/>
      <c r="U557" s="322"/>
      <c r="V557" s="322"/>
      <c r="W557" s="322"/>
      <c r="X557" s="322"/>
      <c r="Y557" s="322"/>
      <c r="Z557" s="322"/>
    </row>
    <row r="558" ht="12.75" customHeight="1">
      <c r="A558" s="322"/>
      <c r="B558" s="322"/>
      <c r="C558" s="323"/>
      <c r="D558" s="324"/>
      <c r="E558" s="323"/>
      <c r="F558" s="324"/>
      <c r="G558" s="322"/>
      <c r="H558" s="322"/>
      <c r="I558" s="322"/>
      <c r="J558" s="322"/>
      <c r="K558" s="322"/>
      <c r="L558" s="322"/>
      <c r="M558" s="322"/>
      <c r="N558" s="322"/>
      <c r="O558" s="322"/>
      <c r="P558" s="322"/>
      <c r="Q558" s="322"/>
      <c r="R558" s="322"/>
      <c r="S558" s="322"/>
      <c r="T558" s="322"/>
      <c r="U558" s="322"/>
      <c r="V558" s="322"/>
      <c r="W558" s="322"/>
      <c r="X558" s="322"/>
      <c r="Y558" s="322"/>
      <c r="Z558" s="322"/>
    </row>
    <row r="559" ht="12.75" customHeight="1">
      <c r="A559" s="322"/>
      <c r="B559" s="322"/>
      <c r="C559" s="323"/>
      <c r="D559" s="324"/>
      <c r="E559" s="323"/>
      <c r="F559" s="324"/>
      <c r="G559" s="322"/>
      <c r="H559" s="322"/>
      <c r="I559" s="322"/>
      <c r="J559" s="322"/>
      <c r="K559" s="322"/>
      <c r="L559" s="322"/>
      <c r="M559" s="322"/>
      <c r="N559" s="322"/>
      <c r="O559" s="322"/>
      <c r="P559" s="322"/>
      <c r="Q559" s="322"/>
      <c r="R559" s="322"/>
      <c r="S559" s="322"/>
      <c r="T559" s="322"/>
      <c r="U559" s="322"/>
      <c r="V559" s="322"/>
      <c r="W559" s="322"/>
      <c r="X559" s="322"/>
      <c r="Y559" s="322"/>
      <c r="Z559" s="322"/>
    </row>
    <row r="560" ht="12.75" customHeight="1">
      <c r="A560" s="322"/>
      <c r="B560" s="322"/>
      <c r="C560" s="323"/>
      <c r="D560" s="324"/>
      <c r="E560" s="323"/>
      <c r="F560" s="324"/>
      <c r="G560" s="322"/>
      <c r="H560" s="322"/>
      <c r="I560" s="322"/>
      <c r="J560" s="322"/>
      <c r="K560" s="322"/>
      <c r="L560" s="322"/>
      <c r="M560" s="322"/>
      <c r="N560" s="322"/>
      <c r="O560" s="322"/>
      <c r="P560" s="322"/>
      <c r="Q560" s="322"/>
      <c r="R560" s="322"/>
      <c r="S560" s="322"/>
      <c r="T560" s="322"/>
      <c r="U560" s="322"/>
      <c r="V560" s="322"/>
      <c r="W560" s="322"/>
      <c r="X560" s="322"/>
      <c r="Y560" s="322"/>
      <c r="Z560" s="322"/>
    </row>
    <row r="561" ht="12.75" customHeight="1">
      <c r="A561" s="322"/>
      <c r="B561" s="322"/>
      <c r="C561" s="323"/>
      <c r="D561" s="324"/>
      <c r="E561" s="323"/>
      <c r="F561" s="324"/>
      <c r="G561" s="322"/>
      <c r="H561" s="322"/>
      <c r="I561" s="322"/>
      <c r="J561" s="322"/>
      <c r="K561" s="322"/>
      <c r="L561" s="322"/>
      <c r="M561" s="322"/>
      <c r="N561" s="322"/>
      <c r="O561" s="322"/>
      <c r="P561" s="322"/>
      <c r="Q561" s="322"/>
      <c r="R561" s="322"/>
      <c r="S561" s="322"/>
      <c r="T561" s="322"/>
      <c r="U561" s="322"/>
      <c r="V561" s="322"/>
      <c r="W561" s="322"/>
      <c r="X561" s="322"/>
      <c r="Y561" s="322"/>
      <c r="Z561" s="322"/>
    </row>
    <row r="562" ht="12.75" customHeight="1">
      <c r="A562" s="322"/>
      <c r="B562" s="322"/>
      <c r="C562" s="323"/>
      <c r="D562" s="324"/>
      <c r="E562" s="323"/>
      <c r="F562" s="324"/>
      <c r="G562" s="322"/>
      <c r="H562" s="322"/>
      <c r="I562" s="322"/>
      <c r="J562" s="322"/>
      <c r="K562" s="322"/>
      <c r="L562" s="322"/>
      <c r="M562" s="322"/>
      <c r="N562" s="322"/>
      <c r="O562" s="322"/>
      <c r="P562" s="322"/>
      <c r="Q562" s="322"/>
      <c r="R562" s="322"/>
      <c r="S562" s="322"/>
      <c r="T562" s="322"/>
      <c r="U562" s="322"/>
      <c r="V562" s="322"/>
      <c r="W562" s="322"/>
      <c r="X562" s="322"/>
      <c r="Y562" s="322"/>
      <c r="Z562" s="322"/>
    </row>
    <row r="563" ht="12.75" customHeight="1">
      <c r="A563" s="322"/>
      <c r="B563" s="322"/>
      <c r="C563" s="323"/>
      <c r="D563" s="324"/>
      <c r="E563" s="323"/>
      <c r="F563" s="324"/>
      <c r="G563" s="322"/>
      <c r="H563" s="322"/>
      <c r="I563" s="322"/>
      <c r="J563" s="322"/>
      <c r="K563" s="322"/>
      <c r="L563" s="322"/>
      <c r="M563" s="322"/>
      <c r="N563" s="322"/>
      <c r="O563" s="322"/>
      <c r="P563" s="322"/>
      <c r="Q563" s="322"/>
      <c r="R563" s="322"/>
      <c r="S563" s="322"/>
      <c r="T563" s="322"/>
      <c r="U563" s="322"/>
      <c r="V563" s="322"/>
      <c r="W563" s="322"/>
      <c r="X563" s="322"/>
      <c r="Y563" s="322"/>
      <c r="Z563" s="322"/>
    </row>
    <row r="564" ht="12.75" customHeight="1">
      <c r="A564" s="322"/>
      <c r="B564" s="322"/>
      <c r="C564" s="323"/>
      <c r="D564" s="324"/>
      <c r="E564" s="323"/>
      <c r="F564" s="324"/>
      <c r="G564" s="322"/>
      <c r="H564" s="322"/>
      <c r="I564" s="322"/>
      <c r="J564" s="322"/>
      <c r="K564" s="322"/>
      <c r="L564" s="322"/>
      <c r="M564" s="322"/>
      <c r="N564" s="322"/>
      <c r="O564" s="322"/>
      <c r="P564" s="322"/>
      <c r="Q564" s="322"/>
      <c r="R564" s="322"/>
      <c r="S564" s="322"/>
      <c r="T564" s="322"/>
      <c r="U564" s="322"/>
      <c r="V564" s="322"/>
      <c r="W564" s="322"/>
      <c r="X564" s="322"/>
      <c r="Y564" s="322"/>
      <c r="Z564" s="322"/>
    </row>
    <row r="565" ht="12.75" customHeight="1">
      <c r="A565" s="322"/>
      <c r="B565" s="322"/>
      <c r="C565" s="323"/>
      <c r="D565" s="324"/>
      <c r="E565" s="323"/>
      <c r="F565" s="324"/>
      <c r="G565" s="322"/>
      <c r="H565" s="322"/>
      <c r="I565" s="322"/>
      <c r="J565" s="322"/>
      <c r="K565" s="322"/>
      <c r="L565" s="322"/>
      <c r="M565" s="322"/>
      <c r="N565" s="322"/>
      <c r="O565" s="322"/>
      <c r="P565" s="322"/>
      <c r="Q565" s="322"/>
      <c r="R565" s="322"/>
      <c r="S565" s="322"/>
      <c r="T565" s="322"/>
      <c r="U565" s="322"/>
      <c r="V565" s="322"/>
      <c r="W565" s="322"/>
      <c r="X565" s="322"/>
      <c r="Y565" s="322"/>
      <c r="Z565" s="322"/>
    </row>
    <row r="566" ht="12.75" customHeight="1">
      <c r="A566" s="322"/>
      <c r="B566" s="322"/>
      <c r="C566" s="323"/>
      <c r="D566" s="324"/>
      <c r="E566" s="323"/>
      <c r="F566" s="324"/>
      <c r="G566" s="322"/>
      <c r="H566" s="322"/>
      <c r="I566" s="322"/>
      <c r="J566" s="322"/>
      <c r="K566" s="322"/>
      <c r="L566" s="322"/>
      <c r="M566" s="322"/>
      <c r="N566" s="322"/>
      <c r="O566" s="322"/>
      <c r="P566" s="322"/>
      <c r="Q566" s="322"/>
      <c r="R566" s="322"/>
      <c r="S566" s="322"/>
      <c r="T566" s="322"/>
      <c r="U566" s="322"/>
      <c r="V566" s="322"/>
      <c r="W566" s="322"/>
      <c r="X566" s="322"/>
      <c r="Y566" s="322"/>
      <c r="Z566" s="322"/>
    </row>
    <row r="567" ht="12.75" customHeight="1">
      <c r="A567" s="322"/>
      <c r="B567" s="322"/>
      <c r="C567" s="323"/>
      <c r="D567" s="324"/>
      <c r="E567" s="323"/>
      <c r="F567" s="324"/>
      <c r="G567" s="322"/>
      <c r="H567" s="322"/>
      <c r="I567" s="322"/>
      <c r="J567" s="322"/>
      <c r="K567" s="322"/>
      <c r="L567" s="322"/>
      <c r="M567" s="322"/>
      <c r="N567" s="322"/>
      <c r="O567" s="322"/>
      <c r="P567" s="322"/>
      <c r="Q567" s="322"/>
      <c r="R567" s="322"/>
      <c r="S567" s="322"/>
      <c r="T567" s="322"/>
      <c r="U567" s="322"/>
      <c r="V567" s="322"/>
      <c r="W567" s="322"/>
      <c r="X567" s="322"/>
      <c r="Y567" s="322"/>
      <c r="Z567" s="322"/>
    </row>
    <row r="568" ht="12.75" customHeight="1">
      <c r="A568" s="322"/>
      <c r="B568" s="322"/>
      <c r="C568" s="323"/>
      <c r="D568" s="324"/>
      <c r="E568" s="323"/>
      <c r="F568" s="324"/>
      <c r="G568" s="322"/>
      <c r="H568" s="322"/>
      <c r="I568" s="322"/>
      <c r="J568" s="322"/>
      <c r="K568" s="322"/>
      <c r="L568" s="322"/>
      <c r="M568" s="322"/>
      <c r="N568" s="322"/>
      <c r="O568" s="322"/>
      <c r="P568" s="322"/>
      <c r="Q568" s="322"/>
      <c r="R568" s="322"/>
      <c r="S568" s="322"/>
      <c r="T568" s="322"/>
      <c r="U568" s="322"/>
      <c r="V568" s="322"/>
      <c r="W568" s="322"/>
      <c r="X568" s="322"/>
      <c r="Y568" s="322"/>
      <c r="Z568" s="322"/>
    </row>
    <row r="569" ht="12.75" customHeight="1">
      <c r="A569" s="322"/>
      <c r="B569" s="322"/>
      <c r="C569" s="323"/>
      <c r="D569" s="324"/>
      <c r="E569" s="323"/>
      <c r="F569" s="324"/>
      <c r="G569" s="322"/>
      <c r="H569" s="322"/>
      <c r="I569" s="322"/>
      <c r="J569" s="322"/>
      <c r="K569" s="322"/>
      <c r="L569" s="322"/>
      <c r="M569" s="322"/>
      <c r="N569" s="322"/>
      <c r="O569" s="322"/>
      <c r="P569" s="322"/>
      <c r="Q569" s="322"/>
      <c r="R569" s="322"/>
      <c r="S569" s="322"/>
      <c r="T569" s="322"/>
      <c r="U569" s="322"/>
      <c r="V569" s="322"/>
      <c r="W569" s="322"/>
      <c r="X569" s="322"/>
      <c r="Y569" s="322"/>
      <c r="Z569" s="322"/>
    </row>
    <row r="570" ht="12.75" customHeight="1">
      <c r="A570" s="322"/>
      <c r="B570" s="322"/>
      <c r="C570" s="323"/>
      <c r="D570" s="324"/>
      <c r="E570" s="323"/>
      <c r="F570" s="324"/>
      <c r="G570" s="322"/>
      <c r="H570" s="322"/>
      <c r="I570" s="322"/>
      <c r="J570" s="322"/>
      <c r="K570" s="322"/>
      <c r="L570" s="322"/>
      <c r="M570" s="322"/>
      <c r="N570" s="322"/>
      <c r="O570" s="322"/>
      <c r="P570" s="322"/>
      <c r="Q570" s="322"/>
      <c r="R570" s="322"/>
      <c r="S570" s="322"/>
      <c r="T570" s="322"/>
      <c r="U570" s="322"/>
      <c r="V570" s="322"/>
      <c r="W570" s="322"/>
      <c r="X570" s="322"/>
      <c r="Y570" s="322"/>
      <c r="Z570" s="322"/>
    </row>
    <row r="571" ht="12.75" customHeight="1">
      <c r="A571" s="322"/>
      <c r="B571" s="322"/>
      <c r="C571" s="323"/>
      <c r="D571" s="324"/>
      <c r="E571" s="323"/>
      <c r="F571" s="324"/>
      <c r="G571" s="322"/>
      <c r="H571" s="322"/>
      <c r="I571" s="322"/>
      <c r="J571" s="322"/>
      <c r="K571" s="322"/>
      <c r="L571" s="322"/>
      <c r="M571" s="322"/>
      <c r="N571" s="322"/>
      <c r="O571" s="322"/>
      <c r="P571" s="322"/>
      <c r="Q571" s="322"/>
      <c r="R571" s="322"/>
      <c r="S571" s="322"/>
      <c r="T571" s="322"/>
      <c r="U571" s="322"/>
      <c r="V571" s="322"/>
      <c r="W571" s="322"/>
      <c r="X571" s="322"/>
      <c r="Y571" s="322"/>
      <c r="Z571" s="322"/>
    </row>
    <row r="572" ht="12.75" customHeight="1">
      <c r="A572" s="322"/>
      <c r="B572" s="322"/>
      <c r="C572" s="323"/>
      <c r="D572" s="324"/>
      <c r="E572" s="323"/>
      <c r="F572" s="324"/>
      <c r="G572" s="322"/>
      <c r="H572" s="322"/>
      <c r="I572" s="322"/>
      <c r="J572" s="322"/>
      <c r="K572" s="322"/>
      <c r="L572" s="322"/>
      <c r="M572" s="322"/>
      <c r="N572" s="322"/>
      <c r="O572" s="322"/>
      <c r="P572" s="322"/>
      <c r="Q572" s="322"/>
      <c r="R572" s="322"/>
      <c r="S572" s="322"/>
      <c r="T572" s="322"/>
      <c r="U572" s="322"/>
      <c r="V572" s="322"/>
      <c r="W572" s="322"/>
      <c r="X572" s="322"/>
      <c r="Y572" s="322"/>
      <c r="Z572" s="322"/>
    </row>
    <row r="573" ht="12.75" customHeight="1">
      <c r="A573" s="322"/>
      <c r="B573" s="322"/>
      <c r="C573" s="323"/>
      <c r="D573" s="324"/>
      <c r="E573" s="323"/>
      <c r="F573" s="324"/>
      <c r="G573" s="322"/>
      <c r="H573" s="322"/>
      <c r="I573" s="322"/>
      <c r="J573" s="322"/>
      <c r="K573" s="322"/>
      <c r="L573" s="322"/>
      <c r="M573" s="322"/>
      <c r="N573" s="322"/>
      <c r="O573" s="322"/>
      <c r="P573" s="322"/>
      <c r="Q573" s="322"/>
      <c r="R573" s="322"/>
      <c r="S573" s="322"/>
      <c r="T573" s="322"/>
      <c r="U573" s="322"/>
      <c r="V573" s="322"/>
      <c r="W573" s="322"/>
      <c r="X573" s="322"/>
      <c r="Y573" s="322"/>
      <c r="Z573" s="322"/>
    </row>
    <row r="574" ht="12.75" customHeight="1">
      <c r="A574" s="322"/>
      <c r="B574" s="322"/>
      <c r="C574" s="323"/>
      <c r="D574" s="324"/>
      <c r="E574" s="323"/>
      <c r="F574" s="324"/>
      <c r="G574" s="322"/>
      <c r="H574" s="322"/>
      <c r="I574" s="322"/>
      <c r="J574" s="322"/>
      <c r="K574" s="322"/>
      <c r="L574" s="322"/>
      <c r="M574" s="322"/>
      <c r="N574" s="322"/>
      <c r="O574" s="322"/>
      <c r="P574" s="322"/>
      <c r="Q574" s="322"/>
      <c r="R574" s="322"/>
      <c r="S574" s="322"/>
      <c r="T574" s="322"/>
      <c r="U574" s="322"/>
      <c r="V574" s="322"/>
      <c r="W574" s="322"/>
      <c r="X574" s="322"/>
      <c r="Y574" s="322"/>
      <c r="Z574" s="322"/>
    </row>
    <row r="575" ht="12.75" customHeight="1">
      <c r="A575" s="322"/>
      <c r="B575" s="322"/>
      <c r="C575" s="323"/>
      <c r="D575" s="324"/>
      <c r="E575" s="323"/>
      <c r="F575" s="324"/>
      <c r="G575" s="322"/>
      <c r="H575" s="322"/>
      <c r="I575" s="322"/>
      <c r="J575" s="322"/>
      <c r="K575" s="322"/>
      <c r="L575" s="322"/>
      <c r="M575" s="322"/>
      <c r="N575" s="322"/>
      <c r="O575" s="322"/>
      <c r="P575" s="322"/>
      <c r="Q575" s="322"/>
      <c r="R575" s="322"/>
      <c r="S575" s="322"/>
      <c r="T575" s="322"/>
      <c r="U575" s="322"/>
      <c r="V575" s="322"/>
      <c r="W575" s="322"/>
      <c r="X575" s="322"/>
      <c r="Y575" s="322"/>
      <c r="Z575" s="322"/>
    </row>
    <row r="576" ht="12.75" customHeight="1">
      <c r="A576" s="322"/>
      <c r="B576" s="322"/>
      <c r="C576" s="323"/>
      <c r="D576" s="324"/>
      <c r="E576" s="323"/>
      <c r="F576" s="324"/>
      <c r="G576" s="322"/>
      <c r="H576" s="322"/>
      <c r="I576" s="322"/>
      <c r="J576" s="322"/>
      <c r="K576" s="322"/>
      <c r="L576" s="322"/>
      <c r="M576" s="322"/>
      <c r="N576" s="322"/>
      <c r="O576" s="322"/>
      <c r="P576" s="322"/>
      <c r="Q576" s="322"/>
      <c r="R576" s="322"/>
      <c r="S576" s="322"/>
      <c r="T576" s="322"/>
      <c r="U576" s="322"/>
      <c r="V576" s="322"/>
      <c r="W576" s="322"/>
      <c r="X576" s="322"/>
      <c r="Y576" s="322"/>
      <c r="Z576" s="322"/>
    </row>
    <row r="577" ht="12.75" customHeight="1">
      <c r="A577" s="322"/>
      <c r="B577" s="322"/>
      <c r="C577" s="323"/>
      <c r="D577" s="324"/>
      <c r="E577" s="323"/>
      <c r="F577" s="324"/>
      <c r="G577" s="322"/>
      <c r="H577" s="322"/>
      <c r="I577" s="322"/>
      <c r="J577" s="322"/>
      <c r="K577" s="322"/>
      <c r="L577" s="322"/>
      <c r="M577" s="322"/>
      <c r="N577" s="322"/>
      <c r="O577" s="322"/>
      <c r="P577" s="322"/>
      <c r="Q577" s="322"/>
      <c r="R577" s="322"/>
      <c r="S577" s="322"/>
      <c r="T577" s="322"/>
      <c r="U577" s="322"/>
      <c r="V577" s="322"/>
      <c r="W577" s="322"/>
      <c r="X577" s="322"/>
      <c r="Y577" s="322"/>
      <c r="Z577" s="322"/>
    </row>
    <row r="578" ht="12.75" customHeight="1">
      <c r="A578" s="322"/>
      <c r="B578" s="322"/>
      <c r="C578" s="323"/>
      <c r="D578" s="324"/>
      <c r="E578" s="323"/>
      <c r="F578" s="324"/>
      <c r="G578" s="322"/>
      <c r="H578" s="322"/>
      <c r="I578" s="322"/>
      <c r="J578" s="322"/>
      <c r="K578" s="322"/>
      <c r="L578" s="322"/>
      <c r="M578" s="322"/>
      <c r="N578" s="322"/>
      <c r="O578" s="322"/>
      <c r="P578" s="322"/>
      <c r="Q578" s="322"/>
      <c r="R578" s="322"/>
      <c r="S578" s="322"/>
      <c r="T578" s="322"/>
      <c r="U578" s="322"/>
      <c r="V578" s="322"/>
      <c r="W578" s="322"/>
      <c r="X578" s="322"/>
      <c r="Y578" s="322"/>
      <c r="Z578" s="322"/>
    </row>
    <row r="579" ht="12.75" customHeight="1">
      <c r="A579" s="322"/>
      <c r="B579" s="322"/>
      <c r="C579" s="323"/>
      <c r="D579" s="324"/>
      <c r="E579" s="323"/>
      <c r="F579" s="324"/>
      <c r="G579" s="322"/>
      <c r="H579" s="322"/>
      <c r="I579" s="322"/>
      <c r="J579" s="322"/>
      <c r="K579" s="322"/>
      <c r="L579" s="322"/>
      <c r="M579" s="322"/>
      <c r="N579" s="322"/>
      <c r="O579" s="322"/>
      <c r="P579" s="322"/>
      <c r="Q579" s="322"/>
      <c r="R579" s="322"/>
      <c r="S579" s="322"/>
      <c r="T579" s="322"/>
      <c r="U579" s="322"/>
      <c r="V579" s="322"/>
      <c r="W579" s="322"/>
      <c r="X579" s="322"/>
      <c r="Y579" s="322"/>
      <c r="Z579" s="322"/>
    </row>
    <row r="580" ht="12.75" customHeight="1">
      <c r="A580" s="322"/>
      <c r="B580" s="322"/>
      <c r="C580" s="323"/>
      <c r="D580" s="324"/>
      <c r="E580" s="323"/>
      <c r="F580" s="324"/>
      <c r="G580" s="322"/>
      <c r="H580" s="322"/>
      <c r="I580" s="322"/>
      <c r="J580" s="322"/>
      <c r="K580" s="322"/>
      <c r="L580" s="322"/>
      <c r="M580" s="322"/>
      <c r="N580" s="322"/>
      <c r="O580" s="322"/>
      <c r="P580" s="322"/>
      <c r="Q580" s="322"/>
      <c r="R580" s="322"/>
      <c r="S580" s="322"/>
      <c r="T580" s="322"/>
      <c r="U580" s="322"/>
      <c r="V580" s="322"/>
      <c r="W580" s="322"/>
      <c r="X580" s="322"/>
      <c r="Y580" s="322"/>
      <c r="Z580" s="322"/>
    </row>
    <row r="581" ht="12.75" customHeight="1">
      <c r="A581" s="322"/>
      <c r="B581" s="322"/>
      <c r="C581" s="323"/>
      <c r="D581" s="324"/>
      <c r="E581" s="323"/>
      <c r="F581" s="324"/>
      <c r="G581" s="322"/>
      <c r="H581" s="322"/>
      <c r="I581" s="322"/>
      <c r="J581" s="322"/>
      <c r="K581" s="322"/>
      <c r="L581" s="322"/>
      <c r="M581" s="322"/>
      <c r="N581" s="322"/>
      <c r="O581" s="322"/>
      <c r="P581" s="322"/>
      <c r="Q581" s="322"/>
      <c r="R581" s="322"/>
      <c r="S581" s="322"/>
      <c r="T581" s="322"/>
      <c r="U581" s="322"/>
      <c r="V581" s="322"/>
      <c r="W581" s="322"/>
      <c r="X581" s="322"/>
      <c r="Y581" s="322"/>
      <c r="Z581" s="322"/>
    </row>
    <row r="582" ht="12.75" customHeight="1">
      <c r="A582" s="322"/>
      <c r="B582" s="322"/>
      <c r="C582" s="323"/>
      <c r="D582" s="324"/>
      <c r="E582" s="323"/>
      <c r="F582" s="324"/>
      <c r="G582" s="322"/>
      <c r="H582" s="322"/>
      <c r="I582" s="322"/>
      <c r="J582" s="322"/>
      <c r="K582" s="322"/>
      <c r="L582" s="322"/>
      <c r="M582" s="322"/>
      <c r="N582" s="322"/>
      <c r="O582" s="322"/>
      <c r="P582" s="322"/>
      <c r="Q582" s="322"/>
      <c r="R582" s="322"/>
      <c r="S582" s="322"/>
      <c r="T582" s="322"/>
      <c r="U582" s="322"/>
      <c r="V582" s="322"/>
      <c r="W582" s="322"/>
      <c r="X582" s="322"/>
      <c r="Y582" s="322"/>
      <c r="Z582" s="322"/>
    </row>
    <row r="583" ht="12.75" customHeight="1">
      <c r="A583" s="322"/>
      <c r="B583" s="322"/>
      <c r="C583" s="323"/>
      <c r="D583" s="324"/>
      <c r="E583" s="323"/>
      <c r="F583" s="324"/>
      <c r="G583" s="322"/>
      <c r="H583" s="322"/>
      <c r="I583" s="322"/>
      <c r="J583" s="322"/>
      <c r="K583" s="322"/>
      <c r="L583" s="322"/>
      <c r="M583" s="322"/>
      <c r="N583" s="322"/>
      <c r="O583" s="322"/>
      <c r="P583" s="322"/>
      <c r="Q583" s="322"/>
      <c r="R583" s="322"/>
      <c r="S583" s="322"/>
      <c r="T583" s="322"/>
      <c r="U583" s="322"/>
      <c r="V583" s="322"/>
      <c r="W583" s="322"/>
      <c r="X583" s="322"/>
      <c r="Y583" s="322"/>
      <c r="Z583" s="322"/>
    </row>
    <row r="584" ht="12.75" customHeight="1">
      <c r="A584" s="322"/>
      <c r="B584" s="322"/>
      <c r="C584" s="323"/>
      <c r="D584" s="324"/>
      <c r="E584" s="323"/>
      <c r="F584" s="324"/>
      <c r="G584" s="322"/>
      <c r="H584" s="322"/>
      <c r="I584" s="322"/>
      <c r="J584" s="322"/>
      <c r="K584" s="322"/>
      <c r="L584" s="322"/>
      <c r="M584" s="322"/>
      <c r="N584" s="322"/>
      <c r="O584" s="322"/>
      <c r="P584" s="322"/>
      <c r="Q584" s="322"/>
      <c r="R584" s="322"/>
      <c r="S584" s="322"/>
      <c r="T584" s="322"/>
      <c r="U584" s="322"/>
      <c r="V584" s="322"/>
      <c r="W584" s="322"/>
      <c r="X584" s="322"/>
      <c r="Y584" s="322"/>
      <c r="Z584" s="322"/>
    </row>
    <row r="585" ht="12.75" customHeight="1">
      <c r="A585" s="322"/>
      <c r="B585" s="322"/>
      <c r="C585" s="323"/>
      <c r="D585" s="324"/>
      <c r="E585" s="323"/>
      <c r="F585" s="324"/>
      <c r="G585" s="322"/>
      <c r="H585" s="322"/>
      <c r="I585" s="322"/>
      <c r="J585" s="322"/>
      <c r="K585" s="322"/>
      <c r="L585" s="322"/>
      <c r="M585" s="322"/>
      <c r="N585" s="322"/>
      <c r="O585" s="322"/>
      <c r="P585" s="322"/>
      <c r="Q585" s="322"/>
      <c r="R585" s="322"/>
      <c r="S585" s="322"/>
      <c r="T585" s="322"/>
      <c r="U585" s="322"/>
      <c r="V585" s="322"/>
      <c r="W585" s="322"/>
      <c r="X585" s="322"/>
      <c r="Y585" s="322"/>
      <c r="Z585" s="322"/>
    </row>
    <row r="586" ht="12.75" customHeight="1">
      <c r="A586" s="322"/>
      <c r="B586" s="322"/>
      <c r="C586" s="323"/>
      <c r="D586" s="324"/>
      <c r="E586" s="323"/>
      <c r="F586" s="324"/>
      <c r="G586" s="322"/>
      <c r="H586" s="322"/>
      <c r="I586" s="322"/>
      <c r="J586" s="322"/>
      <c r="K586" s="322"/>
      <c r="L586" s="322"/>
      <c r="M586" s="322"/>
      <c r="N586" s="322"/>
      <c r="O586" s="322"/>
      <c r="P586" s="322"/>
      <c r="Q586" s="322"/>
      <c r="R586" s="322"/>
      <c r="S586" s="322"/>
      <c r="T586" s="322"/>
      <c r="U586" s="322"/>
      <c r="V586" s="322"/>
      <c r="W586" s="322"/>
      <c r="X586" s="322"/>
      <c r="Y586" s="322"/>
      <c r="Z586" s="322"/>
    </row>
    <row r="587" ht="12.75" customHeight="1">
      <c r="A587" s="322"/>
      <c r="B587" s="322"/>
      <c r="C587" s="323"/>
      <c r="D587" s="324"/>
      <c r="E587" s="323"/>
      <c r="F587" s="324"/>
      <c r="G587" s="322"/>
      <c r="H587" s="322"/>
      <c r="I587" s="322"/>
      <c r="J587" s="322"/>
      <c r="K587" s="322"/>
      <c r="L587" s="322"/>
      <c r="M587" s="322"/>
      <c r="N587" s="322"/>
      <c r="O587" s="322"/>
      <c r="P587" s="322"/>
      <c r="Q587" s="322"/>
      <c r="R587" s="322"/>
      <c r="S587" s="322"/>
      <c r="T587" s="322"/>
      <c r="U587" s="322"/>
      <c r="V587" s="322"/>
      <c r="W587" s="322"/>
      <c r="X587" s="322"/>
      <c r="Y587" s="322"/>
      <c r="Z587" s="322"/>
    </row>
    <row r="588" ht="12.75" customHeight="1">
      <c r="A588" s="322"/>
      <c r="B588" s="322"/>
      <c r="C588" s="323"/>
      <c r="D588" s="324"/>
      <c r="E588" s="323"/>
      <c r="F588" s="324"/>
      <c r="G588" s="322"/>
      <c r="H588" s="322"/>
      <c r="I588" s="322"/>
      <c r="J588" s="322"/>
      <c r="K588" s="322"/>
      <c r="L588" s="322"/>
      <c r="M588" s="322"/>
      <c r="N588" s="322"/>
      <c r="O588" s="322"/>
      <c r="P588" s="322"/>
      <c r="Q588" s="322"/>
      <c r="R588" s="322"/>
      <c r="S588" s="322"/>
      <c r="T588" s="322"/>
      <c r="U588" s="322"/>
      <c r="V588" s="322"/>
      <c r="W588" s="322"/>
      <c r="X588" s="322"/>
      <c r="Y588" s="322"/>
      <c r="Z588" s="322"/>
    </row>
    <row r="589" ht="12.75" customHeight="1">
      <c r="A589" s="322"/>
      <c r="B589" s="322"/>
      <c r="C589" s="323"/>
      <c r="D589" s="324"/>
      <c r="E589" s="323"/>
      <c r="F589" s="324"/>
      <c r="G589" s="322"/>
      <c r="H589" s="322"/>
      <c r="I589" s="322"/>
      <c r="J589" s="322"/>
      <c r="K589" s="322"/>
      <c r="L589" s="322"/>
      <c r="M589" s="322"/>
      <c r="N589" s="322"/>
      <c r="O589" s="322"/>
      <c r="P589" s="322"/>
      <c r="Q589" s="322"/>
      <c r="R589" s="322"/>
      <c r="S589" s="322"/>
      <c r="T589" s="322"/>
      <c r="U589" s="322"/>
      <c r="V589" s="322"/>
      <c r="W589" s="322"/>
      <c r="X589" s="322"/>
      <c r="Y589" s="322"/>
      <c r="Z589" s="322"/>
    </row>
    <row r="590" ht="12.75" customHeight="1">
      <c r="A590" s="322"/>
      <c r="B590" s="322"/>
      <c r="C590" s="323"/>
      <c r="D590" s="324"/>
      <c r="E590" s="323"/>
      <c r="F590" s="324"/>
      <c r="G590" s="322"/>
      <c r="H590" s="322"/>
      <c r="I590" s="322"/>
      <c r="J590" s="322"/>
      <c r="K590" s="322"/>
      <c r="L590" s="322"/>
      <c r="M590" s="322"/>
      <c r="N590" s="322"/>
      <c r="O590" s="322"/>
      <c r="P590" s="322"/>
      <c r="Q590" s="322"/>
      <c r="R590" s="322"/>
      <c r="S590" s="322"/>
      <c r="T590" s="322"/>
      <c r="U590" s="322"/>
      <c r="V590" s="322"/>
      <c r="W590" s="322"/>
      <c r="X590" s="322"/>
      <c r="Y590" s="322"/>
      <c r="Z590" s="322"/>
    </row>
    <row r="591" ht="12.75" customHeight="1">
      <c r="A591" s="322"/>
      <c r="B591" s="322"/>
      <c r="C591" s="323"/>
      <c r="D591" s="324"/>
      <c r="E591" s="323"/>
      <c r="F591" s="324"/>
      <c r="G591" s="322"/>
      <c r="H591" s="322"/>
      <c r="I591" s="322"/>
      <c r="J591" s="322"/>
      <c r="K591" s="322"/>
      <c r="L591" s="322"/>
      <c r="M591" s="322"/>
      <c r="N591" s="322"/>
      <c r="O591" s="322"/>
      <c r="P591" s="322"/>
      <c r="Q591" s="322"/>
      <c r="R591" s="322"/>
      <c r="S591" s="322"/>
      <c r="T591" s="322"/>
      <c r="U591" s="322"/>
      <c r="V591" s="322"/>
      <c r="W591" s="322"/>
      <c r="X591" s="322"/>
      <c r="Y591" s="322"/>
      <c r="Z591" s="322"/>
    </row>
    <row r="592" ht="12.75" customHeight="1">
      <c r="A592" s="322"/>
      <c r="B592" s="322"/>
      <c r="C592" s="323"/>
      <c r="D592" s="324"/>
      <c r="E592" s="323"/>
      <c r="F592" s="324"/>
      <c r="G592" s="322"/>
      <c r="H592" s="322"/>
      <c r="I592" s="322"/>
      <c r="J592" s="322"/>
      <c r="K592" s="322"/>
      <c r="L592" s="322"/>
      <c r="M592" s="322"/>
      <c r="N592" s="322"/>
      <c r="O592" s="322"/>
      <c r="P592" s="322"/>
      <c r="Q592" s="322"/>
      <c r="R592" s="322"/>
      <c r="S592" s="322"/>
      <c r="T592" s="322"/>
      <c r="U592" s="322"/>
      <c r="V592" s="322"/>
      <c r="W592" s="322"/>
      <c r="X592" s="322"/>
      <c r="Y592" s="322"/>
      <c r="Z592" s="322"/>
    </row>
    <row r="593" ht="12.75" customHeight="1">
      <c r="A593" s="322"/>
      <c r="B593" s="322"/>
      <c r="C593" s="323"/>
      <c r="D593" s="324"/>
      <c r="E593" s="323"/>
      <c r="F593" s="324"/>
      <c r="G593" s="322"/>
      <c r="H593" s="322"/>
      <c r="I593" s="322"/>
      <c r="J593" s="322"/>
      <c r="K593" s="322"/>
      <c r="L593" s="322"/>
      <c r="M593" s="322"/>
      <c r="N593" s="322"/>
      <c r="O593" s="322"/>
      <c r="P593" s="322"/>
      <c r="Q593" s="322"/>
      <c r="R593" s="322"/>
      <c r="S593" s="322"/>
      <c r="T593" s="322"/>
      <c r="U593" s="322"/>
      <c r="V593" s="322"/>
      <c r="W593" s="322"/>
      <c r="X593" s="322"/>
      <c r="Y593" s="322"/>
      <c r="Z593" s="322"/>
    </row>
    <row r="594" ht="12.75" customHeight="1">
      <c r="A594" s="322"/>
      <c r="B594" s="322"/>
      <c r="C594" s="323"/>
      <c r="D594" s="324"/>
      <c r="E594" s="323"/>
      <c r="F594" s="324"/>
      <c r="G594" s="322"/>
      <c r="H594" s="322"/>
      <c r="I594" s="322"/>
      <c r="J594" s="322"/>
      <c r="K594" s="322"/>
      <c r="L594" s="322"/>
      <c r="M594" s="322"/>
      <c r="N594" s="322"/>
      <c r="O594" s="322"/>
      <c r="P594" s="322"/>
      <c r="Q594" s="322"/>
      <c r="R594" s="322"/>
      <c r="S594" s="322"/>
      <c r="T594" s="322"/>
      <c r="U594" s="322"/>
      <c r="V594" s="322"/>
      <c r="W594" s="322"/>
      <c r="X594" s="322"/>
      <c r="Y594" s="322"/>
      <c r="Z594" s="322"/>
    </row>
    <row r="595" ht="12.75" customHeight="1">
      <c r="A595" s="322"/>
      <c r="B595" s="322"/>
      <c r="C595" s="323"/>
      <c r="D595" s="324"/>
      <c r="E595" s="323"/>
      <c r="F595" s="324"/>
      <c r="G595" s="322"/>
      <c r="H595" s="322"/>
      <c r="I595" s="322"/>
      <c r="J595" s="322"/>
      <c r="K595" s="322"/>
      <c r="L595" s="322"/>
      <c r="M595" s="322"/>
      <c r="N595" s="322"/>
      <c r="O595" s="322"/>
      <c r="P595" s="322"/>
      <c r="Q595" s="322"/>
      <c r="R595" s="322"/>
      <c r="S595" s="322"/>
      <c r="T595" s="322"/>
      <c r="U595" s="322"/>
      <c r="V595" s="322"/>
      <c r="W595" s="322"/>
      <c r="X595" s="322"/>
      <c r="Y595" s="322"/>
      <c r="Z595" s="322"/>
    </row>
    <row r="596" ht="12.75" customHeight="1">
      <c r="A596" s="322"/>
      <c r="B596" s="322"/>
      <c r="C596" s="323"/>
      <c r="D596" s="324"/>
      <c r="E596" s="323"/>
      <c r="F596" s="324"/>
      <c r="G596" s="322"/>
      <c r="H596" s="322"/>
      <c r="I596" s="322"/>
      <c r="J596" s="322"/>
      <c r="K596" s="322"/>
      <c r="L596" s="322"/>
      <c r="M596" s="322"/>
      <c r="N596" s="322"/>
      <c r="O596" s="322"/>
      <c r="P596" s="322"/>
      <c r="Q596" s="322"/>
      <c r="R596" s="322"/>
      <c r="S596" s="322"/>
      <c r="T596" s="322"/>
      <c r="U596" s="322"/>
      <c r="V596" s="322"/>
      <c r="W596" s="322"/>
      <c r="X596" s="322"/>
      <c r="Y596" s="322"/>
      <c r="Z596" s="322"/>
    </row>
    <row r="597" ht="12.75" customHeight="1">
      <c r="A597" s="322"/>
      <c r="B597" s="322"/>
      <c r="C597" s="323"/>
      <c r="D597" s="324"/>
      <c r="E597" s="323"/>
      <c r="F597" s="324"/>
      <c r="G597" s="322"/>
      <c r="H597" s="322"/>
      <c r="I597" s="322"/>
      <c r="J597" s="322"/>
      <c r="K597" s="322"/>
      <c r="L597" s="322"/>
      <c r="M597" s="322"/>
      <c r="N597" s="322"/>
      <c r="O597" s="322"/>
      <c r="P597" s="322"/>
      <c r="Q597" s="322"/>
      <c r="R597" s="322"/>
      <c r="S597" s="322"/>
      <c r="T597" s="322"/>
      <c r="U597" s="322"/>
      <c r="V597" s="322"/>
      <c r="W597" s="322"/>
      <c r="X597" s="322"/>
      <c r="Y597" s="322"/>
      <c r="Z597" s="322"/>
    </row>
    <row r="598" ht="12.75" customHeight="1">
      <c r="A598" s="322"/>
      <c r="B598" s="322"/>
      <c r="C598" s="323"/>
      <c r="D598" s="324"/>
      <c r="E598" s="323"/>
      <c r="F598" s="324"/>
      <c r="G598" s="322"/>
      <c r="H598" s="322"/>
      <c r="I598" s="322"/>
      <c r="J598" s="322"/>
      <c r="K598" s="322"/>
      <c r="L598" s="322"/>
      <c r="M598" s="322"/>
      <c r="N598" s="322"/>
      <c r="O598" s="322"/>
      <c r="P598" s="322"/>
      <c r="Q598" s="322"/>
      <c r="R598" s="322"/>
      <c r="S598" s="322"/>
      <c r="T598" s="322"/>
      <c r="U598" s="322"/>
      <c r="V598" s="322"/>
      <c r="W598" s="322"/>
      <c r="X598" s="322"/>
      <c r="Y598" s="322"/>
      <c r="Z598" s="322"/>
    </row>
    <row r="599" ht="12.75" customHeight="1">
      <c r="A599" s="322"/>
      <c r="B599" s="322"/>
      <c r="C599" s="323"/>
      <c r="D599" s="324"/>
      <c r="E599" s="323"/>
      <c r="F599" s="324"/>
      <c r="G599" s="322"/>
      <c r="H599" s="322"/>
      <c r="I599" s="322"/>
      <c r="J599" s="322"/>
      <c r="K599" s="322"/>
      <c r="L599" s="322"/>
      <c r="M599" s="322"/>
      <c r="N599" s="322"/>
      <c r="O599" s="322"/>
      <c r="P599" s="322"/>
      <c r="Q599" s="322"/>
      <c r="R599" s="322"/>
      <c r="S599" s="322"/>
      <c r="T599" s="322"/>
      <c r="U599" s="322"/>
      <c r="V599" s="322"/>
      <c r="W599" s="322"/>
      <c r="X599" s="322"/>
      <c r="Y599" s="322"/>
      <c r="Z599" s="322"/>
    </row>
    <row r="600" ht="12.75" customHeight="1">
      <c r="A600" s="322"/>
      <c r="B600" s="322"/>
      <c r="C600" s="323"/>
      <c r="D600" s="324"/>
      <c r="E600" s="323"/>
      <c r="F600" s="324"/>
      <c r="G600" s="322"/>
      <c r="H600" s="322"/>
      <c r="I600" s="322"/>
      <c r="J600" s="322"/>
      <c r="K600" s="322"/>
      <c r="L600" s="322"/>
      <c r="M600" s="322"/>
      <c r="N600" s="322"/>
      <c r="O600" s="322"/>
      <c r="P600" s="322"/>
      <c r="Q600" s="322"/>
      <c r="R600" s="322"/>
      <c r="S600" s="322"/>
      <c r="T600" s="322"/>
      <c r="U600" s="322"/>
      <c r="V600" s="322"/>
      <c r="W600" s="322"/>
      <c r="X600" s="322"/>
      <c r="Y600" s="322"/>
      <c r="Z600" s="322"/>
    </row>
    <row r="601" ht="12.75" customHeight="1">
      <c r="A601" s="322"/>
      <c r="B601" s="322"/>
      <c r="C601" s="323"/>
      <c r="D601" s="324"/>
      <c r="E601" s="323"/>
      <c r="F601" s="324"/>
      <c r="G601" s="322"/>
      <c r="H601" s="322"/>
      <c r="I601" s="322"/>
      <c r="J601" s="322"/>
      <c r="K601" s="322"/>
      <c r="L601" s="322"/>
      <c r="M601" s="322"/>
      <c r="N601" s="322"/>
      <c r="O601" s="322"/>
      <c r="P601" s="322"/>
      <c r="Q601" s="322"/>
      <c r="R601" s="322"/>
      <c r="S601" s="322"/>
      <c r="T601" s="322"/>
      <c r="U601" s="322"/>
      <c r="V601" s="322"/>
      <c r="W601" s="322"/>
      <c r="X601" s="322"/>
      <c r="Y601" s="322"/>
      <c r="Z601" s="322"/>
    </row>
    <row r="602" ht="12.75" customHeight="1">
      <c r="A602" s="322"/>
      <c r="B602" s="322"/>
      <c r="C602" s="323"/>
      <c r="D602" s="324"/>
      <c r="E602" s="323"/>
      <c r="F602" s="324"/>
      <c r="G602" s="322"/>
      <c r="H602" s="322"/>
      <c r="I602" s="322"/>
      <c r="J602" s="322"/>
      <c r="K602" s="322"/>
      <c r="L602" s="322"/>
      <c r="M602" s="322"/>
      <c r="N602" s="322"/>
      <c r="O602" s="322"/>
      <c r="P602" s="322"/>
      <c r="Q602" s="322"/>
      <c r="R602" s="322"/>
      <c r="S602" s="322"/>
      <c r="T602" s="322"/>
      <c r="U602" s="322"/>
      <c r="V602" s="322"/>
      <c r="W602" s="322"/>
      <c r="X602" s="322"/>
      <c r="Y602" s="322"/>
      <c r="Z602" s="322"/>
    </row>
    <row r="603" ht="12.75" customHeight="1">
      <c r="A603" s="322"/>
      <c r="B603" s="322"/>
      <c r="C603" s="323"/>
      <c r="D603" s="324"/>
      <c r="E603" s="323"/>
      <c r="F603" s="324"/>
      <c r="G603" s="322"/>
      <c r="H603" s="322"/>
      <c r="I603" s="322"/>
      <c r="J603" s="322"/>
      <c r="K603" s="322"/>
      <c r="L603" s="322"/>
      <c r="M603" s="322"/>
      <c r="N603" s="322"/>
      <c r="O603" s="322"/>
      <c r="P603" s="322"/>
      <c r="Q603" s="322"/>
      <c r="R603" s="322"/>
      <c r="S603" s="322"/>
      <c r="T603" s="322"/>
      <c r="U603" s="322"/>
      <c r="V603" s="322"/>
      <c r="W603" s="322"/>
      <c r="X603" s="322"/>
      <c r="Y603" s="322"/>
      <c r="Z603" s="322"/>
    </row>
    <row r="604" ht="12.75" customHeight="1">
      <c r="A604" s="322"/>
      <c r="B604" s="322"/>
      <c r="C604" s="323"/>
      <c r="D604" s="324"/>
      <c r="E604" s="323"/>
      <c r="F604" s="324"/>
      <c r="G604" s="322"/>
      <c r="H604" s="322"/>
      <c r="I604" s="322"/>
      <c r="J604" s="322"/>
      <c r="K604" s="322"/>
      <c r="L604" s="322"/>
      <c r="M604" s="322"/>
      <c r="N604" s="322"/>
      <c r="O604" s="322"/>
      <c r="P604" s="322"/>
      <c r="Q604" s="322"/>
      <c r="R604" s="322"/>
      <c r="S604" s="322"/>
      <c r="T604" s="322"/>
      <c r="U604" s="322"/>
      <c r="V604" s="322"/>
      <c r="W604" s="322"/>
      <c r="X604" s="322"/>
      <c r="Y604" s="322"/>
      <c r="Z604" s="322"/>
    </row>
    <row r="605" ht="12.75" customHeight="1">
      <c r="A605" s="322"/>
      <c r="B605" s="322"/>
      <c r="C605" s="323"/>
      <c r="D605" s="324"/>
      <c r="E605" s="323"/>
      <c r="F605" s="324"/>
      <c r="G605" s="322"/>
      <c r="H605" s="322"/>
      <c r="I605" s="322"/>
      <c r="J605" s="322"/>
      <c r="K605" s="322"/>
      <c r="L605" s="322"/>
      <c r="M605" s="322"/>
      <c r="N605" s="322"/>
      <c r="O605" s="322"/>
      <c r="P605" s="322"/>
      <c r="Q605" s="322"/>
      <c r="R605" s="322"/>
      <c r="S605" s="322"/>
      <c r="T605" s="322"/>
      <c r="U605" s="322"/>
      <c r="V605" s="322"/>
      <c r="W605" s="322"/>
      <c r="X605" s="322"/>
      <c r="Y605" s="322"/>
      <c r="Z605" s="322"/>
    </row>
    <row r="606" ht="12.75" customHeight="1">
      <c r="A606" s="322"/>
      <c r="B606" s="322"/>
      <c r="C606" s="323"/>
      <c r="D606" s="324"/>
      <c r="E606" s="323"/>
      <c r="F606" s="324"/>
      <c r="G606" s="322"/>
      <c r="H606" s="322"/>
      <c r="I606" s="322"/>
      <c r="J606" s="322"/>
      <c r="K606" s="322"/>
      <c r="L606" s="322"/>
      <c r="M606" s="322"/>
      <c r="N606" s="322"/>
      <c r="O606" s="322"/>
      <c r="P606" s="322"/>
      <c r="Q606" s="322"/>
      <c r="R606" s="322"/>
      <c r="S606" s="322"/>
      <c r="T606" s="322"/>
      <c r="U606" s="322"/>
      <c r="V606" s="322"/>
      <c r="W606" s="322"/>
      <c r="X606" s="322"/>
      <c r="Y606" s="322"/>
      <c r="Z606" s="322"/>
    </row>
    <row r="607" ht="12.75" customHeight="1">
      <c r="A607" s="322"/>
      <c r="B607" s="322"/>
      <c r="C607" s="323"/>
      <c r="D607" s="324"/>
      <c r="E607" s="323"/>
      <c r="F607" s="324"/>
      <c r="G607" s="322"/>
      <c r="H607" s="322"/>
      <c r="I607" s="322"/>
      <c r="J607" s="322"/>
      <c r="K607" s="322"/>
      <c r="L607" s="322"/>
      <c r="M607" s="322"/>
      <c r="N607" s="322"/>
      <c r="O607" s="322"/>
      <c r="P607" s="322"/>
      <c r="Q607" s="322"/>
      <c r="R607" s="322"/>
      <c r="S607" s="322"/>
      <c r="T607" s="322"/>
      <c r="U607" s="322"/>
      <c r="V607" s="322"/>
      <c r="W607" s="322"/>
      <c r="X607" s="322"/>
      <c r="Y607" s="322"/>
      <c r="Z607" s="322"/>
    </row>
    <row r="608" ht="12.75" customHeight="1">
      <c r="A608" s="322"/>
      <c r="B608" s="322"/>
      <c r="C608" s="323"/>
      <c r="D608" s="324"/>
      <c r="E608" s="323"/>
      <c r="F608" s="324"/>
      <c r="G608" s="322"/>
      <c r="H608" s="322"/>
      <c r="I608" s="322"/>
      <c r="J608" s="322"/>
      <c r="K608" s="322"/>
      <c r="L608" s="322"/>
      <c r="M608" s="322"/>
      <c r="N608" s="322"/>
      <c r="O608" s="322"/>
      <c r="P608" s="322"/>
      <c r="Q608" s="322"/>
      <c r="R608" s="322"/>
      <c r="S608" s="322"/>
      <c r="T608" s="322"/>
      <c r="U608" s="322"/>
      <c r="V608" s="322"/>
      <c r="W608" s="322"/>
      <c r="X608" s="322"/>
      <c r="Y608" s="322"/>
      <c r="Z608" s="322"/>
    </row>
    <row r="609" ht="12.75" customHeight="1">
      <c r="A609" s="322"/>
      <c r="B609" s="322"/>
      <c r="C609" s="323"/>
      <c r="D609" s="324"/>
      <c r="E609" s="323"/>
      <c r="F609" s="324"/>
      <c r="G609" s="322"/>
      <c r="H609" s="322"/>
      <c r="I609" s="322"/>
      <c r="J609" s="322"/>
      <c r="K609" s="322"/>
      <c r="L609" s="322"/>
      <c r="M609" s="322"/>
      <c r="N609" s="322"/>
      <c r="O609" s="322"/>
      <c r="P609" s="322"/>
      <c r="Q609" s="322"/>
      <c r="R609" s="322"/>
      <c r="S609" s="322"/>
      <c r="T609" s="322"/>
      <c r="U609" s="322"/>
      <c r="V609" s="322"/>
      <c r="W609" s="322"/>
      <c r="X609" s="322"/>
      <c r="Y609" s="322"/>
      <c r="Z609" s="322"/>
    </row>
    <row r="610" ht="12.75" customHeight="1">
      <c r="A610" s="322"/>
      <c r="B610" s="322"/>
      <c r="C610" s="323"/>
      <c r="D610" s="324"/>
      <c r="E610" s="323"/>
      <c r="F610" s="324"/>
      <c r="G610" s="322"/>
      <c r="H610" s="322"/>
      <c r="I610" s="322"/>
      <c r="J610" s="322"/>
      <c r="K610" s="322"/>
      <c r="L610" s="322"/>
      <c r="M610" s="322"/>
      <c r="N610" s="322"/>
      <c r="O610" s="322"/>
      <c r="P610" s="322"/>
      <c r="Q610" s="322"/>
      <c r="R610" s="322"/>
      <c r="S610" s="322"/>
      <c r="T610" s="322"/>
      <c r="U610" s="322"/>
      <c r="V610" s="322"/>
      <c r="W610" s="322"/>
      <c r="X610" s="322"/>
      <c r="Y610" s="322"/>
      <c r="Z610" s="322"/>
    </row>
    <row r="611" ht="12.75" customHeight="1">
      <c r="A611" s="322"/>
      <c r="B611" s="322"/>
      <c r="C611" s="323"/>
      <c r="D611" s="324"/>
      <c r="E611" s="323"/>
      <c r="F611" s="324"/>
      <c r="G611" s="322"/>
      <c r="H611" s="322"/>
      <c r="I611" s="322"/>
      <c r="J611" s="322"/>
      <c r="K611" s="322"/>
      <c r="L611" s="322"/>
      <c r="M611" s="322"/>
      <c r="N611" s="322"/>
      <c r="O611" s="322"/>
      <c r="P611" s="322"/>
      <c r="Q611" s="322"/>
      <c r="R611" s="322"/>
      <c r="S611" s="322"/>
      <c r="T611" s="322"/>
      <c r="U611" s="322"/>
      <c r="V611" s="322"/>
      <c r="W611" s="322"/>
      <c r="X611" s="322"/>
      <c r="Y611" s="322"/>
      <c r="Z611" s="322"/>
    </row>
    <row r="612" ht="12.75" customHeight="1">
      <c r="A612" s="322"/>
      <c r="B612" s="322"/>
      <c r="C612" s="323"/>
      <c r="D612" s="324"/>
      <c r="E612" s="323"/>
      <c r="F612" s="324"/>
      <c r="G612" s="322"/>
      <c r="H612" s="322"/>
      <c r="I612" s="322"/>
      <c r="J612" s="322"/>
      <c r="K612" s="322"/>
      <c r="L612" s="322"/>
      <c r="M612" s="322"/>
      <c r="N612" s="322"/>
      <c r="O612" s="322"/>
      <c r="P612" s="322"/>
      <c r="Q612" s="322"/>
      <c r="R612" s="322"/>
      <c r="S612" s="322"/>
      <c r="T612" s="322"/>
      <c r="U612" s="322"/>
      <c r="V612" s="322"/>
      <c r="W612" s="322"/>
      <c r="X612" s="322"/>
      <c r="Y612" s="322"/>
      <c r="Z612" s="322"/>
    </row>
    <row r="613" ht="12.75" customHeight="1">
      <c r="A613" s="322"/>
      <c r="B613" s="322"/>
      <c r="C613" s="323"/>
      <c r="D613" s="324"/>
      <c r="E613" s="323"/>
      <c r="F613" s="324"/>
      <c r="G613" s="322"/>
      <c r="H613" s="322"/>
      <c r="I613" s="322"/>
      <c r="J613" s="322"/>
      <c r="K613" s="322"/>
      <c r="L613" s="322"/>
      <c r="M613" s="322"/>
      <c r="N613" s="322"/>
      <c r="O613" s="322"/>
      <c r="P613" s="322"/>
      <c r="Q613" s="322"/>
      <c r="R613" s="322"/>
      <c r="S613" s="322"/>
      <c r="T613" s="322"/>
      <c r="U613" s="322"/>
      <c r="V613" s="322"/>
      <c r="W613" s="322"/>
      <c r="X613" s="322"/>
      <c r="Y613" s="322"/>
      <c r="Z613" s="322"/>
    </row>
    <row r="614" ht="12.75" customHeight="1">
      <c r="A614" s="322"/>
      <c r="B614" s="322"/>
      <c r="C614" s="323"/>
      <c r="D614" s="324"/>
      <c r="E614" s="323"/>
      <c r="F614" s="324"/>
      <c r="G614" s="322"/>
      <c r="H614" s="322"/>
      <c r="I614" s="322"/>
      <c r="J614" s="322"/>
      <c r="K614" s="322"/>
      <c r="L614" s="322"/>
      <c r="M614" s="322"/>
      <c r="N614" s="322"/>
      <c r="O614" s="322"/>
      <c r="P614" s="322"/>
      <c r="Q614" s="322"/>
      <c r="R614" s="322"/>
      <c r="S614" s="322"/>
      <c r="T614" s="322"/>
      <c r="U614" s="322"/>
      <c r="V614" s="322"/>
      <c r="W614" s="322"/>
      <c r="X614" s="322"/>
      <c r="Y614" s="322"/>
      <c r="Z614" s="322"/>
    </row>
    <row r="615" ht="12.75" customHeight="1">
      <c r="A615" s="322"/>
      <c r="B615" s="322"/>
      <c r="C615" s="323"/>
      <c r="D615" s="324"/>
      <c r="E615" s="323"/>
      <c r="F615" s="324"/>
      <c r="G615" s="322"/>
      <c r="H615" s="322"/>
      <c r="I615" s="322"/>
      <c r="J615" s="322"/>
      <c r="K615" s="322"/>
      <c r="L615" s="322"/>
      <c r="M615" s="322"/>
      <c r="N615" s="322"/>
      <c r="O615" s="322"/>
      <c r="P615" s="322"/>
      <c r="Q615" s="322"/>
      <c r="R615" s="322"/>
      <c r="S615" s="322"/>
      <c r="T615" s="322"/>
      <c r="U615" s="322"/>
      <c r="V615" s="322"/>
      <c r="W615" s="322"/>
      <c r="X615" s="322"/>
      <c r="Y615" s="322"/>
      <c r="Z615" s="322"/>
    </row>
    <row r="616" ht="12.75" customHeight="1">
      <c r="A616" s="322"/>
      <c r="B616" s="322"/>
      <c r="C616" s="323"/>
      <c r="D616" s="324"/>
      <c r="E616" s="323"/>
      <c r="F616" s="324"/>
      <c r="G616" s="322"/>
      <c r="H616" s="322"/>
      <c r="I616" s="322"/>
      <c r="J616" s="322"/>
      <c r="K616" s="322"/>
      <c r="L616" s="322"/>
      <c r="M616" s="322"/>
      <c r="N616" s="322"/>
      <c r="O616" s="322"/>
      <c r="P616" s="322"/>
      <c r="Q616" s="322"/>
      <c r="R616" s="322"/>
      <c r="S616" s="322"/>
      <c r="T616" s="322"/>
      <c r="U616" s="322"/>
      <c r="V616" s="322"/>
      <c r="W616" s="322"/>
      <c r="X616" s="322"/>
      <c r="Y616" s="322"/>
      <c r="Z616" s="322"/>
    </row>
    <row r="617" ht="12.75" customHeight="1">
      <c r="A617" s="322"/>
      <c r="B617" s="322"/>
      <c r="C617" s="323"/>
      <c r="D617" s="324"/>
      <c r="E617" s="323"/>
      <c r="F617" s="324"/>
      <c r="G617" s="322"/>
      <c r="H617" s="322"/>
      <c r="I617" s="322"/>
      <c r="J617" s="322"/>
      <c r="K617" s="322"/>
      <c r="L617" s="322"/>
      <c r="M617" s="322"/>
      <c r="N617" s="322"/>
      <c r="O617" s="322"/>
      <c r="P617" s="322"/>
      <c r="Q617" s="322"/>
      <c r="R617" s="322"/>
      <c r="S617" s="322"/>
      <c r="T617" s="322"/>
      <c r="U617" s="322"/>
      <c r="V617" s="322"/>
      <c r="W617" s="322"/>
      <c r="X617" s="322"/>
      <c r="Y617" s="322"/>
      <c r="Z617" s="322"/>
    </row>
    <row r="618" ht="12.75" customHeight="1">
      <c r="A618" s="322"/>
      <c r="B618" s="322"/>
      <c r="C618" s="323"/>
      <c r="D618" s="324"/>
      <c r="E618" s="323"/>
      <c r="F618" s="324"/>
      <c r="G618" s="322"/>
      <c r="H618" s="322"/>
      <c r="I618" s="322"/>
      <c r="J618" s="322"/>
      <c r="K618" s="322"/>
      <c r="L618" s="322"/>
      <c r="M618" s="322"/>
      <c r="N618" s="322"/>
      <c r="O618" s="322"/>
      <c r="P618" s="322"/>
      <c r="Q618" s="322"/>
      <c r="R618" s="322"/>
      <c r="S618" s="322"/>
      <c r="T618" s="322"/>
      <c r="U618" s="322"/>
      <c r="V618" s="322"/>
      <c r="W618" s="322"/>
      <c r="X618" s="322"/>
      <c r="Y618" s="322"/>
      <c r="Z618" s="322"/>
    </row>
    <row r="619" ht="12.75" customHeight="1">
      <c r="A619" s="322"/>
      <c r="B619" s="322"/>
      <c r="C619" s="323"/>
      <c r="D619" s="324"/>
      <c r="E619" s="323"/>
      <c r="F619" s="324"/>
      <c r="G619" s="322"/>
      <c r="H619" s="322"/>
      <c r="I619" s="322"/>
      <c r="J619" s="322"/>
      <c r="K619" s="322"/>
      <c r="L619" s="322"/>
      <c r="M619" s="322"/>
      <c r="N619" s="322"/>
      <c r="O619" s="322"/>
      <c r="P619" s="322"/>
      <c r="Q619" s="322"/>
      <c r="R619" s="322"/>
      <c r="S619" s="322"/>
      <c r="T619" s="322"/>
      <c r="U619" s="322"/>
      <c r="V619" s="322"/>
      <c r="W619" s="322"/>
      <c r="X619" s="322"/>
      <c r="Y619" s="322"/>
      <c r="Z619" s="322"/>
    </row>
    <row r="620" ht="12.75" customHeight="1">
      <c r="A620" s="322"/>
      <c r="B620" s="322"/>
      <c r="C620" s="323"/>
      <c r="D620" s="324"/>
      <c r="E620" s="323"/>
      <c r="F620" s="324"/>
      <c r="G620" s="322"/>
      <c r="H620" s="322"/>
      <c r="I620" s="322"/>
      <c r="J620" s="322"/>
      <c r="K620" s="322"/>
      <c r="L620" s="322"/>
      <c r="M620" s="322"/>
      <c r="N620" s="322"/>
      <c r="O620" s="322"/>
      <c r="P620" s="322"/>
      <c r="Q620" s="322"/>
      <c r="R620" s="322"/>
      <c r="S620" s="322"/>
      <c r="T620" s="322"/>
      <c r="U620" s="322"/>
      <c r="V620" s="322"/>
      <c r="W620" s="322"/>
      <c r="X620" s="322"/>
      <c r="Y620" s="322"/>
      <c r="Z620" s="322"/>
    </row>
    <row r="621" ht="12.75" customHeight="1">
      <c r="A621" s="322"/>
      <c r="B621" s="322"/>
      <c r="C621" s="323"/>
      <c r="D621" s="324"/>
      <c r="E621" s="323"/>
      <c r="F621" s="324"/>
      <c r="G621" s="322"/>
      <c r="H621" s="322"/>
      <c r="I621" s="322"/>
      <c r="J621" s="322"/>
      <c r="K621" s="322"/>
      <c r="L621" s="322"/>
      <c r="M621" s="322"/>
      <c r="N621" s="322"/>
      <c r="O621" s="322"/>
      <c r="P621" s="322"/>
      <c r="Q621" s="322"/>
      <c r="R621" s="322"/>
      <c r="S621" s="322"/>
      <c r="T621" s="322"/>
      <c r="U621" s="322"/>
      <c r="V621" s="322"/>
      <c r="W621" s="322"/>
      <c r="X621" s="322"/>
      <c r="Y621" s="322"/>
      <c r="Z621" s="322"/>
    </row>
    <row r="622" ht="12.75" customHeight="1">
      <c r="A622" s="322"/>
      <c r="B622" s="322"/>
      <c r="C622" s="323"/>
      <c r="D622" s="324"/>
      <c r="E622" s="323"/>
      <c r="F622" s="324"/>
      <c r="G622" s="322"/>
      <c r="H622" s="322"/>
      <c r="I622" s="322"/>
      <c r="J622" s="322"/>
      <c r="K622" s="322"/>
      <c r="L622" s="322"/>
      <c r="M622" s="322"/>
      <c r="N622" s="322"/>
      <c r="O622" s="322"/>
      <c r="P622" s="322"/>
      <c r="Q622" s="322"/>
      <c r="R622" s="322"/>
      <c r="S622" s="322"/>
      <c r="T622" s="322"/>
      <c r="U622" s="322"/>
      <c r="V622" s="322"/>
      <c r="W622" s="322"/>
      <c r="X622" s="322"/>
      <c r="Y622" s="322"/>
      <c r="Z622" s="322"/>
    </row>
    <row r="623" ht="12.75" customHeight="1">
      <c r="A623" s="322"/>
      <c r="B623" s="322"/>
      <c r="C623" s="323"/>
      <c r="D623" s="324"/>
      <c r="E623" s="323"/>
      <c r="F623" s="324"/>
      <c r="G623" s="322"/>
      <c r="H623" s="322"/>
      <c r="I623" s="322"/>
      <c r="J623" s="322"/>
      <c r="K623" s="322"/>
      <c r="L623" s="322"/>
      <c r="M623" s="322"/>
      <c r="N623" s="322"/>
      <c r="O623" s="322"/>
      <c r="P623" s="322"/>
      <c r="Q623" s="322"/>
      <c r="R623" s="322"/>
      <c r="S623" s="322"/>
      <c r="T623" s="322"/>
      <c r="U623" s="322"/>
      <c r="V623" s="322"/>
      <c r="W623" s="322"/>
      <c r="X623" s="322"/>
      <c r="Y623" s="322"/>
      <c r="Z623" s="322"/>
    </row>
    <row r="624" ht="12.75" customHeight="1">
      <c r="A624" s="322"/>
      <c r="B624" s="322"/>
      <c r="C624" s="323"/>
      <c r="D624" s="324"/>
      <c r="E624" s="323"/>
      <c r="F624" s="324"/>
      <c r="G624" s="322"/>
      <c r="H624" s="322"/>
      <c r="I624" s="322"/>
      <c r="J624" s="322"/>
      <c r="K624" s="322"/>
      <c r="L624" s="322"/>
      <c r="M624" s="322"/>
      <c r="N624" s="322"/>
      <c r="O624" s="322"/>
      <c r="P624" s="322"/>
      <c r="Q624" s="322"/>
      <c r="R624" s="322"/>
      <c r="S624" s="322"/>
      <c r="T624" s="322"/>
      <c r="U624" s="322"/>
      <c r="V624" s="322"/>
      <c r="W624" s="322"/>
      <c r="X624" s="322"/>
      <c r="Y624" s="322"/>
      <c r="Z624" s="322"/>
    </row>
    <row r="625" ht="12.75" customHeight="1">
      <c r="A625" s="322"/>
      <c r="B625" s="322"/>
      <c r="C625" s="323"/>
      <c r="D625" s="324"/>
      <c r="E625" s="323"/>
      <c r="F625" s="324"/>
      <c r="G625" s="322"/>
      <c r="H625" s="322"/>
      <c r="I625" s="322"/>
      <c r="J625" s="322"/>
      <c r="K625" s="322"/>
      <c r="L625" s="322"/>
      <c r="M625" s="322"/>
      <c r="N625" s="322"/>
      <c r="O625" s="322"/>
      <c r="P625" s="322"/>
      <c r="Q625" s="322"/>
      <c r="R625" s="322"/>
      <c r="S625" s="322"/>
      <c r="T625" s="322"/>
      <c r="U625" s="322"/>
      <c r="V625" s="322"/>
      <c r="W625" s="322"/>
      <c r="X625" s="322"/>
      <c r="Y625" s="322"/>
      <c r="Z625" s="322"/>
    </row>
    <row r="626" ht="12.75" customHeight="1">
      <c r="A626" s="322"/>
      <c r="B626" s="322"/>
      <c r="C626" s="323"/>
      <c r="D626" s="324"/>
      <c r="E626" s="323"/>
      <c r="F626" s="324"/>
      <c r="G626" s="322"/>
      <c r="H626" s="322"/>
      <c r="I626" s="322"/>
      <c r="J626" s="322"/>
      <c r="K626" s="322"/>
      <c r="L626" s="322"/>
      <c r="M626" s="322"/>
      <c r="N626" s="322"/>
      <c r="O626" s="322"/>
      <c r="P626" s="322"/>
      <c r="Q626" s="322"/>
      <c r="R626" s="322"/>
      <c r="S626" s="322"/>
      <c r="T626" s="322"/>
      <c r="U626" s="322"/>
      <c r="V626" s="322"/>
      <c r="W626" s="322"/>
      <c r="X626" s="322"/>
      <c r="Y626" s="322"/>
      <c r="Z626" s="322"/>
    </row>
    <row r="627" ht="12.75" customHeight="1">
      <c r="A627" s="322"/>
      <c r="B627" s="322"/>
      <c r="C627" s="323"/>
      <c r="D627" s="324"/>
      <c r="E627" s="323"/>
      <c r="F627" s="324"/>
      <c r="G627" s="322"/>
      <c r="H627" s="322"/>
      <c r="I627" s="322"/>
      <c r="J627" s="322"/>
      <c r="K627" s="322"/>
      <c r="L627" s="322"/>
      <c r="M627" s="322"/>
      <c r="N627" s="322"/>
      <c r="O627" s="322"/>
      <c r="P627" s="322"/>
      <c r="Q627" s="322"/>
      <c r="R627" s="322"/>
      <c r="S627" s="322"/>
      <c r="T627" s="322"/>
      <c r="U627" s="322"/>
      <c r="V627" s="322"/>
      <c r="W627" s="322"/>
      <c r="X627" s="322"/>
      <c r="Y627" s="322"/>
      <c r="Z627" s="322"/>
    </row>
    <row r="628" ht="12.75" customHeight="1">
      <c r="A628" s="322"/>
      <c r="B628" s="322"/>
      <c r="C628" s="323"/>
      <c r="D628" s="324"/>
      <c r="E628" s="323"/>
      <c r="F628" s="324"/>
      <c r="G628" s="322"/>
      <c r="H628" s="322"/>
      <c r="I628" s="322"/>
      <c r="J628" s="322"/>
      <c r="K628" s="322"/>
      <c r="L628" s="322"/>
      <c r="M628" s="322"/>
      <c r="N628" s="322"/>
      <c r="O628" s="322"/>
      <c r="P628" s="322"/>
      <c r="Q628" s="322"/>
      <c r="R628" s="322"/>
      <c r="S628" s="322"/>
      <c r="T628" s="322"/>
      <c r="U628" s="322"/>
      <c r="V628" s="322"/>
      <c r="W628" s="322"/>
      <c r="X628" s="322"/>
      <c r="Y628" s="322"/>
      <c r="Z628" s="322"/>
    </row>
    <row r="629" ht="12.75" customHeight="1">
      <c r="A629" s="322"/>
      <c r="B629" s="322"/>
      <c r="C629" s="323"/>
      <c r="D629" s="324"/>
      <c r="E629" s="323"/>
      <c r="F629" s="324"/>
      <c r="G629" s="322"/>
      <c r="H629" s="322"/>
      <c r="I629" s="322"/>
      <c r="J629" s="322"/>
      <c r="K629" s="322"/>
      <c r="L629" s="322"/>
      <c r="M629" s="322"/>
      <c r="N629" s="322"/>
      <c r="O629" s="322"/>
      <c r="P629" s="322"/>
      <c r="Q629" s="322"/>
      <c r="R629" s="322"/>
      <c r="S629" s="322"/>
      <c r="T629" s="322"/>
      <c r="U629" s="322"/>
      <c r="V629" s="322"/>
      <c r="W629" s="322"/>
      <c r="X629" s="322"/>
      <c r="Y629" s="322"/>
      <c r="Z629" s="322"/>
    </row>
    <row r="630" ht="12.75" customHeight="1">
      <c r="A630" s="322"/>
      <c r="B630" s="322"/>
      <c r="C630" s="323"/>
      <c r="D630" s="324"/>
      <c r="E630" s="323"/>
      <c r="F630" s="324"/>
      <c r="G630" s="322"/>
      <c r="H630" s="322"/>
      <c r="I630" s="322"/>
      <c r="J630" s="322"/>
      <c r="K630" s="322"/>
      <c r="L630" s="322"/>
      <c r="M630" s="322"/>
      <c r="N630" s="322"/>
      <c r="O630" s="322"/>
      <c r="P630" s="322"/>
      <c r="Q630" s="322"/>
      <c r="R630" s="322"/>
      <c r="S630" s="322"/>
      <c r="T630" s="322"/>
      <c r="U630" s="322"/>
      <c r="V630" s="322"/>
      <c r="W630" s="322"/>
      <c r="X630" s="322"/>
      <c r="Y630" s="322"/>
      <c r="Z630" s="322"/>
    </row>
    <row r="631" ht="12.75" customHeight="1">
      <c r="A631" s="322"/>
      <c r="B631" s="322"/>
      <c r="C631" s="323"/>
      <c r="D631" s="324"/>
      <c r="E631" s="323"/>
      <c r="F631" s="324"/>
      <c r="G631" s="322"/>
      <c r="H631" s="322"/>
      <c r="I631" s="322"/>
      <c r="J631" s="322"/>
      <c r="K631" s="322"/>
      <c r="L631" s="322"/>
      <c r="M631" s="322"/>
      <c r="N631" s="322"/>
      <c r="O631" s="322"/>
      <c r="P631" s="322"/>
      <c r="Q631" s="322"/>
      <c r="R631" s="322"/>
      <c r="S631" s="322"/>
      <c r="T631" s="322"/>
      <c r="U631" s="322"/>
      <c r="V631" s="322"/>
      <c r="W631" s="322"/>
      <c r="X631" s="322"/>
      <c r="Y631" s="322"/>
      <c r="Z631" s="322"/>
    </row>
    <row r="632" ht="12.75" customHeight="1">
      <c r="A632" s="322"/>
      <c r="B632" s="322"/>
      <c r="C632" s="323"/>
      <c r="D632" s="324"/>
      <c r="E632" s="323"/>
      <c r="F632" s="324"/>
      <c r="G632" s="322"/>
      <c r="H632" s="322"/>
      <c r="I632" s="322"/>
      <c r="J632" s="322"/>
      <c r="K632" s="322"/>
      <c r="L632" s="322"/>
      <c r="M632" s="322"/>
      <c r="N632" s="322"/>
      <c r="O632" s="322"/>
      <c r="P632" s="322"/>
      <c r="Q632" s="322"/>
      <c r="R632" s="322"/>
      <c r="S632" s="322"/>
      <c r="T632" s="322"/>
      <c r="U632" s="322"/>
      <c r="V632" s="322"/>
      <c r="W632" s="322"/>
      <c r="X632" s="322"/>
      <c r="Y632" s="322"/>
      <c r="Z632" s="322"/>
    </row>
    <row r="633" ht="12.75" customHeight="1">
      <c r="A633" s="322"/>
      <c r="B633" s="322"/>
      <c r="C633" s="323"/>
      <c r="D633" s="324"/>
      <c r="E633" s="323"/>
      <c r="F633" s="324"/>
      <c r="G633" s="322"/>
      <c r="H633" s="322"/>
      <c r="I633" s="322"/>
      <c r="J633" s="322"/>
      <c r="K633" s="322"/>
      <c r="L633" s="322"/>
      <c r="M633" s="322"/>
      <c r="N633" s="322"/>
      <c r="O633" s="322"/>
      <c r="P633" s="322"/>
      <c r="Q633" s="322"/>
      <c r="R633" s="322"/>
      <c r="S633" s="322"/>
      <c r="T633" s="322"/>
      <c r="U633" s="322"/>
      <c r="V633" s="322"/>
      <c r="W633" s="322"/>
      <c r="X633" s="322"/>
      <c r="Y633" s="322"/>
      <c r="Z633" s="322"/>
    </row>
    <row r="634" ht="12.75" customHeight="1">
      <c r="A634" s="322"/>
      <c r="B634" s="322"/>
      <c r="C634" s="323"/>
      <c r="D634" s="324"/>
      <c r="E634" s="323"/>
      <c r="F634" s="324"/>
      <c r="G634" s="322"/>
      <c r="H634" s="322"/>
      <c r="I634" s="322"/>
      <c r="J634" s="322"/>
      <c r="K634" s="322"/>
      <c r="L634" s="322"/>
      <c r="M634" s="322"/>
      <c r="N634" s="322"/>
      <c r="O634" s="322"/>
      <c r="P634" s="322"/>
      <c r="Q634" s="322"/>
      <c r="R634" s="322"/>
      <c r="S634" s="322"/>
      <c r="T634" s="322"/>
      <c r="U634" s="322"/>
      <c r="V634" s="322"/>
      <c r="W634" s="322"/>
      <c r="X634" s="322"/>
      <c r="Y634" s="322"/>
      <c r="Z634" s="322"/>
    </row>
    <row r="635" ht="12.75" customHeight="1">
      <c r="A635" s="322"/>
      <c r="B635" s="322"/>
      <c r="C635" s="323"/>
      <c r="D635" s="324"/>
      <c r="E635" s="323"/>
      <c r="F635" s="324"/>
      <c r="G635" s="322"/>
      <c r="H635" s="322"/>
      <c r="I635" s="322"/>
      <c r="J635" s="322"/>
      <c r="K635" s="322"/>
      <c r="L635" s="322"/>
      <c r="M635" s="322"/>
      <c r="N635" s="322"/>
      <c r="O635" s="322"/>
      <c r="P635" s="322"/>
      <c r="Q635" s="322"/>
      <c r="R635" s="322"/>
      <c r="S635" s="322"/>
      <c r="T635" s="322"/>
      <c r="U635" s="322"/>
      <c r="V635" s="322"/>
      <c r="W635" s="322"/>
      <c r="X635" s="322"/>
      <c r="Y635" s="322"/>
      <c r="Z635" s="322"/>
    </row>
    <row r="636" ht="12.75" customHeight="1">
      <c r="A636" s="322"/>
      <c r="B636" s="322"/>
      <c r="C636" s="323"/>
      <c r="D636" s="324"/>
      <c r="E636" s="323"/>
      <c r="F636" s="324"/>
      <c r="G636" s="322"/>
      <c r="H636" s="322"/>
      <c r="I636" s="322"/>
      <c r="J636" s="322"/>
      <c r="K636" s="322"/>
      <c r="L636" s="322"/>
      <c r="M636" s="322"/>
      <c r="N636" s="322"/>
      <c r="O636" s="322"/>
      <c r="P636" s="322"/>
      <c r="Q636" s="322"/>
      <c r="R636" s="322"/>
      <c r="S636" s="322"/>
      <c r="T636" s="322"/>
      <c r="U636" s="322"/>
      <c r="V636" s="322"/>
      <c r="W636" s="322"/>
      <c r="X636" s="322"/>
      <c r="Y636" s="322"/>
      <c r="Z636" s="322"/>
    </row>
    <row r="637" ht="12.75" customHeight="1">
      <c r="A637" s="322"/>
      <c r="B637" s="322"/>
      <c r="C637" s="323"/>
      <c r="D637" s="324"/>
      <c r="E637" s="323"/>
      <c r="F637" s="324"/>
      <c r="G637" s="322"/>
      <c r="H637" s="322"/>
      <c r="I637" s="322"/>
      <c r="J637" s="322"/>
      <c r="K637" s="322"/>
      <c r="L637" s="322"/>
      <c r="M637" s="322"/>
      <c r="N637" s="322"/>
      <c r="O637" s="322"/>
      <c r="P637" s="322"/>
      <c r="Q637" s="322"/>
      <c r="R637" s="322"/>
      <c r="S637" s="322"/>
      <c r="T637" s="322"/>
      <c r="U637" s="322"/>
      <c r="V637" s="322"/>
      <c r="W637" s="322"/>
      <c r="X637" s="322"/>
      <c r="Y637" s="322"/>
      <c r="Z637" s="322"/>
    </row>
    <row r="638" ht="12.75" customHeight="1">
      <c r="A638" s="322"/>
      <c r="B638" s="322"/>
      <c r="C638" s="323"/>
      <c r="D638" s="324"/>
      <c r="E638" s="323"/>
      <c r="F638" s="324"/>
      <c r="G638" s="322"/>
      <c r="H638" s="322"/>
      <c r="I638" s="322"/>
      <c r="J638" s="322"/>
      <c r="K638" s="322"/>
      <c r="L638" s="322"/>
      <c r="M638" s="322"/>
      <c r="N638" s="322"/>
      <c r="O638" s="322"/>
      <c r="P638" s="322"/>
      <c r="Q638" s="322"/>
      <c r="R638" s="322"/>
      <c r="S638" s="322"/>
      <c r="T638" s="322"/>
      <c r="U638" s="322"/>
      <c r="V638" s="322"/>
      <c r="W638" s="322"/>
      <c r="X638" s="322"/>
      <c r="Y638" s="322"/>
      <c r="Z638" s="322"/>
    </row>
    <row r="639" ht="12.75" customHeight="1">
      <c r="A639" s="322"/>
      <c r="B639" s="322"/>
      <c r="C639" s="323"/>
      <c r="D639" s="324"/>
      <c r="E639" s="323"/>
      <c r="F639" s="324"/>
      <c r="G639" s="322"/>
      <c r="H639" s="322"/>
      <c r="I639" s="322"/>
      <c r="J639" s="322"/>
      <c r="K639" s="322"/>
      <c r="L639" s="322"/>
      <c r="M639" s="322"/>
      <c r="N639" s="322"/>
      <c r="O639" s="322"/>
      <c r="P639" s="322"/>
      <c r="Q639" s="322"/>
      <c r="R639" s="322"/>
      <c r="S639" s="322"/>
      <c r="T639" s="322"/>
      <c r="U639" s="322"/>
      <c r="V639" s="322"/>
      <c r="W639" s="322"/>
      <c r="X639" s="322"/>
      <c r="Y639" s="322"/>
      <c r="Z639" s="322"/>
    </row>
    <row r="640" ht="12.75" customHeight="1">
      <c r="A640" s="322"/>
      <c r="B640" s="322"/>
      <c r="C640" s="323"/>
      <c r="D640" s="324"/>
      <c r="E640" s="323"/>
      <c r="F640" s="324"/>
      <c r="G640" s="322"/>
      <c r="H640" s="322"/>
      <c r="I640" s="322"/>
      <c r="J640" s="322"/>
      <c r="K640" s="322"/>
      <c r="L640" s="322"/>
      <c r="M640" s="322"/>
      <c r="N640" s="322"/>
      <c r="O640" s="322"/>
      <c r="P640" s="322"/>
      <c r="Q640" s="322"/>
      <c r="R640" s="322"/>
      <c r="S640" s="322"/>
      <c r="T640" s="322"/>
      <c r="U640" s="322"/>
      <c r="V640" s="322"/>
      <c r="W640" s="322"/>
      <c r="X640" s="322"/>
      <c r="Y640" s="322"/>
      <c r="Z640" s="322"/>
    </row>
    <row r="641" ht="12.75" customHeight="1">
      <c r="A641" s="322"/>
      <c r="B641" s="322"/>
      <c r="C641" s="323"/>
      <c r="D641" s="324"/>
      <c r="E641" s="323"/>
      <c r="F641" s="324"/>
      <c r="G641" s="322"/>
      <c r="H641" s="322"/>
      <c r="I641" s="322"/>
      <c r="J641" s="322"/>
      <c r="K641" s="322"/>
      <c r="L641" s="322"/>
      <c r="M641" s="322"/>
      <c r="N641" s="322"/>
      <c r="O641" s="322"/>
      <c r="P641" s="322"/>
      <c r="Q641" s="322"/>
      <c r="R641" s="322"/>
      <c r="S641" s="322"/>
      <c r="T641" s="322"/>
      <c r="U641" s="322"/>
      <c r="V641" s="322"/>
      <c r="W641" s="322"/>
      <c r="X641" s="322"/>
      <c r="Y641" s="322"/>
      <c r="Z641" s="322"/>
    </row>
    <row r="642" ht="12.75" customHeight="1">
      <c r="A642" s="322"/>
      <c r="B642" s="322"/>
      <c r="C642" s="323"/>
      <c r="D642" s="324"/>
      <c r="E642" s="323"/>
      <c r="F642" s="324"/>
      <c r="G642" s="322"/>
      <c r="H642" s="322"/>
      <c r="I642" s="322"/>
      <c r="J642" s="322"/>
      <c r="K642" s="322"/>
      <c r="L642" s="322"/>
      <c r="M642" s="322"/>
      <c r="N642" s="322"/>
      <c r="O642" s="322"/>
      <c r="P642" s="322"/>
      <c r="Q642" s="322"/>
      <c r="R642" s="322"/>
      <c r="S642" s="322"/>
      <c r="T642" s="322"/>
      <c r="U642" s="322"/>
      <c r="V642" s="322"/>
      <c r="W642" s="322"/>
      <c r="X642" s="322"/>
      <c r="Y642" s="322"/>
      <c r="Z642" s="322"/>
    </row>
    <row r="643" ht="12.75" customHeight="1">
      <c r="A643" s="322"/>
      <c r="B643" s="322"/>
      <c r="C643" s="323"/>
      <c r="D643" s="324"/>
      <c r="E643" s="323"/>
      <c r="F643" s="324"/>
      <c r="G643" s="322"/>
      <c r="H643" s="322"/>
      <c r="I643" s="322"/>
      <c r="J643" s="322"/>
      <c r="K643" s="322"/>
      <c r="L643" s="322"/>
      <c r="M643" s="322"/>
      <c r="N643" s="322"/>
      <c r="O643" s="322"/>
      <c r="P643" s="322"/>
      <c r="Q643" s="322"/>
      <c r="R643" s="322"/>
      <c r="S643" s="322"/>
      <c r="T643" s="322"/>
      <c r="U643" s="322"/>
      <c r="V643" s="322"/>
      <c r="W643" s="322"/>
      <c r="X643" s="322"/>
      <c r="Y643" s="322"/>
      <c r="Z643" s="322"/>
    </row>
    <row r="644" ht="12.75" customHeight="1">
      <c r="A644" s="322"/>
      <c r="B644" s="322"/>
      <c r="C644" s="323"/>
      <c r="D644" s="324"/>
      <c r="E644" s="323"/>
      <c r="F644" s="324"/>
      <c r="G644" s="322"/>
      <c r="H644" s="322"/>
      <c r="I644" s="322"/>
      <c r="J644" s="322"/>
      <c r="K644" s="322"/>
      <c r="L644" s="322"/>
      <c r="M644" s="322"/>
      <c r="N644" s="322"/>
      <c r="O644" s="322"/>
      <c r="P644" s="322"/>
      <c r="Q644" s="322"/>
      <c r="R644" s="322"/>
      <c r="S644" s="322"/>
      <c r="T644" s="322"/>
      <c r="U644" s="322"/>
      <c r="V644" s="322"/>
      <c r="W644" s="322"/>
      <c r="X644" s="322"/>
      <c r="Y644" s="322"/>
      <c r="Z644" s="322"/>
    </row>
    <row r="645" ht="12.75" customHeight="1">
      <c r="A645" s="322"/>
      <c r="B645" s="322"/>
      <c r="C645" s="323"/>
      <c r="D645" s="324"/>
      <c r="E645" s="323"/>
      <c r="F645" s="324"/>
      <c r="G645" s="322"/>
      <c r="H645" s="322"/>
      <c r="I645" s="322"/>
      <c r="J645" s="322"/>
      <c r="K645" s="322"/>
      <c r="L645" s="322"/>
      <c r="M645" s="322"/>
      <c r="N645" s="322"/>
      <c r="O645" s="322"/>
      <c r="P645" s="322"/>
      <c r="Q645" s="322"/>
      <c r="R645" s="322"/>
      <c r="S645" s="322"/>
      <c r="T645" s="322"/>
      <c r="U645" s="322"/>
      <c r="V645" s="322"/>
      <c r="W645" s="322"/>
      <c r="X645" s="322"/>
      <c r="Y645" s="322"/>
      <c r="Z645" s="322"/>
    </row>
    <row r="646" ht="12.75" customHeight="1">
      <c r="A646" s="322"/>
      <c r="B646" s="322"/>
      <c r="C646" s="323"/>
      <c r="D646" s="324"/>
      <c r="E646" s="323"/>
      <c r="F646" s="324"/>
      <c r="G646" s="322"/>
      <c r="H646" s="322"/>
      <c r="I646" s="322"/>
      <c r="J646" s="322"/>
      <c r="K646" s="322"/>
      <c r="L646" s="322"/>
      <c r="M646" s="322"/>
      <c r="N646" s="322"/>
      <c r="O646" s="322"/>
      <c r="P646" s="322"/>
      <c r="Q646" s="322"/>
      <c r="R646" s="322"/>
      <c r="S646" s="322"/>
      <c r="T646" s="322"/>
      <c r="U646" s="322"/>
      <c r="V646" s="322"/>
      <c r="W646" s="322"/>
      <c r="X646" s="322"/>
      <c r="Y646" s="322"/>
      <c r="Z646" s="322"/>
    </row>
    <row r="647" ht="12.75" customHeight="1">
      <c r="A647" s="322"/>
      <c r="B647" s="322"/>
      <c r="C647" s="323"/>
      <c r="D647" s="324"/>
      <c r="E647" s="323"/>
      <c r="F647" s="324"/>
      <c r="G647" s="322"/>
      <c r="H647" s="322"/>
      <c r="I647" s="322"/>
      <c r="J647" s="322"/>
      <c r="K647" s="322"/>
      <c r="L647" s="322"/>
      <c r="M647" s="322"/>
      <c r="N647" s="322"/>
      <c r="O647" s="322"/>
      <c r="P647" s="322"/>
      <c r="Q647" s="322"/>
      <c r="R647" s="322"/>
      <c r="S647" s="322"/>
      <c r="T647" s="322"/>
      <c r="U647" s="322"/>
      <c r="V647" s="322"/>
      <c r="W647" s="322"/>
      <c r="X647" s="322"/>
      <c r="Y647" s="322"/>
      <c r="Z647" s="322"/>
    </row>
    <row r="648" ht="12.75" customHeight="1">
      <c r="A648" s="322"/>
      <c r="B648" s="322"/>
      <c r="C648" s="323"/>
      <c r="D648" s="324"/>
      <c r="E648" s="323"/>
      <c r="F648" s="324"/>
      <c r="G648" s="322"/>
      <c r="H648" s="322"/>
      <c r="I648" s="322"/>
      <c r="J648" s="322"/>
      <c r="K648" s="322"/>
      <c r="L648" s="322"/>
      <c r="M648" s="322"/>
      <c r="N648" s="322"/>
      <c r="O648" s="322"/>
      <c r="P648" s="322"/>
      <c r="Q648" s="322"/>
      <c r="R648" s="322"/>
      <c r="S648" s="322"/>
      <c r="T648" s="322"/>
      <c r="U648" s="322"/>
      <c r="V648" s="322"/>
      <c r="W648" s="322"/>
      <c r="X648" s="322"/>
      <c r="Y648" s="322"/>
      <c r="Z648" s="322"/>
    </row>
    <row r="649" ht="12.75" customHeight="1">
      <c r="A649" s="322"/>
      <c r="B649" s="322"/>
      <c r="C649" s="323"/>
      <c r="D649" s="324"/>
      <c r="E649" s="323"/>
      <c r="F649" s="324"/>
      <c r="G649" s="322"/>
      <c r="H649" s="322"/>
      <c r="I649" s="322"/>
      <c r="J649" s="322"/>
      <c r="K649" s="322"/>
      <c r="L649" s="322"/>
      <c r="M649" s="322"/>
      <c r="N649" s="322"/>
      <c r="O649" s="322"/>
      <c r="P649" s="322"/>
      <c r="Q649" s="322"/>
      <c r="R649" s="322"/>
      <c r="S649" s="322"/>
      <c r="T649" s="322"/>
      <c r="U649" s="322"/>
      <c r="V649" s="322"/>
      <c r="W649" s="322"/>
      <c r="X649" s="322"/>
      <c r="Y649" s="322"/>
      <c r="Z649" s="322"/>
    </row>
    <row r="650" ht="12.75" customHeight="1">
      <c r="A650" s="322"/>
      <c r="B650" s="322"/>
      <c r="C650" s="323"/>
      <c r="D650" s="324"/>
      <c r="E650" s="323"/>
      <c r="F650" s="324"/>
      <c r="G650" s="322"/>
      <c r="H650" s="322"/>
      <c r="I650" s="322"/>
      <c r="J650" s="322"/>
      <c r="K650" s="322"/>
      <c r="L650" s="322"/>
      <c r="M650" s="322"/>
      <c r="N650" s="322"/>
      <c r="O650" s="322"/>
      <c r="P650" s="322"/>
      <c r="Q650" s="322"/>
      <c r="R650" s="322"/>
      <c r="S650" s="322"/>
      <c r="T650" s="322"/>
      <c r="U650" s="322"/>
      <c r="V650" s="322"/>
      <c r="W650" s="322"/>
      <c r="X650" s="322"/>
      <c r="Y650" s="322"/>
      <c r="Z650" s="322"/>
    </row>
    <row r="651" ht="12.75" customHeight="1">
      <c r="A651" s="322"/>
      <c r="B651" s="322"/>
      <c r="C651" s="323"/>
      <c r="D651" s="324"/>
      <c r="E651" s="323"/>
      <c r="F651" s="324"/>
      <c r="G651" s="322"/>
      <c r="H651" s="322"/>
      <c r="I651" s="322"/>
      <c r="J651" s="322"/>
      <c r="K651" s="322"/>
      <c r="L651" s="322"/>
      <c r="M651" s="322"/>
      <c r="N651" s="322"/>
      <c r="O651" s="322"/>
      <c r="P651" s="322"/>
      <c r="Q651" s="322"/>
      <c r="R651" s="322"/>
      <c r="S651" s="322"/>
      <c r="T651" s="322"/>
      <c r="U651" s="322"/>
      <c r="V651" s="322"/>
      <c r="W651" s="322"/>
      <c r="X651" s="322"/>
      <c r="Y651" s="322"/>
      <c r="Z651" s="322"/>
    </row>
    <row r="652" ht="12.75" customHeight="1">
      <c r="A652" s="322"/>
      <c r="B652" s="322"/>
      <c r="C652" s="323"/>
      <c r="D652" s="324"/>
      <c r="E652" s="323"/>
      <c r="F652" s="324"/>
      <c r="G652" s="322"/>
      <c r="H652" s="322"/>
      <c r="I652" s="322"/>
      <c r="J652" s="322"/>
      <c r="K652" s="322"/>
      <c r="L652" s="322"/>
      <c r="M652" s="322"/>
      <c r="N652" s="322"/>
      <c r="O652" s="322"/>
      <c r="P652" s="322"/>
      <c r="Q652" s="322"/>
      <c r="R652" s="322"/>
      <c r="S652" s="322"/>
      <c r="T652" s="322"/>
      <c r="U652" s="322"/>
      <c r="V652" s="322"/>
      <c r="W652" s="322"/>
      <c r="X652" s="322"/>
      <c r="Y652" s="322"/>
      <c r="Z652" s="322"/>
    </row>
    <row r="653" ht="12.75" customHeight="1">
      <c r="A653" s="322"/>
      <c r="B653" s="322"/>
      <c r="C653" s="323"/>
      <c r="D653" s="324"/>
      <c r="E653" s="323"/>
      <c r="F653" s="324"/>
      <c r="G653" s="322"/>
      <c r="H653" s="322"/>
      <c r="I653" s="322"/>
      <c r="J653" s="322"/>
      <c r="K653" s="322"/>
      <c r="L653" s="322"/>
      <c r="M653" s="322"/>
      <c r="N653" s="322"/>
      <c r="O653" s="322"/>
      <c r="P653" s="322"/>
      <c r="Q653" s="322"/>
      <c r="R653" s="322"/>
      <c r="S653" s="322"/>
      <c r="T653" s="322"/>
      <c r="U653" s="322"/>
      <c r="V653" s="322"/>
      <c r="W653" s="322"/>
      <c r="X653" s="322"/>
      <c r="Y653" s="322"/>
      <c r="Z653" s="322"/>
    </row>
    <row r="654" ht="12.75" customHeight="1">
      <c r="A654" s="322"/>
      <c r="B654" s="322"/>
      <c r="C654" s="323"/>
      <c r="D654" s="324"/>
      <c r="E654" s="323"/>
      <c r="F654" s="324"/>
      <c r="G654" s="322"/>
      <c r="H654" s="322"/>
      <c r="I654" s="322"/>
      <c r="J654" s="322"/>
      <c r="K654" s="322"/>
      <c r="L654" s="322"/>
      <c r="M654" s="322"/>
      <c r="N654" s="322"/>
      <c r="O654" s="322"/>
      <c r="P654" s="322"/>
      <c r="Q654" s="322"/>
      <c r="R654" s="322"/>
      <c r="S654" s="322"/>
      <c r="T654" s="322"/>
      <c r="U654" s="322"/>
      <c r="V654" s="322"/>
      <c r="W654" s="322"/>
      <c r="X654" s="322"/>
      <c r="Y654" s="322"/>
      <c r="Z654" s="322"/>
    </row>
    <row r="655" ht="12.75" customHeight="1">
      <c r="A655" s="322"/>
      <c r="B655" s="322"/>
      <c r="C655" s="323"/>
      <c r="D655" s="324"/>
      <c r="E655" s="323"/>
      <c r="F655" s="324"/>
      <c r="G655" s="322"/>
      <c r="H655" s="322"/>
      <c r="I655" s="322"/>
      <c r="J655" s="322"/>
      <c r="K655" s="322"/>
      <c r="L655" s="322"/>
      <c r="M655" s="322"/>
      <c r="N655" s="322"/>
      <c r="O655" s="322"/>
      <c r="P655" s="322"/>
      <c r="Q655" s="322"/>
      <c r="R655" s="322"/>
      <c r="S655" s="322"/>
      <c r="T655" s="322"/>
      <c r="U655" s="322"/>
      <c r="V655" s="322"/>
      <c r="W655" s="322"/>
      <c r="X655" s="322"/>
      <c r="Y655" s="322"/>
      <c r="Z655" s="322"/>
    </row>
    <row r="656" ht="12.75" customHeight="1">
      <c r="A656" s="322"/>
      <c r="B656" s="322"/>
      <c r="C656" s="323"/>
      <c r="D656" s="324"/>
      <c r="E656" s="323"/>
      <c r="F656" s="324"/>
      <c r="G656" s="322"/>
      <c r="H656" s="322"/>
      <c r="I656" s="322"/>
      <c r="J656" s="322"/>
      <c r="K656" s="322"/>
      <c r="L656" s="322"/>
      <c r="M656" s="322"/>
      <c r="N656" s="322"/>
      <c r="O656" s="322"/>
      <c r="P656" s="322"/>
      <c r="Q656" s="322"/>
      <c r="R656" s="322"/>
      <c r="S656" s="322"/>
      <c r="T656" s="322"/>
      <c r="U656" s="322"/>
      <c r="V656" s="322"/>
      <c r="W656" s="322"/>
      <c r="X656" s="322"/>
      <c r="Y656" s="322"/>
      <c r="Z656" s="322"/>
    </row>
    <row r="657" ht="12.75" customHeight="1">
      <c r="A657" s="322"/>
      <c r="B657" s="322"/>
      <c r="C657" s="323"/>
      <c r="D657" s="324"/>
      <c r="E657" s="323"/>
      <c r="F657" s="324"/>
      <c r="G657" s="322"/>
      <c r="H657" s="322"/>
      <c r="I657" s="322"/>
      <c r="J657" s="322"/>
      <c r="K657" s="322"/>
      <c r="L657" s="322"/>
      <c r="M657" s="322"/>
      <c r="N657" s="322"/>
      <c r="O657" s="322"/>
      <c r="P657" s="322"/>
      <c r="Q657" s="322"/>
      <c r="R657" s="322"/>
      <c r="S657" s="322"/>
      <c r="T657" s="322"/>
      <c r="U657" s="322"/>
      <c r="V657" s="322"/>
      <c r="W657" s="322"/>
      <c r="X657" s="322"/>
      <c r="Y657" s="322"/>
      <c r="Z657" s="322"/>
    </row>
    <row r="658" ht="12.75" customHeight="1">
      <c r="A658" s="322"/>
      <c r="B658" s="322"/>
      <c r="C658" s="323"/>
      <c r="D658" s="324"/>
      <c r="E658" s="323"/>
      <c r="F658" s="324"/>
      <c r="G658" s="322"/>
      <c r="H658" s="322"/>
      <c r="I658" s="322"/>
      <c r="J658" s="322"/>
      <c r="K658" s="322"/>
      <c r="L658" s="322"/>
      <c r="M658" s="322"/>
      <c r="N658" s="322"/>
      <c r="O658" s="322"/>
      <c r="P658" s="322"/>
      <c r="Q658" s="322"/>
      <c r="R658" s="322"/>
      <c r="S658" s="322"/>
      <c r="T658" s="322"/>
      <c r="U658" s="322"/>
      <c r="V658" s="322"/>
      <c r="W658" s="322"/>
      <c r="X658" s="322"/>
      <c r="Y658" s="322"/>
      <c r="Z658" s="322"/>
    </row>
    <row r="659" ht="12.75" customHeight="1">
      <c r="A659" s="322"/>
      <c r="B659" s="322"/>
      <c r="C659" s="323"/>
      <c r="D659" s="324"/>
      <c r="E659" s="323"/>
      <c r="F659" s="324"/>
      <c r="G659" s="322"/>
      <c r="H659" s="322"/>
      <c r="I659" s="322"/>
      <c r="J659" s="322"/>
      <c r="K659" s="322"/>
      <c r="L659" s="322"/>
      <c r="M659" s="322"/>
      <c r="N659" s="322"/>
      <c r="O659" s="322"/>
      <c r="P659" s="322"/>
      <c r="Q659" s="322"/>
      <c r="R659" s="322"/>
      <c r="S659" s="322"/>
      <c r="T659" s="322"/>
      <c r="U659" s="322"/>
      <c r="V659" s="322"/>
      <c r="W659" s="322"/>
      <c r="X659" s="322"/>
      <c r="Y659" s="322"/>
      <c r="Z659" s="322"/>
    </row>
    <row r="660" ht="12.75" customHeight="1">
      <c r="A660" s="322"/>
      <c r="B660" s="322"/>
      <c r="C660" s="323"/>
      <c r="D660" s="324"/>
      <c r="E660" s="323"/>
      <c r="F660" s="324"/>
      <c r="G660" s="322"/>
      <c r="H660" s="322"/>
      <c r="I660" s="322"/>
      <c r="J660" s="322"/>
      <c r="K660" s="322"/>
      <c r="L660" s="322"/>
      <c r="M660" s="322"/>
      <c r="N660" s="322"/>
      <c r="O660" s="322"/>
      <c r="P660" s="322"/>
      <c r="Q660" s="322"/>
      <c r="R660" s="322"/>
      <c r="S660" s="322"/>
      <c r="T660" s="322"/>
      <c r="U660" s="322"/>
      <c r="V660" s="322"/>
      <c r="W660" s="322"/>
      <c r="X660" s="322"/>
      <c r="Y660" s="322"/>
      <c r="Z660" s="322"/>
    </row>
    <row r="661" ht="12.75" customHeight="1">
      <c r="A661" s="322"/>
      <c r="B661" s="322"/>
      <c r="C661" s="323"/>
      <c r="D661" s="324"/>
      <c r="E661" s="323"/>
      <c r="F661" s="324"/>
      <c r="G661" s="322"/>
      <c r="H661" s="322"/>
      <c r="I661" s="322"/>
      <c r="J661" s="322"/>
      <c r="K661" s="322"/>
      <c r="L661" s="322"/>
      <c r="M661" s="322"/>
      <c r="N661" s="322"/>
      <c r="O661" s="322"/>
      <c r="P661" s="322"/>
      <c r="Q661" s="322"/>
      <c r="R661" s="322"/>
      <c r="S661" s="322"/>
      <c r="T661" s="322"/>
      <c r="U661" s="322"/>
      <c r="V661" s="322"/>
      <c r="W661" s="322"/>
      <c r="X661" s="322"/>
      <c r="Y661" s="322"/>
      <c r="Z661" s="322"/>
    </row>
    <row r="662" ht="12.75" customHeight="1">
      <c r="A662" s="322"/>
      <c r="B662" s="322"/>
      <c r="C662" s="323"/>
      <c r="D662" s="324"/>
      <c r="E662" s="323"/>
      <c r="F662" s="324"/>
      <c r="G662" s="322"/>
      <c r="H662" s="322"/>
      <c r="I662" s="322"/>
      <c r="J662" s="322"/>
      <c r="K662" s="322"/>
      <c r="L662" s="322"/>
      <c r="M662" s="322"/>
      <c r="N662" s="322"/>
      <c r="O662" s="322"/>
      <c r="P662" s="322"/>
      <c r="Q662" s="322"/>
      <c r="R662" s="322"/>
      <c r="S662" s="322"/>
      <c r="T662" s="322"/>
      <c r="U662" s="322"/>
      <c r="V662" s="322"/>
      <c r="W662" s="322"/>
      <c r="X662" s="322"/>
      <c r="Y662" s="322"/>
      <c r="Z662" s="322"/>
    </row>
    <row r="663" ht="12.75" customHeight="1">
      <c r="A663" s="322"/>
      <c r="B663" s="322"/>
      <c r="C663" s="323"/>
      <c r="D663" s="324"/>
      <c r="E663" s="323"/>
      <c r="F663" s="324"/>
      <c r="G663" s="322"/>
      <c r="H663" s="322"/>
      <c r="I663" s="322"/>
      <c r="J663" s="322"/>
      <c r="K663" s="322"/>
      <c r="L663" s="322"/>
      <c r="M663" s="322"/>
      <c r="N663" s="322"/>
      <c r="O663" s="322"/>
      <c r="P663" s="322"/>
      <c r="Q663" s="322"/>
      <c r="R663" s="322"/>
      <c r="S663" s="322"/>
      <c r="T663" s="322"/>
      <c r="U663" s="322"/>
      <c r="V663" s="322"/>
      <c r="W663" s="322"/>
      <c r="X663" s="322"/>
      <c r="Y663" s="322"/>
      <c r="Z663" s="322"/>
    </row>
    <row r="664" ht="12.75" customHeight="1">
      <c r="A664" s="322"/>
      <c r="B664" s="322"/>
      <c r="C664" s="323"/>
      <c r="D664" s="324"/>
      <c r="E664" s="323"/>
      <c r="F664" s="324"/>
      <c r="G664" s="322"/>
      <c r="H664" s="322"/>
      <c r="I664" s="322"/>
      <c r="J664" s="322"/>
      <c r="K664" s="322"/>
      <c r="L664" s="322"/>
      <c r="M664" s="322"/>
      <c r="N664" s="322"/>
      <c r="O664" s="322"/>
      <c r="P664" s="322"/>
      <c r="Q664" s="322"/>
      <c r="R664" s="322"/>
      <c r="S664" s="322"/>
      <c r="T664" s="322"/>
      <c r="U664" s="322"/>
      <c r="V664" s="322"/>
      <c r="W664" s="322"/>
      <c r="X664" s="322"/>
      <c r="Y664" s="322"/>
      <c r="Z664" s="322"/>
    </row>
    <row r="665" ht="12.75" customHeight="1">
      <c r="A665" s="322"/>
      <c r="B665" s="322"/>
      <c r="C665" s="323"/>
      <c r="D665" s="324"/>
      <c r="E665" s="323"/>
      <c r="F665" s="324"/>
      <c r="G665" s="322"/>
      <c r="H665" s="322"/>
      <c r="I665" s="322"/>
      <c r="J665" s="322"/>
      <c r="K665" s="322"/>
      <c r="L665" s="322"/>
      <c r="M665" s="322"/>
      <c r="N665" s="322"/>
      <c r="O665" s="322"/>
      <c r="P665" s="322"/>
      <c r="Q665" s="322"/>
      <c r="R665" s="322"/>
      <c r="S665" s="322"/>
      <c r="T665" s="322"/>
      <c r="U665" s="322"/>
      <c r="V665" s="322"/>
      <c r="W665" s="322"/>
      <c r="X665" s="322"/>
      <c r="Y665" s="322"/>
      <c r="Z665" s="322"/>
    </row>
    <row r="666" ht="12.75" customHeight="1">
      <c r="A666" s="322"/>
      <c r="B666" s="322"/>
      <c r="C666" s="323"/>
      <c r="D666" s="324"/>
      <c r="E666" s="323"/>
      <c r="F666" s="324"/>
      <c r="G666" s="322"/>
      <c r="H666" s="322"/>
      <c r="I666" s="322"/>
      <c r="J666" s="322"/>
      <c r="K666" s="322"/>
      <c r="L666" s="322"/>
      <c r="M666" s="322"/>
      <c r="N666" s="322"/>
      <c r="O666" s="322"/>
      <c r="P666" s="322"/>
      <c r="Q666" s="322"/>
      <c r="R666" s="322"/>
      <c r="S666" s="322"/>
      <c r="T666" s="322"/>
      <c r="U666" s="322"/>
      <c r="V666" s="322"/>
      <c r="W666" s="322"/>
      <c r="X666" s="322"/>
      <c r="Y666" s="322"/>
      <c r="Z666" s="322"/>
    </row>
    <row r="667" ht="12.75" customHeight="1">
      <c r="A667" s="322"/>
      <c r="B667" s="322"/>
      <c r="C667" s="323"/>
      <c r="D667" s="324"/>
      <c r="E667" s="323"/>
      <c r="F667" s="324"/>
      <c r="G667" s="322"/>
      <c r="H667" s="322"/>
      <c r="I667" s="322"/>
      <c r="J667" s="322"/>
      <c r="K667" s="322"/>
      <c r="L667" s="322"/>
      <c r="M667" s="322"/>
      <c r="N667" s="322"/>
      <c r="O667" s="322"/>
      <c r="P667" s="322"/>
      <c r="Q667" s="322"/>
      <c r="R667" s="322"/>
      <c r="S667" s="322"/>
      <c r="T667" s="322"/>
      <c r="U667" s="322"/>
      <c r="V667" s="322"/>
      <c r="W667" s="322"/>
      <c r="X667" s="322"/>
      <c r="Y667" s="322"/>
      <c r="Z667" s="322"/>
    </row>
    <row r="668" ht="12.75" customHeight="1">
      <c r="A668" s="322"/>
      <c r="B668" s="322"/>
      <c r="C668" s="323"/>
      <c r="D668" s="324"/>
      <c r="E668" s="323"/>
      <c r="F668" s="324"/>
      <c r="G668" s="322"/>
      <c r="H668" s="322"/>
      <c r="I668" s="322"/>
      <c r="J668" s="322"/>
      <c r="K668" s="322"/>
      <c r="L668" s="322"/>
      <c r="M668" s="322"/>
      <c r="N668" s="322"/>
      <c r="O668" s="322"/>
      <c r="P668" s="322"/>
      <c r="Q668" s="322"/>
      <c r="R668" s="322"/>
      <c r="S668" s="322"/>
      <c r="T668" s="322"/>
      <c r="U668" s="322"/>
      <c r="V668" s="322"/>
      <c r="W668" s="322"/>
      <c r="X668" s="322"/>
      <c r="Y668" s="322"/>
      <c r="Z668" s="322"/>
    </row>
    <row r="669" ht="12.75" customHeight="1">
      <c r="A669" s="322"/>
      <c r="B669" s="322"/>
      <c r="C669" s="323"/>
      <c r="D669" s="324"/>
      <c r="E669" s="323"/>
      <c r="F669" s="324"/>
      <c r="G669" s="322"/>
      <c r="H669" s="322"/>
      <c r="I669" s="322"/>
      <c r="J669" s="322"/>
      <c r="K669" s="322"/>
      <c r="L669" s="322"/>
      <c r="M669" s="322"/>
      <c r="N669" s="322"/>
      <c r="O669" s="322"/>
      <c r="P669" s="322"/>
      <c r="Q669" s="322"/>
      <c r="R669" s="322"/>
      <c r="S669" s="322"/>
      <c r="T669" s="322"/>
      <c r="U669" s="322"/>
      <c r="V669" s="322"/>
      <c r="W669" s="322"/>
      <c r="X669" s="322"/>
      <c r="Y669" s="322"/>
      <c r="Z669" s="322"/>
    </row>
    <row r="670" ht="12.75" customHeight="1">
      <c r="A670" s="322"/>
      <c r="B670" s="322"/>
      <c r="C670" s="323"/>
      <c r="D670" s="324"/>
      <c r="E670" s="323"/>
      <c r="F670" s="324"/>
      <c r="G670" s="322"/>
      <c r="H670" s="322"/>
      <c r="I670" s="322"/>
      <c r="J670" s="322"/>
      <c r="K670" s="322"/>
      <c r="L670" s="322"/>
      <c r="M670" s="322"/>
      <c r="N670" s="322"/>
      <c r="O670" s="322"/>
      <c r="P670" s="322"/>
      <c r="Q670" s="322"/>
      <c r="R670" s="322"/>
      <c r="S670" s="322"/>
      <c r="T670" s="322"/>
      <c r="U670" s="322"/>
      <c r="V670" s="322"/>
      <c r="W670" s="322"/>
      <c r="X670" s="322"/>
      <c r="Y670" s="322"/>
      <c r="Z670" s="322"/>
    </row>
    <row r="671" ht="12.75" customHeight="1">
      <c r="A671" s="322"/>
      <c r="B671" s="322"/>
      <c r="C671" s="323"/>
      <c r="D671" s="324"/>
      <c r="E671" s="323"/>
      <c r="F671" s="324"/>
      <c r="G671" s="322"/>
      <c r="H671" s="322"/>
      <c r="I671" s="322"/>
      <c r="J671" s="322"/>
      <c r="K671" s="322"/>
      <c r="L671" s="322"/>
      <c r="M671" s="322"/>
      <c r="N671" s="322"/>
      <c r="O671" s="322"/>
      <c r="P671" s="322"/>
      <c r="Q671" s="322"/>
      <c r="R671" s="322"/>
      <c r="S671" s="322"/>
      <c r="T671" s="322"/>
      <c r="U671" s="322"/>
      <c r="V671" s="322"/>
      <c r="W671" s="322"/>
      <c r="X671" s="322"/>
      <c r="Y671" s="322"/>
      <c r="Z671" s="322"/>
    </row>
    <row r="672" ht="12.75" customHeight="1">
      <c r="A672" s="322"/>
      <c r="B672" s="322"/>
      <c r="C672" s="323"/>
      <c r="D672" s="324"/>
      <c r="E672" s="323"/>
      <c r="F672" s="324"/>
      <c r="G672" s="322"/>
      <c r="H672" s="322"/>
      <c r="I672" s="322"/>
      <c r="J672" s="322"/>
      <c r="K672" s="322"/>
      <c r="L672" s="322"/>
      <c r="M672" s="322"/>
      <c r="N672" s="322"/>
      <c r="O672" s="322"/>
      <c r="P672" s="322"/>
      <c r="Q672" s="322"/>
      <c r="R672" s="322"/>
      <c r="S672" s="322"/>
      <c r="T672" s="322"/>
      <c r="U672" s="322"/>
      <c r="V672" s="322"/>
      <c r="W672" s="322"/>
      <c r="X672" s="322"/>
      <c r="Y672" s="322"/>
      <c r="Z672" s="322"/>
    </row>
    <row r="673" ht="12.75" customHeight="1">
      <c r="A673" s="322"/>
      <c r="B673" s="322"/>
      <c r="C673" s="323"/>
      <c r="D673" s="324"/>
      <c r="E673" s="323"/>
      <c r="F673" s="324"/>
      <c r="G673" s="322"/>
      <c r="H673" s="322"/>
      <c r="I673" s="322"/>
      <c r="J673" s="322"/>
      <c r="K673" s="322"/>
      <c r="L673" s="322"/>
      <c r="M673" s="322"/>
      <c r="N673" s="322"/>
      <c r="O673" s="322"/>
      <c r="P673" s="322"/>
      <c r="Q673" s="322"/>
      <c r="R673" s="322"/>
      <c r="S673" s="322"/>
      <c r="T673" s="322"/>
      <c r="U673" s="322"/>
      <c r="V673" s="322"/>
      <c r="W673" s="322"/>
      <c r="X673" s="322"/>
      <c r="Y673" s="322"/>
      <c r="Z673" s="322"/>
    </row>
    <row r="674" ht="12.75" customHeight="1">
      <c r="A674" s="322"/>
      <c r="B674" s="322"/>
      <c r="C674" s="323"/>
      <c r="D674" s="324"/>
      <c r="E674" s="323"/>
      <c r="F674" s="324"/>
      <c r="G674" s="322"/>
      <c r="H674" s="322"/>
      <c r="I674" s="322"/>
      <c r="J674" s="322"/>
      <c r="K674" s="322"/>
      <c r="L674" s="322"/>
      <c r="M674" s="322"/>
      <c r="N674" s="322"/>
      <c r="O674" s="322"/>
      <c r="P674" s="322"/>
      <c r="Q674" s="322"/>
      <c r="R674" s="322"/>
      <c r="S674" s="322"/>
      <c r="T674" s="322"/>
      <c r="U674" s="322"/>
      <c r="V674" s="322"/>
      <c r="W674" s="322"/>
      <c r="X674" s="322"/>
      <c r="Y674" s="322"/>
      <c r="Z674" s="322"/>
    </row>
    <row r="675" ht="12.75" customHeight="1">
      <c r="A675" s="322"/>
      <c r="B675" s="322"/>
      <c r="C675" s="323"/>
      <c r="D675" s="324"/>
      <c r="E675" s="323"/>
      <c r="F675" s="324"/>
      <c r="G675" s="322"/>
      <c r="H675" s="322"/>
      <c r="I675" s="322"/>
      <c r="J675" s="322"/>
      <c r="K675" s="322"/>
      <c r="L675" s="322"/>
      <c r="M675" s="322"/>
      <c r="N675" s="322"/>
      <c r="O675" s="322"/>
      <c r="P675" s="322"/>
      <c r="Q675" s="322"/>
      <c r="R675" s="322"/>
      <c r="S675" s="322"/>
      <c r="T675" s="322"/>
      <c r="U675" s="322"/>
      <c r="V675" s="322"/>
      <c r="W675" s="322"/>
      <c r="X675" s="322"/>
      <c r="Y675" s="322"/>
      <c r="Z675" s="322"/>
    </row>
    <row r="676" ht="12.75" customHeight="1">
      <c r="A676" s="322"/>
      <c r="B676" s="322"/>
      <c r="C676" s="323"/>
      <c r="D676" s="324"/>
      <c r="E676" s="323"/>
      <c r="F676" s="324"/>
      <c r="G676" s="322"/>
      <c r="H676" s="322"/>
      <c r="I676" s="322"/>
      <c r="J676" s="322"/>
      <c r="K676" s="322"/>
      <c r="L676" s="322"/>
      <c r="M676" s="322"/>
      <c r="N676" s="322"/>
      <c r="O676" s="322"/>
      <c r="P676" s="322"/>
      <c r="Q676" s="322"/>
      <c r="R676" s="322"/>
      <c r="S676" s="322"/>
      <c r="T676" s="322"/>
      <c r="U676" s="322"/>
      <c r="V676" s="322"/>
      <c r="W676" s="322"/>
      <c r="X676" s="322"/>
      <c r="Y676" s="322"/>
      <c r="Z676" s="322"/>
    </row>
    <row r="677" ht="12.75" customHeight="1">
      <c r="A677" s="322"/>
      <c r="B677" s="322"/>
      <c r="C677" s="323"/>
      <c r="D677" s="324"/>
      <c r="E677" s="323"/>
      <c r="F677" s="324"/>
      <c r="G677" s="322"/>
      <c r="H677" s="322"/>
      <c r="I677" s="322"/>
      <c r="J677" s="322"/>
      <c r="K677" s="322"/>
      <c r="L677" s="322"/>
      <c r="M677" s="322"/>
      <c r="N677" s="322"/>
      <c r="O677" s="322"/>
      <c r="P677" s="322"/>
      <c r="Q677" s="322"/>
      <c r="R677" s="322"/>
      <c r="S677" s="322"/>
      <c r="T677" s="322"/>
      <c r="U677" s="322"/>
      <c r="V677" s="322"/>
      <c r="W677" s="322"/>
      <c r="X677" s="322"/>
      <c r="Y677" s="322"/>
      <c r="Z677" s="322"/>
    </row>
    <row r="678" ht="12.75" customHeight="1">
      <c r="A678" s="322"/>
      <c r="B678" s="322"/>
      <c r="C678" s="323"/>
      <c r="D678" s="324"/>
      <c r="E678" s="323"/>
      <c r="F678" s="324"/>
      <c r="G678" s="322"/>
      <c r="H678" s="322"/>
      <c r="I678" s="322"/>
      <c r="J678" s="322"/>
      <c r="K678" s="322"/>
      <c r="L678" s="322"/>
      <c r="M678" s="322"/>
      <c r="N678" s="322"/>
      <c r="O678" s="322"/>
      <c r="P678" s="322"/>
      <c r="Q678" s="322"/>
      <c r="R678" s="322"/>
      <c r="S678" s="322"/>
      <c r="T678" s="322"/>
      <c r="U678" s="322"/>
      <c r="V678" s="322"/>
      <c r="W678" s="322"/>
      <c r="X678" s="322"/>
      <c r="Y678" s="322"/>
      <c r="Z678" s="322"/>
    </row>
    <row r="679" ht="12.75" customHeight="1">
      <c r="A679" s="322"/>
      <c r="B679" s="322"/>
      <c r="C679" s="323"/>
      <c r="D679" s="324"/>
      <c r="E679" s="323"/>
      <c r="F679" s="324"/>
      <c r="G679" s="322"/>
      <c r="H679" s="322"/>
      <c r="I679" s="322"/>
      <c r="J679" s="322"/>
      <c r="K679" s="322"/>
      <c r="L679" s="322"/>
      <c r="M679" s="322"/>
      <c r="N679" s="322"/>
      <c r="O679" s="322"/>
      <c r="P679" s="322"/>
      <c r="Q679" s="322"/>
      <c r="R679" s="322"/>
      <c r="S679" s="322"/>
      <c r="T679" s="322"/>
      <c r="U679" s="322"/>
      <c r="V679" s="322"/>
      <c r="W679" s="322"/>
      <c r="X679" s="322"/>
      <c r="Y679" s="322"/>
      <c r="Z679" s="322"/>
    </row>
    <row r="680" ht="12.75" customHeight="1">
      <c r="A680" s="322"/>
      <c r="B680" s="322"/>
      <c r="C680" s="323"/>
      <c r="D680" s="324"/>
      <c r="E680" s="323"/>
      <c r="F680" s="324"/>
      <c r="G680" s="322"/>
      <c r="H680" s="322"/>
      <c r="I680" s="322"/>
      <c r="J680" s="322"/>
      <c r="K680" s="322"/>
      <c r="L680" s="322"/>
      <c r="M680" s="322"/>
      <c r="N680" s="322"/>
      <c r="O680" s="322"/>
      <c r="P680" s="322"/>
      <c r="Q680" s="322"/>
      <c r="R680" s="322"/>
      <c r="S680" s="322"/>
      <c r="T680" s="322"/>
      <c r="U680" s="322"/>
      <c r="V680" s="322"/>
      <c r="W680" s="322"/>
      <c r="X680" s="322"/>
      <c r="Y680" s="322"/>
      <c r="Z680" s="322"/>
    </row>
    <row r="681" ht="12.75" customHeight="1">
      <c r="A681" s="322"/>
      <c r="B681" s="322"/>
      <c r="C681" s="323"/>
      <c r="D681" s="324"/>
      <c r="E681" s="323"/>
      <c r="F681" s="324"/>
      <c r="G681" s="322"/>
      <c r="H681" s="322"/>
      <c r="I681" s="322"/>
      <c r="J681" s="322"/>
      <c r="K681" s="322"/>
      <c r="L681" s="322"/>
      <c r="M681" s="322"/>
      <c r="N681" s="322"/>
      <c r="O681" s="322"/>
      <c r="P681" s="322"/>
      <c r="Q681" s="322"/>
      <c r="R681" s="322"/>
      <c r="S681" s="322"/>
      <c r="T681" s="322"/>
      <c r="U681" s="322"/>
      <c r="V681" s="322"/>
      <c r="W681" s="322"/>
      <c r="X681" s="322"/>
      <c r="Y681" s="322"/>
      <c r="Z681" s="322"/>
    </row>
    <row r="682" ht="12.75" customHeight="1">
      <c r="A682" s="322"/>
      <c r="B682" s="322"/>
      <c r="C682" s="323"/>
      <c r="D682" s="324"/>
      <c r="E682" s="323"/>
      <c r="F682" s="324"/>
      <c r="G682" s="322"/>
      <c r="H682" s="322"/>
      <c r="I682" s="322"/>
      <c r="J682" s="322"/>
      <c r="K682" s="322"/>
      <c r="L682" s="322"/>
      <c r="M682" s="322"/>
      <c r="N682" s="322"/>
      <c r="O682" s="322"/>
      <c r="P682" s="322"/>
      <c r="Q682" s="322"/>
      <c r="R682" s="322"/>
      <c r="S682" s="322"/>
      <c r="T682" s="322"/>
      <c r="U682" s="322"/>
      <c r="V682" s="322"/>
      <c r="W682" s="322"/>
      <c r="X682" s="322"/>
      <c r="Y682" s="322"/>
      <c r="Z682" s="322"/>
    </row>
    <row r="683" ht="12.75" customHeight="1">
      <c r="A683" s="322"/>
      <c r="B683" s="322"/>
      <c r="C683" s="323"/>
      <c r="D683" s="324"/>
      <c r="E683" s="323"/>
      <c r="F683" s="324"/>
      <c r="G683" s="322"/>
      <c r="H683" s="322"/>
      <c r="I683" s="322"/>
      <c r="J683" s="322"/>
      <c r="K683" s="322"/>
      <c r="L683" s="322"/>
      <c r="M683" s="322"/>
      <c r="N683" s="322"/>
      <c r="O683" s="322"/>
      <c r="P683" s="322"/>
      <c r="Q683" s="322"/>
      <c r="R683" s="322"/>
      <c r="S683" s="322"/>
      <c r="T683" s="322"/>
      <c r="U683" s="322"/>
      <c r="V683" s="322"/>
      <c r="W683" s="322"/>
      <c r="X683" s="322"/>
      <c r="Y683" s="322"/>
      <c r="Z683" s="322"/>
    </row>
    <row r="684" ht="12.75" customHeight="1">
      <c r="A684" s="322"/>
      <c r="B684" s="322"/>
      <c r="C684" s="323"/>
      <c r="D684" s="324"/>
      <c r="E684" s="323"/>
      <c r="F684" s="324"/>
      <c r="G684" s="322"/>
      <c r="H684" s="322"/>
      <c r="I684" s="322"/>
      <c r="J684" s="322"/>
      <c r="K684" s="322"/>
      <c r="L684" s="322"/>
      <c r="M684" s="322"/>
      <c r="N684" s="322"/>
      <c r="O684" s="322"/>
      <c r="P684" s="322"/>
      <c r="Q684" s="322"/>
      <c r="R684" s="322"/>
      <c r="S684" s="322"/>
      <c r="T684" s="322"/>
      <c r="U684" s="322"/>
      <c r="V684" s="322"/>
      <c r="W684" s="322"/>
      <c r="X684" s="322"/>
      <c r="Y684" s="322"/>
      <c r="Z684" s="322"/>
    </row>
    <row r="685" ht="12.75" customHeight="1">
      <c r="A685" s="322"/>
      <c r="B685" s="322"/>
      <c r="C685" s="323"/>
      <c r="D685" s="324"/>
      <c r="E685" s="323"/>
      <c r="F685" s="324"/>
      <c r="G685" s="322"/>
      <c r="H685" s="322"/>
      <c r="I685" s="322"/>
      <c r="J685" s="322"/>
      <c r="K685" s="322"/>
      <c r="L685" s="322"/>
      <c r="M685" s="322"/>
      <c r="N685" s="322"/>
      <c r="O685" s="322"/>
      <c r="P685" s="322"/>
      <c r="Q685" s="322"/>
      <c r="R685" s="322"/>
      <c r="S685" s="322"/>
      <c r="T685" s="322"/>
      <c r="U685" s="322"/>
      <c r="V685" s="322"/>
      <c r="W685" s="322"/>
      <c r="X685" s="322"/>
      <c r="Y685" s="322"/>
      <c r="Z685" s="322"/>
    </row>
    <row r="686" ht="12.75" customHeight="1">
      <c r="A686" s="322"/>
      <c r="B686" s="322"/>
      <c r="C686" s="323"/>
      <c r="D686" s="324"/>
      <c r="E686" s="323"/>
      <c r="F686" s="324"/>
      <c r="G686" s="322"/>
      <c r="H686" s="322"/>
      <c r="I686" s="322"/>
      <c r="J686" s="322"/>
      <c r="K686" s="322"/>
      <c r="L686" s="322"/>
      <c r="M686" s="322"/>
      <c r="N686" s="322"/>
      <c r="O686" s="322"/>
      <c r="P686" s="322"/>
      <c r="Q686" s="322"/>
      <c r="R686" s="322"/>
      <c r="S686" s="322"/>
      <c r="T686" s="322"/>
      <c r="U686" s="322"/>
      <c r="V686" s="322"/>
      <c r="W686" s="322"/>
      <c r="X686" s="322"/>
      <c r="Y686" s="322"/>
      <c r="Z686" s="322"/>
    </row>
    <row r="687" ht="12.75" customHeight="1">
      <c r="A687" s="322"/>
      <c r="B687" s="322"/>
      <c r="C687" s="323"/>
      <c r="D687" s="324"/>
      <c r="E687" s="323"/>
      <c r="F687" s="324"/>
      <c r="G687" s="322"/>
      <c r="H687" s="322"/>
      <c r="I687" s="322"/>
      <c r="J687" s="322"/>
      <c r="K687" s="322"/>
      <c r="L687" s="322"/>
      <c r="M687" s="322"/>
      <c r="N687" s="322"/>
      <c r="O687" s="322"/>
      <c r="P687" s="322"/>
      <c r="Q687" s="322"/>
      <c r="R687" s="322"/>
      <c r="S687" s="322"/>
      <c r="T687" s="322"/>
      <c r="U687" s="322"/>
      <c r="V687" s="322"/>
      <c r="W687" s="322"/>
      <c r="X687" s="322"/>
      <c r="Y687" s="322"/>
      <c r="Z687" s="322"/>
    </row>
    <row r="688" ht="12.75" customHeight="1">
      <c r="A688" s="322"/>
      <c r="B688" s="322"/>
      <c r="C688" s="323"/>
      <c r="D688" s="324"/>
      <c r="E688" s="323"/>
      <c r="F688" s="324"/>
      <c r="G688" s="322"/>
      <c r="H688" s="322"/>
      <c r="I688" s="322"/>
      <c r="J688" s="322"/>
      <c r="K688" s="322"/>
      <c r="L688" s="322"/>
      <c r="M688" s="322"/>
      <c r="N688" s="322"/>
      <c r="O688" s="322"/>
      <c r="P688" s="322"/>
      <c r="Q688" s="322"/>
      <c r="R688" s="322"/>
      <c r="S688" s="322"/>
      <c r="T688" s="322"/>
      <c r="U688" s="322"/>
      <c r="V688" s="322"/>
      <c r="W688" s="322"/>
      <c r="X688" s="322"/>
      <c r="Y688" s="322"/>
      <c r="Z688" s="322"/>
    </row>
    <row r="689" ht="12.75" customHeight="1">
      <c r="A689" s="322"/>
      <c r="B689" s="322"/>
      <c r="C689" s="323"/>
      <c r="D689" s="324"/>
      <c r="E689" s="323"/>
      <c r="F689" s="324"/>
      <c r="G689" s="322"/>
      <c r="H689" s="322"/>
      <c r="I689" s="322"/>
      <c r="J689" s="322"/>
      <c r="K689" s="322"/>
      <c r="L689" s="322"/>
      <c r="M689" s="322"/>
      <c r="N689" s="322"/>
      <c r="O689" s="322"/>
      <c r="P689" s="322"/>
      <c r="Q689" s="322"/>
      <c r="R689" s="322"/>
      <c r="S689" s="322"/>
      <c r="T689" s="322"/>
      <c r="U689" s="322"/>
      <c r="V689" s="322"/>
      <c r="W689" s="322"/>
      <c r="X689" s="322"/>
      <c r="Y689" s="322"/>
      <c r="Z689" s="322"/>
    </row>
    <row r="690" ht="12.75" customHeight="1">
      <c r="A690" s="322"/>
      <c r="B690" s="322"/>
      <c r="C690" s="323"/>
      <c r="D690" s="324"/>
      <c r="E690" s="323"/>
      <c r="F690" s="324"/>
      <c r="G690" s="322"/>
      <c r="H690" s="322"/>
      <c r="I690" s="322"/>
      <c r="J690" s="322"/>
      <c r="K690" s="322"/>
      <c r="L690" s="322"/>
      <c r="M690" s="322"/>
      <c r="N690" s="322"/>
      <c r="O690" s="322"/>
      <c r="P690" s="322"/>
      <c r="Q690" s="322"/>
      <c r="R690" s="322"/>
      <c r="S690" s="322"/>
      <c r="T690" s="322"/>
      <c r="U690" s="322"/>
      <c r="V690" s="322"/>
      <c r="W690" s="322"/>
      <c r="X690" s="322"/>
      <c r="Y690" s="322"/>
      <c r="Z690" s="322"/>
    </row>
    <row r="691" ht="12.75" customHeight="1">
      <c r="A691" s="322"/>
      <c r="B691" s="322"/>
      <c r="C691" s="323"/>
      <c r="D691" s="324"/>
      <c r="E691" s="323"/>
      <c r="F691" s="324"/>
      <c r="G691" s="322"/>
      <c r="H691" s="322"/>
      <c r="I691" s="322"/>
      <c r="J691" s="322"/>
      <c r="K691" s="322"/>
      <c r="L691" s="322"/>
      <c r="M691" s="322"/>
      <c r="N691" s="322"/>
      <c r="O691" s="322"/>
      <c r="P691" s="322"/>
      <c r="Q691" s="322"/>
      <c r="R691" s="322"/>
      <c r="S691" s="322"/>
      <c r="T691" s="322"/>
      <c r="U691" s="322"/>
      <c r="V691" s="322"/>
      <c r="W691" s="322"/>
      <c r="X691" s="322"/>
      <c r="Y691" s="322"/>
      <c r="Z691" s="322"/>
    </row>
    <row r="692" ht="12.75" customHeight="1">
      <c r="A692" s="322"/>
      <c r="B692" s="322"/>
      <c r="C692" s="323"/>
      <c r="D692" s="324"/>
      <c r="E692" s="323"/>
      <c r="F692" s="324"/>
      <c r="G692" s="322"/>
      <c r="H692" s="322"/>
      <c r="I692" s="322"/>
      <c r="J692" s="322"/>
      <c r="K692" s="322"/>
      <c r="L692" s="322"/>
      <c r="M692" s="322"/>
      <c r="N692" s="322"/>
      <c r="O692" s="322"/>
      <c r="P692" s="322"/>
      <c r="Q692" s="322"/>
      <c r="R692" s="322"/>
      <c r="S692" s="322"/>
      <c r="T692" s="322"/>
      <c r="U692" s="322"/>
      <c r="V692" s="322"/>
      <c r="W692" s="322"/>
      <c r="X692" s="322"/>
      <c r="Y692" s="322"/>
      <c r="Z692" s="322"/>
    </row>
    <row r="693" ht="12.75" customHeight="1">
      <c r="A693" s="322"/>
      <c r="B693" s="322"/>
      <c r="C693" s="323"/>
      <c r="D693" s="324"/>
      <c r="E693" s="323"/>
      <c r="F693" s="324"/>
      <c r="G693" s="322"/>
      <c r="H693" s="322"/>
      <c r="I693" s="322"/>
      <c r="J693" s="322"/>
      <c r="K693" s="322"/>
      <c r="L693" s="322"/>
      <c r="M693" s="322"/>
      <c r="N693" s="322"/>
      <c r="O693" s="322"/>
      <c r="P693" s="322"/>
      <c r="Q693" s="322"/>
      <c r="R693" s="322"/>
      <c r="S693" s="322"/>
      <c r="T693" s="322"/>
      <c r="U693" s="322"/>
      <c r="V693" s="322"/>
      <c r="W693" s="322"/>
      <c r="X693" s="322"/>
      <c r="Y693" s="322"/>
      <c r="Z693" s="322"/>
    </row>
    <row r="694" ht="12.75" customHeight="1">
      <c r="A694" s="322"/>
      <c r="B694" s="322"/>
      <c r="C694" s="323"/>
      <c r="D694" s="324"/>
      <c r="E694" s="323"/>
      <c r="F694" s="324"/>
      <c r="G694" s="322"/>
      <c r="H694" s="322"/>
      <c r="I694" s="322"/>
      <c r="J694" s="322"/>
      <c r="K694" s="322"/>
      <c r="L694" s="322"/>
      <c r="M694" s="322"/>
      <c r="N694" s="322"/>
      <c r="O694" s="322"/>
      <c r="P694" s="322"/>
      <c r="Q694" s="322"/>
      <c r="R694" s="322"/>
      <c r="S694" s="322"/>
      <c r="T694" s="322"/>
      <c r="U694" s="322"/>
      <c r="V694" s="322"/>
      <c r="W694" s="322"/>
      <c r="X694" s="322"/>
      <c r="Y694" s="322"/>
      <c r="Z694" s="322"/>
    </row>
    <row r="695" ht="12.75" customHeight="1">
      <c r="A695" s="322"/>
      <c r="B695" s="322"/>
      <c r="C695" s="323"/>
      <c r="D695" s="324"/>
      <c r="E695" s="323"/>
      <c r="F695" s="324"/>
      <c r="G695" s="322"/>
      <c r="H695" s="322"/>
      <c r="I695" s="322"/>
      <c r="J695" s="322"/>
      <c r="K695" s="322"/>
      <c r="L695" s="322"/>
      <c r="M695" s="322"/>
      <c r="N695" s="322"/>
      <c r="O695" s="322"/>
      <c r="P695" s="322"/>
      <c r="Q695" s="322"/>
      <c r="R695" s="322"/>
      <c r="S695" s="322"/>
      <c r="T695" s="322"/>
      <c r="U695" s="322"/>
      <c r="V695" s="322"/>
      <c r="W695" s="322"/>
      <c r="X695" s="322"/>
      <c r="Y695" s="322"/>
      <c r="Z695" s="322"/>
    </row>
    <row r="696" ht="12.75" customHeight="1">
      <c r="A696" s="322"/>
      <c r="B696" s="322"/>
      <c r="C696" s="323"/>
      <c r="D696" s="324"/>
      <c r="E696" s="323"/>
      <c r="F696" s="324"/>
      <c r="G696" s="322"/>
      <c r="H696" s="322"/>
      <c r="I696" s="322"/>
      <c r="J696" s="322"/>
      <c r="K696" s="322"/>
      <c r="L696" s="322"/>
      <c r="M696" s="322"/>
      <c r="N696" s="322"/>
      <c r="O696" s="322"/>
      <c r="P696" s="322"/>
      <c r="Q696" s="322"/>
      <c r="R696" s="322"/>
      <c r="S696" s="322"/>
      <c r="T696" s="322"/>
      <c r="U696" s="322"/>
      <c r="V696" s="322"/>
      <c r="W696" s="322"/>
      <c r="X696" s="322"/>
      <c r="Y696" s="322"/>
      <c r="Z696" s="322"/>
    </row>
    <row r="697" ht="12.75" customHeight="1">
      <c r="A697" s="322"/>
      <c r="B697" s="322"/>
      <c r="C697" s="323"/>
      <c r="D697" s="324"/>
      <c r="E697" s="323"/>
      <c r="F697" s="324"/>
      <c r="G697" s="322"/>
      <c r="H697" s="322"/>
      <c r="I697" s="322"/>
      <c r="J697" s="322"/>
      <c r="K697" s="322"/>
      <c r="L697" s="322"/>
      <c r="M697" s="322"/>
      <c r="N697" s="322"/>
      <c r="O697" s="322"/>
      <c r="P697" s="322"/>
      <c r="Q697" s="322"/>
      <c r="R697" s="322"/>
      <c r="S697" s="322"/>
      <c r="T697" s="322"/>
      <c r="U697" s="322"/>
      <c r="V697" s="322"/>
      <c r="W697" s="322"/>
      <c r="X697" s="322"/>
      <c r="Y697" s="322"/>
      <c r="Z697" s="322"/>
    </row>
    <row r="698" ht="12.75" customHeight="1">
      <c r="A698" s="322"/>
      <c r="B698" s="322"/>
      <c r="C698" s="323"/>
      <c r="D698" s="324"/>
      <c r="E698" s="323"/>
      <c r="F698" s="324"/>
      <c r="G698" s="322"/>
      <c r="H698" s="322"/>
      <c r="I698" s="322"/>
      <c r="J698" s="322"/>
      <c r="K698" s="322"/>
      <c r="L698" s="322"/>
      <c r="M698" s="322"/>
      <c r="N698" s="322"/>
      <c r="O698" s="322"/>
      <c r="P698" s="322"/>
      <c r="Q698" s="322"/>
      <c r="R698" s="322"/>
      <c r="S698" s="322"/>
      <c r="T698" s="322"/>
      <c r="U698" s="322"/>
      <c r="V698" s="322"/>
      <c r="W698" s="322"/>
      <c r="X698" s="322"/>
      <c r="Y698" s="322"/>
      <c r="Z698" s="322"/>
    </row>
    <row r="699" ht="12.75" customHeight="1">
      <c r="A699" s="322"/>
      <c r="B699" s="322"/>
      <c r="C699" s="323"/>
      <c r="D699" s="324"/>
      <c r="E699" s="323"/>
      <c r="F699" s="324"/>
      <c r="G699" s="322"/>
      <c r="H699" s="322"/>
      <c r="I699" s="322"/>
      <c r="J699" s="322"/>
      <c r="K699" s="322"/>
      <c r="L699" s="322"/>
      <c r="M699" s="322"/>
      <c r="N699" s="322"/>
      <c r="O699" s="322"/>
      <c r="P699" s="322"/>
      <c r="Q699" s="322"/>
      <c r="R699" s="322"/>
      <c r="S699" s="322"/>
      <c r="T699" s="322"/>
      <c r="U699" s="322"/>
      <c r="V699" s="322"/>
      <c r="W699" s="322"/>
      <c r="X699" s="322"/>
      <c r="Y699" s="322"/>
      <c r="Z699" s="322"/>
    </row>
    <row r="700" ht="12.75" customHeight="1">
      <c r="A700" s="322"/>
      <c r="B700" s="322"/>
      <c r="C700" s="323"/>
      <c r="D700" s="324"/>
      <c r="E700" s="323"/>
      <c r="F700" s="324"/>
      <c r="G700" s="322"/>
      <c r="H700" s="322"/>
      <c r="I700" s="322"/>
      <c r="J700" s="322"/>
      <c r="K700" s="322"/>
      <c r="L700" s="322"/>
      <c r="M700" s="322"/>
      <c r="N700" s="322"/>
      <c r="O700" s="322"/>
      <c r="P700" s="322"/>
      <c r="Q700" s="322"/>
      <c r="R700" s="322"/>
      <c r="S700" s="322"/>
      <c r="T700" s="322"/>
      <c r="U700" s="322"/>
      <c r="V700" s="322"/>
      <c r="W700" s="322"/>
      <c r="X700" s="322"/>
      <c r="Y700" s="322"/>
      <c r="Z700" s="322"/>
    </row>
    <row r="701" ht="12.75" customHeight="1">
      <c r="A701" s="322"/>
      <c r="B701" s="322"/>
      <c r="C701" s="323"/>
      <c r="D701" s="324"/>
      <c r="E701" s="323"/>
      <c r="F701" s="324"/>
      <c r="G701" s="322"/>
      <c r="H701" s="322"/>
      <c r="I701" s="322"/>
      <c r="J701" s="322"/>
      <c r="K701" s="322"/>
      <c r="L701" s="322"/>
      <c r="M701" s="322"/>
      <c r="N701" s="322"/>
      <c r="O701" s="322"/>
      <c r="P701" s="322"/>
      <c r="Q701" s="322"/>
      <c r="R701" s="322"/>
      <c r="S701" s="322"/>
      <c r="T701" s="322"/>
      <c r="U701" s="322"/>
      <c r="V701" s="322"/>
      <c r="W701" s="322"/>
      <c r="X701" s="322"/>
      <c r="Y701" s="322"/>
      <c r="Z701" s="322"/>
    </row>
    <row r="702" ht="12.75" customHeight="1">
      <c r="A702" s="322"/>
      <c r="B702" s="322"/>
      <c r="C702" s="323"/>
      <c r="D702" s="324"/>
      <c r="E702" s="323"/>
      <c r="F702" s="324"/>
      <c r="G702" s="322"/>
      <c r="H702" s="322"/>
      <c r="I702" s="322"/>
      <c r="J702" s="322"/>
      <c r="K702" s="322"/>
      <c r="L702" s="322"/>
      <c r="M702" s="322"/>
      <c r="N702" s="322"/>
      <c r="O702" s="322"/>
      <c r="P702" s="322"/>
      <c r="Q702" s="322"/>
      <c r="R702" s="322"/>
      <c r="S702" s="322"/>
      <c r="T702" s="322"/>
      <c r="U702" s="322"/>
      <c r="V702" s="322"/>
      <c r="W702" s="322"/>
      <c r="X702" s="322"/>
      <c r="Y702" s="322"/>
      <c r="Z702" s="322"/>
    </row>
    <row r="703" ht="12.75" customHeight="1">
      <c r="A703" s="322"/>
      <c r="B703" s="322"/>
      <c r="C703" s="323"/>
      <c r="D703" s="324"/>
      <c r="E703" s="323"/>
      <c r="F703" s="324"/>
      <c r="G703" s="322"/>
      <c r="H703" s="322"/>
      <c r="I703" s="322"/>
      <c r="J703" s="322"/>
      <c r="K703" s="322"/>
      <c r="L703" s="322"/>
      <c r="M703" s="322"/>
      <c r="N703" s="322"/>
      <c r="O703" s="322"/>
      <c r="P703" s="322"/>
      <c r="Q703" s="322"/>
      <c r="R703" s="322"/>
      <c r="S703" s="322"/>
      <c r="T703" s="322"/>
      <c r="U703" s="322"/>
      <c r="V703" s="322"/>
      <c r="W703" s="322"/>
      <c r="X703" s="322"/>
      <c r="Y703" s="322"/>
      <c r="Z703" s="322"/>
    </row>
    <row r="704" ht="12.75" customHeight="1">
      <c r="A704" s="322"/>
      <c r="B704" s="322"/>
      <c r="C704" s="323"/>
      <c r="D704" s="324"/>
      <c r="E704" s="323"/>
      <c r="F704" s="324"/>
      <c r="G704" s="322"/>
      <c r="H704" s="322"/>
      <c r="I704" s="322"/>
      <c r="J704" s="322"/>
      <c r="K704" s="322"/>
      <c r="L704" s="322"/>
      <c r="M704" s="322"/>
      <c r="N704" s="322"/>
      <c r="O704" s="322"/>
      <c r="P704" s="322"/>
      <c r="Q704" s="322"/>
      <c r="R704" s="322"/>
      <c r="S704" s="322"/>
      <c r="T704" s="322"/>
      <c r="U704" s="322"/>
      <c r="V704" s="322"/>
      <c r="W704" s="322"/>
      <c r="X704" s="322"/>
      <c r="Y704" s="322"/>
      <c r="Z704" s="322"/>
    </row>
    <row r="705" ht="12.75" customHeight="1">
      <c r="A705" s="322"/>
      <c r="B705" s="322"/>
      <c r="C705" s="323"/>
      <c r="D705" s="324"/>
      <c r="E705" s="323"/>
      <c r="F705" s="324"/>
      <c r="G705" s="322"/>
      <c r="H705" s="322"/>
      <c r="I705" s="322"/>
      <c r="J705" s="322"/>
      <c r="K705" s="322"/>
      <c r="L705" s="322"/>
      <c r="M705" s="322"/>
      <c r="N705" s="322"/>
      <c r="O705" s="322"/>
      <c r="P705" s="322"/>
      <c r="Q705" s="322"/>
      <c r="R705" s="322"/>
      <c r="S705" s="322"/>
      <c r="T705" s="322"/>
      <c r="U705" s="322"/>
      <c r="V705" s="322"/>
      <c r="W705" s="322"/>
      <c r="X705" s="322"/>
      <c r="Y705" s="322"/>
      <c r="Z705" s="322"/>
    </row>
    <row r="706" ht="12.75" customHeight="1">
      <c r="A706" s="322"/>
      <c r="B706" s="322"/>
      <c r="C706" s="323"/>
      <c r="D706" s="324"/>
      <c r="E706" s="323"/>
      <c r="F706" s="324"/>
      <c r="G706" s="322"/>
      <c r="H706" s="322"/>
      <c r="I706" s="322"/>
      <c r="J706" s="322"/>
      <c r="K706" s="322"/>
      <c r="L706" s="322"/>
      <c r="M706" s="322"/>
      <c r="N706" s="322"/>
      <c r="O706" s="322"/>
      <c r="P706" s="322"/>
      <c r="Q706" s="322"/>
      <c r="R706" s="322"/>
      <c r="S706" s="322"/>
      <c r="T706" s="322"/>
      <c r="U706" s="322"/>
      <c r="V706" s="322"/>
      <c r="W706" s="322"/>
      <c r="X706" s="322"/>
      <c r="Y706" s="322"/>
      <c r="Z706" s="322"/>
    </row>
    <row r="707" ht="12.75" customHeight="1">
      <c r="A707" s="322"/>
      <c r="B707" s="322"/>
      <c r="C707" s="323"/>
      <c r="D707" s="324"/>
      <c r="E707" s="323"/>
      <c r="F707" s="324"/>
      <c r="G707" s="322"/>
      <c r="H707" s="322"/>
      <c r="I707" s="322"/>
      <c r="J707" s="322"/>
      <c r="K707" s="322"/>
      <c r="L707" s="322"/>
      <c r="M707" s="322"/>
      <c r="N707" s="322"/>
      <c r="O707" s="322"/>
      <c r="P707" s="322"/>
      <c r="Q707" s="322"/>
      <c r="R707" s="322"/>
      <c r="S707" s="322"/>
      <c r="T707" s="322"/>
      <c r="U707" s="322"/>
      <c r="V707" s="322"/>
      <c r="W707" s="322"/>
      <c r="X707" s="322"/>
      <c r="Y707" s="322"/>
      <c r="Z707" s="322"/>
    </row>
    <row r="708" ht="12.75" customHeight="1">
      <c r="A708" s="322"/>
      <c r="B708" s="322"/>
      <c r="C708" s="323"/>
      <c r="D708" s="324"/>
      <c r="E708" s="323"/>
      <c r="F708" s="324"/>
      <c r="G708" s="322"/>
      <c r="H708" s="322"/>
      <c r="I708" s="322"/>
      <c r="J708" s="322"/>
      <c r="K708" s="322"/>
      <c r="L708" s="322"/>
      <c r="M708" s="322"/>
      <c r="N708" s="322"/>
      <c r="O708" s="322"/>
      <c r="P708" s="322"/>
      <c r="Q708" s="322"/>
      <c r="R708" s="322"/>
      <c r="S708" s="322"/>
      <c r="T708" s="322"/>
      <c r="U708" s="322"/>
      <c r="V708" s="322"/>
      <c r="W708" s="322"/>
      <c r="X708" s="322"/>
      <c r="Y708" s="322"/>
      <c r="Z708" s="322"/>
    </row>
    <row r="709" ht="12.75" customHeight="1">
      <c r="A709" s="322"/>
      <c r="B709" s="322"/>
      <c r="C709" s="323"/>
      <c r="D709" s="324"/>
      <c r="E709" s="323"/>
      <c r="F709" s="324"/>
      <c r="G709" s="322"/>
      <c r="H709" s="322"/>
      <c r="I709" s="322"/>
      <c r="J709" s="322"/>
      <c r="K709" s="322"/>
      <c r="L709" s="322"/>
      <c r="M709" s="322"/>
      <c r="N709" s="322"/>
      <c r="O709" s="322"/>
      <c r="P709" s="322"/>
      <c r="Q709" s="322"/>
      <c r="R709" s="322"/>
      <c r="S709" s="322"/>
      <c r="T709" s="322"/>
      <c r="U709" s="322"/>
      <c r="V709" s="322"/>
      <c r="W709" s="322"/>
      <c r="X709" s="322"/>
      <c r="Y709" s="322"/>
      <c r="Z709" s="322"/>
    </row>
    <row r="710" ht="12.75" customHeight="1">
      <c r="A710" s="322"/>
      <c r="B710" s="322"/>
      <c r="C710" s="323"/>
      <c r="D710" s="324"/>
      <c r="E710" s="323"/>
      <c r="F710" s="324"/>
      <c r="G710" s="322"/>
      <c r="H710" s="322"/>
      <c r="I710" s="322"/>
      <c r="J710" s="322"/>
      <c r="K710" s="322"/>
      <c r="L710" s="322"/>
      <c r="M710" s="322"/>
      <c r="N710" s="322"/>
      <c r="O710" s="322"/>
      <c r="P710" s="322"/>
      <c r="Q710" s="322"/>
      <c r="R710" s="322"/>
      <c r="S710" s="322"/>
      <c r="T710" s="322"/>
      <c r="U710" s="322"/>
      <c r="V710" s="322"/>
      <c r="W710" s="322"/>
      <c r="X710" s="322"/>
      <c r="Y710" s="322"/>
      <c r="Z710" s="322"/>
    </row>
    <row r="711" ht="12.75" customHeight="1">
      <c r="A711" s="322"/>
      <c r="B711" s="322"/>
      <c r="C711" s="323"/>
      <c r="D711" s="324"/>
      <c r="E711" s="323"/>
      <c r="F711" s="324"/>
      <c r="G711" s="322"/>
      <c r="H711" s="322"/>
      <c r="I711" s="322"/>
      <c r="J711" s="322"/>
      <c r="K711" s="322"/>
      <c r="L711" s="322"/>
      <c r="M711" s="322"/>
      <c r="N711" s="322"/>
      <c r="O711" s="322"/>
      <c r="P711" s="322"/>
      <c r="Q711" s="322"/>
      <c r="R711" s="322"/>
      <c r="S711" s="322"/>
      <c r="T711" s="322"/>
      <c r="U711" s="322"/>
      <c r="V711" s="322"/>
      <c r="W711" s="322"/>
      <c r="X711" s="322"/>
      <c r="Y711" s="322"/>
      <c r="Z711" s="322"/>
    </row>
    <row r="712" ht="12.75" customHeight="1">
      <c r="A712" s="322"/>
      <c r="B712" s="322"/>
      <c r="C712" s="323"/>
      <c r="D712" s="324"/>
      <c r="E712" s="323"/>
      <c r="F712" s="324"/>
      <c r="G712" s="322"/>
      <c r="H712" s="322"/>
      <c r="I712" s="322"/>
      <c r="J712" s="322"/>
      <c r="K712" s="322"/>
      <c r="L712" s="322"/>
      <c r="M712" s="322"/>
      <c r="N712" s="322"/>
      <c r="O712" s="322"/>
      <c r="P712" s="322"/>
      <c r="Q712" s="322"/>
      <c r="R712" s="322"/>
      <c r="S712" s="322"/>
      <c r="T712" s="322"/>
      <c r="U712" s="322"/>
      <c r="V712" s="322"/>
      <c r="W712" s="322"/>
      <c r="X712" s="322"/>
      <c r="Y712" s="322"/>
      <c r="Z712" s="322"/>
    </row>
    <row r="713" ht="12.75" customHeight="1">
      <c r="A713" s="322"/>
      <c r="B713" s="322"/>
      <c r="C713" s="323"/>
      <c r="D713" s="324"/>
      <c r="E713" s="323"/>
      <c r="F713" s="324"/>
      <c r="G713" s="322"/>
      <c r="H713" s="322"/>
      <c r="I713" s="322"/>
      <c r="J713" s="322"/>
      <c r="K713" s="322"/>
      <c r="L713" s="322"/>
      <c r="M713" s="322"/>
      <c r="N713" s="322"/>
      <c r="O713" s="322"/>
      <c r="P713" s="322"/>
      <c r="Q713" s="322"/>
      <c r="R713" s="322"/>
      <c r="S713" s="322"/>
      <c r="T713" s="322"/>
      <c r="U713" s="322"/>
      <c r="V713" s="322"/>
      <c r="W713" s="322"/>
      <c r="X713" s="322"/>
      <c r="Y713" s="322"/>
      <c r="Z713" s="322"/>
    </row>
    <row r="714" ht="12.75" customHeight="1">
      <c r="A714" s="322"/>
      <c r="B714" s="322"/>
      <c r="C714" s="323"/>
      <c r="D714" s="324"/>
      <c r="E714" s="323"/>
      <c r="F714" s="324"/>
      <c r="G714" s="322"/>
      <c r="H714" s="322"/>
      <c r="I714" s="322"/>
      <c r="J714" s="322"/>
      <c r="K714" s="322"/>
      <c r="L714" s="322"/>
      <c r="M714" s="322"/>
      <c r="N714" s="322"/>
      <c r="O714" s="322"/>
      <c r="P714" s="322"/>
      <c r="Q714" s="322"/>
      <c r="R714" s="322"/>
      <c r="S714" s="322"/>
      <c r="T714" s="322"/>
      <c r="U714" s="322"/>
      <c r="V714" s="322"/>
      <c r="W714" s="322"/>
      <c r="X714" s="322"/>
      <c r="Y714" s="322"/>
      <c r="Z714" s="322"/>
    </row>
    <row r="715" ht="12.75" customHeight="1">
      <c r="A715" s="322"/>
      <c r="B715" s="322"/>
      <c r="C715" s="323"/>
      <c r="D715" s="324"/>
      <c r="E715" s="323"/>
      <c r="F715" s="324"/>
      <c r="G715" s="322"/>
      <c r="H715" s="322"/>
      <c r="I715" s="322"/>
      <c r="J715" s="322"/>
      <c r="K715" s="322"/>
      <c r="L715" s="322"/>
      <c r="M715" s="322"/>
      <c r="N715" s="322"/>
      <c r="O715" s="322"/>
      <c r="P715" s="322"/>
      <c r="Q715" s="322"/>
      <c r="R715" s="322"/>
      <c r="S715" s="322"/>
      <c r="T715" s="322"/>
      <c r="U715" s="322"/>
      <c r="V715" s="322"/>
      <c r="W715" s="322"/>
      <c r="X715" s="322"/>
      <c r="Y715" s="322"/>
      <c r="Z715" s="322"/>
    </row>
    <row r="716" ht="12.75" customHeight="1">
      <c r="A716" s="322"/>
      <c r="B716" s="322"/>
      <c r="C716" s="323"/>
      <c r="D716" s="324"/>
      <c r="E716" s="323"/>
      <c r="F716" s="324"/>
      <c r="G716" s="322"/>
      <c r="H716" s="322"/>
      <c r="I716" s="322"/>
      <c r="J716" s="322"/>
      <c r="K716" s="322"/>
      <c r="L716" s="322"/>
      <c r="M716" s="322"/>
      <c r="N716" s="322"/>
      <c r="O716" s="322"/>
      <c r="P716" s="322"/>
      <c r="Q716" s="322"/>
      <c r="R716" s="322"/>
      <c r="S716" s="322"/>
      <c r="T716" s="322"/>
      <c r="U716" s="322"/>
      <c r="V716" s="322"/>
      <c r="W716" s="322"/>
      <c r="X716" s="322"/>
      <c r="Y716" s="322"/>
      <c r="Z716" s="322"/>
    </row>
    <row r="717" ht="12.75" customHeight="1">
      <c r="A717" s="322"/>
      <c r="B717" s="322"/>
      <c r="C717" s="323"/>
      <c r="D717" s="324"/>
      <c r="E717" s="323"/>
      <c r="F717" s="324"/>
      <c r="G717" s="322"/>
      <c r="H717" s="322"/>
      <c r="I717" s="322"/>
      <c r="J717" s="322"/>
      <c r="K717" s="322"/>
      <c r="L717" s="322"/>
      <c r="M717" s="322"/>
      <c r="N717" s="322"/>
      <c r="O717" s="322"/>
      <c r="P717" s="322"/>
      <c r="Q717" s="322"/>
      <c r="R717" s="322"/>
      <c r="S717" s="322"/>
      <c r="T717" s="322"/>
      <c r="U717" s="322"/>
      <c r="V717" s="322"/>
      <c r="W717" s="322"/>
      <c r="X717" s="322"/>
      <c r="Y717" s="322"/>
      <c r="Z717" s="322"/>
    </row>
    <row r="718" ht="12.75" customHeight="1">
      <c r="A718" s="322"/>
      <c r="B718" s="322"/>
      <c r="C718" s="323"/>
      <c r="D718" s="324"/>
      <c r="E718" s="323"/>
      <c r="F718" s="324"/>
      <c r="G718" s="322"/>
      <c r="H718" s="322"/>
      <c r="I718" s="322"/>
      <c r="J718" s="322"/>
      <c r="K718" s="322"/>
      <c r="L718" s="322"/>
      <c r="M718" s="322"/>
      <c r="N718" s="322"/>
      <c r="O718" s="322"/>
      <c r="P718" s="322"/>
      <c r="Q718" s="322"/>
      <c r="R718" s="322"/>
      <c r="S718" s="322"/>
      <c r="T718" s="322"/>
      <c r="U718" s="322"/>
      <c r="V718" s="322"/>
      <c r="W718" s="322"/>
      <c r="X718" s="322"/>
      <c r="Y718" s="322"/>
      <c r="Z718" s="322"/>
    </row>
    <row r="719" ht="12.75" customHeight="1">
      <c r="A719" s="322"/>
      <c r="B719" s="322"/>
      <c r="C719" s="323"/>
      <c r="D719" s="324"/>
      <c r="E719" s="323"/>
      <c r="F719" s="324"/>
      <c r="G719" s="322"/>
      <c r="H719" s="322"/>
      <c r="I719" s="322"/>
      <c r="J719" s="322"/>
      <c r="K719" s="322"/>
      <c r="L719" s="322"/>
      <c r="M719" s="322"/>
      <c r="N719" s="322"/>
      <c r="O719" s="322"/>
      <c r="P719" s="322"/>
      <c r="Q719" s="322"/>
      <c r="R719" s="322"/>
      <c r="S719" s="322"/>
      <c r="T719" s="322"/>
      <c r="U719" s="322"/>
      <c r="V719" s="322"/>
      <c r="W719" s="322"/>
      <c r="X719" s="322"/>
      <c r="Y719" s="322"/>
      <c r="Z719" s="322"/>
    </row>
    <row r="720" ht="12.75" customHeight="1">
      <c r="A720" s="322"/>
      <c r="B720" s="322"/>
      <c r="C720" s="323"/>
      <c r="D720" s="324"/>
      <c r="E720" s="323"/>
      <c r="F720" s="324"/>
      <c r="G720" s="322"/>
      <c r="H720" s="322"/>
      <c r="I720" s="322"/>
      <c r="J720" s="322"/>
      <c r="K720" s="322"/>
      <c r="L720" s="322"/>
      <c r="M720" s="322"/>
      <c r="N720" s="322"/>
      <c r="O720" s="322"/>
      <c r="P720" s="322"/>
      <c r="Q720" s="322"/>
      <c r="R720" s="322"/>
      <c r="S720" s="322"/>
      <c r="T720" s="322"/>
      <c r="U720" s="322"/>
      <c r="V720" s="322"/>
      <c r="W720" s="322"/>
      <c r="X720" s="322"/>
      <c r="Y720" s="322"/>
      <c r="Z720" s="322"/>
    </row>
    <row r="721" ht="12.75" customHeight="1">
      <c r="A721" s="322"/>
      <c r="B721" s="322"/>
      <c r="C721" s="323"/>
      <c r="D721" s="324"/>
      <c r="E721" s="323"/>
      <c r="F721" s="324"/>
      <c r="G721" s="322"/>
      <c r="H721" s="322"/>
      <c r="I721" s="322"/>
      <c r="J721" s="322"/>
      <c r="K721" s="322"/>
      <c r="L721" s="322"/>
      <c r="M721" s="322"/>
      <c r="N721" s="322"/>
      <c r="O721" s="322"/>
      <c r="P721" s="322"/>
      <c r="Q721" s="322"/>
      <c r="R721" s="322"/>
      <c r="S721" s="322"/>
      <c r="T721" s="322"/>
      <c r="U721" s="322"/>
      <c r="V721" s="322"/>
      <c r="W721" s="322"/>
      <c r="X721" s="322"/>
      <c r="Y721" s="322"/>
      <c r="Z721" s="322"/>
    </row>
    <row r="722" ht="12.75" customHeight="1">
      <c r="A722" s="322"/>
      <c r="B722" s="322"/>
      <c r="C722" s="323"/>
      <c r="D722" s="324"/>
      <c r="E722" s="323"/>
      <c r="F722" s="324"/>
      <c r="G722" s="322"/>
      <c r="H722" s="322"/>
      <c r="I722" s="322"/>
      <c r="J722" s="322"/>
      <c r="K722" s="322"/>
      <c r="L722" s="322"/>
      <c r="M722" s="322"/>
      <c r="N722" s="322"/>
      <c r="O722" s="322"/>
      <c r="P722" s="322"/>
      <c r="Q722" s="322"/>
      <c r="R722" s="322"/>
      <c r="S722" s="322"/>
      <c r="T722" s="322"/>
      <c r="U722" s="322"/>
      <c r="V722" s="322"/>
      <c r="W722" s="322"/>
      <c r="X722" s="322"/>
      <c r="Y722" s="322"/>
      <c r="Z722" s="322"/>
    </row>
    <row r="723" ht="12.75" customHeight="1">
      <c r="A723" s="322"/>
      <c r="B723" s="322"/>
      <c r="C723" s="323"/>
      <c r="D723" s="324"/>
      <c r="E723" s="323"/>
      <c r="F723" s="324"/>
      <c r="G723" s="322"/>
      <c r="H723" s="322"/>
      <c r="I723" s="322"/>
      <c r="J723" s="322"/>
      <c r="K723" s="322"/>
      <c r="L723" s="322"/>
      <c r="M723" s="322"/>
      <c r="N723" s="322"/>
      <c r="O723" s="322"/>
      <c r="P723" s="322"/>
      <c r="Q723" s="322"/>
      <c r="R723" s="322"/>
      <c r="S723" s="322"/>
      <c r="T723" s="322"/>
      <c r="U723" s="322"/>
      <c r="V723" s="322"/>
      <c r="W723" s="322"/>
      <c r="X723" s="322"/>
      <c r="Y723" s="322"/>
      <c r="Z723" s="322"/>
    </row>
    <row r="724" ht="12.75" customHeight="1">
      <c r="A724" s="322"/>
      <c r="B724" s="322"/>
      <c r="C724" s="323"/>
      <c r="D724" s="324"/>
      <c r="E724" s="323"/>
      <c r="F724" s="324"/>
      <c r="G724" s="322"/>
      <c r="H724" s="322"/>
      <c r="I724" s="322"/>
      <c r="J724" s="322"/>
      <c r="K724" s="322"/>
      <c r="L724" s="322"/>
      <c r="M724" s="322"/>
      <c r="N724" s="322"/>
      <c r="O724" s="322"/>
      <c r="P724" s="322"/>
      <c r="Q724" s="322"/>
      <c r="R724" s="322"/>
      <c r="S724" s="322"/>
      <c r="T724" s="322"/>
      <c r="U724" s="322"/>
      <c r="V724" s="322"/>
      <c r="W724" s="322"/>
      <c r="X724" s="322"/>
      <c r="Y724" s="322"/>
      <c r="Z724" s="322"/>
    </row>
    <row r="725" ht="12.75" customHeight="1">
      <c r="A725" s="322"/>
      <c r="B725" s="322"/>
      <c r="C725" s="323"/>
      <c r="D725" s="324"/>
      <c r="E725" s="323"/>
      <c r="F725" s="324"/>
      <c r="G725" s="322"/>
      <c r="H725" s="322"/>
      <c r="I725" s="322"/>
      <c r="J725" s="322"/>
      <c r="K725" s="322"/>
      <c r="L725" s="322"/>
      <c r="M725" s="322"/>
      <c r="N725" s="322"/>
      <c r="O725" s="322"/>
      <c r="P725" s="322"/>
      <c r="Q725" s="322"/>
      <c r="R725" s="322"/>
      <c r="S725" s="322"/>
      <c r="T725" s="322"/>
      <c r="U725" s="322"/>
      <c r="V725" s="322"/>
      <c r="W725" s="322"/>
      <c r="X725" s="322"/>
      <c r="Y725" s="322"/>
      <c r="Z725" s="322"/>
    </row>
    <row r="726" ht="12.75" customHeight="1">
      <c r="A726" s="322"/>
      <c r="B726" s="322"/>
      <c r="C726" s="323"/>
      <c r="D726" s="324"/>
      <c r="E726" s="323"/>
      <c r="F726" s="324"/>
      <c r="G726" s="322"/>
      <c r="H726" s="322"/>
      <c r="I726" s="322"/>
      <c r="J726" s="322"/>
      <c r="K726" s="322"/>
      <c r="L726" s="322"/>
      <c r="M726" s="322"/>
      <c r="N726" s="322"/>
      <c r="O726" s="322"/>
      <c r="P726" s="322"/>
      <c r="Q726" s="322"/>
      <c r="R726" s="322"/>
      <c r="S726" s="322"/>
      <c r="T726" s="322"/>
      <c r="U726" s="322"/>
      <c r="V726" s="322"/>
      <c r="W726" s="322"/>
      <c r="X726" s="322"/>
      <c r="Y726" s="322"/>
      <c r="Z726" s="322"/>
    </row>
    <row r="727" ht="12.75" customHeight="1">
      <c r="A727" s="322"/>
      <c r="B727" s="322"/>
      <c r="C727" s="323"/>
      <c r="D727" s="324"/>
      <c r="E727" s="323"/>
      <c r="F727" s="324"/>
      <c r="G727" s="322"/>
      <c r="H727" s="322"/>
      <c r="I727" s="322"/>
      <c r="J727" s="322"/>
      <c r="K727" s="322"/>
      <c r="L727" s="322"/>
      <c r="M727" s="322"/>
      <c r="N727" s="322"/>
      <c r="O727" s="322"/>
      <c r="P727" s="322"/>
      <c r="Q727" s="322"/>
      <c r="R727" s="322"/>
      <c r="S727" s="322"/>
      <c r="T727" s="322"/>
      <c r="U727" s="322"/>
      <c r="V727" s="322"/>
      <c r="W727" s="322"/>
      <c r="X727" s="322"/>
      <c r="Y727" s="322"/>
      <c r="Z727" s="322"/>
    </row>
    <row r="728" ht="12.75" customHeight="1">
      <c r="A728" s="322"/>
      <c r="B728" s="322"/>
      <c r="C728" s="323"/>
      <c r="D728" s="324"/>
      <c r="E728" s="323"/>
      <c r="F728" s="324"/>
      <c r="G728" s="322"/>
      <c r="H728" s="322"/>
      <c r="I728" s="322"/>
      <c r="J728" s="322"/>
      <c r="K728" s="322"/>
      <c r="L728" s="322"/>
      <c r="M728" s="322"/>
      <c r="N728" s="322"/>
      <c r="O728" s="322"/>
      <c r="P728" s="322"/>
      <c r="Q728" s="322"/>
      <c r="R728" s="322"/>
      <c r="S728" s="322"/>
      <c r="T728" s="322"/>
      <c r="U728" s="322"/>
      <c r="V728" s="322"/>
      <c r="W728" s="322"/>
      <c r="X728" s="322"/>
      <c r="Y728" s="322"/>
      <c r="Z728" s="322"/>
    </row>
    <row r="729" ht="12.75" customHeight="1">
      <c r="A729" s="322"/>
      <c r="B729" s="322"/>
      <c r="C729" s="323"/>
      <c r="D729" s="324"/>
      <c r="E729" s="323"/>
      <c r="F729" s="324"/>
      <c r="G729" s="322"/>
      <c r="H729" s="322"/>
      <c r="I729" s="322"/>
      <c r="J729" s="322"/>
      <c r="K729" s="322"/>
      <c r="L729" s="322"/>
      <c r="M729" s="322"/>
      <c r="N729" s="322"/>
      <c r="O729" s="322"/>
      <c r="P729" s="322"/>
      <c r="Q729" s="322"/>
      <c r="R729" s="322"/>
      <c r="S729" s="322"/>
      <c r="T729" s="322"/>
      <c r="U729" s="322"/>
      <c r="V729" s="322"/>
      <c r="W729" s="322"/>
      <c r="X729" s="322"/>
      <c r="Y729" s="322"/>
      <c r="Z729" s="322"/>
    </row>
    <row r="730" ht="12.75" customHeight="1">
      <c r="A730" s="322"/>
      <c r="B730" s="322"/>
      <c r="C730" s="323"/>
      <c r="D730" s="324"/>
      <c r="E730" s="323"/>
      <c r="F730" s="324"/>
      <c r="G730" s="322"/>
      <c r="H730" s="322"/>
      <c r="I730" s="322"/>
      <c r="J730" s="322"/>
      <c r="K730" s="322"/>
      <c r="L730" s="322"/>
      <c r="M730" s="322"/>
      <c r="N730" s="322"/>
      <c r="O730" s="322"/>
      <c r="P730" s="322"/>
      <c r="Q730" s="322"/>
      <c r="R730" s="322"/>
      <c r="S730" s="322"/>
      <c r="T730" s="322"/>
      <c r="U730" s="322"/>
      <c r="V730" s="322"/>
      <c r="W730" s="322"/>
      <c r="X730" s="322"/>
      <c r="Y730" s="322"/>
      <c r="Z730" s="322"/>
    </row>
    <row r="731" ht="12.75" customHeight="1">
      <c r="A731" s="322"/>
      <c r="B731" s="322"/>
      <c r="C731" s="323"/>
      <c r="D731" s="324"/>
      <c r="E731" s="323"/>
      <c r="F731" s="324"/>
      <c r="G731" s="322"/>
      <c r="H731" s="322"/>
      <c r="I731" s="322"/>
      <c r="J731" s="322"/>
      <c r="K731" s="322"/>
      <c r="L731" s="322"/>
      <c r="M731" s="322"/>
      <c r="N731" s="322"/>
      <c r="O731" s="322"/>
      <c r="P731" s="322"/>
      <c r="Q731" s="322"/>
      <c r="R731" s="322"/>
      <c r="S731" s="322"/>
      <c r="T731" s="322"/>
      <c r="U731" s="322"/>
      <c r="V731" s="322"/>
      <c r="W731" s="322"/>
      <c r="X731" s="322"/>
      <c r="Y731" s="322"/>
      <c r="Z731" s="322"/>
    </row>
    <row r="732" ht="12.75" customHeight="1">
      <c r="A732" s="322"/>
      <c r="B732" s="322"/>
      <c r="C732" s="323"/>
      <c r="D732" s="324"/>
      <c r="E732" s="323"/>
      <c r="F732" s="324"/>
      <c r="G732" s="322"/>
      <c r="H732" s="322"/>
      <c r="I732" s="322"/>
      <c r="J732" s="322"/>
      <c r="K732" s="322"/>
      <c r="L732" s="322"/>
      <c r="M732" s="322"/>
      <c r="N732" s="322"/>
      <c r="O732" s="322"/>
      <c r="P732" s="322"/>
      <c r="Q732" s="322"/>
      <c r="R732" s="322"/>
      <c r="S732" s="322"/>
      <c r="T732" s="322"/>
      <c r="U732" s="322"/>
      <c r="V732" s="322"/>
      <c r="W732" s="322"/>
      <c r="X732" s="322"/>
      <c r="Y732" s="322"/>
      <c r="Z732" s="322"/>
    </row>
    <row r="733" ht="12.75" customHeight="1">
      <c r="A733" s="322"/>
      <c r="B733" s="322"/>
      <c r="C733" s="323"/>
      <c r="D733" s="324"/>
      <c r="E733" s="323"/>
      <c r="F733" s="324"/>
      <c r="G733" s="322"/>
      <c r="H733" s="322"/>
      <c r="I733" s="322"/>
      <c r="J733" s="322"/>
      <c r="K733" s="322"/>
      <c r="L733" s="322"/>
      <c r="M733" s="322"/>
      <c r="N733" s="322"/>
      <c r="O733" s="322"/>
      <c r="P733" s="322"/>
      <c r="Q733" s="322"/>
      <c r="R733" s="322"/>
      <c r="S733" s="322"/>
      <c r="T733" s="322"/>
      <c r="U733" s="322"/>
      <c r="V733" s="322"/>
      <c r="W733" s="322"/>
      <c r="X733" s="322"/>
      <c r="Y733" s="322"/>
      <c r="Z733" s="322"/>
    </row>
    <row r="734" ht="12.75" customHeight="1">
      <c r="A734" s="322"/>
      <c r="B734" s="322"/>
      <c r="C734" s="323"/>
      <c r="D734" s="324"/>
      <c r="E734" s="323"/>
      <c r="F734" s="324"/>
      <c r="G734" s="322"/>
      <c r="H734" s="322"/>
      <c r="I734" s="322"/>
      <c r="J734" s="322"/>
      <c r="K734" s="322"/>
      <c r="L734" s="322"/>
      <c r="M734" s="322"/>
      <c r="N734" s="322"/>
      <c r="O734" s="322"/>
      <c r="P734" s="322"/>
      <c r="Q734" s="322"/>
      <c r="R734" s="322"/>
      <c r="S734" s="322"/>
      <c r="T734" s="322"/>
      <c r="U734" s="322"/>
      <c r="V734" s="322"/>
      <c r="W734" s="322"/>
      <c r="X734" s="322"/>
      <c r="Y734" s="322"/>
      <c r="Z734" s="322"/>
    </row>
    <row r="735" ht="12.75" customHeight="1">
      <c r="A735" s="322"/>
      <c r="B735" s="322"/>
      <c r="C735" s="323"/>
      <c r="D735" s="324"/>
      <c r="E735" s="323"/>
      <c r="F735" s="324"/>
      <c r="G735" s="322"/>
      <c r="H735" s="322"/>
      <c r="I735" s="322"/>
      <c r="J735" s="322"/>
      <c r="K735" s="322"/>
      <c r="L735" s="322"/>
      <c r="M735" s="322"/>
      <c r="N735" s="322"/>
      <c r="O735" s="322"/>
      <c r="P735" s="322"/>
      <c r="Q735" s="322"/>
      <c r="R735" s="322"/>
      <c r="S735" s="322"/>
      <c r="T735" s="322"/>
      <c r="U735" s="322"/>
      <c r="V735" s="322"/>
      <c r="W735" s="322"/>
      <c r="X735" s="322"/>
      <c r="Y735" s="322"/>
      <c r="Z735" s="322"/>
    </row>
    <row r="736" ht="12.75" customHeight="1">
      <c r="A736" s="322"/>
      <c r="B736" s="322"/>
      <c r="C736" s="323"/>
      <c r="D736" s="324"/>
      <c r="E736" s="323"/>
      <c r="F736" s="324"/>
      <c r="G736" s="322"/>
      <c r="H736" s="322"/>
      <c r="I736" s="322"/>
      <c r="J736" s="322"/>
      <c r="K736" s="322"/>
      <c r="L736" s="322"/>
      <c r="M736" s="322"/>
      <c r="N736" s="322"/>
      <c r="O736" s="322"/>
      <c r="P736" s="322"/>
      <c r="Q736" s="322"/>
      <c r="R736" s="322"/>
      <c r="S736" s="322"/>
      <c r="T736" s="322"/>
      <c r="U736" s="322"/>
      <c r="V736" s="322"/>
      <c r="W736" s="322"/>
      <c r="X736" s="322"/>
      <c r="Y736" s="322"/>
      <c r="Z736" s="322"/>
    </row>
    <row r="737" ht="12.75" customHeight="1">
      <c r="A737" s="322"/>
      <c r="B737" s="322"/>
      <c r="C737" s="323"/>
      <c r="D737" s="324"/>
      <c r="E737" s="323"/>
      <c r="F737" s="324"/>
      <c r="G737" s="322"/>
      <c r="H737" s="322"/>
      <c r="I737" s="322"/>
      <c r="J737" s="322"/>
      <c r="K737" s="322"/>
      <c r="L737" s="322"/>
      <c r="M737" s="322"/>
      <c r="N737" s="322"/>
      <c r="O737" s="322"/>
      <c r="P737" s="322"/>
      <c r="Q737" s="322"/>
      <c r="R737" s="322"/>
      <c r="S737" s="322"/>
      <c r="T737" s="322"/>
      <c r="U737" s="322"/>
      <c r="V737" s="322"/>
      <c r="W737" s="322"/>
      <c r="X737" s="322"/>
      <c r="Y737" s="322"/>
      <c r="Z737" s="322"/>
    </row>
    <row r="738" ht="12.75" customHeight="1">
      <c r="A738" s="322"/>
      <c r="B738" s="322"/>
      <c r="C738" s="323"/>
      <c r="D738" s="324"/>
      <c r="E738" s="323"/>
      <c r="F738" s="324"/>
      <c r="G738" s="322"/>
      <c r="H738" s="322"/>
      <c r="I738" s="322"/>
      <c r="J738" s="322"/>
      <c r="K738" s="322"/>
      <c r="L738" s="322"/>
      <c r="M738" s="322"/>
      <c r="N738" s="322"/>
      <c r="O738" s="322"/>
      <c r="P738" s="322"/>
      <c r="Q738" s="322"/>
      <c r="R738" s="322"/>
      <c r="S738" s="322"/>
      <c r="T738" s="322"/>
      <c r="U738" s="322"/>
      <c r="V738" s="322"/>
      <c r="W738" s="322"/>
      <c r="X738" s="322"/>
      <c r="Y738" s="322"/>
      <c r="Z738" s="322"/>
    </row>
    <row r="739" ht="12.75" customHeight="1">
      <c r="A739" s="322"/>
      <c r="B739" s="322"/>
      <c r="C739" s="323"/>
      <c r="D739" s="324"/>
      <c r="E739" s="323"/>
      <c r="F739" s="324"/>
      <c r="G739" s="322"/>
      <c r="H739" s="322"/>
      <c r="I739" s="322"/>
      <c r="J739" s="322"/>
      <c r="K739" s="322"/>
      <c r="L739" s="322"/>
      <c r="M739" s="322"/>
      <c r="N739" s="322"/>
      <c r="O739" s="322"/>
      <c r="P739" s="322"/>
      <c r="Q739" s="322"/>
      <c r="R739" s="322"/>
      <c r="S739" s="322"/>
      <c r="T739" s="322"/>
      <c r="U739" s="322"/>
      <c r="V739" s="322"/>
      <c r="W739" s="322"/>
      <c r="X739" s="322"/>
      <c r="Y739" s="322"/>
      <c r="Z739" s="322"/>
    </row>
    <row r="740" ht="12.75" customHeight="1">
      <c r="A740" s="322"/>
      <c r="B740" s="322"/>
      <c r="C740" s="323"/>
      <c r="D740" s="324"/>
      <c r="E740" s="323"/>
      <c r="F740" s="324"/>
      <c r="G740" s="322"/>
      <c r="H740" s="322"/>
      <c r="I740" s="322"/>
      <c r="J740" s="322"/>
      <c r="K740" s="322"/>
      <c r="L740" s="322"/>
      <c r="M740" s="322"/>
      <c r="N740" s="322"/>
      <c r="O740" s="322"/>
      <c r="P740" s="322"/>
      <c r="Q740" s="322"/>
      <c r="R740" s="322"/>
      <c r="S740" s="322"/>
      <c r="T740" s="322"/>
      <c r="U740" s="322"/>
      <c r="V740" s="322"/>
      <c r="W740" s="322"/>
      <c r="X740" s="322"/>
      <c r="Y740" s="322"/>
      <c r="Z740" s="322"/>
    </row>
    <row r="741" ht="12.75" customHeight="1">
      <c r="A741" s="322"/>
      <c r="B741" s="322"/>
      <c r="C741" s="323"/>
      <c r="D741" s="324"/>
      <c r="E741" s="323"/>
      <c r="F741" s="324"/>
      <c r="G741" s="322"/>
      <c r="H741" s="322"/>
      <c r="I741" s="322"/>
      <c r="J741" s="322"/>
      <c r="K741" s="322"/>
      <c r="L741" s="322"/>
      <c r="M741" s="322"/>
      <c r="N741" s="322"/>
      <c r="O741" s="322"/>
      <c r="P741" s="322"/>
      <c r="Q741" s="322"/>
      <c r="R741" s="322"/>
      <c r="S741" s="322"/>
      <c r="T741" s="322"/>
      <c r="U741" s="322"/>
      <c r="V741" s="322"/>
      <c r="W741" s="322"/>
      <c r="X741" s="322"/>
      <c r="Y741" s="322"/>
      <c r="Z741" s="322"/>
    </row>
    <row r="742" ht="12.75" customHeight="1">
      <c r="A742" s="322"/>
      <c r="B742" s="322"/>
      <c r="C742" s="323"/>
      <c r="D742" s="324"/>
      <c r="E742" s="323"/>
      <c r="F742" s="324"/>
      <c r="G742" s="322"/>
      <c r="H742" s="322"/>
      <c r="I742" s="322"/>
      <c r="J742" s="322"/>
      <c r="K742" s="322"/>
      <c r="L742" s="322"/>
      <c r="M742" s="322"/>
      <c r="N742" s="322"/>
      <c r="O742" s="322"/>
      <c r="P742" s="322"/>
      <c r="Q742" s="322"/>
      <c r="R742" s="322"/>
      <c r="S742" s="322"/>
      <c r="T742" s="322"/>
      <c r="U742" s="322"/>
      <c r="V742" s="322"/>
      <c r="W742" s="322"/>
      <c r="X742" s="322"/>
      <c r="Y742" s="322"/>
      <c r="Z742" s="322"/>
    </row>
    <row r="743" ht="12.75" customHeight="1">
      <c r="A743" s="322"/>
      <c r="B743" s="322"/>
      <c r="C743" s="323"/>
      <c r="D743" s="324"/>
      <c r="E743" s="323"/>
      <c r="F743" s="324"/>
      <c r="G743" s="322"/>
      <c r="H743" s="322"/>
      <c r="I743" s="322"/>
      <c r="J743" s="322"/>
      <c r="K743" s="322"/>
      <c r="L743" s="322"/>
      <c r="M743" s="322"/>
      <c r="N743" s="322"/>
      <c r="O743" s="322"/>
      <c r="P743" s="322"/>
      <c r="Q743" s="322"/>
      <c r="R743" s="322"/>
      <c r="S743" s="322"/>
      <c r="T743" s="322"/>
      <c r="U743" s="322"/>
      <c r="V743" s="322"/>
      <c r="W743" s="322"/>
      <c r="X743" s="322"/>
      <c r="Y743" s="322"/>
      <c r="Z743" s="322"/>
    </row>
    <row r="744" ht="12.75" customHeight="1">
      <c r="A744" s="322"/>
      <c r="B744" s="322"/>
      <c r="C744" s="323"/>
      <c r="D744" s="324"/>
      <c r="E744" s="323"/>
      <c r="F744" s="324"/>
      <c r="G744" s="322"/>
      <c r="H744" s="322"/>
      <c r="I744" s="322"/>
      <c r="J744" s="322"/>
      <c r="K744" s="322"/>
      <c r="L744" s="322"/>
      <c r="M744" s="322"/>
      <c r="N744" s="322"/>
      <c r="O744" s="322"/>
      <c r="P744" s="322"/>
      <c r="Q744" s="322"/>
      <c r="R744" s="322"/>
      <c r="S744" s="322"/>
      <c r="T744" s="322"/>
      <c r="U744" s="322"/>
      <c r="V744" s="322"/>
      <c r="W744" s="322"/>
      <c r="X744" s="322"/>
      <c r="Y744" s="322"/>
      <c r="Z744" s="322"/>
    </row>
    <row r="745" ht="12.75" customHeight="1">
      <c r="A745" s="322"/>
      <c r="B745" s="322"/>
      <c r="C745" s="323"/>
      <c r="D745" s="324"/>
      <c r="E745" s="323"/>
      <c r="F745" s="324"/>
      <c r="G745" s="322"/>
      <c r="H745" s="322"/>
      <c r="I745" s="322"/>
      <c r="J745" s="322"/>
      <c r="K745" s="322"/>
      <c r="L745" s="322"/>
      <c r="M745" s="322"/>
      <c r="N745" s="322"/>
      <c r="O745" s="322"/>
      <c r="P745" s="322"/>
      <c r="Q745" s="322"/>
      <c r="R745" s="322"/>
      <c r="S745" s="322"/>
      <c r="T745" s="322"/>
      <c r="U745" s="322"/>
      <c r="V745" s="322"/>
      <c r="W745" s="322"/>
      <c r="X745" s="322"/>
      <c r="Y745" s="322"/>
      <c r="Z745" s="322"/>
    </row>
    <row r="746" ht="12.75" customHeight="1">
      <c r="A746" s="322"/>
      <c r="B746" s="322"/>
      <c r="C746" s="323"/>
      <c r="D746" s="324"/>
      <c r="E746" s="323"/>
      <c r="F746" s="324"/>
      <c r="G746" s="322"/>
      <c r="H746" s="322"/>
      <c r="I746" s="322"/>
      <c r="J746" s="322"/>
      <c r="K746" s="322"/>
      <c r="L746" s="322"/>
      <c r="M746" s="322"/>
      <c r="N746" s="322"/>
      <c r="O746" s="322"/>
      <c r="P746" s="322"/>
      <c r="Q746" s="322"/>
      <c r="R746" s="322"/>
      <c r="S746" s="322"/>
      <c r="T746" s="322"/>
      <c r="U746" s="322"/>
      <c r="V746" s="322"/>
      <c r="W746" s="322"/>
      <c r="X746" s="322"/>
      <c r="Y746" s="322"/>
      <c r="Z746" s="322"/>
    </row>
    <row r="747" ht="12.75" customHeight="1">
      <c r="A747" s="322"/>
      <c r="B747" s="322"/>
      <c r="C747" s="323"/>
      <c r="D747" s="324"/>
      <c r="E747" s="323"/>
      <c r="F747" s="324"/>
      <c r="G747" s="322"/>
      <c r="H747" s="322"/>
      <c r="I747" s="322"/>
      <c r="J747" s="322"/>
      <c r="K747" s="322"/>
      <c r="L747" s="322"/>
      <c r="M747" s="322"/>
      <c r="N747" s="322"/>
      <c r="O747" s="322"/>
      <c r="P747" s="322"/>
      <c r="Q747" s="322"/>
      <c r="R747" s="322"/>
      <c r="S747" s="322"/>
      <c r="T747" s="322"/>
      <c r="U747" s="322"/>
      <c r="V747" s="322"/>
      <c r="W747" s="322"/>
      <c r="X747" s="322"/>
      <c r="Y747" s="322"/>
      <c r="Z747" s="322"/>
    </row>
    <row r="748" ht="12.75" customHeight="1">
      <c r="A748" s="322"/>
      <c r="B748" s="322"/>
      <c r="C748" s="323"/>
      <c r="D748" s="324"/>
      <c r="E748" s="323"/>
      <c r="F748" s="324"/>
      <c r="G748" s="322"/>
      <c r="H748" s="322"/>
      <c r="I748" s="322"/>
      <c r="J748" s="322"/>
      <c r="K748" s="322"/>
      <c r="L748" s="322"/>
      <c r="M748" s="322"/>
      <c r="N748" s="322"/>
      <c r="O748" s="322"/>
      <c r="P748" s="322"/>
      <c r="Q748" s="322"/>
      <c r="R748" s="322"/>
      <c r="S748" s="322"/>
      <c r="T748" s="322"/>
      <c r="U748" s="322"/>
      <c r="V748" s="322"/>
      <c r="W748" s="322"/>
      <c r="X748" s="322"/>
      <c r="Y748" s="322"/>
      <c r="Z748" s="322"/>
    </row>
    <row r="749" ht="12.75" customHeight="1">
      <c r="A749" s="322"/>
      <c r="B749" s="322"/>
      <c r="C749" s="323"/>
      <c r="D749" s="324"/>
      <c r="E749" s="323"/>
      <c r="F749" s="324"/>
      <c r="G749" s="322"/>
      <c r="H749" s="322"/>
      <c r="I749" s="322"/>
      <c r="J749" s="322"/>
      <c r="K749" s="322"/>
      <c r="L749" s="322"/>
      <c r="M749" s="322"/>
      <c r="N749" s="322"/>
      <c r="O749" s="322"/>
      <c r="P749" s="322"/>
      <c r="Q749" s="322"/>
      <c r="R749" s="322"/>
      <c r="S749" s="322"/>
      <c r="T749" s="322"/>
      <c r="U749" s="322"/>
      <c r="V749" s="322"/>
      <c r="W749" s="322"/>
      <c r="X749" s="322"/>
      <c r="Y749" s="322"/>
      <c r="Z749" s="322"/>
    </row>
    <row r="750" ht="12.75" customHeight="1">
      <c r="A750" s="322"/>
      <c r="B750" s="322"/>
      <c r="C750" s="323"/>
      <c r="D750" s="324"/>
      <c r="E750" s="323"/>
      <c r="F750" s="324"/>
      <c r="G750" s="322"/>
      <c r="H750" s="322"/>
      <c r="I750" s="322"/>
      <c r="J750" s="322"/>
      <c r="K750" s="322"/>
      <c r="L750" s="322"/>
      <c r="M750" s="322"/>
      <c r="N750" s="322"/>
      <c r="O750" s="322"/>
      <c r="P750" s="322"/>
      <c r="Q750" s="322"/>
      <c r="R750" s="322"/>
      <c r="S750" s="322"/>
      <c r="T750" s="322"/>
      <c r="U750" s="322"/>
      <c r="V750" s="322"/>
      <c r="W750" s="322"/>
      <c r="X750" s="322"/>
      <c r="Y750" s="322"/>
      <c r="Z750" s="322"/>
    </row>
    <row r="751" ht="12.75" customHeight="1">
      <c r="A751" s="322"/>
      <c r="B751" s="322"/>
      <c r="C751" s="323"/>
      <c r="D751" s="324"/>
      <c r="E751" s="323"/>
      <c r="F751" s="324"/>
      <c r="G751" s="322"/>
      <c r="H751" s="322"/>
      <c r="I751" s="322"/>
      <c r="J751" s="322"/>
      <c r="K751" s="322"/>
      <c r="L751" s="322"/>
      <c r="M751" s="322"/>
      <c r="N751" s="322"/>
      <c r="O751" s="322"/>
      <c r="P751" s="322"/>
      <c r="Q751" s="322"/>
      <c r="R751" s="322"/>
      <c r="S751" s="322"/>
      <c r="T751" s="322"/>
      <c r="U751" s="322"/>
      <c r="V751" s="322"/>
      <c r="W751" s="322"/>
      <c r="X751" s="322"/>
      <c r="Y751" s="322"/>
      <c r="Z751" s="322"/>
    </row>
    <row r="752" ht="12.75" customHeight="1">
      <c r="A752" s="322"/>
      <c r="B752" s="322"/>
      <c r="C752" s="323"/>
      <c r="D752" s="324"/>
      <c r="E752" s="323"/>
      <c r="F752" s="324"/>
      <c r="G752" s="322"/>
      <c r="H752" s="322"/>
      <c r="I752" s="322"/>
      <c r="J752" s="322"/>
      <c r="K752" s="322"/>
      <c r="L752" s="322"/>
      <c r="M752" s="322"/>
      <c r="N752" s="322"/>
      <c r="O752" s="322"/>
      <c r="P752" s="322"/>
      <c r="Q752" s="322"/>
      <c r="R752" s="322"/>
      <c r="S752" s="322"/>
      <c r="T752" s="322"/>
      <c r="U752" s="322"/>
      <c r="V752" s="322"/>
      <c r="W752" s="322"/>
      <c r="X752" s="322"/>
      <c r="Y752" s="322"/>
      <c r="Z752" s="322"/>
    </row>
    <row r="753" ht="12.75" customHeight="1">
      <c r="A753" s="322"/>
      <c r="B753" s="322"/>
      <c r="C753" s="323"/>
      <c r="D753" s="324"/>
      <c r="E753" s="323"/>
      <c r="F753" s="324"/>
      <c r="G753" s="322"/>
      <c r="H753" s="322"/>
      <c r="I753" s="322"/>
      <c r="J753" s="322"/>
      <c r="K753" s="322"/>
      <c r="L753" s="322"/>
      <c r="M753" s="322"/>
      <c r="N753" s="322"/>
      <c r="O753" s="322"/>
      <c r="P753" s="322"/>
      <c r="Q753" s="322"/>
      <c r="R753" s="322"/>
      <c r="S753" s="322"/>
      <c r="T753" s="322"/>
      <c r="U753" s="322"/>
      <c r="V753" s="322"/>
      <c r="W753" s="322"/>
      <c r="X753" s="322"/>
      <c r="Y753" s="322"/>
      <c r="Z753" s="322"/>
    </row>
    <row r="754" ht="12.75" customHeight="1">
      <c r="A754" s="322"/>
      <c r="B754" s="322"/>
      <c r="C754" s="323"/>
      <c r="D754" s="324"/>
      <c r="E754" s="323"/>
      <c r="F754" s="324"/>
      <c r="G754" s="322"/>
      <c r="H754" s="322"/>
      <c r="I754" s="322"/>
      <c r="J754" s="322"/>
      <c r="K754" s="322"/>
      <c r="L754" s="322"/>
      <c r="M754" s="322"/>
      <c r="N754" s="322"/>
      <c r="O754" s="322"/>
      <c r="P754" s="322"/>
      <c r="Q754" s="322"/>
      <c r="R754" s="322"/>
      <c r="S754" s="322"/>
      <c r="T754" s="322"/>
      <c r="U754" s="322"/>
      <c r="V754" s="322"/>
      <c r="W754" s="322"/>
      <c r="X754" s="322"/>
      <c r="Y754" s="322"/>
      <c r="Z754" s="322"/>
    </row>
    <row r="755" ht="12.75" customHeight="1">
      <c r="A755" s="322"/>
      <c r="B755" s="322"/>
      <c r="C755" s="323"/>
      <c r="D755" s="324"/>
      <c r="E755" s="323"/>
      <c r="F755" s="324"/>
      <c r="G755" s="322"/>
      <c r="H755" s="322"/>
      <c r="I755" s="322"/>
      <c r="J755" s="322"/>
      <c r="K755" s="322"/>
      <c r="L755" s="322"/>
      <c r="M755" s="322"/>
      <c r="N755" s="322"/>
      <c r="O755" s="322"/>
      <c r="P755" s="322"/>
      <c r="Q755" s="322"/>
      <c r="R755" s="322"/>
      <c r="S755" s="322"/>
      <c r="T755" s="322"/>
      <c r="U755" s="322"/>
      <c r="V755" s="322"/>
      <c r="W755" s="322"/>
      <c r="X755" s="322"/>
      <c r="Y755" s="322"/>
      <c r="Z755" s="322"/>
    </row>
    <row r="756" ht="12.75" customHeight="1">
      <c r="A756" s="322"/>
      <c r="B756" s="322"/>
      <c r="C756" s="323"/>
      <c r="D756" s="324"/>
      <c r="E756" s="323"/>
      <c r="F756" s="324"/>
      <c r="G756" s="322"/>
      <c r="H756" s="322"/>
      <c r="I756" s="322"/>
      <c r="J756" s="322"/>
      <c r="K756" s="322"/>
      <c r="L756" s="322"/>
      <c r="M756" s="322"/>
      <c r="N756" s="322"/>
      <c r="O756" s="322"/>
      <c r="P756" s="322"/>
      <c r="Q756" s="322"/>
      <c r="R756" s="322"/>
      <c r="S756" s="322"/>
      <c r="T756" s="322"/>
      <c r="U756" s="322"/>
      <c r="V756" s="322"/>
      <c r="W756" s="322"/>
      <c r="X756" s="322"/>
      <c r="Y756" s="322"/>
      <c r="Z756" s="322"/>
    </row>
    <row r="757" ht="12.75" customHeight="1">
      <c r="A757" s="322"/>
      <c r="B757" s="322"/>
      <c r="C757" s="323"/>
      <c r="D757" s="324"/>
      <c r="E757" s="323"/>
      <c r="F757" s="324"/>
      <c r="G757" s="322"/>
      <c r="H757" s="322"/>
      <c r="I757" s="322"/>
      <c r="J757" s="322"/>
      <c r="K757" s="322"/>
      <c r="L757" s="322"/>
      <c r="M757" s="322"/>
      <c r="N757" s="322"/>
      <c r="O757" s="322"/>
      <c r="P757" s="322"/>
      <c r="Q757" s="322"/>
      <c r="R757" s="322"/>
      <c r="S757" s="322"/>
      <c r="T757" s="322"/>
      <c r="U757" s="322"/>
      <c r="V757" s="322"/>
      <c r="W757" s="322"/>
      <c r="X757" s="322"/>
      <c r="Y757" s="322"/>
      <c r="Z757" s="322"/>
    </row>
    <row r="758" ht="12.75" customHeight="1">
      <c r="A758" s="322"/>
      <c r="B758" s="322"/>
      <c r="C758" s="323"/>
      <c r="D758" s="324"/>
      <c r="E758" s="323"/>
      <c r="F758" s="324"/>
      <c r="G758" s="322"/>
      <c r="H758" s="322"/>
      <c r="I758" s="322"/>
      <c r="J758" s="322"/>
      <c r="K758" s="322"/>
      <c r="L758" s="322"/>
      <c r="M758" s="322"/>
      <c r="N758" s="322"/>
      <c r="O758" s="322"/>
      <c r="P758" s="322"/>
      <c r="Q758" s="322"/>
      <c r="R758" s="322"/>
      <c r="S758" s="322"/>
      <c r="T758" s="322"/>
      <c r="U758" s="322"/>
      <c r="V758" s="322"/>
      <c r="W758" s="322"/>
      <c r="X758" s="322"/>
      <c r="Y758" s="322"/>
      <c r="Z758" s="322"/>
    </row>
    <row r="759" ht="12.75" customHeight="1">
      <c r="A759" s="322"/>
      <c r="B759" s="322"/>
      <c r="C759" s="323"/>
      <c r="D759" s="324"/>
      <c r="E759" s="323"/>
      <c r="F759" s="324"/>
      <c r="G759" s="322"/>
      <c r="H759" s="322"/>
      <c r="I759" s="322"/>
      <c r="J759" s="322"/>
      <c r="K759" s="322"/>
      <c r="L759" s="322"/>
      <c r="M759" s="322"/>
      <c r="N759" s="322"/>
      <c r="O759" s="322"/>
      <c r="P759" s="322"/>
      <c r="Q759" s="322"/>
      <c r="R759" s="322"/>
      <c r="S759" s="322"/>
      <c r="T759" s="322"/>
      <c r="U759" s="322"/>
      <c r="V759" s="322"/>
      <c r="W759" s="322"/>
      <c r="X759" s="322"/>
      <c r="Y759" s="322"/>
      <c r="Z759" s="322"/>
    </row>
    <row r="760" ht="12.75" customHeight="1">
      <c r="A760" s="322"/>
      <c r="B760" s="322"/>
      <c r="C760" s="323"/>
      <c r="D760" s="324"/>
      <c r="E760" s="323"/>
      <c r="F760" s="324"/>
      <c r="G760" s="322"/>
      <c r="H760" s="322"/>
      <c r="I760" s="322"/>
      <c r="J760" s="322"/>
      <c r="K760" s="322"/>
      <c r="L760" s="322"/>
      <c r="M760" s="322"/>
      <c r="N760" s="322"/>
      <c r="O760" s="322"/>
      <c r="P760" s="322"/>
      <c r="Q760" s="322"/>
      <c r="R760" s="322"/>
      <c r="S760" s="322"/>
      <c r="T760" s="322"/>
      <c r="U760" s="322"/>
      <c r="V760" s="322"/>
      <c r="W760" s="322"/>
      <c r="X760" s="322"/>
      <c r="Y760" s="322"/>
      <c r="Z760" s="322"/>
    </row>
    <row r="761" ht="12.75" customHeight="1">
      <c r="A761" s="322"/>
      <c r="B761" s="322"/>
      <c r="C761" s="323"/>
      <c r="D761" s="324"/>
      <c r="E761" s="323"/>
      <c r="F761" s="324"/>
      <c r="G761" s="322"/>
      <c r="H761" s="322"/>
      <c r="I761" s="322"/>
      <c r="J761" s="322"/>
      <c r="K761" s="322"/>
      <c r="L761" s="322"/>
      <c r="M761" s="322"/>
      <c r="N761" s="322"/>
      <c r="O761" s="322"/>
      <c r="P761" s="322"/>
      <c r="Q761" s="322"/>
      <c r="R761" s="322"/>
      <c r="S761" s="322"/>
      <c r="T761" s="322"/>
      <c r="U761" s="322"/>
      <c r="V761" s="322"/>
      <c r="W761" s="322"/>
      <c r="X761" s="322"/>
      <c r="Y761" s="322"/>
      <c r="Z761" s="322"/>
    </row>
    <row r="762" ht="12.75" customHeight="1">
      <c r="A762" s="322"/>
      <c r="B762" s="322"/>
      <c r="C762" s="323"/>
      <c r="D762" s="324"/>
      <c r="E762" s="323"/>
      <c r="F762" s="324"/>
      <c r="G762" s="322"/>
      <c r="H762" s="322"/>
      <c r="I762" s="322"/>
      <c r="J762" s="322"/>
      <c r="K762" s="322"/>
      <c r="L762" s="322"/>
      <c r="M762" s="322"/>
      <c r="N762" s="322"/>
      <c r="O762" s="322"/>
      <c r="P762" s="322"/>
      <c r="Q762" s="322"/>
      <c r="R762" s="322"/>
      <c r="S762" s="322"/>
      <c r="T762" s="322"/>
      <c r="U762" s="322"/>
      <c r="V762" s="322"/>
      <c r="W762" s="322"/>
      <c r="X762" s="322"/>
      <c r="Y762" s="322"/>
      <c r="Z762" s="322"/>
    </row>
    <row r="763" ht="12.75" customHeight="1">
      <c r="A763" s="322"/>
      <c r="B763" s="322"/>
      <c r="C763" s="323"/>
      <c r="D763" s="324"/>
      <c r="E763" s="323"/>
      <c r="F763" s="324"/>
      <c r="G763" s="322"/>
      <c r="H763" s="322"/>
      <c r="I763" s="322"/>
      <c r="J763" s="322"/>
      <c r="K763" s="322"/>
      <c r="L763" s="322"/>
      <c r="M763" s="322"/>
      <c r="N763" s="322"/>
      <c r="O763" s="322"/>
      <c r="P763" s="322"/>
      <c r="Q763" s="322"/>
      <c r="R763" s="322"/>
      <c r="S763" s="322"/>
      <c r="T763" s="322"/>
      <c r="U763" s="322"/>
      <c r="V763" s="322"/>
      <c r="W763" s="322"/>
      <c r="X763" s="322"/>
      <c r="Y763" s="322"/>
      <c r="Z763" s="322"/>
    </row>
    <row r="764" ht="12.75" customHeight="1">
      <c r="A764" s="322"/>
      <c r="B764" s="322"/>
      <c r="C764" s="323"/>
      <c r="D764" s="324"/>
      <c r="E764" s="323"/>
      <c r="F764" s="324"/>
      <c r="G764" s="322"/>
      <c r="H764" s="322"/>
      <c r="I764" s="322"/>
      <c r="J764" s="322"/>
      <c r="K764" s="322"/>
      <c r="L764" s="322"/>
      <c r="M764" s="322"/>
      <c r="N764" s="322"/>
      <c r="O764" s="322"/>
      <c r="P764" s="322"/>
      <c r="Q764" s="322"/>
      <c r="R764" s="322"/>
      <c r="S764" s="322"/>
      <c r="T764" s="322"/>
      <c r="U764" s="322"/>
      <c r="V764" s="322"/>
      <c r="W764" s="322"/>
      <c r="X764" s="322"/>
      <c r="Y764" s="322"/>
      <c r="Z764" s="322"/>
    </row>
    <row r="765" ht="12.75" customHeight="1">
      <c r="A765" s="322"/>
      <c r="B765" s="322"/>
      <c r="C765" s="323"/>
      <c r="D765" s="324"/>
      <c r="E765" s="323"/>
      <c r="F765" s="324"/>
      <c r="G765" s="322"/>
      <c r="H765" s="322"/>
      <c r="I765" s="322"/>
      <c r="J765" s="322"/>
      <c r="K765" s="322"/>
      <c r="L765" s="322"/>
      <c r="M765" s="322"/>
      <c r="N765" s="322"/>
      <c r="O765" s="322"/>
      <c r="P765" s="322"/>
      <c r="Q765" s="322"/>
      <c r="R765" s="322"/>
      <c r="S765" s="322"/>
      <c r="T765" s="322"/>
      <c r="U765" s="322"/>
      <c r="V765" s="322"/>
      <c r="W765" s="322"/>
      <c r="X765" s="322"/>
      <c r="Y765" s="322"/>
      <c r="Z765" s="322"/>
    </row>
    <row r="766" ht="12.75" customHeight="1">
      <c r="A766" s="322"/>
      <c r="B766" s="322"/>
      <c r="C766" s="323"/>
      <c r="D766" s="324"/>
      <c r="E766" s="323"/>
      <c r="F766" s="324"/>
      <c r="G766" s="322"/>
      <c r="H766" s="322"/>
      <c r="I766" s="322"/>
      <c r="J766" s="322"/>
      <c r="K766" s="322"/>
      <c r="L766" s="322"/>
      <c r="M766" s="322"/>
      <c r="N766" s="322"/>
      <c r="O766" s="322"/>
      <c r="P766" s="322"/>
      <c r="Q766" s="322"/>
      <c r="R766" s="322"/>
      <c r="S766" s="322"/>
      <c r="T766" s="322"/>
      <c r="U766" s="322"/>
      <c r="V766" s="322"/>
      <c r="W766" s="322"/>
      <c r="X766" s="322"/>
      <c r="Y766" s="322"/>
      <c r="Z766" s="322"/>
    </row>
    <row r="767" ht="12.75" customHeight="1">
      <c r="A767" s="322"/>
      <c r="B767" s="322"/>
      <c r="C767" s="323"/>
      <c r="D767" s="324"/>
      <c r="E767" s="323"/>
      <c r="F767" s="324"/>
      <c r="G767" s="322"/>
      <c r="H767" s="322"/>
      <c r="I767" s="322"/>
      <c r="J767" s="322"/>
      <c r="K767" s="322"/>
      <c r="L767" s="322"/>
      <c r="M767" s="322"/>
      <c r="N767" s="322"/>
      <c r="O767" s="322"/>
      <c r="P767" s="322"/>
      <c r="Q767" s="322"/>
      <c r="R767" s="322"/>
      <c r="S767" s="322"/>
      <c r="T767" s="322"/>
      <c r="U767" s="322"/>
      <c r="V767" s="322"/>
      <c r="W767" s="322"/>
      <c r="X767" s="322"/>
      <c r="Y767" s="322"/>
      <c r="Z767" s="322"/>
    </row>
    <row r="768" ht="12.75" customHeight="1">
      <c r="A768" s="322"/>
      <c r="B768" s="322"/>
      <c r="C768" s="323"/>
      <c r="D768" s="324"/>
      <c r="E768" s="323"/>
      <c r="F768" s="324"/>
      <c r="G768" s="322"/>
      <c r="H768" s="322"/>
      <c r="I768" s="322"/>
      <c r="J768" s="322"/>
      <c r="K768" s="322"/>
      <c r="L768" s="322"/>
      <c r="M768" s="322"/>
      <c r="N768" s="322"/>
      <c r="O768" s="322"/>
      <c r="P768" s="322"/>
      <c r="Q768" s="322"/>
      <c r="R768" s="322"/>
      <c r="S768" s="322"/>
      <c r="T768" s="322"/>
      <c r="U768" s="322"/>
      <c r="V768" s="322"/>
      <c r="W768" s="322"/>
      <c r="X768" s="322"/>
      <c r="Y768" s="322"/>
      <c r="Z768" s="322"/>
    </row>
    <row r="769" ht="12.75" customHeight="1">
      <c r="A769" s="322"/>
      <c r="B769" s="322"/>
      <c r="C769" s="323"/>
      <c r="D769" s="324"/>
      <c r="E769" s="323"/>
      <c r="F769" s="324"/>
      <c r="G769" s="322"/>
      <c r="H769" s="322"/>
      <c r="I769" s="322"/>
      <c r="J769" s="322"/>
      <c r="K769" s="322"/>
      <c r="L769" s="322"/>
      <c r="M769" s="322"/>
      <c r="N769" s="322"/>
      <c r="O769" s="322"/>
      <c r="P769" s="322"/>
      <c r="Q769" s="322"/>
      <c r="R769" s="322"/>
      <c r="S769" s="322"/>
      <c r="T769" s="322"/>
      <c r="U769" s="322"/>
      <c r="V769" s="322"/>
      <c r="W769" s="322"/>
      <c r="X769" s="322"/>
      <c r="Y769" s="322"/>
      <c r="Z769" s="322"/>
    </row>
    <row r="770" ht="12.75" customHeight="1">
      <c r="A770" s="322"/>
      <c r="B770" s="322"/>
      <c r="C770" s="323"/>
      <c r="D770" s="324"/>
      <c r="E770" s="323"/>
      <c r="F770" s="324"/>
      <c r="G770" s="322"/>
      <c r="H770" s="322"/>
      <c r="I770" s="322"/>
      <c r="J770" s="322"/>
      <c r="K770" s="322"/>
      <c r="L770" s="322"/>
      <c r="M770" s="322"/>
      <c r="N770" s="322"/>
      <c r="O770" s="322"/>
      <c r="P770" s="322"/>
      <c r="Q770" s="322"/>
      <c r="R770" s="322"/>
      <c r="S770" s="322"/>
      <c r="T770" s="322"/>
      <c r="U770" s="322"/>
      <c r="V770" s="322"/>
      <c r="W770" s="322"/>
      <c r="X770" s="322"/>
      <c r="Y770" s="322"/>
      <c r="Z770" s="322"/>
    </row>
    <row r="771" ht="12.75" customHeight="1">
      <c r="A771" s="322"/>
      <c r="B771" s="322"/>
      <c r="C771" s="323"/>
      <c r="D771" s="324"/>
      <c r="E771" s="323"/>
      <c r="F771" s="324"/>
      <c r="G771" s="322"/>
      <c r="H771" s="322"/>
      <c r="I771" s="322"/>
      <c r="J771" s="322"/>
      <c r="K771" s="322"/>
      <c r="L771" s="322"/>
      <c r="M771" s="322"/>
      <c r="N771" s="322"/>
      <c r="O771" s="322"/>
      <c r="P771" s="322"/>
      <c r="Q771" s="322"/>
      <c r="R771" s="322"/>
      <c r="S771" s="322"/>
      <c r="T771" s="322"/>
      <c r="U771" s="322"/>
      <c r="V771" s="322"/>
      <c r="W771" s="322"/>
      <c r="X771" s="322"/>
      <c r="Y771" s="322"/>
      <c r="Z771" s="322"/>
    </row>
    <row r="772" ht="12.75" customHeight="1">
      <c r="A772" s="322"/>
      <c r="B772" s="322"/>
      <c r="C772" s="323"/>
      <c r="D772" s="324"/>
      <c r="E772" s="323"/>
      <c r="F772" s="324"/>
      <c r="G772" s="322"/>
      <c r="H772" s="322"/>
      <c r="I772" s="322"/>
      <c r="J772" s="322"/>
      <c r="K772" s="322"/>
      <c r="L772" s="322"/>
      <c r="M772" s="322"/>
      <c r="N772" s="322"/>
      <c r="O772" s="322"/>
      <c r="P772" s="322"/>
      <c r="Q772" s="322"/>
      <c r="R772" s="322"/>
      <c r="S772" s="322"/>
      <c r="T772" s="322"/>
      <c r="U772" s="322"/>
      <c r="V772" s="322"/>
      <c r="W772" s="322"/>
      <c r="X772" s="322"/>
      <c r="Y772" s="322"/>
      <c r="Z772" s="322"/>
    </row>
    <row r="773" ht="12.75" customHeight="1">
      <c r="A773" s="322"/>
      <c r="B773" s="322"/>
      <c r="C773" s="323"/>
      <c r="D773" s="324"/>
      <c r="E773" s="323"/>
      <c r="F773" s="324"/>
      <c r="G773" s="322"/>
      <c r="H773" s="322"/>
      <c r="I773" s="322"/>
      <c r="J773" s="322"/>
      <c r="K773" s="322"/>
      <c r="L773" s="322"/>
      <c r="M773" s="322"/>
      <c r="N773" s="322"/>
      <c r="O773" s="322"/>
      <c r="P773" s="322"/>
      <c r="Q773" s="322"/>
      <c r="R773" s="322"/>
      <c r="S773" s="322"/>
      <c r="T773" s="322"/>
      <c r="U773" s="322"/>
      <c r="V773" s="322"/>
      <c r="W773" s="322"/>
      <c r="X773" s="322"/>
      <c r="Y773" s="322"/>
      <c r="Z773" s="322"/>
    </row>
    <row r="774" ht="12.75" customHeight="1">
      <c r="A774" s="322"/>
      <c r="B774" s="322"/>
      <c r="C774" s="323"/>
      <c r="D774" s="324"/>
      <c r="E774" s="323"/>
      <c r="F774" s="324"/>
      <c r="G774" s="322"/>
      <c r="H774" s="322"/>
      <c r="I774" s="322"/>
      <c r="J774" s="322"/>
      <c r="K774" s="322"/>
      <c r="L774" s="322"/>
      <c r="M774" s="322"/>
      <c r="N774" s="322"/>
      <c r="O774" s="322"/>
      <c r="P774" s="322"/>
      <c r="Q774" s="322"/>
      <c r="R774" s="322"/>
      <c r="S774" s="322"/>
      <c r="T774" s="322"/>
      <c r="U774" s="322"/>
      <c r="V774" s="322"/>
      <c r="W774" s="322"/>
      <c r="X774" s="322"/>
      <c r="Y774" s="322"/>
      <c r="Z774" s="322"/>
    </row>
    <row r="775" ht="12.75" customHeight="1">
      <c r="A775" s="322"/>
      <c r="B775" s="322"/>
      <c r="C775" s="323"/>
      <c r="D775" s="324"/>
      <c r="E775" s="323"/>
      <c r="F775" s="324"/>
      <c r="G775" s="322"/>
      <c r="H775" s="322"/>
      <c r="I775" s="322"/>
      <c r="J775" s="322"/>
      <c r="K775" s="322"/>
      <c r="L775" s="322"/>
      <c r="M775" s="322"/>
      <c r="N775" s="322"/>
      <c r="O775" s="322"/>
      <c r="P775" s="322"/>
      <c r="Q775" s="322"/>
      <c r="R775" s="322"/>
      <c r="S775" s="322"/>
      <c r="T775" s="322"/>
      <c r="U775" s="322"/>
      <c r="V775" s="322"/>
      <c r="W775" s="322"/>
      <c r="X775" s="322"/>
      <c r="Y775" s="322"/>
      <c r="Z775" s="322"/>
    </row>
    <row r="776" ht="12.75" customHeight="1">
      <c r="A776" s="322"/>
      <c r="B776" s="322"/>
      <c r="C776" s="323"/>
      <c r="D776" s="324"/>
      <c r="E776" s="323"/>
      <c r="F776" s="324"/>
      <c r="G776" s="322"/>
      <c r="H776" s="322"/>
      <c r="I776" s="322"/>
      <c r="J776" s="322"/>
      <c r="K776" s="322"/>
      <c r="L776" s="322"/>
      <c r="M776" s="322"/>
      <c r="N776" s="322"/>
      <c r="O776" s="322"/>
      <c r="P776" s="322"/>
      <c r="Q776" s="322"/>
      <c r="R776" s="322"/>
      <c r="S776" s="322"/>
      <c r="T776" s="322"/>
      <c r="U776" s="322"/>
      <c r="V776" s="322"/>
      <c r="W776" s="322"/>
      <c r="X776" s="322"/>
      <c r="Y776" s="322"/>
      <c r="Z776" s="322"/>
    </row>
    <row r="777" ht="12.75" customHeight="1">
      <c r="A777" s="322"/>
      <c r="B777" s="322"/>
      <c r="C777" s="323"/>
      <c r="D777" s="324"/>
      <c r="E777" s="323"/>
      <c r="F777" s="324"/>
      <c r="G777" s="322"/>
      <c r="H777" s="322"/>
      <c r="I777" s="322"/>
      <c r="J777" s="322"/>
      <c r="K777" s="322"/>
      <c r="L777" s="322"/>
      <c r="M777" s="322"/>
      <c r="N777" s="322"/>
      <c r="O777" s="322"/>
      <c r="P777" s="322"/>
      <c r="Q777" s="322"/>
      <c r="R777" s="322"/>
      <c r="S777" s="322"/>
      <c r="T777" s="322"/>
      <c r="U777" s="322"/>
      <c r="V777" s="322"/>
      <c r="W777" s="322"/>
      <c r="X777" s="322"/>
      <c r="Y777" s="322"/>
      <c r="Z777" s="322"/>
    </row>
    <row r="778" ht="12.75" customHeight="1">
      <c r="A778" s="322"/>
      <c r="B778" s="322"/>
      <c r="C778" s="323"/>
      <c r="D778" s="324"/>
      <c r="E778" s="323"/>
      <c r="F778" s="324"/>
      <c r="G778" s="322"/>
      <c r="H778" s="322"/>
      <c r="I778" s="322"/>
      <c r="J778" s="322"/>
      <c r="K778" s="322"/>
      <c r="L778" s="322"/>
      <c r="M778" s="322"/>
      <c r="N778" s="322"/>
      <c r="O778" s="322"/>
      <c r="P778" s="322"/>
      <c r="Q778" s="322"/>
      <c r="R778" s="322"/>
      <c r="S778" s="322"/>
      <c r="T778" s="322"/>
      <c r="U778" s="322"/>
      <c r="V778" s="322"/>
      <c r="W778" s="322"/>
      <c r="X778" s="322"/>
      <c r="Y778" s="322"/>
      <c r="Z778" s="322"/>
    </row>
    <row r="779" ht="12.75" customHeight="1">
      <c r="A779" s="322"/>
      <c r="B779" s="322"/>
      <c r="C779" s="323"/>
      <c r="D779" s="324"/>
      <c r="E779" s="323"/>
      <c r="F779" s="324"/>
      <c r="G779" s="322"/>
      <c r="H779" s="322"/>
      <c r="I779" s="322"/>
      <c r="J779" s="322"/>
      <c r="K779" s="322"/>
      <c r="L779" s="322"/>
      <c r="M779" s="322"/>
      <c r="N779" s="322"/>
      <c r="O779" s="322"/>
      <c r="P779" s="322"/>
      <c r="Q779" s="322"/>
      <c r="R779" s="322"/>
      <c r="S779" s="322"/>
      <c r="T779" s="322"/>
      <c r="U779" s="322"/>
      <c r="V779" s="322"/>
      <c r="W779" s="322"/>
      <c r="X779" s="322"/>
      <c r="Y779" s="322"/>
      <c r="Z779" s="322"/>
    </row>
    <row r="780" ht="12.75" customHeight="1">
      <c r="A780" s="322"/>
      <c r="B780" s="322"/>
      <c r="C780" s="323"/>
      <c r="D780" s="324"/>
      <c r="E780" s="323"/>
      <c r="F780" s="324"/>
      <c r="G780" s="322"/>
      <c r="H780" s="322"/>
      <c r="I780" s="322"/>
      <c r="J780" s="322"/>
      <c r="K780" s="322"/>
      <c r="L780" s="322"/>
      <c r="M780" s="322"/>
      <c r="N780" s="322"/>
      <c r="O780" s="322"/>
      <c r="P780" s="322"/>
      <c r="Q780" s="322"/>
      <c r="R780" s="322"/>
      <c r="S780" s="322"/>
      <c r="T780" s="322"/>
      <c r="U780" s="322"/>
      <c r="V780" s="322"/>
      <c r="W780" s="322"/>
      <c r="X780" s="322"/>
      <c r="Y780" s="322"/>
      <c r="Z780" s="322"/>
    </row>
    <row r="781" ht="12.75" customHeight="1">
      <c r="A781" s="322"/>
      <c r="B781" s="322"/>
      <c r="C781" s="323"/>
      <c r="D781" s="324"/>
      <c r="E781" s="323"/>
      <c r="F781" s="324"/>
      <c r="G781" s="322"/>
      <c r="H781" s="322"/>
      <c r="I781" s="322"/>
      <c r="J781" s="322"/>
      <c r="K781" s="322"/>
      <c r="L781" s="322"/>
      <c r="M781" s="322"/>
      <c r="N781" s="322"/>
      <c r="O781" s="322"/>
      <c r="P781" s="322"/>
      <c r="Q781" s="322"/>
      <c r="R781" s="322"/>
      <c r="S781" s="322"/>
      <c r="T781" s="322"/>
      <c r="U781" s="322"/>
      <c r="V781" s="322"/>
      <c r="W781" s="322"/>
      <c r="X781" s="322"/>
      <c r="Y781" s="322"/>
      <c r="Z781" s="322"/>
    </row>
    <row r="782" ht="12.75" customHeight="1">
      <c r="A782" s="322"/>
      <c r="B782" s="322"/>
      <c r="C782" s="323"/>
      <c r="D782" s="324"/>
      <c r="E782" s="323"/>
      <c r="F782" s="324"/>
      <c r="G782" s="322"/>
      <c r="H782" s="322"/>
      <c r="I782" s="322"/>
      <c r="J782" s="322"/>
      <c r="K782" s="322"/>
      <c r="L782" s="322"/>
      <c r="M782" s="322"/>
      <c r="N782" s="322"/>
      <c r="O782" s="322"/>
      <c r="P782" s="322"/>
      <c r="Q782" s="322"/>
      <c r="R782" s="322"/>
      <c r="S782" s="322"/>
      <c r="T782" s="322"/>
      <c r="U782" s="322"/>
      <c r="V782" s="322"/>
      <c r="W782" s="322"/>
      <c r="X782" s="322"/>
      <c r="Y782" s="322"/>
      <c r="Z782" s="322"/>
    </row>
    <row r="783" ht="12.75" customHeight="1">
      <c r="A783" s="322"/>
      <c r="B783" s="322"/>
      <c r="C783" s="323"/>
      <c r="D783" s="324"/>
      <c r="E783" s="323"/>
      <c r="F783" s="324"/>
      <c r="G783" s="322"/>
      <c r="H783" s="322"/>
      <c r="I783" s="322"/>
      <c r="J783" s="322"/>
      <c r="K783" s="322"/>
      <c r="L783" s="322"/>
      <c r="M783" s="322"/>
      <c r="N783" s="322"/>
      <c r="O783" s="322"/>
      <c r="P783" s="322"/>
      <c r="Q783" s="322"/>
      <c r="R783" s="322"/>
      <c r="S783" s="322"/>
      <c r="T783" s="322"/>
      <c r="U783" s="322"/>
      <c r="V783" s="322"/>
      <c r="W783" s="322"/>
      <c r="X783" s="322"/>
      <c r="Y783" s="322"/>
      <c r="Z783" s="322"/>
    </row>
    <row r="784" ht="12.75" customHeight="1">
      <c r="A784" s="322"/>
      <c r="B784" s="322"/>
      <c r="C784" s="323"/>
      <c r="D784" s="324"/>
      <c r="E784" s="323"/>
      <c r="F784" s="324"/>
      <c r="G784" s="322"/>
      <c r="H784" s="322"/>
      <c r="I784" s="322"/>
      <c r="J784" s="322"/>
      <c r="K784" s="322"/>
      <c r="L784" s="322"/>
      <c r="M784" s="322"/>
      <c r="N784" s="322"/>
      <c r="O784" s="322"/>
      <c r="P784" s="322"/>
      <c r="Q784" s="322"/>
      <c r="R784" s="322"/>
      <c r="S784" s="322"/>
      <c r="T784" s="322"/>
      <c r="U784" s="322"/>
      <c r="V784" s="322"/>
      <c r="W784" s="322"/>
      <c r="X784" s="322"/>
      <c r="Y784" s="322"/>
      <c r="Z784" s="322"/>
    </row>
    <row r="785" ht="12.75" customHeight="1">
      <c r="A785" s="322"/>
      <c r="B785" s="322"/>
      <c r="C785" s="323"/>
      <c r="D785" s="324"/>
      <c r="E785" s="323"/>
      <c r="F785" s="324"/>
      <c r="G785" s="322"/>
      <c r="H785" s="322"/>
      <c r="I785" s="322"/>
      <c r="J785" s="322"/>
      <c r="K785" s="322"/>
      <c r="L785" s="322"/>
      <c r="M785" s="322"/>
      <c r="N785" s="322"/>
      <c r="O785" s="322"/>
      <c r="P785" s="322"/>
      <c r="Q785" s="322"/>
      <c r="R785" s="322"/>
      <c r="S785" s="322"/>
      <c r="T785" s="322"/>
      <c r="U785" s="322"/>
      <c r="V785" s="322"/>
      <c r="W785" s="322"/>
      <c r="X785" s="322"/>
      <c r="Y785" s="322"/>
      <c r="Z785" s="322"/>
    </row>
    <row r="786" ht="12.75" customHeight="1">
      <c r="A786" s="322"/>
      <c r="B786" s="322"/>
      <c r="C786" s="323"/>
      <c r="D786" s="324"/>
      <c r="E786" s="323"/>
      <c r="F786" s="324"/>
      <c r="G786" s="322"/>
      <c r="H786" s="322"/>
      <c r="I786" s="322"/>
      <c r="J786" s="322"/>
      <c r="K786" s="322"/>
      <c r="L786" s="322"/>
      <c r="M786" s="322"/>
      <c r="N786" s="322"/>
      <c r="O786" s="322"/>
      <c r="P786" s="322"/>
      <c r="Q786" s="322"/>
      <c r="R786" s="322"/>
      <c r="S786" s="322"/>
      <c r="T786" s="322"/>
      <c r="U786" s="322"/>
      <c r="V786" s="322"/>
      <c r="W786" s="322"/>
      <c r="X786" s="322"/>
      <c r="Y786" s="322"/>
      <c r="Z786" s="322"/>
    </row>
    <row r="787" ht="12.75" customHeight="1">
      <c r="A787" s="322"/>
      <c r="B787" s="322"/>
      <c r="C787" s="323"/>
      <c r="D787" s="324"/>
      <c r="E787" s="323"/>
      <c r="F787" s="324"/>
      <c r="G787" s="322"/>
      <c r="H787" s="322"/>
      <c r="I787" s="322"/>
      <c r="J787" s="322"/>
      <c r="K787" s="322"/>
      <c r="L787" s="322"/>
      <c r="M787" s="322"/>
      <c r="N787" s="322"/>
      <c r="O787" s="322"/>
      <c r="P787" s="322"/>
      <c r="Q787" s="322"/>
      <c r="R787" s="322"/>
      <c r="S787" s="322"/>
      <c r="T787" s="322"/>
      <c r="U787" s="322"/>
      <c r="V787" s="322"/>
      <c r="W787" s="322"/>
      <c r="X787" s="322"/>
      <c r="Y787" s="322"/>
      <c r="Z787" s="322"/>
    </row>
    <row r="788" ht="12.75" customHeight="1">
      <c r="A788" s="322"/>
      <c r="B788" s="322"/>
      <c r="C788" s="323"/>
      <c r="D788" s="324"/>
      <c r="E788" s="323"/>
      <c r="F788" s="324"/>
      <c r="G788" s="322"/>
      <c r="H788" s="322"/>
      <c r="I788" s="322"/>
      <c r="J788" s="322"/>
      <c r="K788" s="322"/>
      <c r="L788" s="322"/>
      <c r="M788" s="322"/>
      <c r="N788" s="322"/>
      <c r="O788" s="322"/>
      <c r="P788" s="322"/>
      <c r="Q788" s="322"/>
      <c r="R788" s="322"/>
      <c r="S788" s="322"/>
      <c r="T788" s="322"/>
      <c r="U788" s="322"/>
      <c r="V788" s="322"/>
      <c r="W788" s="322"/>
      <c r="X788" s="322"/>
      <c r="Y788" s="322"/>
      <c r="Z788" s="322"/>
    </row>
    <row r="789" ht="12.75" customHeight="1">
      <c r="A789" s="322"/>
      <c r="B789" s="322"/>
      <c r="C789" s="323"/>
      <c r="D789" s="324"/>
      <c r="E789" s="323"/>
      <c r="F789" s="324"/>
      <c r="G789" s="322"/>
      <c r="H789" s="322"/>
      <c r="I789" s="322"/>
      <c r="J789" s="322"/>
      <c r="K789" s="322"/>
      <c r="L789" s="322"/>
      <c r="M789" s="322"/>
      <c r="N789" s="322"/>
      <c r="O789" s="322"/>
      <c r="P789" s="322"/>
      <c r="Q789" s="322"/>
      <c r="R789" s="322"/>
      <c r="S789" s="322"/>
      <c r="T789" s="322"/>
      <c r="U789" s="322"/>
      <c r="V789" s="322"/>
      <c r="W789" s="322"/>
      <c r="X789" s="322"/>
      <c r="Y789" s="322"/>
      <c r="Z789" s="322"/>
    </row>
    <row r="790" ht="12.75" customHeight="1">
      <c r="A790" s="322"/>
      <c r="B790" s="322"/>
      <c r="C790" s="323"/>
      <c r="D790" s="324"/>
      <c r="E790" s="323"/>
      <c r="F790" s="324"/>
      <c r="G790" s="322"/>
      <c r="H790" s="322"/>
      <c r="I790" s="322"/>
      <c r="J790" s="322"/>
      <c r="K790" s="322"/>
      <c r="L790" s="322"/>
      <c r="M790" s="322"/>
      <c r="N790" s="322"/>
      <c r="O790" s="322"/>
      <c r="P790" s="322"/>
      <c r="Q790" s="322"/>
      <c r="R790" s="322"/>
      <c r="S790" s="322"/>
      <c r="T790" s="322"/>
      <c r="U790" s="322"/>
      <c r="V790" s="322"/>
      <c r="W790" s="322"/>
      <c r="X790" s="322"/>
      <c r="Y790" s="322"/>
      <c r="Z790" s="322"/>
    </row>
    <row r="791" ht="12.75" customHeight="1">
      <c r="A791" s="322"/>
      <c r="B791" s="322"/>
      <c r="C791" s="323"/>
      <c r="D791" s="324"/>
      <c r="E791" s="323"/>
      <c r="F791" s="324"/>
      <c r="G791" s="322"/>
      <c r="H791" s="322"/>
      <c r="I791" s="322"/>
      <c r="J791" s="322"/>
      <c r="K791" s="322"/>
      <c r="L791" s="322"/>
      <c r="M791" s="322"/>
      <c r="N791" s="322"/>
      <c r="O791" s="322"/>
      <c r="P791" s="322"/>
      <c r="Q791" s="322"/>
      <c r="R791" s="322"/>
      <c r="S791" s="322"/>
      <c r="T791" s="322"/>
      <c r="U791" s="322"/>
      <c r="V791" s="322"/>
      <c r="W791" s="322"/>
      <c r="X791" s="322"/>
      <c r="Y791" s="322"/>
      <c r="Z791" s="322"/>
    </row>
    <row r="792" ht="12.75" customHeight="1">
      <c r="A792" s="322"/>
      <c r="B792" s="322"/>
      <c r="C792" s="323"/>
      <c r="D792" s="324"/>
      <c r="E792" s="323"/>
      <c r="F792" s="324"/>
      <c r="G792" s="322"/>
      <c r="H792" s="322"/>
      <c r="I792" s="322"/>
      <c r="J792" s="322"/>
      <c r="K792" s="322"/>
      <c r="L792" s="322"/>
      <c r="M792" s="322"/>
      <c r="N792" s="322"/>
      <c r="O792" s="322"/>
      <c r="P792" s="322"/>
      <c r="Q792" s="322"/>
      <c r="R792" s="322"/>
      <c r="S792" s="322"/>
      <c r="T792" s="322"/>
      <c r="U792" s="322"/>
      <c r="V792" s="322"/>
      <c r="W792" s="322"/>
      <c r="X792" s="322"/>
      <c r="Y792" s="322"/>
      <c r="Z792" s="322"/>
    </row>
    <row r="793" ht="12.75" customHeight="1">
      <c r="A793" s="322"/>
      <c r="B793" s="322"/>
      <c r="C793" s="323"/>
      <c r="D793" s="324"/>
      <c r="E793" s="323"/>
      <c r="F793" s="324"/>
      <c r="G793" s="322"/>
      <c r="H793" s="322"/>
      <c r="I793" s="322"/>
      <c r="J793" s="322"/>
      <c r="K793" s="322"/>
      <c r="L793" s="322"/>
      <c r="M793" s="322"/>
      <c r="N793" s="322"/>
      <c r="O793" s="322"/>
      <c r="P793" s="322"/>
      <c r="Q793" s="322"/>
      <c r="R793" s="322"/>
      <c r="S793" s="322"/>
      <c r="T793" s="322"/>
      <c r="U793" s="322"/>
      <c r="V793" s="322"/>
      <c r="W793" s="322"/>
      <c r="X793" s="322"/>
      <c r="Y793" s="322"/>
      <c r="Z793" s="322"/>
    </row>
    <row r="794" ht="12.75" customHeight="1">
      <c r="A794" s="322"/>
      <c r="B794" s="322"/>
      <c r="C794" s="323"/>
      <c r="D794" s="324"/>
      <c r="E794" s="323"/>
      <c r="F794" s="324"/>
      <c r="G794" s="322"/>
      <c r="H794" s="322"/>
      <c r="I794" s="322"/>
      <c r="J794" s="322"/>
      <c r="K794" s="322"/>
      <c r="L794" s="322"/>
      <c r="M794" s="322"/>
      <c r="N794" s="322"/>
      <c r="O794" s="322"/>
      <c r="P794" s="322"/>
      <c r="Q794" s="322"/>
      <c r="R794" s="322"/>
      <c r="S794" s="322"/>
      <c r="T794" s="322"/>
      <c r="U794" s="322"/>
      <c r="V794" s="322"/>
      <c r="W794" s="322"/>
      <c r="X794" s="322"/>
      <c r="Y794" s="322"/>
      <c r="Z794" s="322"/>
    </row>
    <row r="795" ht="12.75" customHeight="1">
      <c r="A795" s="322"/>
      <c r="B795" s="322"/>
      <c r="C795" s="323"/>
      <c r="D795" s="324"/>
      <c r="E795" s="323"/>
      <c r="F795" s="324"/>
      <c r="G795" s="322"/>
      <c r="H795" s="322"/>
      <c r="I795" s="322"/>
      <c r="J795" s="322"/>
      <c r="K795" s="322"/>
      <c r="L795" s="322"/>
      <c r="M795" s="322"/>
      <c r="N795" s="322"/>
      <c r="O795" s="322"/>
      <c r="P795" s="322"/>
      <c r="Q795" s="322"/>
      <c r="R795" s="322"/>
      <c r="S795" s="322"/>
      <c r="T795" s="322"/>
      <c r="U795" s="322"/>
      <c r="V795" s="322"/>
      <c r="W795" s="322"/>
      <c r="X795" s="322"/>
      <c r="Y795" s="322"/>
      <c r="Z795" s="322"/>
    </row>
    <row r="796" ht="12.75" customHeight="1">
      <c r="A796" s="322"/>
      <c r="B796" s="322"/>
      <c r="C796" s="323"/>
      <c r="D796" s="324"/>
      <c r="E796" s="323"/>
      <c r="F796" s="324"/>
      <c r="G796" s="322"/>
      <c r="H796" s="322"/>
      <c r="I796" s="322"/>
      <c r="J796" s="322"/>
      <c r="K796" s="322"/>
      <c r="L796" s="322"/>
      <c r="M796" s="322"/>
      <c r="N796" s="322"/>
      <c r="O796" s="322"/>
      <c r="P796" s="322"/>
      <c r="Q796" s="322"/>
      <c r="R796" s="322"/>
      <c r="S796" s="322"/>
      <c r="T796" s="322"/>
      <c r="U796" s="322"/>
      <c r="V796" s="322"/>
      <c r="W796" s="322"/>
      <c r="X796" s="322"/>
      <c r="Y796" s="322"/>
      <c r="Z796" s="322"/>
    </row>
    <row r="797" ht="12.75" customHeight="1">
      <c r="A797" s="322"/>
      <c r="B797" s="322"/>
      <c r="C797" s="323"/>
      <c r="D797" s="324"/>
      <c r="E797" s="323"/>
      <c r="F797" s="324"/>
      <c r="G797" s="322"/>
      <c r="H797" s="322"/>
      <c r="I797" s="322"/>
      <c r="J797" s="322"/>
      <c r="K797" s="322"/>
      <c r="L797" s="322"/>
      <c r="M797" s="322"/>
      <c r="N797" s="322"/>
      <c r="O797" s="322"/>
      <c r="P797" s="322"/>
      <c r="Q797" s="322"/>
      <c r="R797" s="322"/>
      <c r="S797" s="322"/>
      <c r="T797" s="322"/>
      <c r="U797" s="322"/>
      <c r="V797" s="322"/>
      <c r="W797" s="322"/>
      <c r="X797" s="322"/>
      <c r="Y797" s="322"/>
      <c r="Z797" s="322"/>
    </row>
    <row r="798" ht="12.75" customHeight="1">
      <c r="A798" s="322"/>
      <c r="B798" s="322"/>
      <c r="C798" s="323"/>
      <c r="D798" s="324"/>
      <c r="E798" s="323"/>
      <c r="F798" s="324"/>
      <c r="G798" s="322"/>
      <c r="H798" s="322"/>
      <c r="I798" s="322"/>
      <c r="J798" s="322"/>
      <c r="K798" s="322"/>
      <c r="L798" s="322"/>
      <c r="M798" s="322"/>
      <c r="N798" s="322"/>
      <c r="O798" s="322"/>
      <c r="P798" s="322"/>
      <c r="Q798" s="322"/>
      <c r="R798" s="322"/>
      <c r="S798" s="322"/>
      <c r="T798" s="322"/>
      <c r="U798" s="322"/>
      <c r="V798" s="322"/>
      <c r="W798" s="322"/>
      <c r="X798" s="322"/>
      <c r="Y798" s="322"/>
      <c r="Z798" s="322"/>
    </row>
    <row r="799" ht="12.75" customHeight="1">
      <c r="A799" s="322"/>
      <c r="B799" s="322"/>
      <c r="C799" s="323"/>
      <c r="D799" s="324"/>
      <c r="E799" s="323"/>
      <c r="F799" s="324"/>
      <c r="G799" s="322"/>
      <c r="H799" s="322"/>
      <c r="I799" s="322"/>
      <c r="J799" s="322"/>
      <c r="K799" s="322"/>
      <c r="L799" s="322"/>
      <c r="M799" s="322"/>
      <c r="N799" s="322"/>
      <c r="O799" s="322"/>
      <c r="P799" s="322"/>
      <c r="Q799" s="322"/>
      <c r="R799" s="322"/>
      <c r="S799" s="322"/>
      <c r="T799" s="322"/>
      <c r="U799" s="322"/>
      <c r="V799" s="322"/>
      <c r="W799" s="322"/>
      <c r="X799" s="322"/>
      <c r="Y799" s="322"/>
      <c r="Z799" s="322"/>
    </row>
    <row r="800" ht="12.75" customHeight="1">
      <c r="A800" s="322"/>
      <c r="B800" s="322"/>
      <c r="C800" s="323"/>
      <c r="D800" s="324"/>
      <c r="E800" s="323"/>
      <c r="F800" s="324"/>
      <c r="G800" s="322"/>
      <c r="H800" s="322"/>
      <c r="I800" s="322"/>
      <c r="J800" s="322"/>
      <c r="K800" s="322"/>
      <c r="L800" s="322"/>
      <c r="M800" s="322"/>
      <c r="N800" s="322"/>
      <c r="O800" s="322"/>
      <c r="P800" s="322"/>
      <c r="Q800" s="322"/>
      <c r="R800" s="322"/>
      <c r="S800" s="322"/>
      <c r="T800" s="322"/>
      <c r="U800" s="322"/>
      <c r="V800" s="322"/>
      <c r="W800" s="322"/>
      <c r="X800" s="322"/>
      <c r="Y800" s="322"/>
      <c r="Z800" s="322"/>
    </row>
    <row r="801" ht="12.75" customHeight="1">
      <c r="A801" s="322"/>
      <c r="B801" s="322"/>
      <c r="C801" s="323"/>
      <c r="D801" s="324"/>
      <c r="E801" s="323"/>
      <c r="F801" s="324"/>
      <c r="G801" s="322"/>
      <c r="H801" s="322"/>
      <c r="I801" s="322"/>
      <c r="J801" s="322"/>
      <c r="K801" s="322"/>
      <c r="L801" s="322"/>
      <c r="M801" s="322"/>
      <c r="N801" s="322"/>
      <c r="O801" s="322"/>
      <c r="P801" s="322"/>
      <c r="Q801" s="322"/>
      <c r="R801" s="322"/>
      <c r="S801" s="322"/>
      <c r="T801" s="322"/>
      <c r="U801" s="322"/>
      <c r="V801" s="322"/>
      <c r="W801" s="322"/>
      <c r="X801" s="322"/>
      <c r="Y801" s="322"/>
      <c r="Z801" s="322"/>
    </row>
    <row r="802" ht="12.75" customHeight="1">
      <c r="A802" s="322"/>
      <c r="B802" s="322"/>
      <c r="C802" s="323"/>
      <c r="D802" s="324"/>
      <c r="E802" s="323"/>
      <c r="F802" s="324"/>
      <c r="G802" s="322"/>
      <c r="H802" s="322"/>
      <c r="I802" s="322"/>
      <c r="J802" s="322"/>
      <c r="K802" s="322"/>
      <c r="L802" s="322"/>
      <c r="M802" s="322"/>
      <c r="N802" s="322"/>
      <c r="O802" s="322"/>
      <c r="P802" s="322"/>
      <c r="Q802" s="322"/>
      <c r="R802" s="322"/>
      <c r="S802" s="322"/>
      <c r="T802" s="322"/>
      <c r="U802" s="322"/>
      <c r="V802" s="322"/>
      <c r="W802" s="322"/>
      <c r="X802" s="322"/>
      <c r="Y802" s="322"/>
      <c r="Z802" s="322"/>
    </row>
    <row r="803" ht="12.75" customHeight="1">
      <c r="A803" s="322"/>
      <c r="B803" s="322"/>
      <c r="C803" s="323"/>
      <c r="D803" s="324"/>
      <c r="E803" s="323"/>
      <c r="F803" s="324"/>
      <c r="G803" s="322"/>
      <c r="H803" s="322"/>
      <c r="I803" s="322"/>
      <c r="J803" s="322"/>
      <c r="K803" s="322"/>
      <c r="L803" s="322"/>
      <c r="M803" s="322"/>
      <c r="N803" s="322"/>
      <c r="O803" s="322"/>
      <c r="P803" s="322"/>
      <c r="Q803" s="322"/>
      <c r="R803" s="322"/>
      <c r="S803" s="322"/>
      <c r="T803" s="322"/>
      <c r="U803" s="322"/>
      <c r="V803" s="322"/>
      <c r="W803" s="322"/>
      <c r="X803" s="322"/>
      <c r="Y803" s="322"/>
      <c r="Z803" s="322"/>
    </row>
    <row r="804" ht="12.75" customHeight="1">
      <c r="A804" s="322"/>
      <c r="B804" s="322"/>
      <c r="C804" s="323"/>
      <c r="D804" s="324"/>
      <c r="E804" s="323"/>
      <c r="F804" s="324"/>
      <c r="G804" s="322"/>
      <c r="H804" s="322"/>
      <c r="I804" s="322"/>
      <c r="J804" s="322"/>
      <c r="K804" s="322"/>
      <c r="L804" s="322"/>
      <c r="M804" s="322"/>
      <c r="N804" s="322"/>
      <c r="O804" s="322"/>
      <c r="P804" s="322"/>
      <c r="Q804" s="322"/>
      <c r="R804" s="322"/>
      <c r="S804" s="322"/>
      <c r="T804" s="322"/>
      <c r="U804" s="322"/>
      <c r="V804" s="322"/>
      <c r="W804" s="322"/>
      <c r="X804" s="322"/>
      <c r="Y804" s="322"/>
      <c r="Z804" s="322"/>
    </row>
    <row r="805" ht="12.75" customHeight="1">
      <c r="A805" s="322"/>
      <c r="B805" s="322"/>
      <c r="C805" s="323"/>
      <c r="D805" s="324"/>
      <c r="E805" s="323"/>
      <c r="F805" s="324"/>
      <c r="G805" s="322"/>
      <c r="H805" s="322"/>
      <c r="I805" s="322"/>
      <c r="J805" s="322"/>
      <c r="K805" s="322"/>
      <c r="L805" s="322"/>
      <c r="M805" s="322"/>
      <c r="N805" s="322"/>
      <c r="O805" s="322"/>
      <c r="P805" s="322"/>
      <c r="Q805" s="322"/>
      <c r="R805" s="322"/>
      <c r="S805" s="322"/>
      <c r="T805" s="322"/>
      <c r="U805" s="322"/>
      <c r="V805" s="322"/>
      <c r="W805" s="322"/>
      <c r="X805" s="322"/>
      <c r="Y805" s="322"/>
      <c r="Z805" s="322"/>
    </row>
    <row r="806" ht="12.75" customHeight="1">
      <c r="A806" s="322"/>
      <c r="B806" s="322"/>
      <c r="C806" s="323"/>
      <c r="D806" s="324"/>
      <c r="E806" s="323"/>
      <c r="F806" s="324"/>
      <c r="G806" s="322"/>
      <c r="H806" s="322"/>
      <c r="I806" s="322"/>
      <c r="J806" s="322"/>
      <c r="K806" s="322"/>
      <c r="L806" s="322"/>
      <c r="M806" s="322"/>
      <c r="N806" s="322"/>
      <c r="O806" s="322"/>
      <c r="P806" s="322"/>
      <c r="Q806" s="322"/>
      <c r="R806" s="322"/>
      <c r="S806" s="322"/>
      <c r="T806" s="322"/>
      <c r="U806" s="322"/>
      <c r="V806" s="322"/>
      <c r="W806" s="322"/>
      <c r="X806" s="322"/>
      <c r="Y806" s="322"/>
      <c r="Z806" s="322"/>
    </row>
    <row r="807" ht="12.75" customHeight="1">
      <c r="A807" s="322"/>
      <c r="B807" s="322"/>
      <c r="C807" s="323"/>
      <c r="D807" s="324"/>
      <c r="E807" s="323"/>
      <c r="F807" s="324"/>
      <c r="G807" s="322"/>
      <c r="H807" s="322"/>
      <c r="I807" s="322"/>
      <c r="J807" s="322"/>
      <c r="K807" s="322"/>
      <c r="L807" s="322"/>
      <c r="M807" s="322"/>
      <c r="N807" s="322"/>
      <c r="O807" s="322"/>
      <c r="P807" s="322"/>
      <c r="Q807" s="322"/>
      <c r="R807" s="322"/>
      <c r="S807" s="322"/>
      <c r="T807" s="322"/>
      <c r="U807" s="322"/>
      <c r="V807" s="322"/>
      <c r="W807" s="322"/>
      <c r="X807" s="322"/>
      <c r="Y807" s="322"/>
      <c r="Z807" s="322"/>
    </row>
    <row r="808" ht="12.75" customHeight="1">
      <c r="A808" s="322"/>
      <c r="B808" s="322"/>
      <c r="C808" s="323"/>
      <c r="D808" s="324"/>
      <c r="E808" s="323"/>
      <c r="F808" s="324"/>
      <c r="G808" s="322"/>
      <c r="H808" s="322"/>
      <c r="I808" s="322"/>
      <c r="J808" s="322"/>
      <c r="K808" s="322"/>
      <c r="L808" s="322"/>
      <c r="M808" s="322"/>
      <c r="N808" s="322"/>
      <c r="O808" s="322"/>
      <c r="P808" s="322"/>
      <c r="Q808" s="322"/>
      <c r="R808" s="322"/>
      <c r="S808" s="322"/>
      <c r="T808" s="322"/>
      <c r="U808" s="322"/>
      <c r="V808" s="322"/>
      <c r="W808" s="322"/>
      <c r="X808" s="322"/>
      <c r="Y808" s="322"/>
      <c r="Z808" s="322"/>
    </row>
    <row r="809" ht="12.75" customHeight="1">
      <c r="A809" s="322"/>
      <c r="B809" s="322"/>
      <c r="C809" s="323"/>
      <c r="D809" s="324"/>
      <c r="E809" s="323"/>
      <c r="F809" s="324"/>
      <c r="G809" s="322"/>
      <c r="H809" s="322"/>
      <c r="I809" s="322"/>
      <c r="J809" s="322"/>
      <c r="K809" s="322"/>
      <c r="L809" s="322"/>
      <c r="M809" s="322"/>
      <c r="N809" s="322"/>
      <c r="O809" s="322"/>
      <c r="P809" s="322"/>
      <c r="Q809" s="322"/>
      <c r="R809" s="322"/>
      <c r="S809" s="322"/>
      <c r="T809" s="322"/>
      <c r="U809" s="322"/>
      <c r="V809" s="322"/>
      <c r="W809" s="322"/>
      <c r="X809" s="322"/>
      <c r="Y809" s="322"/>
      <c r="Z809" s="322"/>
    </row>
    <row r="810" ht="12.75" customHeight="1">
      <c r="A810" s="322"/>
      <c r="B810" s="322"/>
      <c r="C810" s="323"/>
      <c r="D810" s="324"/>
      <c r="E810" s="323"/>
      <c r="F810" s="324"/>
      <c r="G810" s="322"/>
      <c r="H810" s="322"/>
      <c r="I810" s="322"/>
      <c r="J810" s="322"/>
      <c r="K810" s="322"/>
      <c r="L810" s="322"/>
      <c r="M810" s="322"/>
      <c r="N810" s="322"/>
      <c r="O810" s="322"/>
      <c r="P810" s="322"/>
      <c r="Q810" s="322"/>
      <c r="R810" s="322"/>
      <c r="S810" s="322"/>
      <c r="T810" s="322"/>
      <c r="U810" s="322"/>
      <c r="V810" s="322"/>
      <c r="W810" s="322"/>
      <c r="X810" s="322"/>
      <c r="Y810" s="322"/>
      <c r="Z810" s="322"/>
    </row>
    <row r="811" ht="12.75" customHeight="1">
      <c r="A811" s="322"/>
      <c r="B811" s="322"/>
      <c r="C811" s="323"/>
      <c r="D811" s="324"/>
      <c r="E811" s="323"/>
      <c r="F811" s="324"/>
      <c r="G811" s="322"/>
      <c r="H811" s="322"/>
      <c r="I811" s="322"/>
      <c r="J811" s="322"/>
      <c r="K811" s="322"/>
      <c r="L811" s="322"/>
      <c r="M811" s="322"/>
      <c r="N811" s="322"/>
      <c r="O811" s="322"/>
      <c r="P811" s="322"/>
      <c r="Q811" s="322"/>
      <c r="R811" s="322"/>
      <c r="S811" s="322"/>
      <c r="T811" s="322"/>
      <c r="U811" s="322"/>
      <c r="V811" s="322"/>
      <c r="W811" s="322"/>
      <c r="X811" s="322"/>
      <c r="Y811" s="322"/>
      <c r="Z811" s="322"/>
    </row>
    <row r="812" ht="12.75" customHeight="1">
      <c r="A812" s="322"/>
      <c r="B812" s="322"/>
      <c r="C812" s="323"/>
      <c r="D812" s="324"/>
      <c r="E812" s="323"/>
      <c r="F812" s="324"/>
      <c r="G812" s="322"/>
      <c r="H812" s="322"/>
      <c r="I812" s="322"/>
      <c r="J812" s="322"/>
      <c r="K812" s="322"/>
      <c r="L812" s="322"/>
      <c r="M812" s="322"/>
      <c r="N812" s="322"/>
      <c r="O812" s="322"/>
      <c r="P812" s="322"/>
      <c r="Q812" s="322"/>
      <c r="R812" s="322"/>
      <c r="S812" s="322"/>
      <c r="T812" s="322"/>
      <c r="U812" s="322"/>
      <c r="V812" s="322"/>
      <c r="W812" s="322"/>
      <c r="X812" s="322"/>
      <c r="Y812" s="322"/>
      <c r="Z812" s="322"/>
    </row>
    <row r="813" ht="12.75" customHeight="1">
      <c r="A813" s="322"/>
      <c r="B813" s="322"/>
      <c r="C813" s="323"/>
      <c r="D813" s="324"/>
      <c r="E813" s="323"/>
      <c r="F813" s="324"/>
      <c r="G813" s="322"/>
      <c r="H813" s="322"/>
      <c r="I813" s="322"/>
      <c r="J813" s="322"/>
      <c r="K813" s="322"/>
      <c r="L813" s="322"/>
      <c r="M813" s="322"/>
      <c r="N813" s="322"/>
      <c r="O813" s="322"/>
      <c r="P813" s="322"/>
      <c r="Q813" s="322"/>
      <c r="R813" s="322"/>
      <c r="S813" s="322"/>
      <c r="T813" s="322"/>
      <c r="U813" s="322"/>
      <c r="V813" s="322"/>
      <c r="W813" s="322"/>
      <c r="X813" s="322"/>
      <c r="Y813" s="322"/>
      <c r="Z813" s="322"/>
    </row>
    <row r="814" ht="12.75" customHeight="1">
      <c r="A814" s="322"/>
      <c r="B814" s="322"/>
      <c r="C814" s="323"/>
      <c r="D814" s="324"/>
      <c r="E814" s="323"/>
      <c r="F814" s="324"/>
      <c r="G814" s="322"/>
      <c r="H814" s="322"/>
      <c r="I814" s="322"/>
      <c r="J814" s="322"/>
      <c r="K814" s="322"/>
      <c r="L814" s="322"/>
      <c r="M814" s="322"/>
      <c r="N814" s="322"/>
      <c r="O814" s="322"/>
      <c r="P814" s="322"/>
      <c r="Q814" s="322"/>
      <c r="R814" s="322"/>
      <c r="S814" s="322"/>
      <c r="T814" s="322"/>
      <c r="U814" s="322"/>
      <c r="V814" s="322"/>
      <c r="W814" s="322"/>
      <c r="X814" s="322"/>
      <c r="Y814" s="322"/>
      <c r="Z814" s="322"/>
    </row>
    <row r="815" ht="12.75" customHeight="1">
      <c r="A815" s="322"/>
      <c r="B815" s="322"/>
      <c r="C815" s="323"/>
      <c r="D815" s="324"/>
      <c r="E815" s="323"/>
      <c r="F815" s="324"/>
      <c r="G815" s="322"/>
      <c r="H815" s="322"/>
      <c r="I815" s="322"/>
      <c r="J815" s="322"/>
      <c r="K815" s="322"/>
      <c r="L815" s="322"/>
      <c r="M815" s="322"/>
      <c r="N815" s="322"/>
      <c r="O815" s="322"/>
      <c r="P815" s="322"/>
      <c r="Q815" s="322"/>
      <c r="R815" s="322"/>
      <c r="S815" s="322"/>
      <c r="T815" s="322"/>
      <c r="U815" s="322"/>
      <c r="V815" s="322"/>
      <c r="W815" s="322"/>
      <c r="X815" s="322"/>
      <c r="Y815" s="322"/>
      <c r="Z815" s="322"/>
    </row>
    <row r="816" ht="12.75" customHeight="1">
      <c r="A816" s="322"/>
      <c r="B816" s="322"/>
      <c r="C816" s="323"/>
      <c r="D816" s="324"/>
      <c r="E816" s="323"/>
      <c r="F816" s="324"/>
      <c r="G816" s="322"/>
      <c r="H816" s="322"/>
      <c r="I816" s="322"/>
      <c r="J816" s="322"/>
      <c r="K816" s="322"/>
      <c r="L816" s="322"/>
      <c r="M816" s="322"/>
      <c r="N816" s="322"/>
      <c r="O816" s="322"/>
      <c r="P816" s="322"/>
      <c r="Q816" s="322"/>
      <c r="R816" s="322"/>
      <c r="S816" s="322"/>
      <c r="T816" s="322"/>
      <c r="U816" s="322"/>
      <c r="V816" s="322"/>
      <c r="W816" s="322"/>
      <c r="X816" s="322"/>
      <c r="Y816" s="322"/>
      <c r="Z816" s="322"/>
    </row>
    <row r="817" ht="12.75" customHeight="1">
      <c r="A817" s="322"/>
      <c r="B817" s="322"/>
      <c r="C817" s="323"/>
      <c r="D817" s="324"/>
      <c r="E817" s="323"/>
      <c r="F817" s="324"/>
      <c r="G817" s="322"/>
      <c r="H817" s="322"/>
      <c r="I817" s="322"/>
      <c r="J817" s="322"/>
      <c r="K817" s="322"/>
      <c r="L817" s="322"/>
      <c r="M817" s="322"/>
      <c r="N817" s="322"/>
      <c r="O817" s="322"/>
      <c r="P817" s="322"/>
      <c r="Q817" s="322"/>
      <c r="R817" s="322"/>
      <c r="S817" s="322"/>
      <c r="T817" s="322"/>
      <c r="U817" s="322"/>
      <c r="V817" s="322"/>
      <c r="W817" s="322"/>
      <c r="X817" s="322"/>
      <c r="Y817" s="322"/>
      <c r="Z817" s="322"/>
    </row>
    <row r="818" ht="12.75" customHeight="1">
      <c r="A818" s="322"/>
      <c r="B818" s="322"/>
      <c r="C818" s="323"/>
      <c r="D818" s="324"/>
      <c r="E818" s="323"/>
      <c r="F818" s="324"/>
      <c r="G818" s="322"/>
      <c r="H818" s="322"/>
      <c r="I818" s="322"/>
      <c r="J818" s="322"/>
      <c r="K818" s="322"/>
      <c r="L818" s="322"/>
      <c r="M818" s="322"/>
      <c r="N818" s="322"/>
      <c r="O818" s="322"/>
      <c r="P818" s="322"/>
      <c r="Q818" s="322"/>
      <c r="R818" s="322"/>
      <c r="S818" s="322"/>
      <c r="T818" s="322"/>
      <c r="U818" s="322"/>
      <c r="V818" s="322"/>
      <c r="W818" s="322"/>
      <c r="X818" s="322"/>
      <c r="Y818" s="322"/>
      <c r="Z818" s="322"/>
    </row>
    <row r="819" ht="12.75" customHeight="1">
      <c r="A819" s="322"/>
      <c r="B819" s="322"/>
      <c r="C819" s="323"/>
      <c r="D819" s="324"/>
      <c r="E819" s="323"/>
      <c r="F819" s="324"/>
      <c r="G819" s="322"/>
      <c r="H819" s="322"/>
      <c r="I819" s="322"/>
      <c r="J819" s="322"/>
      <c r="K819" s="322"/>
      <c r="L819" s="322"/>
      <c r="M819" s="322"/>
      <c r="N819" s="322"/>
      <c r="O819" s="322"/>
      <c r="P819" s="322"/>
      <c r="Q819" s="322"/>
      <c r="R819" s="322"/>
      <c r="S819" s="322"/>
      <c r="T819" s="322"/>
      <c r="U819" s="322"/>
      <c r="V819" s="322"/>
      <c r="W819" s="322"/>
      <c r="X819" s="322"/>
      <c r="Y819" s="322"/>
      <c r="Z819" s="322"/>
    </row>
    <row r="820" ht="12.75" customHeight="1">
      <c r="A820" s="322"/>
      <c r="B820" s="322"/>
      <c r="C820" s="323"/>
      <c r="D820" s="324"/>
      <c r="E820" s="323"/>
      <c r="F820" s="324"/>
      <c r="G820" s="322"/>
      <c r="H820" s="322"/>
      <c r="I820" s="322"/>
      <c r="J820" s="322"/>
      <c r="K820" s="322"/>
      <c r="L820" s="322"/>
      <c r="M820" s="322"/>
      <c r="N820" s="322"/>
      <c r="O820" s="322"/>
      <c r="P820" s="322"/>
      <c r="Q820" s="322"/>
      <c r="R820" s="322"/>
      <c r="S820" s="322"/>
      <c r="T820" s="322"/>
      <c r="U820" s="322"/>
      <c r="V820" s="322"/>
      <c r="W820" s="322"/>
      <c r="X820" s="322"/>
      <c r="Y820" s="322"/>
      <c r="Z820" s="322"/>
    </row>
    <row r="821" ht="12.75" customHeight="1">
      <c r="A821" s="322"/>
      <c r="B821" s="322"/>
      <c r="C821" s="323"/>
      <c r="D821" s="324"/>
      <c r="E821" s="323"/>
      <c r="F821" s="324"/>
      <c r="G821" s="322"/>
      <c r="H821" s="322"/>
      <c r="I821" s="322"/>
      <c r="J821" s="322"/>
      <c r="K821" s="322"/>
      <c r="L821" s="322"/>
      <c r="M821" s="322"/>
      <c r="N821" s="322"/>
      <c r="O821" s="322"/>
      <c r="P821" s="322"/>
      <c r="Q821" s="322"/>
      <c r="R821" s="322"/>
      <c r="S821" s="322"/>
      <c r="T821" s="322"/>
      <c r="U821" s="322"/>
      <c r="V821" s="322"/>
      <c r="W821" s="322"/>
      <c r="X821" s="322"/>
      <c r="Y821" s="322"/>
      <c r="Z821" s="322"/>
    </row>
    <row r="822" ht="12.75" customHeight="1">
      <c r="A822" s="322"/>
      <c r="B822" s="322"/>
      <c r="C822" s="323"/>
      <c r="D822" s="324"/>
      <c r="E822" s="323"/>
      <c r="F822" s="324"/>
      <c r="G822" s="322"/>
      <c r="H822" s="322"/>
      <c r="I822" s="322"/>
      <c r="J822" s="322"/>
      <c r="K822" s="322"/>
      <c r="L822" s="322"/>
      <c r="M822" s="322"/>
      <c r="N822" s="322"/>
      <c r="O822" s="322"/>
      <c r="P822" s="322"/>
      <c r="Q822" s="322"/>
      <c r="R822" s="322"/>
      <c r="S822" s="322"/>
      <c r="T822" s="322"/>
      <c r="U822" s="322"/>
      <c r="V822" s="322"/>
      <c r="W822" s="322"/>
      <c r="X822" s="322"/>
      <c r="Y822" s="322"/>
      <c r="Z822" s="322"/>
    </row>
    <row r="823" ht="12.75" customHeight="1">
      <c r="A823" s="322"/>
      <c r="B823" s="322"/>
      <c r="C823" s="323"/>
      <c r="D823" s="324"/>
      <c r="E823" s="323"/>
      <c r="F823" s="324"/>
      <c r="G823" s="322"/>
      <c r="H823" s="322"/>
      <c r="I823" s="322"/>
      <c r="J823" s="322"/>
      <c r="K823" s="322"/>
      <c r="L823" s="322"/>
      <c r="M823" s="322"/>
      <c r="N823" s="322"/>
      <c r="O823" s="322"/>
      <c r="P823" s="322"/>
      <c r="Q823" s="322"/>
      <c r="R823" s="322"/>
      <c r="S823" s="322"/>
      <c r="T823" s="322"/>
      <c r="U823" s="322"/>
      <c r="V823" s="322"/>
      <c r="W823" s="322"/>
      <c r="X823" s="322"/>
      <c r="Y823" s="322"/>
      <c r="Z823" s="322"/>
    </row>
    <row r="824" ht="12.75" customHeight="1">
      <c r="A824" s="322"/>
      <c r="B824" s="322"/>
      <c r="C824" s="323"/>
      <c r="D824" s="324"/>
      <c r="E824" s="323"/>
      <c r="F824" s="324"/>
      <c r="G824" s="322"/>
      <c r="H824" s="322"/>
      <c r="I824" s="322"/>
      <c r="J824" s="322"/>
      <c r="K824" s="322"/>
      <c r="L824" s="322"/>
      <c r="M824" s="322"/>
      <c r="N824" s="322"/>
      <c r="O824" s="322"/>
      <c r="P824" s="322"/>
      <c r="Q824" s="322"/>
      <c r="R824" s="322"/>
      <c r="S824" s="322"/>
      <c r="T824" s="322"/>
      <c r="U824" s="322"/>
      <c r="V824" s="322"/>
      <c r="W824" s="322"/>
      <c r="X824" s="322"/>
      <c r="Y824" s="322"/>
      <c r="Z824" s="322"/>
    </row>
    <row r="825" ht="12.75" customHeight="1">
      <c r="A825" s="322"/>
      <c r="B825" s="322"/>
      <c r="C825" s="323"/>
      <c r="D825" s="324"/>
      <c r="E825" s="323"/>
      <c r="F825" s="324"/>
      <c r="G825" s="322"/>
      <c r="H825" s="322"/>
      <c r="I825" s="322"/>
      <c r="J825" s="322"/>
      <c r="K825" s="322"/>
      <c r="L825" s="322"/>
      <c r="M825" s="322"/>
      <c r="N825" s="322"/>
      <c r="O825" s="322"/>
      <c r="P825" s="322"/>
      <c r="Q825" s="322"/>
      <c r="R825" s="322"/>
      <c r="S825" s="322"/>
      <c r="T825" s="322"/>
      <c r="U825" s="322"/>
      <c r="V825" s="322"/>
      <c r="W825" s="322"/>
      <c r="X825" s="322"/>
      <c r="Y825" s="322"/>
      <c r="Z825" s="322"/>
    </row>
    <row r="826" ht="12.75" customHeight="1">
      <c r="A826" s="322"/>
      <c r="B826" s="322"/>
      <c r="C826" s="323"/>
      <c r="D826" s="324"/>
      <c r="E826" s="323"/>
      <c r="F826" s="324"/>
      <c r="G826" s="322"/>
      <c r="H826" s="322"/>
      <c r="I826" s="322"/>
      <c r="J826" s="322"/>
      <c r="K826" s="322"/>
      <c r="L826" s="322"/>
      <c r="M826" s="322"/>
      <c r="N826" s="322"/>
      <c r="O826" s="322"/>
      <c r="P826" s="322"/>
      <c r="Q826" s="322"/>
      <c r="R826" s="322"/>
      <c r="S826" s="322"/>
      <c r="T826" s="322"/>
      <c r="U826" s="322"/>
      <c r="V826" s="322"/>
      <c r="W826" s="322"/>
      <c r="X826" s="322"/>
      <c r="Y826" s="322"/>
      <c r="Z826" s="322"/>
    </row>
    <row r="827" ht="12.75" customHeight="1">
      <c r="A827" s="322"/>
      <c r="B827" s="322"/>
      <c r="C827" s="323"/>
      <c r="D827" s="324"/>
      <c r="E827" s="323"/>
      <c r="F827" s="324"/>
      <c r="G827" s="322"/>
      <c r="H827" s="322"/>
      <c r="I827" s="322"/>
      <c r="J827" s="322"/>
      <c r="K827" s="322"/>
      <c r="L827" s="322"/>
      <c r="M827" s="322"/>
      <c r="N827" s="322"/>
      <c r="O827" s="322"/>
      <c r="P827" s="322"/>
      <c r="Q827" s="322"/>
      <c r="R827" s="322"/>
      <c r="S827" s="322"/>
      <c r="T827" s="322"/>
      <c r="U827" s="322"/>
      <c r="V827" s="322"/>
      <c r="W827" s="322"/>
      <c r="X827" s="322"/>
      <c r="Y827" s="322"/>
      <c r="Z827" s="322"/>
    </row>
    <row r="828" ht="12.75" customHeight="1">
      <c r="A828" s="322"/>
      <c r="B828" s="322"/>
      <c r="C828" s="323"/>
      <c r="D828" s="324"/>
      <c r="E828" s="323"/>
      <c r="F828" s="324"/>
      <c r="G828" s="322"/>
      <c r="H828" s="322"/>
      <c r="I828" s="322"/>
      <c r="J828" s="322"/>
      <c r="K828" s="322"/>
      <c r="L828" s="322"/>
      <c r="M828" s="322"/>
      <c r="N828" s="322"/>
      <c r="O828" s="322"/>
      <c r="P828" s="322"/>
      <c r="Q828" s="322"/>
      <c r="R828" s="322"/>
      <c r="S828" s="322"/>
      <c r="T828" s="322"/>
      <c r="U828" s="322"/>
      <c r="V828" s="322"/>
      <c r="W828" s="322"/>
      <c r="X828" s="322"/>
      <c r="Y828" s="322"/>
      <c r="Z828" s="322"/>
    </row>
    <row r="829" ht="12.75" customHeight="1">
      <c r="A829" s="322"/>
      <c r="B829" s="322"/>
      <c r="C829" s="323"/>
      <c r="D829" s="324"/>
      <c r="E829" s="323"/>
      <c r="F829" s="324"/>
      <c r="G829" s="322"/>
      <c r="H829" s="322"/>
      <c r="I829" s="322"/>
      <c r="J829" s="322"/>
      <c r="K829" s="322"/>
      <c r="L829" s="322"/>
      <c r="M829" s="322"/>
      <c r="N829" s="322"/>
      <c r="O829" s="322"/>
      <c r="P829" s="322"/>
      <c r="Q829" s="322"/>
      <c r="R829" s="322"/>
      <c r="S829" s="322"/>
      <c r="T829" s="322"/>
      <c r="U829" s="322"/>
      <c r="V829" s="322"/>
      <c r="W829" s="322"/>
      <c r="X829" s="322"/>
      <c r="Y829" s="322"/>
      <c r="Z829" s="322"/>
    </row>
    <row r="830" ht="12.75" customHeight="1">
      <c r="A830" s="322"/>
      <c r="B830" s="322"/>
      <c r="C830" s="323"/>
      <c r="D830" s="324"/>
      <c r="E830" s="323"/>
      <c r="F830" s="324"/>
      <c r="G830" s="322"/>
      <c r="H830" s="322"/>
      <c r="I830" s="322"/>
      <c r="J830" s="322"/>
      <c r="K830" s="322"/>
      <c r="L830" s="322"/>
      <c r="M830" s="322"/>
      <c r="N830" s="322"/>
      <c r="O830" s="322"/>
      <c r="P830" s="322"/>
      <c r="Q830" s="322"/>
      <c r="R830" s="322"/>
      <c r="S830" s="322"/>
      <c r="T830" s="322"/>
      <c r="U830" s="322"/>
      <c r="V830" s="322"/>
      <c r="W830" s="322"/>
      <c r="X830" s="322"/>
      <c r="Y830" s="322"/>
      <c r="Z830" s="322"/>
    </row>
    <row r="831" ht="12.75" customHeight="1">
      <c r="A831" s="322"/>
      <c r="B831" s="322"/>
      <c r="C831" s="323"/>
      <c r="D831" s="324"/>
      <c r="E831" s="323"/>
      <c r="F831" s="324"/>
      <c r="G831" s="322"/>
      <c r="H831" s="322"/>
      <c r="I831" s="322"/>
      <c r="J831" s="322"/>
      <c r="K831" s="322"/>
      <c r="L831" s="322"/>
      <c r="M831" s="322"/>
      <c r="N831" s="322"/>
      <c r="O831" s="322"/>
      <c r="P831" s="322"/>
      <c r="Q831" s="322"/>
      <c r="R831" s="322"/>
      <c r="S831" s="322"/>
      <c r="T831" s="322"/>
      <c r="U831" s="322"/>
      <c r="V831" s="322"/>
      <c r="W831" s="322"/>
      <c r="X831" s="322"/>
      <c r="Y831" s="322"/>
      <c r="Z831" s="322"/>
    </row>
    <row r="832" ht="12.75" customHeight="1">
      <c r="A832" s="322"/>
      <c r="B832" s="322"/>
      <c r="C832" s="323"/>
      <c r="D832" s="324"/>
      <c r="E832" s="323"/>
      <c r="F832" s="324"/>
      <c r="G832" s="322"/>
      <c r="H832" s="322"/>
      <c r="I832" s="322"/>
      <c r="J832" s="322"/>
      <c r="K832" s="322"/>
      <c r="L832" s="322"/>
      <c r="M832" s="322"/>
      <c r="N832" s="322"/>
      <c r="O832" s="322"/>
      <c r="P832" s="322"/>
      <c r="Q832" s="322"/>
      <c r="R832" s="322"/>
      <c r="S832" s="322"/>
      <c r="T832" s="322"/>
      <c r="U832" s="322"/>
      <c r="V832" s="322"/>
      <c r="W832" s="322"/>
      <c r="X832" s="322"/>
      <c r="Y832" s="322"/>
      <c r="Z832" s="322"/>
    </row>
    <row r="833" ht="12.75" customHeight="1">
      <c r="A833" s="322"/>
      <c r="B833" s="322"/>
      <c r="C833" s="323"/>
      <c r="D833" s="324"/>
      <c r="E833" s="323"/>
      <c r="F833" s="324"/>
      <c r="G833" s="322"/>
      <c r="H833" s="322"/>
      <c r="I833" s="322"/>
      <c r="J833" s="322"/>
      <c r="K833" s="322"/>
      <c r="L833" s="322"/>
      <c r="M833" s="322"/>
      <c r="N833" s="322"/>
      <c r="O833" s="322"/>
      <c r="P833" s="322"/>
      <c r="Q833" s="322"/>
      <c r="R833" s="322"/>
      <c r="S833" s="322"/>
      <c r="T833" s="322"/>
      <c r="U833" s="322"/>
      <c r="V833" s="322"/>
      <c r="W833" s="322"/>
      <c r="X833" s="322"/>
      <c r="Y833" s="322"/>
      <c r="Z833" s="322"/>
    </row>
    <row r="834" ht="12.75" customHeight="1">
      <c r="A834" s="322"/>
      <c r="B834" s="322"/>
      <c r="C834" s="323"/>
      <c r="D834" s="324"/>
      <c r="E834" s="323"/>
      <c r="F834" s="324"/>
      <c r="G834" s="322"/>
      <c r="H834" s="322"/>
      <c r="I834" s="322"/>
      <c r="J834" s="322"/>
      <c r="K834" s="322"/>
      <c r="L834" s="322"/>
      <c r="M834" s="322"/>
      <c r="N834" s="322"/>
      <c r="O834" s="322"/>
      <c r="P834" s="322"/>
      <c r="Q834" s="322"/>
      <c r="R834" s="322"/>
      <c r="S834" s="322"/>
      <c r="T834" s="322"/>
      <c r="U834" s="322"/>
      <c r="V834" s="322"/>
      <c r="W834" s="322"/>
      <c r="X834" s="322"/>
      <c r="Y834" s="322"/>
      <c r="Z834" s="322"/>
    </row>
    <row r="835" ht="12.75" customHeight="1">
      <c r="A835" s="322"/>
      <c r="B835" s="322"/>
      <c r="C835" s="323"/>
      <c r="D835" s="324"/>
      <c r="E835" s="323"/>
      <c r="F835" s="324"/>
      <c r="G835" s="322"/>
      <c r="H835" s="322"/>
      <c r="I835" s="322"/>
      <c r="J835" s="322"/>
      <c r="K835" s="322"/>
      <c r="L835" s="322"/>
      <c r="M835" s="322"/>
      <c r="N835" s="322"/>
      <c r="O835" s="322"/>
      <c r="P835" s="322"/>
      <c r="Q835" s="322"/>
      <c r="R835" s="322"/>
      <c r="S835" s="322"/>
      <c r="T835" s="322"/>
      <c r="U835" s="322"/>
      <c r="V835" s="322"/>
      <c r="W835" s="322"/>
      <c r="X835" s="322"/>
      <c r="Y835" s="322"/>
      <c r="Z835" s="322"/>
    </row>
    <row r="836" ht="12.75" customHeight="1">
      <c r="A836" s="322"/>
      <c r="B836" s="322"/>
      <c r="C836" s="323"/>
      <c r="D836" s="324"/>
      <c r="E836" s="323"/>
      <c r="F836" s="324"/>
      <c r="G836" s="322"/>
      <c r="H836" s="322"/>
      <c r="I836" s="322"/>
      <c r="J836" s="322"/>
      <c r="K836" s="322"/>
      <c r="L836" s="322"/>
      <c r="M836" s="322"/>
      <c r="N836" s="322"/>
      <c r="O836" s="322"/>
      <c r="P836" s="322"/>
      <c r="Q836" s="322"/>
      <c r="R836" s="322"/>
      <c r="S836" s="322"/>
      <c r="T836" s="322"/>
      <c r="U836" s="322"/>
      <c r="V836" s="322"/>
      <c r="W836" s="322"/>
      <c r="X836" s="322"/>
      <c r="Y836" s="322"/>
      <c r="Z836" s="322"/>
    </row>
    <row r="837" ht="12.75" customHeight="1">
      <c r="A837" s="322"/>
      <c r="B837" s="322"/>
      <c r="C837" s="323"/>
      <c r="D837" s="324"/>
      <c r="E837" s="323"/>
      <c r="F837" s="324"/>
      <c r="G837" s="322"/>
      <c r="H837" s="322"/>
      <c r="I837" s="322"/>
      <c r="J837" s="322"/>
      <c r="K837" s="322"/>
      <c r="L837" s="322"/>
      <c r="M837" s="322"/>
      <c r="N837" s="322"/>
      <c r="O837" s="322"/>
      <c r="P837" s="322"/>
      <c r="Q837" s="322"/>
      <c r="R837" s="322"/>
      <c r="S837" s="322"/>
      <c r="T837" s="322"/>
      <c r="U837" s="322"/>
      <c r="V837" s="322"/>
      <c r="W837" s="322"/>
      <c r="X837" s="322"/>
      <c r="Y837" s="322"/>
      <c r="Z837" s="322"/>
    </row>
    <row r="838" ht="12.75" customHeight="1">
      <c r="A838" s="322"/>
      <c r="B838" s="322"/>
      <c r="C838" s="323"/>
      <c r="D838" s="324"/>
      <c r="E838" s="323"/>
      <c r="F838" s="324"/>
      <c r="G838" s="322"/>
      <c r="H838" s="322"/>
      <c r="I838" s="322"/>
      <c r="J838" s="322"/>
      <c r="K838" s="322"/>
      <c r="L838" s="322"/>
      <c r="M838" s="322"/>
      <c r="N838" s="322"/>
      <c r="O838" s="322"/>
      <c r="P838" s="322"/>
      <c r="Q838" s="322"/>
      <c r="R838" s="322"/>
      <c r="S838" s="322"/>
      <c r="T838" s="322"/>
      <c r="U838" s="322"/>
      <c r="V838" s="322"/>
      <c r="W838" s="322"/>
      <c r="X838" s="322"/>
      <c r="Y838" s="322"/>
      <c r="Z838" s="322"/>
    </row>
    <row r="839" ht="12.75" customHeight="1">
      <c r="A839" s="322"/>
      <c r="B839" s="322"/>
      <c r="C839" s="323"/>
      <c r="D839" s="324"/>
      <c r="E839" s="323"/>
      <c r="F839" s="324"/>
      <c r="G839" s="322"/>
      <c r="H839" s="322"/>
      <c r="I839" s="322"/>
      <c r="J839" s="322"/>
      <c r="K839" s="322"/>
      <c r="L839" s="322"/>
      <c r="M839" s="322"/>
      <c r="N839" s="322"/>
      <c r="O839" s="322"/>
      <c r="P839" s="322"/>
      <c r="Q839" s="322"/>
      <c r="R839" s="322"/>
      <c r="S839" s="322"/>
      <c r="T839" s="322"/>
      <c r="U839" s="322"/>
      <c r="V839" s="322"/>
      <c r="W839" s="322"/>
      <c r="X839" s="322"/>
      <c r="Y839" s="322"/>
      <c r="Z839" s="322"/>
    </row>
    <row r="840" ht="12.75" customHeight="1">
      <c r="A840" s="322"/>
      <c r="B840" s="322"/>
      <c r="C840" s="323"/>
      <c r="D840" s="324"/>
      <c r="E840" s="323"/>
      <c r="F840" s="324"/>
      <c r="G840" s="322"/>
      <c r="H840" s="322"/>
      <c r="I840" s="322"/>
      <c r="J840" s="322"/>
      <c r="K840" s="322"/>
      <c r="L840" s="322"/>
      <c r="M840" s="322"/>
      <c r="N840" s="322"/>
      <c r="O840" s="322"/>
      <c r="P840" s="322"/>
      <c r="Q840" s="322"/>
      <c r="R840" s="322"/>
      <c r="S840" s="322"/>
      <c r="T840" s="322"/>
      <c r="U840" s="322"/>
      <c r="V840" s="322"/>
      <c r="W840" s="322"/>
      <c r="X840" s="322"/>
      <c r="Y840" s="322"/>
      <c r="Z840" s="322"/>
    </row>
    <row r="841" ht="12.75" customHeight="1">
      <c r="A841" s="322"/>
      <c r="B841" s="322"/>
      <c r="C841" s="323"/>
      <c r="D841" s="324"/>
      <c r="E841" s="323"/>
      <c r="F841" s="324"/>
      <c r="G841" s="322"/>
      <c r="H841" s="322"/>
      <c r="I841" s="322"/>
      <c r="J841" s="322"/>
      <c r="K841" s="322"/>
      <c r="L841" s="322"/>
      <c r="M841" s="322"/>
      <c r="N841" s="322"/>
      <c r="O841" s="322"/>
      <c r="P841" s="322"/>
      <c r="Q841" s="322"/>
      <c r="R841" s="322"/>
      <c r="S841" s="322"/>
      <c r="T841" s="322"/>
      <c r="U841" s="322"/>
      <c r="V841" s="322"/>
      <c r="W841" s="322"/>
      <c r="X841" s="322"/>
      <c r="Y841" s="322"/>
      <c r="Z841" s="322"/>
    </row>
    <row r="842" ht="12.75" customHeight="1">
      <c r="A842" s="322"/>
      <c r="B842" s="322"/>
      <c r="C842" s="323"/>
      <c r="D842" s="324"/>
      <c r="E842" s="323"/>
      <c r="F842" s="324"/>
      <c r="G842" s="322"/>
      <c r="H842" s="322"/>
      <c r="I842" s="322"/>
      <c r="J842" s="322"/>
      <c r="K842" s="322"/>
      <c r="L842" s="322"/>
      <c r="M842" s="322"/>
      <c r="N842" s="322"/>
      <c r="O842" s="322"/>
      <c r="P842" s="322"/>
      <c r="Q842" s="322"/>
      <c r="R842" s="322"/>
      <c r="S842" s="322"/>
      <c r="T842" s="322"/>
      <c r="U842" s="322"/>
      <c r="V842" s="322"/>
      <c r="W842" s="322"/>
      <c r="X842" s="322"/>
      <c r="Y842" s="322"/>
      <c r="Z842" s="322"/>
    </row>
    <row r="843" ht="12.75" customHeight="1">
      <c r="A843" s="322"/>
      <c r="B843" s="322"/>
      <c r="C843" s="323"/>
      <c r="D843" s="324"/>
      <c r="E843" s="323"/>
      <c r="F843" s="324"/>
      <c r="G843" s="322"/>
      <c r="H843" s="322"/>
      <c r="I843" s="322"/>
      <c r="J843" s="322"/>
      <c r="K843" s="322"/>
      <c r="L843" s="322"/>
      <c r="M843" s="322"/>
      <c r="N843" s="322"/>
      <c r="O843" s="322"/>
      <c r="P843" s="322"/>
      <c r="Q843" s="322"/>
      <c r="R843" s="322"/>
      <c r="S843" s="322"/>
      <c r="T843" s="322"/>
      <c r="U843" s="322"/>
      <c r="V843" s="322"/>
      <c r="W843" s="322"/>
      <c r="X843" s="322"/>
      <c r="Y843" s="322"/>
      <c r="Z843" s="322"/>
    </row>
    <row r="844" ht="12.75" customHeight="1">
      <c r="A844" s="322"/>
      <c r="B844" s="322"/>
      <c r="C844" s="323"/>
      <c r="D844" s="324"/>
      <c r="E844" s="323"/>
      <c r="F844" s="324"/>
      <c r="G844" s="322"/>
      <c r="H844" s="322"/>
      <c r="I844" s="322"/>
      <c r="J844" s="322"/>
      <c r="K844" s="322"/>
      <c r="L844" s="322"/>
      <c r="M844" s="322"/>
      <c r="N844" s="322"/>
      <c r="O844" s="322"/>
      <c r="P844" s="322"/>
      <c r="Q844" s="322"/>
      <c r="R844" s="322"/>
      <c r="S844" s="322"/>
      <c r="T844" s="322"/>
      <c r="U844" s="322"/>
      <c r="V844" s="322"/>
      <c r="W844" s="322"/>
      <c r="X844" s="322"/>
      <c r="Y844" s="322"/>
      <c r="Z844" s="322"/>
    </row>
    <row r="845" ht="12.75" customHeight="1">
      <c r="A845" s="322"/>
      <c r="B845" s="322"/>
      <c r="C845" s="323"/>
      <c r="D845" s="324"/>
      <c r="E845" s="323"/>
      <c r="F845" s="324"/>
      <c r="G845" s="322"/>
      <c r="H845" s="322"/>
      <c r="I845" s="322"/>
      <c r="J845" s="322"/>
      <c r="K845" s="322"/>
      <c r="L845" s="322"/>
      <c r="M845" s="322"/>
      <c r="N845" s="322"/>
      <c r="O845" s="322"/>
      <c r="P845" s="322"/>
      <c r="Q845" s="322"/>
      <c r="R845" s="322"/>
      <c r="S845" s="322"/>
      <c r="T845" s="322"/>
      <c r="U845" s="322"/>
      <c r="V845" s="322"/>
      <c r="W845" s="322"/>
      <c r="X845" s="322"/>
      <c r="Y845" s="322"/>
      <c r="Z845" s="322"/>
    </row>
    <row r="846" ht="12.75" customHeight="1">
      <c r="A846" s="322"/>
      <c r="B846" s="322"/>
      <c r="C846" s="323"/>
      <c r="D846" s="324"/>
      <c r="E846" s="323"/>
      <c r="F846" s="324"/>
      <c r="G846" s="322"/>
      <c r="H846" s="322"/>
      <c r="I846" s="322"/>
      <c r="J846" s="322"/>
      <c r="K846" s="322"/>
      <c r="L846" s="322"/>
      <c r="M846" s="322"/>
      <c r="N846" s="322"/>
      <c r="O846" s="322"/>
      <c r="P846" s="322"/>
      <c r="Q846" s="322"/>
      <c r="R846" s="322"/>
      <c r="S846" s="322"/>
      <c r="T846" s="322"/>
      <c r="U846" s="322"/>
      <c r="V846" s="322"/>
      <c r="W846" s="322"/>
      <c r="X846" s="322"/>
      <c r="Y846" s="322"/>
      <c r="Z846" s="322"/>
    </row>
    <row r="847" ht="12.75" customHeight="1">
      <c r="A847" s="322"/>
      <c r="B847" s="322"/>
      <c r="C847" s="323"/>
      <c r="D847" s="324"/>
      <c r="E847" s="323"/>
      <c r="F847" s="324"/>
      <c r="G847" s="322"/>
      <c r="H847" s="322"/>
      <c r="I847" s="322"/>
      <c r="J847" s="322"/>
      <c r="K847" s="322"/>
      <c r="L847" s="322"/>
      <c r="M847" s="322"/>
      <c r="N847" s="322"/>
      <c r="O847" s="322"/>
      <c r="P847" s="322"/>
      <c r="Q847" s="322"/>
      <c r="R847" s="322"/>
      <c r="S847" s="322"/>
      <c r="T847" s="322"/>
      <c r="U847" s="322"/>
      <c r="V847" s="322"/>
      <c r="W847" s="322"/>
      <c r="X847" s="322"/>
      <c r="Y847" s="322"/>
      <c r="Z847" s="322"/>
    </row>
    <row r="848" ht="12.75" customHeight="1">
      <c r="A848" s="322"/>
      <c r="B848" s="322"/>
      <c r="C848" s="323"/>
      <c r="D848" s="324"/>
      <c r="E848" s="323"/>
      <c r="F848" s="324"/>
      <c r="G848" s="322"/>
      <c r="H848" s="322"/>
      <c r="I848" s="322"/>
      <c r="J848" s="322"/>
      <c r="K848" s="322"/>
      <c r="L848" s="322"/>
      <c r="M848" s="322"/>
      <c r="N848" s="322"/>
      <c r="O848" s="322"/>
      <c r="P848" s="322"/>
      <c r="Q848" s="322"/>
      <c r="R848" s="322"/>
      <c r="S848" s="322"/>
      <c r="T848" s="322"/>
      <c r="U848" s="322"/>
      <c r="V848" s="322"/>
      <c r="W848" s="322"/>
      <c r="X848" s="322"/>
      <c r="Y848" s="322"/>
      <c r="Z848" s="322"/>
    </row>
    <row r="849" ht="12.75" customHeight="1">
      <c r="A849" s="322"/>
      <c r="B849" s="322"/>
      <c r="C849" s="323"/>
      <c r="D849" s="324"/>
      <c r="E849" s="323"/>
      <c r="F849" s="324"/>
      <c r="G849" s="322"/>
      <c r="H849" s="322"/>
      <c r="I849" s="322"/>
      <c r="J849" s="322"/>
      <c r="K849" s="322"/>
      <c r="L849" s="322"/>
      <c r="M849" s="322"/>
      <c r="N849" s="322"/>
      <c r="O849" s="322"/>
      <c r="P849" s="322"/>
      <c r="Q849" s="322"/>
      <c r="R849" s="322"/>
      <c r="S849" s="322"/>
      <c r="T849" s="322"/>
      <c r="U849" s="322"/>
      <c r="V849" s="322"/>
      <c r="W849" s="322"/>
      <c r="X849" s="322"/>
      <c r="Y849" s="322"/>
      <c r="Z849" s="322"/>
    </row>
    <row r="850" ht="12.75" customHeight="1">
      <c r="A850" s="322"/>
      <c r="B850" s="322"/>
      <c r="C850" s="323"/>
      <c r="D850" s="324"/>
      <c r="E850" s="323"/>
      <c r="F850" s="324"/>
      <c r="G850" s="322"/>
      <c r="H850" s="322"/>
      <c r="I850" s="322"/>
      <c r="J850" s="322"/>
      <c r="K850" s="322"/>
      <c r="L850" s="322"/>
      <c r="M850" s="322"/>
      <c r="N850" s="322"/>
      <c r="O850" s="322"/>
      <c r="P850" s="322"/>
      <c r="Q850" s="322"/>
      <c r="R850" s="322"/>
      <c r="S850" s="322"/>
      <c r="T850" s="322"/>
      <c r="U850" s="322"/>
      <c r="V850" s="322"/>
      <c r="W850" s="322"/>
      <c r="X850" s="322"/>
      <c r="Y850" s="322"/>
      <c r="Z850" s="322"/>
    </row>
    <row r="851" ht="12.75" customHeight="1">
      <c r="A851" s="322"/>
      <c r="B851" s="322"/>
      <c r="C851" s="323"/>
      <c r="D851" s="324"/>
      <c r="E851" s="323"/>
      <c r="F851" s="324"/>
      <c r="G851" s="322"/>
      <c r="H851" s="322"/>
      <c r="I851" s="322"/>
      <c r="J851" s="322"/>
      <c r="K851" s="322"/>
      <c r="L851" s="322"/>
      <c r="M851" s="322"/>
      <c r="N851" s="322"/>
      <c r="O851" s="322"/>
      <c r="P851" s="322"/>
      <c r="Q851" s="322"/>
      <c r="R851" s="322"/>
      <c r="S851" s="322"/>
      <c r="T851" s="322"/>
      <c r="U851" s="322"/>
      <c r="V851" s="322"/>
      <c r="W851" s="322"/>
      <c r="X851" s="322"/>
      <c r="Y851" s="322"/>
      <c r="Z851" s="322"/>
    </row>
    <row r="852" ht="12.75" customHeight="1">
      <c r="A852" s="322"/>
      <c r="B852" s="322"/>
      <c r="C852" s="323"/>
      <c r="D852" s="324"/>
      <c r="E852" s="323"/>
      <c r="F852" s="324"/>
      <c r="G852" s="322"/>
      <c r="H852" s="322"/>
      <c r="I852" s="322"/>
      <c r="J852" s="322"/>
      <c r="K852" s="322"/>
      <c r="L852" s="322"/>
      <c r="M852" s="322"/>
      <c r="N852" s="322"/>
      <c r="O852" s="322"/>
      <c r="P852" s="322"/>
      <c r="Q852" s="322"/>
      <c r="R852" s="322"/>
      <c r="S852" s="322"/>
      <c r="T852" s="322"/>
      <c r="U852" s="322"/>
      <c r="V852" s="322"/>
      <c r="W852" s="322"/>
      <c r="X852" s="322"/>
      <c r="Y852" s="322"/>
      <c r="Z852" s="322"/>
    </row>
    <row r="853" ht="12.75" customHeight="1">
      <c r="A853" s="322"/>
      <c r="B853" s="322"/>
      <c r="C853" s="323"/>
      <c r="D853" s="324"/>
      <c r="E853" s="323"/>
      <c r="F853" s="324"/>
      <c r="G853" s="322"/>
      <c r="H853" s="322"/>
      <c r="I853" s="322"/>
      <c r="J853" s="322"/>
      <c r="K853" s="322"/>
      <c r="L853" s="322"/>
      <c r="M853" s="322"/>
      <c r="N853" s="322"/>
      <c r="O853" s="322"/>
      <c r="P853" s="322"/>
      <c r="Q853" s="322"/>
      <c r="R853" s="322"/>
      <c r="S853" s="322"/>
      <c r="T853" s="322"/>
      <c r="U853" s="322"/>
      <c r="V853" s="322"/>
      <c r="W853" s="322"/>
      <c r="X853" s="322"/>
      <c r="Y853" s="322"/>
      <c r="Z853" s="322"/>
    </row>
    <row r="854" ht="12.75" customHeight="1">
      <c r="A854" s="322"/>
      <c r="B854" s="322"/>
      <c r="C854" s="323"/>
      <c r="D854" s="324"/>
      <c r="E854" s="323"/>
      <c r="F854" s="324"/>
      <c r="G854" s="322"/>
      <c r="H854" s="322"/>
      <c r="I854" s="322"/>
      <c r="J854" s="322"/>
      <c r="K854" s="322"/>
      <c r="L854" s="322"/>
      <c r="M854" s="322"/>
      <c r="N854" s="322"/>
      <c r="O854" s="322"/>
      <c r="P854" s="322"/>
      <c r="Q854" s="322"/>
      <c r="R854" s="322"/>
      <c r="S854" s="322"/>
      <c r="T854" s="322"/>
      <c r="U854" s="322"/>
      <c r="V854" s="322"/>
      <c r="W854" s="322"/>
      <c r="X854" s="322"/>
      <c r="Y854" s="322"/>
      <c r="Z854" s="322"/>
    </row>
    <row r="855" ht="12.75" customHeight="1">
      <c r="A855" s="322"/>
      <c r="B855" s="322"/>
      <c r="C855" s="323"/>
      <c r="D855" s="324"/>
      <c r="E855" s="323"/>
      <c r="F855" s="324"/>
      <c r="G855" s="322"/>
      <c r="H855" s="322"/>
      <c r="I855" s="322"/>
      <c r="J855" s="322"/>
      <c r="K855" s="322"/>
      <c r="L855" s="322"/>
      <c r="M855" s="322"/>
      <c r="N855" s="322"/>
      <c r="O855" s="322"/>
      <c r="P855" s="322"/>
      <c r="Q855" s="322"/>
      <c r="R855" s="322"/>
      <c r="S855" s="322"/>
      <c r="T855" s="322"/>
      <c r="U855" s="322"/>
      <c r="V855" s="322"/>
      <c r="W855" s="322"/>
      <c r="X855" s="322"/>
      <c r="Y855" s="322"/>
      <c r="Z855" s="322"/>
    </row>
    <row r="856" ht="12.75" customHeight="1">
      <c r="A856" s="322"/>
      <c r="B856" s="322"/>
      <c r="C856" s="323"/>
      <c r="D856" s="324"/>
      <c r="E856" s="323"/>
      <c r="F856" s="324"/>
      <c r="G856" s="322"/>
      <c r="H856" s="322"/>
      <c r="I856" s="322"/>
      <c r="J856" s="322"/>
      <c r="K856" s="322"/>
      <c r="L856" s="322"/>
      <c r="M856" s="322"/>
      <c r="N856" s="322"/>
      <c r="O856" s="322"/>
      <c r="P856" s="322"/>
      <c r="Q856" s="322"/>
      <c r="R856" s="322"/>
      <c r="S856" s="322"/>
      <c r="T856" s="322"/>
      <c r="U856" s="322"/>
      <c r="V856" s="322"/>
      <c r="W856" s="322"/>
      <c r="X856" s="322"/>
      <c r="Y856" s="322"/>
      <c r="Z856" s="322"/>
    </row>
    <row r="857" ht="12.75" customHeight="1">
      <c r="A857" s="322"/>
      <c r="B857" s="322"/>
      <c r="C857" s="323"/>
      <c r="D857" s="324"/>
      <c r="E857" s="323"/>
      <c r="F857" s="324"/>
      <c r="G857" s="322"/>
      <c r="H857" s="322"/>
      <c r="I857" s="322"/>
      <c r="J857" s="322"/>
      <c r="K857" s="322"/>
      <c r="L857" s="322"/>
      <c r="M857" s="322"/>
      <c r="N857" s="322"/>
      <c r="O857" s="322"/>
      <c r="P857" s="322"/>
      <c r="Q857" s="322"/>
      <c r="R857" s="322"/>
      <c r="S857" s="322"/>
      <c r="T857" s="322"/>
      <c r="U857" s="322"/>
      <c r="V857" s="322"/>
      <c r="W857" s="322"/>
      <c r="X857" s="322"/>
      <c r="Y857" s="322"/>
      <c r="Z857" s="322"/>
    </row>
    <row r="858" ht="12.75" customHeight="1">
      <c r="A858" s="322"/>
      <c r="B858" s="322"/>
      <c r="C858" s="323"/>
      <c r="D858" s="324"/>
      <c r="E858" s="323"/>
      <c r="F858" s="324"/>
      <c r="G858" s="322"/>
      <c r="H858" s="322"/>
      <c r="I858" s="322"/>
      <c r="J858" s="322"/>
      <c r="K858" s="322"/>
      <c r="L858" s="322"/>
      <c r="M858" s="322"/>
      <c r="N858" s="322"/>
      <c r="O858" s="322"/>
      <c r="P858" s="322"/>
      <c r="Q858" s="322"/>
      <c r="R858" s="322"/>
      <c r="S858" s="322"/>
      <c r="T858" s="322"/>
      <c r="U858" s="322"/>
      <c r="V858" s="322"/>
      <c r="W858" s="322"/>
      <c r="X858" s="322"/>
      <c r="Y858" s="322"/>
      <c r="Z858" s="322"/>
    </row>
    <row r="859" ht="12.75" customHeight="1">
      <c r="A859" s="322"/>
      <c r="B859" s="322"/>
      <c r="C859" s="323"/>
      <c r="D859" s="324"/>
      <c r="E859" s="323"/>
      <c r="F859" s="324"/>
      <c r="G859" s="322"/>
      <c r="H859" s="322"/>
      <c r="I859" s="322"/>
      <c r="J859" s="322"/>
      <c r="K859" s="322"/>
      <c r="L859" s="322"/>
      <c r="M859" s="322"/>
      <c r="N859" s="322"/>
      <c r="O859" s="322"/>
      <c r="P859" s="322"/>
      <c r="Q859" s="322"/>
      <c r="R859" s="322"/>
      <c r="S859" s="322"/>
      <c r="T859" s="322"/>
      <c r="U859" s="322"/>
      <c r="V859" s="322"/>
      <c r="W859" s="322"/>
      <c r="X859" s="322"/>
      <c r="Y859" s="322"/>
      <c r="Z859" s="322"/>
    </row>
    <row r="860" ht="12.75" customHeight="1">
      <c r="A860" s="322"/>
      <c r="B860" s="322"/>
      <c r="C860" s="323"/>
      <c r="D860" s="324"/>
      <c r="E860" s="323"/>
      <c r="F860" s="324"/>
      <c r="G860" s="322"/>
      <c r="H860" s="322"/>
      <c r="I860" s="322"/>
      <c r="J860" s="322"/>
      <c r="K860" s="322"/>
      <c r="L860" s="322"/>
      <c r="M860" s="322"/>
      <c r="N860" s="322"/>
      <c r="O860" s="322"/>
      <c r="P860" s="322"/>
      <c r="Q860" s="322"/>
      <c r="R860" s="322"/>
      <c r="S860" s="322"/>
      <c r="T860" s="322"/>
      <c r="U860" s="322"/>
      <c r="V860" s="322"/>
      <c r="W860" s="322"/>
      <c r="X860" s="322"/>
      <c r="Y860" s="322"/>
      <c r="Z860" s="322"/>
    </row>
    <row r="861" ht="12.75" customHeight="1">
      <c r="A861" s="322"/>
      <c r="B861" s="322"/>
      <c r="C861" s="323"/>
      <c r="D861" s="324"/>
      <c r="E861" s="323"/>
      <c r="F861" s="324"/>
      <c r="G861" s="322"/>
      <c r="H861" s="322"/>
      <c r="I861" s="322"/>
      <c r="J861" s="322"/>
      <c r="K861" s="322"/>
      <c r="L861" s="322"/>
      <c r="M861" s="322"/>
      <c r="N861" s="322"/>
      <c r="O861" s="322"/>
      <c r="P861" s="322"/>
      <c r="Q861" s="322"/>
      <c r="R861" s="322"/>
      <c r="S861" s="322"/>
      <c r="T861" s="322"/>
      <c r="U861" s="322"/>
      <c r="V861" s="322"/>
      <c r="W861" s="322"/>
      <c r="X861" s="322"/>
      <c r="Y861" s="322"/>
      <c r="Z861" s="322"/>
    </row>
    <row r="862" ht="12.75" customHeight="1">
      <c r="A862" s="322"/>
      <c r="B862" s="322"/>
      <c r="C862" s="323"/>
      <c r="D862" s="324"/>
      <c r="E862" s="323"/>
      <c r="F862" s="324"/>
      <c r="G862" s="322"/>
      <c r="H862" s="322"/>
      <c r="I862" s="322"/>
      <c r="J862" s="322"/>
      <c r="K862" s="322"/>
      <c r="L862" s="322"/>
      <c r="M862" s="322"/>
      <c r="N862" s="322"/>
      <c r="O862" s="322"/>
      <c r="P862" s="322"/>
      <c r="Q862" s="322"/>
      <c r="R862" s="322"/>
      <c r="S862" s="322"/>
      <c r="T862" s="322"/>
      <c r="U862" s="322"/>
      <c r="V862" s="322"/>
      <c r="W862" s="322"/>
      <c r="X862" s="322"/>
      <c r="Y862" s="322"/>
      <c r="Z862" s="322"/>
    </row>
    <row r="863" ht="12.75" customHeight="1">
      <c r="A863" s="322"/>
      <c r="B863" s="322"/>
      <c r="C863" s="323"/>
      <c r="D863" s="324"/>
      <c r="E863" s="323"/>
      <c r="F863" s="324"/>
      <c r="G863" s="322"/>
      <c r="H863" s="322"/>
      <c r="I863" s="322"/>
      <c r="J863" s="322"/>
      <c r="K863" s="322"/>
      <c r="L863" s="322"/>
      <c r="M863" s="322"/>
      <c r="N863" s="322"/>
      <c r="O863" s="322"/>
      <c r="P863" s="322"/>
      <c r="Q863" s="322"/>
      <c r="R863" s="322"/>
      <c r="S863" s="322"/>
      <c r="T863" s="322"/>
      <c r="U863" s="322"/>
      <c r="V863" s="322"/>
      <c r="W863" s="322"/>
      <c r="X863" s="322"/>
      <c r="Y863" s="322"/>
      <c r="Z863" s="322"/>
    </row>
    <row r="864" ht="12.75" customHeight="1">
      <c r="A864" s="322"/>
      <c r="B864" s="322"/>
      <c r="C864" s="323"/>
      <c r="D864" s="324"/>
      <c r="E864" s="323"/>
      <c r="F864" s="324"/>
      <c r="G864" s="322"/>
      <c r="H864" s="322"/>
      <c r="I864" s="322"/>
      <c r="J864" s="322"/>
      <c r="K864" s="322"/>
      <c r="L864" s="322"/>
      <c r="M864" s="322"/>
      <c r="N864" s="322"/>
      <c r="O864" s="322"/>
      <c r="P864" s="322"/>
      <c r="Q864" s="322"/>
      <c r="R864" s="322"/>
      <c r="S864" s="322"/>
      <c r="T864" s="322"/>
      <c r="U864" s="322"/>
      <c r="V864" s="322"/>
      <c r="W864" s="322"/>
      <c r="X864" s="322"/>
      <c r="Y864" s="322"/>
      <c r="Z864" s="322"/>
    </row>
    <row r="865" ht="12.75" customHeight="1">
      <c r="A865" s="322"/>
      <c r="B865" s="322"/>
      <c r="C865" s="323"/>
      <c r="D865" s="324"/>
      <c r="E865" s="323"/>
      <c r="F865" s="324"/>
      <c r="G865" s="322"/>
      <c r="H865" s="322"/>
      <c r="I865" s="322"/>
      <c r="J865" s="322"/>
      <c r="K865" s="322"/>
      <c r="L865" s="322"/>
      <c r="M865" s="322"/>
      <c r="N865" s="322"/>
      <c r="O865" s="322"/>
      <c r="P865" s="322"/>
      <c r="Q865" s="322"/>
      <c r="R865" s="322"/>
      <c r="S865" s="322"/>
      <c r="T865" s="322"/>
      <c r="U865" s="322"/>
      <c r="V865" s="322"/>
      <c r="W865" s="322"/>
      <c r="X865" s="322"/>
      <c r="Y865" s="322"/>
      <c r="Z865" s="322"/>
    </row>
    <row r="866" ht="12.75" customHeight="1">
      <c r="A866" s="322"/>
      <c r="B866" s="322"/>
      <c r="C866" s="323"/>
      <c r="D866" s="324"/>
      <c r="E866" s="323"/>
      <c r="F866" s="324"/>
      <c r="G866" s="322"/>
      <c r="H866" s="322"/>
      <c r="I866" s="322"/>
      <c r="J866" s="322"/>
      <c r="K866" s="322"/>
      <c r="L866" s="322"/>
      <c r="M866" s="322"/>
      <c r="N866" s="322"/>
      <c r="O866" s="322"/>
      <c r="P866" s="322"/>
      <c r="Q866" s="322"/>
      <c r="R866" s="322"/>
      <c r="S866" s="322"/>
      <c r="T866" s="322"/>
      <c r="U866" s="322"/>
      <c r="V866" s="322"/>
      <c r="W866" s="322"/>
      <c r="X866" s="322"/>
      <c r="Y866" s="322"/>
      <c r="Z866" s="322"/>
    </row>
    <row r="867" ht="12.75" customHeight="1">
      <c r="A867" s="322"/>
      <c r="B867" s="322"/>
      <c r="C867" s="323"/>
      <c r="D867" s="324"/>
      <c r="E867" s="323"/>
      <c r="F867" s="324"/>
      <c r="G867" s="322"/>
      <c r="H867" s="322"/>
      <c r="I867" s="322"/>
      <c r="J867" s="322"/>
      <c r="K867" s="322"/>
      <c r="L867" s="322"/>
      <c r="M867" s="322"/>
      <c r="N867" s="322"/>
      <c r="O867" s="322"/>
      <c r="P867" s="322"/>
      <c r="Q867" s="322"/>
      <c r="R867" s="322"/>
      <c r="S867" s="322"/>
      <c r="T867" s="322"/>
      <c r="U867" s="322"/>
      <c r="V867" s="322"/>
      <c r="W867" s="322"/>
      <c r="X867" s="322"/>
      <c r="Y867" s="322"/>
      <c r="Z867" s="322"/>
    </row>
    <row r="868" ht="12.75" customHeight="1">
      <c r="A868" s="322"/>
      <c r="B868" s="322"/>
      <c r="C868" s="323"/>
      <c r="D868" s="324"/>
      <c r="E868" s="323"/>
      <c r="F868" s="324"/>
      <c r="G868" s="322"/>
      <c r="H868" s="322"/>
      <c r="I868" s="322"/>
      <c r="J868" s="322"/>
      <c r="K868" s="322"/>
      <c r="L868" s="322"/>
      <c r="M868" s="322"/>
      <c r="N868" s="322"/>
      <c r="O868" s="322"/>
      <c r="P868" s="322"/>
      <c r="Q868" s="322"/>
      <c r="R868" s="322"/>
      <c r="S868" s="322"/>
      <c r="T868" s="322"/>
      <c r="U868" s="322"/>
      <c r="V868" s="322"/>
      <c r="W868" s="322"/>
      <c r="X868" s="322"/>
      <c r="Y868" s="322"/>
      <c r="Z868" s="322"/>
    </row>
    <row r="869" ht="12.75" customHeight="1">
      <c r="A869" s="322"/>
      <c r="B869" s="322"/>
      <c r="C869" s="323"/>
      <c r="D869" s="324"/>
      <c r="E869" s="323"/>
      <c r="F869" s="324"/>
      <c r="G869" s="322"/>
      <c r="H869" s="322"/>
      <c r="I869" s="322"/>
      <c r="J869" s="322"/>
      <c r="K869" s="322"/>
      <c r="L869" s="322"/>
      <c r="M869" s="322"/>
      <c r="N869" s="322"/>
      <c r="O869" s="322"/>
      <c r="P869" s="322"/>
      <c r="Q869" s="322"/>
      <c r="R869" s="322"/>
      <c r="S869" s="322"/>
      <c r="T869" s="322"/>
      <c r="U869" s="322"/>
      <c r="V869" s="322"/>
      <c r="W869" s="322"/>
      <c r="X869" s="322"/>
      <c r="Y869" s="322"/>
      <c r="Z869" s="322"/>
    </row>
    <row r="870" ht="12.75" customHeight="1">
      <c r="A870" s="322"/>
      <c r="B870" s="322"/>
      <c r="C870" s="323"/>
      <c r="D870" s="324"/>
      <c r="E870" s="323"/>
      <c r="F870" s="324"/>
      <c r="G870" s="322"/>
      <c r="H870" s="322"/>
      <c r="I870" s="322"/>
      <c r="J870" s="322"/>
      <c r="K870" s="322"/>
      <c r="L870" s="322"/>
      <c r="M870" s="322"/>
      <c r="N870" s="322"/>
      <c r="O870" s="322"/>
      <c r="P870" s="322"/>
      <c r="Q870" s="322"/>
      <c r="R870" s="322"/>
      <c r="S870" s="322"/>
      <c r="T870" s="322"/>
      <c r="U870" s="322"/>
      <c r="V870" s="322"/>
      <c r="W870" s="322"/>
      <c r="X870" s="322"/>
      <c r="Y870" s="322"/>
      <c r="Z870" s="322"/>
    </row>
    <row r="871" ht="12.75" customHeight="1">
      <c r="A871" s="322"/>
      <c r="B871" s="322"/>
      <c r="C871" s="323"/>
      <c r="D871" s="324"/>
      <c r="E871" s="323"/>
      <c r="F871" s="324"/>
      <c r="G871" s="322"/>
      <c r="H871" s="322"/>
      <c r="I871" s="322"/>
      <c r="J871" s="322"/>
      <c r="K871" s="322"/>
      <c r="L871" s="322"/>
      <c r="M871" s="322"/>
      <c r="N871" s="322"/>
      <c r="O871" s="322"/>
      <c r="P871" s="322"/>
      <c r="Q871" s="322"/>
      <c r="R871" s="322"/>
      <c r="S871" s="322"/>
      <c r="T871" s="322"/>
      <c r="U871" s="322"/>
      <c r="V871" s="322"/>
      <c r="W871" s="322"/>
      <c r="X871" s="322"/>
      <c r="Y871" s="322"/>
      <c r="Z871" s="322"/>
    </row>
    <row r="872" ht="12.75" customHeight="1">
      <c r="A872" s="322"/>
      <c r="B872" s="322"/>
      <c r="C872" s="323"/>
      <c r="D872" s="324"/>
      <c r="E872" s="323"/>
      <c r="F872" s="324"/>
      <c r="G872" s="322"/>
      <c r="H872" s="322"/>
      <c r="I872" s="322"/>
      <c r="J872" s="322"/>
      <c r="K872" s="322"/>
      <c r="L872" s="322"/>
      <c r="M872" s="322"/>
      <c r="N872" s="322"/>
      <c r="O872" s="322"/>
      <c r="P872" s="322"/>
      <c r="Q872" s="322"/>
      <c r="R872" s="322"/>
      <c r="S872" s="322"/>
      <c r="T872" s="322"/>
      <c r="U872" s="322"/>
      <c r="V872" s="322"/>
      <c r="W872" s="322"/>
      <c r="X872" s="322"/>
      <c r="Y872" s="322"/>
      <c r="Z872" s="322"/>
    </row>
    <row r="873" ht="12.75" customHeight="1">
      <c r="A873" s="322"/>
      <c r="B873" s="322"/>
      <c r="C873" s="323"/>
      <c r="D873" s="324"/>
      <c r="E873" s="323"/>
      <c r="F873" s="324"/>
      <c r="G873" s="322"/>
      <c r="H873" s="322"/>
      <c r="I873" s="322"/>
      <c r="J873" s="322"/>
      <c r="K873" s="322"/>
      <c r="L873" s="322"/>
      <c r="M873" s="322"/>
      <c r="N873" s="322"/>
      <c r="O873" s="322"/>
      <c r="P873" s="322"/>
      <c r="Q873" s="322"/>
      <c r="R873" s="322"/>
      <c r="S873" s="322"/>
      <c r="T873" s="322"/>
      <c r="U873" s="322"/>
      <c r="V873" s="322"/>
      <c r="W873" s="322"/>
      <c r="X873" s="322"/>
      <c r="Y873" s="322"/>
      <c r="Z873" s="322"/>
    </row>
    <row r="874" ht="12.75" customHeight="1">
      <c r="A874" s="322"/>
      <c r="B874" s="322"/>
      <c r="C874" s="323"/>
      <c r="D874" s="324"/>
      <c r="E874" s="323"/>
      <c r="F874" s="324"/>
      <c r="G874" s="322"/>
      <c r="H874" s="322"/>
      <c r="I874" s="322"/>
      <c r="J874" s="322"/>
      <c r="K874" s="322"/>
      <c r="L874" s="322"/>
      <c r="M874" s="322"/>
      <c r="N874" s="322"/>
      <c r="O874" s="322"/>
      <c r="P874" s="322"/>
      <c r="Q874" s="322"/>
      <c r="R874" s="322"/>
      <c r="S874" s="322"/>
      <c r="T874" s="322"/>
      <c r="U874" s="322"/>
      <c r="V874" s="322"/>
      <c r="W874" s="322"/>
      <c r="X874" s="322"/>
      <c r="Y874" s="322"/>
      <c r="Z874" s="322"/>
    </row>
    <row r="875" ht="12.75" customHeight="1">
      <c r="A875" s="322"/>
      <c r="B875" s="322"/>
      <c r="C875" s="323"/>
      <c r="D875" s="324"/>
      <c r="E875" s="323"/>
      <c r="F875" s="324"/>
      <c r="G875" s="322"/>
      <c r="H875" s="322"/>
      <c r="I875" s="322"/>
      <c r="J875" s="322"/>
      <c r="K875" s="322"/>
      <c r="L875" s="322"/>
      <c r="M875" s="322"/>
      <c r="N875" s="322"/>
      <c r="O875" s="322"/>
      <c r="P875" s="322"/>
      <c r="Q875" s="322"/>
      <c r="R875" s="322"/>
      <c r="S875" s="322"/>
      <c r="T875" s="322"/>
      <c r="U875" s="322"/>
      <c r="V875" s="322"/>
      <c r="W875" s="322"/>
      <c r="X875" s="322"/>
      <c r="Y875" s="322"/>
      <c r="Z875" s="322"/>
    </row>
    <row r="876" ht="12.75" customHeight="1">
      <c r="A876" s="322"/>
      <c r="B876" s="322"/>
      <c r="C876" s="323"/>
      <c r="D876" s="324"/>
      <c r="E876" s="323"/>
      <c r="F876" s="324"/>
      <c r="G876" s="322"/>
      <c r="H876" s="322"/>
      <c r="I876" s="322"/>
      <c r="J876" s="322"/>
      <c r="K876" s="322"/>
      <c r="L876" s="322"/>
      <c r="M876" s="322"/>
      <c r="N876" s="322"/>
      <c r="O876" s="322"/>
      <c r="P876" s="322"/>
      <c r="Q876" s="322"/>
      <c r="R876" s="322"/>
      <c r="S876" s="322"/>
      <c r="T876" s="322"/>
      <c r="U876" s="322"/>
      <c r="V876" s="322"/>
      <c r="W876" s="322"/>
      <c r="X876" s="322"/>
      <c r="Y876" s="322"/>
      <c r="Z876" s="322"/>
    </row>
    <row r="877" ht="12.75" customHeight="1">
      <c r="A877" s="322"/>
      <c r="B877" s="322"/>
      <c r="C877" s="323"/>
      <c r="D877" s="324"/>
      <c r="E877" s="323"/>
      <c r="F877" s="324"/>
      <c r="G877" s="322"/>
      <c r="H877" s="322"/>
      <c r="I877" s="322"/>
      <c r="J877" s="322"/>
      <c r="K877" s="322"/>
      <c r="L877" s="322"/>
      <c r="M877" s="322"/>
      <c r="N877" s="322"/>
      <c r="O877" s="322"/>
      <c r="P877" s="322"/>
      <c r="Q877" s="322"/>
      <c r="R877" s="322"/>
      <c r="S877" s="322"/>
      <c r="T877" s="322"/>
      <c r="U877" s="322"/>
      <c r="V877" s="322"/>
      <c r="W877" s="322"/>
      <c r="X877" s="322"/>
      <c r="Y877" s="322"/>
      <c r="Z877" s="322"/>
    </row>
    <row r="878" ht="12.75" customHeight="1">
      <c r="A878" s="322"/>
      <c r="B878" s="322"/>
      <c r="C878" s="323"/>
      <c r="D878" s="324"/>
      <c r="E878" s="323"/>
      <c r="F878" s="324"/>
      <c r="G878" s="322"/>
      <c r="H878" s="322"/>
      <c r="I878" s="322"/>
      <c r="J878" s="322"/>
      <c r="K878" s="322"/>
      <c r="L878" s="322"/>
      <c r="M878" s="322"/>
      <c r="N878" s="322"/>
      <c r="O878" s="322"/>
      <c r="P878" s="322"/>
      <c r="Q878" s="322"/>
      <c r="R878" s="322"/>
      <c r="S878" s="322"/>
      <c r="T878" s="322"/>
      <c r="U878" s="322"/>
      <c r="V878" s="322"/>
      <c r="W878" s="322"/>
      <c r="X878" s="322"/>
      <c r="Y878" s="322"/>
      <c r="Z878" s="322"/>
    </row>
    <row r="879" ht="12.75" customHeight="1">
      <c r="A879" s="322"/>
      <c r="B879" s="322"/>
      <c r="C879" s="323"/>
      <c r="D879" s="324"/>
      <c r="E879" s="323"/>
      <c r="F879" s="324"/>
      <c r="G879" s="322"/>
      <c r="H879" s="322"/>
      <c r="I879" s="322"/>
      <c r="J879" s="322"/>
      <c r="K879" s="322"/>
      <c r="L879" s="322"/>
      <c r="M879" s="322"/>
      <c r="N879" s="322"/>
      <c r="O879" s="322"/>
      <c r="P879" s="322"/>
      <c r="Q879" s="322"/>
      <c r="R879" s="322"/>
      <c r="S879" s="322"/>
      <c r="T879" s="322"/>
      <c r="U879" s="322"/>
      <c r="V879" s="322"/>
      <c r="W879" s="322"/>
      <c r="X879" s="322"/>
      <c r="Y879" s="322"/>
      <c r="Z879" s="322"/>
    </row>
    <row r="880" ht="12.75" customHeight="1">
      <c r="A880" s="322"/>
      <c r="B880" s="322"/>
      <c r="C880" s="323"/>
      <c r="D880" s="324"/>
      <c r="E880" s="323"/>
      <c r="F880" s="324"/>
      <c r="G880" s="322"/>
      <c r="H880" s="322"/>
      <c r="I880" s="322"/>
      <c r="J880" s="322"/>
      <c r="K880" s="322"/>
      <c r="L880" s="322"/>
      <c r="M880" s="322"/>
      <c r="N880" s="322"/>
      <c r="O880" s="322"/>
      <c r="P880" s="322"/>
      <c r="Q880" s="322"/>
      <c r="R880" s="322"/>
      <c r="S880" s="322"/>
      <c r="T880" s="322"/>
      <c r="U880" s="322"/>
      <c r="V880" s="322"/>
      <c r="W880" s="322"/>
      <c r="X880" s="322"/>
      <c r="Y880" s="322"/>
      <c r="Z880" s="322"/>
    </row>
    <row r="881" ht="12.75" customHeight="1">
      <c r="A881" s="322"/>
      <c r="B881" s="322"/>
      <c r="C881" s="323"/>
      <c r="D881" s="324"/>
      <c r="E881" s="323"/>
      <c r="F881" s="324"/>
      <c r="G881" s="322"/>
      <c r="H881" s="322"/>
      <c r="I881" s="322"/>
      <c r="J881" s="322"/>
      <c r="K881" s="322"/>
      <c r="L881" s="322"/>
      <c r="M881" s="322"/>
      <c r="N881" s="322"/>
      <c r="O881" s="322"/>
      <c r="P881" s="322"/>
      <c r="Q881" s="322"/>
      <c r="R881" s="322"/>
      <c r="S881" s="322"/>
      <c r="T881" s="322"/>
      <c r="U881" s="322"/>
      <c r="V881" s="322"/>
      <c r="W881" s="322"/>
      <c r="X881" s="322"/>
      <c r="Y881" s="322"/>
      <c r="Z881" s="322"/>
    </row>
    <row r="882" ht="12.75" customHeight="1">
      <c r="A882" s="322"/>
      <c r="B882" s="322"/>
      <c r="C882" s="323"/>
      <c r="D882" s="324"/>
      <c r="E882" s="323"/>
      <c r="F882" s="324"/>
      <c r="G882" s="322"/>
      <c r="H882" s="322"/>
      <c r="I882" s="322"/>
      <c r="J882" s="322"/>
      <c r="K882" s="322"/>
      <c r="L882" s="322"/>
      <c r="M882" s="322"/>
      <c r="N882" s="322"/>
      <c r="O882" s="322"/>
      <c r="P882" s="322"/>
      <c r="Q882" s="322"/>
      <c r="R882" s="322"/>
      <c r="S882" s="322"/>
      <c r="T882" s="322"/>
      <c r="U882" s="322"/>
      <c r="V882" s="322"/>
      <c r="W882" s="322"/>
      <c r="X882" s="322"/>
      <c r="Y882" s="322"/>
      <c r="Z882" s="322"/>
    </row>
    <row r="883" ht="12.75" customHeight="1">
      <c r="A883" s="322"/>
      <c r="B883" s="322"/>
      <c r="C883" s="323"/>
      <c r="D883" s="324"/>
      <c r="E883" s="323"/>
      <c r="F883" s="324"/>
      <c r="G883" s="322"/>
      <c r="H883" s="322"/>
      <c r="I883" s="322"/>
      <c r="J883" s="322"/>
      <c r="K883" s="322"/>
      <c r="L883" s="322"/>
      <c r="M883" s="322"/>
      <c r="N883" s="322"/>
      <c r="O883" s="322"/>
      <c r="P883" s="322"/>
      <c r="Q883" s="322"/>
      <c r="R883" s="322"/>
      <c r="S883" s="322"/>
      <c r="T883" s="322"/>
      <c r="U883" s="322"/>
      <c r="V883" s="322"/>
      <c r="W883" s="322"/>
      <c r="X883" s="322"/>
      <c r="Y883" s="322"/>
      <c r="Z883" s="322"/>
    </row>
    <row r="884" ht="12.75" customHeight="1">
      <c r="A884" s="322"/>
      <c r="B884" s="322"/>
      <c r="C884" s="323"/>
      <c r="D884" s="324"/>
      <c r="E884" s="323"/>
      <c r="F884" s="324"/>
      <c r="G884" s="322"/>
      <c r="H884" s="322"/>
      <c r="I884" s="322"/>
      <c r="J884" s="322"/>
      <c r="K884" s="322"/>
      <c r="L884" s="322"/>
      <c r="M884" s="322"/>
      <c r="N884" s="322"/>
      <c r="O884" s="322"/>
      <c r="P884" s="322"/>
      <c r="Q884" s="322"/>
      <c r="R884" s="322"/>
      <c r="S884" s="322"/>
      <c r="T884" s="322"/>
      <c r="U884" s="322"/>
      <c r="V884" s="322"/>
      <c r="W884" s="322"/>
      <c r="X884" s="322"/>
      <c r="Y884" s="322"/>
      <c r="Z884" s="322"/>
    </row>
    <row r="885" ht="12.75" customHeight="1">
      <c r="A885" s="322"/>
      <c r="B885" s="322"/>
      <c r="C885" s="323"/>
      <c r="D885" s="324"/>
      <c r="E885" s="323"/>
      <c r="F885" s="324"/>
      <c r="G885" s="322"/>
      <c r="H885" s="322"/>
      <c r="I885" s="322"/>
      <c r="J885" s="322"/>
      <c r="K885" s="322"/>
      <c r="L885" s="322"/>
      <c r="M885" s="322"/>
      <c r="N885" s="322"/>
      <c r="O885" s="322"/>
      <c r="P885" s="322"/>
      <c r="Q885" s="322"/>
      <c r="R885" s="322"/>
      <c r="S885" s="322"/>
      <c r="T885" s="322"/>
      <c r="U885" s="322"/>
      <c r="V885" s="322"/>
      <c r="W885" s="322"/>
      <c r="X885" s="322"/>
      <c r="Y885" s="322"/>
      <c r="Z885" s="322"/>
    </row>
    <row r="886" ht="12.75" customHeight="1">
      <c r="A886" s="322"/>
      <c r="B886" s="322"/>
      <c r="C886" s="323"/>
      <c r="D886" s="324"/>
      <c r="E886" s="323"/>
      <c r="F886" s="324"/>
      <c r="G886" s="322"/>
      <c r="H886" s="322"/>
      <c r="I886" s="322"/>
      <c r="J886" s="322"/>
      <c r="K886" s="322"/>
      <c r="L886" s="322"/>
      <c r="M886" s="322"/>
      <c r="N886" s="322"/>
      <c r="O886" s="322"/>
      <c r="P886" s="322"/>
      <c r="Q886" s="322"/>
      <c r="R886" s="322"/>
      <c r="S886" s="322"/>
      <c r="T886" s="322"/>
      <c r="U886" s="322"/>
      <c r="V886" s="322"/>
      <c r="W886" s="322"/>
      <c r="X886" s="322"/>
      <c r="Y886" s="322"/>
      <c r="Z886" s="322"/>
    </row>
    <row r="887" ht="12.75" customHeight="1">
      <c r="A887" s="322"/>
      <c r="B887" s="322"/>
      <c r="C887" s="323"/>
      <c r="D887" s="324"/>
      <c r="E887" s="323"/>
      <c r="F887" s="324"/>
      <c r="G887" s="322"/>
      <c r="H887" s="322"/>
      <c r="I887" s="322"/>
      <c r="J887" s="322"/>
      <c r="K887" s="322"/>
      <c r="L887" s="322"/>
      <c r="M887" s="322"/>
      <c r="N887" s="322"/>
      <c r="O887" s="322"/>
      <c r="P887" s="322"/>
      <c r="Q887" s="322"/>
      <c r="R887" s="322"/>
      <c r="S887" s="322"/>
      <c r="T887" s="322"/>
      <c r="U887" s="322"/>
      <c r="V887" s="322"/>
      <c r="W887" s="322"/>
      <c r="X887" s="322"/>
      <c r="Y887" s="322"/>
      <c r="Z887" s="322"/>
    </row>
    <row r="888" ht="12.75" customHeight="1">
      <c r="A888" s="322"/>
      <c r="B888" s="322"/>
      <c r="C888" s="323"/>
      <c r="D888" s="324"/>
      <c r="E888" s="323"/>
      <c r="F888" s="324"/>
      <c r="G888" s="322"/>
      <c r="H888" s="322"/>
      <c r="I888" s="322"/>
      <c r="J888" s="322"/>
      <c r="K888" s="322"/>
      <c r="L888" s="322"/>
      <c r="M888" s="322"/>
      <c r="N888" s="322"/>
      <c r="O888" s="322"/>
      <c r="P888" s="322"/>
      <c r="Q888" s="322"/>
      <c r="R888" s="322"/>
      <c r="S888" s="322"/>
      <c r="T888" s="322"/>
      <c r="U888" s="322"/>
      <c r="V888" s="322"/>
      <c r="W888" s="322"/>
      <c r="X888" s="322"/>
      <c r="Y888" s="322"/>
      <c r="Z888" s="322"/>
    </row>
    <row r="889" ht="12.75" customHeight="1">
      <c r="A889" s="322"/>
      <c r="B889" s="322"/>
      <c r="C889" s="323"/>
      <c r="D889" s="324"/>
      <c r="E889" s="323"/>
      <c r="F889" s="324"/>
      <c r="G889" s="322"/>
      <c r="H889" s="322"/>
      <c r="I889" s="322"/>
      <c r="J889" s="322"/>
      <c r="K889" s="322"/>
      <c r="L889" s="322"/>
      <c r="M889" s="322"/>
      <c r="N889" s="322"/>
      <c r="O889" s="322"/>
      <c r="P889" s="322"/>
      <c r="Q889" s="322"/>
      <c r="R889" s="322"/>
      <c r="S889" s="322"/>
      <c r="T889" s="322"/>
      <c r="U889" s="322"/>
      <c r="V889" s="322"/>
      <c r="W889" s="322"/>
      <c r="X889" s="322"/>
      <c r="Y889" s="322"/>
      <c r="Z889" s="322"/>
    </row>
    <row r="890" ht="12.75" customHeight="1">
      <c r="A890" s="322"/>
      <c r="B890" s="322"/>
      <c r="C890" s="323"/>
      <c r="D890" s="324"/>
      <c r="E890" s="323"/>
      <c r="F890" s="324"/>
      <c r="G890" s="322"/>
      <c r="H890" s="322"/>
      <c r="I890" s="322"/>
      <c r="J890" s="322"/>
      <c r="K890" s="322"/>
      <c r="L890" s="322"/>
      <c r="M890" s="322"/>
      <c r="N890" s="322"/>
      <c r="O890" s="322"/>
      <c r="P890" s="322"/>
      <c r="Q890" s="322"/>
      <c r="R890" s="322"/>
      <c r="S890" s="322"/>
      <c r="T890" s="322"/>
      <c r="U890" s="322"/>
      <c r="V890" s="322"/>
      <c r="W890" s="322"/>
      <c r="X890" s="322"/>
      <c r="Y890" s="322"/>
      <c r="Z890" s="322"/>
    </row>
    <row r="891" ht="12.75" customHeight="1">
      <c r="A891" s="322"/>
      <c r="B891" s="322"/>
      <c r="C891" s="323"/>
      <c r="D891" s="324"/>
      <c r="E891" s="323"/>
      <c r="F891" s="324"/>
      <c r="G891" s="322"/>
      <c r="H891" s="322"/>
      <c r="I891" s="322"/>
      <c r="J891" s="322"/>
      <c r="K891" s="322"/>
      <c r="L891" s="322"/>
      <c r="M891" s="322"/>
      <c r="N891" s="322"/>
      <c r="O891" s="322"/>
      <c r="P891" s="322"/>
      <c r="Q891" s="322"/>
      <c r="R891" s="322"/>
      <c r="S891" s="322"/>
      <c r="T891" s="322"/>
      <c r="U891" s="322"/>
      <c r="V891" s="322"/>
      <c r="W891" s="322"/>
      <c r="X891" s="322"/>
      <c r="Y891" s="322"/>
      <c r="Z891" s="322"/>
    </row>
    <row r="892" ht="12.75" customHeight="1">
      <c r="A892" s="322"/>
      <c r="B892" s="322"/>
      <c r="C892" s="323"/>
      <c r="D892" s="324"/>
      <c r="E892" s="323"/>
      <c r="F892" s="324"/>
      <c r="G892" s="322"/>
      <c r="H892" s="322"/>
      <c r="I892" s="322"/>
      <c r="J892" s="322"/>
      <c r="K892" s="322"/>
      <c r="L892" s="322"/>
      <c r="M892" s="322"/>
      <c r="N892" s="322"/>
      <c r="O892" s="322"/>
      <c r="P892" s="322"/>
      <c r="Q892" s="322"/>
      <c r="R892" s="322"/>
      <c r="S892" s="322"/>
      <c r="T892" s="322"/>
      <c r="U892" s="322"/>
      <c r="V892" s="322"/>
      <c r="W892" s="322"/>
      <c r="X892" s="322"/>
      <c r="Y892" s="322"/>
      <c r="Z892" s="322"/>
    </row>
    <row r="893" ht="12.75" customHeight="1">
      <c r="A893" s="322"/>
      <c r="B893" s="322"/>
      <c r="C893" s="323"/>
      <c r="D893" s="324"/>
      <c r="E893" s="323"/>
      <c r="F893" s="324"/>
      <c r="G893" s="322"/>
      <c r="H893" s="322"/>
      <c r="I893" s="322"/>
      <c r="J893" s="322"/>
      <c r="K893" s="322"/>
      <c r="L893" s="322"/>
      <c r="M893" s="322"/>
      <c r="N893" s="322"/>
      <c r="O893" s="322"/>
      <c r="P893" s="322"/>
      <c r="Q893" s="322"/>
      <c r="R893" s="322"/>
      <c r="S893" s="322"/>
      <c r="T893" s="322"/>
      <c r="U893" s="322"/>
      <c r="V893" s="322"/>
      <c r="W893" s="322"/>
      <c r="X893" s="322"/>
      <c r="Y893" s="322"/>
      <c r="Z893" s="322"/>
    </row>
    <row r="894" ht="12.75" customHeight="1">
      <c r="A894" s="322"/>
      <c r="B894" s="322"/>
      <c r="C894" s="323"/>
      <c r="D894" s="324"/>
      <c r="E894" s="323"/>
      <c r="F894" s="324"/>
      <c r="G894" s="322"/>
      <c r="H894" s="322"/>
      <c r="I894" s="322"/>
      <c r="J894" s="322"/>
      <c r="K894" s="322"/>
      <c r="L894" s="322"/>
      <c r="M894" s="322"/>
      <c r="N894" s="322"/>
      <c r="O894" s="322"/>
      <c r="P894" s="322"/>
      <c r="Q894" s="322"/>
      <c r="R894" s="322"/>
      <c r="S894" s="322"/>
      <c r="T894" s="322"/>
      <c r="U894" s="322"/>
      <c r="V894" s="322"/>
      <c r="W894" s="322"/>
      <c r="X894" s="322"/>
      <c r="Y894" s="322"/>
      <c r="Z894" s="322"/>
    </row>
    <row r="895" ht="12.75" customHeight="1">
      <c r="A895" s="322"/>
      <c r="B895" s="322"/>
      <c r="C895" s="323"/>
      <c r="D895" s="324"/>
      <c r="E895" s="323"/>
      <c r="F895" s="324"/>
      <c r="G895" s="322"/>
      <c r="H895" s="322"/>
      <c r="I895" s="322"/>
      <c r="J895" s="322"/>
      <c r="K895" s="322"/>
      <c r="L895" s="322"/>
      <c r="M895" s="322"/>
      <c r="N895" s="322"/>
      <c r="O895" s="322"/>
      <c r="P895" s="322"/>
      <c r="Q895" s="322"/>
      <c r="R895" s="322"/>
      <c r="S895" s="322"/>
      <c r="T895" s="322"/>
      <c r="U895" s="322"/>
      <c r="V895" s="322"/>
      <c r="W895" s="322"/>
      <c r="X895" s="322"/>
      <c r="Y895" s="322"/>
      <c r="Z895" s="322"/>
    </row>
    <row r="896" ht="12.75" customHeight="1">
      <c r="A896" s="322"/>
      <c r="B896" s="322"/>
      <c r="C896" s="323"/>
      <c r="D896" s="324"/>
      <c r="E896" s="323"/>
      <c r="F896" s="324"/>
      <c r="G896" s="322"/>
      <c r="H896" s="322"/>
      <c r="I896" s="322"/>
      <c r="J896" s="322"/>
      <c r="K896" s="322"/>
      <c r="L896" s="322"/>
      <c r="M896" s="322"/>
      <c r="N896" s="322"/>
      <c r="O896" s="322"/>
      <c r="P896" s="322"/>
      <c r="Q896" s="322"/>
      <c r="R896" s="322"/>
      <c r="S896" s="322"/>
      <c r="T896" s="322"/>
      <c r="U896" s="322"/>
      <c r="V896" s="322"/>
      <c r="W896" s="322"/>
      <c r="X896" s="322"/>
      <c r="Y896" s="322"/>
      <c r="Z896" s="322"/>
    </row>
    <row r="897" ht="12.75" customHeight="1">
      <c r="A897" s="322"/>
      <c r="B897" s="322"/>
      <c r="C897" s="323"/>
      <c r="D897" s="324"/>
      <c r="E897" s="323"/>
      <c r="F897" s="324"/>
      <c r="G897" s="322"/>
      <c r="H897" s="322"/>
      <c r="I897" s="322"/>
      <c r="J897" s="322"/>
      <c r="K897" s="322"/>
      <c r="L897" s="322"/>
      <c r="M897" s="322"/>
      <c r="N897" s="322"/>
      <c r="O897" s="322"/>
      <c r="P897" s="322"/>
      <c r="Q897" s="322"/>
      <c r="R897" s="322"/>
      <c r="S897" s="322"/>
      <c r="T897" s="322"/>
      <c r="U897" s="322"/>
      <c r="V897" s="322"/>
      <c r="W897" s="322"/>
      <c r="X897" s="322"/>
      <c r="Y897" s="322"/>
      <c r="Z897" s="322"/>
    </row>
    <row r="898" ht="12.75" customHeight="1">
      <c r="A898" s="322"/>
      <c r="B898" s="322"/>
      <c r="C898" s="323"/>
      <c r="D898" s="324"/>
      <c r="E898" s="323"/>
      <c r="F898" s="324"/>
      <c r="G898" s="322"/>
      <c r="H898" s="322"/>
      <c r="I898" s="322"/>
      <c r="J898" s="322"/>
      <c r="K898" s="322"/>
      <c r="L898" s="322"/>
      <c r="M898" s="322"/>
      <c r="N898" s="322"/>
      <c r="O898" s="322"/>
      <c r="P898" s="322"/>
      <c r="Q898" s="322"/>
      <c r="R898" s="322"/>
      <c r="S898" s="322"/>
      <c r="T898" s="322"/>
      <c r="U898" s="322"/>
      <c r="V898" s="322"/>
      <c r="W898" s="322"/>
      <c r="X898" s="322"/>
      <c r="Y898" s="322"/>
      <c r="Z898" s="322"/>
    </row>
    <row r="899" ht="12.75" customHeight="1">
      <c r="A899" s="322"/>
      <c r="B899" s="322"/>
      <c r="C899" s="323"/>
      <c r="D899" s="324"/>
      <c r="E899" s="323"/>
      <c r="F899" s="324"/>
      <c r="G899" s="322"/>
      <c r="H899" s="322"/>
      <c r="I899" s="322"/>
      <c r="J899" s="322"/>
      <c r="K899" s="322"/>
      <c r="L899" s="322"/>
      <c r="M899" s="322"/>
      <c r="N899" s="322"/>
      <c r="O899" s="322"/>
      <c r="P899" s="322"/>
      <c r="Q899" s="322"/>
      <c r="R899" s="322"/>
      <c r="S899" s="322"/>
      <c r="T899" s="322"/>
      <c r="U899" s="322"/>
      <c r="V899" s="322"/>
      <c r="W899" s="322"/>
      <c r="X899" s="322"/>
      <c r="Y899" s="322"/>
      <c r="Z899" s="322"/>
    </row>
    <row r="900" ht="12.75" customHeight="1">
      <c r="A900" s="322"/>
      <c r="B900" s="322"/>
      <c r="C900" s="323"/>
      <c r="D900" s="324"/>
      <c r="E900" s="323"/>
      <c r="F900" s="324"/>
      <c r="G900" s="322"/>
      <c r="H900" s="322"/>
      <c r="I900" s="322"/>
      <c r="J900" s="322"/>
      <c r="K900" s="322"/>
      <c r="L900" s="322"/>
      <c r="M900" s="322"/>
      <c r="N900" s="322"/>
      <c r="O900" s="322"/>
      <c r="P900" s="322"/>
      <c r="Q900" s="322"/>
      <c r="R900" s="322"/>
      <c r="S900" s="322"/>
      <c r="T900" s="322"/>
      <c r="U900" s="322"/>
      <c r="V900" s="322"/>
      <c r="W900" s="322"/>
      <c r="X900" s="322"/>
      <c r="Y900" s="322"/>
      <c r="Z900" s="322"/>
    </row>
    <row r="901" ht="12.75" customHeight="1">
      <c r="A901" s="322"/>
      <c r="B901" s="322"/>
      <c r="C901" s="323"/>
      <c r="D901" s="324"/>
      <c r="E901" s="323"/>
      <c r="F901" s="324"/>
      <c r="G901" s="322"/>
      <c r="H901" s="322"/>
      <c r="I901" s="322"/>
      <c r="J901" s="322"/>
      <c r="K901" s="322"/>
      <c r="L901" s="322"/>
      <c r="M901" s="322"/>
      <c r="N901" s="322"/>
      <c r="O901" s="322"/>
      <c r="P901" s="322"/>
      <c r="Q901" s="322"/>
      <c r="R901" s="322"/>
      <c r="S901" s="322"/>
      <c r="T901" s="322"/>
      <c r="U901" s="322"/>
      <c r="V901" s="322"/>
      <c r="W901" s="322"/>
      <c r="X901" s="322"/>
      <c r="Y901" s="322"/>
      <c r="Z901" s="322"/>
    </row>
    <row r="902" ht="12.75" customHeight="1">
      <c r="A902" s="322"/>
      <c r="B902" s="322"/>
      <c r="C902" s="323"/>
      <c r="D902" s="324"/>
      <c r="E902" s="323"/>
      <c r="F902" s="324"/>
      <c r="G902" s="322"/>
      <c r="H902" s="322"/>
      <c r="I902" s="322"/>
      <c r="J902" s="322"/>
      <c r="K902" s="322"/>
      <c r="L902" s="322"/>
      <c r="M902" s="322"/>
      <c r="N902" s="322"/>
      <c r="O902" s="322"/>
      <c r="P902" s="322"/>
      <c r="Q902" s="322"/>
      <c r="R902" s="322"/>
      <c r="S902" s="322"/>
      <c r="T902" s="322"/>
      <c r="U902" s="322"/>
      <c r="V902" s="322"/>
      <c r="W902" s="322"/>
      <c r="X902" s="322"/>
      <c r="Y902" s="322"/>
      <c r="Z902" s="322"/>
    </row>
    <row r="903" ht="12.75" customHeight="1">
      <c r="A903" s="322"/>
      <c r="B903" s="322"/>
      <c r="C903" s="323"/>
      <c r="D903" s="324"/>
      <c r="E903" s="323"/>
      <c r="F903" s="324"/>
      <c r="G903" s="322"/>
      <c r="H903" s="322"/>
      <c r="I903" s="322"/>
      <c r="J903" s="322"/>
      <c r="K903" s="322"/>
      <c r="L903" s="322"/>
      <c r="M903" s="322"/>
      <c r="N903" s="322"/>
      <c r="O903" s="322"/>
      <c r="P903" s="322"/>
      <c r="Q903" s="322"/>
      <c r="R903" s="322"/>
      <c r="S903" s="322"/>
      <c r="T903" s="322"/>
      <c r="U903" s="322"/>
      <c r="V903" s="322"/>
      <c r="W903" s="322"/>
      <c r="X903" s="322"/>
      <c r="Y903" s="322"/>
      <c r="Z903" s="322"/>
    </row>
    <row r="904" ht="12.75" customHeight="1">
      <c r="A904" s="322"/>
      <c r="B904" s="322"/>
      <c r="C904" s="323"/>
      <c r="D904" s="324"/>
      <c r="E904" s="323"/>
      <c r="F904" s="324"/>
      <c r="G904" s="322"/>
      <c r="H904" s="322"/>
      <c r="I904" s="322"/>
      <c r="J904" s="322"/>
      <c r="K904" s="322"/>
      <c r="L904" s="322"/>
      <c r="M904" s="322"/>
      <c r="N904" s="322"/>
      <c r="O904" s="322"/>
      <c r="P904" s="322"/>
      <c r="Q904" s="322"/>
      <c r="R904" s="322"/>
      <c r="S904" s="322"/>
      <c r="T904" s="322"/>
      <c r="U904" s="322"/>
      <c r="V904" s="322"/>
      <c r="W904" s="322"/>
      <c r="X904" s="322"/>
      <c r="Y904" s="322"/>
      <c r="Z904" s="322"/>
    </row>
    <row r="905" ht="12.75" customHeight="1">
      <c r="A905" s="322"/>
      <c r="B905" s="322"/>
      <c r="C905" s="323"/>
      <c r="D905" s="324"/>
      <c r="E905" s="323"/>
      <c r="F905" s="324"/>
      <c r="G905" s="322"/>
      <c r="H905" s="322"/>
      <c r="I905" s="322"/>
      <c r="J905" s="322"/>
      <c r="K905" s="322"/>
      <c r="L905" s="322"/>
      <c r="M905" s="322"/>
      <c r="N905" s="322"/>
      <c r="O905" s="322"/>
      <c r="P905" s="322"/>
      <c r="Q905" s="322"/>
      <c r="R905" s="322"/>
      <c r="S905" s="322"/>
      <c r="T905" s="322"/>
      <c r="U905" s="322"/>
      <c r="V905" s="322"/>
      <c r="W905" s="322"/>
      <c r="X905" s="322"/>
      <c r="Y905" s="322"/>
      <c r="Z905" s="322"/>
    </row>
    <row r="906" ht="12.75" customHeight="1">
      <c r="A906" s="322"/>
      <c r="B906" s="322"/>
      <c r="C906" s="323"/>
      <c r="D906" s="324"/>
      <c r="E906" s="323"/>
      <c r="F906" s="324"/>
      <c r="G906" s="322"/>
      <c r="H906" s="322"/>
      <c r="I906" s="322"/>
      <c r="J906" s="322"/>
      <c r="K906" s="322"/>
      <c r="L906" s="322"/>
      <c r="M906" s="322"/>
      <c r="N906" s="322"/>
      <c r="O906" s="322"/>
      <c r="P906" s="322"/>
      <c r="Q906" s="322"/>
      <c r="R906" s="322"/>
      <c r="S906" s="322"/>
      <c r="T906" s="322"/>
      <c r="U906" s="322"/>
      <c r="V906" s="322"/>
      <c r="W906" s="322"/>
      <c r="X906" s="322"/>
      <c r="Y906" s="322"/>
      <c r="Z906" s="322"/>
    </row>
    <row r="907" ht="12.75" customHeight="1">
      <c r="A907" s="322"/>
      <c r="B907" s="322"/>
      <c r="C907" s="323"/>
      <c r="D907" s="324"/>
      <c r="E907" s="323"/>
      <c r="F907" s="324"/>
      <c r="G907" s="322"/>
      <c r="H907" s="322"/>
      <c r="I907" s="322"/>
      <c r="J907" s="322"/>
      <c r="K907" s="322"/>
      <c r="L907" s="322"/>
      <c r="M907" s="322"/>
      <c r="N907" s="322"/>
      <c r="O907" s="322"/>
      <c r="P907" s="322"/>
      <c r="Q907" s="322"/>
      <c r="R907" s="322"/>
      <c r="S907" s="322"/>
      <c r="T907" s="322"/>
      <c r="U907" s="322"/>
      <c r="V907" s="322"/>
      <c r="W907" s="322"/>
      <c r="X907" s="322"/>
      <c r="Y907" s="322"/>
      <c r="Z907" s="322"/>
    </row>
    <row r="908" ht="12.75" customHeight="1">
      <c r="A908" s="322"/>
      <c r="B908" s="322"/>
      <c r="C908" s="323"/>
      <c r="D908" s="324"/>
      <c r="E908" s="323"/>
      <c r="F908" s="324"/>
      <c r="G908" s="322"/>
      <c r="H908" s="322"/>
      <c r="I908" s="322"/>
      <c r="J908" s="322"/>
      <c r="K908" s="322"/>
      <c r="L908" s="322"/>
      <c r="M908" s="322"/>
      <c r="N908" s="322"/>
      <c r="O908" s="322"/>
      <c r="P908" s="322"/>
      <c r="Q908" s="322"/>
      <c r="R908" s="322"/>
      <c r="S908" s="322"/>
      <c r="T908" s="322"/>
      <c r="U908" s="322"/>
      <c r="V908" s="322"/>
      <c r="W908" s="322"/>
      <c r="X908" s="322"/>
      <c r="Y908" s="322"/>
      <c r="Z908" s="322"/>
    </row>
    <row r="909" ht="12.75" customHeight="1">
      <c r="A909" s="322"/>
      <c r="B909" s="322"/>
      <c r="C909" s="323"/>
      <c r="D909" s="324"/>
      <c r="E909" s="323"/>
      <c r="F909" s="324"/>
      <c r="G909" s="322"/>
      <c r="H909" s="322"/>
      <c r="I909" s="322"/>
      <c r="J909" s="322"/>
      <c r="K909" s="322"/>
      <c r="L909" s="322"/>
      <c r="M909" s="322"/>
      <c r="N909" s="322"/>
      <c r="O909" s="322"/>
      <c r="P909" s="322"/>
      <c r="Q909" s="322"/>
      <c r="R909" s="322"/>
      <c r="S909" s="322"/>
      <c r="T909" s="322"/>
      <c r="U909" s="322"/>
      <c r="V909" s="322"/>
      <c r="W909" s="322"/>
      <c r="X909" s="322"/>
      <c r="Y909" s="322"/>
      <c r="Z909" s="322"/>
    </row>
    <row r="910" ht="12.75" customHeight="1">
      <c r="A910" s="322"/>
      <c r="B910" s="322"/>
      <c r="C910" s="323"/>
      <c r="D910" s="324"/>
      <c r="E910" s="323"/>
      <c r="F910" s="324"/>
      <c r="G910" s="322"/>
      <c r="H910" s="322"/>
      <c r="I910" s="322"/>
      <c r="J910" s="322"/>
      <c r="K910" s="322"/>
      <c r="L910" s="322"/>
      <c r="M910" s="322"/>
      <c r="N910" s="322"/>
      <c r="O910" s="322"/>
      <c r="P910" s="322"/>
      <c r="Q910" s="322"/>
      <c r="R910" s="322"/>
      <c r="S910" s="322"/>
      <c r="T910" s="322"/>
      <c r="U910" s="322"/>
      <c r="V910" s="322"/>
      <c r="W910" s="322"/>
      <c r="X910" s="322"/>
      <c r="Y910" s="322"/>
      <c r="Z910" s="322"/>
    </row>
    <row r="911" ht="12.75" customHeight="1">
      <c r="A911" s="322"/>
      <c r="B911" s="322"/>
      <c r="C911" s="323"/>
      <c r="D911" s="324"/>
      <c r="E911" s="323"/>
      <c r="F911" s="324"/>
      <c r="G911" s="322"/>
      <c r="H911" s="322"/>
      <c r="I911" s="322"/>
      <c r="J911" s="322"/>
      <c r="K911" s="322"/>
      <c r="L911" s="322"/>
      <c r="M911" s="322"/>
      <c r="N911" s="322"/>
      <c r="O911" s="322"/>
      <c r="P911" s="322"/>
      <c r="Q911" s="322"/>
      <c r="R911" s="322"/>
      <c r="S911" s="322"/>
      <c r="T911" s="322"/>
      <c r="U911" s="322"/>
      <c r="V911" s="322"/>
      <c r="W911" s="322"/>
      <c r="X911" s="322"/>
      <c r="Y911" s="322"/>
      <c r="Z911" s="322"/>
    </row>
    <row r="912" ht="12.75" customHeight="1">
      <c r="A912" s="322"/>
      <c r="B912" s="322"/>
      <c r="C912" s="323"/>
      <c r="D912" s="324"/>
      <c r="E912" s="323"/>
      <c r="F912" s="324"/>
      <c r="G912" s="322"/>
      <c r="H912" s="322"/>
      <c r="I912" s="322"/>
      <c r="J912" s="322"/>
      <c r="K912" s="322"/>
      <c r="L912" s="322"/>
      <c r="M912" s="322"/>
      <c r="N912" s="322"/>
      <c r="O912" s="322"/>
      <c r="P912" s="322"/>
      <c r="Q912" s="322"/>
      <c r="R912" s="322"/>
      <c r="S912" s="322"/>
      <c r="T912" s="322"/>
      <c r="U912" s="322"/>
      <c r="V912" s="322"/>
      <c r="W912" s="322"/>
      <c r="X912" s="322"/>
      <c r="Y912" s="322"/>
      <c r="Z912" s="322"/>
    </row>
    <row r="913" ht="12.75" customHeight="1">
      <c r="A913" s="322"/>
      <c r="B913" s="322"/>
      <c r="C913" s="323"/>
      <c r="D913" s="324"/>
      <c r="E913" s="323"/>
      <c r="F913" s="324"/>
      <c r="G913" s="322"/>
      <c r="H913" s="322"/>
      <c r="I913" s="322"/>
      <c r="J913" s="322"/>
      <c r="K913" s="322"/>
      <c r="L913" s="322"/>
      <c r="M913" s="322"/>
      <c r="N913" s="322"/>
      <c r="O913" s="322"/>
      <c r="P913" s="322"/>
      <c r="Q913" s="322"/>
      <c r="R913" s="322"/>
      <c r="S913" s="322"/>
      <c r="T913" s="322"/>
      <c r="U913" s="322"/>
      <c r="V913" s="322"/>
      <c r="W913" s="322"/>
      <c r="X913" s="322"/>
      <c r="Y913" s="322"/>
      <c r="Z913" s="322"/>
    </row>
    <row r="914" ht="12.75" customHeight="1">
      <c r="A914" s="322"/>
      <c r="B914" s="322"/>
      <c r="C914" s="323"/>
      <c r="D914" s="324"/>
      <c r="E914" s="323"/>
      <c r="F914" s="324"/>
      <c r="G914" s="322"/>
      <c r="H914" s="322"/>
      <c r="I914" s="322"/>
      <c r="J914" s="322"/>
      <c r="K914" s="322"/>
      <c r="L914" s="322"/>
      <c r="M914" s="322"/>
      <c r="N914" s="322"/>
      <c r="O914" s="322"/>
      <c r="P914" s="322"/>
      <c r="Q914" s="322"/>
      <c r="R914" s="322"/>
      <c r="S914" s="322"/>
      <c r="T914" s="322"/>
      <c r="U914" s="322"/>
      <c r="V914" s="322"/>
      <c r="W914" s="322"/>
      <c r="X914" s="322"/>
      <c r="Y914" s="322"/>
      <c r="Z914" s="322"/>
    </row>
    <row r="915" ht="12.75" customHeight="1">
      <c r="A915" s="322"/>
      <c r="B915" s="322"/>
      <c r="C915" s="323"/>
      <c r="D915" s="324"/>
      <c r="E915" s="323"/>
      <c r="F915" s="324"/>
      <c r="G915" s="322"/>
      <c r="H915" s="322"/>
      <c r="I915" s="322"/>
      <c r="J915" s="322"/>
      <c r="K915" s="322"/>
      <c r="L915" s="322"/>
      <c r="M915" s="322"/>
      <c r="N915" s="322"/>
      <c r="O915" s="322"/>
      <c r="P915" s="322"/>
      <c r="Q915" s="322"/>
      <c r="R915" s="322"/>
      <c r="S915" s="322"/>
      <c r="T915" s="322"/>
      <c r="U915" s="322"/>
      <c r="V915" s="322"/>
      <c r="W915" s="322"/>
      <c r="X915" s="322"/>
      <c r="Y915" s="322"/>
      <c r="Z915" s="322"/>
    </row>
    <row r="916" ht="12.75" customHeight="1">
      <c r="A916" s="322"/>
      <c r="B916" s="322"/>
      <c r="C916" s="323"/>
      <c r="D916" s="324"/>
      <c r="E916" s="323"/>
      <c r="F916" s="324"/>
      <c r="G916" s="322"/>
      <c r="H916" s="322"/>
      <c r="I916" s="322"/>
      <c r="J916" s="322"/>
      <c r="K916" s="322"/>
      <c r="L916" s="322"/>
      <c r="M916" s="322"/>
      <c r="N916" s="322"/>
      <c r="O916" s="322"/>
      <c r="P916" s="322"/>
      <c r="Q916" s="322"/>
      <c r="R916" s="322"/>
      <c r="S916" s="322"/>
      <c r="T916" s="322"/>
      <c r="U916" s="322"/>
      <c r="V916" s="322"/>
      <c r="W916" s="322"/>
      <c r="X916" s="322"/>
      <c r="Y916" s="322"/>
      <c r="Z916" s="322"/>
    </row>
    <row r="917" ht="12.75" customHeight="1">
      <c r="A917" s="322"/>
      <c r="B917" s="322"/>
      <c r="C917" s="323"/>
      <c r="D917" s="324"/>
      <c r="E917" s="323"/>
      <c r="F917" s="324"/>
      <c r="G917" s="322"/>
      <c r="H917" s="322"/>
      <c r="I917" s="322"/>
      <c r="J917" s="322"/>
      <c r="K917" s="322"/>
      <c r="L917" s="322"/>
      <c r="M917" s="322"/>
      <c r="N917" s="322"/>
      <c r="O917" s="322"/>
      <c r="P917" s="322"/>
      <c r="Q917" s="322"/>
      <c r="R917" s="322"/>
      <c r="S917" s="322"/>
      <c r="T917" s="322"/>
      <c r="U917" s="322"/>
      <c r="V917" s="322"/>
      <c r="W917" s="322"/>
      <c r="X917" s="322"/>
      <c r="Y917" s="322"/>
      <c r="Z917" s="322"/>
    </row>
    <row r="918" ht="12.75" customHeight="1">
      <c r="A918" s="322"/>
      <c r="B918" s="322"/>
      <c r="C918" s="323"/>
      <c r="D918" s="324"/>
      <c r="E918" s="323"/>
      <c r="F918" s="324"/>
      <c r="G918" s="322"/>
      <c r="H918" s="322"/>
      <c r="I918" s="322"/>
      <c r="J918" s="322"/>
      <c r="K918" s="322"/>
      <c r="L918" s="322"/>
      <c r="M918" s="322"/>
      <c r="N918" s="322"/>
      <c r="O918" s="322"/>
      <c r="P918" s="322"/>
      <c r="Q918" s="322"/>
      <c r="R918" s="322"/>
      <c r="S918" s="322"/>
      <c r="T918" s="322"/>
      <c r="U918" s="322"/>
      <c r="V918" s="322"/>
      <c r="W918" s="322"/>
      <c r="X918" s="322"/>
      <c r="Y918" s="322"/>
      <c r="Z918" s="322"/>
    </row>
    <row r="919" ht="12.75" customHeight="1">
      <c r="A919" s="322"/>
      <c r="B919" s="322"/>
      <c r="C919" s="323"/>
      <c r="D919" s="324"/>
      <c r="E919" s="323"/>
      <c r="F919" s="324"/>
      <c r="G919" s="322"/>
      <c r="H919" s="322"/>
      <c r="I919" s="322"/>
      <c r="J919" s="322"/>
      <c r="K919" s="322"/>
      <c r="L919" s="322"/>
      <c r="M919" s="322"/>
      <c r="N919" s="322"/>
      <c r="O919" s="322"/>
      <c r="P919" s="322"/>
      <c r="Q919" s="322"/>
      <c r="R919" s="322"/>
      <c r="S919" s="322"/>
      <c r="T919" s="322"/>
      <c r="U919" s="322"/>
      <c r="V919" s="322"/>
      <c r="W919" s="322"/>
      <c r="X919" s="322"/>
      <c r="Y919" s="322"/>
      <c r="Z919" s="322"/>
    </row>
    <row r="920" ht="12.75" customHeight="1">
      <c r="A920" s="322"/>
      <c r="B920" s="322"/>
      <c r="C920" s="323"/>
      <c r="D920" s="324"/>
      <c r="E920" s="323"/>
      <c r="F920" s="324"/>
      <c r="G920" s="322"/>
      <c r="H920" s="322"/>
      <c r="I920" s="322"/>
      <c r="J920" s="322"/>
      <c r="K920" s="322"/>
      <c r="L920" s="322"/>
      <c r="M920" s="322"/>
      <c r="N920" s="322"/>
      <c r="O920" s="322"/>
      <c r="P920" s="322"/>
      <c r="Q920" s="322"/>
      <c r="R920" s="322"/>
      <c r="S920" s="322"/>
      <c r="T920" s="322"/>
      <c r="U920" s="322"/>
      <c r="V920" s="322"/>
      <c r="W920" s="322"/>
      <c r="X920" s="322"/>
      <c r="Y920" s="322"/>
      <c r="Z920" s="322"/>
    </row>
    <row r="921" ht="12.75" customHeight="1">
      <c r="A921" s="322"/>
      <c r="B921" s="322"/>
      <c r="C921" s="323"/>
      <c r="D921" s="324"/>
      <c r="E921" s="323"/>
      <c r="F921" s="324"/>
      <c r="G921" s="322"/>
      <c r="H921" s="322"/>
      <c r="I921" s="322"/>
      <c r="J921" s="322"/>
      <c r="K921" s="322"/>
      <c r="L921" s="322"/>
      <c r="M921" s="322"/>
      <c r="N921" s="322"/>
      <c r="O921" s="322"/>
      <c r="P921" s="322"/>
      <c r="Q921" s="322"/>
      <c r="R921" s="322"/>
      <c r="S921" s="322"/>
      <c r="T921" s="322"/>
      <c r="U921" s="322"/>
      <c r="V921" s="322"/>
      <c r="W921" s="322"/>
      <c r="X921" s="322"/>
      <c r="Y921" s="322"/>
      <c r="Z921" s="322"/>
    </row>
    <row r="922" ht="12.75" customHeight="1">
      <c r="A922" s="322"/>
      <c r="B922" s="322"/>
      <c r="C922" s="323"/>
      <c r="D922" s="324"/>
      <c r="E922" s="323"/>
      <c r="F922" s="324"/>
      <c r="G922" s="322"/>
      <c r="H922" s="322"/>
      <c r="I922" s="322"/>
      <c r="J922" s="322"/>
      <c r="K922" s="322"/>
      <c r="L922" s="322"/>
      <c r="M922" s="322"/>
      <c r="N922" s="322"/>
      <c r="O922" s="322"/>
      <c r="P922" s="322"/>
      <c r="Q922" s="322"/>
      <c r="R922" s="322"/>
      <c r="S922" s="322"/>
      <c r="T922" s="322"/>
      <c r="U922" s="322"/>
      <c r="V922" s="322"/>
      <c r="W922" s="322"/>
      <c r="X922" s="322"/>
      <c r="Y922" s="322"/>
      <c r="Z922" s="322"/>
    </row>
    <row r="923" ht="12.75" customHeight="1">
      <c r="A923" s="322"/>
      <c r="B923" s="322"/>
      <c r="C923" s="323"/>
      <c r="D923" s="324"/>
      <c r="E923" s="323"/>
      <c r="F923" s="324"/>
      <c r="G923" s="322"/>
      <c r="H923" s="322"/>
      <c r="I923" s="322"/>
      <c r="J923" s="322"/>
      <c r="K923" s="322"/>
      <c r="L923" s="322"/>
      <c r="M923" s="322"/>
      <c r="N923" s="322"/>
      <c r="O923" s="322"/>
      <c r="P923" s="322"/>
      <c r="Q923" s="322"/>
      <c r="R923" s="322"/>
      <c r="S923" s="322"/>
      <c r="T923" s="322"/>
      <c r="U923" s="322"/>
      <c r="V923" s="322"/>
      <c r="W923" s="322"/>
      <c r="X923" s="322"/>
      <c r="Y923" s="322"/>
      <c r="Z923" s="322"/>
    </row>
    <row r="924" ht="12.75" customHeight="1">
      <c r="A924" s="322"/>
      <c r="B924" s="322"/>
      <c r="C924" s="323"/>
      <c r="D924" s="324"/>
      <c r="E924" s="323"/>
      <c r="F924" s="324"/>
      <c r="G924" s="322"/>
      <c r="H924" s="322"/>
      <c r="I924" s="322"/>
      <c r="J924" s="322"/>
      <c r="K924" s="322"/>
      <c r="L924" s="322"/>
      <c r="M924" s="322"/>
      <c r="N924" s="322"/>
      <c r="O924" s="322"/>
      <c r="P924" s="322"/>
      <c r="Q924" s="322"/>
      <c r="R924" s="322"/>
      <c r="S924" s="322"/>
      <c r="T924" s="322"/>
      <c r="U924" s="322"/>
      <c r="V924" s="322"/>
      <c r="W924" s="322"/>
      <c r="X924" s="322"/>
      <c r="Y924" s="322"/>
      <c r="Z924" s="322"/>
    </row>
    <row r="925" ht="12.75" customHeight="1">
      <c r="A925" s="322"/>
      <c r="B925" s="322"/>
      <c r="C925" s="323"/>
      <c r="D925" s="324"/>
      <c r="E925" s="323"/>
      <c r="F925" s="324"/>
      <c r="G925" s="322"/>
      <c r="H925" s="322"/>
      <c r="I925" s="322"/>
      <c r="J925" s="322"/>
      <c r="K925" s="322"/>
      <c r="L925" s="322"/>
      <c r="M925" s="322"/>
      <c r="N925" s="322"/>
      <c r="O925" s="322"/>
      <c r="P925" s="322"/>
      <c r="Q925" s="322"/>
      <c r="R925" s="322"/>
      <c r="S925" s="322"/>
      <c r="T925" s="322"/>
      <c r="U925" s="322"/>
      <c r="V925" s="322"/>
      <c r="W925" s="322"/>
      <c r="X925" s="322"/>
      <c r="Y925" s="322"/>
      <c r="Z925" s="322"/>
    </row>
    <row r="926" ht="12.75" customHeight="1">
      <c r="A926" s="322"/>
      <c r="B926" s="322"/>
      <c r="C926" s="323"/>
      <c r="D926" s="324"/>
      <c r="E926" s="323"/>
      <c r="F926" s="324"/>
      <c r="G926" s="322"/>
      <c r="H926" s="322"/>
      <c r="I926" s="322"/>
      <c r="J926" s="322"/>
      <c r="K926" s="322"/>
      <c r="L926" s="322"/>
      <c r="M926" s="322"/>
      <c r="N926" s="322"/>
      <c r="O926" s="322"/>
      <c r="P926" s="322"/>
      <c r="Q926" s="322"/>
      <c r="R926" s="322"/>
      <c r="S926" s="322"/>
      <c r="T926" s="322"/>
      <c r="U926" s="322"/>
      <c r="V926" s="322"/>
      <c r="W926" s="322"/>
      <c r="X926" s="322"/>
      <c r="Y926" s="322"/>
      <c r="Z926" s="322"/>
    </row>
    <row r="927" ht="12.75" customHeight="1">
      <c r="A927" s="322"/>
      <c r="B927" s="322"/>
      <c r="C927" s="323"/>
      <c r="D927" s="324"/>
      <c r="E927" s="323"/>
      <c r="F927" s="324"/>
      <c r="G927" s="322"/>
      <c r="H927" s="322"/>
      <c r="I927" s="322"/>
      <c r="J927" s="322"/>
      <c r="K927" s="322"/>
      <c r="L927" s="322"/>
      <c r="M927" s="322"/>
      <c r="N927" s="322"/>
      <c r="O927" s="322"/>
      <c r="P927" s="322"/>
      <c r="Q927" s="322"/>
      <c r="R927" s="322"/>
      <c r="S927" s="322"/>
      <c r="T927" s="322"/>
      <c r="U927" s="322"/>
      <c r="V927" s="322"/>
      <c r="W927" s="322"/>
      <c r="X927" s="322"/>
      <c r="Y927" s="322"/>
      <c r="Z927" s="322"/>
    </row>
    <row r="928" ht="12.75" customHeight="1">
      <c r="A928" s="322"/>
      <c r="B928" s="322"/>
      <c r="C928" s="323"/>
      <c r="D928" s="324"/>
      <c r="E928" s="323"/>
      <c r="F928" s="324"/>
      <c r="G928" s="322"/>
      <c r="H928" s="322"/>
      <c r="I928" s="322"/>
      <c r="J928" s="322"/>
      <c r="K928" s="322"/>
      <c r="L928" s="322"/>
      <c r="M928" s="322"/>
      <c r="N928" s="322"/>
      <c r="O928" s="322"/>
      <c r="P928" s="322"/>
      <c r="Q928" s="322"/>
      <c r="R928" s="322"/>
      <c r="S928" s="322"/>
      <c r="T928" s="322"/>
      <c r="U928" s="322"/>
      <c r="V928" s="322"/>
      <c r="W928" s="322"/>
      <c r="X928" s="322"/>
      <c r="Y928" s="322"/>
      <c r="Z928" s="322"/>
    </row>
    <row r="929" ht="12.75" customHeight="1">
      <c r="A929" s="322"/>
      <c r="B929" s="322"/>
      <c r="C929" s="323"/>
      <c r="D929" s="324"/>
      <c r="E929" s="323"/>
      <c r="F929" s="324"/>
      <c r="G929" s="322"/>
      <c r="H929" s="322"/>
      <c r="I929" s="322"/>
      <c r="J929" s="322"/>
      <c r="K929" s="322"/>
      <c r="L929" s="322"/>
      <c r="M929" s="322"/>
      <c r="N929" s="322"/>
      <c r="O929" s="322"/>
      <c r="P929" s="322"/>
      <c r="Q929" s="322"/>
      <c r="R929" s="322"/>
      <c r="S929" s="322"/>
      <c r="T929" s="322"/>
      <c r="U929" s="322"/>
      <c r="V929" s="322"/>
      <c r="W929" s="322"/>
      <c r="X929" s="322"/>
      <c r="Y929" s="322"/>
      <c r="Z929" s="322"/>
    </row>
    <row r="930" ht="12.75" customHeight="1">
      <c r="A930" s="322"/>
      <c r="B930" s="322"/>
      <c r="C930" s="323"/>
      <c r="D930" s="324"/>
      <c r="E930" s="323"/>
      <c r="F930" s="324"/>
      <c r="G930" s="322"/>
      <c r="H930" s="322"/>
      <c r="I930" s="322"/>
      <c r="J930" s="322"/>
      <c r="K930" s="322"/>
      <c r="L930" s="322"/>
      <c r="M930" s="322"/>
      <c r="N930" s="322"/>
      <c r="O930" s="322"/>
      <c r="P930" s="322"/>
      <c r="Q930" s="322"/>
      <c r="R930" s="322"/>
      <c r="S930" s="322"/>
      <c r="T930" s="322"/>
      <c r="U930" s="322"/>
      <c r="V930" s="322"/>
      <c r="W930" s="322"/>
      <c r="X930" s="322"/>
      <c r="Y930" s="322"/>
      <c r="Z930" s="322"/>
    </row>
    <row r="931" ht="12.75" customHeight="1">
      <c r="A931" s="322"/>
      <c r="B931" s="322"/>
      <c r="C931" s="323"/>
      <c r="D931" s="324"/>
      <c r="E931" s="323"/>
      <c r="F931" s="324"/>
      <c r="G931" s="322"/>
      <c r="H931" s="322"/>
      <c r="I931" s="322"/>
      <c r="J931" s="322"/>
      <c r="K931" s="322"/>
      <c r="L931" s="322"/>
      <c r="M931" s="322"/>
      <c r="N931" s="322"/>
      <c r="O931" s="322"/>
      <c r="P931" s="322"/>
      <c r="Q931" s="322"/>
      <c r="R931" s="322"/>
      <c r="S931" s="322"/>
      <c r="T931" s="322"/>
      <c r="U931" s="322"/>
      <c r="V931" s="322"/>
      <c r="W931" s="322"/>
      <c r="X931" s="322"/>
      <c r="Y931" s="322"/>
      <c r="Z931" s="322"/>
    </row>
    <row r="932" ht="12.75" customHeight="1">
      <c r="A932" s="322"/>
      <c r="B932" s="322"/>
      <c r="C932" s="323"/>
      <c r="D932" s="324"/>
      <c r="E932" s="323"/>
      <c r="F932" s="324"/>
      <c r="G932" s="322"/>
      <c r="H932" s="322"/>
      <c r="I932" s="322"/>
      <c r="J932" s="322"/>
      <c r="K932" s="322"/>
      <c r="L932" s="322"/>
      <c r="M932" s="322"/>
      <c r="N932" s="322"/>
      <c r="O932" s="322"/>
      <c r="P932" s="322"/>
      <c r="Q932" s="322"/>
      <c r="R932" s="322"/>
      <c r="S932" s="322"/>
      <c r="T932" s="322"/>
      <c r="U932" s="322"/>
      <c r="V932" s="322"/>
      <c r="W932" s="322"/>
      <c r="X932" s="322"/>
      <c r="Y932" s="322"/>
      <c r="Z932" s="322"/>
    </row>
    <row r="933" ht="12.75" customHeight="1">
      <c r="A933" s="322"/>
      <c r="B933" s="322"/>
      <c r="C933" s="323"/>
      <c r="D933" s="324"/>
      <c r="E933" s="323"/>
      <c r="F933" s="324"/>
      <c r="G933" s="322"/>
      <c r="H933" s="322"/>
      <c r="I933" s="322"/>
      <c r="J933" s="322"/>
      <c r="K933" s="322"/>
      <c r="L933" s="322"/>
      <c r="M933" s="322"/>
      <c r="N933" s="322"/>
      <c r="O933" s="322"/>
      <c r="P933" s="322"/>
      <c r="Q933" s="322"/>
      <c r="R933" s="322"/>
      <c r="S933" s="322"/>
      <c r="T933" s="322"/>
      <c r="U933" s="322"/>
      <c r="V933" s="322"/>
      <c r="W933" s="322"/>
      <c r="X933" s="322"/>
      <c r="Y933" s="322"/>
      <c r="Z933" s="322"/>
    </row>
    <row r="934" ht="12.75" customHeight="1">
      <c r="A934" s="322"/>
      <c r="B934" s="322"/>
      <c r="C934" s="323"/>
      <c r="D934" s="324"/>
      <c r="E934" s="323"/>
      <c r="F934" s="324"/>
      <c r="G934" s="322"/>
      <c r="H934" s="322"/>
      <c r="I934" s="322"/>
      <c r="J934" s="322"/>
      <c r="K934" s="322"/>
      <c r="L934" s="322"/>
      <c r="M934" s="322"/>
      <c r="N934" s="322"/>
      <c r="O934" s="322"/>
      <c r="P934" s="322"/>
      <c r="Q934" s="322"/>
      <c r="R934" s="322"/>
      <c r="S934" s="322"/>
      <c r="T934" s="322"/>
      <c r="U934" s="322"/>
      <c r="V934" s="322"/>
      <c r="W934" s="322"/>
      <c r="X934" s="322"/>
      <c r="Y934" s="322"/>
      <c r="Z934" s="322"/>
    </row>
    <row r="935" ht="12.75" customHeight="1">
      <c r="A935" s="322"/>
      <c r="B935" s="322"/>
      <c r="C935" s="323"/>
      <c r="D935" s="324"/>
      <c r="E935" s="323"/>
      <c r="F935" s="324"/>
      <c r="G935" s="322"/>
      <c r="H935" s="322"/>
      <c r="I935" s="322"/>
      <c r="J935" s="322"/>
      <c r="K935" s="322"/>
      <c r="L935" s="322"/>
      <c r="M935" s="322"/>
      <c r="N935" s="322"/>
      <c r="O935" s="322"/>
      <c r="P935" s="322"/>
      <c r="Q935" s="322"/>
      <c r="R935" s="322"/>
      <c r="S935" s="322"/>
      <c r="T935" s="322"/>
      <c r="U935" s="322"/>
      <c r="V935" s="322"/>
      <c r="W935" s="322"/>
      <c r="X935" s="322"/>
      <c r="Y935" s="322"/>
      <c r="Z935" s="322"/>
    </row>
    <row r="936" ht="12.75" customHeight="1">
      <c r="A936" s="322"/>
      <c r="B936" s="322"/>
      <c r="C936" s="323"/>
      <c r="D936" s="324"/>
      <c r="E936" s="323"/>
      <c r="F936" s="324"/>
      <c r="G936" s="322"/>
      <c r="H936" s="322"/>
      <c r="I936" s="322"/>
      <c r="J936" s="322"/>
      <c r="K936" s="322"/>
      <c r="L936" s="322"/>
      <c r="M936" s="322"/>
      <c r="N936" s="322"/>
      <c r="O936" s="322"/>
      <c r="P936" s="322"/>
      <c r="Q936" s="322"/>
      <c r="R936" s="322"/>
      <c r="S936" s="322"/>
      <c r="T936" s="322"/>
      <c r="U936" s="322"/>
      <c r="V936" s="322"/>
      <c r="W936" s="322"/>
      <c r="X936" s="322"/>
      <c r="Y936" s="322"/>
      <c r="Z936" s="322"/>
    </row>
    <row r="937" ht="12.75" customHeight="1">
      <c r="A937" s="322"/>
      <c r="B937" s="322"/>
      <c r="C937" s="323"/>
      <c r="D937" s="324"/>
      <c r="E937" s="323"/>
      <c r="F937" s="324"/>
      <c r="G937" s="322"/>
      <c r="H937" s="322"/>
      <c r="I937" s="322"/>
      <c r="J937" s="322"/>
      <c r="K937" s="322"/>
      <c r="L937" s="322"/>
      <c r="M937" s="322"/>
      <c r="N937" s="322"/>
      <c r="O937" s="322"/>
      <c r="P937" s="322"/>
      <c r="Q937" s="322"/>
      <c r="R937" s="322"/>
      <c r="S937" s="322"/>
      <c r="T937" s="322"/>
      <c r="U937" s="322"/>
      <c r="V937" s="322"/>
      <c r="W937" s="322"/>
      <c r="X937" s="322"/>
      <c r="Y937" s="322"/>
      <c r="Z937" s="322"/>
    </row>
    <row r="938" ht="12.75" customHeight="1">
      <c r="A938" s="322"/>
      <c r="B938" s="322"/>
      <c r="C938" s="323"/>
      <c r="D938" s="324"/>
      <c r="E938" s="323"/>
      <c r="F938" s="324"/>
      <c r="G938" s="322"/>
      <c r="H938" s="322"/>
      <c r="I938" s="322"/>
      <c r="J938" s="322"/>
      <c r="K938" s="322"/>
      <c r="L938" s="322"/>
      <c r="M938" s="322"/>
      <c r="N938" s="322"/>
      <c r="O938" s="322"/>
      <c r="P938" s="322"/>
      <c r="Q938" s="322"/>
      <c r="R938" s="322"/>
      <c r="S938" s="322"/>
      <c r="T938" s="322"/>
      <c r="U938" s="322"/>
      <c r="V938" s="322"/>
      <c r="W938" s="322"/>
      <c r="X938" s="322"/>
      <c r="Y938" s="322"/>
      <c r="Z938" s="322"/>
    </row>
    <row r="939" ht="12.75" customHeight="1">
      <c r="A939" s="322"/>
      <c r="B939" s="322"/>
      <c r="C939" s="323"/>
      <c r="D939" s="324"/>
      <c r="E939" s="323"/>
      <c r="F939" s="324"/>
      <c r="G939" s="322"/>
      <c r="H939" s="322"/>
      <c r="I939" s="322"/>
      <c r="J939" s="322"/>
      <c r="K939" s="322"/>
      <c r="L939" s="322"/>
      <c r="M939" s="322"/>
      <c r="N939" s="322"/>
      <c r="O939" s="322"/>
      <c r="P939" s="322"/>
      <c r="Q939" s="322"/>
      <c r="R939" s="322"/>
      <c r="S939" s="322"/>
      <c r="T939" s="322"/>
      <c r="U939" s="322"/>
      <c r="V939" s="322"/>
      <c r="W939" s="322"/>
      <c r="X939" s="322"/>
      <c r="Y939" s="322"/>
      <c r="Z939" s="322"/>
    </row>
    <row r="940" ht="12.75" customHeight="1">
      <c r="A940" s="322"/>
      <c r="B940" s="322"/>
      <c r="C940" s="323"/>
      <c r="D940" s="324"/>
      <c r="E940" s="323"/>
      <c r="F940" s="324"/>
      <c r="G940" s="322"/>
      <c r="H940" s="322"/>
      <c r="I940" s="322"/>
      <c r="J940" s="322"/>
      <c r="K940" s="322"/>
      <c r="L940" s="322"/>
      <c r="M940" s="322"/>
      <c r="N940" s="322"/>
      <c r="O940" s="322"/>
      <c r="P940" s="322"/>
      <c r="Q940" s="322"/>
      <c r="R940" s="322"/>
      <c r="S940" s="322"/>
      <c r="T940" s="322"/>
      <c r="U940" s="322"/>
      <c r="V940" s="322"/>
      <c r="W940" s="322"/>
      <c r="X940" s="322"/>
      <c r="Y940" s="322"/>
      <c r="Z940" s="322"/>
    </row>
    <row r="941" ht="12.75" customHeight="1">
      <c r="A941" s="322"/>
      <c r="B941" s="322"/>
      <c r="C941" s="323"/>
      <c r="D941" s="324"/>
      <c r="E941" s="323"/>
      <c r="F941" s="324"/>
      <c r="G941" s="322"/>
      <c r="H941" s="322"/>
      <c r="I941" s="322"/>
      <c r="J941" s="322"/>
      <c r="K941" s="322"/>
      <c r="L941" s="322"/>
      <c r="M941" s="322"/>
      <c r="N941" s="322"/>
      <c r="O941" s="322"/>
      <c r="P941" s="322"/>
      <c r="Q941" s="322"/>
      <c r="R941" s="322"/>
      <c r="S941" s="322"/>
      <c r="T941" s="322"/>
      <c r="U941" s="322"/>
      <c r="V941" s="322"/>
      <c r="W941" s="322"/>
      <c r="X941" s="322"/>
      <c r="Y941" s="322"/>
      <c r="Z941" s="322"/>
    </row>
    <row r="942" ht="12.75" customHeight="1">
      <c r="A942" s="322"/>
      <c r="B942" s="322"/>
      <c r="C942" s="323"/>
      <c r="D942" s="324"/>
      <c r="E942" s="323"/>
      <c r="F942" s="324"/>
      <c r="G942" s="322"/>
      <c r="H942" s="322"/>
      <c r="I942" s="322"/>
      <c r="J942" s="322"/>
      <c r="K942" s="322"/>
      <c r="L942" s="322"/>
      <c r="M942" s="322"/>
      <c r="N942" s="322"/>
      <c r="O942" s="322"/>
      <c r="P942" s="322"/>
      <c r="Q942" s="322"/>
      <c r="R942" s="322"/>
      <c r="S942" s="322"/>
      <c r="T942" s="322"/>
      <c r="U942" s="322"/>
      <c r="V942" s="322"/>
      <c r="W942" s="322"/>
      <c r="X942" s="322"/>
      <c r="Y942" s="322"/>
      <c r="Z942" s="322"/>
    </row>
    <row r="943" ht="12.75" customHeight="1">
      <c r="A943" s="322"/>
      <c r="B943" s="322"/>
      <c r="C943" s="323"/>
      <c r="D943" s="324"/>
      <c r="E943" s="323"/>
      <c r="F943" s="324"/>
      <c r="G943" s="322"/>
      <c r="H943" s="322"/>
      <c r="I943" s="322"/>
      <c r="J943" s="322"/>
      <c r="K943" s="322"/>
      <c r="L943" s="322"/>
      <c r="M943" s="322"/>
      <c r="N943" s="322"/>
      <c r="O943" s="322"/>
      <c r="P943" s="322"/>
      <c r="Q943" s="322"/>
      <c r="R943" s="322"/>
      <c r="S943" s="322"/>
      <c r="T943" s="322"/>
      <c r="U943" s="322"/>
      <c r="V943" s="322"/>
      <c r="W943" s="322"/>
      <c r="X943" s="322"/>
      <c r="Y943" s="322"/>
      <c r="Z943" s="322"/>
    </row>
    <row r="944" ht="12.75" customHeight="1">
      <c r="A944" s="322"/>
      <c r="B944" s="322"/>
      <c r="C944" s="323"/>
      <c r="D944" s="324"/>
      <c r="E944" s="323"/>
      <c r="F944" s="324"/>
      <c r="G944" s="322"/>
      <c r="H944" s="322"/>
      <c r="I944" s="322"/>
      <c r="J944" s="322"/>
      <c r="K944" s="322"/>
      <c r="L944" s="322"/>
      <c r="M944" s="322"/>
      <c r="N944" s="322"/>
      <c r="O944" s="322"/>
      <c r="P944" s="322"/>
      <c r="Q944" s="322"/>
      <c r="R944" s="322"/>
      <c r="S944" s="322"/>
      <c r="T944" s="322"/>
      <c r="U944" s="322"/>
      <c r="V944" s="322"/>
      <c r="W944" s="322"/>
      <c r="X944" s="322"/>
      <c r="Y944" s="322"/>
      <c r="Z944" s="322"/>
    </row>
    <row r="945" ht="12.75" customHeight="1">
      <c r="A945" s="322"/>
      <c r="B945" s="322"/>
      <c r="C945" s="323"/>
      <c r="D945" s="324"/>
      <c r="E945" s="323"/>
      <c r="F945" s="324"/>
      <c r="G945" s="322"/>
      <c r="H945" s="322"/>
      <c r="I945" s="322"/>
      <c r="J945" s="322"/>
      <c r="K945" s="322"/>
      <c r="L945" s="322"/>
      <c r="M945" s="322"/>
      <c r="N945" s="322"/>
      <c r="O945" s="322"/>
      <c r="P945" s="322"/>
      <c r="Q945" s="322"/>
      <c r="R945" s="322"/>
      <c r="S945" s="322"/>
      <c r="T945" s="322"/>
      <c r="U945" s="322"/>
      <c r="V945" s="322"/>
      <c r="W945" s="322"/>
      <c r="X945" s="322"/>
      <c r="Y945" s="322"/>
      <c r="Z945" s="322"/>
    </row>
    <row r="946" ht="12.75" customHeight="1">
      <c r="A946" s="322"/>
      <c r="B946" s="322"/>
      <c r="C946" s="323"/>
      <c r="D946" s="324"/>
      <c r="E946" s="323"/>
      <c r="F946" s="324"/>
      <c r="G946" s="322"/>
      <c r="H946" s="322"/>
      <c r="I946" s="322"/>
      <c r="J946" s="322"/>
      <c r="K946" s="322"/>
      <c r="L946" s="322"/>
      <c r="M946" s="322"/>
      <c r="N946" s="322"/>
      <c r="O946" s="322"/>
      <c r="P946" s="322"/>
      <c r="Q946" s="322"/>
      <c r="R946" s="322"/>
      <c r="S946" s="322"/>
      <c r="T946" s="322"/>
      <c r="U946" s="322"/>
      <c r="V946" s="322"/>
      <c r="W946" s="322"/>
      <c r="X946" s="322"/>
      <c r="Y946" s="322"/>
      <c r="Z946" s="322"/>
    </row>
    <row r="947" ht="12.75" customHeight="1">
      <c r="A947" s="322"/>
      <c r="B947" s="322"/>
      <c r="C947" s="323"/>
      <c r="D947" s="324"/>
      <c r="E947" s="323"/>
      <c r="F947" s="324"/>
      <c r="G947" s="322"/>
      <c r="H947" s="322"/>
      <c r="I947" s="322"/>
      <c r="J947" s="322"/>
      <c r="K947" s="322"/>
      <c r="L947" s="322"/>
      <c r="M947" s="322"/>
      <c r="N947" s="322"/>
      <c r="O947" s="322"/>
      <c r="P947" s="322"/>
      <c r="Q947" s="322"/>
      <c r="R947" s="322"/>
      <c r="S947" s="322"/>
      <c r="T947" s="322"/>
      <c r="U947" s="322"/>
      <c r="V947" s="322"/>
      <c r="W947" s="322"/>
      <c r="X947" s="322"/>
      <c r="Y947" s="322"/>
      <c r="Z947" s="322"/>
    </row>
    <row r="948" ht="12.75" customHeight="1">
      <c r="A948" s="322"/>
      <c r="B948" s="322"/>
      <c r="C948" s="323"/>
      <c r="D948" s="324"/>
      <c r="E948" s="323"/>
      <c r="F948" s="324"/>
      <c r="G948" s="322"/>
      <c r="H948" s="322"/>
      <c r="I948" s="322"/>
      <c r="J948" s="322"/>
      <c r="K948" s="322"/>
      <c r="L948" s="322"/>
      <c r="M948" s="322"/>
      <c r="N948" s="322"/>
      <c r="O948" s="322"/>
      <c r="P948" s="322"/>
      <c r="Q948" s="322"/>
      <c r="R948" s="322"/>
      <c r="S948" s="322"/>
      <c r="T948" s="322"/>
      <c r="U948" s="322"/>
      <c r="V948" s="322"/>
      <c r="W948" s="322"/>
      <c r="X948" s="322"/>
      <c r="Y948" s="322"/>
      <c r="Z948" s="322"/>
    </row>
    <row r="949" ht="12.75" customHeight="1">
      <c r="A949" s="322"/>
      <c r="B949" s="322"/>
      <c r="C949" s="323"/>
      <c r="D949" s="324"/>
      <c r="E949" s="323"/>
      <c r="F949" s="324"/>
      <c r="G949" s="322"/>
      <c r="H949" s="322"/>
      <c r="I949" s="322"/>
      <c r="J949" s="322"/>
      <c r="K949" s="322"/>
      <c r="L949" s="322"/>
      <c r="M949" s="322"/>
      <c r="N949" s="322"/>
      <c r="O949" s="322"/>
      <c r="P949" s="322"/>
      <c r="Q949" s="322"/>
      <c r="R949" s="322"/>
      <c r="S949" s="322"/>
      <c r="T949" s="322"/>
      <c r="U949" s="322"/>
      <c r="V949" s="322"/>
      <c r="W949" s="322"/>
      <c r="X949" s="322"/>
      <c r="Y949" s="322"/>
      <c r="Z949" s="322"/>
    </row>
    <row r="950" ht="12.75" customHeight="1">
      <c r="A950" s="322"/>
      <c r="B950" s="322"/>
      <c r="C950" s="323"/>
      <c r="D950" s="324"/>
      <c r="E950" s="323"/>
      <c r="F950" s="324"/>
      <c r="G950" s="322"/>
      <c r="H950" s="322"/>
      <c r="I950" s="322"/>
      <c r="J950" s="322"/>
      <c r="K950" s="322"/>
      <c r="L950" s="322"/>
      <c r="M950" s="322"/>
      <c r="N950" s="322"/>
      <c r="O950" s="322"/>
      <c r="P950" s="322"/>
      <c r="Q950" s="322"/>
      <c r="R950" s="322"/>
      <c r="S950" s="322"/>
      <c r="T950" s="322"/>
      <c r="U950" s="322"/>
      <c r="V950" s="322"/>
      <c r="W950" s="322"/>
      <c r="X950" s="322"/>
      <c r="Y950" s="322"/>
      <c r="Z950" s="322"/>
    </row>
    <row r="951" ht="12.75" customHeight="1">
      <c r="A951" s="322"/>
      <c r="B951" s="322"/>
      <c r="C951" s="323"/>
      <c r="D951" s="324"/>
      <c r="E951" s="323"/>
      <c r="F951" s="324"/>
      <c r="G951" s="322"/>
      <c r="H951" s="322"/>
      <c r="I951" s="322"/>
      <c r="J951" s="322"/>
      <c r="K951" s="322"/>
      <c r="L951" s="322"/>
      <c r="M951" s="322"/>
      <c r="N951" s="322"/>
      <c r="O951" s="322"/>
      <c r="P951" s="322"/>
      <c r="Q951" s="322"/>
      <c r="R951" s="322"/>
      <c r="S951" s="322"/>
      <c r="T951" s="322"/>
      <c r="U951" s="322"/>
      <c r="V951" s="322"/>
      <c r="W951" s="322"/>
      <c r="X951" s="322"/>
      <c r="Y951" s="322"/>
      <c r="Z951" s="322"/>
    </row>
    <row r="952" ht="12.75" customHeight="1">
      <c r="A952" s="322"/>
      <c r="B952" s="322"/>
      <c r="C952" s="323"/>
      <c r="D952" s="324"/>
      <c r="E952" s="323"/>
      <c r="F952" s="324"/>
      <c r="G952" s="322"/>
      <c r="H952" s="322"/>
      <c r="I952" s="322"/>
      <c r="J952" s="322"/>
      <c r="K952" s="322"/>
      <c r="L952" s="322"/>
      <c r="M952" s="322"/>
      <c r="N952" s="322"/>
      <c r="O952" s="322"/>
      <c r="P952" s="322"/>
      <c r="Q952" s="322"/>
      <c r="R952" s="322"/>
      <c r="S952" s="322"/>
      <c r="T952" s="322"/>
      <c r="U952" s="322"/>
      <c r="V952" s="322"/>
      <c r="W952" s="322"/>
      <c r="X952" s="322"/>
      <c r="Y952" s="322"/>
      <c r="Z952" s="322"/>
    </row>
    <row r="953" ht="12.75" customHeight="1">
      <c r="A953" s="322"/>
      <c r="B953" s="322"/>
      <c r="C953" s="323"/>
      <c r="D953" s="324"/>
      <c r="E953" s="323"/>
      <c r="F953" s="324"/>
      <c r="G953" s="322"/>
      <c r="H953" s="322"/>
      <c r="I953" s="322"/>
      <c r="J953" s="322"/>
      <c r="K953" s="322"/>
      <c r="L953" s="322"/>
      <c r="M953" s="322"/>
      <c r="N953" s="322"/>
      <c r="O953" s="322"/>
      <c r="P953" s="322"/>
      <c r="Q953" s="322"/>
      <c r="R953" s="322"/>
      <c r="S953" s="322"/>
      <c r="T953" s="322"/>
      <c r="U953" s="322"/>
      <c r="V953" s="322"/>
      <c r="W953" s="322"/>
      <c r="X953" s="322"/>
      <c r="Y953" s="322"/>
      <c r="Z953" s="322"/>
    </row>
    <row r="954" ht="12.75" customHeight="1">
      <c r="A954" s="322"/>
      <c r="B954" s="322"/>
      <c r="C954" s="323"/>
      <c r="D954" s="324"/>
      <c r="E954" s="323"/>
      <c r="F954" s="324"/>
      <c r="G954" s="322"/>
      <c r="H954" s="322"/>
      <c r="I954" s="322"/>
      <c r="J954" s="322"/>
      <c r="K954" s="322"/>
      <c r="L954" s="322"/>
      <c r="M954" s="322"/>
      <c r="N954" s="322"/>
      <c r="O954" s="322"/>
      <c r="P954" s="322"/>
      <c r="Q954" s="322"/>
      <c r="R954" s="322"/>
      <c r="S954" s="322"/>
      <c r="T954" s="322"/>
      <c r="U954" s="322"/>
      <c r="V954" s="322"/>
      <c r="W954" s="322"/>
      <c r="X954" s="322"/>
      <c r="Y954" s="322"/>
      <c r="Z954" s="322"/>
    </row>
    <row r="955" ht="12.75" customHeight="1">
      <c r="A955" s="322"/>
      <c r="B955" s="322"/>
      <c r="C955" s="323"/>
      <c r="D955" s="324"/>
      <c r="E955" s="323"/>
      <c r="F955" s="324"/>
      <c r="G955" s="322"/>
      <c r="H955" s="322"/>
      <c r="I955" s="322"/>
      <c r="J955" s="322"/>
      <c r="K955" s="322"/>
      <c r="L955" s="322"/>
      <c r="M955" s="322"/>
      <c r="N955" s="322"/>
      <c r="O955" s="322"/>
      <c r="P955" s="322"/>
      <c r="Q955" s="322"/>
      <c r="R955" s="322"/>
      <c r="S955" s="322"/>
      <c r="T955" s="322"/>
      <c r="U955" s="322"/>
      <c r="V955" s="322"/>
      <c r="W955" s="322"/>
      <c r="X955" s="322"/>
      <c r="Y955" s="322"/>
      <c r="Z955" s="322"/>
    </row>
    <row r="956" ht="12.75" customHeight="1">
      <c r="A956" s="322"/>
      <c r="B956" s="322"/>
      <c r="C956" s="323"/>
      <c r="D956" s="324"/>
      <c r="E956" s="323"/>
      <c r="F956" s="324"/>
      <c r="G956" s="322"/>
      <c r="H956" s="322"/>
      <c r="I956" s="322"/>
      <c r="J956" s="322"/>
      <c r="K956" s="322"/>
      <c r="L956" s="322"/>
      <c r="M956" s="322"/>
      <c r="N956" s="322"/>
      <c r="O956" s="322"/>
      <c r="P956" s="322"/>
      <c r="Q956" s="322"/>
      <c r="R956" s="322"/>
      <c r="S956" s="322"/>
      <c r="T956" s="322"/>
      <c r="U956" s="322"/>
      <c r="V956" s="322"/>
      <c r="W956" s="322"/>
      <c r="X956" s="322"/>
      <c r="Y956" s="322"/>
      <c r="Z956" s="322"/>
    </row>
    <row r="957" ht="12.75" customHeight="1">
      <c r="A957" s="322"/>
      <c r="B957" s="322"/>
      <c r="C957" s="323"/>
      <c r="D957" s="324"/>
      <c r="E957" s="323"/>
      <c r="F957" s="324"/>
      <c r="G957" s="322"/>
      <c r="H957" s="322"/>
      <c r="I957" s="322"/>
      <c r="J957" s="322"/>
      <c r="K957" s="322"/>
      <c r="L957" s="322"/>
      <c r="M957" s="322"/>
      <c r="N957" s="322"/>
      <c r="O957" s="322"/>
      <c r="P957" s="322"/>
      <c r="Q957" s="322"/>
      <c r="R957" s="322"/>
      <c r="S957" s="322"/>
      <c r="T957" s="322"/>
      <c r="U957" s="322"/>
      <c r="V957" s="322"/>
      <c r="W957" s="322"/>
      <c r="X957" s="322"/>
      <c r="Y957" s="322"/>
      <c r="Z957" s="322"/>
    </row>
    <row r="958" ht="12.75" customHeight="1">
      <c r="A958" s="322"/>
      <c r="B958" s="322"/>
      <c r="C958" s="323"/>
      <c r="D958" s="324"/>
      <c r="E958" s="323"/>
      <c r="F958" s="324"/>
      <c r="G958" s="322"/>
      <c r="H958" s="322"/>
      <c r="I958" s="322"/>
      <c r="J958" s="322"/>
      <c r="K958" s="322"/>
      <c r="L958" s="322"/>
      <c r="M958" s="322"/>
      <c r="N958" s="322"/>
      <c r="O958" s="322"/>
      <c r="P958" s="322"/>
      <c r="Q958" s="322"/>
      <c r="R958" s="322"/>
      <c r="S958" s="322"/>
      <c r="T958" s="322"/>
      <c r="U958" s="322"/>
      <c r="V958" s="322"/>
      <c r="W958" s="322"/>
      <c r="X958" s="322"/>
      <c r="Y958" s="322"/>
      <c r="Z958" s="322"/>
    </row>
    <row r="959" ht="12.75" customHeight="1">
      <c r="A959" s="322"/>
      <c r="B959" s="322"/>
      <c r="C959" s="323"/>
      <c r="D959" s="324"/>
      <c r="E959" s="323"/>
      <c r="F959" s="324"/>
      <c r="G959" s="322"/>
      <c r="H959" s="322"/>
      <c r="I959" s="322"/>
      <c r="J959" s="322"/>
      <c r="K959" s="322"/>
      <c r="L959" s="322"/>
      <c r="M959" s="322"/>
      <c r="N959" s="322"/>
      <c r="O959" s="322"/>
      <c r="P959" s="322"/>
      <c r="Q959" s="322"/>
      <c r="R959" s="322"/>
      <c r="S959" s="322"/>
      <c r="T959" s="322"/>
      <c r="U959" s="322"/>
      <c r="V959" s="322"/>
      <c r="W959" s="322"/>
      <c r="X959" s="322"/>
      <c r="Y959" s="322"/>
      <c r="Z959" s="322"/>
    </row>
    <row r="960" ht="12.75" customHeight="1">
      <c r="A960" s="322"/>
      <c r="B960" s="322"/>
      <c r="C960" s="323"/>
      <c r="D960" s="324"/>
      <c r="E960" s="323"/>
      <c r="F960" s="324"/>
      <c r="G960" s="322"/>
      <c r="H960" s="322"/>
      <c r="I960" s="322"/>
      <c r="J960" s="322"/>
      <c r="K960" s="322"/>
      <c r="L960" s="322"/>
      <c r="M960" s="322"/>
      <c r="N960" s="322"/>
      <c r="O960" s="322"/>
      <c r="P960" s="322"/>
      <c r="Q960" s="322"/>
      <c r="R960" s="322"/>
      <c r="S960" s="322"/>
      <c r="T960" s="322"/>
      <c r="U960" s="322"/>
      <c r="V960" s="322"/>
      <c r="W960" s="322"/>
      <c r="X960" s="322"/>
      <c r="Y960" s="322"/>
      <c r="Z960" s="322"/>
    </row>
    <row r="961" ht="12.75" customHeight="1">
      <c r="A961" s="322"/>
      <c r="B961" s="322"/>
      <c r="C961" s="323"/>
      <c r="D961" s="324"/>
      <c r="E961" s="323"/>
      <c r="F961" s="324"/>
      <c r="G961" s="322"/>
      <c r="H961" s="322"/>
      <c r="I961" s="322"/>
      <c r="J961" s="322"/>
      <c r="K961" s="322"/>
      <c r="L961" s="322"/>
      <c r="M961" s="322"/>
      <c r="N961" s="322"/>
      <c r="O961" s="322"/>
      <c r="P961" s="322"/>
      <c r="Q961" s="322"/>
      <c r="R961" s="322"/>
      <c r="S961" s="322"/>
      <c r="T961" s="322"/>
      <c r="U961" s="322"/>
      <c r="V961" s="322"/>
      <c r="W961" s="322"/>
      <c r="X961" s="322"/>
      <c r="Y961" s="322"/>
      <c r="Z961" s="322"/>
    </row>
    <row r="962" ht="12.75" customHeight="1">
      <c r="A962" s="322"/>
      <c r="B962" s="322"/>
      <c r="C962" s="323"/>
      <c r="D962" s="324"/>
      <c r="E962" s="323"/>
      <c r="F962" s="324"/>
      <c r="G962" s="322"/>
      <c r="H962" s="322"/>
      <c r="I962" s="322"/>
      <c r="J962" s="322"/>
      <c r="K962" s="322"/>
      <c r="L962" s="322"/>
      <c r="M962" s="322"/>
      <c r="N962" s="322"/>
      <c r="O962" s="322"/>
      <c r="P962" s="322"/>
      <c r="Q962" s="322"/>
      <c r="R962" s="322"/>
      <c r="S962" s="322"/>
      <c r="T962" s="322"/>
      <c r="U962" s="322"/>
      <c r="V962" s="322"/>
      <c r="W962" s="322"/>
      <c r="X962" s="322"/>
      <c r="Y962" s="322"/>
      <c r="Z962" s="322"/>
    </row>
    <row r="963" ht="12.75" customHeight="1">
      <c r="A963" s="322"/>
      <c r="B963" s="322"/>
      <c r="C963" s="323"/>
      <c r="D963" s="324"/>
      <c r="E963" s="323"/>
      <c r="F963" s="324"/>
      <c r="G963" s="322"/>
      <c r="H963" s="322"/>
      <c r="I963" s="322"/>
      <c r="J963" s="322"/>
      <c r="K963" s="322"/>
      <c r="L963" s="322"/>
      <c r="M963" s="322"/>
      <c r="N963" s="322"/>
      <c r="O963" s="322"/>
      <c r="P963" s="322"/>
      <c r="Q963" s="322"/>
      <c r="R963" s="322"/>
      <c r="S963" s="322"/>
      <c r="T963" s="322"/>
      <c r="U963" s="322"/>
      <c r="V963" s="322"/>
      <c r="W963" s="322"/>
      <c r="X963" s="322"/>
      <c r="Y963" s="322"/>
      <c r="Z963" s="322"/>
    </row>
    <row r="964" ht="12.75" customHeight="1">
      <c r="A964" s="322"/>
      <c r="B964" s="322"/>
      <c r="C964" s="323"/>
      <c r="D964" s="324"/>
      <c r="E964" s="323"/>
      <c r="F964" s="324"/>
      <c r="G964" s="322"/>
      <c r="H964" s="322"/>
      <c r="I964" s="322"/>
      <c r="J964" s="322"/>
      <c r="K964" s="322"/>
      <c r="L964" s="322"/>
      <c r="M964" s="322"/>
      <c r="N964" s="322"/>
      <c r="O964" s="322"/>
      <c r="P964" s="322"/>
      <c r="Q964" s="322"/>
      <c r="R964" s="322"/>
      <c r="S964" s="322"/>
      <c r="T964" s="322"/>
      <c r="U964" s="322"/>
      <c r="V964" s="322"/>
      <c r="W964" s="322"/>
      <c r="X964" s="322"/>
      <c r="Y964" s="322"/>
      <c r="Z964" s="322"/>
    </row>
    <row r="965" ht="12.75" customHeight="1">
      <c r="A965" s="322"/>
      <c r="B965" s="322"/>
      <c r="C965" s="323"/>
      <c r="D965" s="324"/>
      <c r="E965" s="323"/>
      <c r="F965" s="324"/>
      <c r="G965" s="322"/>
      <c r="H965" s="322"/>
      <c r="I965" s="322"/>
      <c r="J965" s="322"/>
      <c r="K965" s="322"/>
      <c r="L965" s="322"/>
      <c r="M965" s="322"/>
      <c r="N965" s="322"/>
      <c r="O965" s="322"/>
      <c r="P965" s="322"/>
      <c r="Q965" s="322"/>
      <c r="R965" s="322"/>
      <c r="S965" s="322"/>
      <c r="T965" s="322"/>
      <c r="U965" s="322"/>
      <c r="V965" s="322"/>
      <c r="W965" s="322"/>
      <c r="X965" s="322"/>
      <c r="Y965" s="322"/>
      <c r="Z965" s="322"/>
    </row>
    <row r="966" ht="12.75" customHeight="1">
      <c r="A966" s="322"/>
      <c r="B966" s="322"/>
      <c r="C966" s="323"/>
      <c r="D966" s="324"/>
      <c r="E966" s="323"/>
      <c r="F966" s="324"/>
      <c r="G966" s="322"/>
      <c r="H966" s="322"/>
      <c r="I966" s="322"/>
      <c r="J966" s="322"/>
      <c r="K966" s="322"/>
      <c r="L966" s="322"/>
      <c r="M966" s="322"/>
      <c r="N966" s="322"/>
      <c r="O966" s="322"/>
      <c r="P966" s="322"/>
      <c r="Q966" s="322"/>
      <c r="R966" s="322"/>
      <c r="S966" s="322"/>
      <c r="T966" s="322"/>
      <c r="U966" s="322"/>
      <c r="V966" s="322"/>
      <c r="W966" s="322"/>
      <c r="X966" s="322"/>
      <c r="Y966" s="322"/>
      <c r="Z966" s="322"/>
    </row>
    <row r="967" ht="12.75" customHeight="1">
      <c r="A967" s="322"/>
      <c r="B967" s="322"/>
      <c r="C967" s="323"/>
      <c r="D967" s="324"/>
      <c r="E967" s="323"/>
      <c r="F967" s="324"/>
      <c r="G967" s="322"/>
      <c r="H967" s="322"/>
      <c r="I967" s="322"/>
      <c r="J967" s="322"/>
      <c r="K967" s="322"/>
      <c r="L967" s="322"/>
      <c r="M967" s="322"/>
      <c r="N967" s="322"/>
      <c r="O967" s="322"/>
      <c r="P967" s="322"/>
      <c r="Q967" s="322"/>
      <c r="R967" s="322"/>
      <c r="S967" s="322"/>
      <c r="T967" s="322"/>
      <c r="U967" s="322"/>
      <c r="V967" s="322"/>
      <c r="W967" s="322"/>
      <c r="X967" s="322"/>
      <c r="Y967" s="322"/>
      <c r="Z967" s="322"/>
    </row>
    <row r="968" ht="12.75" customHeight="1">
      <c r="A968" s="322"/>
      <c r="B968" s="322"/>
      <c r="C968" s="323"/>
      <c r="D968" s="324"/>
      <c r="E968" s="323"/>
      <c r="F968" s="324"/>
      <c r="G968" s="322"/>
      <c r="H968" s="322"/>
      <c r="I968" s="322"/>
      <c r="J968" s="322"/>
      <c r="K968" s="322"/>
      <c r="L968" s="322"/>
      <c r="M968" s="322"/>
      <c r="N968" s="322"/>
      <c r="O968" s="322"/>
      <c r="P968" s="322"/>
      <c r="Q968" s="322"/>
      <c r="R968" s="322"/>
      <c r="S968" s="322"/>
      <c r="T968" s="322"/>
      <c r="U968" s="322"/>
      <c r="V968" s="322"/>
      <c r="W968" s="322"/>
      <c r="X968" s="322"/>
      <c r="Y968" s="322"/>
      <c r="Z968" s="322"/>
    </row>
    <row r="969" ht="12.75" customHeight="1">
      <c r="A969" s="322"/>
      <c r="B969" s="322"/>
      <c r="C969" s="323"/>
      <c r="D969" s="324"/>
      <c r="E969" s="323"/>
      <c r="F969" s="324"/>
      <c r="G969" s="322"/>
      <c r="H969" s="322"/>
      <c r="I969" s="322"/>
      <c r="J969" s="322"/>
      <c r="K969" s="322"/>
      <c r="L969" s="322"/>
      <c r="M969" s="322"/>
      <c r="N969" s="322"/>
      <c r="O969" s="322"/>
      <c r="P969" s="322"/>
      <c r="Q969" s="322"/>
      <c r="R969" s="322"/>
      <c r="S969" s="322"/>
      <c r="T969" s="322"/>
      <c r="U969" s="322"/>
      <c r="V969" s="322"/>
      <c r="W969" s="322"/>
      <c r="X969" s="322"/>
      <c r="Y969" s="322"/>
      <c r="Z969" s="322"/>
    </row>
    <row r="970" ht="12.75" customHeight="1">
      <c r="A970" s="322"/>
      <c r="B970" s="322"/>
      <c r="C970" s="323"/>
      <c r="D970" s="324"/>
      <c r="E970" s="323"/>
      <c r="F970" s="324"/>
      <c r="G970" s="322"/>
      <c r="H970" s="322"/>
      <c r="I970" s="322"/>
      <c r="J970" s="322"/>
      <c r="K970" s="322"/>
      <c r="L970" s="322"/>
      <c r="M970" s="322"/>
      <c r="N970" s="322"/>
      <c r="O970" s="322"/>
      <c r="P970" s="322"/>
      <c r="Q970" s="322"/>
      <c r="R970" s="322"/>
      <c r="S970" s="322"/>
      <c r="T970" s="322"/>
      <c r="U970" s="322"/>
      <c r="V970" s="322"/>
      <c r="W970" s="322"/>
      <c r="X970" s="322"/>
      <c r="Y970" s="322"/>
      <c r="Z970" s="322"/>
    </row>
    <row r="971" ht="12.75" customHeight="1">
      <c r="A971" s="322"/>
      <c r="B971" s="322"/>
      <c r="C971" s="323"/>
      <c r="D971" s="324"/>
      <c r="E971" s="323"/>
      <c r="F971" s="324"/>
      <c r="G971" s="322"/>
      <c r="H971" s="322"/>
      <c r="I971" s="322"/>
      <c r="J971" s="322"/>
      <c r="K971" s="322"/>
      <c r="L971" s="322"/>
      <c r="M971" s="322"/>
      <c r="N971" s="322"/>
      <c r="O971" s="322"/>
      <c r="P971" s="322"/>
      <c r="Q971" s="322"/>
      <c r="R971" s="322"/>
      <c r="S971" s="322"/>
      <c r="T971" s="322"/>
      <c r="U971" s="322"/>
      <c r="V971" s="322"/>
      <c r="W971" s="322"/>
      <c r="X971" s="322"/>
      <c r="Y971" s="322"/>
      <c r="Z971" s="322"/>
    </row>
    <row r="972" ht="12.75" customHeight="1">
      <c r="A972" s="322"/>
      <c r="B972" s="322"/>
      <c r="C972" s="323"/>
      <c r="D972" s="324"/>
      <c r="E972" s="323"/>
      <c r="F972" s="324"/>
      <c r="G972" s="322"/>
      <c r="H972" s="322"/>
      <c r="I972" s="322"/>
      <c r="J972" s="322"/>
      <c r="K972" s="322"/>
      <c r="L972" s="322"/>
      <c r="M972" s="322"/>
      <c r="N972" s="322"/>
      <c r="O972" s="322"/>
      <c r="P972" s="322"/>
      <c r="Q972" s="322"/>
      <c r="R972" s="322"/>
      <c r="S972" s="322"/>
      <c r="T972" s="322"/>
      <c r="U972" s="322"/>
      <c r="V972" s="322"/>
      <c r="W972" s="322"/>
      <c r="X972" s="322"/>
      <c r="Y972" s="322"/>
      <c r="Z972" s="322"/>
    </row>
    <row r="973" ht="12.75" customHeight="1">
      <c r="A973" s="322"/>
      <c r="B973" s="322"/>
      <c r="C973" s="323"/>
      <c r="D973" s="324"/>
      <c r="E973" s="323"/>
      <c r="F973" s="324"/>
      <c r="G973" s="322"/>
      <c r="H973" s="322"/>
      <c r="I973" s="322"/>
      <c r="J973" s="322"/>
      <c r="K973" s="322"/>
      <c r="L973" s="322"/>
      <c r="M973" s="322"/>
      <c r="N973" s="322"/>
      <c r="O973" s="322"/>
      <c r="P973" s="322"/>
      <c r="Q973" s="322"/>
      <c r="R973" s="322"/>
      <c r="S973" s="322"/>
      <c r="T973" s="322"/>
      <c r="U973" s="322"/>
      <c r="V973" s="322"/>
      <c r="W973" s="322"/>
      <c r="X973" s="322"/>
      <c r="Y973" s="322"/>
      <c r="Z973" s="322"/>
    </row>
    <row r="974" ht="12.75" customHeight="1">
      <c r="A974" s="322"/>
      <c r="B974" s="322"/>
      <c r="C974" s="323"/>
      <c r="D974" s="324"/>
      <c r="E974" s="323"/>
      <c r="F974" s="324"/>
      <c r="G974" s="322"/>
      <c r="H974" s="322"/>
      <c r="I974" s="322"/>
      <c r="J974" s="322"/>
      <c r="K974" s="322"/>
      <c r="L974" s="322"/>
      <c r="M974" s="322"/>
      <c r="N974" s="322"/>
      <c r="O974" s="322"/>
      <c r="P974" s="322"/>
      <c r="Q974" s="322"/>
      <c r="R974" s="322"/>
      <c r="S974" s="322"/>
      <c r="T974" s="322"/>
      <c r="U974" s="322"/>
      <c r="V974" s="322"/>
      <c r="W974" s="322"/>
      <c r="X974" s="322"/>
      <c r="Y974" s="322"/>
      <c r="Z974" s="322"/>
    </row>
    <row r="975" ht="12.75" customHeight="1">
      <c r="A975" s="322"/>
      <c r="B975" s="322"/>
      <c r="C975" s="323"/>
      <c r="D975" s="324"/>
      <c r="E975" s="323"/>
      <c r="F975" s="324"/>
      <c r="G975" s="322"/>
      <c r="H975" s="322"/>
      <c r="I975" s="322"/>
      <c r="J975" s="322"/>
      <c r="K975" s="322"/>
      <c r="L975" s="322"/>
      <c r="M975" s="322"/>
      <c r="N975" s="322"/>
      <c r="O975" s="322"/>
      <c r="P975" s="322"/>
      <c r="Q975" s="322"/>
      <c r="R975" s="322"/>
      <c r="S975" s="322"/>
      <c r="T975" s="322"/>
      <c r="U975" s="322"/>
      <c r="V975" s="322"/>
      <c r="W975" s="322"/>
      <c r="X975" s="322"/>
      <c r="Y975" s="322"/>
      <c r="Z975" s="322"/>
    </row>
    <row r="976" ht="12.75" customHeight="1">
      <c r="A976" s="322"/>
      <c r="B976" s="322"/>
      <c r="C976" s="323"/>
      <c r="D976" s="324"/>
      <c r="E976" s="323"/>
      <c r="F976" s="324"/>
      <c r="G976" s="322"/>
      <c r="H976" s="322"/>
      <c r="I976" s="322"/>
      <c r="J976" s="322"/>
      <c r="K976" s="322"/>
      <c r="L976" s="322"/>
      <c r="M976" s="322"/>
      <c r="N976" s="322"/>
      <c r="O976" s="322"/>
      <c r="P976" s="322"/>
      <c r="Q976" s="322"/>
      <c r="R976" s="322"/>
      <c r="S976" s="322"/>
      <c r="T976" s="322"/>
      <c r="U976" s="322"/>
      <c r="V976" s="322"/>
      <c r="W976" s="322"/>
      <c r="X976" s="322"/>
      <c r="Y976" s="322"/>
      <c r="Z976" s="322"/>
    </row>
    <row r="977" ht="12.75" customHeight="1">
      <c r="A977" s="322"/>
      <c r="B977" s="322"/>
      <c r="C977" s="323"/>
      <c r="D977" s="324"/>
      <c r="E977" s="323"/>
      <c r="F977" s="324"/>
      <c r="G977" s="322"/>
      <c r="H977" s="322"/>
      <c r="I977" s="322"/>
      <c r="J977" s="322"/>
      <c r="K977" s="322"/>
      <c r="L977" s="322"/>
      <c r="M977" s="322"/>
      <c r="N977" s="322"/>
      <c r="O977" s="322"/>
      <c r="P977" s="322"/>
      <c r="Q977" s="322"/>
      <c r="R977" s="322"/>
      <c r="S977" s="322"/>
      <c r="T977" s="322"/>
      <c r="U977" s="322"/>
      <c r="V977" s="322"/>
      <c r="W977" s="322"/>
      <c r="X977" s="322"/>
      <c r="Y977" s="322"/>
      <c r="Z977" s="322"/>
    </row>
    <row r="978" ht="12.75" customHeight="1">
      <c r="A978" s="322"/>
      <c r="B978" s="322"/>
      <c r="C978" s="323"/>
      <c r="D978" s="324"/>
      <c r="E978" s="323"/>
      <c r="F978" s="324"/>
      <c r="G978" s="322"/>
      <c r="H978" s="322"/>
      <c r="I978" s="322"/>
      <c r="J978" s="322"/>
      <c r="K978" s="322"/>
      <c r="L978" s="322"/>
      <c r="M978" s="322"/>
      <c r="N978" s="322"/>
      <c r="O978" s="322"/>
      <c r="P978" s="322"/>
      <c r="Q978" s="322"/>
      <c r="R978" s="322"/>
      <c r="S978" s="322"/>
      <c r="T978" s="322"/>
      <c r="U978" s="322"/>
      <c r="V978" s="322"/>
      <c r="W978" s="322"/>
      <c r="X978" s="322"/>
      <c r="Y978" s="322"/>
      <c r="Z978" s="322"/>
    </row>
    <row r="979" ht="12.75" customHeight="1">
      <c r="A979" s="322"/>
      <c r="B979" s="322"/>
      <c r="C979" s="323"/>
      <c r="D979" s="324"/>
      <c r="E979" s="323"/>
      <c r="F979" s="324"/>
      <c r="G979" s="322"/>
      <c r="H979" s="322"/>
      <c r="I979" s="322"/>
      <c r="J979" s="322"/>
      <c r="K979" s="322"/>
      <c r="L979" s="322"/>
      <c r="M979" s="322"/>
      <c r="N979" s="322"/>
      <c r="O979" s="322"/>
      <c r="P979" s="322"/>
      <c r="Q979" s="322"/>
      <c r="R979" s="322"/>
      <c r="S979" s="322"/>
      <c r="T979" s="322"/>
      <c r="U979" s="322"/>
      <c r="V979" s="322"/>
      <c r="W979" s="322"/>
      <c r="X979" s="322"/>
      <c r="Y979" s="322"/>
      <c r="Z979" s="322"/>
    </row>
    <row r="980" ht="12.75" customHeight="1">
      <c r="A980" s="322"/>
      <c r="B980" s="322"/>
      <c r="C980" s="323"/>
      <c r="D980" s="324"/>
      <c r="E980" s="323"/>
      <c r="F980" s="324"/>
      <c r="G980" s="322"/>
      <c r="H980" s="322"/>
      <c r="I980" s="322"/>
      <c r="J980" s="322"/>
      <c r="K980" s="322"/>
      <c r="L980" s="322"/>
      <c r="M980" s="322"/>
      <c r="N980" s="322"/>
      <c r="O980" s="322"/>
      <c r="P980" s="322"/>
      <c r="Q980" s="322"/>
      <c r="R980" s="322"/>
      <c r="S980" s="322"/>
      <c r="T980" s="322"/>
      <c r="U980" s="322"/>
      <c r="V980" s="322"/>
      <c r="W980" s="322"/>
      <c r="X980" s="322"/>
      <c r="Y980" s="322"/>
      <c r="Z980" s="322"/>
    </row>
    <row r="981" ht="12.75" customHeight="1">
      <c r="A981" s="322"/>
      <c r="B981" s="322"/>
      <c r="C981" s="323"/>
      <c r="D981" s="324"/>
      <c r="E981" s="323"/>
      <c r="F981" s="324"/>
      <c r="G981" s="322"/>
      <c r="H981" s="322"/>
      <c r="I981" s="322"/>
      <c r="J981" s="322"/>
      <c r="K981" s="322"/>
      <c r="L981" s="322"/>
      <c r="M981" s="322"/>
      <c r="N981" s="322"/>
      <c r="O981" s="322"/>
      <c r="P981" s="322"/>
      <c r="Q981" s="322"/>
      <c r="R981" s="322"/>
      <c r="S981" s="322"/>
      <c r="T981" s="322"/>
      <c r="U981" s="322"/>
      <c r="V981" s="322"/>
      <c r="W981" s="322"/>
      <c r="X981" s="322"/>
      <c r="Y981" s="322"/>
      <c r="Z981" s="322"/>
    </row>
    <row r="982" ht="12.75" customHeight="1">
      <c r="A982" s="322"/>
      <c r="B982" s="322"/>
      <c r="C982" s="323"/>
      <c r="D982" s="324"/>
      <c r="E982" s="323"/>
      <c r="F982" s="324"/>
      <c r="G982" s="322"/>
      <c r="H982" s="322"/>
      <c r="I982" s="322"/>
      <c r="J982" s="322"/>
      <c r="K982" s="322"/>
      <c r="L982" s="322"/>
      <c r="M982" s="322"/>
      <c r="N982" s="322"/>
      <c r="O982" s="322"/>
      <c r="P982" s="322"/>
      <c r="Q982" s="322"/>
      <c r="R982" s="322"/>
      <c r="S982" s="322"/>
      <c r="T982" s="322"/>
      <c r="U982" s="322"/>
      <c r="V982" s="322"/>
      <c r="W982" s="322"/>
      <c r="X982" s="322"/>
      <c r="Y982" s="322"/>
      <c r="Z982" s="322"/>
    </row>
    <row r="983" ht="12.75" customHeight="1">
      <c r="A983" s="322"/>
      <c r="B983" s="322"/>
      <c r="C983" s="323"/>
      <c r="D983" s="324"/>
      <c r="E983" s="323"/>
      <c r="F983" s="324"/>
      <c r="G983" s="322"/>
      <c r="H983" s="322"/>
      <c r="I983" s="322"/>
      <c r="J983" s="322"/>
      <c r="K983" s="322"/>
      <c r="L983" s="322"/>
      <c r="M983" s="322"/>
      <c r="N983" s="322"/>
      <c r="O983" s="322"/>
      <c r="P983" s="322"/>
      <c r="Q983" s="322"/>
      <c r="R983" s="322"/>
      <c r="S983" s="322"/>
      <c r="T983" s="322"/>
      <c r="U983" s="322"/>
      <c r="V983" s="322"/>
      <c r="W983" s="322"/>
      <c r="X983" s="322"/>
      <c r="Y983" s="322"/>
      <c r="Z983" s="322"/>
    </row>
    <row r="984" ht="12.75" customHeight="1">
      <c r="A984" s="322"/>
      <c r="B984" s="322"/>
      <c r="C984" s="323"/>
      <c r="D984" s="324"/>
      <c r="E984" s="323"/>
      <c r="F984" s="324"/>
      <c r="G984" s="322"/>
      <c r="H984" s="322"/>
      <c r="I984" s="322"/>
      <c r="J984" s="322"/>
      <c r="K984" s="322"/>
      <c r="L984" s="322"/>
      <c r="M984" s="322"/>
      <c r="N984" s="322"/>
      <c r="O984" s="322"/>
      <c r="P984" s="322"/>
      <c r="Q984" s="322"/>
      <c r="R984" s="322"/>
      <c r="S984" s="322"/>
      <c r="T984" s="322"/>
      <c r="U984" s="322"/>
      <c r="V984" s="322"/>
      <c r="W984" s="322"/>
      <c r="X984" s="322"/>
      <c r="Y984" s="322"/>
      <c r="Z984" s="322"/>
    </row>
    <row r="985" ht="12.75" customHeight="1">
      <c r="A985" s="322"/>
      <c r="B985" s="322"/>
      <c r="C985" s="323"/>
      <c r="D985" s="324"/>
      <c r="E985" s="323"/>
      <c r="F985" s="324"/>
      <c r="G985" s="322"/>
      <c r="H985" s="322"/>
      <c r="I985" s="322"/>
      <c r="J985" s="322"/>
      <c r="K985" s="322"/>
      <c r="L985" s="322"/>
      <c r="M985" s="322"/>
      <c r="N985" s="322"/>
      <c r="O985" s="322"/>
      <c r="P985" s="322"/>
      <c r="Q985" s="322"/>
      <c r="R985" s="322"/>
      <c r="S985" s="322"/>
      <c r="T985" s="322"/>
      <c r="U985" s="322"/>
      <c r="V985" s="322"/>
      <c r="W985" s="322"/>
      <c r="X985" s="322"/>
      <c r="Y985" s="322"/>
      <c r="Z985" s="322"/>
    </row>
    <row r="986" ht="12.75" customHeight="1">
      <c r="A986" s="322"/>
      <c r="B986" s="322"/>
      <c r="C986" s="323"/>
      <c r="D986" s="324"/>
      <c r="E986" s="323"/>
      <c r="F986" s="324"/>
      <c r="G986" s="322"/>
      <c r="H986" s="322"/>
      <c r="I986" s="322"/>
      <c r="J986" s="322"/>
      <c r="K986" s="322"/>
      <c r="L986" s="322"/>
      <c r="M986" s="322"/>
      <c r="N986" s="322"/>
      <c r="O986" s="322"/>
      <c r="P986" s="322"/>
      <c r="Q986" s="322"/>
      <c r="R986" s="322"/>
      <c r="S986" s="322"/>
      <c r="T986" s="322"/>
      <c r="U986" s="322"/>
      <c r="V986" s="322"/>
      <c r="W986" s="322"/>
      <c r="X986" s="322"/>
      <c r="Y986" s="322"/>
      <c r="Z986" s="322"/>
    </row>
    <row r="987" ht="12.75" customHeight="1">
      <c r="A987" s="322"/>
      <c r="B987" s="322"/>
      <c r="C987" s="323"/>
      <c r="D987" s="324"/>
      <c r="E987" s="323"/>
      <c r="F987" s="324"/>
      <c r="G987" s="322"/>
      <c r="H987" s="322"/>
      <c r="I987" s="322"/>
      <c r="J987" s="322"/>
      <c r="K987" s="322"/>
      <c r="L987" s="322"/>
      <c r="M987" s="322"/>
      <c r="N987" s="322"/>
      <c r="O987" s="322"/>
      <c r="P987" s="322"/>
      <c r="Q987" s="322"/>
      <c r="R987" s="322"/>
      <c r="S987" s="322"/>
      <c r="T987" s="322"/>
      <c r="U987" s="322"/>
      <c r="V987" s="322"/>
      <c r="W987" s="322"/>
      <c r="X987" s="322"/>
      <c r="Y987" s="322"/>
      <c r="Z987" s="322"/>
    </row>
    <row r="988" ht="12.75" customHeight="1">
      <c r="A988" s="322"/>
      <c r="B988" s="322"/>
      <c r="C988" s="323"/>
      <c r="D988" s="324"/>
      <c r="E988" s="323"/>
      <c r="F988" s="324"/>
      <c r="G988" s="322"/>
      <c r="H988" s="322"/>
      <c r="I988" s="322"/>
      <c r="J988" s="322"/>
      <c r="K988" s="322"/>
      <c r="L988" s="322"/>
      <c r="M988" s="322"/>
      <c r="N988" s="322"/>
      <c r="O988" s="322"/>
      <c r="P988" s="322"/>
      <c r="Q988" s="322"/>
      <c r="R988" s="322"/>
      <c r="S988" s="322"/>
      <c r="T988" s="322"/>
      <c r="U988" s="322"/>
      <c r="V988" s="322"/>
      <c r="W988" s="322"/>
      <c r="X988" s="322"/>
      <c r="Y988" s="322"/>
      <c r="Z988" s="322"/>
    </row>
    <row r="989" ht="12.75" customHeight="1">
      <c r="A989" s="322"/>
      <c r="B989" s="322"/>
      <c r="C989" s="323"/>
      <c r="D989" s="324"/>
      <c r="E989" s="323"/>
      <c r="F989" s="324"/>
      <c r="G989" s="322"/>
      <c r="H989" s="322"/>
      <c r="I989" s="322"/>
      <c r="J989" s="322"/>
      <c r="K989" s="322"/>
      <c r="L989" s="322"/>
      <c r="M989" s="322"/>
      <c r="N989" s="322"/>
      <c r="O989" s="322"/>
      <c r="P989" s="322"/>
      <c r="Q989" s="322"/>
      <c r="R989" s="322"/>
      <c r="S989" s="322"/>
      <c r="T989" s="322"/>
      <c r="U989" s="322"/>
      <c r="V989" s="322"/>
      <c r="W989" s="322"/>
      <c r="X989" s="322"/>
      <c r="Y989" s="322"/>
      <c r="Z989" s="322"/>
    </row>
    <row r="990" ht="12.75" customHeight="1">
      <c r="A990" s="322"/>
      <c r="B990" s="322"/>
      <c r="C990" s="323"/>
      <c r="D990" s="324"/>
      <c r="E990" s="323"/>
      <c r="F990" s="324"/>
      <c r="G990" s="322"/>
      <c r="H990" s="322"/>
      <c r="I990" s="322"/>
      <c r="J990" s="322"/>
      <c r="K990" s="322"/>
      <c r="L990" s="322"/>
      <c r="M990" s="322"/>
      <c r="N990" s="322"/>
      <c r="O990" s="322"/>
      <c r="P990" s="322"/>
      <c r="Q990" s="322"/>
      <c r="R990" s="322"/>
      <c r="S990" s="322"/>
      <c r="T990" s="322"/>
      <c r="U990" s="322"/>
      <c r="V990" s="322"/>
      <c r="W990" s="322"/>
      <c r="X990" s="322"/>
      <c r="Y990" s="322"/>
      <c r="Z990" s="322"/>
    </row>
    <row r="991" ht="12.75" customHeight="1">
      <c r="A991" s="322"/>
      <c r="B991" s="322"/>
      <c r="C991" s="323"/>
      <c r="D991" s="324"/>
      <c r="E991" s="323"/>
      <c r="F991" s="324"/>
      <c r="G991" s="322"/>
      <c r="H991" s="322"/>
      <c r="I991" s="322"/>
      <c r="J991" s="322"/>
      <c r="K991" s="322"/>
      <c r="L991" s="322"/>
      <c r="M991" s="322"/>
      <c r="N991" s="322"/>
      <c r="O991" s="322"/>
      <c r="P991" s="322"/>
      <c r="Q991" s="322"/>
      <c r="R991" s="322"/>
      <c r="S991" s="322"/>
      <c r="T991" s="322"/>
      <c r="U991" s="322"/>
      <c r="V991" s="322"/>
      <c r="W991" s="322"/>
      <c r="X991" s="322"/>
      <c r="Y991" s="322"/>
      <c r="Z991" s="322"/>
    </row>
    <row r="992" ht="12.75" customHeight="1">
      <c r="A992" s="322"/>
      <c r="B992" s="322"/>
      <c r="C992" s="323"/>
      <c r="D992" s="324"/>
      <c r="E992" s="323"/>
      <c r="F992" s="324"/>
      <c r="G992" s="322"/>
      <c r="H992" s="322"/>
      <c r="I992" s="322"/>
      <c r="J992" s="322"/>
      <c r="K992" s="322"/>
      <c r="L992" s="322"/>
      <c r="M992" s="322"/>
      <c r="N992" s="322"/>
      <c r="O992" s="322"/>
      <c r="P992" s="322"/>
      <c r="Q992" s="322"/>
      <c r="R992" s="322"/>
      <c r="S992" s="322"/>
      <c r="T992" s="322"/>
      <c r="U992" s="322"/>
      <c r="V992" s="322"/>
      <c r="W992" s="322"/>
      <c r="X992" s="322"/>
      <c r="Y992" s="322"/>
      <c r="Z992" s="322"/>
    </row>
    <row r="993" ht="12.75" customHeight="1">
      <c r="A993" s="322"/>
      <c r="B993" s="322"/>
      <c r="C993" s="323"/>
      <c r="D993" s="324"/>
      <c r="E993" s="323"/>
      <c r="F993" s="324"/>
      <c r="G993" s="322"/>
      <c r="H993" s="322"/>
      <c r="I993" s="322"/>
      <c r="J993" s="322"/>
      <c r="K993" s="322"/>
      <c r="L993" s="322"/>
      <c r="M993" s="322"/>
      <c r="N993" s="322"/>
      <c r="O993" s="322"/>
      <c r="P993" s="322"/>
      <c r="Q993" s="322"/>
      <c r="R993" s="322"/>
      <c r="S993" s="322"/>
      <c r="T993" s="322"/>
      <c r="U993" s="322"/>
      <c r="V993" s="322"/>
      <c r="W993" s="322"/>
      <c r="X993" s="322"/>
      <c r="Y993" s="322"/>
      <c r="Z993" s="322"/>
    </row>
    <row r="994" ht="12.75" customHeight="1">
      <c r="A994" s="322"/>
      <c r="B994" s="322"/>
      <c r="C994" s="323"/>
      <c r="D994" s="324"/>
      <c r="E994" s="323"/>
      <c r="F994" s="324"/>
      <c r="G994" s="322"/>
      <c r="H994" s="322"/>
      <c r="I994" s="322"/>
      <c r="J994" s="322"/>
      <c r="K994" s="322"/>
      <c r="L994" s="322"/>
      <c r="M994" s="322"/>
      <c r="N994" s="322"/>
      <c r="O994" s="322"/>
      <c r="P994" s="322"/>
      <c r="Q994" s="322"/>
      <c r="R994" s="322"/>
      <c r="S994" s="322"/>
      <c r="T994" s="322"/>
      <c r="U994" s="322"/>
      <c r="V994" s="322"/>
      <c r="W994" s="322"/>
      <c r="X994" s="322"/>
      <c r="Y994" s="322"/>
      <c r="Z994" s="322"/>
    </row>
    <row r="995" ht="12.75" customHeight="1">
      <c r="A995" s="322"/>
      <c r="B995" s="322"/>
      <c r="C995" s="323"/>
      <c r="D995" s="324"/>
      <c r="E995" s="323"/>
      <c r="F995" s="324"/>
      <c r="G995" s="322"/>
      <c r="H995" s="322"/>
      <c r="I995" s="322"/>
      <c r="J995" s="322"/>
      <c r="K995" s="322"/>
      <c r="L995" s="322"/>
      <c r="M995" s="322"/>
      <c r="N995" s="322"/>
      <c r="O995" s="322"/>
      <c r="P995" s="322"/>
      <c r="Q995" s="322"/>
      <c r="R995" s="322"/>
      <c r="S995" s="322"/>
      <c r="T995" s="322"/>
      <c r="U995" s="322"/>
      <c r="V995" s="322"/>
      <c r="W995" s="322"/>
      <c r="X995" s="322"/>
      <c r="Y995" s="322"/>
      <c r="Z995" s="322"/>
    </row>
    <row r="996" ht="12.75" customHeight="1">
      <c r="A996" s="322"/>
      <c r="B996" s="322"/>
      <c r="C996" s="323"/>
      <c r="D996" s="324"/>
      <c r="E996" s="323"/>
      <c r="F996" s="324"/>
      <c r="G996" s="322"/>
      <c r="H996" s="322"/>
      <c r="I996" s="322"/>
      <c r="J996" s="322"/>
      <c r="K996" s="322"/>
      <c r="L996" s="322"/>
      <c r="M996" s="322"/>
      <c r="N996" s="322"/>
      <c r="O996" s="322"/>
      <c r="P996" s="322"/>
      <c r="Q996" s="322"/>
      <c r="R996" s="322"/>
      <c r="S996" s="322"/>
      <c r="T996" s="322"/>
      <c r="U996" s="322"/>
      <c r="V996" s="322"/>
      <c r="W996" s="322"/>
      <c r="X996" s="322"/>
      <c r="Y996" s="322"/>
      <c r="Z996" s="322"/>
    </row>
    <row r="997" ht="12.75" customHeight="1">
      <c r="A997" s="322"/>
      <c r="B997" s="322"/>
      <c r="C997" s="323"/>
      <c r="D997" s="324"/>
      <c r="E997" s="323"/>
      <c r="F997" s="324"/>
      <c r="G997" s="322"/>
      <c r="H997" s="322"/>
      <c r="I997" s="322"/>
      <c r="J997" s="322"/>
      <c r="K997" s="322"/>
      <c r="L997" s="322"/>
      <c r="M997" s="322"/>
      <c r="N997" s="322"/>
      <c r="O997" s="322"/>
      <c r="P997" s="322"/>
      <c r="Q997" s="322"/>
      <c r="R997" s="322"/>
      <c r="S997" s="322"/>
      <c r="T997" s="322"/>
      <c r="U997" s="322"/>
      <c r="V997" s="322"/>
      <c r="W997" s="322"/>
      <c r="X997" s="322"/>
      <c r="Y997" s="322"/>
      <c r="Z997" s="322"/>
    </row>
    <row r="998" ht="12.75" customHeight="1">
      <c r="A998" s="322"/>
      <c r="B998" s="322"/>
      <c r="C998" s="323"/>
      <c r="D998" s="324"/>
      <c r="E998" s="323"/>
      <c r="F998" s="324"/>
      <c r="G998" s="322"/>
      <c r="H998" s="322"/>
      <c r="I998" s="322"/>
      <c r="J998" s="322"/>
      <c r="K998" s="322"/>
      <c r="L998" s="322"/>
      <c r="M998" s="322"/>
      <c r="N998" s="322"/>
      <c r="O998" s="322"/>
      <c r="P998" s="322"/>
      <c r="Q998" s="322"/>
      <c r="R998" s="322"/>
      <c r="S998" s="322"/>
      <c r="T998" s="322"/>
      <c r="U998" s="322"/>
      <c r="V998" s="322"/>
      <c r="W998" s="322"/>
      <c r="X998" s="322"/>
      <c r="Y998" s="322"/>
      <c r="Z998" s="322"/>
    </row>
    <row r="999" ht="12.75" customHeight="1">
      <c r="A999" s="322"/>
      <c r="B999" s="322"/>
      <c r="C999" s="323"/>
      <c r="D999" s="324"/>
      <c r="E999" s="323"/>
      <c r="F999" s="324"/>
      <c r="G999" s="322"/>
      <c r="H999" s="322"/>
      <c r="I999" s="322"/>
      <c r="J999" s="322"/>
      <c r="K999" s="322"/>
      <c r="L999" s="322"/>
      <c r="M999" s="322"/>
      <c r="N999" s="322"/>
      <c r="O999" s="322"/>
      <c r="P999" s="322"/>
      <c r="Q999" s="322"/>
      <c r="R999" s="322"/>
      <c r="S999" s="322"/>
      <c r="T999" s="322"/>
      <c r="U999" s="322"/>
      <c r="V999" s="322"/>
      <c r="W999" s="322"/>
      <c r="X999" s="322"/>
      <c r="Y999" s="322"/>
      <c r="Z999" s="322"/>
    </row>
    <row r="1000" ht="12.75" customHeight="1">
      <c r="A1000" s="322"/>
      <c r="B1000" s="322"/>
      <c r="C1000" s="323"/>
      <c r="D1000" s="324"/>
      <c r="E1000" s="323"/>
      <c r="F1000" s="324"/>
      <c r="G1000" s="322"/>
      <c r="H1000" s="322"/>
      <c r="I1000" s="322"/>
      <c r="J1000" s="322"/>
      <c r="K1000" s="322"/>
      <c r="L1000" s="322"/>
      <c r="M1000" s="322"/>
      <c r="N1000" s="322"/>
      <c r="O1000" s="322"/>
      <c r="P1000" s="322"/>
      <c r="Q1000" s="322"/>
      <c r="R1000" s="322"/>
      <c r="S1000" s="322"/>
      <c r="T1000" s="322"/>
      <c r="U1000" s="322"/>
      <c r="V1000" s="322"/>
      <c r="W1000" s="322"/>
      <c r="X1000" s="322"/>
      <c r="Y1000" s="322"/>
      <c r="Z1000" s="322"/>
    </row>
    <row r="1001" ht="12.75" customHeight="1">
      <c r="A1001" s="322"/>
      <c r="B1001" s="322"/>
      <c r="C1001" s="323"/>
      <c r="D1001" s="324"/>
      <c r="E1001" s="323"/>
      <c r="F1001" s="324"/>
      <c r="G1001" s="322"/>
      <c r="H1001" s="322"/>
      <c r="I1001" s="322"/>
      <c r="J1001" s="322"/>
      <c r="K1001" s="322"/>
      <c r="L1001" s="322"/>
      <c r="M1001" s="322"/>
      <c r="N1001" s="322"/>
      <c r="O1001" s="322"/>
      <c r="P1001" s="322"/>
      <c r="Q1001" s="322"/>
      <c r="R1001" s="322"/>
      <c r="S1001" s="322"/>
      <c r="T1001" s="322"/>
      <c r="U1001" s="322"/>
      <c r="V1001" s="322"/>
      <c r="W1001" s="322"/>
      <c r="X1001" s="322"/>
      <c r="Y1001" s="322"/>
      <c r="Z1001" s="322"/>
    </row>
    <row r="1002" ht="12.75" customHeight="1">
      <c r="A1002" s="322"/>
      <c r="B1002" s="322"/>
      <c r="C1002" s="323"/>
      <c r="D1002" s="324"/>
      <c r="E1002" s="323"/>
      <c r="F1002" s="324"/>
      <c r="G1002" s="322"/>
      <c r="H1002" s="322"/>
      <c r="I1002" s="322"/>
      <c r="J1002" s="322"/>
      <c r="K1002" s="322"/>
      <c r="L1002" s="322"/>
      <c r="M1002" s="322"/>
      <c r="N1002" s="322"/>
      <c r="O1002" s="322"/>
      <c r="P1002" s="322"/>
      <c r="Q1002" s="322"/>
      <c r="R1002" s="322"/>
      <c r="S1002" s="322"/>
      <c r="T1002" s="322"/>
      <c r="U1002" s="322"/>
      <c r="V1002" s="322"/>
      <c r="W1002" s="322"/>
      <c r="X1002" s="322"/>
      <c r="Y1002" s="322"/>
      <c r="Z1002" s="322"/>
    </row>
    <row r="1003" ht="12.75" customHeight="1">
      <c r="A1003" s="322"/>
      <c r="B1003" s="322"/>
      <c r="C1003" s="323"/>
      <c r="D1003" s="324"/>
      <c r="E1003" s="323"/>
      <c r="F1003" s="324"/>
      <c r="G1003" s="322"/>
      <c r="H1003" s="322"/>
      <c r="I1003" s="322"/>
      <c r="J1003" s="322"/>
      <c r="K1003" s="322"/>
      <c r="L1003" s="322"/>
      <c r="M1003" s="322"/>
      <c r="N1003" s="322"/>
      <c r="O1003" s="322"/>
      <c r="P1003" s="322"/>
      <c r="Q1003" s="322"/>
      <c r="R1003" s="322"/>
      <c r="S1003" s="322"/>
      <c r="T1003" s="322"/>
      <c r="U1003" s="322"/>
      <c r="V1003" s="322"/>
      <c r="W1003" s="322"/>
      <c r="X1003" s="322"/>
      <c r="Y1003" s="322"/>
      <c r="Z1003" s="322"/>
    </row>
    <row r="1004" ht="12.75" customHeight="1">
      <c r="A1004" s="322"/>
      <c r="B1004" s="322"/>
      <c r="C1004" s="323"/>
      <c r="D1004" s="324"/>
      <c r="E1004" s="323"/>
      <c r="F1004" s="324"/>
      <c r="G1004" s="322"/>
      <c r="H1004" s="322"/>
      <c r="I1004" s="322"/>
      <c r="J1004" s="322"/>
      <c r="K1004" s="322"/>
      <c r="L1004" s="322"/>
      <c r="M1004" s="322"/>
      <c r="N1004" s="322"/>
      <c r="O1004" s="322"/>
      <c r="P1004" s="322"/>
      <c r="Q1004" s="322"/>
      <c r="R1004" s="322"/>
      <c r="S1004" s="322"/>
      <c r="T1004" s="322"/>
      <c r="U1004" s="322"/>
      <c r="V1004" s="322"/>
      <c r="W1004" s="322"/>
      <c r="X1004" s="322"/>
      <c r="Y1004" s="322"/>
      <c r="Z1004" s="322"/>
    </row>
    <row r="1005" ht="12.75" customHeight="1">
      <c r="A1005" s="322"/>
      <c r="B1005" s="322"/>
      <c r="C1005" s="323"/>
      <c r="D1005" s="324"/>
      <c r="E1005" s="323"/>
      <c r="F1005" s="324"/>
      <c r="G1005" s="322"/>
      <c r="H1005" s="322"/>
      <c r="I1005" s="322"/>
      <c r="J1005" s="322"/>
      <c r="K1005" s="322"/>
      <c r="L1005" s="322"/>
      <c r="M1005" s="322"/>
      <c r="N1005" s="322"/>
      <c r="O1005" s="322"/>
      <c r="P1005" s="322"/>
      <c r="Q1005" s="322"/>
      <c r="R1005" s="322"/>
      <c r="S1005" s="322"/>
      <c r="T1005" s="322"/>
      <c r="U1005" s="322"/>
      <c r="V1005" s="322"/>
      <c r="W1005" s="322"/>
      <c r="X1005" s="322"/>
      <c r="Y1005" s="322"/>
      <c r="Z1005" s="322"/>
    </row>
    <row r="1006" ht="12.75" customHeight="1">
      <c r="A1006" s="322"/>
      <c r="B1006" s="322"/>
      <c r="C1006" s="323"/>
      <c r="D1006" s="324"/>
      <c r="E1006" s="323"/>
      <c r="F1006" s="324"/>
      <c r="G1006" s="322"/>
      <c r="H1006" s="322"/>
      <c r="I1006" s="322"/>
      <c r="J1006" s="322"/>
      <c r="K1006" s="322"/>
      <c r="L1006" s="322"/>
      <c r="M1006" s="322"/>
      <c r="N1006" s="322"/>
      <c r="O1006" s="322"/>
      <c r="P1006" s="322"/>
      <c r="Q1006" s="322"/>
      <c r="R1006" s="322"/>
      <c r="S1006" s="322"/>
      <c r="T1006" s="322"/>
      <c r="U1006" s="322"/>
      <c r="V1006" s="322"/>
      <c r="W1006" s="322"/>
      <c r="X1006" s="322"/>
      <c r="Y1006" s="322"/>
      <c r="Z1006" s="322"/>
    </row>
  </sheetData>
  <conditionalFormatting sqref="C39">
    <cfRule type="cellIs" dxfId="4" priority="1" operator="lessThan">
      <formula>0</formula>
    </cfRule>
  </conditionalFormatting>
  <dataValidations>
    <dataValidation type="list" allowBlank="1" sqref="G8:G18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0"/>
    <col customWidth="1" min="2" max="2" width="6.0"/>
    <col customWidth="1" min="3" max="4" width="18.5"/>
    <col customWidth="1" min="5" max="5" width="19.75"/>
    <col customWidth="1" min="6" max="6" width="18.88"/>
    <col customWidth="1" min="7" max="7" width="14.5"/>
    <col customWidth="1" min="8" max="8" width="48.13"/>
    <col customWidth="1" min="9" max="9" width="2.88"/>
    <col customWidth="1" min="10" max="11" width="30.88"/>
    <col customWidth="1" min="12" max="12" width="16.75"/>
  </cols>
  <sheetData>
    <row r="1">
      <c r="A1" s="963" t="s">
        <v>734</v>
      </c>
      <c r="B1" s="963"/>
      <c r="C1" s="963"/>
      <c r="D1" s="963"/>
      <c r="E1" s="964"/>
      <c r="F1" s="963"/>
      <c r="G1" s="965"/>
      <c r="H1" s="966"/>
      <c r="I1" s="967"/>
      <c r="J1" s="968"/>
      <c r="K1" s="968"/>
      <c r="L1" s="968"/>
      <c r="M1" s="968"/>
      <c r="N1" s="968"/>
      <c r="O1" s="969"/>
      <c r="P1" s="969"/>
      <c r="Q1" s="969"/>
      <c r="R1" s="969"/>
      <c r="S1" s="969"/>
      <c r="T1" s="969"/>
      <c r="U1" s="969"/>
      <c r="V1" s="969"/>
      <c r="W1" s="969"/>
      <c r="X1" s="969"/>
      <c r="Y1" s="969"/>
      <c r="Z1" s="969"/>
      <c r="AA1" s="969"/>
      <c r="AB1" s="969"/>
      <c r="AC1" s="969"/>
      <c r="AD1" s="969"/>
    </row>
    <row r="2">
      <c r="A2" s="970" t="s">
        <v>742</v>
      </c>
      <c r="B2" s="970" t="s">
        <v>584</v>
      </c>
      <c r="C2" s="970" t="s">
        <v>743</v>
      </c>
      <c r="D2" s="970" t="s">
        <v>302</v>
      </c>
      <c r="E2" s="971" t="s">
        <v>744</v>
      </c>
      <c r="F2" s="970" t="s">
        <v>352</v>
      </c>
      <c r="G2" s="972" t="s">
        <v>745</v>
      </c>
      <c r="H2" s="972" t="s">
        <v>552</v>
      </c>
      <c r="I2" s="973"/>
      <c r="J2" s="970" t="s">
        <v>746</v>
      </c>
      <c r="K2" s="970" t="s">
        <v>747</v>
      </c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974"/>
      <c r="AA2" s="974"/>
      <c r="AB2" s="974"/>
      <c r="AC2" s="974"/>
      <c r="AD2" s="974"/>
    </row>
    <row r="3">
      <c r="A3" s="354" t="s">
        <v>748</v>
      </c>
      <c r="B3" s="361">
        <v>1.0</v>
      </c>
      <c r="C3" s="339">
        <v>0.2499</v>
      </c>
      <c r="D3" s="340">
        <v>100.0</v>
      </c>
      <c r="E3" s="351">
        <v>391.63</v>
      </c>
      <c r="F3" s="354" t="s">
        <v>749</v>
      </c>
      <c r="G3" s="975">
        <f t="shared" ref="G3:G14" si="1">E3/D3</f>
        <v>3.9163</v>
      </c>
      <c r="H3" s="354" t="s">
        <v>750</v>
      </c>
      <c r="I3" s="976"/>
      <c r="J3" s="958">
        <v>43756.0</v>
      </c>
      <c r="K3" s="959">
        <v>55000.0</v>
      </c>
      <c r="L3" s="977"/>
      <c r="M3" s="977"/>
      <c r="N3" s="977"/>
      <c r="O3" s="977"/>
      <c r="P3" s="977"/>
      <c r="Q3" s="977"/>
      <c r="R3" s="977"/>
      <c r="S3" s="977"/>
      <c r="T3" s="977"/>
      <c r="U3" s="977"/>
      <c r="V3" s="977"/>
      <c r="W3" s="977"/>
      <c r="X3" s="977"/>
      <c r="Y3" s="977"/>
      <c r="Z3" s="977"/>
      <c r="AA3" s="977"/>
      <c r="AB3" s="977"/>
      <c r="AC3" s="977"/>
      <c r="AD3" s="977"/>
    </row>
    <row r="4">
      <c r="A4" s="354" t="s">
        <v>315</v>
      </c>
      <c r="B4" s="954">
        <v>1.0</v>
      </c>
      <c r="C4" s="339">
        <v>0.2499</v>
      </c>
      <c r="D4" s="340">
        <v>200.0</v>
      </c>
      <c r="E4" s="351">
        <v>995.0</v>
      </c>
      <c r="F4" s="354" t="s">
        <v>749</v>
      </c>
      <c r="G4" s="975">
        <f t="shared" si="1"/>
        <v>4.975</v>
      </c>
      <c r="H4" s="354" t="s">
        <v>750</v>
      </c>
      <c r="I4" s="976"/>
      <c r="J4" s="958">
        <v>43787.0</v>
      </c>
      <c r="K4" s="960">
        <v>60000.0</v>
      </c>
      <c r="L4" s="978"/>
      <c r="M4" s="978"/>
      <c r="N4" s="978"/>
      <c r="O4" s="978"/>
      <c r="P4" s="978"/>
      <c r="Q4" s="978"/>
      <c r="R4" s="978"/>
      <c r="S4" s="978"/>
      <c r="T4" s="978"/>
      <c r="U4" s="978"/>
      <c r="V4" s="978"/>
      <c r="W4" s="978"/>
      <c r="X4" s="978"/>
      <c r="Y4" s="978"/>
      <c r="Z4" s="978"/>
      <c r="AA4" s="978"/>
      <c r="AB4" s="978"/>
      <c r="AC4" s="978"/>
      <c r="AD4" s="978"/>
    </row>
    <row r="5">
      <c r="A5" s="952" t="s">
        <v>58</v>
      </c>
      <c r="B5" s="361">
        <v>1.0</v>
      </c>
      <c r="C5" s="362">
        <v>0.2624</v>
      </c>
      <c r="D5" s="340">
        <v>25.0</v>
      </c>
      <c r="E5" s="343">
        <v>316.0</v>
      </c>
      <c r="F5" s="354" t="s">
        <v>749</v>
      </c>
      <c r="G5" s="975">
        <f t="shared" si="1"/>
        <v>12.64</v>
      </c>
      <c r="H5" s="354" t="s">
        <v>750</v>
      </c>
      <c r="I5" s="979"/>
      <c r="J5" s="958">
        <v>43817.0</v>
      </c>
      <c r="K5" s="960">
        <f t="shared" ref="K5:K10" si="2">K4-3000</f>
        <v>57000</v>
      </c>
      <c r="L5" s="980"/>
      <c r="M5" s="980"/>
      <c r="N5" s="980"/>
      <c r="O5" s="981"/>
      <c r="P5" s="981"/>
      <c r="Q5" s="981"/>
      <c r="R5" s="981"/>
      <c r="S5" s="981"/>
      <c r="T5" s="981"/>
      <c r="U5" s="981"/>
      <c r="V5" s="981"/>
      <c r="W5" s="981"/>
      <c r="X5" s="981"/>
      <c r="Y5" s="981"/>
      <c r="Z5" s="981"/>
      <c r="AA5" s="981"/>
      <c r="AB5" s="981"/>
      <c r="AC5" s="981"/>
      <c r="AD5" s="981"/>
    </row>
    <row r="6">
      <c r="A6" s="952" t="s">
        <v>316</v>
      </c>
      <c r="B6" s="361">
        <v>2.0</v>
      </c>
      <c r="C6" s="362">
        <v>0.2624</v>
      </c>
      <c r="D6" s="953">
        <v>500.0</v>
      </c>
      <c r="E6" s="343">
        <v>1142.0</v>
      </c>
      <c r="F6" s="354" t="s">
        <v>749</v>
      </c>
      <c r="G6" s="975">
        <f t="shared" si="1"/>
        <v>2.284</v>
      </c>
      <c r="H6" s="354" t="s">
        <v>750</v>
      </c>
      <c r="I6" s="976"/>
      <c r="J6" s="961">
        <v>43484.0</v>
      </c>
      <c r="K6" s="960">
        <f t="shared" si="2"/>
        <v>54000</v>
      </c>
      <c r="L6" s="980"/>
      <c r="M6" s="980"/>
      <c r="N6" s="980"/>
      <c r="O6" s="981"/>
      <c r="P6" s="981"/>
      <c r="Q6" s="981"/>
      <c r="R6" s="981"/>
      <c r="S6" s="981"/>
      <c r="T6" s="981"/>
      <c r="U6" s="981"/>
      <c r="V6" s="981"/>
      <c r="W6" s="981"/>
      <c r="X6" s="981"/>
      <c r="Y6" s="981"/>
      <c r="Z6" s="981"/>
      <c r="AA6" s="981"/>
      <c r="AB6" s="981"/>
      <c r="AC6" s="981"/>
      <c r="AD6" s="981"/>
    </row>
    <row r="7">
      <c r="A7" s="354" t="s">
        <v>319</v>
      </c>
      <c r="B7" s="954">
        <v>2.0</v>
      </c>
      <c r="C7" s="339">
        <v>0.2265</v>
      </c>
      <c r="D7" s="340">
        <v>250.0</v>
      </c>
      <c r="E7" s="351">
        <v>3000.0</v>
      </c>
      <c r="F7" s="354" t="s">
        <v>749</v>
      </c>
      <c r="G7" s="975">
        <f t="shared" si="1"/>
        <v>12</v>
      </c>
      <c r="H7" s="354" t="s">
        <v>750</v>
      </c>
      <c r="I7" s="976"/>
      <c r="J7" s="962">
        <v>43515.0</v>
      </c>
      <c r="K7" s="960">
        <f t="shared" si="2"/>
        <v>51000</v>
      </c>
      <c r="L7" s="977"/>
      <c r="M7" s="977"/>
      <c r="N7" s="977"/>
      <c r="O7" s="977"/>
      <c r="P7" s="977"/>
      <c r="Q7" s="977"/>
      <c r="R7" s="977"/>
      <c r="S7" s="977"/>
      <c r="T7" s="977"/>
      <c r="U7" s="977"/>
      <c r="V7" s="977"/>
      <c r="W7" s="977"/>
      <c r="X7" s="977"/>
      <c r="Y7" s="977"/>
      <c r="Z7" s="977"/>
      <c r="AA7" s="977"/>
      <c r="AB7" s="977"/>
      <c r="AC7" s="977"/>
      <c r="AD7" s="977"/>
    </row>
    <row r="8">
      <c r="A8" s="354" t="s">
        <v>66</v>
      </c>
      <c r="B8" s="954">
        <v>2.0</v>
      </c>
      <c r="C8" s="955" t="s">
        <v>738</v>
      </c>
      <c r="D8" s="340">
        <v>75.0</v>
      </c>
      <c r="E8" s="351">
        <v>2864.0</v>
      </c>
      <c r="F8" s="354" t="s">
        <v>749</v>
      </c>
      <c r="G8" s="975">
        <f t="shared" si="1"/>
        <v>38.18666667</v>
      </c>
      <c r="H8" s="354" t="s">
        <v>750</v>
      </c>
      <c r="I8" s="976"/>
      <c r="J8" s="961">
        <v>43543.0</v>
      </c>
      <c r="K8" s="960">
        <f t="shared" si="2"/>
        <v>48000</v>
      </c>
      <c r="L8" s="978"/>
      <c r="M8" s="978"/>
      <c r="N8" s="978"/>
      <c r="O8" s="978"/>
      <c r="P8" s="978"/>
      <c r="Q8" s="978"/>
      <c r="R8" s="978"/>
      <c r="S8" s="978"/>
      <c r="T8" s="978"/>
      <c r="U8" s="978"/>
      <c r="V8" s="978"/>
      <c r="W8" s="978"/>
      <c r="X8" s="978"/>
      <c r="Y8" s="978"/>
      <c r="Z8" s="978"/>
      <c r="AA8" s="978"/>
      <c r="AB8" s="978"/>
      <c r="AC8" s="978"/>
      <c r="AD8" s="978"/>
    </row>
    <row r="9">
      <c r="A9" s="354" t="s">
        <v>751</v>
      </c>
      <c r="B9" s="954">
        <v>2.0</v>
      </c>
      <c r="C9" s="339">
        <v>0.2499</v>
      </c>
      <c r="D9" s="340">
        <v>200.0</v>
      </c>
      <c r="E9" s="351">
        <f>3456</f>
        <v>3456</v>
      </c>
      <c r="F9" s="354" t="s">
        <v>749</v>
      </c>
      <c r="G9" s="975">
        <f t="shared" si="1"/>
        <v>17.28</v>
      </c>
      <c r="H9" s="354" t="s">
        <v>750</v>
      </c>
      <c r="I9" s="976"/>
      <c r="J9" s="962">
        <v>43574.0</v>
      </c>
      <c r="K9" s="960">
        <f t="shared" si="2"/>
        <v>45000</v>
      </c>
      <c r="L9" s="978"/>
      <c r="M9" s="978"/>
      <c r="N9" s="978"/>
      <c r="O9" s="978"/>
      <c r="P9" s="978"/>
      <c r="Q9" s="978"/>
      <c r="R9" s="978"/>
      <c r="S9" s="978"/>
      <c r="T9" s="978"/>
      <c r="U9" s="978"/>
      <c r="V9" s="978"/>
      <c r="W9" s="978"/>
      <c r="X9" s="978"/>
      <c r="Y9" s="978"/>
      <c r="Z9" s="978"/>
      <c r="AA9" s="978"/>
      <c r="AB9" s="978"/>
      <c r="AC9" s="978"/>
      <c r="AD9" s="978"/>
    </row>
    <row r="10">
      <c r="A10" s="349" t="s">
        <v>60</v>
      </c>
      <c r="B10" s="954">
        <v>3.0</v>
      </c>
      <c r="C10" s="956">
        <v>0.044</v>
      </c>
      <c r="D10" s="340">
        <v>109.0</v>
      </c>
      <c r="E10" s="351">
        <v>7002.65</v>
      </c>
      <c r="F10" s="354" t="s">
        <v>749</v>
      </c>
      <c r="G10" s="975">
        <f t="shared" si="1"/>
        <v>64.24449541</v>
      </c>
      <c r="H10" s="982"/>
      <c r="I10" s="979"/>
      <c r="J10" s="961">
        <v>43604.0</v>
      </c>
      <c r="K10" s="960">
        <f t="shared" si="2"/>
        <v>42000</v>
      </c>
      <c r="L10" s="978"/>
      <c r="M10" s="978"/>
      <c r="N10" s="978"/>
      <c r="O10" s="978"/>
      <c r="P10" s="978"/>
      <c r="Q10" s="978"/>
      <c r="R10" s="978"/>
      <c r="S10" s="978"/>
      <c r="T10" s="978"/>
      <c r="U10" s="978"/>
      <c r="V10" s="978"/>
      <c r="W10" s="978"/>
      <c r="X10" s="978"/>
      <c r="Y10" s="978"/>
      <c r="Z10" s="978"/>
      <c r="AA10" s="978"/>
      <c r="AB10" s="978"/>
      <c r="AC10" s="978"/>
      <c r="AD10" s="978"/>
    </row>
    <row r="11">
      <c r="A11" s="983" t="s">
        <v>739</v>
      </c>
      <c r="B11" s="352">
        <v>3.0</v>
      </c>
      <c r="C11" s="345">
        <v>0.05</v>
      </c>
      <c r="D11" s="346">
        <v>100.0</v>
      </c>
      <c r="E11" s="347">
        <f>3410-100-100-100-110</f>
        <v>3000</v>
      </c>
      <c r="F11" s="984" t="s">
        <v>749</v>
      </c>
      <c r="G11" s="985">
        <f t="shared" si="1"/>
        <v>30</v>
      </c>
      <c r="H11" s="354"/>
      <c r="I11" s="986"/>
      <c r="J11" s="962">
        <v>43635.0</v>
      </c>
      <c r="K11" s="960">
        <f>K10</f>
        <v>42000</v>
      </c>
      <c r="L11" s="987"/>
      <c r="M11" s="987"/>
      <c r="N11" s="987"/>
      <c r="O11" s="987"/>
      <c r="P11" s="987"/>
      <c r="Q11" s="987"/>
      <c r="R11" s="987"/>
      <c r="S11" s="987"/>
      <c r="T11" s="987"/>
      <c r="U11" s="987"/>
      <c r="V11" s="987"/>
      <c r="W11" s="987"/>
      <c r="X11" s="987"/>
      <c r="Y11" s="987"/>
      <c r="Z11" s="987"/>
      <c r="AA11" s="987"/>
      <c r="AB11" s="987"/>
      <c r="AC11" s="987"/>
      <c r="AD11" s="987"/>
    </row>
    <row r="12">
      <c r="A12" s="984" t="s">
        <v>752</v>
      </c>
      <c r="B12" s="352">
        <v>3.0</v>
      </c>
      <c r="C12" s="345">
        <v>0.0</v>
      </c>
      <c r="D12" s="346">
        <v>400.0</v>
      </c>
      <c r="E12" s="347">
        <f>2500+6950+750+300+100-100+411-500-500+1903.63-400-400-400</f>
        <v>10614.63</v>
      </c>
      <c r="F12" s="984" t="s">
        <v>749</v>
      </c>
      <c r="G12" s="985">
        <f t="shared" si="1"/>
        <v>26.536575</v>
      </c>
      <c r="H12" s="354"/>
      <c r="I12" s="979"/>
      <c r="J12" s="961">
        <v>43665.0</v>
      </c>
      <c r="K12" s="960">
        <v>43781.0</v>
      </c>
      <c r="L12" s="987"/>
      <c r="M12" s="987"/>
      <c r="N12" s="987"/>
      <c r="O12" s="987"/>
      <c r="P12" s="987"/>
      <c r="Q12" s="987"/>
      <c r="R12" s="987"/>
      <c r="S12" s="987"/>
      <c r="T12" s="987"/>
      <c r="U12" s="987"/>
      <c r="V12" s="987"/>
      <c r="W12" s="987"/>
      <c r="X12" s="987"/>
      <c r="Y12" s="987"/>
      <c r="Z12" s="987"/>
      <c r="AA12" s="987"/>
      <c r="AB12" s="987"/>
      <c r="AC12" s="987"/>
      <c r="AD12" s="987"/>
    </row>
    <row r="13">
      <c r="A13" s="983" t="s">
        <v>740</v>
      </c>
      <c r="B13" s="352">
        <v>3.0</v>
      </c>
      <c r="C13" s="345">
        <v>0.05</v>
      </c>
      <c r="D13" s="346">
        <v>200.0</v>
      </c>
      <c r="E13" s="347">
        <f>13800-200-200-200-200-200-200</f>
        <v>12600</v>
      </c>
      <c r="F13" s="984" t="s">
        <v>749</v>
      </c>
      <c r="G13" s="985">
        <f t="shared" si="1"/>
        <v>63</v>
      </c>
      <c r="H13" s="354"/>
      <c r="I13" s="986"/>
      <c r="J13" s="962">
        <v>43696.0</v>
      </c>
      <c r="K13" s="960">
        <f>K12-3000</f>
        <v>40781</v>
      </c>
      <c r="L13" s="987"/>
      <c r="M13" s="987"/>
      <c r="N13" s="987"/>
      <c r="O13" s="987"/>
      <c r="P13" s="987"/>
      <c r="Q13" s="987"/>
      <c r="R13" s="987"/>
      <c r="S13" s="987"/>
      <c r="T13" s="987"/>
      <c r="U13" s="987"/>
      <c r="V13" s="987"/>
      <c r="W13" s="987"/>
      <c r="X13" s="987"/>
      <c r="Y13" s="987"/>
      <c r="Z13" s="987"/>
      <c r="AA13" s="987"/>
      <c r="AB13" s="987"/>
      <c r="AC13" s="987"/>
      <c r="AD13" s="987"/>
    </row>
    <row r="14">
      <c r="A14" s="354" t="s">
        <v>753</v>
      </c>
      <c r="B14" s="361">
        <v>3.0</v>
      </c>
      <c r="C14" s="339">
        <v>0.0</v>
      </c>
      <c r="D14" s="340">
        <v>100.0</v>
      </c>
      <c r="E14" s="351">
        <f>1090.91-500-100</f>
        <v>490.91</v>
      </c>
      <c r="F14" s="354" t="s">
        <v>749</v>
      </c>
      <c r="G14" s="975">
        <f t="shared" si="1"/>
        <v>4.9091</v>
      </c>
      <c r="H14" s="354" t="s">
        <v>754</v>
      </c>
      <c r="I14" s="986"/>
      <c r="J14" s="961">
        <v>43727.0</v>
      </c>
      <c r="K14" s="960">
        <f t="shared" ref="K14:K17" si="3">K13-2500</f>
        <v>38281</v>
      </c>
      <c r="L14" s="977"/>
      <c r="M14" s="977"/>
      <c r="N14" s="977"/>
      <c r="O14" s="977"/>
      <c r="P14" s="977"/>
      <c r="Q14" s="977"/>
      <c r="R14" s="977"/>
      <c r="S14" s="977"/>
      <c r="T14" s="977"/>
      <c r="U14" s="977"/>
      <c r="V14" s="977"/>
      <c r="W14" s="977"/>
      <c r="X14" s="977"/>
      <c r="Y14" s="977"/>
      <c r="Z14" s="977"/>
      <c r="AA14" s="977"/>
      <c r="AB14" s="977"/>
      <c r="AC14" s="977"/>
      <c r="AD14" s="977"/>
    </row>
    <row r="15">
      <c r="A15" s="988" t="s">
        <v>755</v>
      </c>
      <c r="B15" s="375" t="s">
        <v>359</v>
      </c>
      <c r="C15" s="376">
        <v>0.0</v>
      </c>
      <c r="D15" s="367">
        <v>800.0</v>
      </c>
      <c r="E15" s="371">
        <v>0.0</v>
      </c>
      <c r="F15" s="379" t="s">
        <v>749</v>
      </c>
      <c r="G15" s="989">
        <v>0.0</v>
      </c>
      <c r="H15" s="379"/>
      <c r="I15" s="986"/>
      <c r="J15" s="962">
        <v>43757.0</v>
      </c>
      <c r="K15" s="960">
        <f t="shared" si="3"/>
        <v>35781</v>
      </c>
      <c r="L15" s="990"/>
      <c r="M15" s="990"/>
      <c r="N15" s="990"/>
      <c r="O15" s="991"/>
      <c r="P15" s="991"/>
      <c r="Q15" s="991"/>
      <c r="R15" s="991"/>
      <c r="S15" s="991"/>
      <c r="T15" s="991"/>
      <c r="U15" s="991"/>
      <c r="V15" s="991"/>
      <c r="W15" s="991"/>
      <c r="X15" s="991"/>
      <c r="Y15" s="991"/>
      <c r="Z15" s="991"/>
      <c r="AA15" s="991"/>
      <c r="AB15" s="991"/>
      <c r="AC15" s="991"/>
      <c r="AD15" s="991"/>
    </row>
    <row r="16">
      <c r="A16" s="992" t="s">
        <v>756</v>
      </c>
      <c r="B16" s="375" t="s">
        <v>359</v>
      </c>
      <c r="C16" s="993">
        <v>0.0</v>
      </c>
      <c r="D16" s="635">
        <v>500.0</v>
      </c>
      <c r="E16" s="994">
        <f>150+80+475+1469+75+41+30+12.5+12+10+10+57.5+25-500+1199+146+28+30-2000+43+277+60+7+341.5-500-500-200+25+10+43+23+20-500+600-600+60-559.5</f>
        <v>0</v>
      </c>
      <c r="F16" s="354" t="s">
        <v>757</v>
      </c>
      <c r="G16" s="995">
        <f>E16/D16</f>
        <v>0</v>
      </c>
      <c r="H16" s="996">
        <v>4500.0</v>
      </c>
      <c r="I16" s="979"/>
      <c r="J16" s="958">
        <v>43788.0</v>
      </c>
      <c r="K16" s="960">
        <f t="shared" si="3"/>
        <v>33281</v>
      </c>
      <c r="L16" s="978"/>
      <c r="M16" s="978"/>
      <c r="N16" s="978"/>
      <c r="O16" s="978"/>
      <c r="P16" s="978"/>
      <c r="Q16" s="978"/>
      <c r="R16" s="978"/>
      <c r="S16" s="978"/>
      <c r="T16" s="978"/>
      <c r="U16" s="978"/>
      <c r="V16" s="978"/>
      <c r="W16" s="978"/>
      <c r="X16" s="978"/>
      <c r="Y16" s="978"/>
      <c r="Z16" s="978"/>
      <c r="AA16" s="978"/>
      <c r="AB16" s="978"/>
      <c r="AC16" s="978"/>
      <c r="AD16" s="978"/>
    </row>
    <row r="17">
      <c r="A17" s="996" t="s">
        <v>52</v>
      </c>
      <c r="B17" s="375" t="s">
        <v>359</v>
      </c>
      <c r="C17" s="997">
        <v>0.044</v>
      </c>
      <c r="D17" s="635">
        <v>0.0</v>
      </c>
      <c r="E17" s="994">
        <v>0.0</v>
      </c>
      <c r="F17" s="354" t="s">
        <v>757</v>
      </c>
      <c r="G17" s="995" t="s">
        <v>359</v>
      </c>
      <c r="H17" s="982"/>
      <c r="I17" s="986"/>
      <c r="J17" s="958">
        <v>43818.0</v>
      </c>
      <c r="K17" s="960">
        <f t="shared" si="3"/>
        <v>30781</v>
      </c>
      <c r="L17" s="978"/>
      <c r="M17" s="978"/>
      <c r="N17" s="978"/>
      <c r="O17" s="978"/>
      <c r="P17" s="978"/>
      <c r="Q17" s="978"/>
      <c r="R17" s="978"/>
      <c r="S17" s="978"/>
      <c r="T17" s="978"/>
      <c r="U17" s="978"/>
      <c r="V17" s="978"/>
      <c r="W17" s="978"/>
      <c r="X17" s="978"/>
      <c r="Y17" s="978"/>
      <c r="Z17" s="978"/>
      <c r="AA17" s="978"/>
      <c r="AB17" s="978"/>
      <c r="AC17" s="978"/>
      <c r="AD17" s="978"/>
    </row>
    <row r="18">
      <c r="A18" s="992" t="s">
        <v>758</v>
      </c>
      <c r="B18" s="375" t="s">
        <v>359</v>
      </c>
      <c r="C18" s="993">
        <v>0.0</v>
      </c>
      <c r="D18" s="635">
        <v>400.0</v>
      </c>
      <c r="E18" s="994">
        <v>0.0</v>
      </c>
      <c r="F18" s="354" t="s">
        <v>757</v>
      </c>
      <c r="G18" s="995" t="s">
        <v>359</v>
      </c>
      <c r="H18" s="998">
        <v>1700.0</v>
      </c>
      <c r="I18" s="979"/>
      <c r="J18" s="958">
        <v>43485.0</v>
      </c>
      <c r="K18" s="960">
        <f t="shared" ref="K18:K19" si="4">K17-2500-5500</f>
        <v>22781</v>
      </c>
      <c r="L18" s="999"/>
      <c r="M18" s="999"/>
      <c r="N18" s="999"/>
      <c r="O18" s="999"/>
      <c r="P18" s="999"/>
      <c r="Q18" s="999"/>
      <c r="R18" s="999"/>
      <c r="S18" s="999"/>
      <c r="T18" s="999"/>
      <c r="U18" s="999"/>
      <c r="V18" s="999"/>
      <c r="W18" s="999"/>
      <c r="X18" s="999"/>
      <c r="Y18" s="999"/>
      <c r="Z18" s="999"/>
      <c r="AA18" s="999"/>
      <c r="AB18" s="999"/>
      <c r="AC18" s="999"/>
      <c r="AD18" s="999"/>
    </row>
    <row r="19">
      <c r="A19" s="364" t="s">
        <v>759</v>
      </c>
      <c r="B19" s="375" t="s">
        <v>359</v>
      </c>
      <c r="C19" s="366">
        <v>0.98</v>
      </c>
      <c r="D19" s="1000">
        <v>1000.0</v>
      </c>
      <c r="E19" s="374">
        <v>0.0</v>
      </c>
      <c r="F19" s="354" t="s">
        <v>757</v>
      </c>
      <c r="G19" s="989">
        <f>E19/D19</f>
        <v>0</v>
      </c>
      <c r="H19" s="379" t="s">
        <v>760</v>
      </c>
      <c r="I19" s="1001"/>
      <c r="J19" s="958">
        <v>43516.0</v>
      </c>
      <c r="K19" s="960">
        <f t="shared" si="4"/>
        <v>14781</v>
      </c>
      <c r="L19" s="1002"/>
      <c r="M19" s="1002"/>
      <c r="N19" s="1002"/>
      <c r="O19" s="1002"/>
      <c r="P19" s="1002"/>
      <c r="Q19" s="1002"/>
      <c r="R19" s="1002"/>
      <c r="S19" s="1002"/>
      <c r="T19" s="1002"/>
      <c r="U19" s="1002"/>
      <c r="V19" s="1002"/>
      <c r="W19" s="1002"/>
      <c r="X19" s="1002"/>
      <c r="Y19" s="1002"/>
      <c r="Z19" s="1002"/>
      <c r="AA19" s="1002"/>
      <c r="AB19" s="1002"/>
      <c r="AC19" s="1002"/>
      <c r="AD19" s="1002"/>
    </row>
    <row r="20">
      <c r="A20" s="992" t="s">
        <v>713</v>
      </c>
      <c r="B20" s="375" t="s">
        <v>359</v>
      </c>
      <c r="C20" s="993">
        <v>0.0</v>
      </c>
      <c r="D20" s="635">
        <v>750.0</v>
      </c>
      <c r="E20" s="994">
        <v>0.0</v>
      </c>
      <c r="F20" s="354" t="s">
        <v>757</v>
      </c>
      <c r="G20" s="995" t="s">
        <v>359</v>
      </c>
      <c r="H20" s="998">
        <v>3000.0</v>
      </c>
      <c r="I20" s="1003"/>
      <c r="J20" s="958">
        <v>43544.0</v>
      </c>
      <c r="K20" s="960">
        <f t="shared" ref="K20:K22" si="5">K19-3500</f>
        <v>11281</v>
      </c>
      <c r="L20" s="999"/>
      <c r="M20" s="999"/>
      <c r="N20" s="999"/>
      <c r="O20" s="999"/>
      <c r="P20" s="999"/>
      <c r="Q20" s="999"/>
      <c r="R20" s="999"/>
      <c r="S20" s="999"/>
      <c r="T20" s="999"/>
      <c r="U20" s="999"/>
      <c r="V20" s="999"/>
      <c r="W20" s="999"/>
      <c r="X20" s="999"/>
      <c r="Y20" s="999"/>
      <c r="Z20" s="999"/>
      <c r="AA20" s="999"/>
      <c r="AB20" s="999"/>
      <c r="AC20" s="999"/>
      <c r="AD20" s="999"/>
    </row>
    <row r="21">
      <c r="A21" s="992" t="s">
        <v>761</v>
      </c>
      <c r="B21" s="375" t="s">
        <v>359</v>
      </c>
      <c r="C21" s="993">
        <v>0.0</v>
      </c>
      <c r="D21" s="635">
        <v>0.0</v>
      </c>
      <c r="E21" s="994">
        <v>0.0</v>
      </c>
      <c r="F21" s="354" t="s">
        <v>757</v>
      </c>
      <c r="G21" s="995" t="s">
        <v>359</v>
      </c>
      <c r="H21" s="998"/>
      <c r="I21" s="1004"/>
      <c r="J21" s="958">
        <v>43575.0</v>
      </c>
      <c r="K21" s="960">
        <f t="shared" si="5"/>
        <v>7781</v>
      </c>
      <c r="L21" s="978"/>
      <c r="M21" s="978"/>
      <c r="N21" s="978"/>
      <c r="O21" s="978"/>
      <c r="P21" s="978"/>
      <c r="Q21" s="978"/>
      <c r="R21" s="978"/>
      <c r="S21" s="978"/>
      <c r="T21" s="978"/>
      <c r="U21" s="978"/>
      <c r="V21" s="978"/>
      <c r="W21" s="978"/>
      <c r="X21" s="978"/>
      <c r="Y21" s="978"/>
      <c r="Z21" s="978"/>
      <c r="AA21" s="978"/>
      <c r="AB21" s="978"/>
      <c r="AC21" s="978"/>
      <c r="AD21" s="978"/>
    </row>
    <row r="22">
      <c r="A22" s="1005"/>
      <c r="B22" s="1006"/>
      <c r="C22" s="1006"/>
      <c r="D22" s="1006"/>
      <c r="E22" s="1007"/>
      <c r="F22" s="1008"/>
      <c r="G22" s="1009"/>
      <c r="H22" s="1010"/>
      <c r="I22" s="1011"/>
      <c r="J22" s="958">
        <v>43605.0</v>
      </c>
      <c r="K22" s="960">
        <f t="shared" si="5"/>
        <v>4281</v>
      </c>
      <c r="L22" s="969"/>
      <c r="M22" s="969"/>
      <c r="N22" s="969"/>
      <c r="O22" s="969"/>
      <c r="P22" s="969"/>
      <c r="Q22" s="969"/>
      <c r="R22" s="969"/>
      <c r="S22" s="969"/>
      <c r="T22" s="969"/>
      <c r="U22" s="969"/>
      <c r="V22" s="969"/>
      <c r="W22" s="969"/>
      <c r="X22" s="969"/>
      <c r="Y22" s="969"/>
      <c r="Z22" s="969"/>
      <c r="AA22" s="969"/>
      <c r="AB22" s="969"/>
      <c r="AC22" s="969"/>
      <c r="AD22" s="969"/>
    </row>
    <row r="23">
      <c r="A23" s="449" t="s">
        <v>762</v>
      </c>
      <c r="B23" s="1012"/>
      <c r="C23" s="1012"/>
      <c r="D23" s="1013"/>
      <c r="E23" s="1014"/>
      <c r="F23" s="1015"/>
      <c r="G23" s="1009"/>
      <c r="H23" s="1010"/>
      <c r="I23" s="1011"/>
      <c r="J23" s="958">
        <v>43636.0</v>
      </c>
      <c r="K23" s="960">
        <f>K22-3500</f>
        <v>781</v>
      </c>
      <c r="L23" s="969"/>
      <c r="M23" s="969"/>
      <c r="N23" s="969"/>
      <c r="O23" s="969"/>
      <c r="P23" s="969"/>
      <c r="Q23" s="969"/>
      <c r="R23" s="969"/>
      <c r="S23" s="969"/>
      <c r="T23" s="969"/>
      <c r="U23" s="969"/>
      <c r="V23" s="969"/>
      <c r="W23" s="969"/>
      <c r="X23" s="969"/>
      <c r="Y23" s="969"/>
      <c r="Z23" s="969"/>
      <c r="AA23" s="969"/>
      <c r="AB23" s="969"/>
      <c r="AC23" s="969"/>
      <c r="AD23" s="969"/>
    </row>
    <row r="24">
      <c r="A24" s="1016">
        <f>AVERAGE(' BUDGET 2019-Archive'!G39:M39)</f>
        <v>2097.857143</v>
      </c>
      <c r="B24" s="1012"/>
      <c r="C24" s="1012"/>
      <c r="D24" s="1012"/>
      <c r="E24" s="1017"/>
      <c r="F24" s="1017"/>
      <c r="G24" s="1017"/>
      <c r="H24" s="1017"/>
      <c r="I24" s="1011"/>
      <c r="J24" s="958">
        <v>43666.0</v>
      </c>
      <c r="K24" s="960">
        <f>K23-781</f>
        <v>0</v>
      </c>
      <c r="L24" s="969"/>
      <c r="M24" s="969"/>
      <c r="N24" s="969"/>
      <c r="O24" s="969"/>
      <c r="P24" s="969"/>
      <c r="Q24" s="969"/>
      <c r="R24" s="969"/>
      <c r="S24" s="969"/>
      <c r="T24" s="969"/>
      <c r="U24" s="969"/>
      <c r="V24" s="969"/>
      <c r="W24" s="969"/>
      <c r="X24" s="969"/>
      <c r="Y24" s="969"/>
      <c r="Z24" s="969"/>
      <c r="AA24" s="969"/>
      <c r="AB24" s="969"/>
      <c r="AC24" s="969"/>
      <c r="AD24" s="969"/>
    </row>
    <row r="25">
      <c r="A25" s="449" t="s">
        <v>763</v>
      </c>
      <c r="B25" s="1018"/>
      <c r="C25" s="1018"/>
      <c r="D25" s="1018"/>
      <c r="E25" s="1017"/>
      <c r="F25" s="1017"/>
      <c r="G25" s="1017"/>
      <c r="H25" s="1017"/>
      <c r="I25" s="1011"/>
      <c r="J25" s="958"/>
      <c r="K25" s="960"/>
      <c r="L25" s="969"/>
      <c r="M25" s="969"/>
      <c r="N25" s="969"/>
      <c r="O25" s="969"/>
      <c r="P25" s="969"/>
      <c r="Q25" s="969"/>
      <c r="R25" s="969"/>
      <c r="S25" s="969"/>
      <c r="T25" s="969"/>
      <c r="U25" s="969"/>
      <c r="V25" s="969"/>
      <c r="W25" s="969"/>
      <c r="X25" s="969"/>
      <c r="Y25" s="969"/>
      <c r="Z25" s="969"/>
      <c r="AA25" s="969"/>
      <c r="AB25" s="969"/>
      <c r="AC25" s="969"/>
      <c r="AD25" s="969"/>
    </row>
    <row r="26">
      <c r="A26" s="1019">
        <f>sum(D3:D9)</f>
        <v>1350</v>
      </c>
      <c r="B26" s="1012"/>
      <c r="C26" s="1012"/>
      <c r="D26" s="1012"/>
      <c r="E26" s="1017"/>
      <c r="F26" s="1017"/>
      <c r="G26" s="1017"/>
      <c r="H26" s="1017"/>
      <c r="I26" s="1011"/>
      <c r="J26" s="958"/>
      <c r="K26" s="960"/>
      <c r="L26" s="969"/>
      <c r="M26" s="969"/>
      <c r="N26" s="969"/>
      <c r="O26" s="969"/>
      <c r="P26" s="969"/>
      <c r="Q26" s="969"/>
      <c r="R26" s="969"/>
      <c r="S26" s="969"/>
      <c r="T26" s="969"/>
      <c r="U26" s="969"/>
      <c r="V26" s="969"/>
      <c r="W26" s="969"/>
      <c r="X26" s="969"/>
      <c r="Y26" s="969"/>
      <c r="Z26" s="969"/>
      <c r="AA26" s="969"/>
      <c r="AB26" s="969"/>
      <c r="AC26" s="969"/>
      <c r="AD26" s="969"/>
    </row>
    <row r="27">
      <c r="A27" s="449" t="s">
        <v>764</v>
      </c>
      <c r="B27" s="1012"/>
      <c r="C27" s="1012"/>
      <c r="D27" s="1012"/>
      <c r="E27" s="1017"/>
      <c r="F27" s="1017"/>
      <c r="G27" s="1017"/>
      <c r="H27" s="1017"/>
      <c r="I27" s="1011"/>
      <c r="J27" s="958"/>
      <c r="K27" s="960"/>
      <c r="L27" s="969"/>
      <c r="M27" s="969"/>
      <c r="N27" s="969"/>
      <c r="O27" s="969"/>
      <c r="P27" s="969"/>
      <c r="Q27" s="969"/>
      <c r="R27" s="969"/>
      <c r="S27" s="969"/>
      <c r="T27" s="969"/>
      <c r="U27" s="969"/>
      <c r="V27" s="969"/>
      <c r="W27" s="969"/>
      <c r="X27" s="969"/>
      <c r="Y27" s="969"/>
      <c r="Z27" s="969"/>
      <c r="AA27" s="969"/>
      <c r="AB27" s="969"/>
      <c r="AC27" s="969"/>
      <c r="AD27" s="969"/>
    </row>
    <row r="28">
      <c r="A28" s="1019">
        <f>sum(D11:D13)</f>
        <v>700</v>
      </c>
      <c r="B28" s="1012"/>
      <c r="C28" s="1012"/>
      <c r="D28" s="1012"/>
      <c r="E28" s="1017"/>
      <c r="F28" s="1017"/>
      <c r="G28" s="1017"/>
      <c r="H28" s="1017"/>
      <c r="I28" s="1011"/>
      <c r="L28" s="969"/>
      <c r="M28" s="969"/>
      <c r="N28" s="969"/>
      <c r="O28" s="969"/>
      <c r="P28" s="969"/>
      <c r="Q28" s="969"/>
      <c r="R28" s="969"/>
      <c r="S28" s="969"/>
      <c r="T28" s="969"/>
      <c r="U28" s="969"/>
      <c r="V28" s="969"/>
      <c r="W28" s="969"/>
      <c r="X28" s="969"/>
      <c r="Y28" s="969"/>
      <c r="Z28" s="969"/>
      <c r="AA28" s="969"/>
      <c r="AB28" s="969"/>
      <c r="AC28" s="969"/>
      <c r="AD28" s="969"/>
    </row>
    <row r="29">
      <c r="A29" s="449" t="s">
        <v>765</v>
      </c>
      <c r="B29" s="1012"/>
      <c r="C29" s="1012"/>
      <c r="D29" s="1012"/>
      <c r="E29" s="1017"/>
      <c r="F29" s="1017"/>
      <c r="G29" s="1017"/>
      <c r="H29" s="1017"/>
      <c r="I29" s="1020"/>
      <c r="J29" s="767"/>
      <c r="K29" s="767"/>
      <c r="L29" s="1015"/>
      <c r="M29" s="1015"/>
      <c r="N29" s="1015"/>
      <c r="O29" s="767"/>
      <c r="P29" s="767"/>
      <c r="Q29" s="767"/>
      <c r="R29" s="767"/>
      <c r="S29" s="767"/>
      <c r="T29" s="767"/>
      <c r="U29" s="767"/>
      <c r="V29" s="767"/>
      <c r="W29" s="767"/>
      <c r="X29" s="767"/>
      <c r="Y29" s="767"/>
      <c r="Z29" s="767"/>
      <c r="AA29" s="767"/>
      <c r="AB29" s="767"/>
      <c r="AC29" s="767"/>
      <c r="AD29" s="767"/>
    </row>
    <row r="30">
      <c r="A30" s="1019">
        <f>sum(D3:D14)</f>
        <v>2259</v>
      </c>
      <c r="B30" s="1012"/>
      <c r="C30" s="1012"/>
      <c r="D30" s="1012"/>
      <c r="E30" s="1017"/>
      <c r="F30" s="1017"/>
      <c r="G30" s="1017"/>
      <c r="H30" s="1017"/>
      <c r="I30" s="1020"/>
      <c r="J30" s="767"/>
      <c r="K30" s="767"/>
      <c r="L30" s="1015"/>
      <c r="M30" s="1015"/>
      <c r="N30" s="1015"/>
      <c r="O30" s="767"/>
      <c r="P30" s="767"/>
      <c r="Q30" s="767"/>
      <c r="R30" s="767"/>
      <c r="S30" s="767"/>
      <c r="T30" s="767"/>
      <c r="U30" s="767"/>
      <c r="V30" s="767"/>
      <c r="W30" s="767"/>
      <c r="X30" s="767"/>
      <c r="Y30" s="767"/>
      <c r="Z30" s="767"/>
      <c r="AA30" s="767"/>
      <c r="AB30" s="767"/>
      <c r="AC30" s="767"/>
      <c r="AD30" s="767"/>
    </row>
    <row r="31">
      <c r="A31" s="449" t="s">
        <v>766</v>
      </c>
      <c r="E31" s="1017"/>
      <c r="F31" s="1017"/>
      <c r="G31" s="1017"/>
      <c r="H31" s="1017"/>
      <c r="I31" s="976"/>
    </row>
    <row r="32">
      <c r="A32" s="1021">
        <f>sum(E3:E9)</f>
        <v>12164.63</v>
      </c>
      <c r="E32" s="1022"/>
      <c r="G32" s="655"/>
      <c r="H32" s="655"/>
      <c r="I32" s="976"/>
    </row>
    <row r="33">
      <c r="A33" s="449" t="s">
        <v>767</v>
      </c>
      <c r="E33" s="1022"/>
      <c r="G33" s="655"/>
      <c r="H33" s="655"/>
      <c r="I33" s="976"/>
    </row>
    <row r="34">
      <c r="A34" s="1021">
        <f>sum(E11:E13)</f>
        <v>26214.63</v>
      </c>
      <c r="E34" s="1022"/>
      <c r="G34" s="655"/>
      <c r="H34" s="655"/>
      <c r="I34" s="976"/>
    </row>
    <row r="35">
      <c r="A35" s="449" t="s">
        <v>768</v>
      </c>
      <c r="E35" s="1022"/>
      <c r="G35" s="655"/>
      <c r="H35" s="655"/>
      <c r="I35" s="976"/>
    </row>
    <row r="36">
      <c r="A36" s="1023">
        <f>sum(E3:E21)</f>
        <v>45872.82</v>
      </c>
      <c r="E36" s="1022"/>
      <c r="G36" s="655"/>
      <c r="H36" s="655"/>
      <c r="I36" s="976"/>
    </row>
    <row r="37">
      <c r="E37" s="1022"/>
      <c r="G37" s="655"/>
      <c r="H37" s="655"/>
      <c r="I37" s="976"/>
    </row>
    <row r="38">
      <c r="E38" s="1022"/>
      <c r="G38" s="655"/>
      <c r="H38" s="655"/>
      <c r="I38" s="976"/>
    </row>
    <row r="39">
      <c r="E39" s="1022"/>
      <c r="G39" s="655"/>
      <c r="H39" s="655"/>
      <c r="I39" s="976"/>
    </row>
    <row r="40">
      <c r="E40" s="1022"/>
      <c r="G40" s="655"/>
      <c r="H40" s="655"/>
      <c r="I40" s="976"/>
    </row>
    <row r="41">
      <c r="E41" s="1022"/>
      <c r="G41" s="655"/>
      <c r="H41" s="655"/>
      <c r="I41" s="976"/>
    </row>
    <row r="42">
      <c r="E42" s="1022"/>
      <c r="G42" s="655"/>
      <c r="H42" s="655"/>
      <c r="I42" s="976"/>
    </row>
    <row r="43">
      <c r="E43" s="1022"/>
      <c r="G43" s="655"/>
      <c r="H43" s="655"/>
      <c r="I43" s="976"/>
    </row>
    <row r="44">
      <c r="E44" s="1022"/>
      <c r="G44" s="655"/>
      <c r="H44" s="655"/>
      <c r="I44" s="976"/>
    </row>
    <row r="45">
      <c r="E45" s="1022"/>
      <c r="G45" s="655"/>
      <c r="H45" s="655"/>
      <c r="I45" s="976"/>
    </row>
    <row r="46">
      <c r="E46" s="1022"/>
      <c r="G46" s="655"/>
      <c r="H46" s="655"/>
      <c r="I46" s="976"/>
    </row>
    <row r="47">
      <c r="E47" s="1022"/>
      <c r="G47" s="655"/>
      <c r="H47" s="655"/>
      <c r="I47" s="976"/>
    </row>
    <row r="48">
      <c r="E48" s="1022"/>
      <c r="G48" s="655"/>
      <c r="H48" s="655"/>
      <c r="I48" s="976"/>
    </row>
    <row r="49">
      <c r="E49" s="1022"/>
      <c r="G49" s="655"/>
      <c r="H49" s="655"/>
      <c r="I49" s="976"/>
    </row>
    <row r="50">
      <c r="E50" s="1022"/>
      <c r="G50" s="655"/>
      <c r="H50" s="655"/>
      <c r="I50" s="976"/>
    </row>
    <row r="51">
      <c r="E51" s="1022"/>
      <c r="G51" s="655"/>
      <c r="H51" s="655"/>
      <c r="I51" s="976"/>
    </row>
    <row r="52">
      <c r="E52" s="1022"/>
      <c r="G52" s="655"/>
      <c r="H52" s="655"/>
      <c r="I52" s="976"/>
    </row>
    <row r="53">
      <c r="E53" s="1022"/>
      <c r="G53" s="655"/>
      <c r="H53" s="655"/>
      <c r="I53" s="976"/>
    </row>
    <row r="54">
      <c r="E54" s="1022"/>
      <c r="G54" s="655"/>
      <c r="H54" s="655"/>
      <c r="I54" s="976"/>
    </row>
    <row r="55">
      <c r="E55" s="1022"/>
      <c r="G55" s="655"/>
      <c r="H55" s="655"/>
      <c r="I55" s="976"/>
    </row>
    <row r="56">
      <c r="E56" s="1022"/>
      <c r="G56" s="655"/>
      <c r="H56" s="655"/>
      <c r="I56" s="976"/>
    </row>
    <row r="57">
      <c r="E57" s="1022"/>
      <c r="G57" s="655"/>
      <c r="H57" s="655"/>
      <c r="I57" s="976"/>
    </row>
    <row r="58">
      <c r="E58" s="1022"/>
      <c r="G58" s="655"/>
      <c r="H58" s="655"/>
      <c r="I58" s="976"/>
    </row>
    <row r="59">
      <c r="E59" s="1022"/>
      <c r="G59" s="655"/>
      <c r="H59" s="655"/>
      <c r="I59" s="976"/>
    </row>
    <row r="60">
      <c r="E60" s="1022"/>
      <c r="G60" s="655"/>
      <c r="H60" s="655"/>
      <c r="I60" s="976"/>
    </row>
    <row r="61">
      <c r="E61" s="1022"/>
      <c r="G61" s="655"/>
      <c r="H61" s="655"/>
      <c r="I61" s="976"/>
    </row>
    <row r="62">
      <c r="E62" s="1022"/>
      <c r="G62" s="655"/>
      <c r="H62" s="655"/>
      <c r="I62" s="976"/>
    </row>
    <row r="63">
      <c r="E63" s="1022"/>
      <c r="G63" s="655"/>
      <c r="H63" s="655"/>
      <c r="I63" s="976"/>
    </row>
    <row r="64">
      <c r="E64" s="1022"/>
      <c r="G64" s="655"/>
      <c r="H64" s="655"/>
      <c r="I64" s="976"/>
    </row>
    <row r="65">
      <c r="E65" s="1022"/>
      <c r="G65" s="655"/>
      <c r="H65" s="655"/>
      <c r="I65" s="976"/>
    </row>
    <row r="66">
      <c r="E66" s="1022"/>
      <c r="G66" s="655"/>
      <c r="H66" s="655"/>
      <c r="I66" s="976"/>
    </row>
    <row r="67">
      <c r="E67" s="1022"/>
      <c r="G67" s="655"/>
      <c r="H67" s="655"/>
      <c r="I67" s="976"/>
    </row>
    <row r="68">
      <c r="E68" s="1022"/>
      <c r="G68" s="655"/>
      <c r="H68" s="655"/>
      <c r="I68" s="976"/>
    </row>
    <row r="69">
      <c r="E69" s="1022"/>
      <c r="G69" s="655"/>
      <c r="H69" s="655"/>
      <c r="I69" s="976"/>
    </row>
    <row r="70">
      <c r="E70" s="1022"/>
      <c r="G70" s="655"/>
      <c r="H70" s="655"/>
      <c r="I70" s="976"/>
    </row>
    <row r="71">
      <c r="E71" s="1022"/>
      <c r="G71" s="655"/>
      <c r="H71" s="655"/>
      <c r="I71" s="976"/>
    </row>
    <row r="72">
      <c r="E72" s="1022"/>
      <c r="G72" s="655"/>
      <c r="H72" s="655"/>
      <c r="I72" s="976"/>
    </row>
    <row r="73">
      <c r="E73" s="1022"/>
      <c r="G73" s="655"/>
      <c r="H73" s="655"/>
      <c r="I73" s="976"/>
    </row>
    <row r="74">
      <c r="E74" s="1022"/>
      <c r="G74" s="655"/>
      <c r="H74" s="655"/>
      <c r="I74" s="976"/>
    </row>
    <row r="75">
      <c r="E75" s="1022"/>
      <c r="G75" s="655"/>
      <c r="H75" s="655"/>
      <c r="I75" s="976"/>
    </row>
    <row r="76">
      <c r="E76" s="1022"/>
      <c r="G76" s="655"/>
      <c r="H76" s="655"/>
      <c r="I76" s="976"/>
    </row>
    <row r="77">
      <c r="E77" s="1022"/>
      <c r="G77" s="655"/>
      <c r="H77" s="655"/>
      <c r="I77" s="976"/>
    </row>
    <row r="78">
      <c r="E78" s="1022"/>
      <c r="G78" s="655"/>
      <c r="H78" s="655"/>
      <c r="I78" s="976"/>
    </row>
    <row r="79">
      <c r="E79" s="1022"/>
      <c r="G79" s="655"/>
      <c r="H79" s="655"/>
      <c r="I79" s="976"/>
    </row>
    <row r="80">
      <c r="E80" s="1022"/>
      <c r="G80" s="655"/>
      <c r="H80" s="655"/>
      <c r="I80" s="976"/>
    </row>
    <row r="81">
      <c r="E81" s="1022"/>
      <c r="G81" s="655"/>
      <c r="H81" s="655"/>
      <c r="I81" s="976"/>
    </row>
    <row r="82">
      <c r="E82" s="1022"/>
      <c r="G82" s="655"/>
      <c r="H82" s="655"/>
      <c r="I82" s="976"/>
    </row>
    <row r="83">
      <c r="E83" s="1022"/>
      <c r="G83" s="655"/>
      <c r="H83" s="655"/>
      <c r="I83" s="976"/>
    </row>
    <row r="84">
      <c r="E84" s="1022"/>
      <c r="G84" s="655"/>
      <c r="H84" s="655"/>
      <c r="I84" s="976"/>
    </row>
    <row r="85">
      <c r="E85" s="1022"/>
      <c r="G85" s="655"/>
      <c r="H85" s="655"/>
      <c r="I85" s="976"/>
    </row>
    <row r="86">
      <c r="E86" s="1022"/>
      <c r="G86" s="655"/>
      <c r="H86" s="655"/>
      <c r="I86" s="976"/>
    </row>
    <row r="87">
      <c r="E87" s="1022"/>
      <c r="G87" s="655"/>
      <c r="H87" s="655"/>
      <c r="I87" s="976"/>
    </row>
    <row r="88">
      <c r="E88" s="1022"/>
      <c r="G88" s="655"/>
      <c r="H88" s="655"/>
      <c r="I88" s="976"/>
    </row>
    <row r="89">
      <c r="E89" s="1022"/>
      <c r="G89" s="655"/>
      <c r="H89" s="655"/>
      <c r="I89" s="976"/>
    </row>
    <row r="90">
      <c r="E90" s="1022"/>
      <c r="G90" s="655"/>
      <c r="H90" s="655"/>
      <c r="I90" s="976"/>
    </row>
    <row r="91">
      <c r="E91" s="1022"/>
      <c r="G91" s="655"/>
      <c r="H91" s="655"/>
      <c r="I91" s="976"/>
    </row>
    <row r="92">
      <c r="E92" s="1022"/>
      <c r="G92" s="655"/>
      <c r="H92" s="655"/>
      <c r="I92" s="976"/>
    </row>
    <row r="93">
      <c r="E93" s="1022"/>
      <c r="G93" s="655"/>
      <c r="H93" s="655"/>
      <c r="I93" s="976"/>
    </row>
    <row r="94">
      <c r="E94" s="1022"/>
      <c r="G94" s="655"/>
      <c r="H94" s="655"/>
      <c r="I94" s="976"/>
    </row>
    <row r="95">
      <c r="E95" s="1022"/>
      <c r="G95" s="655"/>
      <c r="H95" s="655"/>
      <c r="I95" s="976"/>
    </row>
    <row r="96">
      <c r="E96" s="1022"/>
      <c r="G96" s="655"/>
      <c r="H96" s="655"/>
      <c r="I96" s="976"/>
    </row>
    <row r="97">
      <c r="E97" s="1022"/>
      <c r="G97" s="655"/>
      <c r="H97" s="655"/>
      <c r="I97" s="976"/>
    </row>
    <row r="98">
      <c r="E98" s="1022"/>
      <c r="G98" s="655"/>
      <c r="H98" s="655"/>
      <c r="I98" s="976"/>
    </row>
    <row r="99">
      <c r="E99" s="1022"/>
      <c r="G99" s="655"/>
      <c r="H99" s="655"/>
      <c r="I99" s="976"/>
    </row>
    <row r="100">
      <c r="E100" s="1022"/>
      <c r="G100" s="655"/>
      <c r="H100" s="655"/>
      <c r="I100" s="976"/>
    </row>
    <row r="101">
      <c r="E101" s="1022"/>
      <c r="G101" s="655"/>
      <c r="H101" s="655"/>
      <c r="I101" s="976"/>
    </row>
    <row r="102">
      <c r="E102" s="1022"/>
      <c r="G102" s="655"/>
      <c r="H102" s="655"/>
      <c r="I102" s="976"/>
    </row>
    <row r="103">
      <c r="E103" s="1022"/>
      <c r="G103" s="655"/>
      <c r="H103" s="655"/>
      <c r="I103" s="976"/>
    </row>
    <row r="104">
      <c r="E104" s="1022"/>
      <c r="G104" s="655"/>
      <c r="H104" s="655"/>
      <c r="I104" s="976"/>
    </row>
    <row r="105">
      <c r="E105" s="1022"/>
      <c r="G105" s="655"/>
      <c r="H105" s="655"/>
      <c r="I105" s="976"/>
    </row>
    <row r="106">
      <c r="E106" s="1022"/>
      <c r="G106" s="655"/>
      <c r="H106" s="655"/>
      <c r="I106" s="976"/>
    </row>
    <row r="107">
      <c r="E107" s="1022"/>
      <c r="G107" s="655"/>
      <c r="H107" s="655"/>
      <c r="I107" s="976"/>
    </row>
    <row r="108">
      <c r="E108" s="1022"/>
      <c r="G108" s="655"/>
      <c r="H108" s="655"/>
      <c r="I108" s="976"/>
    </row>
    <row r="109">
      <c r="E109" s="1022"/>
      <c r="G109" s="655"/>
      <c r="H109" s="655"/>
      <c r="I109" s="976"/>
    </row>
    <row r="110">
      <c r="E110" s="1022"/>
      <c r="G110" s="655"/>
      <c r="H110" s="655"/>
      <c r="I110" s="976"/>
    </row>
    <row r="111">
      <c r="E111" s="1022"/>
      <c r="G111" s="655"/>
      <c r="H111" s="655"/>
      <c r="I111" s="976"/>
    </row>
    <row r="112">
      <c r="E112" s="1022"/>
      <c r="G112" s="655"/>
      <c r="H112" s="655"/>
      <c r="I112" s="976"/>
    </row>
    <row r="113">
      <c r="E113" s="1022"/>
      <c r="G113" s="655"/>
      <c r="H113" s="655"/>
      <c r="I113" s="976"/>
    </row>
    <row r="114">
      <c r="E114" s="1022"/>
      <c r="G114" s="655"/>
      <c r="H114" s="655"/>
      <c r="I114" s="976"/>
    </row>
    <row r="115">
      <c r="E115" s="1022"/>
      <c r="G115" s="655"/>
      <c r="H115" s="655"/>
      <c r="I115" s="976"/>
    </row>
    <row r="116">
      <c r="E116" s="1022"/>
      <c r="G116" s="655"/>
      <c r="H116" s="655"/>
      <c r="I116" s="976"/>
    </row>
    <row r="117">
      <c r="E117" s="1022"/>
      <c r="G117" s="655"/>
      <c r="H117" s="655"/>
      <c r="I117" s="976"/>
    </row>
    <row r="118">
      <c r="E118" s="1022"/>
      <c r="G118" s="655"/>
      <c r="H118" s="655"/>
      <c r="I118" s="976"/>
    </row>
    <row r="119">
      <c r="E119" s="1022"/>
      <c r="G119" s="655"/>
      <c r="H119" s="655"/>
      <c r="I119" s="976"/>
    </row>
    <row r="120">
      <c r="E120" s="1022"/>
      <c r="G120" s="655"/>
      <c r="H120" s="655"/>
      <c r="I120" s="976"/>
    </row>
    <row r="121">
      <c r="E121" s="1022"/>
      <c r="G121" s="655"/>
      <c r="H121" s="655"/>
      <c r="I121" s="976"/>
    </row>
    <row r="122">
      <c r="E122" s="1022"/>
      <c r="G122" s="655"/>
      <c r="H122" s="655"/>
      <c r="I122" s="976"/>
    </row>
    <row r="123">
      <c r="E123" s="1022"/>
      <c r="G123" s="655"/>
      <c r="H123" s="655"/>
      <c r="I123" s="976"/>
    </row>
    <row r="124">
      <c r="E124" s="1022"/>
      <c r="G124" s="655"/>
      <c r="H124" s="655"/>
      <c r="I124" s="976"/>
    </row>
    <row r="125">
      <c r="E125" s="1022"/>
      <c r="G125" s="655"/>
      <c r="H125" s="655"/>
      <c r="I125" s="976"/>
    </row>
    <row r="126">
      <c r="E126" s="1022"/>
      <c r="G126" s="655"/>
      <c r="H126" s="655"/>
      <c r="I126" s="976"/>
    </row>
    <row r="127">
      <c r="E127" s="1022"/>
      <c r="G127" s="655"/>
      <c r="H127" s="655"/>
      <c r="I127" s="976"/>
    </row>
    <row r="128">
      <c r="E128" s="1022"/>
      <c r="G128" s="655"/>
      <c r="H128" s="655"/>
      <c r="I128" s="976"/>
    </row>
    <row r="129">
      <c r="E129" s="1022"/>
      <c r="G129" s="655"/>
      <c r="H129" s="655"/>
      <c r="I129" s="976"/>
    </row>
    <row r="130">
      <c r="E130" s="1022"/>
      <c r="G130" s="655"/>
      <c r="H130" s="655"/>
      <c r="I130" s="976"/>
    </row>
    <row r="131">
      <c r="E131" s="1022"/>
      <c r="G131" s="655"/>
      <c r="H131" s="655"/>
      <c r="I131" s="976"/>
    </row>
    <row r="132">
      <c r="E132" s="1022"/>
      <c r="G132" s="655"/>
      <c r="H132" s="655"/>
      <c r="I132" s="976"/>
    </row>
    <row r="133">
      <c r="E133" s="1022"/>
      <c r="G133" s="655"/>
      <c r="H133" s="655"/>
      <c r="I133" s="976"/>
    </row>
    <row r="134">
      <c r="E134" s="1022"/>
      <c r="G134" s="655"/>
      <c r="H134" s="655"/>
      <c r="I134" s="976"/>
    </row>
    <row r="135">
      <c r="E135" s="1022"/>
      <c r="G135" s="655"/>
      <c r="H135" s="655"/>
      <c r="I135" s="976"/>
    </row>
    <row r="136">
      <c r="E136" s="1022"/>
      <c r="G136" s="655"/>
      <c r="H136" s="655"/>
      <c r="I136" s="976"/>
    </row>
    <row r="137">
      <c r="E137" s="1022"/>
      <c r="G137" s="655"/>
      <c r="H137" s="655"/>
      <c r="I137" s="976"/>
    </row>
    <row r="138">
      <c r="E138" s="1022"/>
      <c r="G138" s="655"/>
      <c r="H138" s="655"/>
      <c r="I138" s="976"/>
    </row>
    <row r="139">
      <c r="E139" s="1022"/>
      <c r="G139" s="655"/>
      <c r="H139" s="655"/>
      <c r="I139" s="976"/>
    </row>
    <row r="140">
      <c r="E140" s="1022"/>
      <c r="G140" s="655"/>
      <c r="H140" s="655"/>
      <c r="I140" s="976"/>
    </row>
    <row r="141">
      <c r="E141" s="1022"/>
      <c r="G141" s="655"/>
      <c r="H141" s="655"/>
      <c r="I141" s="976"/>
    </row>
    <row r="142">
      <c r="E142" s="1022"/>
      <c r="G142" s="655"/>
      <c r="H142" s="655"/>
      <c r="I142" s="976"/>
    </row>
    <row r="143">
      <c r="E143" s="1022"/>
      <c r="G143" s="655"/>
      <c r="H143" s="655"/>
      <c r="I143" s="976"/>
    </row>
    <row r="144">
      <c r="E144" s="1022"/>
      <c r="G144" s="655"/>
      <c r="H144" s="655"/>
      <c r="I144" s="976"/>
    </row>
    <row r="145">
      <c r="E145" s="1022"/>
      <c r="G145" s="655"/>
      <c r="H145" s="655"/>
      <c r="I145" s="976"/>
    </row>
    <row r="146">
      <c r="E146" s="1022"/>
      <c r="G146" s="655"/>
      <c r="H146" s="655"/>
      <c r="I146" s="976"/>
    </row>
    <row r="147">
      <c r="E147" s="1022"/>
      <c r="G147" s="655"/>
      <c r="H147" s="655"/>
      <c r="I147" s="976"/>
    </row>
    <row r="148">
      <c r="E148" s="1022"/>
      <c r="G148" s="655"/>
      <c r="H148" s="655"/>
      <c r="I148" s="976"/>
    </row>
    <row r="149">
      <c r="E149" s="1022"/>
      <c r="G149" s="655"/>
      <c r="H149" s="655"/>
      <c r="I149" s="976"/>
    </row>
    <row r="150">
      <c r="E150" s="1022"/>
      <c r="G150" s="655"/>
      <c r="H150" s="655"/>
      <c r="I150" s="976"/>
    </row>
    <row r="151">
      <c r="E151" s="1022"/>
      <c r="G151" s="655"/>
      <c r="H151" s="655"/>
      <c r="I151" s="976"/>
    </row>
    <row r="152">
      <c r="E152" s="1022"/>
      <c r="G152" s="655"/>
      <c r="H152" s="655"/>
      <c r="I152" s="976"/>
    </row>
    <row r="153">
      <c r="E153" s="1022"/>
      <c r="G153" s="655"/>
      <c r="H153" s="655"/>
      <c r="I153" s="976"/>
    </row>
    <row r="154">
      <c r="E154" s="1022"/>
      <c r="G154" s="655"/>
      <c r="H154" s="655"/>
      <c r="I154" s="976"/>
    </row>
    <row r="155">
      <c r="E155" s="1022"/>
      <c r="G155" s="655"/>
      <c r="H155" s="655"/>
      <c r="I155" s="976"/>
    </row>
    <row r="156">
      <c r="E156" s="1022"/>
      <c r="G156" s="655"/>
      <c r="H156" s="655"/>
      <c r="I156" s="976"/>
    </row>
    <row r="157">
      <c r="E157" s="1022"/>
      <c r="G157" s="655"/>
      <c r="H157" s="655"/>
      <c r="I157" s="976"/>
    </row>
    <row r="158">
      <c r="E158" s="1022"/>
      <c r="G158" s="655"/>
      <c r="H158" s="655"/>
      <c r="I158" s="976"/>
    </row>
    <row r="159">
      <c r="E159" s="1022"/>
      <c r="G159" s="655"/>
      <c r="H159" s="655"/>
      <c r="I159" s="976"/>
    </row>
    <row r="160">
      <c r="E160" s="1022"/>
      <c r="G160" s="655"/>
      <c r="H160" s="655"/>
      <c r="I160" s="976"/>
    </row>
    <row r="161">
      <c r="E161" s="1022"/>
      <c r="G161" s="655"/>
      <c r="H161" s="655"/>
      <c r="I161" s="976"/>
    </row>
    <row r="162">
      <c r="E162" s="1022"/>
      <c r="G162" s="655"/>
      <c r="H162" s="655"/>
      <c r="I162" s="976"/>
    </row>
    <row r="163">
      <c r="E163" s="1022"/>
      <c r="G163" s="655"/>
      <c r="H163" s="655"/>
      <c r="I163" s="976"/>
    </row>
    <row r="164">
      <c r="E164" s="1022"/>
      <c r="G164" s="655"/>
      <c r="H164" s="655"/>
      <c r="I164" s="976"/>
    </row>
    <row r="165">
      <c r="E165" s="1022"/>
      <c r="G165" s="655"/>
      <c r="H165" s="655"/>
      <c r="I165" s="976"/>
    </row>
    <row r="166">
      <c r="E166" s="1022"/>
      <c r="G166" s="655"/>
      <c r="H166" s="655"/>
      <c r="I166" s="976"/>
    </row>
    <row r="167">
      <c r="E167" s="1022"/>
      <c r="G167" s="655"/>
      <c r="H167" s="655"/>
      <c r="I167" s="976"/>
    </row>
    <row r="168">
      <c r="E168" s="1022"/>
      <c r="G168" s="655"/>
      <c r="H168" s="655"/>
      <c r="I168" s="976"/>
    </row>
    <row r="169">
      <c r="E169" s="1022"/>
      <c r="G169" s="655"/>
      <c r="H169" s="655"/>
      <c r="I169" s="976"/>
    </row>
    <row r="170">
      <c r="E170" s="1022"/>
      <c r="G170" s="655"/>
      <c r="H170" s="655"/>
      <c r="I170" s="976"/>
    </row>
    <row r="171">
      <c r="E171" s="1022"/>
      <c r="G171" s="655"/>
      <c r="H171" s="655"/>
      <c r="I171" s="976"/>
    </row>
    <row r="172">
      <c r="E172" s="1022"/>
      <c r="G172" s="655"/>
      <c r="H172" s="655"/>
      <c r="I172" s="976"/>
    </row>
    <row r="173">
      <c r="E173" s="1022"/>
      <c r="G173" s="655"/>
      <c r="H173" s="655"/>
      <c r="I173" s="976"/>
    </row>
    <row r="174">
      <c r="E174" s="1022"/>
      <c r="G174" s="655"/>
      <c r="H174" s="655"/>
      <c r="I174" s="976"/>
    </row>
    <row r="175">
      <c r="E175" s="1022"/>
      <c r="G175" s="655"/>
      <c r="H175" s="655"/>
      <c r="I175" s="976"/>
    </row>
    <row r="176">
      <c r="E176" s="1022"/>
      <c r="G176" s="655"/>
      <c r="H176" s="655"/>
      <c r="I176" s="976"/>
    </row>
    <row r="177">
      <c r="E177" s="1022"/>
      <c r="G177" s="655"/>
      <c r="H177" s="655"/>
      <c r="I177" s="976"/>
    </row>
    <row r="178">
      <c r="E178" s="1022"/>
      <c r="G178" s="655"/>
      <c r="H178" s="655"/>
      <c r="I178" s="976"/>
    </row>
    <row r="179">
      <c r="E179" s="1022"/>
      <c r="G179" s="655"/>
      <c r="H179" s="655"/>
      <c r="I179" s="976"/>
    </row>
    <row r="180">
      <c r="E180" s="1022"/>
      <c r="G180" s="655"/>
      <c r="H180" s="655"/>
      <c r="I180" s="976"/>
    </row>
    <row r="181">
      <c r="E181" s="1022"/>
      <c r="G181" s="655"/>
      <c r="H181" s="655"/>
      <c r="I181" s="976"/>
    </row>
    <row r="182">
      <c r="E182" s="1022"/>
      <c r="G182" s="655"/>
      <c r="H182" s="655"/>
      <c r="I182" s="976"/>
    </row>
    <row r="183">
      <c r="E183" s="1022"/>
      <c r="G183" s="655"/>
      <c r="H183" s="655"/>
      <c r="I183" s="976"/>
    </row>
    <row r="184">
      <c r="E184" s="1022"/>
      <c r="G184" s="655"/>
      <c r="H184" s="655"/>
      <c r="I184" s="976"/>
    </row>
    <row r="185">
      <c r="E185" s="1022"/>
      <c r="G185" s="655"/>
      <c r="H185" s="655"/>
      <c r="I185" s="976"/>
    </row>
    <row r="186">
      <c r="E186" s="1022"/>
      <c r="G186" s="655"/>
      <c r="H186" s="655"/>
      <c r="I186" s="976"/>
    </row>
    <row r="187">
      <c r="E187" s="1022"/>
      <c r="G187" s="655"/>
      <c r="H187" s="655"/>
      <c r="I187" s="976"/>
    </row>
    <row r="188">
      <c r="E188" s="1022"/>
      <c r="G188" s="655"/>
      <c r="H188" s="655"/>
      <c r="I188" s="976"/>
    </row>
    <row r="189">
      <c r="E189" s="1022"/>
      <c r="G189" s="655"/>
      <c r="H189" s="655"/>
      <c r="I189" s="976"/>
    </row>
    <row r="190">
      <c r="E190" s="1022"/>
      <c r="G190" s="655"/>
      <c r="H190" s="655"/>
      <c r="I190" s="976"/>
    </row>
    <row r="191">
      <c r="E191" s="1022"/>
      <c r="G191" s="655"/>
      <c r="H191" s="655"/>
      <c r="I191" s="976"/>
    </row>
    <row r="192">
      <c r="E192" s="1022"/>
      <c r="G192" s="655"/>
      <c r="H192" s="655"/>
      <c r="I192" s="976"/>
    </row>
    <row r="193">
      <c r="E193" s="1022"/>
      <c r="G193" s="655"/>
      <c r="H193" s="655"/>
      <c r="I193" s="976"/>
    </row>
    <row r="194">
      <c r="E194" s="1022"/>
      <c r="G194" s="655"/>
      <c r="H194" s="655"/>
      <c r="I194" s="976"/>
    </row>
    <row r="195">
      <c r="E195" s="1022"/>
      <c r="G195" s="655"/>
      <c r="H195" s="655"/>
      <c r="I195" s="976"/>
    </row>
    <row r="196">
      <c r="E196" s="1022"/>
      <c r="G196" s="655"/>
      <c r="H196" s="655"/>
      <c r="I196" s="976"/>
    </row>
    <row r="197">
      <c r="E197" s="1022"/>
      <c r="G197" s="655"/>
      <c r="H197" s="655"/>
      <c r="I197" s="976"/>
    </row>
    <row r="198">
      <c r="E198" s="1022"/>
      <c r="G198" s="655"/>
      <c r="H198" s="655"/>
      <c r="I198" s="976"/>
    </row>
    <row r="199">
      <c r="E199" s="1022"/>
      <c r="G199" s="655"/>
      <c r="H199" s="655"/>
      <c r="I199" s="976"/>
    </row>
    <row r="200">
      <c r="E200" s="1022"/>
      <c r="G200" s="655"/>
      <c r="H200" s="655"/>
      <c r="I200" s="976"/>
    </row>
    <row r="201">
      <c r="E201" s="1022"/>
      <c r="G201" s="655"/>
      <c r="H201" s="655"/>
      <c r="I201" s="976"/>
    </row>
    <row r="202">
      <c r="E202" s="1022"/>
      <c r="G202" s="655"/>
      <c r="H202" s="655"/>
      <c r="I202" s="976"/>
    </row>
    <row r="203">
      <c r="E203" s="1022"/>
      <c r="G203" s="655"/>
      <c r="H203" s="655"/>
      <c r="I203" s="976"/>
    </row>
    <row r="204">
      <c r="E204" s="1022"/>
      <c r="G204" s="655"/>
      <c r="H204" s="655"/>
      <c r="I204" s="976"/>
    </row>
    <row r="205">
      <c r="E205" s="1022"/>
      <c r="G205" s="655"/>
      <c r="H205" s="655"/>
      <c r="I205" s="976"/>
    </row>
    <row r="206">
      <c r="E206" s="1022"/>
      <c r="G206" s="655"/>
      <c r="H206" s="655"/>
      <c r="I206" s="976"/>
    </row>
    <row r="207">
      <c r="E207" s="1022"/>
      <c r="G207" s="655"/>
      <c r="H207" s="655"/>
      <c r="I207" s="976"/>
    </row>
    <row r="208">
      <c r="E208" s="1022"/>
      <c r="G208" s="655"/>
      <c r="H208" s="655"/>
      <c r="I208" s="976"/>
    </row>
    <row r="209">
      <c r="E209" s="1022"/>
      <c r="G209" s="655"/>
      <c r="H209" s="655"/>
      <c r="I209" s="976"/>
    </row>
    <row r="210">
      <c r="E210" s="1022"/>
      <c r="G210" s="655"/>
      <c r="H210" s="655"/>
      <c r="I210" s="976"/>
    </row>
    <row r="211">
      <c r="E211" s="1022"/>
      <c r="G211" s="655"/>
      <c r="H211" s="655"/>
      <c r="I211" s="976"/>
    </row>
    <row r="212">
      <c r="E212" s="1022"/>
      <c r="G212" s="655"/>
      <c r="H212" s="655"/>
      <c r="I212" s="976"/>
    </row>
    <row r="213">
      <c r="E213" s="1022"/>
      <c r="G213" s="655"/>
      <c r="H213" s="655"/>
      <c r="I213" s="976"/>
    </row>
    <row r="214">
      <c r="E214" s="1022"/>
      <c r="G214" s="655"/>
      <c r="H214" s="655"/>
      <c r="I214" s="976"/>
    </row>
    <row r="215">
      <c r="E215" s="1022"/>
      <c r="G215" s="655"/>
      <c r="H215" s="655"/>
      <c r="I215" s="976"/>
    </row>
    <row r="216">
      <c r="E216" s="1022"/>
      <c r="G216" s="655"/>
      <c r="H216" s="655"/>
      <c r="I216" s="976"/>
    </row>
    <row r="217">
      <c r="E217" s="1022"/>
      <c r="G217" s="655"/>
      <c r="H217" s="655"/>
      <c r="I217" s="976"/>
    </row>
    <row r="218">
      <c r="E218" s="1022"/>
      <c r="G218" s="655"/>
      <c r="H218" s="655"/>
      <c r="I218" s="976"/>
    </row>
    <row r="219">
      <c r="E219" s="1022"/>
      <c r="G219" s="655"/>
      <c r="H219" s="655"/>
      <c r="I219" s="976"/>
    </row>
    <row r="220">
      <c r="E220" s="1022"/>
      <c r="G220" s="655"/>
      <c r="H220" s="655"/>
      <c r="I220" s="976"/>
    </row>
    <row r="221">
      <c r="E221" s="1022"/>
      <c r="G221" s="655"/>
      <c r="H221" s="655"/>
      <c r="I221" s="976"/>
    </row>
    <row r="222">
      <c r="E222" s="1022"/>
      <c r="G222" s="655"/>
      <c r="H222" s="655"/>
      <c r="I222" s="976"/>
    </row>
    <row r="223">
      <c r="E223" s="1022"/>
      <c r="G223" s="655"/>
      <c r="H223" s="655"/>
      <c r="I223" s="976"/>
    </row>
    <row r="224">
      <c r="E224" s="1022"/>
      <c r="G224" s="655"/>
      <c r="H224" s="655"/>
      <c r="I224" s="976"/>
    </row>
    <row r="225">
      <c r="E225" s="1022"/>
      <c r="G225" s="655"/>
      <c r="H225" s="655"/>
      <c r="I225" s="976"/>
    </row>
    <row r="226">
      <c r="E226" s="1022"/>
      <c r="G226" s="655"/>
      <c r="H226" s="655"/>
      <c r="I226" s="976"/>
    </row>
    <row r="227">
      <c r="E227" s="1022"/>
      <c r="G227" s="655"/>
      <c r="H227" s="655"/>
      <c r="I227" s="976"/>
    </row>
    <row r="228">
      <c r="E228" s="1022"/>
      <c r="G228" s="655"/>
      <c r="H228" s="655"/>
      <c r="I228" s="976"/>
    </row>
    <row r="229">
      <c r="E229" s="1022"/>
      <c r="G229" s="655"/>
      <c r="H229" s="655"/>
      <c r="I229" s="976"/>
    </row>
    <row r="230">
      <c r="E230" s="1022"/>
      <c r="G230" s="655"/>
      <c r="H230" s="655"/>
      <c r="I230" s="976"/>
    </row>
    <row r="231">
      <c r="E231" s="1022"/>
      <c r="G231" s="655"/>
      <c r="H231" s="655"/>
      <c r="I231" s="976"/>
    </row>
    <row r="232">
      <c r="E232" s="1022"/>
      <c r="G232" s="655"/>
      <c r="H232" s="655"/>
      <c r="I232" s="976"/>
    </row>
    <row r="233">
      <c r="E233" s="1022"/>
      <c r="G233" s="655"/>
      <c r="H233" s="655"/>
      <c r="I233" s="976"/>
    </row>
    <row r="234">
      <c r="E234" s="1022"/>
      <c r="G234" s="655"/>
      <c r="H234" s="655"/>
      <c r="I234" s="976"/>
    </row>
    <row r="235">
      <c r="E235" s="1022"/>
      <c r="G235" s="655"/>
      <c r="H235" s="655"/>
      <c r="I235" s="976"/>
    </row>
    <row r="236">
      <c r="E236" s="1022"/>
      <c r="G236" s="655"/>
      <c r="H236" s="655"/>
      <c r="I236" s="976"/>
    </row>
    <row r="237">
      <c r="E237" s="1022"/>
      <c r="G237" s="655"/>
      <c r="H237" s="655"/>
      <c r="I237" s="976"/>
    </row>
    <row r="238">
      <c r="E238" s="1022"/>
      <c r="G238" s="655"/>
      <c r="H238" s="655"/>
      <c r="I238" s="976"/>
    </row>
    <row r="239">
      <c r="E239" s="1022"/>
      <c r="G239" s="655"/>
      <c r="H239" s="655"/>
      <c r="I239" s="976"/>
    </row>
    <row r="240">
      <c r="E240" s="1022"/>
      <c r="G240" s="655"/>
      <c r="H240" s="655"/>
      <c r="I240" s="976"/>
    </row>
    <row r="241">
      <c r="E241" s="1022"/>
      <c r="G241" s="655"/>
      <c r="H241" s="655"/>
      <c r="I241" s="976"/>
    </row>
    <row r="242">
      <c r="E242" s="1022"/>
      <c r="G242" s="655"/>
      <c r="H242" s="655"/>
      <c r="I242" s="976"/>
    </row>
    <row r="243">
      <c r="E243" s="1022"/>
      <c r="G243" s="655"/>
      <c r="H243" s="655"/>
      <c r="I243" s="976"/>
    </row>
    <row r="244">
      <c r="E244" s="1022"/>
      <c r="G244" s="655"/>
      <c r="H244" s="655"/>
      <c r="I244" s="976"/>
    </row>
    <row r="245">
      <c r="E245" s="1022"/>
      <c r="G245" s="655"/>
      <c r="H245" s="655"/>
      <c r="I245" s="976"/>
    </row>
    <row r="246">
      <c r="E246" s="1022"/>
      <c r="G246" s="655"/>
      <c r="H246" s="655"/>
      <c r="I246" s="976"/>
    </row>
    <row r="247">
      <c r="E247" s="1022"/>
      <c r="G247" s="655"/>
      <c r="H247" s="655"/>
      <c r="I247" s="976"/>
    </row>
    <row r="248">
      <c r="E248" s="1022"/>
      <c r="G248" s="655"/>
      <c r="H248" s="655"/>
      <c r="I248" s="976"/>
    </row>
    <row r="249">
      <c r="E249" s="1022"/>
      <c r="G249" s="655"/>
      <c r="H249" s="655"/>
      <c r="I249" s="976"/>
    </row>
    <row r="250">
      <c r="E250" s="1022"/>
      <c r="G250" s="655"/>
      <c r="H250" s="655"/>
      <c r="I250" s="976"/>
    </row>
    <row r="251">
      <c r="E251" s="1022"/>
      <c r="G251" s="655"/>
      <c r="H251" s="655"/>
      <c r="I251" s="976"/>
    </row>
    <row r="252">
      <c r="E252" s="1022"/>
      <c r="G252" s="655"/>
      <c r="H252" s="655"/>
      <c r="I252" s="976"/>
    </row>
    <row r="253">
      <c r="E253" s="1022"/>
      <c r="G253" s="655"/>
      <c r="H253" s="655"/>
      <c r="I253" s="976"/>
    </row>
    <row r="254">
      <c r="E254" s="1022"/>
      <c r="G254" s="655"/>
      <c r="H254" s="655"/>
      <c r="I254" s="976"/>
    </row>
    <row r="255">
      <c r="E255" s="1022"/>
      <c r="G255" s="655"/>
      <c r="H255" s="655"/>
      <c r="I255" s="976"/>
    </row>
    <row r="256">
      <c r="E256" s="1022"/>
      <c r="G256" s="655"/>
      <c r="H256" s="655"/>
      <c r="I256" s="976"/>
    </row>
    <row r="257">
      <c r="E257" s="1022"/>
      <c r="G257" s="655"/>
      <c r="H257" s="655"/>
      <c r="I257" s="976"/>
    </row>
    <row r="258">
      <c r="E258" s="1022"/>
      <c r="G258" s="655"/>
      <c r="H258" s="655"/>
      <c r="I258" s="976"/>
    </row>
    <row r="259">
      <c r="E259" s="1022"/>
      <c r="G259" s="655"/>
      <c r="H259" s="655"/>
      <c r="I259" s="976"/>
    </row>
    <row r="260">
      <c r="E260" s="1022"/>
      <c r="G260" s="655"/>
      <c r="H260" s="655"/>
      <c r="I260" s="976"/>
    </row>
    <row r="261">
      <c r="E261" s="1022"/>
      <c r="G261" s="655"/>
      <c r="H261" s="655"/>
      <c r="I261" s="976"/>
    </row>
    <row r="262">
      <c r="E262" s="1022"/>
      <c r="G262" s="655"/>
      <c r="H262" s="655"/>
      <c r="I262" s="976"/>
    </row>
    <row r="263">
      <c r="E263" s="1022"/>
      <c r="G263" s="655"/>
      <c r="H263" s="655"/>
      <c r="I263" s="976"/>
    </row>
    <row r="264">
      <c r="E264" s="1022"/>
      <c r="G264" s="655"/>
      <c r="H264" s="655"/>
      <c r="I264" s="976"/>
    </row>
    <row r="265">
      <c r="E265" s="1022"/>
      <c r="G265" s="655"/>
      <c r="H265" s="655"/>
      <c r="I265" s="976"/>
    </row>
    <row r="266">
      <c r="E266" s="1022"/>
      <c r="G266" s="655"/>
      <c r="H266" s="655"/>
      <c r="I266" s="976"/>
    </row>
    <row r="267">
      <c r="E267" s="1022"/>
      <c r="G267" s="655"/>
      <c r="H267" s="655"/>
      <c r="I267" s="976"/>
    </row>
    <row r="268">
      <c r="E268" s="1022"/>
      <c r="G268" s="655"/>
      <c r="H268" s="655"/>
      <c r="I268" s="976"/>
    </row>
    <row r="269">
      <c r="E269" s="1022"/>
      <c r="G269" s="655"/>
      <c r="H269" s="655"/>
      <c r="I269" s="976"/>
    </row>
    <row r="270">
      <c r="E270" s="1022"/>
      <c r="G270" s="655"/>
      <c r="H270" s="655"/>
      <c r="I270" s="976"/>
    </row>
    <row r="271">
      <c r="E271" s="1022"/>
      <c r="G271" s="655"/>
      <c r="H271" s="655"/>
      <c r="I271" s="976"/>
    </row>
    <row r="272">
      <c r="E272" s="1022"/>
      <c r="G272" s="655"/>
      <c r="H272" s="655"/>
      <c r="I272" s="976"/>
    </row>
    <row r="273">
      <c r="E273" s="1022"/>
      <c r="G273" s="655"/>
      <c r="H273" s="655"/>
      <c r="I273" s="976"/>
    </row>
    <row r="274">
      <c r="E274" s="1022"/>
      <c r="G274" s="655"/>
      <c r="H274" s="655"/>
      <c r="I274" s="976"/>
    </row>
    <row r="275">
      <c r="E275" s="1022"/>
      <c r="G275" s="655"/>
      <c r="H275" s="655"/>
      <c r="I275" s="976"/>
    </row>
    <row r="276">
      <c r="E276" s="1022"/>
      <c r="G276" s="655"/>
      <c r="H276" s="655"/>
      <c r="I276" s="976"/>
    </row>
    <row r="277">
      <c r="E277" s="1022"/>
      <c r="G277" s="655"/>
      <c r="H277" s="655"/>
      <c r="I277" s="976"/>
    </row>
    <row r="278">
      <c r="E278" s="1022"/>
      <c r="G278" s="655"/>
      <c r="H278" s="655"/>
      <c r="I278" s="976"/>
    </row>
    <row r="279">
      <c r="E279" s="1022"/>
      <c r="G279" s="655"/>
      <c r="H279" s="655"/>
      <c r="I279" s="976"/>
    </row>
    <row r="280">
      <c r="E280" s="1022"/>
      <c r="G280" s="655"/>
      <c r="H280" s="655"/>
      <c r="I280" s="976"/>
    </row>
    <row r="281">
      <c r="E281" s="1022"/>
      <c r="G281" s="655"/>
      <c r="H281" s="655"/>
      <c r="I281" s="976"/>
    </row>
    <row r="282">
      <c r="E282" s="1022"/>
      <c r="G282" s="655"/>
      <c r="H282" s="655"/>
      <c r="I282" s="976"/>
    </row>
    <row r="283">
      <c r="E283" s="1022"/>
      <c r="G283" s="655"/>
      <c r="H283" s="655"/>
      <c r="I283" s="976"/>
    </row>
    <row r="284">
      <c r="E284" s="1022"/>
      <c r="G284" s="655"/>
      <c r="H284" s="655"/>
      <c r="I284" s="976"/>
    </row>
    <row r="285">
      <c r="E285" s="1022"/>
      <c r="G285" s="655"/>
      <c r="H285" s="655"/>
      <c r="I285" s="976"/>
    </row>
    <row r="286">
      <c r="E286" s="1022"/>
      <c r="G286" s="655"/>
      <c r="H286" s="655"/>
      <c r="I286" s="976"/>
    </row>
    <row r="287">
      <c r="E287" s="1022"/>
      <c r="G287" s="655"/>
      <c r="H287" s="655"/>
      <c r="I287" s="976"/>
    </row>
    <row r="288">
      <c r="E288" s="1022"/>
      <c r="G288" s="655"/>
      <c r="H288" s="655"/>
      <c r="I288" s="976"/>
    </row>
    <row r="289">
      <c r="E289" s="1022"/>
      <c r="G289" s="655"/>
      <c r="H289" s="655"/>
      <c r="I289" s="976"/>
    </row>
    <row r="290">
      <c r="E290" s="1022"/>
      <c r="G290" s="655"/>
      <c r="H290" s="655"/>
      <c r="I290" s="976"/>
    </row>
    <row r="291">
      <c r="E291" s="1022"/>
      <c r="G291" s="655"/>
      <c r="H291" s="655"/>
      <c r="I291" s="976"/>
    </row>
    <row r="292">
      <c r="E292" s="1022"/>
      <c r="G292" s="655"/>
      <c r="H292" s="655"/>
      <c r="I292" s="976"/>
    </row>
    <row r="293">
      <c r="E293" s="1022"/>
      <c r="G293" s="655"/>
      <c r="H293" s="655"/>
      <c r="I293" s="976"/>
    </row>
    <row r="294">
      <c r="E294" s="1022"/>
      <c r="G294" s="655"/>
      <c r="H294" s="655"/>
      <c r="I294" s="976"/>
    </row>
    <row r="295">
      <c r="E295" s="1022"/>
      <c r="G295" s="655"/>
      <c r="H295" s="655"/>
      <c r="I295" s="976"/>
    </row>
    <row r="296">
      <c r="E296" s="1022"/>
      <c r="G296" s="655"/>
      <c r="H296" s="655"/>
      <c r="I296" s="976"/>
    </row>
    <row r="297">
      <c r="E297" s="1022"/>
      <c r="G297" s="655"/>
      <c r="H297" s="655"/>
      <c r="I297" s="976"/>
    </row>
    <row r="298">
      <c r="E298" s="1022"/>
      <c r="G298" s="655"/>
      <c r="H298" s="655"/>
      <c r="I298" s="976"/>
    </row>
    <row r="299">
      <c r="E299" s="1022"/>
      <c r="G299" s="655"/>
      <c r="H299" s="655"/>
      <c r="I299" s="976"/>
    </row>
    <row r="300">
      <c r="E300" s="1022"/>
      <c r="G300" s="655"/>
      <c r="H300" s="655"/>
      <c r="I300" s="976"/>
    </row>
    <row r="301">
      <c r="E301" s="1022"/>
      <c r="G301" s="655"/>
      <c r="H301" s="655"/>
      <c r="I301" s="976"/>
    </row>
    <row r="302">
      <c r="E302" s="1022"/>
      <c r="G302" s="655"/>
      <c r="H302" s="655"/>
      <c r="I302" s="976"/>
    </row>
    <row r="303">
      <c r="E303" s="1022"/>
      <c r="G303" s="655"/>
      <c r="H303" s="655"/>
      <c r="I303" s="976"/>
    </row>
    <row r="304">
      <c r="E304" s="1022"/>
      <c r="G304" s="655"/>
      <c r="H304" s="655"/>
      <c r="I304" s="976"/>
    </row>
    <row r="305">
      <c r="E305" s="1022"/>
      <c r="G305" s="655"/>
      <c r="H305" s="655"/>
      <c r="I305" s="976"/>
    </row>
    <row r="306">
      <c r="E306" s="1022"/>
      <c r="G306" s="655"/>
      <c r="H306" s="655"/>
      <c r="I306" s="976"/>
    </row>
    <row r="307">
      <c r="E307" s="1022"/>
      <c r="G307" s="655"/>
      <c r="H307" s="655"/>
      <c r="I307" s="976"/>
    </row>
    <row r="308">
      <c r="E308" s="1022"/>
      <c r="G308" s="655"/>
      <c r="H308" s="655"/>
      <c r="I308" s="976"/>
    </row>
    <row r="309">
      <c r="E309" s="1022"/>
      <c r="G309" s="655"/>
      <c r="H309" s="655"/>
      <c r="I309" s="976"/>
    </row>
    <row r="310">
      <c r="E310" s="1022"/>
      <c r="G310" s="655"/>
      <c r="H310" s="655"/>
      <c r="I310" s="976"/>
    </row>
    <row r="311">
      <c r="E311" s="1022"/>
      <c r="G311" s="655"/>
      <c r="H311" s="655"/>
      <c r="I311" s="976"/>
    </row>
    <row r="312">
      <c r="E312" s="1022"/>
      <c r="G312" s="655"/>
      <c r="H312" s="655"/>
      <c r="I312" s="976"/>
    </row>
    <row r="313">
      <c r="E313" s="1022"/>
      <c r="G313" s="655"/>
      <c r="H313" s="655"/>
      <c r="I313" s="976"/>
    </row>
    <row r="314">
      <c r="E314" s="1022"/>
      <c r="G314" s="655"/>
      <c r="H314" s="655"/>
      <c r="I314" s="976"/>
    </row>
    <row r="315">
      <c r="E315" s="1022"/>
      <c r="G315" s="655"/>
      <c r="H315" s="655"/>
      <c r="I315" s="976"/>
    </row>
    <row r="316">
      <c r="E316" s="1022"/>
      <c r="G316" s="655"/>
      <c r="H316" s="655"/>
      <c r="I316" s="976"/>
    </row>
    <row r="317">
      <c r="E317" s="1022"/>
      <c r="G317" s="655"/>
      <c r="H317" s="655"/>
      <c r="I317" s="976"/>
    </row>
    <row r="318">
      <c r="E318" s="1022"/>
      <c r="G318" s="655"/>
      <c r="H318" s="655"/>
      <c r="I318" s="976"/>
    </row>
    <row r="319">
      <c r="E319" s="1022"/>
      <c r="G319" s="655"/>
      <c r="H319" s="655"/>
      <c r="I319" s="976"/>
    </row>
    <row r="320">
      <c r="E320" s="1022"/>
      <c r="G320" s="655"/>
      <c r="H320" s="655"/>
      <c r="I320" s="976"/>
    </row>
    <row r="321">
      <c r="E321" s="1022"/>
      <c r="G321" s="655"/>
      <c r="H321" s="655"/>
      <c r="I321" s="976"/>
    </row>
    <row r="322">
      <c r="E322" s="1022"/>
      <c r="G322" s="655"/>
      <c r="H322" s="655"/>
      <c r="I322" s="976"/>
    </row>
    <row r="323">
      <c r="E323" s="1022"/>
      <c r="G323" s="655"/>
      <c r="H323" s="655"/>
      <c r="I323" s="976"/>
    </row>
    <row r="324">
      <c r="E324" s="1022"/>
      <c r="G324" s="655"/>
      <c r="H324" s="655"/>
      <c r="I324" s="976"/>
    </row>
    <row r="325">
      <c r="E325" s="1022"/>
      <c r="G325" s="655"/>
      <c r="H325" s="655"/>
      <c r="I325" s="976"/>
    </row>
    <row r="326">
      <c r="E326" s="1022"/>
      <c r="G326" s="655"/>
      <c r="H326" s="655"/>
      <c r="I326" s="976"/>
    </row>
    <row r="327">
      <c r="E327" s="1022"/>
      <c r="G327" s="655"/>
      <c r="H327" s="655"/>
      <c r="I327" s="976"/>
    </row>
    <row r="328">
      <c r="E328" s="1022"/>
      <c r="G328" s="655"/>
      <c r="H328" s="655"/>
      <c r="I328" s="976"/>
    </row>
    <row r="329">
      <c r="E329" s="1022"/>
      <c r="G329" s="655"/>
      <c r="H329" s="655"/>
      <c r="I329" s="976"/>
    </row>
    <row r="330">
      <c r="E330" s="1022"/>
      <c r="G330" s="655"/>
      <c r="H330" s="655"/>
      <c r="I330" s="976"/>
    </row>
    <row r="331">
      <c r="E331" s="1022"/>
      <c r="G331" s="655"/>
      <c r="H331" s="655"/>
      <c r="I331" s="976"/>
    </row>
    <row r="332">
      <c r="E332" s="1022"/>
      <c r="G332" s="655"/>
      <c r="H332" s="655"/>
      <c r="I332" s="976"/>
    </row>
    <row r="333">
      <c r="E333" s="1022"/>
      <c r="G333" s="655"/>
      <c r="H333" s="655"/>
      <c r="I333" s="976"/>
    </row>
    <row r="334">
      <c r="E334" s="1022"/>
      <c r="G334" s="655"/>
      <c r="H334" s="655"/>
      <c r="I334" s="976"/>
    </row>
    <row r="335">
      <c r="E335" s="1022"/>
      <c r="G335" s="655"/>
      <c r="H335" s="655"/>
      <c r="I335" s="976"/>
    </row>
    <row r="336">
      <c r="E336" s="1022"/>
      <c r="G336" s="655"/>
      <c r="H336" s="655"/>
      <c r="I336" s="976"/>
    </row>
    <row r="337">
      <c r="E337" s="1022"/>
      <c r="G337" s="655"/>
      <c r="H337" s="655"/>
      <c r="I337" s="976"/>
    </row>
    <row r="338">
      <c r="E338" s="1022"/>
      <c r="G338" s="655"/>
      <c r="H338" s="655"/>
      <c r="I338" s="976"/>
    </row>
    <row r="339">
      <c r="E339" s="1022"/>
      <c r="G339" s="655"/>
      <c r="H339" s="655"/>
      <c r="I339" s="976"/>
    </row>
    <row r="340">
      <c r="E340" s="1022"/>
      <c r="G340" s="655"/>
      <c r="H340" s="655"/>
      <c r="I340" s="976"/>
    </row>
    <row r="341">
      <c r="E341" s="1022"/>
      <c r="G341" s="655"/>
      <c r="H341" s="655"/>
      <c r="I341" s="976"/>
    </row>
    <row r="342">
      <c r="E342" s="1022"/>
      <c r="G342" s="655"/>
      <c r="H342" s="655"/>
      <c r="I342" s="976"/>
    </row>
    <row r="343">
      <c r="E343" s="1022"/>
      <c r="G343" s="655"/>
      <c r="H343" s="655"/>
      <c r="I343" s="976"/>
    </row>
    <row r="344">
      <c r="E344" s="1022"/>
      <c r="G344" s="655"/>
      <c r="H344" s="655"/>
      <c r="I344" s="976"/>
    </row>
    <row r="345">
      <c r="E345" s="1022"/>
      <c r="G345" s="655"/>
      <c r="H345" s="655"/>
      <c r="I345" s="976"/>
    </row>
    <row r="346">
      <c r="E346" s="1022"/>
      <c r="G346" s="655"/>
      <c r="H346" s="655"/>
      <c r="I346" s="976"/>
    </row>
    <row r="347">
      <c r="E347" s="1022"/>
      <c r="G347" s="655"/>
      <c r="H347" s="655"/>
      <c r="I347" s="976"/>
    </row>
    <row r="348">
      <c r="E348" s="1022"/>
      <c r="G348" s="655"/>
      <c r="H348" s="655"/>
      <c r="I348" s="976"/>
    </row>
    <row r="349">
      <c r="E349" s="1022"/>
      <c r="G349" s="655"/>
      <c r="H349" s="655"/>
      <c r="I349" s="976"/>
    </row>
    <row r="350">
      <c r="E350" s="1022"/>
      <c r="G350" s="655"/>
      <c r="H350" s="655"/>
      <c r="I350" s="976"/>
    </row>
    <row r="351">
      <c r="E351" s="1022"/>
      <c r="G351" s="655"/>
      <c r="H351" s="655"/>
      <c r="I351" s="976"/>
    </row>
    <row r="352">
      <c r="E352" s="1022"/>
      <c r="G352" s="655"/>
      <c r="H352" s="655"/>
      <c r="I352" s="976"/>
    </row>
    <row r="353">
      <c r="E353" s="1022"/>
      <c r="G353" s="655"/>
      <c r="H353" s="655"/>
      <c r="I353" s="976"/>
    </row>
    <row r="354">
      <c r="E354" s="1022"/>
      <c r="G354" s="655"/>
      <c r="H354" s="655"/>
      <c r="I354" s="976"/>
    </row>
    <row r="355">
      <c r="E355" s="1022"/>
      <c r="G355" s="655"/>
      <c r="H355" s="655"/>
      <c r="I355" s="976"/>
    </row>
    <row r="356">
      <c r="E356" s="1022"/>
      <c r="G356" s="655"/>
      <c r="H356" s="655"/>
      <c r="I356" s="976"/>
    </row>
    <row r="357">
      <c r="E357" s="1022"/>
      <c r="G357" s="655"/>
      <c r="H357" s="655"/>
      <c r="I357" s="976"/>
    </row>
    <row r="358">
      <c r="E358" s="1022"/>
      <c r="G358" s="655"/>
      <c r="H358" s="655"/>
      <c r="I358" s="976"/>
    </row>
    <row r="359">
      <c r="E359" s="1022"/>
      <c r="G359" s="655"/>
      <c r="H359" s="655"/>
      <c r="I359" s="976"/>
    </row>
    <row r="360">
      <c r="E360" s="1022"/>
      <c r="G360" s="655"/>
      <c r="H360" s="655"/>
      <c r="I360" s="976"/>
    </row>
    <row r="361">
      <c r="E361" s="1022"/>
      <c r="G361" s="655"/>
      <c r="H361" s="655"/>
      <c r="I361" s="976"/>
    </row>
    <row r="362">
      <c r="E362" s="1022"/>
      <c r="G362" s="655"/>
      <c r="H362" s="655"/>
      <c r="I362" s="976"/>
    </row>
    <row r="363">
      <c r="E363" s="1022"/>
      <c r="G363" s="655"/>
      <c r="H363" s="655"/>
      <c r="I363" s="976"/>
    </row>
    <row r="364">
      <c r="E364" s="1022"/>
      <c r="G364" s="655"/>
      <c r="H364" s="655"/>
      <c r="I364" s="976"/>
    </row>
    <row r="365">
      <c r="E365" s="1022"/>
      <c r="G365" s="655"/>
      <c r="H365" s="655"/>
      <c r="I365" s="976"/>
    </row>
    <row r="366">
      <c r="E366" s="1022"/>
      <c r="G366" s="655"/>
      <c r="H366" s="655"/>
      <c r="I366" s="976"/>
    </row>
    <row r="367">
      <c r="E367" s="1022"/>
      <c r="G367" s="655"/>
      <c r="H367" s="655"/>
      <c r="I367" s="976"/>
    </row>
    <row r="368">
      <c r="E368" s="1022"/>
      <c r="G368" s="655"/>
      <c r="H368" s="655"/>
      <c r="I368" s="976"/>
    </row>
    <row r="369">
      <c r="E369" s="1022"/>
      <c r="G369" s="655"/>
      <c r="H369" s="655"/>
      <c r="I369" s="976"/>
    </row>
    <row r="370">
      <c r="E370" s="1022"/>
      <c r="G370" s="655"/>
      <c r="H370" s="655"/>
      <c r="I370" s="976"/>
    </row>
    <row r="371">
      <c r="E371" s="1022"/>
      <c r="G371" s="655"/>
      <c r="H371" s="655"/>
      <c r="I371" s="976"/>
    </row>
    <row r="372">
      <c r="E372" s="1022"/>
      <c r="G372" s="655"/>
      <c r="H372" s="655"/>
      <c r="I372" s="976"/>
    </row>
    <row r="373">
      <c r="E373" s="1022"/>
      <c r="G373" s="655"/>
      <c r="H373" s="655"/>
      <c r="I373" s="976"/>
    </row>
    <row r="374">
      <c r="E374" s="1022"/>
      <c r="G374" s="655"/>
      <c r="H374" s="655"/>
      <c r="I374" s="976"/>
    </row>
    <row r="375">
      <c r="E375" s="1022"/>
      <c r="G375" s="655"/>
      <c r="H375" s="655"/>
      <c r="I375" s="976"/>
    </row>
    <row r="376">
      <c r="E376" s="1022"/>
      <c r="G376" s="655"/>
      <c r="H376" s="655"/>
      <c r="I376" s="976"/>
    </row>
    <row r="377">
      <c r="E377" s="1022"/>
      <c r="G377" s="655"/>
      <c r="H377" s="655"/>
      <c r="I377" s="976"/>
    </row>
    <row r="378">
      <c r="E378" s="1022"/>
      <c r="G378" s="655"/>
      <c r="H378" s="655"/>
      <c r="I378" s="976"/>
    </row>
    <row r="379">
      <c r="E379" s="1022"/>
      <c r="G379" s="655"/>
      <c r="H379" s="655"/>
      <c r="I379" s="976"/>
    </row>
    <row r="380">
      <c r="E380" s="1022"/>
      <c r="G380" s="655"/>
      <c r="H380" s="655"/>
      <c r="I380" s="976"/>
    </row>
    <row r="381">
      <c r="E381" s="1022"/>
      <c r="G381" s="655"/>
      <c r="H381" s="655"/>
      <c r="I381" s="976"/>
    </row>
    <row r="382">
      <c r="E382" s="1022"/>
      <c r="G382" s="655"/>
      <c r="H382" s="655"/>
      <c r="I382" s="976"/>
    </row>
    <row r="383">
      <c r="E383" s="1022"/>
      <c r="G383" s="655"/>
      <c r="H383" s="655"/>
      <c r="I383" s="976"/>
    </row>
    <row r="384">
      <c r="E384" s="1022"/>
      <c r="G384" s="655"/>
      <c r="H384" s="655"/>
      <c r="I384" s="976"/>
    </row>
    <row r="385">
      <c r="E385" s="1022"/>
      <c r="G385" s="655"/>
      <c r="H385" s="655"/>
      <c r="I385" s="976"/>
    </row>
    <row r="386">
      <c r="E386" s="1022"/>
      <c r="G386" s="655"/>
      <c r="H386" s="655"/>
      <c r="I386" s="976"/>
    </row>
    <row r="387">
      <c r="E387" s="1022"/>
      <c r="G387" s="655"/>
      <c r="H387" s="655"/>
      <c r="I387" s="976"/>
    </row>
    <row r="388">
      <c r="E388" s="1022"/>
      <c r="G388" s="655"/>
      <c r="H388" s="655"/>
      <c r="I388" s="976"/>
    </row>
    <row r="389">
      <c r="E389" s="1022"/>
      <c r="G389" s="655"/>
      <c r="H389" s="655"/>
      <c r="I389" s="976"/>
    </row>
    <row r="390">
      <c r="E390" s="1022"/>
      <c r="G390" s="655"/>
      <c r="H390" s="655"/>
      <c r="I390" s="976"/>
    </row>
    <row r="391">
      <c r="E391" s="1022"/>
      <c r="G391" s="655"/>
      <c r="H391" s="655"/>
      <c r="I391" s="976"/>
    </row>
    <row r="392">
      <c r="E392" s="1022"/>
      <c r="G392" s="655"/>
      <c r="H392" s="655"/>
      <c r="I392" s="976"/>
    </row>
    <row r="393">
      <c r="E393" s="1022"/>
      <c r="G393" s="655"/>
      <c r="H393" s="655"/>
      <c r="I393" s="976"/>
    </row>
    <row r="394">
      <c r="E394" s="1022"/>
      <c r="G394" s="655"/>
      <c r="H394" s="655"/>
      <c r="I394" s="976"/>
    </row>
    <row r="395">
      <c r="E395" s="1022"/>
      <c r="G395" s="655"/>
      <c r="H395" s="655"/>
      <c r="I395" s="976"/>
    </row>
    <row r="396">
      <c r="E396" s="1022"/>
      <c r="G396" s="655"/>
      <c r="H396" s="655"/>
      <c r="I396" s="976"/>
    </row>
    <row r="397">
      <c r="E397" s="1022"/>
      <c r="G397" s="655"/>
      <c r="H397" s="655"/>
      <c r="I397" s="976"/>
    </row>
    <row r="398">
      <c r="E398" s="1022"/>
      <c r="G398" s="655"/>
      <c r="H398" s="655"/>
      <c r="I398" s="976"/>
    </row>
    <row r="399">
      <c r="E399" s="1022"/>
      <c r="G399" s="655"/>
      <c r="H399" s="655"/>
      <c r="I399" s="976"/>
    </row>
    <row r="400">
      <c r="E400" s="1022"/>
      <c r="G400" s="655"/>
      <c r="H400" s="655"/>
      <c r="I400" s="976"/>
    </row>
    <row r="401">
      <c r="E401" s="1022"/>
      <c r="G401" s="655"/>
      <c r="H401" s="655"/>
      <c r="I401" s="976"/>
    </row>
    <row r="402">
      <c r="E402" s="1022"/>
      <c r="G402" s="655"/>
      <c r="H402" s="655"/>
      <c r="I402" s="976"/>
    </row>
    <row r="403">
      <c r="E403" s="1022"/>
      <c r="G403" s="655"/>
      <c r="H403" s="655"/>
      <c r="I403" s="976"/>
    </row>
    <row r="404">
      <c r="E404" s="1022"/>
      <c r="G404" s="655"/>
      <c r="H404" s="655"/>
      <c r="I404" s="976"/>
    </row>
    <row r="405">
      <c r="E405" s="1022"/>
      <c r="G405" s="655"/>
      <c r="H405" s="655"/>
      <c r="I405" s="976"/>
    </row>
    <row r="406">
      <c r="E406" s="1022"/>
      <c r="G406" s="655"/>
      <c r="H406" s="655"/>
      <c r="I406" s="976"/>
    </row>
    <row r="407">
      <c r="E407" s="1022"/>
      <c r="G407" s="655"/>
      <c r="H407" s="655"/>
      <c r="I407" s="976"/>
    </row>
    <row r="408">
      <c r="E408" s="1022"/>
      <c r="G408" s="655"/>
      <c r="H408" s="655"/>
      <c r="I408" s="976"/>
    </row>
    <row r="409">
      <c r="E409" s="1022"/>
      <c r="G409" s="655"/>
      <c r="H409" s="655"/>
      <c r="I409" s="976"/>
    </row>
    <row r="410">
      <c r="E410" s="1022"/>
      <c r="G410" s="655"/>
      <c r="H410" s="655"/>
      <c r="I410" s="976"/>
    </row>
    <row r="411">
      <c r="E411" s="1022"/>
      <c r="G411" s="655"/>
      <c r="H411" s="655"/>
      <c r="I411" s="976"/>
    </row>
    <row r="412">
      <c r="E412" s="1022"/>
      <c r="G412" s="655"/>
      <c r="H412" s="655"/>
      <c r="I412" s="976"/>
    </row>
    <row r="413">
      <c r="E413" s="1022"/>
      <c r="G413" s="655"/>
      <c r="H413" s="655"/>
      <c r="I413" s="976"/>
    </row>
    <row r="414">
      <c r="E414" s="1022"/>
      <c r="G414" s="655"/>
      <c r="H414" s="655"/>
      <c r="I414" s="976"/>
    </row>
    <row r="415">
      <c r="E415" s="1022"/>
      <c r="G415" s="655"/>
      <c r="H415" s="655"/>
      <c r="I415" s="976"/>
    </row>
    <row r="416">
      <c r="E416" s="1022"/>
      <c r="G416" s="655"/>
      <c r="H416" s="655"/>
      <c r="I416" s="976"/>
    </row>
    <row r="417">
      <c r="E417" s="1022"/>
      <c r="G417" s="655"/>
      <c r="H417" s="655"/>
      <c r="I417" s="976"/>
    </row>
    <row r="418">
      <c r="E418" s="1022"/>
      <c r="G418" s="655"/>
      <c r="H418" s="655"/>
      <c r="I418" s="976"/>
    </row>
    <row r="419">
      <c r="E419" s="1022"/>
      <c r="G419" s="655"/>
      <c r="H419" s="655"/>
      <c r="I419" s="976"/>
    </row>
    <row r="420">
      <c r="E420" s="1022"/>
      <c r="G420" s="655"/>
      <c r="H420" s="655"/>
      <c r="I420" s="976"/>
    </row>
    <row r="421">
      <c r="E421" s="1022"/>
      <c r="G421" s="655"/>
      <c r="H421" s="655"/>
      <c r="I421" s="976"/>
    </row>
    <row r="422">
      <c r="E422" s="1022"/>
      <c r="G422" s="655"/>
      <c r="H422" s="655"/>
      <c r="I422" s="976"/>
    </row>
    <row r="423">
      <c r="E423" s="1022"/>
      <c r="G423" s="655"/>
      <c r="H423" s="655"/>
      <c r="I423" s="976"/>
    </row>
    <row r="424">
      <c r="E424" s="1022"/>
      <c r="G424" s="655"/>
      <c r="H424" s="655"/>
      <c r="I424" s="976"/>
    </row>
    <row r="425">
      <c r="E425" s="1022"/>
      <c r="G425" s="655"/>
      <c r="H425" s="655"/>
      <c r="I425" s="976"/>
    </row>
    <row r="426">
      <c r="E426" s="1022"/>
      <c r="G426" s="655"/>
      <c r="H426" s="655"/>
      <c r="I426" s="976"/>
    </row>
    <row r="427">
      <c r="E427" s="1022"/>
      <c r="G427" s="655"/>
      <c r="H427" s="655"/>
      <c r="I427" s="976"/>
    </row>
    <row r="428">
      <c r="E428" s="1022"/>
      <c r="G428" s="655"/>
      <c r="H428" s="655"/>
      <c r="I428" s="976"/>
    </row>
    <row r="429">
      <c r="E429" s="1022"/>
      <c r="G429" s="655"/>
      <c r="H429" s="655"/>
      <c r="I429" s="976"/>
    </row>
    <row r="430">
      <c r="E430" s="1022"/>
      <c r="G430" s="655"/>
      <c r="H430" s="655"/>
      <c r="I430" s="976"/>
    </row>
    <row r="431">
      <c r="E431" s="1022"/>
      <c r="G431" s="655"/>
      <c r="H431" s="655"/>
      <c r="I431" s="976"/>
    </row>
    <row r="432">
      <c r="E432" s="1022"/>
      <c r="G432" s="655"/>
      <c r="H432" s="655"/>
      <c r="I432" s="976"/>
    </row>
    <row r="433">
      <c r="E433" s="1022"/>
      <c r="G433" s="655"/>
      <c r="H433" s="655"/>
      <c r="I433" s="976"/>
    </row>
    <row r="434">
      <c r="E434" s="1022"/>
      <c r="G434" s="655"/>
      <c r="H434" s="655"/>
      <c r="I434" s="976"/>
    </row>
    <row r="435">
      <c r="E435" s="1022"/>
      <c r="G435" s="655"/>
      <c r="H435" s="655"/>
      <c r="I435" s="976"/>
    </row>
    <row r="436">
      <c r="E436" s="1022"/>
      <c r="G436" s="655"/>
      <c r="H436" s="655"/>
      <c r="I436" s="976"/>
    </row>
    <row r="437">
      <c r="E437" s="1022"/>
      <c r="G437" s="655"/>
      <c r="H437" s="655"/>
      <c r="I437" s="976"/>
    </row>
    <row r="438">
      <c r="E438" s="1022"/>
      <c r="G438" s="655"/>
      <c r="H438" s="655"/>
      <c r="I438" s="976"/>
    </row>
    <row r="439">
      <c r="E439" s="1022"/>
      <c r="G439" s="655"/>
      <c r="H439" s="655"/>
      <c r="I439" s="976"/>
    </row>
    <row r="440">
      <c r="E440" s="1022"/>
      <c r="G440" s="655"/>
      <c r="H440" s="655"/>
      <c r="I440" s="976"/>
    </row>
    <row r="441">
      <c r="E441" s="1022"/>
      <c r="G441" s="655"/>
      <c r="H441" s="655"/>
      <c r="I441" s="976"/>
    </row>
    <row r="442">
      <c r="E442" s="1022"/>
      <c r="G442" s="655"/>
      <c r="H442" s="655"/>
      <c r="I442" s="976"/>
    </row>
    <row r="443">
      <c r="E443" s="1022"/>
      <c r="G443" s="655"/>
      <c r="H443" s="655"/>
      <c r="I443" s="976"/>
    </row>
    <row r="444">
      <c r="E444" s="1022"/>
      <c r="G444" s="655"/>
      <c r="H444" s="655"/>
      <c r="I444" s="976"/>
    </row>
    <row r="445">
      <c r="E445" s="1022"/>
      <c r="G445" s="655"/>
      <c r="H445" s="655"/>
      <c r="I445" s="976"/>
    </row>
    <row r="446">
      <c r="E446" s="1022"/>
      <c r="G446" s="655"/>
      <c r="H446" s="655"/>
      <c r="I446" s="976"/>
    </row>
    <row r="447">
      <c r="E447" s="1022"/>
      <c r="G447" s="655"/>
      <c r="H447" s="655"/>
      <c r="I447" s="976"/>
    </row>
    <row r="448">
      <c r="E448" s="1022"/>
      <c r="G448" s="655"/>
      <c r="H448" s="655"/>
      <c r="I448" s="976"/>
    </row>
    <row r="449">
      <c r="E449" s="1022"/>
      <c r="G449" s="655"/>
      <c r="H449" s="655"/>
      <c r="I449" s="976"/>
    </row>
    <row r="450">
      <c r="E450" s="1022"/>
      <c r="G450" s="655"/>
      <c r="H450" s="655"/>
      <c r="I450" s="976"/>
    </row>
    <row r="451">
      <c r="E451" s="1022"/>
      <c r="G451" s="655"/>
      <c r="H451" s="655"/>
      <c r="I451" s="976"/>
    </row>
    <row r="452">
      <c r="E452" s="1022"/>
      <c r="G452" s="655"/>
      <c r="H452" s="655"/>
      <c r="I452" s="976"/>
    </row>
    <row r="453">
      <c r="E453" s="1022"/>
      <c r="G453" s="655"/>
      <c r="H453" s="655"/>
      <c r="I453" s="976"/>
    </row>
    <row r="454">
      <c r="E454" s="1022"/>
      <c r="G454" s="655"/>
      <c r="H454" s="655"/>
      <c r="I454" s="976"/>
    </row>
    <row r="455">
      <c r="E455" s="1022"/>
      <c r="G455" s="655"/>
      <c r="H455" s="655"/>
      <c r="I455" s="976"/>
    </row>
    <row r="456">
      <c r="E456" s="1022"/>
      <c r="G456" s="655"/>
      <c r="H456" s="655"/>
      <c r="I456" s="976"/>
    </row>
    <row r="457">
      <c r="E457" s="1022"/>
      <c r="G457" s="655"/>
      <c r="H457" s="655"/>
      <c r="I457" s="976"/>
    </row>
    <row r="458">
      <c r="E458" s="1022"/>
      <c r="G458" s="655"/>
      <c r="H458" s="655"/>
      <c r="I458" s="976"/>
    </row>
    <row r="459">
      <c r="E459" s="1022"/>
      <c r="G459" s="655"/>
      <c r="H459" s="655"/>
      <c r="I459" s="976"/>
    </row>
    <row r="460">
      <c r="E460" s="1022"/>
      <c r="G460" s="655"/>
      <c r="H460" s="655"/>
      <c r="I460" s="976"/>
    </row>
    <row r="461">
      <c r="E461" s="1022"/>
      <c r="G461" s="655"/>
      <c r="H461" s="655"/>
      <c r="I461" s="976"/>
    </row>
    <row r="462">
      <c r="E462" s="1022"/>
      <c r="G462" s="655"/>
      <c r="H462" s="655"/>
      <c r="I462" s="976"/>
    </row>
    <row r="463">
      <c r="E463" s="1022"/>
      <c r="G463" s="655"/>
      <c r="H463" s="655"/>
      <c r="I463" s="976"/>
    </row>
    <row r="464">
      <c r="E464" s="1022"/>
      <c r="G464" s="655"/>
      <c r="H464" s="655"/>
      <c r="I464" s="976"/>
    </row>
    <row r="465">
      <c r="E465" s="1022"/>
      <c r="G465" s="655"/>
      <c r="H465" s="655"/>
      <c r="I465" s="976"/>
    </row>
    <row r="466">
      <c r="E466" s="1022"/>
      <c r="G466" s="655"/>
      <c r="H466" s="655"/>
      <c r="I466" s="976"/>
    </row>
    <row r="467">
      <c r="E467" s="1022"/>
      <c r="G467" s="655"/>
      <c r="H467" s="655"/>
      <c r="I467" s="976"/>
    </row>
    <row r="468">
      <c r="E468" s="1022"/>
      <c r="G468" s="655"/>
      <c r="H468" s="655"/>
      <c r="I468" s="976"/>
    </row>
    <row r="469">
      <c r="E469" s="1022"/>
      <c r="G469" s="655"/>
      <c r="H469" s="655"/>
      <c r="I469" s="976"/>
    </row>
    <row r="470">
      <c r="E470" s="1022"/>
      <c r="G470" s="655"/>
      <c r="H470" s="655"/>
      <c r="I470" s="976"/>
    </row>
    <row r="471">
      <c r="E471" s="1022"/>
      <c r="G471" s="655"/>
      <c r="H471" s="655"/>
      <c r="I471" s="976"/>
    </row>
    <row r="472">
      <c r="E472" s="1022"/>
      <c r="G472" s="655"/>
      <c r="H472" s="655"/>
      <c r="I472" s="976"/>
    </row>
    <row r="473">
      <c r="E473" s="1022"/>
      <c r="G473" s="655"/>
      <c r="H473" s="655"/>
      <c r="I473" s="976"/>
    </row>
    <row r="474">
      <c r="E474" s="1022"/>
      <c r="G474" s="655"/>
      <c r="H474" s="655"/>
      <c r="I474" s="976"/>
    </row>
    <row r="475">
      <c r="E475" s="1022"/>
      <c r="G475" s="655"/>
      <c r="H475" s="655"/>
      <c r="I475" s="976"/>
    </row>
    <row r="476">
      <c r="E476" s="1022"/>
      <c r="G476" s="655"/>
      <c r="H476" s="655"/>
      <c r="I476" s="976"/>
    </row>
    <row r="477">
      <c r="E477" s="1022"/>
      <c r="G477" s="655"/>
      <c r="H477" s="655"/>
      <c r="I477" s="976"/>
    </row>
    <row r="478">
      <c r="E478" s="1022"/>
      <c r="G478" s="655"/>
      <c r="H478" s="655"/>
      <c r="I478" s="976"/>
    </row>
    <row r="479">
      <c r="E479" s="1022"/>
      <c r="G479" s="655"/>
      <c r="H479" s="655"/>
      <c r="I479" s="976"/>
    </row>
    <row r="480">
      <c r="E480" s="1022"/>
      <c r="G480" s="655"/>
      <c r="H480" s="655"/>
      <c r="I480" s="976"/>
    </row>
    <row r="481">
      <c r="E481" s="1022"/>
      <c r="G481" s="655"/>
      <c r="H481" s="655"/>
      <c r="I481" s="976"/>
    </row>
    <row r="482">
      <c r="E482" s="1022"/>
      <c r="G482" s="655"/>
      <c r="H482" s="655"/>
      <c r="I482" s="976"/>
    </row>
    <row r="483">
      <c r="E483" s="1022"/>
      <c r="G483" s="655"/>
      <c r="H483" s="655"/>
      <c r="I483" s="976"/>
    </row>
    <row r="484">
      <c r="E484" s="1022"/>
      <c r="G484" s="655"/>
      <c r="H484" s="655"/>
      <c r="I484" s="976"/>
    </row>
    <row r="485">
      <c r="E485" s="1022"/>
      <c r="G485" s="655"/>
      <c r="H485" s="655"/>
      <c r="I485" s="976"/>
    </row>
    <row r="486">
      <c r="E486" s="1022"/>
      <c r="G486" s="655"/>
      <c r="H486" s="655"/>
      <c r="I486" s="976"/>
    </row>
    <row r="487">
      <c r="E487" s="1022"/>
      <c r="G487" s="655"/>
      <c r="H487" s="655"/>
      <c r="I487" s="976"/>
    </row>
    <row r="488">
      <c r="E488" s="1022"/>
      <c r="G488" s="655"/>
      <c r="H488" s="655"/>
      <c r="I488" s="976"/>
    </row>
    <row r="489">
      <c r="E489" s="1022"/>
      <c r="G489" s="655"/>
      <c r="H489" s="655"/>
      <c r="I489" s="976"/>
    </row>
    <row r="490">
      <c r="E490" s="1022"/>
      <c r="G490" s="655"/>
      <c r="H490" s="655"/>
      <c r="I490" s="976"/>
    </row>
    <row r="491">
      <c r="E491" s="1022"/>
      <c r="G491" s="655"/>
      <c r="H491" s="655"/>
      <c r="I491" s="976"/>
    </row>
    <row r="492">
      <c r="E492" s="1022"/>
      <c r="G492" s="655"/>
      <c r="H492" s="655"/>
      <c r="I492" s="976"/>
    </row>
    <row r="493">
      <c r="E493" s="1022"/>
      <c r="G493" s="655"/>
      <c r="H493" s="655"/>
      <c r="I493" s="976"/>
    </row>
    <row r="494">
      <c r="E494" s="1022"/>
      <c r="G494" s="655"/>
      <c r="H494" s="655"/>
      <c r="I494" s="976"/>
    </row>
    <row r="495">
      <c r="E495" s="1022"/>
      <c r="G495" s="655"/>
      <c r="H495" s="655"/>
      <c r="I495" s="976"/>
    </row>
    <row r="496">
      <c r="E496" s="1022"/>
      <c r="G496" s="655"/>
      <c r="H496" s="655"/>
      <c r="I496" s="976"/>
    </row>
    <row r="497">
      <c r="E497" s="1022"/>
      <c r="G497" s="655"/>
      <c r="H497" s="655"/>
      <c r="I497" s="976"/>
    </row>
    <row r="498">
      <c r="E498" s="1022"/>
      <c r="G498" s="655"/>
      <c r="H498" s="655"/>
      <c r="I498" s="976"/>
    </row>
    <row r="499">
      <c r="E499" s="1022"/>
      <c r="G499" s="655"/>
      <c r="H499" s="655"/>
      <c r="I499" s="976"/>
    </row>
    <row r="500">
      <c r="E500" s="1022"/>
      <c r="G500" s="655"/>
      <c r="H500" s="655"/>
      <c r="I500" s="976"/>
    </row>
    <row r="501">
      <c r="E501" s="1022"/>
      <c r="G501" s="655"/>
      <c r="H501" s="655"/>
      <c r="I501" s="976"/>
    </row>
    <row r="502">
      <c r="E502" s="1022"/>
      <c r="G502" s="655"/>
      <c r="H502" s="655"/>
      <c r="I502" s="976"/>
    </row>
    <row r="503">
      <c r="E503" s="1022"/>
      <c r="G503" s="655"/>
      <c r="H503" s="655"/>
      <c r="I503" s="976"/>
    </row>
    <row r="504">
      <c r="E504" s="1022"/>
      <c r="G504" s="655"/>
      <c r="H504" s="655"/>
      <c r="I504" s="976"/>
    </row>
    <row r="505">
      <c r="E505" s="1022"/>
      <c r="G505" s="655"/>
      <c r="H505" s="655"/>
      <c r="I505" s="976"/>
    </row>
    <row r="506">
      <c r="E506" s="1022"/>
      <c r="G506" s="655"/>
      <c r="H506" s="655"/>
      <c r="I506" s="976"/>
    </row>
    <row r="507">
      <c r="E507" s="1022"/>
      <c r="G507" s="655"/>
      <c r="H507" s="655"/>
      <c r="I507" s="976"/>
    </row>
    <row r="508">
      <c r="E508" s="1022"/>
      <c r="G508" s="655"/>
      <c r="H508" s="655"/>
      <c r="I508" s="976"/>
    </row>
    <row r="509">
      <c r="E509" s="1022"/>
      <c r="G509" s="655"/>
      <c r="H509" s="655"/>
      <c r="I509" s="976"/>
    </row>
    <row r="510">
      <c r="E510" s="1022"/>
      <c r="G510" s="655"/>
      <c r="H510" s="655"/>
      <c r="I510" s="976"/>
    </row>
    <row r="511">
      <c r="E511" s="1022"/>
      <c r="G511" s="655"/>
      <c r="H511" s="655"/>
      <c r="I511" s="976"/>
    </row>
    <row r="512">
      <c r="E512" s="1022"/>
      <c r="G512" s="655"/>
      <c r="H512" s="655"/>
      <c r="I512" s="976"/>
    </row>
    <row r="513">
      <c r="E513" s="1022"/>
      <c r="G513" s="655"/>
      <c r="H513" s="655"/>
      <c r="I513" s="976"/>
    </row>
    <row r="514">
      <c r="E514" s="1022"/>
      <c r="G514" s="655"/>
      <c r="H514" s="655"/>
      <c r="I514" s="976"/>
    </row>
    <row r="515">
      <c r="E515" s="1022"/>
      <c r="G515" s="655"/>
      <c r="H515" s="655"/>
      <c r="I515" s="976"/>
    </row>
    <row r="516">
      <c r="E516" s="1022"/>
      <c r="G516" s="655"/>
      <c r="H516" s="655"/>
      <c r="I516" s="976"/>
    </row>
    <row r="517">
      <c r="E517" s="1022"/>
      <c r="G517" s="655"/>
      <c r="H517" s="655"/>
      <c r="I517" s="976"/>
    </row>
    <row r="518">
      <c r="E518" s="1022"/>
      <c r="G518" s="655"/>
      <c r="H518" s="655"/>
      <c r="I518" s="976"/>
    </row>
    <row r="519">
      <c r="E519" s="1022"/>
      <c r="G519" s="655"/>
      <c r="H519" s="655"/>
      <c r="I519" s="976"/>
    </row>
    <row r="520">
      <c r="E520" s="1022"/>
      <c r="G520" s="655"/>
      <c r="H520" s="655"/>
      <c r="I520" s="976"/>
    </row>
    <row r="521">
      <c r="E521" s="1022"/>
      <c r="G521" s="655"/>
      <c r="H521" s="655"/>
      <c r="I521" s="976"/>
    </row>
    <row r="522">
      <c r="E522" s="1022"/>
      <c r="G522" s="655"/>
      <c r="H522" s="655"/>
      <c r="I522" s="976"/>
    </row>
    <row r="523">
      <c r="E523" s="1022"/>
      <c r="G523" s="655"/>
      <c r="H523" s="655"/>
      <c r="I523" s="976"/>
    </row>
    <row r="524">
      <c r="E524" s="1022"/>
      <c r="G524" s="655"/>
      <c r="H524" s="655"/>
      <c r="I524" s="976"/>
    </row>
    <row r="525">
      <c r="E525" s="1022"/>
      <c r="G525" s="655"/>
      <c r="H525" s="655"/>
      <c r="I525" s="976"/>
    </row>
    <row r="526">
      <c r="E526" s="1022"/>
      <c r="G526" s="655"/>
      <c r="H526" s="655"/>
      <c r="I526" s="976"/>
    </row>
    <row r="527">
      <c r="E527" s="1022"/>
      <c r="G527" s="655"/>
      <c r="H527" s="655"/>
      <c r="I527" s="976"/>
    </row>
    <row r="528">
      <c r="E528" s="1022"/>
      <c r="G528" s="655"/>
      <c r="H528" s="655"/>
      <c r="I528" s="976"/>
    </row>
    <row r="529">
      <c r="E529" s="1022"/>
      <c r="G529" s="655"/>
      <c r="H529" s="655"/>
      <c r="I529" s="976"/>
    </row>
    <row r="530">
      <c r="E530" s="1022"/>
      <c r="G530" s="655"/>
      <c r="H530" s="655"/>
      <c r="I530" s="976"/>
    </row>
    <row r="531">
      <c r="E531" s="1022"/>
      <c r="G531" s="655"/>
      <c r="H531" s="655"/>
      <c r="I531" s="976"/>
    </row>
    <row r="532">
      <c r="E532" s="1022"/>
      <c r="G532" s="655"/>
      <c r="H532" s="655"/>
      <c r="I532" s="976"/>
    </row>
    <row r="533">
      <c r="E533" s="1022"/>
      <c r="G533" s="655"/>
      <c r="H533" s="655"/>
      <c r="I533" s="976"/>
    </row>
    <row r="534">
      <c r="E534" s="1022"/>
      <c r="G534" s="655"/>
      <c r="H534" s="655"/>
      <c r="I534" s="976"/>
    </row>
    <row r="535">
      <c r="E535" s="1022"/>
      <c r="G535" s="655"/>
      <c r="H535" s="655"/>
      <c r="I535" s="976"/>
    </row>
    <row r="536">
      <c r="E536" s="1022"/>
      <c r="G536" s="655"/>
      <c r="H536" s="655"/>
      <c r="I536" s="976"/>
    </row>
    <row r="537">
      <c r="E537" s="1022"/>
      <c r="G537" s="655"/>
      <c r="H537" s="655"/>
      <c r="I537" s="976"/>
    </row>
    <row r="538">
      <c r="E538" s="1022"/>
      <c r="G538" s="655"/>
      <c r="H538" s="655"/>
      <c r="I538" s="976"/>
    </row>
    <row r="539">
      <c r="E539" s="1022"/>
      <c r="G539" s="655"/>
      <c r="H539" s="655"/>
      <c r="I539" s="976"/>
    </row>
    <row r="540">
      <c r="E540" s="1022"/>
      <c r="G540" s="655"/>
      <c r="H540" s="655"/>
      <c r="I540" s="976"/>
    </row>
    <row r="541">
      <c r="E541" s="1022"/>
      <c r="G541" s="655"/>
      <c r="H541" s="655"/>
      <c r="I541" s="976"/>
    </row>
    <row r="542">
      <c r="E542" s="1022"/>
      <c r="G542" s="655"/>
      <c r="H542" s="655"/>
      <c r="I542" s="976"/>
    </row>
    <row r="543">
      <c r="E543" s="1022"/>
      <c r="G543" s="655"/>
      <c r="H543" s="655"/>
      <c r="I543" s="976"/>
    </row>
    <row r="544">
      <c r="E544" s="1022"/>
      <c r="G544" s="655"/>
      <c r="H544" s="655"/>
      <c r="I544" s="976"/>
    </row>
    <row r="545">
      <c r="E545" s="1022"/>
      <c r="G545" s="655"/>
      <c r="H545" s="655"/>
      <c r="I545" s="976"/>
    </row>
    <row r="546">
      <c r="E546" s="1022"/>
      <c r="G546" s="655"/>
      <c r="H546" s="655"/>
      <c r="I546" s="976"/>
    </row>
    <row r="547">
      <c r="E547" s="1022"/>
      <c r="G547" s="655"/>
      <c r="H547" s="655"/>
      <c r="I547" s="976"/>
    </row>
    <row r="548">
      <c r="E548" s="1022"/>
      <c r="G548" s="655"/>
      <c r="H548" s="655"/>
      <c r="I548" s="976"/>
    </row>
    <row r="549">
      <c r="E549" s="1022"/>
      <c r="G549" s="655"/>
      <c r="H549" s="655"/>
      <c r="I549" s="976"/>
    </row>
    <row r="550">
      <c r="E550" s="1022"/>
      <c r="G550" s="655"/>
      <c r="H550" s="655"/>
      <c r="I550" s="976"/>
    </row>
    <row r="551">
      <c r="E551" s="1022"/>
      <c r="G551" s="655"/>
      <c r="H551" s="655"/>
      <c r="I551" s="976"/>
    </row>
    <row r="552">
      <c r="E552" s="1022"/>
      <c r="G552" s="655"/>
      <c r="H552" s="655"/>
      <c r="I552" s="976"/>
    </row>
    <row r="553">
      <c r="E553" s="1022"/>
      <c r="G553" s="655"/>
      <c r="H553" s="655"/>
      <c r="I553" s="976"/>
    </row>
    <row r="554">
      <c r="E554" s="1022"/>
      <c r="G554" s="655"/>
      <c r="H554" s="655"/>
      <c r="I554" s="976"/>
    </row>
    <row r="555">
      <c r="E555" s="1022"/>
      <c r="G555" s="655"/>
      <c r="H555" s="655"/>
      <c r="I555" s="976"/>
    </row>
    <row r="556">
      <c r="E556" s="1022"/>
      <c r="G556" s="655"/>
      <c r="H556" s="655"/>
      <c r="I556" s="976"/>
    </row>
    <row r="557">
      <c r="E557" s="1022"/>
      <c r="G557" s="655"/>
      <c r="H557" s="655"/>
      <c r="I557" s="976"/>
    </row>
    <row r="558">
      <c r="E558" s="1022"/>
      <c r="G558" s="655"/>
      <c r="H558" s="655"/>
      <c r="I558" s="976"/>
    </row>
    <row r="559">
      <c r="E559" s="1022"/>
      <c r="G559" s="655"/>
      <c r="H559" s="655"/>
      <c r="I559" s="976"/>
    </row>
    <row r="560">
      <c r="E560" s="1022"/>
      <c r="G560" s="655"/>
      <c r="H560" s="655"/>
      <c r="I560" s="976"/>
    </row>
    <row r="561">
      <c r="E561" s="1022"/>
      <c r="G561" s="655"/>
      <c r="H561" s="655"/>
      <c r="I561" s="976"/>
    </row>
    <row r="562">
      <c r="E562" s="1022"/>
      <c r="G562" s="655"/>
      <c r="H562" s="655"/>
      <c r="I562" s="976"/>
    </row>
    <row r="563">
      <c r="E563" s="1022"/>
      <c r="G563" s="655"/>
      <c r="H563" s="655"/>
      <c r="I563" s="976"/>
    </row>
    <row r="564">
      <c r="E564" s="1022"/>
      <c r="G564" s="655"/>
      <c r="H564" s="655"/>
      <c r="I564" s="976"/>
    </row>
    <row r="565">
      <c r="E565" s="1022"/>
      <c r="G565" s="655"/>
      <c r="H565" s="655"/>
      <c r="I565" s="976"/>
    </row>
    <row r="566">
      <c r="E566" s="1022"/>
      <c r="G566" s="655"/>
      <c r="H566" s="655"/>
      <c r="I566" s="976"/>
    </row>
    <row r="567">
      <c r="E567" s="1022"/>
      <c r="G567" s="655"/>
      <c r="H567" s="655"/>
      <c r="I567" s="976"/>
    </row>
    <row r="568">
      <c r="E568" s="1022"/>
      <c r="G568" s="655"/>
      <c r="H568" s="655"/>
      <c r="I568" s="976"/>
    </row>
    <row r="569">
      <c r="E569" s="1022"/>
      <c r="G569" s="655"/>
      <c r="H569" s="655"/>
      <c r="I569" s="976"/>
    </row>
    <row r="570">
      <c r="E570" s="1022"/>
      <c r="G570" s="655"/>
      <c r="H570" s="655"/>
      <c r="I570" s="976"/>
    </row>
    <row r="571">
      <c r="E571" s="1022"/>
      <c r="G571" s="655"/>
      <c r="H571" s="655"/>
      <c r="I571" s="976"/>
    </row>
    <row r="572">
      <c r="E572" s="1022"/>
      <c r="G572" s="655"/>
      <c r="H572" s="655"/>
      <c r="I572" s="976"/>
    </row>
    <row r="573">
      <c r="E573" s="1022"/>
      <c r="G573" s="655"/>
      <c r="H573" s="655"/>
      <c r="I573" s="976"/>
    </row>
    <row r="574">
      <c r="E574" s="1022"/>
      <c r="G574" s="655"/>
      <c r="H574" s="655"/>
      <c r="I574" s="976"/>
    </row>
    <row r="575">
      <c r="E575" s="1022"/>
      <c r="G575" s="655"/>
      <c r="H575" s="655"/>
      <c r="I575" s="976"/>
    </row>
    <row r="576">
      <c r="E576" s="1022"/>
      <c r="G576" s="655"/>
      <c r="H576" s="655"/>
      <c r="I576" s="976"/>
    </row>
    <row r="577">
      <c r="E577" s="1022"/>
      <c r="G577" s="655"/>
      <c r="H577" s="655"/>
      <c r="I577" s="976"/>
    </row>
    <row r="578">
      <c r="E578" s="1022"/>
      <c r="G578" s="655"/>
      <c r="H578" s="655"/>
      <c r="I578" s="976"/>
    </row>
    <row r="579">
      <c r="E579" s="1022"/>
      <c r="G579" s="655"/>
      <c r="H579" s="655"/>
      <c r="I579" s="976"/>
    </row>
    <row r="580">
      <c r="E580" s="1022"/>
      <c r="G580" s="655"/>
      <c r="H580" s="655"/>
      <c r="I580" s="976"/>
    </row>
    <row r="581">
      <c r="E581" s="1022"/>
      <c r="G581" s="655"/>
      <c r="H581" s="655"/>
      <c r="I581" s="976"/>
    </row>
    <row r="582">
      <c r="E582" s="1022"/>
      <c r="G582" s="655"/>
      <c r="H582" s="655"/>
      <c r="I582" s="976"/>
    </row>
    <row r="583">
      <c r="E583" s="1022"/>
      <c r="G583" s="655"/>
      <c r="H583" s="655"/>
      <c r="I583" s="976"/>
    </row>
    <row r="584">
      <c r="E584" s="1022"/>
      <c r="G584" s="655"/>
      <c r="H584" s="655"/>
      <c r="I584" s="976"/>
    </row>
    <row r="585">
      <c r="E585" s="1022"/>
      <c r="G585" s="655"/>
      <c r="H585" s="655"/>
      <c r="I585" s="976"/>
    </row>
    <row r="586">
      <c r="E586" s="1022"/>
      <c r="G586" s="655"/>
      <c r="H586" s="655"/>
      <c r="I586" s="976"/>
    </row>
    <row r="587">
      <c r="E587" s="1022"/>
      <c r="G587" s="655"/>
      <c r="H587" s="655"/>
      <c r="I587" s="976"/>
    </row>
    <row r="588">
      <c r="E588" s="1022"/>
      <c r="G588" s="655"/>
      <c r="H588" s="655"/>
      <c r="I588" s="976"/>
    </row>
    <row r="589">
      <c r="E589" s="1022"/>
      <c r="G589" s="655"/>
      <c r="H589" s="655"/>
      <c r="I589" s="976"/>
    </row>
    <row r="590">
      <c r="E590" s="1022"/>
      <c r="G590" s="655"/>
      <c r="H590" s="655"/>
      <c r="I590" s="976"/>
    </row>
    <row r="591">
      <c r="E591" s="1022"/>
      <c r="G591" s="655"/>
      <c r="H591" s="655"/>
      <c r="I591" s="976"/>
    </row>
    <row r="592">
      <c r="E592" s="1022"/>
      <c r="G592" s="655"/>
      <c r="H592" s="655"/>
      <c r="I592" s="976"/>
    </row>
    <row r="593">
      <c r="E593" s="1022"/>
      <c r="G593" s="655"/>
      <c r="H593" s="655"/>
      <c r="I593" s="976"/>
    </row>
    <row r="594">
      <c r="E594" s="1022"/>
      <c r="G594" s="655"/>
      <c r="H594" s="655"/>
      <c r="I594" s="976"/>
    </row>
    <row r="595">
      <c r="E595" s="1022"/>
      <c r="G595" s="655"/>
      <c r="H595" s="655"/>
      <c r="I595" s="976"/>
    </row>
    <row r="596">
      <c r="E596" s="1022"/>
      <c r="G596" s="655"/>
      <c r="H596" s="655"/>
      <c r="I596" s="976"/>
    </row>
    <row r="597">
      <c r="E597" s="1022"/>
      <c r="G597" s="655"/>
      <c r="H597" s="655"/>
      <c r="I597" s="976"/>
    </row>
    <row r="598">
      <c r="E598" s="1022"/>
      <c r="G598" s="655"/>
      <c r="H598" s="655"/>
      <c r="I598" s="976"/>
    </row>
    <row r="599">
      <c r="E599" s="1022"/>
      <c r="G599" s="655"/>
      <c r="H599" s="655"/>
      <c r="I599" s="976"/>
    </row>
    <row r="600">
      <c r="E600" s="1022"/>
      <c r="G600" s="655"/>
      <c r="H600" s="655"/>
      <c r="I600" s="976"/>
    </row>
    <row r="601">
      <c r="E601" s="1022"/>
      <c r="G601" s="655"/>
      <c r="H601" s="655"/>
      <c r="I601" s="976"/>
    </row>
    <row r="602">
      <c r="E602" s="1022"/>
      <c r="G602" s="655"/>
      <c r="H602" s="655"/>
      <c r="I602" s="976"/>
    </row>
    <row r="603">
      <c r="E603" s="1022"/>
      <c r="G603" s="655"/>
      <c r="H603" s="655"/>
      <c r="I603" s="976"/>
    </row>
    <row r="604">
      <c r="E604" s="1022"/>
      <c r="G604" s="655"/>
      <c r="H604" s="655"/>
      <c r="I604" s="976"/>
    </row>
    <row r="605">
      <c r="E605" s="1022"/>
      <c r="G605" s="655"/>
      <c r="H605" s="655"/>
      <c r="I605" s="976"/>
    </row>
    <row r="606">
      <c r="E606" s="1022"/>
      <c r="G606" s="655"/>
      <c r="H606" s="655"/>
      <c r="I606" s="976"/>
    </row>
    <row r="607">
      <c r="E607" s="1022"/>
      <c r="G607" s="655"/>
      <c r="H607" s="655"/>
      <c r="I607" s="976"/>
    </row>
    <row r="608">
      <c r="E608" s="1022"/>
      <c r="G608" s="655"/>
      <c r="H608" s="655"/>
      <c r="I608" s="976"/>
    </row>
    <row r="609">
      <c r="E609" s="1022"/>
      <c r="G609" s="655"/>
      <c r="H609" s="655"/>
      <c r="I609" s="976"/>
    </row>
    <row r="610">
      <c r="E610" s="1022"/>
      <c r="G610" s="655"/>
      <c r="H610" s="655"/>
      <c r="I610" s="976"/>
    </row>
    <row r="611">
      <c r="E611" s="1022"/>
      <c r="G611" s="655"/>
      <c r="H611" s="655"/>
      <c r="I611" s="976"/>
    </row>
    <row r="612">
      <c r="E612" s="1022"/>
      <c r="G612" s="655"/>
      <c r="H612" s="655"/>
      <c r="I612" s="976"/>
    </row>
    <row r="613">
      <c r="E613" s="1022"/>
      <c r="G613" s="655"/>
      <c r="H613" s="655"/>
      <c r="I613" s="976"/>
    </row>
    <row r="614">
      <c r="E614" s="1022"/>
      <c r="G614" s="655"/>
      <c r="H614" s="655"/>
      <c r="I614" s="976"/>
    </row>
    <row r="615">
      <c r="E615" s="1022"/>
      <c r="G615" s="655"/>
      <c r="H615" s="655"/>
      <c r="I615" s="976"/>
    </row>
    <row r="616">
      <c r="E616" s="1022"/>
      <c r="G616" s="655"/>
      <c r="H616" s="655"/>
      <c r="I616" s="976"/>
    </row>
    <row r="617">
      <c r="E617" s="1022"/>
      <c r="G617" s="655"/>
      <c r="H617" s="655"/>
      <c r="I617" s="976"/>
    </row>
    <row r="618">
      <c r="E618" s="1022"/>
      <c r="G618" s="655"/>
      <c r="H618" s="655"/>
      <c r="I618" s="976"/>
    </row>
    <row r="619">
      <c r="E619" s="1022"/>
      <c r="G619" s="655"/>
      <c r="H619" s="655"/>
      <c r="I619" s="976"/>
    </row>
    <row r="620">
      <c r="E620" s="1022"/>
      <c r="G620" s="655"/>
      <c r="H620" s="655"/>
      <c r="I620" s="976"/>
    </row>
    <row r="621">
      <c r="E621" s="1022"/>
      <c r="G621" s="655"/>
      <c r="H621" s="655"/>
      <c r="I621" s="976"/>
    </row>
    <row r="622">
      <c r="E622" s="1022"/>
      <c r="G622" s="655"/>
      <c r="H622" s="655"/>
      <c r="I622" s="976"/>
    </row>
    <row r="623">
      <c r="E623" s="1022"/>
      <c r="G623" s="655"/>
      <c r="H623" s="655"/>
      <c r="I623" s="976"/>
    </row>
    <row r="624">
      <c r="E624" s="1022"/>
      <c r="G624" s="655"/>
      <c r="H624" s="655"/>
      <c r="I624" s="976"/>
    </row>
    <row r="625">
      <c r="E625" s="1022"/>
      <c r="G625" s="655"/>
      <c r="H625" s="655"/>
      <c r="I625" s="976"/>
    </row>
    <row r="626">
      <c r="E626" s="1022"/>
      <c r="G626" s="655"/>
      <c r="H626" s="655"/>
      <c r="I626" s="976"/>
    </row>
    <row r="627">
      <c r="E627" s="1022"/>
      <c r="G627" s="655"/>
      <c r="H627" s="655"/>
      <c r="I627" s="976"/>
    </row>
    <row r="628">
      <c r="E628" s="1022"/>
      <c r="G628" s="655"/>
      <c r="H628" s="655"/>
      <c r="I628" s="976"/>
    </row>
    <row r="629">
      <c r="E629" s="1022"/>
      <c r="G629" s="655"/>
      <c r="H629" s="655"/>
      <c r="I629" s="976"/>
    </row>
    <row r="630">
      <c r="E630" s="1022"/>
      <c r="G630" s="655"/>
      <c r="H630" s="655"/>
      <c r="I630" s="976"/>
    </row>
    <row r="631">
      <c r="E631" s="1022"/>
      <c r="G631" s="655"/>
      <c r="H631" s="655"/>
      <c r="I631" s="976"/>
    </row>
    <row r="632">
      <c r="E632" s="1022"/>
      <c r="G632" s="655"/>
      <c r="H632" s="655"/>
      <c r="I632" s="976"/>
    </row>
    <row r="633">
      <c r="E633" s="1022"/>
      <c r="G633" s="655"/>
      <c r="H633" s="655"/>
      <c r="I633" s="976"/>
    </row>
    <row r="634">
      <c r="E634" s="1022"/>
      <c r="G634" s="655"/>
      <c r="H634" s="655"/>
      <c r="I634" s="976"/>
    </row>
    <row r="635">
      <c r="E635" s="1022"/>
      <c r="G635" s="655"/>
      <c r="H635" s="655"/>
      <c r="I635" s="976"/>
    </row>
    <row r="636">
      <c r="E636" s="1022"/>
      <c r="G636" s="655"/>
      <c r="H636" s="655"/>
      <c r="I636" s="976"/>
    </row>
    <row r="637">
      <c r="E637" s="1022"/>
      <c r="G637" s="655"/>
      <c r="H637" s="655"/>
      <c r="I637" s="976"/>
    </row>
    <row r="638">
      <c r="E638" s="1022"/>
      <c r="G638" s="655"/>
      <c r="H638" s="655"/>
      <c r="I638" s="976"/>
    </row>
    <row r="639">
      <c r="E639" s="1022"/>
      <c r="G639" s="655"/>
      <c r="H639" s="655"/>
      <c r="I639" s="976"/>
    </row>
    <row r="640">
      <c r="E640" s="1022"/>
      <c r="G640" s="655"/>
      <c r="H640" s="655"/>
      <c r="I640" s="976"/>
    </row>
    <row r="641">
      <c r="E641" s="1022"/>
      <c r="G641" s="655"/>
      <c r="H641" s="655"/>
      <c r="I641" s="976"/>
    </row>
    <row r="642">
      <c r="E642" s="1022"/>
      <c r="G642" s="655"/>
      <c r="H642" s="655"/>
      <c r="I642" s="976"/>
    </row>
    <row r="643">
      <c r="E643" s="1022"/>
      <c r="G643" s="655"/>
      <c r="H643" s="655"/>
      <c r="I643" s="976"/>
    </row>
    <row r="644">
      <c r="E644" s="1022"/>
      <c r="G644" s="655"/>
      <c r="H644" s="655"/>
      <c r="I644" s="976"/>
    </row>
    <row r="645">
      <c r="E645" s="1022"/>
      <c r="G645" s="655"/>
      <c r="H645" s="655"/>
      <c r="I645" s="976"/>
    </row>
    <row r="646">
      <c r="E646" s="1022"/>
      <c r="G646" s="655"/>
      <c r="H646" s="655"/>
      <c r="I646" s="976"/>
    </row>
    <row r="647">
      <c r="E647" s="1022"/>
      <c r="G647" s="655"/>
      <c r="H647" s="655"/>
      <c r="I647" s="976"/>
    </row>
    <row r="648">
      <c r="E648" s="1022"/>
      <c r="G648" s="655"/>
      <c r="H648" s="655"/>
      <c r="I648" s="976"/>
    </row>
    <row r="649">
      <c r="E649" s="1022"/>
      <c r="G649" s="655"/>
      <c r="H649" s="655"/>
      <c r="I649" s="976"/>
    </row>
    <row r="650">
      <c r="E650" s="1022"/>
      <c r="G650" s="655"/>
      <c r="H650" s="655"/>
      <c r="I650" s="976"/>
    </row>
    <row r="651">
      <c r="E651" s="1022"/>
      <c r="G651" s="655"/>
      <c r="H651" s="655"/>
      <c r="I651" s="976"/>
    </row>
    <row r="652">
      <c r="E652" s="1022"/>
      <c r="G652" s="655"/>
      <c r="H652" s="655"/>
      <c r="I652" s="976"/>
    </row>
    <row r="653">
      <c r="E653" s="1022"/>
      <c r="G653" s="655"/>
      <c r="H653" s="655"/>
      <c r="I653" s="976"/>
    </row>
    <row r="654">
      <c r="E654" s="1022"/>
      <c r="G654" s="655"/>
      <c r="H654" s="655"/>
      <c r="I654" s="976"/>
    </row>
    <row r="655">
      <c r="E655" s="1022"/>
      <c r="G655" s="655"/>
      <c r="H655" s="655"/>
      <c r="I655" s="976"/>
    </row>
    <row r="656">
      <c r="E656" s="1022"/>
      <c r="G656" s="655"/>
      <c r="H656" s="655"/>
      <c r="I656" s="976"/>
    </row>
    <row r="657">
      <c r="E657" s="1022"/>
      <c r="G657" s="655"/>
      <c r="H657" s="655"/>
      <c r="I657" s="976"/>
    </row>
    <row r="658">
      <c r="E658" s="1022"/>
      <c r="G658" s="655"/>
      <c r="H658" s="655"/>
      <c r="I658" s="976"/>
    </row>
    <row r="659">
      <c r="E659" s="1022"/>
      <c r="G659" s="655"/>
      <c r="H659" s="655"/>
      <c r="I659" s="976"/>
    </row>
    <row r="660">
      <c r="E660" s="1022"/>
      <c r="G660" s="655"/>
      <c r="H660" s="655"/>
      <c r="I660" s="976"/>
    </row>
    <row r="661">
      <c r="E661" s="1022"/>
      <c r="G661" s="655"/>
      <c r="H661" s="655"/>
      <c r="I661" s="976"/>
    </row>
    <row r="662">
      <c r="E662" s="1022"/>
      <c r="G662" s="655"/>
      <c r="H662" s="655"/>
      <c r="I662" s="976"/>
    </row>
    <row r="663">
      <c r="E663" s="1022"/>
      <c r="G663" s="655"/>
      <c r="H663" s="655"/>
      <c r="I663" s="976"/>
    </row>
    <row r="664">
      <c r="E664" s="1022"/>
      <c r="G664" s="655"/>
      <c r="H664" s="655"/>
      <c r="I664" s="976"/>
    </row>
    <row r="665">
      <c r="E665" s="1022"/>
      <c r="G665" s="655"/>
      <c r="H665" s="655"/>
      <c r="I665" s="976"/>
    </row>
    <row r="666">
      <c r="E666" s="1022"/>
      <c r="G666" s="655"/>
      <c r="H666" s="655"/>
      <c r="I666" s="976"/>
    </row>
    <row r="667">
      <c r="E667" s="1022"/>
      <c r="G667" s="655"/>
      <c r="H667" s="655"/>
      <c r="I667" s="976"/>
    </row>
    <row r="668">
      <c r="E668" s="1022"/>
      <c r="G668" s="655"/>
      <c r="H668" s="655"/>
      <c r="I668" s="976"/>
    </row>
    <row r="669">
      <c r="E669" s="1022"/>
      <c r="G669" s="655"/>
      <c r="H669" s="655"/>
      <c r="I669" s="976"/>
    </row>
    <row r="670">
      <c r="E670" s="1022"/>
      <c r="G670" s="655"/>
      <c r="H670" s="655"/>
      <c r="I670" s="976"/>
    </row>
    <row r="671">
      <c r="E671" s="1022"/>
      <c r="G671" s="655"/>
      <c r="H671" s="655"/>
      <c r="I671" s="976"/>
    </row>
    <row r="672">
      <c r="E672" s="1022"/>
      <c r="G672" s="655"/>
      <c r="H672" s="655"/>
      <c r="I672" s="976"/>
    </row>
    <row r="673">
      <c r="E673" s="1022"/>
      <c r="G673" s="655"/>
      <c r="H673" s="655"/>
      <c r="I673" s="976"/>
    </row>
    <row r="674">
      <c r="E674" s="1022"/>
      <c r="G674" s="655"/>
      <c r="H674" s="655"/>
      <c r="I674" s="976"/>
    </row>
    <row r="675">
      <c r="E675" s="1022"/>
      <c r="G675" s="655"/>
      <c r="H675" s="655"/>
      <c r="I675" s="976"/>
    </row>
    <row r="676">
      <c r="E676" s="1022"/>
      <c r="G676" s="655"/>
      <c r="H676" s="655"/>
      <c r="I676" s="976"/>
    </row>
    <row r="677">
      <c r="E677" s="1022"/>
      <c r="G677" s="655"/>
      <c r="H677" s="655"/>
      <c r="I677" s="976"/>
    </row>
    <row r="678">
      <c r="E678" s="1022"/>
      <c r="G678" s="655"/>
      <c r="H678" s="655"/>
      <c r="I678" s="976"/>
    </row>
    <row r="679">
      <c r="E679" s="1022"/>
      <c r="G679" s="655"/>
      <c r="H679" s="655"/>
      <c r="I679" s="976"/>
    </row>
    <row r="680">
      <c r="E680" s="1022"/>
      <c r="G680" s="655"/>
      <c r="H680" s="655"/>
      <c r="I680" s="976"/>
    </row>
    <row r="681">
      <c r="E681" s="1022"/>
      <c r="G681" s="655"/>
      <c r="H681" s="655"/>
      <c r="I681" s="976"/>
    </row>
    <row r="682">
      <c r="E682" s="1022"/>
      <c r="G682" s="655"/>
      <c r="H682" s="655"/>
      <c r="I682" s="976"/>
    </row>
    <row r="683">
      <c r="E683" s="1022"/>
      <c r="G683" s="655"/>
      <c r="H683" s="655"/>
      <c r="I683" s="976"/>
    </row>
    <row r="684">
      <c r="E684" s="1022"/>
      <c r="G684" s="655"/>
      <c r="H684" s="655"/>
      <c r="I684" s="976"/>
    </row>
    <row r="685">
      <c r="E685" s="1022"/>
      <c r="G685" s="655"/>
      <c r="H685" s="655"/>
      <c r="I685" s="976"/>
    </row>
    <row r="686">
      <c r="E686" s="1022"/>
      <c r="G686" s="655"/>
      <c r="H686" s="655"/>
      <c r="I686" s="976"/>
    </row>
    <row r="687">
      <c r="E687" s="1022"/>
      <c r="G687" s="655"/>
      <c r="H687" s="655"/>
      <c r="I687" s="976"/>
    </row>
    <row r="688">
      <c r="E688" s="1022"/>
      <c r="G688" s="655"/>
      <c r="H688" s="655"/>
      <c r="I688" s="976"/>
    </row>
    <row r="689">
      <c r="E689" s="1022"/>
      <c r="G689" s="655"/>
      <c r="H689" s="655"/>
      <c r="I689" s="976"/>
    </row>
    <row r="690">
      <c r="E690" s="1022"/>
      <c r="G690" s="655"/>
      <c r="H690" s="655"/>
      <c r="I690" s="976"/>
    </row>
    <row r="691">
      <c r="E691" s="1022"/>
      <c r="G691" s="655"/>
      <c r="H691" s="655"/>
      <c r="I691" s="976"/>
    </row>
    <row r="692">
      <c r="E692" s="1022"/>
      <c r="G692" s="655"/>
      <c r="H692" s="655"/>
      <c r="I692" s="976"/>
    </row>
    <row r="693">
      <c r="E693" s="1022"/>
      <c r="G693" s="655"/>
      <c r="H693" s="655"/>
      <c r="I693" s="976"/>
    </row>
    <row r="694">
      <c r="E694" s="1022"/>
      <c r="G694" s="655"/>
      <c r="H694" s="655"/>
      <c r="I694" s="976"/>
    </row>
    <row r="695">
      <c r="E695" s="1022"/>
      <c r="G695" s="655"/>
      <c r="H695" s="655"/>
      <c r="I695" s="976"/>
    </row>
    <row r="696">
      <c r="E696" s="1022"/>
      <c r="G696" s="655"/>
      <c r="H696" s="655"/>
      <c r="I696" s="976"/>
    </row>
    <row r="697">
      <c r="E697" s="1022"/>
      <c r="G697" s="655"/>
      <c r="H697" s="655"/>
      <c r="I697" s="976"/>
    </row>
    <row r="698">
      <c r="E698" s="1022"/>
      <c r="G698" s="655"/>
      <c r="H698" s="655"/>
      <c r="I698" s="976"/>
    </row>
    <row r="699">
      <c r="E699" s="1022"/>
      <c r="G699" s="655"/>
      <c r="H699" s="655"/>
      <c r="I699" s="976"/>
    </row>
    <row r="700">
      <c r="E700" s="1022"/>
      <c r="G700" s="655"/>
      <c r="H700" s="655"/>
      <c r="I700" s="976"/>
    </row>
    <row r="701">
      <c r="E701" s="1022"/>
      <c r="G701" s="655"/>
      <c r="H701" s="655"/>
      <c r="I701" s="976"/>
    </row>
    <row r="702">
      <c r="E702" s="1022"/>
      <c r="G702" s="655"/>
      <c r="H702" s="655"/>
      <c r="I702" s="976"/>
    </row>
    <row r="703">
      <c r="E703" s="1022"/>
      <c r="G703" s="655"/>
      <c r="H703" s="655"/>
      <c r="I703" s="976"/>
    </row>
    <row r="704">
      <c r="E704" s="1022"/>
      <c r="G704" s="655"/>
      <c r="H704" s="655"/>
      <c r="I704" s="976"/>
    </row>
    <row r="705">
      <c r="E705" s="1022"/>
      <c r="G705" s="655"/>
      <c r="H705" s="655"/>
      <c r="I705" s="976"/>
    </row>
    <row r="706">
      <c r="E706" s="1022"/>
      <c r="G706" s="655"/>
      <c r="H706" s="655"/>
      <c r="I706" s="976"/>
    </row>
    <row r="707">
      <c r="E707" s="1022"/>
      <c r="G707" s="655"/>
      <c r="H707" s="655"/>
      <c r="I707" s="976"/>
    </row>
    <row r="708">
      <c r="E708" s="1022"/>
      <c r="G708" s="655"/>
      <c r="H708" s="655"/>
      <c r="I708" s="976"/>
    </row>
    <row r="709">
      <c r="E709" s="1022"/>
      <c r="G709" s="655"/>
      <c r="H709" s="655"/>
      <c r="I709" s="976"/>
    </row>
    <row r="710">
      <c r="E710" s="1022"/>
      <c r="G710" s="655"/>
      <c r="H710" s="655"/>
      <c r="I710" s="976"/>
    </row>
    <row r="711">
      <c r="E711" s="1022"/>
      <c r="G711" s="655"/>
      <c r="H711" s="655"/>
      <c r="I711" s="976"/>
    </row>
    <row r="712">
      <c r="E712" s="1022"/>
      <c r="G712" s="655"/>
      <c r="H712" s="655"/>
      <c r="I712" s="976"/>
    </row>
    <row r="713">
      <c r="E713" s="1022"/>
      <c r="G713" s="655"/>
      <c r="H713" s="655"/>
      <c r="I713" s="976"/>
    </row>
    <row r="714">
      <c r="E714" s="1022"/>
      <c r="G714" s="655"/>
      <c r="H714" s="655"/>
      <c r="I714" s="976"/>
    </row>
    <row r="715">
      <c r="E715" s="1022"/>
      <c r="G715" s="655"/>
      <c r="H715" s="655"/>
      <c r="I715" s="976"/>
    </row>
    <row r="716">
      <c r="E716" s="1022"/>
      <c r="G716" s="655"/>
      <c r="H716" s="655"/>
      <c r="I716" s="976"/>
    </row>
    <row r="717">
      <c r="E717" s="1022"/>
      <c r="G717" s="655"/>
      <c r="H717" s="655"/>
      <c r="I717" s="976"/>
    </row>
    <row r="718">
      <c r="E718" s="1022"/>
      <c r="G718" s="655"/>
      <c r="H718" s="655"/>
      <c r="I718" s="976"/>
    </row>
    <row r="719">
      <c r="E719" s="1022"/>
      <c r="G719" s="655"/>
      <c r="H719" s="655"/>
      <c r="I719" s="976"/>
    </row>
    <row r="720">
      <c r="E720" s="1022"/>
      <c r="G720" s="655"/>
      <c r="H720" s="655"/>
      <c r="I720" s="976"/>
    </row>
    <row r="721">
      <c r="E721" s="1022"/>
      <c r="G721" s="655"/>
      <c r="H721" s="655"/>
      <c r="I721" s="976"/>
    </row>
    <row r="722">
      <c r="E722" s="1022"/>
      <c r="G722" s="655"/>
      <c r="H722" s="655"/>
      <c r="I722" s="976"/>
    </row>
    <row r="723">
      <c r="E723" s="1022"/>
      <c r="G723" s="655"/>
      <c r="H723" s="655"/>
      <c r="I723" s="976"/>
    </row>
    <row r="724">
      <c r="E724" s="1022"/>
      <c r="G724" s="655"/>
      <c r="H724" s="655"/>
      <c r="I724" s="976"/>
    </row>
    <row r="725">
      <c r="E725" s="1022"/>
      <c r="G725" s="655"/>
      <c r="H725" s="655"/>
      <c r="I725" s="976"/>
    </row>
    <row r="726">
      <c r="E726" s="1022"/>
      <c r="G726" s="655"/>
      <c r="H726" s="655"/>
      <c r="I726" s="976"/>
    </row>
    <row r="727">
      <c r="E727" s="1022"/>
      <c r="G727" s="655"/>
      <c r="H727" s="655"/>
      <c r="I727" s="976"/>
    </row>
    <row r="728">
      <c r="E728" s="1022"/>
      <c r="G728" s="655"/>
      <c r="H728" s="655"/>
      <c r="I728" s="976"/>
    </row>
    <row r="729">
      <c r="E729" s="1022"/>
      <c r="G729" s="655"/>
      <c r="H729" s="655"/>
      <c r="I729" s="976"/>
    </row>
    <row r="730">
      <c r="E730" s="1022"/>
      <c r="G730" s="655"/>
      <c r="H730" s="655"/>
      <c r="I730" s="976"/>
    </row>
    <row r="731">
      <c r="E731" s="1022"/>
      <c r="G731" s="655"/>
      <c r="H731" s="655"/>
      <c r="I731" s="976"/>
    </row>
    <row r="732">
      <c r="E732" s="1022"/>
      <c r="G732" s="655"/>
      <c r="H732" s="655"/>
      <c r="I732" s="976"/>
    </row>
    <row r="733">
      <c r="E733" s="1022"/>
      <c r="G733" s="655"/>
      <c r="H733" s="655"/>
      <c r="I733" s="976"/>
    </row>
    <row r="734">
      <c r="E734" s="1022"/>
      <c r="G734" s="655"/>
      <c r="H734" s="655"/>
      <c r="I734" s="976"/>
    </row>
    <row r="735">
      <c r="E735" s="1022"/>
      <c r="G735" s="655"/>
      <c r="H735" s="655"/>
      <c r="I735" s="976"/>
    </row>
    <row r="736">
      <c r="E736" s="1022"/>
      <c r="G736" s="655"/>
      <c r="H736" s="655"/>
      <c r="I736" s="976"/>
    </row>
    <row r="737">
      <c r="E737" s="1022"/>
      <c r="G737" s="655"/>
      <c r="H737" s="655"/>
      <c r="I737" s="976"/>
    </row>
    <row r="738">
      <c r="E738" s="1022"/>
      <c r="G738" s="655"/>
      <c r="H738" s="655"/>
      <c r="I738" s="976"/>
    </row>
    <row r="739">
      <c r="E739" s="1022"/>
      <c r="G739" s="655"/>
      <c r="H739" s="655"/>
      <c r="I739" s="976"/>
    </row>
    <row r="740">
      <c r="E740" s="1022"/>
      <c r="G740" s="655"/>
      <c r="H740" s="655"/>
      <c r="I740" s="976"/>
    </row>
    <row r="741">
      <c r="E741" s="1022"/>
      <c r="G741" s="655"/>
      <c r="H741" s="655"/>
      <c r="I741" s="976"/>
    </row>
    <row r="742">
      <c r="E742" s="1022"/>
      <c r="G742" s="655"/>
      <c r="H742" s="655"/>
      <c r="I742" s="976"/>
    </row>
    <row r="743">
      <c r="E743" s="1022"/>
      <c r="G743" s="655"/>
      <c r="H743" s="655"/>
      <c r="I743" s="976"/>
    </row>
    <row r="744">
      <c r="E744" s="1022"/>
      <c r="G744" s="655"/>
      <c r="H744" s="655"/>
      <c r="I744" s="976"/>
    </row>
    <row r="745">
      <c r="E745" s="1022"/>
      <c r="G745" s="655"/>
      <c r="H745" s="655"/>
      <c r="I745" s="976"/>
    </row>
    <row r="746">
      <c r="E746" s="1022"/>
      <c r="G746" s="655"/>
      <c r="H746" s="655"/>
      <c r="I746" s="976"/>
    </row>
    <row r="747">
      <c r="E747" s="1022"/>
      <c r="G747" s="655"/>
      <c r="H747" s="655"/>
      <c r="I747" s="976"/>
    </row>
    <row r="748">
      <c r="E748" s="1022"/>
      <c r="G748" s="655"/>
      <c r="H748" s="655"/>
      <c r="I748" s="976"/>
    </row>
    <row r="749">
      <c r="E749" s="1022"/>
      <c r="G749" s="655"/>
      <c r="H749" s="655"/>
      <c r="I749" s="976"/>
    </row>
    <row r="750">
      <c r="E750" s="1022"/>
      <c r="G750" s="655"/>
      <c r="H750" s="655"/>
      <c r="I750" s="976"/>
    </row>
    <row r="751">
      <c r="E751" s="1022"/>
      <c r="G751" s="655"/>
      <c r="H751" s="655"/>
      <c r="I751" s="976"/>
    </row>
    <row r="752">
      <c r="E752" s="1022"/>
      <c r="G752" s="655"/>
      <c r="H752" s="655"/>
      <c r="I752" s="976"/>
    </row>
    <row r="753">
      <c r="E753" s="1022"/>
      <c r="G753" s="655"/>
      <c r="H753" s="655"/>
      <c r="I753" s="976"/>
    </row>
    <row r="754">
      <c r="E754" s="1022"/>
      <c r="G754" s="655"/>
      <c r="H754" s="655"/>
      <c r="I754" s="976"/>
    </row>
    <row r="755">
      <c r="E755" s="1022"/>
      <c r="G755" s="655"/>
      <c r="H755" s="655"/>
      <c r="I755" s="976"/>
    </row>
    <row r="756">
      <c r="E756" s="1022"/>
      <c r="G756" s="655"/>
      <c r="H756" s="655"/>
      <c r="I756" s="976"/>
    </row>
    <row r="757">
      <c r="E757" s="1022"/>
      <c r="G757" s="655"/>
      <c r="H757" s="655"/>
      <c r="I757" s="976"/>
    </row>
    <row r="758">
      <c r="E758" s="1022"/>
      <c r="G758" s="655"/>
      <c r="H758" s="655"/>
      <c r="I758" s="976"/>
    </row>
    <row r="759">
      <c r="E759" s="1022"/>
      <c r="G759" s="655"/>
      <c r="H759" s="655"/>
      <c r="I759" s="976"/>
    </row>
    <row r="760">
      <c r="E760" s="1022"/>
      <c r="G760" s="655"/>
      <c r="H760" s="655"/>
      <c r="I760" s="976"/>
    </row>
    <row r="761">
      <c r="E761" s="1022"/>
      <c r="G761" s="655"/>
      <c r="H761" s="655"/>
      <c r="I761" s="976"/>
    </row>
    <row r="762">
      <c r="E762" s="1022"/>
      <c r="G762" s="655"/>
      <c r="H762" s="655"/>
      <c r="I762" s="976"/>
    </row>
    <row r="763">
      <c r="E763" s="1022"/>
      <c r="G763" s="655"/>
      <c r="H763" s="655"/>
      <c r="I763" s="976"/>
    </row>
    <row r="764">
      <c r="E764" s="1022"/>
      <c r="G764" s="655"/>
      <c r="H764" s="655"/>
      <c r="I764" s="976"/>
    </row>
    <row r="765">
      <c r="E765" s="1022"/>
      <c r="G765" s="655"/>
      <c r="H765" s="655"/>
      <c r="I765" s="976"/>
    </row>
    <row r="766">
      <c r="E766" s="1022"/>
      <c r="G766" s="655"/>
      <c r="H766" s="655"/>
      <c r="I766" s="976"/>
    </row>
    <row r="767">
      <c r="E767" s="1022"/>
      <c r="G767" s="655"/>
      <c r="H767" s="655"/>
      <c r="I767" s="976"/>
    </row>
    <row r="768">
      <c r="E768" s="1022"/>
      <c r="G768" s="655"/>
      <c r="H768" s="655"/>
      <c r="I768" s="976"/>
    </row>
    <row r="769">
      <c r="E769" s="1022"/>
      <c r="G769" s="655"/>
      <c r="H769" s="655"/>
      <c r="I769" s="976"/>
    </row>
    <row r="770">
      <c r="E770" s="1022"/>
      <c r="G770" s="655"/>
      <c r="H770" s="655"/>
      <c r="I770" s="976"/>
    </row>
    <row r="771">
      <c r="E771" s="1022"/>
      <c r="G771" s="655"/>
      <c r="H771" s="655"/>
      <c r="I771" s="976"/>
    </row>
    <row r="772">
      <c r="E772" s="1022"/>
      <c r="G772" s="655"/>
      <c r="H772" s="655"/>
      <c r="I772" s="976"/>
    </row>
    <row r="773">
      <c r="E773" s="1022"/>
      <c r="G773" s="655"/>
      <c r="H773" s="655"/>
      <c r="I773" s="976"/>
    </row>
    <row r="774">
      <c r="E774" s="1022"/>
      <c r="G774" s="655"/>
      <c r="H774" s="655"/>
      <c r="I774" s="976"/>
    </row>
    <row r="775">
      <c r="E775" s="1022"/>
      <c r="G775" s="655"/>
      <c r="H775" s="655"/>
      <c r="I775" s="976"/>
    </row>
    <row r="776">
      <c r="E776" s="1022"/>
      <c r="G776" s="655"/>
      <c r="H776" s="655"/>
      <c r="I776" s="976"/>
    </row>
    <row r="777">
      <c r="E777" s="1022"/>
      <c r="G777" s="655"/>
      <c r="H777" s="655"/>
      <c r="I777" s="976"/>
    </row>
    <row r="778">
      <c r="E778" s="1022"/>
      <c r="G778" s="655"/>
      <c r="H778" s="655"/>
      <c r="I778" s="976"/>
    </row>
    <row r="779">
      <c r="E779" s="1022"/>
      <c r="G779" s="655"/>
      <c r="H779" s="655"/>
      <c r="I779" s="976"/>
    </row>
    <row r="780">
      <c r="E780" s="1022"/>
      <c r="G780" s="655"/>
      <c r="H780" s="655"/>
      <c r="I780" s="976"/>
    </row>
    <row r="781">
      <c r="E781" s="1022"/>
      <c r="G781" s="655"/>
      <c r="H781" s="655"/>
      <c r="I781" s="976"/>
    </row>
    <row r="782">
      <c r="E782" s="1022"/>
      <c r="G782" s="655"/>
      <c r="H782" s="655"/>
      <c r="I782" s="976"/>
    </row>
    <row r="783">
      <c r="E783" s="1022"/>
      <c r="G783" s="655"/>
      <c r="H783" s="655"/>
      <c r="I783" s="976"/>
    </row>
    <row r="784">
      <c r="E784" s="1022"/>
      <c r="G784" s="655"/>
      <c r="H784" s="655"/>
      <c r="I784" s="976"/>
    </row>
    <row r="785">
      <c r="E785" s="1022"/>
      <c r="G785" s="655"/>
      <c r="H785" s="655"/>
      <c r="I785" s="976"/>
    </row>
    <row r="786">
      <c r="E786" s="1022"/>
      <c r="G786" s="655"/>
      <c r="H786" s="655"/>
      <c r="I786" s="976"/>
    </row>
    <row r="787">
      <c r="E787" s="1022"/>
      <c r="G787" s="655"/>
      <c r="H787" s="655"/>
      <c r="I787" s="976"/>
    </row>
    <row r="788">
      <c r="E788" s="1022"/>
      <c r="G788" s="655"/>
      <c r="H788" s="655"/>
      <c r="I788" s="976"/>
    </row>
    <row r="789">
      <c r="E789" s="1022"/>
      <c r="G789" s="655"/>
      <c r="H789" s="655"/>
      <c r="I789" s="976"/>
    </row>
    <row r="790">
      <c r="E790" s="1022"/>
      <c r="G790" s="655"/>
      <c r="H790" s="655"/>
      <c r="I790" s="976"/>
    </row>
    <row r="791">
      <c r="E791" s="1022"/>
      <c r="G791" s="655"/>
      <c r="H791" s="655"/>
      <c r="I791" s="976"/>
    </row>
    <row r="792">
      <c r="E792" s="1022"/>
      <c r="G792" s="655"/>
      <c r="H792" s="655"/>
      <c r="I792" s="976"/>
    </row>
    <row r="793">
      <c r="E793" s="1022"/>
      <c r="G793" s="655"/>
      <c r="H793" s="655"/>
      <c r="I793" s="976"/>
    </row>
    <row r="794">
      <c r="E794" s="1022"/>
      <c r="G794" s="655"/>
      <c r="H794" s="655"/>
      <c r="I794" s="976"/>
    </row>
    <row r="795">
      <c r="E795" s="1022"/>
      <c r="G795" s="655"/>
      <c r="H795" s="655"/>
      <c r="I795" s="976"/>
    </row>
    <row r="796">
      <c r="E796" s="1022"/>
      <c r="G796" s="655"/>
      <c r="H796" s="655"/>
      <c r="I796" s="976"/>
    </row>
    <row r="797">
      <c r="E797" s="1022"/>
      <c r="G797" s="655"/>
      <c r="H797" s="655"/>
      <c r="I797" s="976"/>
    </row>
    <row r="798">
      <c r="E798" s="1022"/>
      <c r="G798" s="655"/>
      <c r="H798" s="655"/>
      <c r="I798" s="976"/>
    </row>
    <row r="799">
      <c r="E799" s="1022"/>
      <c r="G799" s="655"/>
      <c r="H799" s="655"/>
      <c r="I799" s="976"/>
    </row>
    <row r="800">
      <c r="E800" s="1022"/>
      <c r="G800" s="655"/>
      <c r="H800" s="655"/>
      <c r="I800" s="976"/>
    </row>
    <row r="801">
      <c r="E801" s="1022"/>
      <c r="G801" s="655"/>
      <c r="H801" s="655"/>
      <c r="I801" s="976"/>
    </row>
    <row r="802">
      <c r="E802" s="1022"/>
      <c r="G802" s="655"/>
      <c r="H802" s="655"/>
      <c r="I802" s="976"/>
    </row>
    <row r="803">
      <c r="E803" s="1022"/>
      <c r="G803" s="655"/>
      <c r="H803" s="655"/>
      <c r="I803" s="976"/>
    </row>
    <row r="804">
      <c r="E804" s="1022"/>
      <c r="G804" s="655"/>
      <c r="H804" s="655"/>
      <c r="I804" s="976"/>
    </row>
    <row r="805">
      <c r="E805" s="1022"/>
      <c r="G805" s="655"/>
      <c r="H805" s="655"/>
      <c r="I805" s="976"/>
    </row>
    <row r="806">
      <c r="E806" s="1022"/>
      <c r="G806" s="655"/>
      <c r="H806" s="655"/>
      <c r="I806" s="976"/>
    </row>
    <row r="807">
      <c r="E807" s="1022"/>
      <c r="G807" s="655"/>
      <c r="H807" s="655"/>
      <c r="I807" s="976"/>
    </row>
    <row r="808">
      <c r="E808" s="1022"/>
      <c r="G808" s="655"/>
      <c r="H808" s="655"/>
      <c r="I808" s="976"/>
    </row>
    <row r="809">
      <c r="E809" s="1022"/>
      <c r="G809" s="655"/>
      <c r="H809" s="655"/>
      <c r="I809" s="976"/>
    </row>
    <row r="810">
      <c r="E810" s="1022"/>
      <c r="G810" s="655"/>
      <c r="H810" s="655"/>
      <c r="I810" s="976"/>
    </row>
    <row r="811">
      <c r="E811" s="1022"/>
      <c r="G811" s="655"/>
      <c r="H811" s="655"/>
      <c r="I811" s="976"/>
    </row>
    <row r="812">
      <c r="E812" s="1022"/>
      <c r="G812" s="655"/>
      <c r="H812" s="655"/>
      <c r="I812" s="976"/>
    </row>
    <row r="813">
      <c r="E813" s="1022"/>
      <c r="G813" s="655"/>
      <c r="H813" s="655"/>
      <c r="I813" s="976"/>
    </row>
    <row r="814">
      <c r="E814" s="1022"/>
      <c r="G814" s="655"/>
      <c r="H814" s="655"/>
      <c r="I814" s="976"/>
    </row>
    <row r="815">
      <c r="E815" s="1022"/>
      <c r="G815" s="655"/>
      <c r="H815" s="655"/>
      <c r="I815" s="976"/>
    </row>
    <row r="816">
      <c r="E816" s="1022"/>
      <c r="G816" s="655"/>
      <c r="H816" s="655"/>
      <c r="I816" s="976"/>
    </row>
    <row r="817">
      <c r="E817" s="1022"/>
      <c r="G817" s="655"/>
      <c r="H817" s="655"/>
      <c r="I817" s="976"/>
    </row>
    <row r="818">
      <c r="E818" s="1022"/>
      <c r="G818" s="655"/>
      <c r="H818" s="655"/>
      <c r="I818" s="976"/>
    </row>
    <row r="819">
      <c r="E819" s="1022"/>
      <c r="G819" s="655"/>
      <c r="H819" s="655"/>
      <c r="I819" s="976"/>
    </row>
    <row r="820">
      <c r="E820" s="1022"/>
      <c r="G820" s="655"/>
      <c r="H820" s="655"/>
      <c r="I820" s="976"/>
    </row>
    <row r="821">
      <c r="E821" s="1022"/>
      <c r="G821" s="655"/>
      <c r="H821" s="655"/>
      <c r="I821" s="976"/>
    </row>
    <row r="822">
      <c r="E822" s="1022"/>
      <c r="G822" s="655"/>
      <c r="H822" s="655"/>
      <c r="I822" s="976"/>
    </row>
    <row r="823">
      <c r="E823" s="1022"/>
      <c r="G823" s="655"/>
      <c r="H823" s="655"/>
      <c r="I823" s="976"/>
    </row>
    <row r="824">
      <c r="E824" s="1022"/>
      <c r="G824" s="655"/>
      <c r="H824" s="655"/>
      <c r="I824" s="976"/>
    </row>
    <row r="825">
      <c r="E825" s="1022"/>
      <c r="G825" s="655"/>
      <c r="H825" s="655"/>
      <c r="I825" s="976"/>
    </row>
    <row r="826">
      <c r="E826" s="1022"/>
      <c r="G826" s="655"/>
      <c r="H826" s="655"/>
      <c r="I826" s="976"/>
    </row>
    <row r="827">
      <c r="E827" s="1022"/>
      <c r="G827" s="655"/>
      <c r="H827" s="655"/>
      <c r="I827" s="976"/>
    </row>
    <row r="828">
      <c r="E828" s="1022"/>
      <c r="G828" s="655"/>
      <c r="H828" s="655"/>
      <c r="I828" s="976"/>
    </row>
    <row r="829">
      <c r="E829" s="1022"/>
      <c r="G829" s="655"/>
      <c r="H829" s="655"/>
      <c r="I829" s="976"/>
    </row>
    <row r="830">
      <c r="E830" s="1022"/>
      <c r="G830" s="655"/>
      <c r="H830" s="655"/>
      <c r="I830" s="976"/>
    </row>
    <row r="831">
      <c r="E831" s="1022"/>
      <c r="G831" s="655"/>
      <c r="H831" s="655"/>
      <c r="I831" s="976"/>
    </row>
    <row r="832">
      <c r="E832" s="1022"/>
      <c r="G832" s="655"/>
      <c r="H832" s="655"/>
      <c r="I832" s="976"/>
    </row>
    <row r="833">
      <c r="E833" s="1022"/>
      <c r="G833" s="655"/>
      <c r="H833" s="655"/>
      <c r="I833" s="976"/>
    </row>
    <row r="834">
      <c r="E834" s="1022"/>
      <c r="G834" s="655"/>
      <c r="H834" s="655"/>
      <c r="I834" s="976"/>
    </row>
    <row r="835">
      <c r="E835" s="1022"/>
      <c r="G835" s="655"/>
      <c r="H835" s="655"/>
      <c r="I835" s="976"/>
    </row>
    <row r="836">
      <c r="E836" s="1022"/>
      <c r="G836" s="655"/>
      <c r="H836" s="655"/>
      <c r="I836" s="976"/>
    </row>
    <row r="837">
      <c r="E837" s="1022"/>
      <c r="G837" s="655"/>
      <c r="H837" s="655"/>
      <c r="I837" s="976"/>
    </row>
    <row r="838">
      <c r="E838" s="1022"/>
      <c r="G838" s="655"/>
      <c r="H838" s="655"/>
      <c r="I838" s="976"/>
    </row>
    <row r="839">
      <c r="E839" s="1022"/>
      <c r="G839" s="655"/>
      <c r="H839" s="655"/>
      <c r="I839" s="976"/>
    </row>
    <row r="840">
      <c r="E840" s="1022"/>
      <c r="G840" s="655"/>
      <c r="H840" s="655"/>
      <c r="I840" s="976"/>
    </row>
    <row r="841">
      <c r="E841" s="1022"/>
      <c r="G841" s="655"/>
      <c r="H841" s="655"/>
      <c r="I841" s="976"/>
    </row>
    <row r="842">
      <c r="E842" s="1022"/>
      <c r="G842" s="655"/>
      <c r="H842" s="655"/>
      <c r="I842" s="976"/>
    </row>
    <row r="843">
      <c r="E843" s="1022"/>
      <c r="G843" s="655"/>
      <c r="H843" s="655"/>
      <c r="I843" s="976"/>
    </row>
    <row r="844">
      <c r="E844" s="1022"/>
      <c r="G844" s="655"/>
      <c r="H844" s="655"/>
      <c r="I844" s="976"/>
    </row>
    <row r="845">
      <c r="E845" s="1022"/>
      <c r="G845" s="655"/>
      <c r="H845" s="655"/>
      <c r="I845" s="976"/>
    </row>
    <row r="846">
      <c r="E846" s="1022"/>
      <c r="G846" s="655"/>
      <c r="H846" s="655"/>
      <c r="I846" s="976"/>
    </row>
    <row r="847">
      <c r="E847" s="1022"/>
      <c r="G847" s="655"/>
      <c r="H847" s="655"/>
      <c r="I847" s="976"/>
    </row>
    <row r="848">
      <c r="E848" s="1022"/>
      <c r="G848" s="655"/>
      <c r="H848" s="655"/>
      <c r="I848" s="976"/>
    </row>
    <row r="849">
      <c r="E849" s="1022"/>
      <c r="G849" s="655"/>
      <c r="H849" s="655"/>
      <c r="I849" s="976"/>
    </row>
    <row r="850">
      <c r="E850" s="1022"/>
      <c r="G850" s="655"/>
      <c r="H850" s="655"/>
      <c r="I850" s="976"/>
    </row>
    <row r="851">
      <c r="E851" s="1022"/>
      <c r="G851" s="655"/>
      <c r="H851" s="655"/>
      <c r="I851" s="976"/>
    </row>
    <row r="852">
      <c r="E852" s="1022"/>
      <c r="G852" s="655"/>
      <c r="H852" s="655"/>
      <c r="I852" s="976"/>
    </row>
    <row r="853">
      <c r="E853" s="1022"/>
      <c r="G853" s="655"/>
      <c r="H853" s="655"/>
      <c r="I853" s="976"/>
    </row>
    <row r="854">
      <c r="E854" s="1022"/>
      <c r="G854" s="655"/>
      <c r="H854" s="655"/>
      <c r="I854" s="976"/>
    </row>
    <row r="855">
      <c r="E855" s="1022"/>
      <c r="G855" s="655"/>
      <c r="H855" s="655"/>
      <c r="I855" s="976"/>
    </row>
    <row r="856">
      <c r="E856" s="1022"/>
      <c r="G856" s="655"/>
      <c r="H856" s="655"/>
      <c r="I856" s="976"/>
    </row>
    <row r="857">
      <c r="E857" s="1022"/>
      <c r="G857" s="655"/>
      <c r="H857" s="655"/>
      <c r="I857" s="976"/>
    </row>
    <row r="858">
      <c r="E858" s="1022"/>
      <c r="G858" s="655"/>
      <c r="H858" s="655"/>
      <c r="I858" s="976"/>
    </row>
    <row r="859">
      <c r="E859" s="1022"/>
      <c r="G859" s="655"/>
      <c r="H859" s="655"/>
      <c r="I859" s="976"/>
    </row>
    <row r="860">
      <c r="E860" s="1022"/>
      <c r="G860" s="655"/>
      <c r="H860" s="655"/>
      <c r="I860" s="976"/>
    </row>
    <row r="861">
      <c r="E861" s="1022"/>
      <c r="G861" s="655"/>
      <c r="H861" s="655"/>
      <c r="I861" s="976"/>
    </row>
    <row r="862">
      <c r="E862" s="1022"/>
      <c r="G862" s="655"/>
      <c r="H862" s="655"/>
      <c r="I862" s="976"/>
    </row>
    <row r="863">
      <c r="E863" s="1022"/>
      <c r="G863" s="655"/>
      <c r="H863" s="655"/>
      <c r="I863" s="976"/>
    </row>
    <row r="864">
      <c r="E864" s="1022"/>
      <c r="G864" s="655"/>
      <c r="H864" s="655"/>
      <c r="I864" s="976"/>
    </row>
    <row r="865">
      <c r="E865" s="1022"/>
      <c r="G865" s="655"/>
      <c r="H865" s="655"/>
      <c r="I865" s="976"/>
    </row>
    <row r="866">
      <c r="E866" s="1022"/>
      <c r="G866" s="655"/>
      <c r="H866" s="655"/>
      <c r="I866" s="976"/>
    </row>
    <row r="867">
      <c r="E867" s="1022"/>
      <c r="G867" s="655"/>
      <c r="H867" s="655"/>
      <c r="I867" s="976"/>
    </row>
    <row r="868">
      <c r="E868" s="1022"/>
      <c r="G868" s="655"/>
      <c r="H868" s="655"/>
      <c r="I868" s="976"/>
    </row>
    <row r="869">
      <c r="E869" s="1022"/>
      <c r="G869" s="655"/>
      <c r="H869" s="655"/>
      <c r="I869" s="976"/>
    </row>
    <row r="870">
      <c r="E870" s="1022"/>
      <c r="G870" s="655"/>
      <c r="H870" s="655"/>
      <c r="I870" s="976"/>
    </row>
    <row r="871">
      <c r="E871" s="1022"/>
      <c r="G871" s="655"/>
      <c r="H871" s="655"/>
      <c r="I871" s="976"/>
    </row>
    <row r="872">
      <c r="E872" s="1022"/>
      <c r="G872" s="655"/>
      <c r="H872" s="655"/>
      <c r="I872" s="976"/>
    </row>
    <row r="873">
      <c r="E873" s="1022"/>
      <c r="G873" s="655"/>
      <c r="H873" s="655"/>
      <c r="I873" s="976"/>
    </row>
    <row r="874">
      <c r="E874" s="1022"/>
      <c r="G874" s="655"/>
      <c r="H874" s="655"/>
      <c r="I874" s="976"/>
    </row>
    <row r="875">
      <c r="E875" s="1022"/>
      <c r="G875" s="655"/>
      <c r="H875" s="655"/>
      <c r="I875" s="976"/>
    </row>
    <row r="876">
      <c r="E876" s="1022"/>
      <c r="G876" s="655"/>
      <c r="H876" s="655"/>
      <c r="I876" s="976"/>
    </row>
    <row r="877">
      <c r="E877" s="1022"/>
      <c r="G877" s="655"/>
      <c r="H877" s="655"/>
      <c r="I877" s="976"/>
    </row>
    <row r="878">
      <c r="E878" s="1022"/>
      <c r="G878" s="655"/>
      <c r="H878" s="655"/>
      <c r="I878" s="976"/>
    </row>
    <row r="879">
      <c r="E879" s="1022"/>
      <c r="G879" s="655"/>
      <c r="H879" s="655"/>
      <c r="I879" s="976"/>
    </row>
    <row r="880">
      <c r="E880" s="1022"/>
      <c r="G880" s="655"/>
      <c r="H880" s="655"/>
      <c r="I880" s="976"/>
    </row>
    <row r="881">
      <c r="E881" s="1022"/>
      <c r="G881" s="655"/>
      <c r="H881" s="655"/>
      <c r="I881" s="976"/>
    </row>
    <row r="882">
      <c r="E882" s="1022"/>
      <c r="G882" s="655"/>
      <c r="H882" s="655"/>
      <c r="I882" s="976"/>
    </row>
    <row r="883">
      <c r="E883" s="1022"/>
      <c r="G883" s="655"/>
      <c r="H883" s="655"/>
      <c r="I883" s="976"/>
    </row>
    <row r="884">
      <c r="E884" s="1022"/>
      <c r="G884" s="655"/>
      <c r="H884" s="655"/>
      <c r="I884" s="976"/>
    </row>
    <row r="885">
      <c r="E885" s="1022"/>
      <c r="G885" s="655"/>
      <c r="H885" s="655"/>
      <c r="I885" s="976"/>
    </row>
    <row r="886">
      <c r="E886" s="1022"/>
      <c r="G886" s="655"/>
      <c r="H886" s="655"/>
      <c r="I886" s="976"/>
    </row>
    <row r="887">
      <c r="E887" s="1022"/>
      <c r="G887" s="655"/>
      <c r="H887" s="655"/>
      <c r="I887" s="976"/>
    </row>
    <row r="888">
      <c r="E888" s="1022"/>
      <c r="G888" s="655"/>
      <c r="H888" s="655"/>
      <c r="I888" s="976"/>
    </row>
    <row r="889">
      <c r="E889" s="1022"/>
      <c r="G889" s="655"/>
      <c r="H889" s="655"/>
      <c r="I889" s="976"/>
    </row>
    <row r="890">
      <c r="E890" s="1022"/>
      <c r="G890" s="655"/>
      <c r="H890" s="655"/>
      <c r="I890" s="976"/>
    </row>
    <row r="891">
      <c r="E891" s="1022"/>
      <c r="G891" s="655"/>
      <c r="H891" s="655"/>
      <c r="I891" s="976"/>
    </row>
    <row r="892">
      <c r="E892" s="1022"/>
      <c r="G892" s="655"/>
      <c r="H892" s="655"/>
      <c r="I892" s="976"/>
    </row>
    <row r="893">
      <c r="E893" s="1022"/>
      <c r="G893" s="655"/>
      <c r="H893" s="655"/>
      <c r="I893" s="976"/>
    </row>
    <row r="894">
      <c r="E894" s="1022"/>
      <c r="G894" s="655"/>
      <c r="H894" s="655"/>
      <c r="I894" s="976"/>
    </row>
    <row r="895">
      <c r="E895" s="1022"/>
      <c r="G895" s="655"/>
      <c r="H895" s="655"/>
      <c r="I895" s="976"/>
    </row>
    <row r="896">
      <c r="E896" s="1022"/>
      <c r="G896" s="655"/>
      <c r="H896" s="655"/>
      <c r="I896" s="976"/>
    </row>
    <row r="897">
      <c r="E897" s="1022"/>
      <c r="G897" s="655"/>
      <c r="H897" s="655"/>
      <c r="I897" s="976"/>
    </row>
    <row r="898">
      <c r="E898" s="1022"/>
      <c r="G898" s="655"/>
      <c r="H898" s="655"/>
      <c r="I898" s="976"/>
    </row>
    <row r="899">
      <c r="E899" s="1022"/>
      <c r="G899" s="655"/>
      <c r="H899" s="655"/>
      <c r="I899" s="976"/>
    </row>
    <row r="900">
      <c r="E900" s="1022"/>
      <c r="G900" s="655"/>
      <c r="H900" s="655"/>
      <c r="I900" s="976"/>
    </row>
    <row r="901">
      <c r="E901" s="1022"/>
      <c r="G901" s="655"/>
      <c r="H901" s="655"/>
      <c r="I901" s="976"/>
    </row>
    <row r="902">
      <c r="E902" s="1022"/>
      <c r="G902" s="655"/>
      <c r="H902" s="655"/>
      <c r="I902" s="976"/>
    </row>
    <row r="903">
      <c r="E903" s="1022"/>
      <c r="G903" s="655"/>
      <c r="H903" s="655"/>
      <c r="I903" s="976"/>
    </row>
    <row r="904">
      <c r="E904" s="1022"/>
      <c r="G904" s="655"/>
      <c r="H904" s="655"/>
      <c r="I904" s="976"/>
    </row>
    <row r="905">
      <c r="E905" s="1022"/>
      <c r="G905" s="655"/>
      <c r="H905" s="655"/>
      <c r="I905" s="976"/>
    </row>
    <row r="906">
      <c r="E906" s="1022"/>
      <c r="G906" s="655"/>
      <c r="H906" s="655"/>
      <c r="I906" s="976"/>
    </row>
    <row r="907">
      <c r="E907" s="1022"/>
      <c r="G907" s="655"/>
      <c r="H907" s="655"/>
      <c r="I907" s="976"/>
    </row>
    <row r="908">
      <c r="E908" s="1022"/>
      <c r="G908" s="655"/>
      <c r="H908" s="655"/>
      <c r="I908" s="976"/>
    </row>
    <row r="909">
      <c r="E909" s="1022"/>
      <c r="G909" s="655"/>
      <c r="H909" s="655"/>
      <c r="I909" s="976"/>
    </row>
    <row r="910">
      <c r="E910" s="1022"/>
      <c r="G910" s="655"/>
      <c r="H910" s="655"/>
      <c r="I910" s="976"/>
    </row>
    <row r="911">
      <c r="E911" s="1022"/>
      <c r="G911" s="655"/>
      <c r="H911" s="655"/>
      <c r="I911" s="976"/>
    </row>
    <row r="912">
      <c r="E912" s="1022"/>
      <c r="G912" s="655"/>
      <c r="H912" s="655"/>
      <c r="I912" s="976"/>
    </row>
    <row r="913">
      <c r="E913" s="1022"/>
      <c r="G913" s="655"/>
      <c r="H913" s="655"/>
      <c r="I913" s="976"/>
    </row>
    <row r="914">
      <c r="E914" s="1022"/>
      <c r="G914" s="655"/>
      <c r="H914" s="655"/>
      <c r="I914" s="976"/>
    </row>
    <row r="915">
      <c r="E915" s="1022"/>
      <c r="G915" s="655"/>
      <c r="H915" s="655"/>
      <c r="I915" s="976"/>
    </row>
    <row r="916">
      <c r="E916" s="1022"/>
      <c r="G916" s="655"/>
      <c r="H916" s="655"/>
      <c r="I916" s="976"/>
    </row>
    <row r="917">
      <c r="E917" s="1022"/>
      <c r="G917" s="655"/>
      <c r="H917" s="655"/>
      <c r="I917" s="976"/>
    </row>
    <row r="918">
      <c r="E918" s="1022"/>
      <c r="G918" s="655"/>
      <c r="H918" s="655"/>
      <c r="I918" s="976"/>
    </row>
    <row r="919">
      <c r="E919" s="1022"/>
      <c r="G919" s="655"/>
      <c r="H919" s="655"/>
      <c r="I919" s="976"/>
    </row>
    <row r="920">
      <c r="E920" s="1022"/>
      <c r="G920" s="655"/>
      <c r="H920" s="655"/>
      <c r="I920" s="976"/>
    </row>
    <row r="921">
      <c r="E921" s="1022"/>
      <c r="G921" s="655"/>
      <c r="H921" s="655"/>
      <c r="I921" s="976"/>
    </row>
    <row r="922">
      <c r="E922" s="1022"/>
      <c r="G922" s="655"/>
      <c r="H922" s="655"/>
      <c r="I922" s="976"/>
    </row>
    <row r="923">
      <c r="E923" s="1022"/>
      <c r="G923" s="655"/>
      <c r="H923" s="655"/>
      <c r="I923" s="976"/>
    </row>
    <row r="924">
      <c r="E924" s="1022"/>
      <c r="G924" s="655"/>
      <c r="H924" s="655"/>
      <c r="I924" s="976"/>
    </row>
    <row r="925">
      <c r="E925" s="1022"/>
      <c r="G925" s="655"/>
      <c r="H925" s="655"/>
      <c r="I925" s="976"/>
    </row>
    <row r="926">
      <c r="E926" s="1022"/>
      <c r="G926" s="655"/>
      <c r="H926" s="655"/>
      <c r="I926" s="976"/>
    </row>
    <row r="927">
      <c r="E927" s="1022"/>
      <c r="G927" s="655"/>
      <c r="H927" s="655"/>
      <c r="I927" s="976"/>
    </row>
    <row r="928">
      <c r="E928" s="1022"/>
      <c r="G928" s="655"/>
      <c r="H928" s="655"/>
      <c r="I928" s="976"/>
    </row>
    <row r="929">
      <c r="E929" s="1022"/>
      <c r="G929" s="655"/>
      <c r="H929" s="655"/>
      <c r="I929" s="976"/>
    </row>
    <row r="930">
      <c r="E930" s="1022"/>
      <c r="G930" s="655"/>
      <c r="H930" s="655"/>
      <c r="I930" s="976"/>
    </row>
    <row r="931">
      <c r="E931" s="1022"/>
      <c r="G931" s="655"/>
      <c r="H931" s="655"/>
      <c r="I931" s="976"/>
    </row>
    <row r="932">
      <c r="E932" s="1022"/>
      <c r="G932" s="655"/>
      <c r="H932" s="655"/>
      <c r="I932" s="976"/>
    </row>
    <row r="933">
      <c r="E933" s="1022"/>
      <c r="G933" s="655"/>
      <c r="H933" s="655"/>
      <c r="I933" s="976"/>
    </row>
    <row r="934">
      <c r="E934" s="1022"/>
      <c r="G934" s="655"/>
      <c r="H934" s="655"/>
      <c r="I934" s="976"/>
    </row>
    <row r="935">
      <c r="E935" s="1022"/>
      <c r="G935" s="655"/>
      <c r="H935" s="655"/>
      <c r="I935" s="976"/>
    </row>
    <row r="936">
      <c r="E936" s="1022"/>
      <c r="G936" s="655"/>
      <c r="H936" s="655"/>
      <c r="I936" s="976"/>
    </row>
    <row r="937">
      <c r="E937" s="1022"/>
      <c r="G937" s="655"/>
      <c r="H937" s="655"/>
      <c r="I937" s="976"/>
    </row>
    <row r="938">
      <c r="E938" s="1022"/>
      <c r="G938" s="655"/>
      <c r="H938" s="655"/>
      <c r="I938" s="976"/>
    </row>
    <row r="939">
      <c r="E939" s="1022"/>
      <c r="G939" s="655"/>
      <c r="H939" s="655"/>
      <c r="I939" s="976"/>
    </row>
    <row r="940">
      <c r="E940" s="1022"/>
      <c r="G940" s="655"/>
      <c r="H940" s="655"/>
      <c r="I940" s="976"/>
    </row>
    <row r="941">
      <c r="E941" s="1022"/>
      <c r="G941" s="655"/>
      <c r="H941" s="655"/>
      <c r="I941" s="976"/>
    </row>
    <row r="942">
      <c r="E942" s="1022"/>
      <c r="G942" s="655"/>
      <c r="H942" s="655"/>
      <c r="I942" s="976"/>
    </row>
    <row r="943">
      <c r="E943" s="1022"/>
      <c r="G943" s="655"/>
      <c r="H943" s="655"/>
      <c r="I943" s="976"/>
    </row>
    <row r="944">
      <c r="E944" s="1022"/>
      <c r="G944" s="655"/>
      <c r="H944" s="655"/>
      <c r="I944" s="976"/>
    </row>
    <row r="945">
      <c r="E945" s="1022"/>
      <c r="G945" s="655"/>
      <c r="H945" s="655"/>
      <c r="I945" s="976"/>
    </row>
    <row r="946">
      <c r="E946" s="1022"/>
      <c r="G946" s="655"/>
      <c r="H946" s="655"/>
      <c r="I946" s="976"/>
    </row>
    <row r="947">
      <c r="E947" s="1022"/>
      <c r="G947" s="655"/>
      <c r="H947" s="655"/>
      <c r="I947" s="976"/>
    </row>
    <row r="948">
      <c r="E948" s="1022"/>
      <c r="G948" s="655"/>
      <c r="H948" s="655"/>
      <c r="I948" s="976"/>
    </row>
    <row r="949">
      <c r="E949" s="1022"/>
      <c r="G949" s="655"/>
      <c r="H949" s="655"/>
      <c r="I949" s="976"/>
    </row>
    <row r="950">
      <c r="E950" s="1022"/>
      <c r="G950" s="655"/>
      <c r="H950" s="655"/>
      <c r="I950" s="976"/>
    </row>
    <row r="951">
      <c r="E951" s="1022"/>
      <c r="G951" s="655"/>
      <c r="H951" s="655"/>
      <c r="I951" s="976"/>
    </row>
    <row r="952">
      <c r="E952" s="1022"/>
      <c r="G952" s="655"/>
      <c r="H952" s="655"/>
      <c r="I952" s="976"/>
    </row>
    <row r="953">
      <c r="E953" s="1022"/>
      <c r="G953" s="655"/>
      <c r="H953" s="655"/>
      <c r="I953" s="976"/>
    </row>
    <row r="954">
      <c r="E954" s="1022"/>
      <c r="G954" s="655"/>
      <c r="H954" s="655"/>
      <c r="I954" s="976"/>
    </row>
    <row r="955">
      <c r="E955" s="1022"/>
      <c r="G955" s="655"/>
      <c r="H955" s="655"/>
      <c r="I955" s="976"/>
    </row>
    <row r="956">
      <c r="E956" s="1022"/>
      <c r="G956" s="655"/>
      <c r="H956" s="655"/>
      <c r="I956" s="976"/>
    </row>
    <row r="957">
      <c r="E957" s="1022"/>
      <c r="G957" s="655"/>
      <c r="H957" s="655"/>
      <c r="I957" s="976"/>
    </row>
    <row r="958">
      <c r="E958" s="1022"/>
      <c r="G958" s="655"/>
      <c r="H958" s="655"/>
      <c r="I958" s="976"/>
    </row>
    <row r="959">
      <c r="E959" s="1022"/>
      <c r="G959" s="655"/>
      <c r="H959" s="655"/>
      <c r="I959" s="976"/>
    </row>
    <row r="960">
      <c r="E960" s="1022"/>
      <c r="G960" s="655"/>
      <c r="H960" s="655"/>
      <c r="I960" s="976"/>
    </row>
    <row r="961">
      <c r="E961" s="1022"/>
      <c r="G961" s="655"/>
      <c r="H961" s="655"/>
      <c r="I961" s="976"/>
    </row>
    <row r="962">
      <c r="E962" s="1022"/>
      <c r="G962" s="655"/>
      <c r="H962" s="655"/>
      <c r="I962" s="976"/>
    </row>
    <row r="963">
      <c r="E963" s="1022"/>
      <c r="G963" s="655"/>
      <c r="H963" s="655"/>
      <c r="I963" s="976"/>
    </row>
    <row r="964">
      <c r="E964" s="1022"/>
      <c r="G964" s="655"/>
      <c r="H964" s="655"/>
      <c r="I964" s="976"/>
    </row>
    <row r="965">
      <c r="E965" s="1022"/>
      <c r="G965" s="655"/>
      <c r="H965" s="655"/>
      <c r="I965" s="976"/>
    </row>
    <row r="966">
      <c r="E966" s="1022"/>
      <c r="G966" s="655"/>
      <c r="H966" s="655"/>
      <c r="I966" s="976"/>
    </row>
    <row r="967">
      <c r="E967" s="1022"/>
      <c r="G967" s="655"/>
      <c r="H967" s="655"/>
      <c r="I967" s="976"/>
    </row>
    <row r="968">
      <c r="E968" s="1022"/>
      <c r="G968" s="655"/>
      <c r="H968" s="655"/>
      <c r="I968" s="976"/>
    </row>
    <row r="969">
      <c r="E969" s="1022"/>
      <c r="G969" s="655"/>
      <c r="H969" s="655"/>
      <c r="I969" s="976"/>
    </row>
    <row r="970">
      <c r="E970" s="1022"/>
      <c r="G970" s="655"/>
      <c r="H970" s="655"/>
      <c r="I970" s="976"/>
    </row>
    <row r="971">
      <c r="E971" s="1022"/>
      <c r="G971" s="655"/>
      <c r="H971" s="655"/>
      <c r="I971" s="976"/>
    </row>
    <row r="972">
      <c r="E972" s="1022"/>
      <c r="G972" s="655"/>
      <c r="H972" s="655"/>
      <c r="I972" s="976"/>
    </row>
    <row r="973">
      <c r="E973" s="1022"/>
      <c r="G973" s="655"/>
      <c r="H973" s="655"/>
      <c r="I973" s="976"/>
    </row>
    <row r="974">
      <c r="E974" s="1022"/>
      <c r="G974" s="655"/>
      <c r="H974" s="655"/>
      <c r="I974" s="976"/>
    </row>
    <row r="975">
      <c r="E975" s="1022"/>
      <c r="G975" s="655"/>
      <c r="H975" s="655"/>
      <c r="I975" s="976"/>
    </row>
    <row r="976">
      <c r="E976" s="1022"/>
      <c r="G976" s="655"/>
      <c r="H976" s="655"/>
      <c r="I976" s="976"/>
    </row>
    <row r="977">
      <c r="E977" s="1022"/>
      <c r="G977" s="655"/>
      <c r="H977" s="655"/>
      <c r="I977" s="976"/>
    </row>
    <row r="978">
      <c r="E978" s="1022"/>
      <c r="G978" s="655"/>
      <c r="H978" s="655"/>
      <c r="I978" s="976"/>
    </row>
    <row r="979">
      <c r="E979" s="1022"/>
      <c r="G979" s="655"/>
      <c r="H979" s="655"/>
      <c r="I979" s="976"/>
    </row>
    <row r="980">
      <c r="E980" s="1022"/>
      <c r="G980" s="655"/>
      <c r="H980" s="655"/>
      <c r="I980" s="976"/>
    </row>
    <row r="981">
      <c r="E981" s="1022"/>
      <c r="G981" s="655"/>
      <c r="H981" s="655"/>
      <c r="I981" s="976"/>
    </row>
    <row r="982">
      <c r="E982" s="1022"/>
      <c r="G982" s="655"/>
      <c r="H982" s="655"/>
      <c r="I982" s="976"/>
    </row>
    <row r="983">
      <c r="E983" s="1022"/>
      <c r="G983" s="655"/>
      <c r="H983" s="655"/>
      <c r="I983" s="976"/>
    </row>
    <row r="984">
      <c r="E984" s="1022"/>
      <c r="G984" s="655"/>
      <c r="H984" s="655"/>
      <c r="I984" s="976"/>
    </row>
    <row r="985">
      <c r="E985" s="1022"/>
      <c r="G985" s="655"/>
      <c r="H985" s="655"/>
      <c r="I985" s="976"/>
    </row>
    <row r="986">
      <c r="E986" s="1022"/>
      <c r="G986" s="655"/>
      <c r="H986" s="655"/>
      <c r="I986" s="976"/>
    </row>
    <row r="987">
      <c r="E987" s="1022"/>
      <c r="G987" s="655"/>
      <c r="H987" s="655"/>
      <c r="I987" s="976"/>
    </row>
    <row r="988">
      <c r="E988" s="1022"/>
      <c r="G988" s="655"/>
      <c r="H988" s="655"/>
      <c r="I988" s="976"/>
    </row>
    <row r="989">
      <c r="E989" s="1022"/>
      <c r="G989" s="655"/>
      <c r="H989" s="655"/>
      <c r="I989" s="976"/>
    </row>
    <row r="990">
      <c r="E990" s="1022"/>
      <c r="G990" s="655"/>
      <c r="H990" s="655"/>
      <c r="I990" s="976"/>
    </row>
    <row r="991">
      <c r="E991" s="1022"/>
      <c r="G991" s="655"/>
      <c r="H991" s="655"/>
      <c r="I991" s="976"/>
    </row>
    <row r="992">
      <c r="E992" s="1022"/>
      <c r="G992" s="655"/>
      <c r="H992" s="655"/>
      <c r="I992" s="976"/>
    </row>
    <row r="993">
      <c r="E993" s="1022"/>
      <c r="G993" s="655"/>
      <c r="H993" s="655"/>
      <c r="I993" s="976"/>
    </row>
    <row r="994">
      <c r="E994" s="1022"/>
      <c r="G994" s="655"/>
      <c r="H994" s="655"/>
      <c r="I994" s="976"/>
    </row>
    <row r="995">
      <c r="E995" s="1022"/>
      <c r="G995" s="655"/>
      <c r="H995" s="655"/>
      <c r="I995" s="976"/>
    </row>
    <row r="996">
      <c r="E996" s="1022"/>
      <c r="G996" s="655"/>
      <c r="H996" s="655"/>
      <c r="I996" s="976"/>
    </row>
  </sheetData>
  <conditionalFormatting sqref="F3:F21">
    <cfRule type="cellIs" dxfId="14" priority="1" operator="equal">
      <formula>"Payments Scheduled"</formula>
    </cfRule>
  </conditionalFormatting>
  <conditionalFormatting sqref="F3:F21">
    <cfRule type="cellIs" dxfId="15" priority="2" operator="equal">
      <formula>"Paused"</formula>
    </cfRule>
  </conditionalFormatting>
  <conditionalFormatting sqref="F3:F21">
    <cfRule type="cellIs" dxfId="16" priority="3" operator="equal">
      <formula>"Attention"</formula>
    </cfRule>
  </conditionalFormatting>
  <conditionalFormatting sqref="F3:F21">
    <cfRule type="cellIs" dxfId="17" priority="4" operator="equal">
      <formula>"Paid Off"</formula>
    </cfRule>
  </conditionalFormatting>
  <conditionalFormatting sqref="A32 A34">
    <cfRule type="cellIs" dxfId="1" priority="5" operator="greaterThan">
      <formula>"10,000"</formula>
    </cfRule>
  </conditionalFormatting>
  <conditionalFormatting sqref="A32 A34">
    <cfRule type="cellIs" dxfId="18" priority="6" operator="greaterThanOrEqual">
      <formula>5000</formula>
    </cfRule>
  </conditionalFormatting>
  <conditionalFormatting sqref="A32 A34">
    <cfRule type="cellIs" dxfId="19" priority="7" operator="lessThan">
      <formula>4999</formula>
    </cfRule>
  </conditionalFormatting>
  <dataValidations>
    <dataValidation type="list" allowBlank="1" sqref="F3:F21">
      <formula1>"Payments Scheduled,Paused,Paid Off,Attention"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1024"/>
      <c r="B1" s="1025"/>
      <c r="C1" s="1025">
        <v>44562.0</v>
      </c>
      <c r="D1" s="1025">
        <v>44593.0</v>
      </c>
      <c r="E1" s="1025">
        <v>44621.0</v>
      </c>
      <c r="F1" s="1026">
        <v>44652.0</v>
      </c>
      <c r="G1" s="1026">
        <v>44682.0</v>
      </c>
      <c r="H1" s="1026">
        <v>44713.0</v>
      </c>
      <c r="I1" s="1026">
        <v>44743.0</v>
      </c>
      <c r="J1" s="1025">
        <v>44774.0</v>
      </c>
      <c r="K1" s="1027" t="s">
        <v>769</v>
      </c>
      <c r="L1" s="1025">
        <v>44835.0</v>
      </c>
      <c r="M1" s="1025">
        <v>44866.0</v>
      </c>
      <c r="N1" s="1025">
        <v>44896.0</v>
      </c>
    </row>
    <row r="2">
      <c r="A2" s="1028" t="s">
        <v>770</v>
      </c>
      <c r="B2" s="1029"/>
      <c r="C2" s="1029"/>
      <c r="D2" s="1029"/>
      <c r="E2" s="1029"/>
      <c r="F2" s="1029"/>
      <c r="G2" s="1029"/>
      <c r="H2" s="1029"/>
      <c r="I2" s="1029"/>
      <c r="J2" s="1029"/>
      <c r="K2" s="1029"/>
      <c r="L2" s="1029"/>
      <c r="M2" s="1029"/>
      <c r="N2" s="1029"/>
    </row>
    <row r="3">
      <c r="A3" s="108" t="s">
        <v>693</v>
      </c>
      <c r="B3" s="1030"/>
      <c r="C3" s="1030"/>
      <c r="D3" s="1030"/>
      <c r="E3" s="1030"/>
      <c r="F3" s="1030"/>
      <c r="G3" s="1030"/>
      <c r="H3" s="1030"/>
      <c r="I3" s="1030"/>
      <c r="J3" s="1030"/>
      <c r="K3" s="1030"/>
      <c r="L3" s="1030"/>
      <c r="M3" s="1030"/>
      <c r="N3" s="1030"/>
    </row>
    <row r="4">
      <c r="A4" s="1031" t="s">
        <v>771</v>
      </c>
      <c r="C4" s="110">
        <v>2916.0</v>
      </c>
      <c r="D4">
        <f t="shared" ref="D4:J4" si="1">C4+209</f>
        <v>3125</v>
      </c>
      <c r="E4">
        <f t="shared" si="1"/>
        <v>3334</v>
      </c>
      <c r="F4">
        <f t="shared" si="1"/>
        <v>3543</v>
      </c>
      <c r="G4">
        <f t="shared" si="1"/>
        <v>3752</v>
      </c>
      <c r="H4">
        <f t="shared" si="1"/>
        <v>3961</v>
      </c>
      <c r="I4">
        <f t="shared" si="1"/>
        <v>4170</v>
      </c>
      <c r="J4">
        <f t="shared" si="1"/>
        <v>4379</v>
      </c>
    </row>
    <row r="5">
      <c r="A5" s="1031" t="s">
        <v>772</v>
      </c>
      <c r="C5" s="113">
        <v>140.0</v>
      </c>
      <c r="D5" s="113">
        <v>140.0</v>
      </c>
      <c r="E5" s="113">
        <v>140.0</v>
      </c>
      <c r="F5" s="113">
        <v>140.0</v>
      </c>
      <c r="G5" s="113">
        <v>140.0</v>
      </c>
      <c r="H5" s="113">
        <v>100.0</v>
      </c>
      <c r="I5" s="113">
        <v>100.0</v>
      </c>
      <c r="J5" s="113">
        <v>100.0</v>
      </c>
    </row>
    <row r="6">
      <c r="A6" s="108" t="s">
        <v>694</v>
      </c>
      <c r="B6" s="1030"/>
      <c r="C6" s="1030"/>
      <c r="D6" s="1030"/>
      <c r="E6" s="1030"/>
      <c r="F6" s="1030"/>
      <c r="G6" s="1030"/>
      <c r="H6" s="1030"/>
      <c r="I6" s="1030"/>
      <c r="J6" s="1030"/>
      <c r="K6" s="1030"/>
      <c r="L6" s="1030"/>
      <c r="M6" s="1030"/>
      <c r="N6" s="1030"/>
    </row>
    <row r="7">
      <c r="A7" s="1031" t="s">
        <v>771</v>
      </c>
    </row>
    <row r="8">
      <c r="A8" s="1031" t="s">
        <v>772</v>
      </c>
    </row>
    <row r="9">
      <c r="A9" s="108" t="s">
        <v>773</v>
      </c>
      <c r="B9" s="1030"/>
      <c r="C9" s="1030"/>
      <c r="D9" s="1030"/>
      <c r="E9" s="1030"/>
      <c r="F9" s="1030"/>
      <c r="G9" s="1030"/>
      <c r="H9" s="1030"/>
      <c r="I9" s="1030"/>
      <c r="J9" s="1030"/>
      <c r="K9" s="1030"/>
      <c r="L9" s="1030"/>
      <c r="M9" s="1030"/>
      <c r="N9" s="1030"/>
    </row>
    <row r="10">
      <c r="A10" s="1031" t="s">
        <v>771</v>
      </c>
    </row>
    <row r="11">
      <c r="A11" s="1031" t="s">
        <v>772</v>
      </c>
    </row>
    <row r="12">
      <c r="A12" s="1028" t="s">
        <v>774</v>
      </c>
      <c r="B12" s="1029"/>
      <c r="C12" s="1029"/>
      <c r="D12" s="1029"/>
      <c r="E12" s="1029"/>
      <c r="F12" s="1029"/>
      <c r="G12" s="1029"/>
      <c r="H12" s="1029"/>
      <c r="I12" s="1029"/>
      <c r="J12" s="1029"/>
      <c r="K12" s="1029"/>
      <c r="L12" s="1029"/>
      <c r="M12" s="1029"/>
      <c r="N12" s="1029"/>
    </row>
    <row r="13">
      <c r="A13" s="108" t="s">
        <v>775</v>
      </c>
      <c r="B13" s="1030"/>
      <c r="C13" s="1030"/>
      <c r="D13" s="1030"/>
      <c r="E13" s="1030"/>
      <c r="F13" s="1030"/>
      <c r="G13" s="1030"/>
      <c r="H13" s="1030"/>
      <c r="I13" s="1030"/>
      <c r="J13" s="1030"/>
      <c r="K13" s="1030"/>
      <c r="L13" s="1030"/>
      <c r="M13" s="1030"/>
      <c r="N13" s="1030"/>
    </row>
    <row r="14">
      <c r="A14" s="1031" t="s">
        <v>771</v>
      </c>
    </row>
    <row r="15">
      <c r="A15" s="1031" t="s">
        <v>772</v>
      </c>
    </row>
    <row r="16">
      <c r="A16" s="108" t="s">
        <v>776</v>
      </c>
      <c r="B16" s="1030"/>
      <c r="C16" s="1030"/>
      <c r="D16" s="1030"/>
      <c r="E16" s="1030"/>
      <c r="F16" s="1030"/>
      <c r="G16" s="1030"/>
      <c r="H16" s="1030"/>
      <c r="I16" s="1030"/>
      <c r="J16" s="1030"/>
      <c r="K16" s="1030"/>
      <c r="L16" s="1030"/>
      <c r="M16" s="1030"/>
      <c r="N16" s="1030"/>
    </row>
    <row r="17">
      <c r="A17" s="1031" t="s">
        <v>771</v>
      </c>
    </row>
    <row r="18">
      <c r="A18" s="1031" t="s">
        <v>772</v>
      </c>
    </row>
    <row r="19">
      <c r="A19" s="108" t="s">
        <v>777</v>
      </c>
      <c r="B19" s="1030"/>
      <c r="C19" s="1030"/>
      <c r="D19" s="1030"/>
      <c r="E19" s="1030"/>
      <c r="F19" s="1030"/>
      <c r="G19" s="1030"/>
      <c r="H19" s="1030"/>
      <c r="I19" s="1030"/>
      <c r="J19" s="1030"/>
      <c r="K19" s="1030"/>
      <c r="L19" s="1030"/>
      <c r="M19" s="1030"/>
      <c r="N19" s="1030"/>
    </row>
    <row r="20">
      <c r="A20" s="1031" t="s">
        <v>771</v>
      </c>
    </row>
    <row r="21">
      <c r="A21" s="1031" t="s">
        <v>772</v>
      </c>
    </row>
    <row r="22">
      <c r="A22" s="1032" t="s">
        <v>778</v>
      </c>
      <c r="B22" s="1030"/>
      <c r="C22" s="1030"/>
      <c r="D22" s="1030"/>
      <c r="E22" s="1030"/>
      <c r="F22" s="1030"/>
      <c r="G22" s="1030"/>
      <c r="H22" s="1030"/>
      <c r="I22" s="1030"/>
      <c r="J22" s="1030"/>
      <c r="K22" s="1030"/>
      <c r="L22" s="1030"/>
      <c r="M22" s="1030"/>
      <c r="N22" s="1030"/>
    </row>
    <row r="23">
      <c r="A23" s="1031" t="s">
        <v>771</v>
      </c>
    </row>
    <row r="24">
      <c r="A24" s="1031" t="s">
        <v>772</v>
      </c>
    </row>
    <row r="25">
      <c r="A25" s="1033"/>
    </row>
    <row r="26">
      <c r="A26" s="1028"/>
      <c r="B26" s="1029"/>
      <c r="C26" s="1029"/>
      <c r="D26" s="1029"/>
      <c r="E26" s="1029"/>
      <c r="F26" s="1029"/>
      <c r="G26" s="1029"/>
      <c r="H26" s="1029"/>
      <c r="I26" s="1029"/>
      <c r="J26" s="1029"/>
      <c r="K26" s="1029"/>
      <c r="L26" s="1029"/>
      <c r="M26" s="1029"/>
      <c r="N26" s="1029"/>
    </row>
    <row r="27">
      <c r="A27" s="1031"/>
    </row>
    <row r="30">
      <c r="A30" s="1031"/>
    </row>
  </sheetData>
  <hyperlinks>
    <hyperlink r:id="rId1" ref="A22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7" width="16.13"/>
    <col customWidth="1" min="8" max="8" width="16.25"/>
    <col customWidth="1" min="9" max="9" width="15.13"/>
    <col customWidth="1" min="10" max="10" width="17.5"/>
    <col customWidth="1" min="11" max="11" width="15.88"/>
    <col customWidth="1" min="12" max="12" width="13.88"/>
    <col customWidth="1" min="13" max="13" width="24.0"/>
    <col customWidth="1" min="14" max="14" width="22.0"/>
    <col customWidth="1" min="15" max="30" width="34.88"/>
  </cols>
  <sheetData>
    <row r="1">
      <c r="A1" s="1034" t="s">
        <v>779</v>
      </c>
      <c r="B1" s="1034" t="s">
        <v>354</v>
      </c>
      <c r="C1" s="1034" t="s">
        <v>780</v>
      </c>
      <c r="D1" s="1034" t="s">
        <v>781</v>
      </c>
      <c r="E1" s="1034" t="s">
        <v>355</v>
      </c>
      <c r="F1" s="1034" t="s">
        <v>782</v>
      </c>
      <c r="G1" s="1034" t="s">
        <v>783</v>
      </c>
      <c r="H1" s="1034" t="s">
        <v>397</v>
      </c>
      <c r="I1" s="1034" t="s">
        <v>398</v>
      </c>
      <c r="J1" s="1034" t="s">
        <v>399</v>
      </c>
      <c r="K1" s="1034" t="s">
        <v>400</v>
      </c>
      <c r="L1" s="1034" t="s">
        <v>403</v>
      </c>
      <c r="M1" s="1034" t="s">
        <v>451</v>
      </c>
      <c r="N1" s="1034" t="s">
        <v>452</v>
      </c>
      <c r="O1" s="1034" t="s">
        <v>404</v>
      </c>
      <c r="P1" s="1035"/>
      <c r="Q1" s="1035"/>
      <c r="R1" s="1035"/>
      <c r="S1" s="1035"/>
      <c r="T1" s="1035"/>
      <c r="U1" s="1035"/>
      <c r="V1" s="1035"/>
      <c r="W1" s="1035"/>
      <c r="X1" s="1035"/>
      <c r="Y1" s="1035"/>
      <c r="Z1" s="1035"/>
      <c r="AA1" s="1035"/>
      <c r="AB1" s="1035"/>
      <c r="AC1" s="1035"/>
      <c r="AD1" s="1035"/>
    </row>
    <row r="2" ht="16.5" customHeight="1">
      <c r="A2" s="571" t="s">
        <v>784</v>
      </c>
      <c r="B2" s="572"/>
      <c r="C2" s="572"/>
      <c r="D2" s="572"/>
      <c r="E2" s="572"/>
      <c r="F2" s="572"/>
      <c r="G2" s="572"/>
      <c r="H2" s="572"/>
      <c r="I2" s="574"/>
      <c r="J2" s="575"/>
      <c r="K2" s="576"/>
      <c r="L2" s="576"/>
      <c r="M2" s="575"/>
      <c r="N2" s="575"/>
      <c r="O2" s="577"/>
      <c r="P2" s="578"/>
      <c r="Q2" s="578"/>
      <c r="R2" s="578"/>
      <c r="S2" s="578"/>
      <c r="T2" s="578"/>
      <c r="U2" s="578"/>
      <c r="V2" s="578"/>
      <c r="W2" s="578"/>
      <c r="X2" s="578"/>
      <c r="Y2" s="578"/>
      <c r="Z2" s="578"/>
      <c r="AA2" s="578"/>
      <c r="AB2" s="578"/>
      <c r="AC2" s="578"/>
      <c r="AD2" s="578"/>
    </row>
    <row r="3">
      <c r="A3" s="115" t="s">
        <v>406</v>
      </c>
      <c r="B3" s="109"/>
      <c r="C3" s="109"/>
      <c r="D3" s="109"/>
      <c r="E3" s="109"/>
      <c r="F3" s="109"/>
      <c r="G3" s="109"/>
      <c r="H3" s="579" t="s">
        <v>359</v>
      </c>
      <c r="I3" s="580">
        <v>5000.0</v>
      </c>
      <c r="J3" s="581">
        <f t="shared" ref="J3:J5" si="1">I3</f>
        <v>5000</v>
      </c>
      <c r="K3" s="582">
        <f t="shared" ref="K3:K5" si="2">IF(J3&gt;0,J3/SUM($J$3:$J$5), "")</f>
        <v>0.6756756757</v>
      </c>
      <c r="L3" s="583"/>
      <c r="M3" s="584"/>
      <c r="N3" s="584"/>
      <c r="O3" s="578"/>
      <c r="P3" s="578"/>
      <c r="Q3" s="578"/>
      <c r="R3" s="578"/>
      <c r="S3" s="578"/>
      <c r="T3" s="578"/>
      <c r="U3" s="578"/>
      <c r="V3" s="578"/>
      <c r="W3" s="578"/>
      <c r="X3" s="578"/>
      <c r="Y3" s="578"/>
      <c r="Z3" s="578"/>
      <c r="AA3" s="578"/>
      <c r="AB3" s="578"/>
      <c r="AC3" s="578"/>
      <c r="AD3" s="578"/>
    </row>
    <row r="4">
      <c r="A4" s="115" t="s">
        <v>453</v>
      </c>
      <c r="B4" s="109"/>
      <c r="C4" s="109"/>
      <c r="D4" s="109"/>
      <c r="E4" s="109"/>
      <c r="F4" s="109"/>
      <c r="G4" s="109"/>
      <c r="H4" s="579" t="s">
        <v>359</v>
      </c>
      <c r="I4" s="580">
        <v>2000.0</v>
      </c>
      <c r="J4" s="581">
        <f t="shared" si="1"/>
        <v>2000</v>
      </c>
      <c r="K4" s="582">
        <f t="shared" si="2"/>
        <v>0.2702702703</v>
      </c>
      <c r="L4" s="583"/>
      <c r="M4" s="584"/>
      <c r="N4" s="584"/>
      <c r="O4" s="578"/>
      <c r="P4" s="578"/>
      <c r="Q4" s="578"/>
      <c r="R4" s="578"/>
      <c r="S4" s="578"/>
      <c r="T4" s="578"/>
      <c r="U4" s="578"/>
      <c r="V4" s="578"/>
      <c r="W4" s="578"/>
      <c r="X4" s="578"/>
      <c r="Y4" s="578"/>
      <c r="Z4" s="578"/>
      <c r="AA4" s="578"/>
      <c r="AB4" s="578"/>
      <c r="AC4" s="578"/>
      <c r="AD4" s="578"/>
    </row>
    <row r="5">
      <c r="A5" s="115" t="s">
        <v>454</v>
      </c>
      <c r="B5" s="579"/>
      <c r="C5" s="579"/>
      <c r="D5" s="579"/>
      <c r="E5" s="579"/>
      <c r="F5" s="579"/>
      <c r="G5" s="579"/>
      <c r="H5" s="579" t="s">
        <v>359</v>
      </c>
      <c r="I5" s="580">
        <v>400.0</v>
      </c>
      <c r="J5" s="581">
        <f t="shared" si="1"/>
        <v>400</v>
      </c>
      <c r="K5" s="582">
        <f t="shared" si="2"/>
        <v>0.05405405405</v>
      </c>
      <c r="L5" s="583"/>
      <c r="M5" s="584"/>
      <c r="N5" s="584"/>
      <c r="O5" s="578"/>
      <c r="P5" s="578"/>
      <c r="Q5" s="578"/>
      <c r="R5" s="578"/>
      <c r="S5" s="578"/>
      <c r="T5" s="578"/>
      <c r="U5" s="578"/>
      <c r="V5" s="578"/>
      <c r="W5" s="578"/>
      <c r="X5" s="578"/>
      <c r="Y5" s="578"/>
      <c r="Z5" s="578"/>
      <c r="AA5" s="578"/>
      <c r="AB5" s="578"/>
      <c r="AC5" s="578"/>
      <c r="AD5" s="578"/>
    </row>
    <row r="6">
      <c r="A6" s="586"/>
      <c r="B6" s="587"/>
      <c r="C6" s="587"/>
      <c r="D6" s="587"/>
      <c r="E6" s="587"/>
      <c r="F6" s="587"/>
      <c r="G6" s="587"/>
      <c r="H6" s="587"/>
      <c r="I6" s="588">
        <f t="shared" ref="I6:J6" si="3">SUM(I3:I4)</f>
        <v>7000</v>
      </c>
      <c r="J6" s="588">
        <f t="shared" si="3"/>
        <v>7000</v>
      </c>
      <c r="K6" s="589">
        <f>SUBTOTAL(109,K$3:K$5)</f>
        <v>1</v>
      </c>
      <c r="L6" s="590"/>
      <c r="M6" s="591"/>
      <c r="N6" s="591"/>
      <c r="O6" s="592"/>
      <c r="P6" s="592"/>
      <c r="Q6" s="592"/>
      <c r="R6" s="592"/>
      <c r="S6" s="592"/>
      <c r="T6" s="592"/>
      <c r="U6" s="592"/>
      <c r="V6" s="592"/>
      <c r="W6" s="592"/>
      <c r="X6" s="592"/>
      <c r="Y6" s="592"/>
      <c r="Z6" s="592"/>
      <c r="AA6" s="592"/>
      <c r="AB6" s="592"/>
      <c r="AC6" s="592"/>
      <c r="AD6" s="592"/>
    </row>
    <row r="7">
      <c r="A7" s="354"/>
      <c r="B7" s="593"/>
      <c r="C7" s="593"/>
      <c r="D7" s="593"/>
      <c r="E7" s="593"/>
      <c r="F7" s="593"/>
      <c r="G7" s="593"/>
      <c r="H7" s="593"/>
      <c r="I7" s="594"/>
      <c r="J7" s="594"/>
      <c r="K7" s="595"/>
      <c r="L7" s="582"/>
      <c r="M7" s="340"/>
      <c r="N7" s="340"/>
      <c r="O7" s="596"/>
      <c r="P7" s="596"/>
      <c r="Q7" s="596"/>
      <c r="R7" s="596"/>
      <c r="S7" s="596"/>
      <c r="T7" s="596"/>
      <c r="U7" s="596"/>
      <c r="V7" s="596"/>
      <c r="W7" s="596"/>
      <c r="X7" s="596"/>
      <c r="Y7" s="596"/>
      <c r="Z7" s="596"/>
      <c r="AA7" s="596"/>
      <c r="AB7" s="596"/>
      <c r="AC7" s="596"/>
      <c r="AD7" s="596"/>
    </row>
    <row r="8">
      <c r="A8" s="597" t="s">
        <v>785</v>
      </c>
      <c r="B8" s="598"/>
      <c r="C8" s="598"/>
      <c r="D8" s="598"/>
      <c r="E8" s="598"/>
      <c r="F8" s="598"/>
      <c r="G8" s="598"/>
      <c r="H8" s="598"/>
      <c r="I8" s="599"/>
      <c r="J8" s="599"/>
      <c r="K8" s="600"/>
      <c r="L8" s="600"/>
      <c r="M8" s="599"/>
      <c r="N8" s="599"/>
      <c r="O8" s="601"/>
      <c r="P8" s="596"/>
      <c r="Q8" s="596"/>
      <c r="R8" s="596"/>
      <c r="S8" s="596"/>
      <c r="T8" s="596"/>
      <c r="U8" s="596"/>
      <c r="V8" s="596"/>
      <c r="W8" s="596"/>
      <c r="X8" s="596"/>
      <c r="Y8" s="596"/>
      <c r="Z8" s="596"/>
      <c r="AA8" s="596"/>
      <c r="AB8" s="596"/>
      <c r="AC8" s="596"/>
      <c r="AD8" s="596"/>
    </row>
    <row r="9">
      <c r="A9" s="349" t="s">
        <v>430</v>
      </c>
      <c r="B9" s="593"/>
      <c r="C9" s="593"/>
      <c r="D9" s="593"/>
      <c r="E9" s="593" t="s">
        <v>456</v>
      </c>
      <c r="F9" s="593"/>
      <c r="G9" s="593"/>
      <c r="H9" s="603">
        <v>0.008</v>
      </c>
      <c r="I9" s="340">
        <f>H9*17000</f>
        <v>136</v>
      </c>
      <c r="J9" s="351">
        <f>H9*55000</f>
        <v>440</v>
      </c>
      <c r="K9" s="604">
        <f>IF(J9&gt;0,J9/SUM($J$10:$J$26), "")</f>
        <v>0.02508077313</v>
      </c>
      <c r="L9" s="605"/>
      <c r="M9" s="606">
        <v>0.1</v>
      </c>
      <c r="N9" s="584">
        <f>M9*1000000</f>
        <v>100000</v>
      </c>
      <c r="O9" s="596"/>
      <c r="P9" s="596"/>
      <c r="Q9" s="596"/>
      <c r="R9" s="596"/>
      <c r="S9" s="596"/>
      <c r="T9" s="596"/>
      <c r="U9" s="596"/>
      <c r="V9" s="596"/>
      <c r="W9" s="596"/>
      <c r="X9" s="596"/>
      <c r="Y9" s="596"/>
      <c r="Z9" s="596"/>
      <c r="AA9" s="596"/>
      <c r="AB9" s="596"/>
      <c r="AC9" s="596"/>
      <c r="AD9" s="596"/>
    </row>
    <row r="10">
      <c r="A10" s="349" t="s">
        <v>458</v>
      </c>
      <c r="B10" s="593"/>
      <c r="C10" s="593"/>
      <c r="D10" s="593"/>
      <c r="E10" s="593" t="s">
        <v>456</v>
      </c>
      <c r="F10" s="593"/>
      <c r="G10" s="593"/>
      <c r="H10" s="603">
        <v>3.714</v>
      </c>
      <c r="I10" s="340">
        <f>H10*1900</f>
        <v>7056.6</v>
      </c>
      <c r="J10" s="351">
        <f>H10*1975</f>
        <v>7335.15</v>
      </c>
      <c r="K10" s="604">
        <f t="shared" ref="K10:K25" si="4">IF(J10&gt;0,J10/SUM($J$9:$J$26), "")</f>
        <v>0.4078863341</v>
      </c>
      <c r="L10" s="605"/>
      <c r="M10" s="607">
        <v>50.0</v>
      </c>
      <c r="N10" s="584">
        <f t="shared" ref="N10:N11" si="5">M10*5000</f>
        <v>250000</v>
      </c>
      <c r="O10" s="596"/>
      <c r="P10" s="596"/>
      <c r="Q10" s="596"/>
      <c r="R10" s="596"/>
      <c r="S10" s="596"/>
      <c r="T10" s="596"/>
      <c r="U10" s="596"/>
      <c r="V10" s="596"/>
      <c r="W10" s="596"/>
      <c r="X10" s="596"/>
      <c r="Y10" s="596"/>
      <c r="Z10" s="596"/>
      <c r="AA10" s="596"/>
      <c r="AB10" s="596"/>
      <c r="AC10" s="596"/>
      <c r="AD10" s="596"/>
    </row>
    <row r="11">
      <c r="A11" s="349" t="s">
        <v>460</v>
      </c>
      <c r="B11" s="593"/>
      <c r="C11" s="593"/>
      <c r="D11" s="593"/>
      <c r="E11" s="593" t="s">
        <v>456</v>
      </c>
      <c r="F11" s="593"/>
      <c r="G11" s="593"/>
      <c r="H11" s="603">
        <v>0.011</v>
      </c>
      <c r="I11" s="340">
        <v>0.0</v>
      </c>
      <c r="J11" s="351">
        <f>H11*1800</f>
        <v>19.8</v>
      </c>
      <c r="K11" s="604">
        <f t="shared" si="4"/>
        <v>0.001101020349</v>
      </c>
      <c r="L11" s="605"/>
      <c r="M11" s="608">
        <v>20.0</v>
      </c>
      <c r="N11" s="584">
        <f t="shared" si="5"/>
        <v>100000</v>
      </c>
      <c r="O11" s="596"/>
      <c r="P11" s="596"/>
      <c r="Q11" s="596"/>
      <c r="R11" s="596"/>
      <c r="S11" s="596"/>
      <c r="T11" s="596"/>
      <c r="U11" s="596"/>
      <c r="V11" s="596"/>
      <c r="W11" s="596"/>
      <c r="X11" s="596"/>
      <c r="Y11" s="596"/>
      <c r="Z11" s="596"/>
      <c r="AA11" s="596"/>
      <c r="AB11" s="596"/>
      <c r="AC11" s="596"/>
      <c r="AD11" s="596"/>
    </row>
    <row r="12">
      <c r="A12" s="349" t="s">
        <v>461</v>
      </c>
      <c r="B12" s="593"/>
      <c r="C12" s="593"/>
      <c r="D12" s="593"/>
      <c r="E12" s="593" t="s">
        <v>456</v>
      </c>
      <c r="F12" s="593"/>
      <c r="G12" s="593"/>
      <c r="H12" s="593">
        <v>11.0</v>
      </c>
      <c r="I12" s="340">
        <v>0.0</v>
      </c>
      <c r="J12" s="351">
        <f>H12*1</f>
        <v>11</v>
      </c>
      <c r="K12" s="604">
        <f t="shared" si="4"/>
        <v>0.0006116779718</v>
      </c>
      <c r="L12" s="605"/>
      <c r="M12" s="608">
        <v>1000.0</v>
      </c>
      <c r="N12" s="584">
        <f>M12*1</f>
        <v>1000</v>
      </c>
      <c r="O12" s="596"/>
      <c r="P12" s="596"/>
      <c r="Q12" s="596"/>
      <c r="R12" s="596"/>
      <c r="S12" s="596"/>
      <c r="T12" s="596"/>
      <c r="U12" s="596"/>
      <c r="V12" s="596"/>
      <c r="W12" s="596"/>
      <c r="X12" s="596"/>
      <c r="Y12" s="596"/>
      <c r="Z12" s="596"/>
      <c r="AA12" s="596"/>
      <c r="AB12" s="596"/>
      <c r="AC12" s="596"/>
      <c r="AD12" s="596"/>
    </row>
    <row r="13">
      <c r="A13" s="349" t="s">
        <v>462</v>
      </c>
      <c r="B13" s="593"/>
      <c r="C13" s="593"/>
      <c r="D13" s="593"/>
      <c r="E13" s="593" t="s">
        <v>456</v>
      </c>
      <c r="F13" s="593"/>
      <c r="G13" s="593"/>
      <c r="H13" s="609">
        <v>150.0</v>
      </c>
      <c r="I13" s="340">
        <v>0.0</v>
      </c>
      <c r="J13" s="351">
        <f>H13*5.04</f>
        <v>756</v>
      </c>
      <c r="K13" s="604">
        <f t="shared" si="4"/>
        <v>0.04203895879</v>
      </c>
      <c r="L13" s="605"/>
      <c r="M13" s="608">
        <v>150.0</v>
      </c>
      <c r="N13" s="584">
        <f>M13*10</f>
        <v>1500</v>
      </c>
      <c r="O13" s="596"/>
      <c r="P13" s="596"/>
      <c r="Q13" s="596"/>
      <c r="R13" s="596"/>
      <c r="S13" s="596"/>
      <c r="T13" s="596"/>
      <c r="U13" s="596"/>
      <c r="V13" s="596"/>
      <c r="W13" s="596"/>
      <c r="X13" s="596"/>
      <c r="Y13" s="596"/>
      <c r="Z13" s="596"/>
      <c r="AA13" s="596"/>
      <c r="AB13" s="596"/>
      <c r="AC13" s="596"/>
      <c r="AD13" s="596"/>
    </row>
    <row r="14">
      <c r="A14" s="349" t="s">
        <v>463</v>
      </c>
      <c r="B14" s="593"/>
      <c r="C14" s="593"/>
      <c r="D14" s="593"/>
      <c r="E14" s="593" t="s">
        <v>456</v>
      </c>
      <c r="F14" s="593"/>
      <c r="G14" s="593"/>
      <c r="H14" s="609">
        <v>126.2</v>
      </c>
      <c r="I14" s="340">
        <f>H14*19</f>
        <v>2397.8</v>
      </c>
      <c r="J14" s="351">
        <f>H14*22</f>
        <v>2776.4</v>
      </c>
      <c r="K14" s="604">
        <f t="shared" si="4"/>
        <v>0.1543875201</v>
      </c>
      <c r="L14" s="605"/>
      <c r="M14" s="608">
        <v>126.0</v>
      </c>
      <c r="N14" s="584">
        <f>M14*30</f>
        <v>3780</v>
      </c>
      <c r="O14" s="596"/>
      <c r="P14" s="596"/>
      <c r="Q14" s="596"/>
      <c r="R14" s="596"/>
      <c r="S14" s="596"/>
      <c r="T14" s="596"/>
      <c r="U14" s="596"/>
      <c r="V14" s="596"/>
      <c r="W14" s="596"/>
      <c r="X14" s="596"/>
      <c r="Y14" s="596"/>
      <c r="Z14" s="596"/>
      <c r="AA14" s="596"/>
      <c r="AB14" s="596"/>
      <c r="AC14" s="596"/>
      <c r="AD14" s="596"/>
    </row>
    <row r="15">
      <c r="A15" s="349" t="s">
        <v>464</v>
      </c>
      <c r="B15" s="593"/>
      <c r="C15" s="593"/>
      <c r="D15" s="593"/>
      <c r="E15" s="593" t="s">
        <v>456</v>
      </c>
      <c r="F15" s="593"/>
      <c r="G15" s="593"/>
      <c r="H15" s="609">
        <v>10.0</v>
      </c>
      <c r="I15" s="340">
        <f>H15*19.78</f>
        <v>197.8</v>
      </c>
      <c r="J15" s="351">
        <f>H15*40</f>
        <v>400</v>
      </c>
      <c r="K15" s="604">
        <f t="shared" si="4"/>
        <v>0.02224283534</v>
      </c>
      <c r="L15" s="605"/>
      <c r="M15" s="608">
        <v>500.0</v>
      </c>
      <c r="N15" s="584">
        <f>M15*50</f>
        <v>25000</v>
      </c>
      <c r="O15" s="596"/>
      <c r="P15" s="596"/>
      <c r="Q15" s="596"/>
      <c r="R15" s="596"/>
      <c r="S15" s="596"/>
      <c r="T15" s="596"/>
      <c r="U15" s="596"/>
      <c r="V15" s="596"/>
      <c r="W15" s="596"/>
      <c r="X15" s="596"/>
      <c r="Y15" s="596"/>
      <c r="Z15" s="596"/>
      <c r="AA15" s="596"/>
      <c r="AB15" s="596"/>
      <c r="AC15" s="596"/>
      <c r="AD15" s="596"/>
    </row>
    <row r="16">
      <c r="A16" s="349" t="s">
        <v>465</v>
      </c>
      <c r="B16" s="593"/>
      <c r="C16" s="593"/>
      <c r="D16" s="593"/>
      <c r="E16" s="593" t="s">
        <v>456</v>
      </c>
      <c r="F16" s="593"/>
      <c r="G16" s="593"/>
      <c r="H16" s="603">
        <v>39.96</v>
      </c>
      <c r="I16" s="340">
        <v>300.0</v>
      </c>
      <c r="J16" s="351">
        <f>H16*13.52</f>
        <v>540.2592</v>
      </c>
      <c r="K16" s="604">
        <f t="shared" si="4"/>
        <v>0.03004224106</v>
      </c>
      <c r="L16" s="605"/>
      <c r="M16" s="608">
        <v>100.0</v>
      </c>
      <c r="N16" s="584">
        <f>M16*20</f>
        <v>2000</v>
      </c>
      <c r="O16" s="596"/>
      <c r="P16" s="596"/>
      <c r="Q16" s="596"/>
      <c r="R16" s="596"/>
      <c r="S16" s="596"/>
      <c r="T16" s="596"/>
      <c r="U16" s="596"/>
      <c r="V16" s="596"/>
      <c r="W16" s="596"/>
      <c r="X16" s="596"/>
      <c r="Y16" s="596"/>
      <c r="Z16" s="596"/>
      <c r="AA16" s="596"/>
      <c r="AB16" s="596"/>
      <c r="AC16" s="596"/>
      <c r="AD16" s="596"/>
    </row>
    <row r="17">
      <c r="A17" s="349" t="s">
        <v>466</v>
      </c>
      <c r="B17" s="593"/>
      <c r="C17" s="593"/>
      <c r="D17" s="593"/>
      <c r="E17" s="593" t="s">
        <v>456</v>
      </c>
      <c r="F17" s="593"/>
      <c r="G17" s="593"/>
      <c r="H17" s="593">
        <v>9.32</v>
      </c>
      <c r="I17" s="340">
        <f>H17*450</f>
        <v>4194</v>
      </c>
      <c r="J17" s="351">
        <f>H17*510</f>
        <v>4753.2</v>
      </c>
      <c r="K17" s="604">
        <f t="shared" si="4"/>
        <v>0.2643116123</v>
      </c>
      <c r="L17" s="605"/>
      <c r="M17" s="608">
        <v>10.0</v>
      </c>
      <c r="N17" s="584">
        <f>M17*800</f>
        <v>8000</v>
      </c>
      <c r="O17" s="596"/>
      <c r="P17" s="596"/>
      <c r="Q17" s="596"/>
      <c r="R17" s="596"/>
      <c r="S17" s="596"/>
      <c r="T17" s="596"/>
      <c r="U17" s="596"/>
      <c r="V17" s="596"/>
      <c r="W17" s="596"/>
      <c r="X17" s="596"/>
      <c r="Y17" s="596"/>
      <c r="Z17" s="596"/>
      <c r="AA17" s="596"/>
      <c r="AB17" s="596"/>
      <c r="AC17" s="596"/>
      <c r="AD17" s="596"/>
    </row>
    <row r="18">
      <c r="A18" s="349" t="s">
        <v>467</v>
      </c>
      <c r="B18" s="593"/>
      <c r="C18" s="593"/>
      <c r="D18" s="593"/>
      <c r="E18" s="593" t="s">
        <v>468</v>
      </c>
      <c r="F18" s="593"/>
      <c r="G18" s="593"/>
      <c r="H18" s="603">
        <v>0.00226404155052945</v>
      </c>
      <c r="I18" s="340">
        <v>80.0</v>
      </c>
      <c r="J18" s="351">
        <f>H18*40936</f>
        <v>92.68080491</v>
      </c>
      <c r="K18" s="604">
        <f t="shared" si="4"/>
        <v>0.005153709707</v>
      </c>
      <c r="L18" s="605"/>
      <c r="M18" s="608">
        <v>3.0</v>
      </c>
      <c r="N18" s="584"/>
      <c r="O18" s="596"/>
      <c r="P18" s="596"/>
      <c r="Q18" s="596"/>
      <c r="R18" s="596"/>
      <c r="S18" s="596"/>
      <c r="T18" s="596"/>
      <c r="U18" s="596"/>
      <c r="V18" s="596"/>
      <c r="W18" s="596"/>
      <c r="X18" s="596"/>
      <c r="Y18" s="596"/>
      <c r="Z18" s="596"/>
      <c r="AA18" s="596"/>
      <c r="AB18" s="596"/>
      <c r="AC18" s="596"/>
      <c r="AD18" s="596"/>
    </row>
    <row r="19">
      <c r="A19" s="349" t="s">
        <v>469</v>
      </c>
      <c r="B19" s="593"/>
      <c r="C19" s="593"/>
      <c r="D19" s="593"/>
      <c r="E19" s="593" t="s">
        <v>468</v>
      </c>
      <c r="F19" s="593"/>
      <c r="G19" s="593"/>
      <c r="H19" s="603">
        <v>16.0</v>
      </c>
      <c r="I19" s="340">
        <v>80.0</v>
      </c>
      <c r="J19" s="351">
        <f>H19*26</f>
        <v>416</v>
      </c>
      <c r="K19" s="604">
        <f t="shared" si="4"/>
        <v>0.02313254875</v>
      </c>
      <c r="L19" s="605"/>
      <c r="M19" s="608">
        <v>50.0</v>
      </c>
      <c r="N19" s="584">
        <f>M19*30</f>
        <v>1500</v>
      </c>
      <c r="O19" s="596"/>
      <c r="P19" s="596"/>
      <c r="Q19" s="596"/>
      <c r="R19" s="596"/>
      <c r="S19" s="596"/>
      <c r="T19" s="596"/>
      <c r="U19" s="596"/>
      <c r="V19" s="596"/>
      <c r="W19" s="596"/>
      <c r="X19" s="596"/>
      <c r="Y19" s="596"/>
      <c r="Z19" s="596"/>
      <c r="AA19" s="596"/>
      <c r="AB19" s="596"/>
      <c r="AC19" s="596"/>
      <c r="AD19" s="596"/>
    </row>
    <row r="20">
      <c r="A20" s="349" t="s">
        <v>470</v>
      </c>
      <c r="B20" s="593"/>
      <c r="C20" s="593"/>
      <c r="D20" s="593"/>
      <c r="E20" s="593" t="s">
        <v>468</v>
      </c>
      <c r="F20" s="593"/>
      <c r="G20" s="593"/>
      <c r="H20" s="603">
        <v>1.106</v>
      </c>
      <c r="I20" s="340">
        <v>300.0</v>
      </c>
      <c r="J20" s="351">
        <f>H20*150</f>
        <v>165.9</v>
      </c>
      <c r="K20" s="604">
        <f t="shared" si="4"/>
        <v>0.009225215956</v>
      </c>
      <c r="L20" s="605"/>
      <c r="M20" s="608">
        <v>10.0</v>
      </c>
      <c r="N20" s="584">
        <f>M20*300</f>
        <v>3000</v>
      </c>
      <c r="O20" s="596"/>
      <c r="P20" s="596"/>
      <c r="Q20" s="596"/>
      <c r="R20" s="596"/>
      <c r="S20" s="596"/>
      <c r="T20" s="596"/>
      <c r="U20" s="596"/>
      <c r="V20" s="596"/>
      <c r="W20" s="596"/>
      <c r="X20" s="596"/>
      <c r="Y20" s="596"/>
      <c r="Z20" s="596"/>
      <c r="AA20" s="596"/>
      <c r="AB20" s="596"/>
      <c r="AC20" s="596"/>
      <c r="AD20" s="596"/>
    </row>
    <row r="21">
      <c r="A21" s="349" t="s">
        <v>471</v>
      </c>
      <c r="B21" s="593"/>
      <c r="C21" s="593"/>
      <c r="D21" s="593"/>
      <c r="E21" s="593" t="s">
        <v>468</v>
      </c>
      <c r="F21" s="593"/>
      <c r="G21" s="593"/>
      <c r="H21" s="593">
        <v>0.0</v>
      </c>
      <c r="I21" s="340">
        <v>0.008</v>
      </c>
      <c r="J21" s="351">
        <f>I21*743</f>
        <v>5.944</v>
      </c>
      <c r="K21" s="604">
        <f t="shared" si="4"/>
        <v>0.0003305285331</v>
      </c>
      <c r="L21" s="605"/>
      <c r="M21" s="610">
        <v>5.0</v>
      </c>
      <c r="N21" s="340"/>
      <c r="O21" s="596"/>
      <c r="P21" s="596"/>
      <c r="Q21" s="596"/>
      <c r="R21" s="596"/>
      <c r="S21" s="596"/>
      <c r="T21" s="596"/>
      <c r="U21" s="596"/>
      <c r="V21" s="596"/>
      <c r="W21" s="596"/>
      <c r="X21" s="596"/>
      <c r="Y21" s="596"/>
      <c r="Z21" s="596"/>
      <c r="AA21" s="596"/>
      <c r="AB21" s="596"/>
      <c r="AC21" s="596"/>
      <c r="AD21" s="596"/>
    </row>
    <row r="22">
      <c r="A22" s="349" t="s">
        <v>472</v>
      </c>
      <c r="B22" s="593"/>
      <c r="C22" s="593"/>
      <c r="D22" s="593"/>
      <c r="E22" s="593" t="s">
        <v>468</v>
      </c>
      <c r="F22" s="593"/>
      <c r="G22" s="593"/>
      <c r="H22" s="603">
        <v>0.795039454882312</v>
      </c>
      <c r="I22" s="340">
        <v>145.0</v>
      </c>
      <c r="J22" s="351">
        <f>H22*211</f>
        <v>167.753325</v>
      </c>
      <c r="K22" s="604">
        <f t="shared" si="4"/>
        <v>0.009328273962</v>
      </c>
      <c r="L22" s="605"/>
      <c r="M22" s="608">
        <v>5.0</v>
      </c>
      <c r="N22" s="584"/>
      <c r="O22" s="596"/>
      <c r="P22" s="596"/>
      <c r="Q22" s="596"/>
      <c r="R22" s="596"/>
      <c r="S22" s="596"/>
      <c r="T22" s="596"/>
      <c r="U22" s="596"/>
      <c r="V22" s="596"/>
      <c r="W22" s="596"/>
      <c r="X22" s="596"/>
      <c r="Y22" s="596"/>
      <c r="Z22" s="596"/>
      <c r="AA22" s="596"/>
      <c r="AB22" s="596"/>
      <c r="AC22" s="596"/>
      <c r="AD22" s="596"/>
    </row>
    <row r="23">
      <c r="A23" s="611" t="s">
        <v>473</v>
      </c>
      <c r="B23" s="593"/>
      <c r="C23" s="593"/>
      <c r="D23" s="593"/>
      <c r="E23" s="593" t="s">
        <v>456</v>
      </c>
      <c r="F23" s="593"/>
      <c r="G23" s="593"/>
      <c r="H23" s="613">
        <v>108.0</v>
      </c>
      <c r="I23" s="614">
        <v>44.85</v>
      </c>
      <c r="J23" s="615">
        <f>H23*0.69</f>
        <v>74.52</v>
      </c>
      <c r="K23" s="604">
        <f t="shared" si="4"/>
        <v>0.004143840223</v>
      </c>
      <c r="L23" s="616"/>
      <c r="M23" s="617">
        <v>0.0</v>
      </c>
      <c r="N23" s="614"/>
      <c r="O23" s="618"/>
      <c r="P23" s="618"/>
      <c r="Q23" s="618"/>
      <c r="R23" s="618"/>
      <c r="S23" s="618"/>
      <c r="T23" s="618"/>
      <c r="U23" s="618"/>
      <c r="V23" s="618"/>
      <c r="W23" s="618"/>
      <c r="X23" s="618"/>
      <c r="Y23" s="618"/>
      <c r="Z23" s="618"/>
      <c r="AA23" s="618"/>
      <c r="AB23" s="618"/>
      <c r="AC23" s="618"/>
      <c r="AD23" s="618"/>
    </row>
    <row r="24">
      <c r="A24" s="611" t="s">
        <v>474</v>
      </c>
      <c r="B24" s="593"/>
      <c r="C24" s="593"/>
      <c r="D24" s="593"/>
      <c r="E24" s="593" t="s">
        <v>456</v>
      </c>
      <c r="F24" s="593"/>
      <c r="G24" s="593"/>
      <c r="H24" s="613">
        <v>2.0</v>
      </c>
      <c r="I24" s="614">
        <f>43.62</f>
        <v>43.62</v>
      </c>
      <c r="J24" s="615">
        <v>0.0</v>
      </c>
      <c r="K24" s="604" t="str">
        <f t="shared" si="4"/>
        <v/>
      </c>
      <c r="L24" s="616"/>
      <c r="M24" s="617">
        <v>0.0</v>
      </c>
      <c r="N24" s="614"/>
      <c r="O24" s="618"/>
      <c r="P24" s="618"/>
      <c r="Q24" s="618"/>
      <c r="R24" s="618"/>
      <c r="S24" s="618"/>
      <c r="T24" s="618"/>
      <c r="U24" s="618"/>
      <c r="V24" s="618"/>
      <c r="W24" s="618"/>
      <c r="X24" s="618"/>
      <c r="Y24" s="618"/>
      <c r="Z24" s="618"/>
      <c r="AA24" s="618"/>
      <c r="AB24" s="618"/>
      <c r="AC24" s="618"/>
      <c r="AD24" s="618"/>
    </row>
    <row r="25">
      <c r="A25" s="611" t="s">
        <v>475</v>
      </c>
      <c r="B25" s="593"/>
      <c r="C25" s="593"/>
      <c r="D25" s="593"/>
      <c r="E25" s="593" t="s">
        <v>456</v>
      </c>
      <c r="F25" s="593"/>
      <c r="G25" s="593"/>
      <c r="H25" s="613">
        <v>4.976</v>
      </c>
      <c r="I25" s="614">
        <v>20.0</v>
      </c>
      <c r="J25" s="615">
        <f>H25*5.77</f>
        <v>28.71152</v>
      </c>
      <c r="K25" s="604">
        <f t="shared" si="4"/>
        <v>0.001596564029</v>
      </c>
      <c r="L25" s="616"/>
      <c r="M25" s="617">
        <v>0.0</v>
      </c>
      <c r="N25" s="614"/>
      <c r="O25" s="618"/>
      <c r="P25" s="618"/>
      <c r="Q25" s="618"/>
      <c r="R25" s="618"/>
      <c r="S25" s="618"/>
      <c r="T25" s="618"/>
      <c r="U25" s="618"/>
      <c r="V25" s="618"/>
      <c r="W25" s="618"/>
      <c r="X25" s="618"/>
      <c r="Y25" s="618"/>
      <c r="Z25" s="618"/>
      <c r="AA25" s="618"/>
      <c r="AB25" s="618"/>
      <c r="AC25" s="618"/>
      <c r="AD25" s="618"/>
    </row>
    <row r="26">
      <c r="A26" s="611" t="s">
        <v>476</v>
      </c>
      <c r="B26" s="593"/>
      <c r="C26" s="593"/>
      <c r="D26" s="593"/>
      <c r="E26" s="593" t="s">
        <v>456</v>
      </c>
      <c r="F26" s="593"/>
      <c r="G26" s="593"/>
      <c r="H26" s="612" t="s">
        <v>359</v>
      </c>
      <c r="I26" s="614">
        <v>50.0</v>
      </c>
      <c r="J26" s="615">
        <v>0.0</v>
      </c>
      <c r="K26" s="1036" t="str">
        <f>IF(J26&gt;0,J26/SUM($J$10:$J$26), "")</f>
        <v/>
      </c>
      <c r="L26" s="616"/>
      <c r="M26" s="617">
        <v>0.0</v>
      </c>
      <c r="N26" s="614"/>
      <c r="O26" s="618"/>
      <c r="P26" s="618"/>
      <c r="Q26" s="618"/>
      <c r="R26" s="618"/>
      <c r="S26" s="618"/>
      <c r="T26" s="618"/>
      <c r="U26" s="618"/>
      <c r="V26" s="618"/>
      <c r="W26" s="618"/>
      <c r="X26" s="618"/>
      <c r="Y26" s="618"/>
      <c r="Z26" s="618"/>
      <c r="AA26" s="618"/>
      <c r="AB26" s="618"/>
      <c r="AC26" s="618"/>
      <c r="AD26" s="618"/>
    </row>
    <row r="27">
      <c r="A27" s="622"/>
      <c r="B27" s="623"/>
      <c r="C27" s="623"/>
      <c r="D27" s="623"/>
      <c r="E27" s="623"/>
      <c r="F27" s="623"/>
      <c r="G27" s="623"/>
      <c r="H27" s="623"/>
      <c r="I27" s="624">
        <f t="shared" ref="I27:K27" si="6">sum(I9:I26 )</f>
        <v>15045.678</v>
      </c>
      <c r="J27" s="624">
        <f t="shared" si="6"/>
        <v>17983.31885</v>
      </c>
      <c r="K27" s="625">
        <f t="shared" si="6"/>
        <v>1.000613654</v>
      </c>
      <c r="L27" s="625"/>
      <c r="M27" s="624"/>
      <c r="N27" s="624" t="str">
        <f>sum(#REF! )</f>
        <v>#REF!</v>
      </c>
      <c r="O27" s="592"/>
      <c r="P27" s="592"/>
      <c r="Q27" s="592"/>
      <c r="R27" s="592"/>
      <c r="S27" s="592"/>
      <c r="T27" s="592"/>
      <c r="U27" s="592"/>
      <c r="V27" s="592"/>
      <c r="W27" s="592"/>
      <c r="X27" s="592"/>
      <c r="Y27" s="592"/>
      <c r="Z27" s="592"/>
      <c r="AA27" s="592"/>
      <c r="AB27" s="592"/>
      <c r="AC27" s="592"/>
      <c r="AD27" s="592"/>
    </row>
    <row r="28">
      <c r="A28" s="611"/>
      <c r="B28" s="593"/>
      <c r="C28" s="593"/>
      <c r="D28" s="593"/>
      <c r="E28" s="593"/>
      <c r="F28" s="593"/>
      <c r="G28" s="593"/>
      <c r="H28" s="612"/>
      <c r="I28" s="614"/>
      <c r="J28" s="615"/>
      <c r="K28" s="1036"/>
      <c r="L28" s="616"/>
      <c r="M28" s="617"/>
      <c r="N28" s="614"/>
      <c r="O28" s="618"/>
      <c r="P28" s="618"/>
      <c r="Q28" s="618"/>
      <c r="R28" s="618"/>
      <c r="S28" s="618"/>
      <c r="T28" s="618"/>
      <c r="U28" s="618"/>
      <c r="V28" s="618"/>
      <c r="W28" s="618"/>
      <c r="X28" s="618"/>
      <c r="Y28" s="618"/>
      <c r="Z28" s="618"/>
      <c r="AA28" s="618"/>
      <c r="AB28" s="618"/>
      <c r="AC28" s="618"/>
      <c r="AD28" s="618"/>
    </row>
    <row r="29">
      <c r="A29" s="597" t="s">
        <v>786</v>
      </c>
      <c r="B29" s="598"/>
      <c r="C29" s="598"/>
      <c r="D29" s="598"/>
      <c r="E29" s="598"/>
      <c r="F29" s="598"/>
      <c r="G29" s="598"/>
      <c r="H29" s="598"/>
      <c r="I29" s="599"/>
      <c r="J29" s="599"/>
      <c r="K29" s="600"/>
      <c r="L29" s="600"/>
      <c r="M29" s="599"/>
      <c r="N29" s="599"/>
      <c r="O29" s="601"/>
      <c r="P29" s="596"/>
      <c r="Q29" s="596"/>
      <c r="R29" s="596"/>
      <c r="S29" s="596"/>
      <c r="T29" s="596"/>
      <c r="U29" s="596"/>
      <c r="V29" s="596"/>
      <c r="W29" s="596"/>
      <c r="X29" s="596"/>
      <c r="Y29" s="596"/>
      <c r="Z29" s="596"/>
      <c r="AA29" s="596"/>
      <c r="AB29" s="596"/>
      <c r="AC29" s="596"/>
      <c r="AD29" s="596"/>
    </row>
    <row r="30">
      <c r="A30" s="349" t="s">
        <v>477</v>
      </c>
      <c r="B30" s="593"/>
      <c r="C30" s="593"/>
      <c r="D30" s="593"/>
      <c r="E30" s="593" t="s">
        <v>478</v>
      </c>
      <c r="F30" s="593"/>
      <c r="G30" s="593"/>
      <c r="H30" s="603">
        <v>0.718</v>
      </c>
      <c r="I30" s="340">
        <v>100.0</v>
      </c>
      <c r="J30" s="351">
        <f>H30*759</f>
        <v>544.962</v>
      </c>
      <c r="K30" s="604">
        <f t="shared" ref="K30:K37" si="7">IF(J30&gt;0,J30/SUM($J$9:$J$26), "")</f>
        <v>0.03030375008</v>
      </c>
      <c r="L30" s="605"/>
      <c r="M30" s="608">
        <v>2.0</v>
      </c>
      <c r="N30" s="584">
        <f>M30*1559</f>
        <v>3118</v>
      </c>
      <c r="O30" s="596"/>
      <c r="P30" s="596"/>
      <c r="Q30" s="596"/>
      <c r="R30" s="596"/>
      <c r="S30" s="596"/>
      <c r="T30" s="596"/>
      <c r="U30" s="596"/>
      <c r="V30" s="596"/>
      <c r="W30" s="596"/>
      <c r="X30" s="596"/>
      <c r="Y30" s="596"/>
      <c r="Z30" s="596"/>
      <c r="AA30" s="596"/>
      <c r="AB30" s="596"/>
      <c r="AC30" s="596"/>
      <c r="AD30" s="596"/>
    </row>
    <row r="31">
      <c r="A31" s="349" t="s">
        <v>479</v>
      </c>
      <c r="B31" s="593"/>
      <c r="C31" s="593"/>
      <c r="D31" s="593"/>
      <c r="E31" s="593" t="s">
        <v>478</v>
      </c>
      <c r="F31" s="593"/>
      <c r="G31" s="593"/>
      <c r="H31" s="603">
        <v>5.8E-9</v>
      </c>
      <c r="I31" s="340">
        <v>175.0</v>
      </c>
      <c r="J31" s="351">
        <f>H31*44054474896.37</f>
        <v>255.5159544</v>
      </c>
      <c r="K31" s="604">
        <f t="shared" si="7"/>
        <v>0.01420849825</v>
      </c>
      <c r="L31" s="605"/>
      <c r="M31" s="608">
        <v>2.0</v>
      </c>
      <c r="N31" s="346">
        <f>0.0000000058*44054474896.37</f>
        <v>255.5159544</v>
      </c>
      <c r="O31" s="596"/>
      <c r="P31" s="596"/>
      <c r="Q31" s="596"/>
      <c r="R31" s="596"/>
      <c r="S31" s="596"/>
      <c r="T31" s="596"/>
      <c r="U31" s="596"/>
      <c r="V31" s="596"/>
      <c r="W31" s="596"/>
      <c r="X31" s="596"/>
      <c r="Y31" s="596"/>
      <c r="Z31" s="596"/>
      <c r="AA31" s="596"/>
      <c r="AB31" s="596"/>
      <c r="AC31" s="596"/>
      <c r="AD31" s="596"/>
    </row>
    <row r="32">
      <c r="A32" s="349" t="s">
        <v>480</v>
      </c>
      <c r="B32" s="593"/>
      <c r="C32" s="593"/>
      <c r="D32" s="593"/>
      <c r="E32" s="593" t="s">
        <v>478</v>
      </c>
      <c r="F32" s="593"/>
      <c r="G32" s="593"/>
      <c r="H32" s="603">
        <v>0.0</v>
      </c>
      <c r="I32" s="340">
        <f>358</f>
        <v>358</v>
      </c>
      <c r="J32" s="351">
        <v>0.0</v>
      </c>
      <c r="K32" s="604" t="str">
        <f t="shared" si="7"/>
        <v/>
      </c>
      <c r="L32" s="605"/>
      <c r="M32" s="608">
        <v>2.0</v>
      </c>
      <c r="N32" s="584"/>
      <c r="O32" s="596"/>
      <c r="P32" s="596"/>
      <c r="Q32" s="596"/>
      <c r="R32" s="596"/>
      <c r="S32" s="596"/>
      <c r="T32" s="596"/>
      <c r="U32" s="596"/>
      <c r="V32" s="596"/>
      <c r="W32" s="596"/>
      <c r="X32" s="596"/>
      <c r="Y32" s="596"/>
      <c r="Z32" s="596"/>
      <c r="AA32" s="596"/>
      <c r="AB32" s="596"/>
      <c r="AC32" s="596"/>
      <c r="AD32" s="596"/>
    </row>
    <row r="33">
      <c r="A33" s="349" t="s">
        <v>481</v>
      </c>
      <c r="B33" s="593"/>
      <c r="C33" s="593"/>
      <c r="D33" s="593"/>
      <c r="E33" s="593" t="s">
        <v>482</v>
      </c>
      <c r="F33" s="593"/>
      <c r="G33" s="593"/>
      <c r="H33" s="603">
        <v>17.0</v>
      </c>
      <c r="I33" s="340">
        <v>17.0</v>
      </c>
      <c r="J33" s="351">
        <v>17.0</v>
      </c>
      <c r="K33" s="604">
        <f t="shared" si="7"/>
        <v>0.0009453205018</v>
      </c>
      <c r="L33" s="605"/>
      <c r="M33" s="619">
        <v>17.0</v>
      </c>
      <c r="N33" s="584"/>
      <c r="O33" s="596"/>
      <c r="P33" s="596"/>
      <c r="Q33" s="596"/>
      <c r="R33" s="596"/>
      <c r="S33" s="596"/>
      <c r="T33" s="596"/>
      <c r="U33" s="596"/>
      <c r="V33" s="596"/>
      <c r="W33" s="596"/>
      <c r="X33" s="596"/>
      <c r="Y33" s="596"/>
      <c r="Z33" s="596"/>
      <c r="AA33" s="596"/>
      <c r="AB33" s="596"/>
      <c r="AC33" s="596"/>
      <c r="AD33" s="596"/>
    </row>
    <row r="34">
      <c r="A34" s="349" t="s">
        <v>483</v>
      </c>
      <c r="B34" s="593"/>
      <c r="C34" s="593"/>
      <c r="D34" s="593"/>
      <c r="E34" s="593" t="s">
        <v>482</v>
      </c>
      <c r="F34" s="593"/>
      <c r="G34" s="593"/>
      <c r="H34" s="603">
        <v>12.6</v>
      </c>
      <c r="I34" s="340">
        <v>10.0</v>
      </c>
      <c r="J34" s="351">
        <f>H34*1.01</f>
        <v>12.726</v>
      </c>
      <c r="K34" s="604">
        <f t="shared" si="7"/>
        <v>0.0007076558063</v>
      </c>
      <c r="L34" s="605"/>
      <c r="M34" s="608">
        <v>200.0</v>
      </c>
      <c r="N34" s="584">
        <f t="shared" ref="N34:N36" si="8">M34*1</f>
        <v>200</v>
      </c>
      <c r="O34" s="596"/>
      <c r="P34" s="596"/>
      <c r="Q34" s="596"/>
      <c r="R34" s="596"/>
      <c r="S34" s="596"/>
      <c r="T34" s="596"/>
      <c r="U34" s="596"/>
      <c r="V34" s="596"/>
      <c r="W34" s="596"/>
      <c r="X34" s="596"/>
      <c r="Y34" s="596"/>
      <c r="Z34" s="596"/>
      <c r="AA34" s="596"/>
      <c r="AB34" s="596"/>
      <c r="AC34" s="596"/>
      <c r="AD34" s="596"/>
    </row>
    <row r="35">
      <c r="A35" s="349" t="s">
        <v>484</v>
      </c>
      <c r="B35" s="593"/>
      <c r="C35" s="593"/>
      <c r="D35" s="593"/>
      <c r="E35" s="593" t="s">
        <v>482</v>
      </c>
      <c r="F35" s="593"/>
      <c r="G35" s="593"/>
      <c r="H35" s="603">
        <v>1.0</v>
      </c>
      <c r="I35" s="340">
        <v>100.0</v>
      </c>
      <c r="J35" s="351">
        <v>102.0</v>
      </c>
      <c r="K35" s="604">
        <f t="shared" si="7"/>
        <v>0.005671923011</v>
      </c>
      <c r="L35" s="605"/>
      <c r="M35" s="608">
        <v>2000.0</v>
      </c>
      <c r="N35" s="584">
        <f t="shared" si="8"/>
        <v>2000</v>
      </c>
      <c r="O35" s="596"/>
      <c r="P35" s="596"/>
      <c r="Q35" s="596"/>
      <c r="R35" s="596"/>
      <c r="S35" s="596"/>
      <c r="T35" s="596"/>
      <c r="U35" s="596"/>
      <c r="V35" s="596"/>
      <c r="W35" s="596"/>
      <c r="X35" s="596"/>
      <c r="Y35" s="596"/>
      <c r="Z35" s="596"/>
      <c r="AA35" s="596"/>
      <c r="AB35" s="596"/>
      <c r="AC35" s="596"/>
      <c r="AD35" s="596"/>
    </row>
    <row r="36">
      <c r="A36" s="349" t="s">
        <v>485</v>
      </c>
      <c r="B36" s="593"/>
      <c r="C36" s="593"/>
      <c r="D36" s="593"/>
      <c r="E36" s="593" t="s">
        <v>482</v>
      </c>
      <c r="F36" s="593"/>
      <c r="G36" s="593"/>
      <c r="H36" s="603">
        <v>1766.0</v>
      </c>
      <c r="I36" s="340">
        <v>36.94</v>
      </c>
      <c r="J36" s="351">
        <v>0.0</v>
      </c>
      <c r="K36" s="604" t="str">
        <f t="shared" si="7"/>
        <v/>
      </c>
      <c r="L36" s="605"/>
      <c r="M36" s="608">
        <v>1000.0</v>
      </c>
      <c r="N36" s="584">
        <f t="shared" si="8"/>
        <v>1000</v>
      </c>
      <c r="O36" s="596"/>
      <c r="P36" s="596"/>
      <c r="Q36" s="596"/>
      <c r="R36" s="596"/>
      <c r="S36" s="596"/>
      <c r="T36" s="596"/>
      <c r="U36" s="596"/>
      <c r="V36" s="596"/>
      <c r="W36" s="596"/>
      <c r="X36" s="596"/>
      <c r="Y36" s="596"/>
      <c r="Z36" s="596"/>
      <c r="AA36" s="596"/>
      <c r="AB36" s="596"/>
      <c r="AC36" s="596"/>
      <c r="AD36" s="596"/>
    </row>
    <row r="37">
      <c r="A37" s="349" t="s">
        <v>486</v>
      </c>
      <c r="B37" s="593"/>
      <c r="C37" s="593"/>
      <c r="D37" s="593"/>
      <c r="E37" s="593" t="s">
        <v>487</v>
      </c>
      <c r="F37" s="593"/>
      <c r="G37" s="593"/>
      <c r="H37" s="593" t="s">
        <v>359</v>
      </c>
      <c r="I37" s="340">
        <v>116.0</v>
      </c>
      <c r="J37" s="351">
        <v>0.0</v>
      </c>
      <c r="K37" s="604" t="str">
        <f t="shared" si="7"/>
        <v/>
      </c>
      <c r="L37" s="605"/>
      <c r="M37" s="608">
        <v>500.0</v>
      </c>
      <c r="N37" s="584"/>
      <c r="O37" s="596"/>
      <c r="P37" s="596"/>
      <c r="Q37" s="596"/>
      <c r="R37" s="596"/>
      <c r="S37" s="596"/>
      <c r="T37" s="596"/>
      <c r="U37" s="596"/>
      <c r="V37" s="596"/>
      <c r="W37" s="596"/>
      <c r="X37" s="596"/>
      <c r="Y37" s="596"/>
      <c r="Z37" s="596"/>
      <c r="AA37" s="596"/>
      <c r="AB37" s="596"/>
      <c r="AC37" s="596"/>
      <c r="AD37" s="596"/>
    </row>
    <row r="38">
      <c r="A38" s="611"/>
      <c r="B38" s="593"/>
      <c r="C38" s="593"/>
      <c r="D38" s="593"/>
      <c r="E38" s="593"/>
      <c r="F38" s="593"/>
      <c r="G38" s="593"/>
      <c r="H38" s="612"/>
      <c r="I38" s="614"/>
      <c r="J38" s="615"/>
      <c r="K38" s="1036"/>
      <c r="L38" s="616"/>
      <c r="M38" s="617"/>
      <c r="N38" s="614"/>
      <c r="O38" s="618"/>
      <c r="P38" s="618"/>
      <c r="Q38" s="618"/>
      <c r="R38" s="618"/>
      <c r="S38" s="618"/>
      <c r="T38" s="618"/>
      <c r="U38" s="618"/>
      <c r="V38" s="618"/>
      <c r="W38" s="618"/>
      <c r="X38" s="618"/>
      <c r="Y38" s="618"/>
      <c r="Z38" s="618"/>
      <c r="AA38" s="618"/>
      <c r="AB38" s="618"/>
      <c r="AC38" s="618"/>
      <c r="AD38" s="618"/>
    </row>
    <row r="39">
      <c r="A39" s="597" t="s">
        <v>787</v>
      </c>
      <c r="B39" s="598"/>
      <c r="C39" s="598"/>
      <c r="D39" s="598"/>
      <c r="E39" s="598"/>
      <c r="F39" s="598"/>
      <c r="G39" s="598"/>
      <c r="H39" s="598"/>
      <c r="I39" s="599"/>
      <c r="J39" s="599"/>
      <c r="K39" s="600"/>
      <c r="L39" s="600"/>
      <c r="M39" s="599"/>
      <c r="N39" s="599"/>
      <c r="O39" s="601"/>
      <c r="P39" s="596"/>
      <c r="Q39" s="596"/>
      <c r="R39" s="596"/>
      <c r="S39" s="596"/>
      <c r="T39" s="596"/>
      <c r="U39" s="596"/>
      <c r="V39" s="596"/>
      <c r="W39" s="596"/>
      <c r="X39" s="596"/>
      <c r="Y39" s="596"/>
      <c r="Z39" s="596"/>
      <c r="AA39" s="596"/>
      <c r="AB39" s="596"/>
      <c r="AC39" s="596"/>
      <c r="AD39" s="596"/>
    </row>
    <row r="40">
      <c r="A40" s="349" t="s">
        <v>788</v>
      </c>
      <c r="B40" s="593"/>
      <c r="C40" s="593"/>
      <c r="D40" s="593"/>
      <c r="E40" s="593" t="s">
        <v>789</v>
      </c>
      <c r="F40" s="593"/>
      <c r="G40" s="593"/>
      <c r="H40" s="612"/>
      <c r="I40" s="614"/>
      <c r="J40" s="615"/>
      <c r="K40" s="1036"/>
      <c r="L40" s="616"/>
      <c r="M40" s="617"/>
      <c r="N40" s="614"/>
      <c r="O40" s="618"/>
      <c r="P40" s="618"/>
      <c r="Q40" s="618"/>
      <c r="R40" s="618"/>
      <c r="S40" s="618"/>
      <c r="T40" s="618"/>
      <c r="U40" s="618"/>
      <c r="V40" s="618"/>
      <c r="W40" s="618"/>
      <c r="X40" s="618"/>
      <c r="Y40" s="618"/>
      <c r="Z40" s="618"/>
      <c r="AA40" s="618"/>
      <c r="AB40" s="618"/>
      <c r="AC40" s="618"/>
      <c r="AD40" s="618"/>
    </row>
    <row r="41">
      <c r="A41" s="349" t="s">
        <v>420</v>
      </c>
      <c r="B41" s="593"/>
      <c r="C41" s="593"/>
      <c r="D41" s="593"/>
      <c r="E41" s="593" t="s">
        <v>789</v>
      </c>
      <c r="F41" s="593"/>
      <c r="G41" s="593"/>
      <c r="H41" s="612"/>
      <c r="I41" s="614"/>
      <c r="J41" s="615"/>
      <c r="K41" s="1036"/>
      <c r="L41" s="616"/>
      <c r="M41" s="617"/>
      <c r="N41" s="614"/>
      <c r="O41" s="618"/>
      <c r="P41" s="618"/>
      <c r="Q41" s="618"/>
      <c r="R41" s="618"/>
      <c r="S41" s="618"/>
      <c r="T41" s="618"/>
      <c r="U41" s="618"/>
      <c r="V41" s="618"/>
      <c r="W41" s="618"/>
      <c r="X41" s="618"/>
      <c r="Y41" s="618"/>
      <c r="Z41" s="618"/>
      <c r="AA41" s="618"/>
      <c r="AB41" s="618"/>
      <c r="AC41" s="618"/>
      <c r="AD41" s="618"/>
    </row>
    <row r="42">
      <c r="A42" s="349" t="s">
        <v>493</v>
      </c>
      <c r="B42" s="593"/>
      <c r="C42" s="593"/>
      <c r="D42" s="593"/>
      <c r="E42" s="593" t="s">
        <v>789</v>
      </c>
      <c r="F42" s="593"/>
      <c r="G42" s="593"/>
      <c r="H42" s="612"/>
      <c r="I42" s="614"/>
      <c r="J42" s="615"/>
      <c r="K42" s="1036"/>
      <c r="L42" s="616"/>
      <c r="M42" s="617"/>
      <c r="N42" s="614"/>
      <c r="O42" s="618"/>
      <c r="P42" s="618"/>
      <c r="Q42" s="618"/>
      <c r="R42" s="618"/>
      <c r="S42" s="618"/>
      <c r="T42" s="618"/>
      <c r="U42" s="618"/>
      <c r="V42" s="618"/>
      <c r="W42" s="618"/>
      <c r="X42" s="618"/>
      <c r="Y42" s="618"/>
      <c r="Z42" s="618"/>
      <c r="AA42" s="618"/>
      <c r="AB42" s="618"/>
      <c r="AC42" s="618"/>
      <c r="AD42" s="618"/>
    </row>
    <row r="43">
      <c r="A43" s="349" t="s">
        <v>494</v>
      </c>
      <c r="B43" s="593"/>
      <c r="C43" s="593"/>
      <c r="D43" s="593"/>
      <c r="E43" s="593" t="s">
        <v>790</v>
      </c>
      <c r="F43" s="593"/>
      <c r="G43" s="593"/>
      <c r="H43" s="612"/>
      <c r="I43" s="614"/>
      <c r="J43" s="615"/>
      <c r="K43" s="1036"/>
      <c r="L43" s="616"/>
      <c r="M43" s="617"/>
      <c r="N43" s="614"/>
      <c r="O43" s="618"/>
      <c r="P43" s="618"/>
      <c r="Q43" s="618"/>
      <c r="R43" s="618"/>
      <c r="S43" s="618"/>
      <c r="T43" s="618"/>
      <c r="U43" s="618"/>
      <c r="V43" s="618"/>
      <c r="W43" s="618"/>
      <c r="X43" s="618"/>
      <c r="Y43" s="618"/>
      <c r="Z43" s="618"/>
      <c r="AA43" s="618"/>
      <c r="AB43" s="618"/>
      <c r="AC43" s="618"/>
      <c r="AD43" s="618"/>
    </row>
    <row r="44">
      <c r="A44" s="349" t="s">
        <v>495</v>
      </c>
      <c r="B44" s="593"/>
      <c r="C44" s="593"/>
      <c r="D44" s="593"/>
      <c r="E44" s="593" t="s">
        <v>789</v>
      </c>
      <c r="F44" s="593"/>
      <c r="G44" s="593"/>
      <c r="H44" s="612"/>
      <c r="I44" s="614"/>
      <c r="J44" s="615"/>
      <c r="K44" s="1036"/>
      <c r="L44" s="616"/>
      <c r="M44" s="617"/>
      <c r="N44" s="614"/>
      <c r="O44" s="618"/>
      <c r="P44" s="618"/>
      <c r="Q44" s="618"/>
      <c r="R44" s="618"/>
      <c r="S44" s="618"/>
      <c r="T44" s="618"/>
      <c r="U44" s="618"/>
      <c r="V44" s="618"/>
      <c r="W44" s="618"/>
      <c r="X44" s="618"/>
      <c r="Y44" s="618"/>
      <c r="Z44" s="618"/>
      <c r="AA44" s="618"/>
      <c r="AB44" s="618"/>
      <c r="AC44" s="618"/>
      <c r="AD44" s="618"/>
    </row>
    <row r="45">
      <c r="A45" s="349" t="s">
        <v>422</v>
      </c>
      <c r="B45" s="593"/>
      <c r="C45" s="593"/>
      <c r="D45" s="593"/>
      <c r="E45" s="593" t="s">
        <v>790</v>
      </c>
      <c r="F45" s="593"/>
      <c r="G45" s="593"/>
      <c r="H45" s="612"/>
      <c r="I45" s="614"/>
      <c r="J45" s="615"/>
      <c r="K45" s="1036"/>
      <c r="L45" s="616"/>
      <c r="M45" s="617"/>
      <c r="N45" s="614"/>
      <c r="O45" s="618"/>
      <c r="P45" s="618"/>
      <c r="Q45" s="618"/>
      <c r="R45" s="618"/>
      <c r="S45" s="618"/>
      <c r="T45" s="618"/>
      <c r="U45" s="618"/>
      <c r="V45" s="618"/>
      <c r="W45" s="618"/>
      <c r="X45" s="618"/>
      <c r="Y45" s="618"/>
      <c r="Z45" s="618"/>
      <c r="AA45" s="618"/>
      <c r="AB45" s="618"/>
      <c r="AC45" s="618"/>
      <c r="AD45" s="618"/>
    </row>
    <row r="46">
      <c r="A46" s="349"/>
      <c r="B46" s="593"/>
      <c r="C46" s="593"/>
      <c r="D46" s="593"/>
      <c r="E46" s="593"/>
      <c r="F46" s="593"/>
      <c r="G46" s="593"/>
      <c r="H46" s="612"/>
      <c r="I46" s="614"/>
      <c r="J46" s="615"/>
      <c r="K46" s="1036"/>
      <c r="L46" s="616"/>
      <c r="M46" s="617"/>
      <c r="N46" s="614"/>
      <c r="O46" s="618"/>
      <c r="P46" s="618"/>
      <c r="Q46" s="618"/>
      <c r="R46" s="618"/>
      <c r="S46" s="618"/>
      <c r="T46" s="618"/>
      <c r="U46" s="618"/>
      <c r="V46" s="618"/>
      <c r="W46" s="618"/>
      <c r="X46" s="618"/>
      <c r="Y46" s="618"/>
      <c r="Z46" s="618"/>
      <c r="AA46" s="618"/>
      <c r="AB46" s="618"/>
      <c r="AC46" s="618"/>
      <c r="AD46" s="618"/>
    </row>
    <row r="47">
      <c r="A47" s="597" t="s">
        <v>791</v>
      </c>
      <c r="B47" s="598"/>
      <c r="C47" s="598"/>
      <c r="D47" s="598"/>
      <c r="E47" s="598"/>
      <c r="F47" s="598"/>
      <c r="G47" s="598"/>
      <c r="H47" s="598"/>
      <c r="I47" s="599"/>
      <c r="J47" s="599"/>
      <c r="K47" s="600"/>
      <c r="L47" s="600"/>
      <c r="M47" s="599"/>
      <c r="N47" s="599"/>
      <c r="O47" s="601"/>
      <c r="P47" s="596"/>
      <c r="Q47" s="596"/>
      <c r="R47" s="596"/>
      <c r="S47" s="596"/>
      <c r="T47" s="596"/>
      <c r="U47" s="596"/>
      <c r="V47" s="596"/>
      <c r="W47" s="596"/>
      <c r="X47" s="596"/>
      <c r="Y47" s="596"/>
      <c r="Z47" s="596"/>
      <c r="AA47" s="596"/>
      <c r="AB47" s="596"/>
      <c r="AC47" s="596"/>
      <c r="AD47" s="596"/>
    </row>
    <row r="48">
      <c r="A48" s="349" t="s">
        <v>496</v>
      </c>
      <c r="B48" s="593"/>
      <c r="C48" s="593"/>
      <c r="D48" s="593"/>
      <c r="E48" s="593" t="s">
        <v>456</v>
      </c>
      <c r="F48" s="593"/>
      <c r="G48" s="593"/>
      <c r="H48" s="612"/>
      <c r="I48" s="614"/>
      <c r="J48" s="615"/>
      <c r="K48" s="1036"/>
      <c r="L48" s="616"/>
      <c r="M48" s="617"/>
      <c r="N48" s="614"/>
      <c r="O48" s="618"/>
      <c r="P48" s="618"/>
      <c r="Q48" s="618"/>
      <c r="R48" s="618"/>
      <c r="S48" s="618"/>
      <c r="T48" s="618"/>
      <c r="U48" s="618"/>
      <c r="V48" s="618"/>
      <c r="W48" s="618"/>
      <c r="X48" s="618"/>
      <c r="Y48" s="618"/>
      <c r="Z48" s="618"/>
      <c r="AA48" s="618"/>
      <c r="AB48" s="618"/>
      <c r="AC48" s="618"/>
      <c r="AD48" s="618"/>
    </row>
    <row r="49">
      <c r="A49" s="349" t="s">
        <v>496</v>
      </c>
      <c r="B49" s="593"/>
      <c r="C49" s="593"/>
      <c r="D49" s="593"/>
      <c r="E49" s="593" t="s">
        <v>456</v>
      </c>
      <c r="F49" s="593"/>
      <c r="G49" s="593"/>
      <c r="H49" s="612"/>
      <c r="I49" s="614"/>
      <c r="J49" s="615"/>
      <c r="K49" s="1036"/>
      <c r="L49" s="616"/>
      <c r="M49" s="617"/>
      <c r="N49" s="614"/>
      <c r="O49" s="618"/>
      <c r="P49" s="618"/>
      <c r="Q49" s="618"/>
      <c r="R49" s="618"/>
      <c r="S49" s="618"/>
      <c r="T49" s="618"/>
      <c r="U49" s="618"/>
      <c r="V49" s="618"/>
      <c r="W49" s="618"/>
      <c r="X49" s="618"/>
      <c r="Y49" s="618"/>
      <c r="Z49" s="618"/>
      <c r="AA49" s="618"/>
      <c r="AB49" s="618"/>
      <c r="AC49" s="618"/>
      <c r="AD49" s="618"/>
    </row>
    <row r="50">
      <c r="A50" s="349"/>
      <c r="B50" s="593"/>
      <c r="C50" s="593"/>
      <c r="D50" s="593"/>
      <c r="E50" s="593"/>
      <c r="F50" s="593"/>
      <c r="G50" s="593"/>
      <c r="H50" s="612"/>
      <c r="I50" s="614"/>
      <c r="J50" s="615"/>
      <c r="K50" s="1036"/>
      <c r="L50" s="616"/>
      <c r="M50" s="617"/>
      <c r="N50" s="614"/>
      <c r="O50" s="618"/>
      <c r="P50" s="618"/>
      <c r="Q50" s="618"/>
      <c r="R50" s="618"/>
      <c r="S50" s="618"/>
      <c r="T50" s="618"/>
      <c r="U50" s="618"/>
      <c r="V50" s="618"/>
      <c r="W50" s="618"/>
      <c r="X50" s="618"/>
      <c r="Y50" s="618"/>
      <c r="Z50" s="618"/>
      <c r="AA50" s="618"/>
      <c r="AB50" s="618"/>
      <c r="AC50" s="618"/>
      <c r="AD50" s="618"/>
    </row>
    <row r="51">
      <c r="A51" s="597" t="s">
        <v>792</v>
      </c>
      <c r="B51" s="598"/>
      <c r="C51" s="598"/>
      <c r="D51" s="598"/>
      <c r="E51" s="598"/>
      <c r="F51" s="598"/>
      <c r="G51" s="598"/>
      <c r="H51" s="598"/>
      <c r="I51" s="599"/>
      <c r="J51" s="599"/>
      <c r="K51" s="600"/>
      <c r="L51" s="600"/>
      <c r="M51" s="599"/>
      <c r="N51" s="599"/>
      <c r="O51" s="601"/>
      <c r="P51" s="596"/>
      <c r="Q51" s="596"/>
      <c r="R51" s="596"/>
      <c r="S51" s="596"/>
      <c r="T51" s="596"/>
      <c r="U51" s="596"/>
      <c r="V51" s="596"/>
      <c r="W51" s="596"/>
      <c r="X51" s="596"/>
      <c r="Y51" s="596"/>
      <c r="Z51" s="596"/>
      <c r="AA51" s="596"/>
      <c r="AB51" s="596"/>
      <c r="AC51" s="596"/>
      <c r="AD51" s="596"/>
    </row>
    <row r="52">
      <c r="A52" s="349" t="s">
        <v>498</v>
      </c>
      <c r="B52" s="593"/>
      <c r="C52" s="593"/>
      <c r="D52" s="593"/>
      <c r="E52" s="593" t="s">
        <v>499</v>
      </c>
      <c r="F52" s="593"/>
      <c r="G52" s="593"/>
      <c r="H52" s="621">
        <v>0.0</v>
      </c>
      <c r="I52" s="594">
        <v>0.0</v>
      </c>
      <c r="J52" s="594">
        <v>0.0</v>
      </c>
      <c r="K52" s="604" t="str">
        <f t="shared" ref="K52:K61" si="9">IF(J52&gt;0,J52/SUM($J$52:$J$60), "")</f>
        <v/>
      </c>
      <c r="L52" s="594"/>
      <c r="M52" s="584"/>
      <c r="N52" s="584"/>
      <c r="O52" s="596"/>
      <c r="P52" s="596"/>
      <c r="Q52" s="596"/>
      <c r="R52" s="596"/>
      <c r="S52" s="596"/>
      <c r="T52" s="596"/>
      <c r="U52" s="596"/>
      <c r="V52" s="596"/>
      <c r="W52" s="596"/>
      <c r="X52" s="596"/>
      <c r="Y52" s="596"/>
      <c r="Z52" s="596"/>
      <c r="AA52" s="596"/>
      <c r="AB52" s="596"/>
      <c r="AC52" s="596"/>
      <c r="AD52" s="596"/>
    </row>
    <row r="53">
      <c r="A53" s="349" t="s">
        <v>500</v>
      </c>
      <c r="B53" s="593"/>
      <c r="C53" s="593"/>
      <c r="D53" s="593"/>
      <c r="E53" s="593" t="s">
        <v>499</v>
      </c>
      <c r="F53" s="593"/>
      <c r="G53" s="593"/>
      <c r="H53" s="621">
        <v>2.0</v>
      </c>
      <c r="I53" s="594">
        <v>3000.0</v>
      </c>
      <c r="J53" s="340">
        <f>I53*2</f>
        <v>6000</v>
      </c>
      <c r="K53" s="604">
        <f t="shared" si="9"/>
        <v>0.3550295858</v>
      </c>
      <c r="L53" s="582"/>
      <c r="M53" s="584"/>
      <c r="N53" s="584"/>
      <c r="O53" s="596"/>
      <c r="P53" s="596"/>
      <c r="Q53" s="596"/>
      <c r="R53" s="596"/>
      <c r="S53" s="596"/>
      <c r="T53" s="596"/>
      <c r="U53" s="596"/>
      <c r="V53" s="596"/>
      <c r="W53" s="596"/>
      <c r="X53" s="596"/>
      <c r="Y53" s="596"/>
      <c r="Z53" s="596"/>
      <c r="AA53" s="596"/>
      <c r="AB53" s="596"/>
      <c r="AC53" s="596"/>
      <c r="AD53" s="596"/>
    </row>
    <row r="54">
      <c r="A54" s="349" t="s">
        <v>501</v>
      </c>
      <c r="B54" s="593"/>
      <c r="C54" s="593"/>
      <c r="D54" s="593"/>
      <c r="E54" s="593" t="s">
        <v>499</v>
      </c>
      <c r="F54" s="593"/>
      <c r="G54" s="593"/>
      <c r="H54" s="621">
        <v>2.0</v>
      </c>
      <c r="I54" s="594">
        <v>1000.0</v>
      </c>
      <c r="J54" s="340">
        <f t="shared" ref="J54:J56" si="10">I54</f>
        <v>1000</v>
      </c>
      <c r="K54" s="604">
        <f t="shared" si="9"/>
        <v>0.05917159763</v>
      </c>
      <c r="L54" s="582"/>
      <c r="M54" s="584"/>
      <c r="N54" s="584"/>
      <c r="O54" s="596"/>
      <c r="P54" s="596"/>
      <c r="Q54" s="596"/>
      <c r="R54" s="596"/>
      <c r="S54" s="596"/>
      <c r="T54" s="596"/>
      <c r="U54" s="596"/>
      <c r="V54" s="596"/>
      <c r="W54" s="596"/>
      <c r="X54" s="596"/>
      <c r="Y54" s="596"/>
      <c r="Z54" s="596"/>
      <c r="AA54" s="596"/>
      <c r="AB54" s="596"/>
      <c r="AC54" s="596"/>
      <c r="AD54" s="596"/>
    </row>
    <row r="55">
      <c r="A55" s="349" t="s">
        <v>502</v>
      </c>
      <c r="B55" s="593"/>
      <c r="C55" s="593"/>
      <c r="D55" s="593"/>
      <c r="E55" s="593" t="s">
        <v>499</v>
      </c>
      <c r="F55" s="593"/>
      <c r="G55" s="593"/>
      <c r="H55" s="621">
        <v>2.0</v>
      </c>
      <c r="I55" s="594">
        <v>1200.0</v>
      </c>
      <c r="J55" s="340">
        <f t="shared" si="10"/>
        <v>1200</v>
      </c>
      <c r="K55" s="604">
        <f t="shared" si="9"/>
        <v>0.07100591716</v>
      </c>
      <c r="L55" s="582"/>
      <c r="M55" s="584"/>
      <c r="N55" s="584"/>
      <c r="O55" s="596"/>
      <c r="P55" s="596"/>
      <c r="Q55" s="596"/>
      <c r="R55" s="596"/>
      <c r="S55" s="596"/>
      <c r="T55" s="596"/>
      <c r="U55" s="596"/>
      <c r="V55" s="596"/>
      <c r="W55" s="596"/>
      <c r="X55" s="596"/>
      <c r="Y55" s="596"/>
      <c r="Z55" s="596"/>
      <c r="AA55" s="596"/>
      <c r="AB55" s="596"/>
      <c r="AC55" s="596"/>
      <c r="AD55" s="596"/>
    </row>
    <row r="56">
      <c r="A56" s="349" t="s">
        <v>503</v>
      </c>
      <c r="B56" s="593"/>
      <c r="C56" s="593"/>
      <c r="D56" s="593"/>
      <c r="E56" s="593" t="s">
        <v>499</v>
      </c>
      <c r="F56" s="593"/>
      <c r="G56" s="593"/>
      <c r="H56" s="621">
        <v>3.0</v>
      </c>
      <c r="I56" s="594">
        <f>8000</f>
        <v>8000</v>
      </c>
      <c r="J56" s="340">
        <f t="shared" si="10"/>
        <v>8000</v>
      </c>
      <c r="K56" s="604">
        <f t="shared" si="9"/>
        <v>0.4733727811</v>
      </c>
      <c r="L56" s="582"/>
      <c r="M56" s="584"/>
      <c r="N56" s="584"/>
      <c r="O56" s="596"/>
      <c r="P56" s="596"/>
      <c r="Q56" s="596"/>
      <c r="R56" s="596"/>
      <c r="S56" s="596"/>
      <c r="T56" s="596"/>
      <c r="U56" s="596"/>
      <c r="V56" s="596"/>
      <c r="W56" s="596"/>
      <c r="X56" s="596"/>
      <c r="Y56" s="596"/>
      <c r="Z56" s="596"/>
      <c r="AA56" s="596"/>
      <c r="AB56" s="596"/>
      <c r="AC56" s="596"/>
      <c r="AD56" s="596"/>
    </row>
    <row r="57">
      <c r="A57" s="349" t="s">
        <v>504</v>
      </c>
      <c r="B57" s="593"/>
      <c r="C57" s="593"/>
      <c r="D57" s="593"/>
      <c r="E57" s="593" t="s">
        <v>499</v>
      </c>
      <c r="F57" s="593"/>
      <c r="G57" s="593"/>
      <c r="H57" s="621">
        <v>0.0</v>
      </c>
      <c r="I57" s="594">
        <v>0.0</v>
      </c>
      <c r="J57" s="594">
        <v>0.0</v>
      </c>
      <c r="K57" s="604" t="str">
        <f t="shared" si="9"/>
        <v/>
      </c>
      <c r="L57" s="582"/>
      <c r="M57" s="584"/>
      <c r="N57" s="584"/>
      <c r="O57" s="596"/>
      <c r="P57" s="596"/>
      <c r="Q57" s="596"/>
      <c r="R57" s="596"/>
      <c r="S57" s="596"/>
      <c r="T57" s="596"/>
      <c r="U57" s="596"/>
      <c r="V57" s="596"/>
      <c r="W57" s="596"/>
      <c r="X57" s="596"/>
      <c r="Y57" s="596"/>
      <c r="Z57" s="596"/>
      <c r="AA57" s="596"/>
      <c r="AB57" s="596"/>
      <c r="AC57" s="596"/>
      <c r="AD57" s="596"/>
    </row>
    <row r="58">
      <c r="A58" s="349" t="s">
        <v>505</v>
      </c>
      <c r="B58" s="593"/>
      <c r="C58" s="593"/>
      <c r="D58" s="593"/>
      <c r="E58" s="593" t="s">
        <v>499</v>
      </c>
      <c r="F58" s="593"/>
      <c r="G58" s="593"/>
      <c r="H58" s="621">
        <v>0.0</v>
      </c>
      <c r="I58" s="594">
        <v>0.0</v>
      </c>
      <c r="J58" s="594">
        <v>0.0</v>
      </c>
      <c r="K58" s="604" t="str">
        <f t="shared" si="9"/>
        <v/>
      </c>
      <c r="L58" s="582"/>
      <c r="M58" s="584"/>
      <c r="N58" s="584"/>
      <c r="O58" s="596"/>
      <c r="P58" s="596"/>
      <c r="Q58" s="596"/>
      <c r="R58" s="596"/>
      <c r="S58" s="596"/>
      <c r="T58" s="596"/>
      <c r="U58" s="596"/>
      <c r="V58" s="596"/>
      <c r="W58" s="596"/>
      <c r="X58" s="596"/>
      <c r="Y58" s="596"/>
      <c r="Z58" s="596"/>
      <c r="AA58" s="596"/>
      <c r="AB58" s="596"/>
      <c r="AC58" s="596"/>
      <c r="AD58" s="596"/>
    </row>
    <row r="59">
      <c r="A59" s="349" t="s">
        <v>506</v>
      </c>
      <c r="B59" s="593"/>
      <c r="C59" s="593"/>
      <c r="D59" s="593"/>
      <c r="E59" s="593" t="s">
        <v>499</v>
      </c>
      <c r="F59" s="593"/>
      <c r="G59" s="593"/>
      <c r="H59" s="621">
        <v>1.0</v>
      </c>
      <c r="I59" s="594">
        <v>300.0</v>
      </c>
      <c r="J59" s="340">
        <f t="shared" ref="J59:J60" si="11">I59</f>
        <v>300</v>
      </c>
      <c r="K59" s="604">
        <f t="shared" si="9"/>
        <v>0.01775147929</v>
      </c>
      <c r="L59" s="582"/>
      <c r="M59" s="584"/>
      <c r="N59" s="584"/>
      <c r="O59" s="596"/>
      <c r="P59" s="596"/>
      <c r="Q59" s="596"/>
      <c r="R59" s="596"/>
      <c r="S59" s="596"/>
      <c r="T59" s="596"/>
      <c r="U59" s="596"/>
      <c r="V59" s="596"/>
      <c r="W59" s="596"/>
      <c r="X59" s="596"/>
      <c r="Y59" s="596"/>
      <c r="Z59" s="596"/>
      <c r="AA59" s="596"/>
      <c r="AB59" s="596"/>
      <c r="AC59" s="596"/>
      <c r="AD59" s="596"/>
    </row>
    <row r="60">
      <c r="A60" s="349" t="s">
        <v>507</v>
      </c>
      <c r="B60" s="593"/>
      <c r="C60" s="593"/>
      <c r="D60" s="593"/>
      <c r="E60" s="593" t="s">
        <v>499</v>
      </c>
      <c r="F60" s="593"/>
      <c r="G60" s="593"/>
      <c r="H60" s="621">
        <v>1.0</v>
      </c>
      <c r="I60" s="594">
        <v>400.0</v>
      </c>
      <c r="J60" s="340">
        <f t="shared" si="11"/>
        <v>400</v>
      </c>
      <c r="K60" s="604">
        <f t="shared" si="9"/>
        <v>0.02366863905</v>
      </c>
      <c r="L60" s="582"/>
      <c r="M60" s="584"/>
      <c r="N60" s="584"/>
      <c r="O60" s="596"/>
      <c r="P60" s="596"/>
      <c r="Q60" s="596"/>
      <c r="R60" s="596"/>
      <c r="S60" s="596"/>
      <c r="T60" s="596"/>
      <c r="U60" s="596"/>
      <c r="V60" s="596"/>
      <c r="W60" s="596"/>
      <c r="X60" s="596"/>
      <c r="Y60" s="596"/>
      <c r="Z60" s="596"/>
      <c r="AA60" s="596"/>
      <c r="AB60" s="596"/>
      <c r="AC60" s="596"/>
      <c r="AD60" s="596"/>
    </row>
    <row r="61">
      <c r="A61" s="349"/>
      <c r="B61" s="620"/>
      <c r="C61" s="620"/>
      <c r="D61" s="620"/>
      <c r="E61" s="620"/>
      <c r="F61" s="620"/>
      <c r="G61" s="620"/>
      <c r="H61" s="621"/>
      <c r="I61" s="594"/>
      <c r="J61" s="340"/>
      <c r="K61" s="604" t="str">
        <f t="shared" si="9"/>
        <v/>
      </c>
      <c r="L61" s="582"/>
      <c r="M61" s="584"/>
      <c r="N61" s="584"/>
      <c r="O61" s="596"/>
      <c r="P61" s="596"/>
      <c r="Q61" s="596"/>
      <c r="R61" s="596"/>
      <c r="S61" s="596"/>
      <c r="T61" s="596"/>
      <c r="U61" s="596"/>
      <c r="V61" s="596"/>
      <c r="W61" s="596"/>
      <c r="X61" s="596"/>
      <c r="Y61" s="596"/>
      <c r="Z61" s="596"/>
      <c r="AA61" s="596"/>
      <c r="AB61" s="596"/>
      <c r="AC61" s="596"/>
      <c r="AD61" s="596"/>
    </row>
    <row r="62">
      <c r="A62" s="622"/>
      <c r="B62" s="623"/>
      <c r="C62" s="623"/>
      <c r="D62" s="623"/>
      <c r="E62" s="623"/>
      <c r="F62" s="623"/>
      <c r="G62" s="623"/>
      <c r="H62" s="623"/>
      <c r="I62" s="624">
        <f t="shared" ref="I62:K62" si="12">sum(I52:I60 )</f>
        <v>13900</v>
      </c>
      <c r="J62" s="624">
        <f t="shared" si="12"/>
        <v>16900</v>
      </c>
      <c r="K62" s="625">
        <f t="shared" si="12"/>
        <v>1</v>
      </c>
      <c r="L62" s="625"/>
      <c r="M62" s="624"/>
      <c r="N62" s="624">
        <f>sum(N9:N26 )</f>
        <v>495780</v>
      </c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Y62" s="592"/>
      <c r="Z62" s="592"/>
      <c r="AA62" s="592"/>
      <c r="AB62" s="592"/>
      <c r="AC62" s="592"/>
      <c r="AD62" s="592"/>
    </row>
    <row r="63">
      <c r="A63" s="626"/>
      <c r="B63" s="620"/>
      <c r="C63" s="620"/>
      <c r="D63" s="620"/>
      <c r="E63" s="620"/>
      <c r="F63" s="620"/>
      <c r="G63" s="620"/>
      <c r="H63" s="620"/>
      <c r="I63" s="594"/>
      <c r="J63" s="340"/>
      <c r="K63" s="582"/>
      <c r="L63" s="582"/>
      <c r="M63" s="594"/>
      <c r="N63" s="340"/>
      <c r="O63" s="627"/>
      <c r="P63" s="627"/>
      <c r="Q63" s="627"/>
      <c r="R63" s="627"/>
      <c r="S63" s="627"/>
      <c r="T63" s="627"/>
      <c r="U63" s="627"/>
      <c r="V63" s="627"/>
      <c r="W63" s="627"/>
      <c r="X63" s="627"/>
      <c r="Y63" s="627"/>
      <c r="Z63" s="627"/>
      <c r="AA63" s="627"/>
      <c r="AB63" s="627"/>
      <c r="AC63" s="627"/>
      <c r="AD63" s="627"/>
    </row>
    <row r="64">
      <c r="A64" s="597" t="s">
        <v>793</v>
      </c>
      <c r="B64" s="598"/>
      <c r="C64" s="598"/>
      <c r="D64" s="598"/>
      <c r="E64" s="598"/>
      <c r="F64" s="598"/>
      <c r="G64" s="598"/>
      <c r="H64" s="598"/>
      <c r="I64" s="628"/>
      <c r="J64" s="599"/>
      <c r="K64" s="629"/>
      <c r="L64" s="629"/>
      <c r="M64" s="599"/>
      <c r="N64" s="599"/>
      <c r="O64" s="601"/>
      <c r="P64" s="596"/>
      <c r="Q64" s="596"/>
      <c r="R64" s="596"/>
      <c r="S64" s="596"/>
      <c r="T64" s="596"/>
      <c r="U64" s="596"/>
      <c r="V64" s="596"/>
      <c r="W64" s="596"/>
      <c r="X64" s="596"/>
      <c r="Y64" s="596"/>
      <c r="Z64" s="596"/>
      <c r="AA64" s="596"/>
      <c r="AB64" s="596"/>
      <c r="AC64" s="596"/>
      <c r="AD64" s="596"/>
    </row>
    <row r="65">
      <c r="A65" s="110" t="s">
        <v>513</v>
      </c>
      <c r="B65" s="593"/>
      <c r="C65" s="593"/>
      <c r="D65" s="593"/>
      <c r="E65" s="593" t="s">
        <v>510</v>
      </c>
      <c r="F65" s="593"/>
      <c r="G65" s="593"/>
      <c r="H65" s="1037">
        <v>17.0</v>
      </c>
      <c r="I65" s="594">
        <f>H65*330</f>
        <v>5610</v>
      </c>
      <c r="J65" s="340">
        <f>H65*196</f>
        <v>3332</v>
      </c>
      <c r="K65" s="1038">
        <f t="shared" ref="K65:K79" si="13">IF(J65&gt;0,J65/SUM($J$65:$J$86), "")</f>
        <v>0.880511235</v>
      </c>
      <c r="L65" s="582"/>
      <c r="M65" s="594"/>
      <c r="N65" s="594"/>
      <c r="O65" s="631"/>
      <c r="P65" s="631"/>
      <c r="Q65" s="631"/>
      <c r="R65" s="631"/>
      <c r="S65" s="631"/>
      <c r="T65" s="631"/>
      <c r="U65" s="631"/>
      <c r="V65" s="631"/>
      <c r="W65" s="631"/>
      <c r="X65" s="631"/>
      <c r="Y65" s="631"/>
      <c r="Z65" s="631"/>
      <c r="AA65" s="631"/>
      <c r="AB65" s="631"/>
      <c r="AC65" s="631"/>
      <c r="AD65" s="631"/>
    </row>
    <row r="66">
      <c r="A66" s="110" t="s">
        <v>512</v>
      </c>
      <c r="B66" s="593"/>
      <c r="C66" s="593"/>
      <c r="D66" s="593"/>
      <c r="E66" s="593" t="s">
        <v>510</v>
      </c>
      <c r="F66" s="593"/>
      <c r="G66" s="593"/>
      <c r="H66" s="1037">
        <v>2.0</v>
      </c>
      <c r="I66" s="594">
        <f>9*H66</f>
        <v>18</v>
      </c>
      <c r="J66" s="340">
        <f>H66*56.77</f>
        <v>113.54</v>
      </c>
      <c r="K66" s="1038">
        <f t="shared" si="13"/>
        <v>0.03000397528</v>
      </c>
      <c r="L66" s="582"/>
      <c r="M66" s="594"/>
      <c r="N66" s="594"/>
      <c r="O66" s="631"/>
      <c r="P66" s="631"/>
      <c r="Q66" s="631"/>
      <c r="R66" s="631"/>
      <c r="S66" s="631"/>
      <c r="T66" s="631"/>
      <c r="U66" s="631"/>
      <c r="V66" s="631"/>
      <c r="W66" s="631"/>
      <c r="X66" s="631"/>
      <c r="Y66" s="631"/>
      <c r="Z66" s="631"/>
      <c r="AA66" s="631"/>
      <c r="AB66" s="631"/>
      <c r="AC66" s="631"/>
      <c r="AD66" s="631"/>
    </row>
    <row r="67">
      <c r="A67" s="110" t="s">
        <v>514</v>
      </c>
      <c r="B67" s="593"/>
      <c r="C67" s="593"/>
      <c r="D67" s="593"/>
      <c r="E67" s="593" t="s">
        <v>510</v>
      </c>
      <c r="F67" s="593"/>
      <c r="G67" s="593"/>
      <c r="H67" s="1037">
        <v>2.0</v>
      </c>
      <c r="I67" s="594">
        <v>0.0</v>
      </c>
      <c r="J67" s="340">
        <f>H67*43.69</f>
        <v>87.38</v>
      </c>
      <c r="K67" s="1038">
        <f t="shared" si="13"/>
        <v>0.0230909579</v>
      </c>
      <c r="L67" s="582"/>
      <c r="M67" s="594"/>
      <c r="N67" s="594"/>
      <c r="O67" s="631"/>
      <c r="P67" s="631"/>
      <c r="Q67" s="631"/>
      <c r="R67" s="631"/>
      <c r="S67" s="631"/>
      <c r="T67" s="631"/>
      <c r="U67" s="631"/>
      <c r="V67" s="631"/>
      <c r="W67" s="631"/>
      <c r="X67" s="631"/>
      <c r="Y67" s="631"/>
      <c r="Z67" s="631"/>
      <c r="AA67" s="631"/>
      <c r="AB67" s="631"/>
      <c r="AC67" s="631"/>
      <c r="AD67" s="631"/>
    </row>
    <row r="68">
      <c r="A68" s="110" t="s">
        <v>515</v>
      </c>
      <c r="B68" s="593"/>
      <c r="C68" s="593"/>
      <c r="D68" s="593"/>
      <c r="E68" s="593" t="s">
        <v>510</v>
      </c>
      <c r="F68" s="593"/>
      <c r="G68" s="593"/>
      <c r="H68" s="1037">
        <v>4.0</v>
      </c>
      <c r="I68" s="594">
        <f>H68*13.04</f>
        <v>52.16</v>
      </c>
      <c r="J68" s="594">
        <f>$H$68*13.04</f>
        <v>52.16</v>
      </c>
      <c r="K68" s="1038">
        <f t="shared" si="13"/>
        <v>0.01378375331</v>
      </c>
      <c r="L68" s="582"/>
      <c r="M68" s="594"/>
      <c r="N68" s="594"/>
      <c r="O68" s="631"/>
      <c r="P68" s="631"/>
      <c r="Q68" s="631"/>
      <c r="R68" s="631"/>
      <c r="S68" s="631"/>
      <c r="T68" s="631"/>
      <c r="U68" s="631"/>
      <c r="V68" s="631"/>
      <c r="W68" s="631"/>
      <c r="X68" s="631"/>
      <c r="Y68" s="631"/>
      <c r="Z68" s="631"/>
      <c r="AA68" s="631"/>
      <c r="AB68" s="631"/>
      <c r="AC68" s="631"/>
      <c r="AD68" s="631"/>
    </row>
    <row r="69">
      <c r="A69" s="471" t="s">
        <v>516</v>
      </c>
      <c r="B69" s="593"/>
      <c r="C69" s="593"/>
      <c r="D69" s="593"/>
      <c r="E69" s="593" t="s">
        <v>510</v>
      </c>
      <c r="F69" s="593"/>
      <c r="G69" s="593"/>
      <c r="H69" s="1037">
        <v>0.077</v>
      </c>
      <c r="I69" s="594">
        <v>0.0</v>
      </c>
      <c r="J69" s="594">
        <f>H69*469.5</f>
        <v>36.1515</v>
      </c>
      <c r="K69" s="1038">
        <f t="shared" si="13"/>
        <v>0.009553361918</v>
      </c>
      <c r="L69" s="582"/>
      <c r="M69" s="594"/>
      <c r="N69" s="594"/>
      <c r="O69" s="631"/>
      <c r="P69" s="631"/>
      <c r="Q69" s="631"/>
      <c r="R69" s="631"/>
      <c r="S69" s="631"/>
      <c r="T69" s="631"/>
      <c r="U69" s="631"/>
      <c r="V69" s="631"/>
      <c r="W69" s="631"/>
      <c r="X69" s="631"/>
      <c r="Y69" s="631"/>
      <c r="Z69" s="631"/>
      <c r="AA69" s="631"/>
      <c r="AB69" s="631"/>
      <c r="AC69" s="631"/>
      <c r="AD69" s="631"/>
    </row>
    <row r="70">
      <c r="A70" s="110" t="s">
        <v>517</v>
      </c>
      <c r="B70" s="593"/>
      <c r="C70" s="593"/>
      <c r="D70" s="593"/>
      <c r="E70" s="593" t="s">
        <v>510</v>
      </c>
      <c r="F70" s="593"/>
      <c r="G70" s="593"/>
      <c r="H70" s="1037">
        <v>0.109</v>
      </c>
      <c r="I70" s="594">
        <v>0.0</v>
      </c>
      <c r="J70" s="594">
        <f>H70*272.97</f>
        <v>29.75373</v>
      </c>
      <c r="K70" s="1038">
        <f t="shared" si="13"/>
        <v>0.007862693141</v>
      </c>
      <c r="L70" s="582"/>
      <c r="M70" s="594"/>
      <c r="N70" s="594"/>
      <c r="O70" s="631"/>
      <c r="P70" s="631"/>
      <c r="Q70" s="631"/>
      <c r="R70" s="631"/>
      <c r="S70" s="631"/>
      <c r="T70" s="631"/>
      <c r="U70" s="631"/>
      <c r="V70" s="631"/>
      <c r="W70" s="631"/>
      <c r="X70" s="631"/>
      <c r="Y70" s="631"/>
      <c r="Z70" s="631"/>
      <c r="AA70" s="631"/>
      <c r="AB70" s="631"/>
      <c r="AC70" s="631"/>
      <c r="AD70" s="631"/>
    </row>
    <row r="71">
      <c r="A71" s="110" t="s">
        <v>518</v>
      </c>
      <c r="B71" s="593"/>
      <c r="C71" s="593"/>
      <c r="D71" s="593"/>
      <c r="E71" s="593" t="s">
        <v>510</v>
      </c>
      <c r="F71" s="593"/>
      <c r="G71" s="593"/>
      <c r="H71" s="1037">
        <v>0.0</v>
      </c>
      <c r="I71" s="594">
        <v>0.0</v>
      </c>
      <c r="J71" s="340">
        <v>25.0</v>
      </c>
      <c r="K71" s="1038">
        <f t="shared" si="13"/>
        <v>0.006606476853</v>
      </c>
      <c r="L71" s="582"/>
      <c r="M71" s="594"/>
      <c r="N71" s="594"/>
      <c r="O71" s="631"/>
      <c r="P71" s="631"/>
      <c r="Q71" s="631"/>
      <c r="R71" s="631"/>
      <c r="S71" s="631"/>
      <c r="T71" s="631"/>
      <c r="U71" s="631"/>
      <c r="V71" s="631"/>
      <c r="W71" s="631"/>
      <c r="X71" s="631"/>
      <c r="Y71" s="631"/>
      <c r="Z71" s="631"/>
      <c r="AA71" s="631"/>
      <c r="AB71" s="631"/>
      <c r="AC71" s="631"/>
      <c r="AD71" s="631"/>
    </row>
    <row r="72">
      <c r="A72" s="110" t="s">
        <v>519</v>
      </c>
      <c r="B72" s="593"/>
      <c r="C72" s="593"/>
      <c r="D72" s="593"/>
      <c r="E72" s="593" t="s">
        <v>510</v>
      </c>
      <c r="F72" s="593"/>
      <c r="G72" s="593"/>
      <c r="H72" s="1037">
        <v>15.0</v>
      </c>
      <c r="I72" s="594">
        <v>80.0</v>
      </c>
      <c r="J72" s="340">
        <f>H72*5.54</f>
        <v>83.1</v>
      </c>
      <c r="K72" s="1038">
        <f t="shared" si="13"/>
        <v>0.02195992906</v>
      </c>
      <c r="L72" s="582"/>
      <c r="M72" s="594"/>
      <c r="N72" s="594"/>
      <c r="O72" s="631"/>
      <c r="P72" s="631"/>
      <c r="Q72" s="631"/>
      <c r="R72" s="631"/>
      <c r="S72" s="631"/>
      <c r="T72" s="631"/>
      <c r="U72" s="631"/>
      <c r="V72" s="631"/>
      <c r="W72" s="631"/>
      <c r="X72" s="631"/>
      <c r="Y72" s="631"/>
      <c r="Z72" s="631"/>
      <c r="AA72" s="631"/>
      <c r="AB72" s="631"/>
      <c r="AC72" s="631"/>
      <c r="AD72" s="631"/>
    </row>
    <row r="73">
      <c r="A73" s="110" t="s">
        <v>520</v>
      </c>
      <c r="B73" s="593"/>
      <c r="C73" s="593"/>
      <c r="D73" s="593"/>
      <c r="E73" s="593" t="s">
        <v>510</v>
      </c>
      <c r="F73" s="593"/>
      <c r="G73" s="593"/>
      <c r="H73" s="1037">
        <v>6.0</v>
      </c>
      <c r="I73" s="594">
        <v>20.0</v>
      </c>
      <c r="J73" s="340">
        <f>H73*4.18</f>
        <v>25.08</v>
      </c>
      <c r="K73" s="1038">
        <f t="shared" si="13"/>
        <v>0.006627617579</v>
      </c>
      <c r="L73" s="582"/>
      <c r="M73" s="594"/>
      <c r="N73" s="594"/>
      <c r="O73" s="631"/>
      <c r="P73" s="631"/>
      <c r="Q73" s="631"/>
      <c r="R73" s="631"/>
      <c r="S73" s="631"/>
      <c r="T73" s="631"/>
      <c r="U73" s="631"/>
      <c r="V73" s="631"/>
      <c r="W73" s="631"/>
      <c r="X73" s="631"/>
      <c r="Y73" s="631"/>
      <c r="Z73" s="631"/>
      <c r="AA73" s="631"/>
      <c r="AB73" s="631"/>
      <c r="AC73" s="631"/>
      <c r="AD73" s="631"/>
    </row>
    <row r="74">
      <c r="A74" s="471" t="s">
        <v>521</v>
      </c>
      <c r="B74" s="593"/>
      <c r="C74" s="593"/>
      <c r="D74" s="593"/>
      <c r="E74" s="593" t="s">
        <v>510</v>
      </c>
      <c r="F74" s="593"/>
      <c r="G74" s="593"/>
      <c r="H74" s="1037">
        <v>0.0</v>
      </c>
      <c r="I74" s="594">
        <v>0.0</v>
      </c>
      <c r="J74" s="594">
        <v>0.0</v>
      </c>
      <c r="K74" s="1038" t="str">
        <f t="shared" si="13"/>
        <v/>
      </c>
      <c r="L74" s="582"/>
      <c r="M74" s="594"/>
      <c r="N74" s="594"/>
      <c r="O74" s="631"/>
      <c r="P74" s="631"/>
      <c r="Q74" s="631"/>
      <c r="R74" s="631"/>
      <c r="S74" s="631"/>
      <c r="T74" s="631"/>
      <c r="U74" s="631"/>
      <c r="V74" s="631"/>
      <c r="W74" s="631"/>
      <c r="X74" s="631"/>
      <c r="Y74" s="631"/>
      <c r="Z74" s="631"/>
      <c r="AA74" s="631"/>
      <c r="AB74" s="631"/>
      <c r="AC74" s="631"/>
      <c r="AD74" s="631"/>
    </row>
    <row r="75">
      <c r="A75" s="471" t="s">
        <v>511</v>
      </c>
      <c r="B75" s="593"/>
      <c r="C75" s="593"/>
      <c r="D75" s="593"/>
      <c r="E75" s="593" t="s">
        <v>510</v>
      </c>
      <c r="F75" s="593"/>
      <c r="G75" s="593"/>
      <c r="H75" s="1037">
        <v>0.0</v>
      </c>
      <c r="I75" s="594">
        <v>0.0</v>
      </c>
      <c r="J75" s="594">
        <v>0.0</v>
      </c>
      <c r="K75" s="1038" t="str">
        <f t="shared" si="13"/>
        <v/>
      </c>
      <c r="L75" s="582"/>
      <c r="M75" s="594"/>
      <c r="N75" s="594"/>
      <c r="O75" s="631"/>
      <c r="P75" s="631"/>
      <c r="Q75" s="631"/>
      <c r="R75" s="631"/>
      <c r="S75" s="631"/>
      <c r="T75" s="631"/>
      <c r="U75" s="631"/>
      <c r="V75" s="631"/>
      <c r="W75" s="631"/>
      <c r="X75" s="631"/>
      <c r="Y75" s="631"/>
      <c r="Z75" s="631"/>
      <c r="AA75" s="631"/>
      <c r="AB75" s="631"/>
      <c r="AC75" s="631"/>
      <c r="AD75" s="631"/>
    </row>
    <row r="76">
      <c r="A76" s="110" t="s">
        <v>522</v>
      </c>
      <c r="B76" s="593"/>
      <c r="C76" s="593"/>
      <c r="D76" s="593"/>
      <c r="E76" s="593" t="s">
        <v>510</v>
      </c>
      <c r="F76" s="593"/>
      <c r="G76" s="593"/>
      <c r="H76" s="1037">
        <v>0.0</v>
      </c>
      <c r="I76" s="594">
        <v>0.0</v>
      </c>
      <c r="J76" s="594">
        <v>0.0</v>
      </c>
      <c r="K76" s="1038" t="str">
        <f t="shared" si="13"/>
        <v/>
      </c>
      <c r="L76" s="582"/>
      <c r="M76" s="594"/>
      <c r="N76" s="594"/>
      <c r="O76" s="631"/>
      <c r="P76" s="631"/>
      <c r="Q76" s="631"/>
      <c r="R76" s="631"/>
      <c r="S76" s="631"/>
      <c r="T76" s="631"/>
      <c r="U76" s="631"/>
      <c r="V76" s="631"/>
      <c r="W76" s="631"/>
      <c r="X76" s="631"/>
      <c r="Y76" s="631"/>
      <c r="Z76" s="631"/>
      <c r="AA76" s="631"/>
      <c r="AB76" s="631"/>
      <c r="AC76" s="631"/>
      <c r="AD76" s="631"/>
    </row>
    <row r="77">
      <c r="A77" s="110" t="s">
        <v>523</v>
      </c>
      <c r="B77" s="593"/>
      <c r="C77" s="593"/>
      <c r="D77" s="593"/>
      <c r="E77" s="593" t="s">
        <v>510</v>
      </c>
      <c r="F77" s="593"/>
      <c r="G77" s="593"/>
      <c r="H77" s="1037">
        <v>0.0</v>
      </c>
      <c r="I77" s="594">
        <v>0.0</v>
      </c>
      <c r="J77" s="594">
        <v>0.0</v>
      </c>
      <c r="K77" s="1038" t="str">
        <f t="shared" si="13"/>
        <v/>
      </c>
      <c r="L77" s="582"/>
      <c r="M77" s="594"/>
      <c r="N77" s="594"/>
      <c r="O77" s="631"/>
      <c r="P77" s="631"/>
      <c r="Q77" s="631"/>
      <c r="R77" s="631"/>
      <c r="S77" s="631"/>
      <c r="T77" s="631"/>
      <c r="U77" s="631"/>
      <c r="V77" s="631"/>
      <c r="W77" s="631"/>
      <c r="X77" s="631"/>
      <c r="Y77" s="631"/>
      <c r="Z77" s="631"/>
      <c r="AA77" s="631"/>
      <c r="AB77" s="631"/>
      <c r="AC77" s="631"/>
      <c r="AD77" s="631"/>
    </row>
    <row r="78">
      <c r="A78" s="110" t="s">
        <v>524</v>
      </c>
      <c r="B78" s="593"/>
      <c r="C78" s="593"/>
      <c r="D78" s="593"/>
      <c r="E78" s="593" t="s">
        <v>510</v>
      </c>
      <c r="F78" s="593"/>
      <c r="G78" s="593"/>
      <c r="H78" s="1037">
        <v>0.0</v>
      </c>
      <c r="I78" s="594">
        <v>0.0</v>
      </c>
      <c r="J78" s="594">
        <v>0.0</v>
      </c>
      <c r="K78" s="1038" t="str">
        <f t="shared" si="13"/>
        <v/>
      </c>
      <c r="L78" s="582"/>
      <c r="M78" s="594"/>
      <c r="N78" s="594"/>
      <c r="O78" s="631"/>
      <c r="P78" s="631"/>
      <c r="Q78" s="631"/>
      <c r="R78" s="631"/>
      <c r="S78" s="631"/>
      <c r="T78" s="631"/>
      <c r="U78" s="631"/>
      <c r="V78" s="631"/>
      <c r="W78" s="631"/>
      <c r="X78" s="631"/>
      <c r="Y78" s="631"/>
      <c r="Z78" s="631"/>
      <c r="AA78" s="631"/>
      <c r="AB78" s="631"/>
      <c r="AC78" s="631"/>
      <c r="AD78" s="631"/>
    </row>
    <row r="79" ht="18.0" customHeight="1">
      <c r="A79" s="471" t="s">
        <v>525</v>
      </c>
      <c r="B79" s="593"/>
      <c r="C79" s="593"/>
      <c r="D79" s="593"/>
      <c r="E79" s="593" t="s">
        <v>510</v>
      </c>
      <c r="F79" s="593"/>
      <c r="G79" s="593"/>
      <c r="H79" s="1037">
        <v>0.0</v>
      </c>
      <c r="I79" s="594">
        <v>0.0</v>
      </c>
      <c r="J79" s="594">
        <v>0.0</v>
      </c>
      <c r="K79" s="1038" t="str">
        <f t="shared" si="13"/>
        <v/>
      </c>
      <c r="L79" s="582"/>
      <c r="M79" s="594"/>
      <c r="N79" s="594"/>
      <c r="O79" s="631"/>
      <c r="P79" s="631"/>
      <c r="Q79" s="631"/>
      <c r="R79" s="631"/>
      <c r="S79" s="631"/>
      <c r="T79" s="631"/>
      <c r="U79" s="631"/>
      <c r="V79" s="631"/>
      <c r="W79" s="631"/>
      <c r="X79" s="631"/>
      <c r="Y79" s="631"/>
      <c r="Z79" s="631"/>
      <c r="AA79" s="631"/>
      <c r="AB79" s="631"/>
      <c r="AC79" s="631"/>
      <c r="AD79" s="631"/>
    </row>
    <row r="80" hidden="1">
      <c r="A80" s="632" t="s">
        <v>526</v>
      </c>
      <c r="B80" s="593"/>
      <c r="C80" s="593"/>
      <c r="D80" s="593"/>
      <c r="E80" s="593"/>
      <c r="F80" s="593"/>
      <c r="G80" s="593"/>
      <c r="H80" s="633">
        <v>0.0</v>
      </c>
      <c r="I80" s="634">
        <v>0.0</v>
      </c>
      <c r="J80" s="635">
        <v>0.0</v>
      </c>
      <c r="K80" s="636" t="str">
        <f t="shared" ref="K80:K86" si="14">IF(J80&gt;0,J80/SUM($J$66:$J$86), "")</f>
        <v/>
      </c>
      <c r="L80" s="637"/>
      <c r="M80" s="638">
        <v>0.0</v>
      </c>
      <c r="N80" s="638">
        <f t="shared" ref="N80:N86" si="15">M80*2</f>
        <v>0</v>
      </c>
      <c r="O80" s="639"/>
      <c r="P80" s="639"/>
      <c r="Q80" s="639"/>
      <c r="R80" s="639"/>
      <c r="S80" s="639"/>
      <c r="T80" s="639"/>
      <c r="U80" s="639"/>
      <c r="V80" s="639"/>
      <c r="W80" s="639"/>
      <c r="X80" s="639"/>
      <c r="Y80" s="639"/>
      <c r="Z80" s="639"/>
      <c r="AA80" s="639"/>
      <c r="AB80" s="639"/>
      <c r="AC80" s="639"/>
      <c r="AD80" s="639"/>
    </row>
    <row r="81" hidden="1">
      <c r="A81" s="632" t="s">
        <v>527</v>
      </c>
      <c r="B81" s="593"/>
      <c r="C81" s="593"/>
      <c r="D81" s="593"/>
      <c r="E81" s="593"/>
      <c r="F81" s="593"/>
      <c r="G81" s="593"/>
      <c r="H81" s="633">
        <v>0.0</v>
      </c>
      <c r="I81" s="634">
        <v>0.0</v>
      </c>
      <c r="J81" s="635">
        <v>0.0</v>
      </c>
      <c r="K81" s="636" t="str">
        <f t="shared" si="14"/>
        <v/>
      </c>
      <c r="L81" s="637"/>
      <c r="M81" s="638">
        <v>0.0</v>
      </c>
      <c r="N81" s="638">
        <f t="shared" si="15"/>
        <v>0</v>
      </c>
      <c r="O81" s="639"/>
      <c r="P81" s="639"/>
      <c r="Q81" s="639"/>
      <c r="R81" s="639"/>
      <c r="S81" s="639"/>
      <c r="T81" s="639"/>
      <c r="U81" s="639"/>
      <c r="V81" s="639"/>
      <c r="W81" s="639"/>
      <c r="X81" s="639"/>
      <c r="Y81" s="639"/>
      <c r="Z81" s="639"/>
      <c r="AA81" s="639"/>
      <c r="AB81" s="639"/>
      <c r="AC81" s="639"/>
      <c r="AD81" s="639"/>
    </row>
    <row r="82" hidden="1">
      <c r="A82" s="632" t="s">
        <v>528</v>
      </c>
      <c r="B82" s="593"/>
      <c r="C82" s="593"/>
      <c r="D82" s="593"/>
      <c r="E82" s="593"/>
      <c r="F82" s="593"/>
      <c r="G82" s="593"/>
      <c r="H82" s="633">
        <v>0.0</v>
      </c>
      <c r="I82" s="634">
        <v>0.0</v>
      </c>
      <c r="J82" s="635">
        <v>0.0</v>
      </c>
      <c r="K82" s="636" t="str">
        <f t="shared" si="14"/>
        <v/>
      </c>
      <c r="L82" s="637"/>
      <c r="M82" s="638">
        <v>0.0</v>
      </c>
      <c r="N82" s="638">
        <f t="shared" si="15"/>
        <v>0</v>
      </c>
      <c r="O82" s="639"/>
      <c r="P82" s="639"/>
      <c r="Q82" s="639"/>
      <c r="R82" s="639"/>
      <c r="S82" s="639"/>
      <c r="T82" s="639"/>
      <c r="U82" s="639"/>
      <c r="V82" s="639"/>
      <c r="W82" s="639"/>
      <c r="X82" s="639"/>
      <c r="Y82" s="639"/>
      <c r="Z82" s="639"/>
      <c r="AA82" s="639"/>
      <c r="AB82" s="639"/>
      <c r="AC82" s="639"/>
      <c r="AD82" s="639"/>
    </row>
    <row r="83" hidden="1">
      <c r="A83" s="632" t="s">
        <v>529</v>
      </c>
      <c r="B83" s="593"/>
      <c r="C83" s="593"/>
      <c r="D83" s="593"/>
      <c r="E83" s="593"/>
      <c r="F83" s="593"/>
      <c r="G83" s="593"/>
      <c r="H83" s="633">
        <v>0.0</v>
      </c>
      <c r="I83" s="638">
        <v>0.0</v>
      </c>
      <c r="J83" s="635">
        <v>0.0</v>
      </c>
      <c r="K83" s="636" t="str">
        <f t="shared" si="14"/>
        <v/>
      </c>
      <c r="L83" s="637"/>
      <c r="M83" s="638">
        <v>0.0</v>
      </c>
      <c r="N83" s="638">
        <f t="shared" si="15"/>
        <v>0</v>
      </c>
      <c r="O83" s="639"/>
      <c r="P83" s="639"/>
      <c r="Q83" s="639"/>
      <c r="R83" s="639"/>
      <c r="S83" s="639"/>
      <c r="T83" s="639"/>
      <c r="U83" s="639"/>
      <c r="V83" s="639"/>
      <c r="W83" s="639"/>
      <c r="X83" s="639"/>
      <c r="Y83" s="639"/>
      <c r="Z83" s="639"/>
      <c r="AA83" s="639"/>
      <c r="AB83" s="639"/>
      <c r="AC83" s="639"/>
      <c r="AD83" s="639"/>
    </row>
    <row r="84" hidden="1">
      <c r="A84" s="632" t="s">
        <v>530</v>
      </c>
      <c r="B84" s="593"/>
      <c r="C84" s="593"/>
      <c r="D84" s="593"/>
      <c r="E84" s="593"/>
      <c r="F84" s="593"/>
      <c r="G84" s="593"/>
      <c r="H84" s="633">
        <v>0.0</v>
      </c>
      <c r="I84" s="638">
        <v>0.0</v>
      </c>
      <c r="J84" s="635">
        <v>0.0</v>
      </c>
      <c r="K84" s="636" t="str">
        <f t="shared" si="14"/>
        <v/>
      </c>
      <c r="L84" s="637"/>
      <c r="M84" s="638">
        <v>0.0</v>
      </c>
      <c r="N84" s="638">
        <f t="shared" si="15"/>
        <v>0</v>
      </c>
      <c r="O84" s="639"/>
      <c r="P84" s="639"/>
      <c r="Q84" s="639"/>
      <c r="R84" s="639"/>
      <c r="S84" s="639"/>
      <c r="T84" s="639"/>
      <c r="U84" s="639"/>
      <c r="V84" s="639"/>
      <c r="W84" s="639"/>
      <c r="X84" s="639"/>
      <c r="Y84" s="639"/>
      <c r="Z84" s="639"/>
      <c r="AA84" s="639"/>
      <c r="AB84" s="639"/>
      <c r="AC84" s="639"/>
      <c r="AD84" s="639"/>
    </row>
    <row r="85" hidden="1">
      <c r="A85" s="632" t="s">
        <v>531</v>
      </c>
      <c r="B85" s="593"/>
      <c r="C85" s="593"/>
      <c r="D85" s="593"/>
      <c r="E85" s="593"/>
      <c r="F85" s="593"/>
      <c r="G85" s="593"/>
      <c r="H85" s="633">
        <v>0.0</v>
      </c>
      <c r="I85" s="638">
        <v>0.0</v>
      </c>
      <c r="J85" s="635">
        <v>0.0</v>
      </c>
      <c r="K85" s="636" t="str">
        <f t="shared" si="14"/>
        <v/>
      </c>
      <c r="L85" s="637"/>
      <c r="M85" s="638">
        <v>0.0</v>
      </c>
      <c r="N85" s="638">
        <f t="shared" si="15"/>
        <v>0</v>
      </c>
      <c r="O85" s="639"/>
      <c r="P85" s="639"/>
      <c r="Q85" s="639"/>
      <c r="R85" s="639"/>
      <c r="S85" s="639"/>
      <c r="T85" s="639"/>
      <c r="U85" s="639"/>
      <c r="V85" s="639"/>
      <c r="W85" s="639"/>
      <c r="X85" s="639"/>
      <c r="Y85" s="639"/>
      <c r="Z85" s="639"/>
      <c r="AA85" s="639"/>
      <c r="AB85" s="639"/>
      <c r="AC85" s="639"/>
      <c r="AD85" s="639"/>
    </row>
    <row r="86" hidden="1">
      <c r="A86" s="632" t="s">
        <v>532</v>
      </c>
      <c r="B86" s="593"/>
      <c r="C86" s="593"/>
      <c r="D86" s="593"/>
      <c r="E86" s="593"/>
      <c r="F86" s="593"/>
      <c r="G86" s="593"/>
      <c r="H86" s="633">
        <v>0.0</v>
      </c>
      <c r="I86" s="638">
        <v>0.0</v>
      </c>
      <c r="J86" s="635">
        <v>0.0</v>
      </c>
      <c r="K86" s="636" t="str">
        <f t="shared" si="14"/>
        <v/>
      </c>
      <c r="L86" s="637"/>
      <c r="M86" s="638">
        <v>0.0</v>
      </c>
      <c r="N86" s="638">
        <f t="shared" si="15"/>
        <v>0</v>
      </c>
      <c r="O86" s="639"/>
      <c r="P86" s="639"/>
      <c r="Q86" s="639"/>
      <c r="R86" s="639"/>
      <c r="S86" s="639"/>
      <c r="T86" s="639"/>
      <c r="U86" s="639"/>
      <c r="V86" s="639"/>
      <c r="W86" s="639"/>
      <c r="X86" s="639"/>
      <c r="Y86" s="639"/>
      <c r="Z86" s="639"/>
      <c r="AA86" s="639"/>
      <c r="AB86" s="639"/>
      <c r="AC86" s="639"/>
      <c r="AD86" s="639"/>
    </row>
    <row r="87">
      <c r="A87" s="586"/>
      <c r="B87" s="587"/>
      <c r="C87" s="587"/>
      <c r="D87" s="587"/>
      <c r="E87" s="587"/>
      <c r="F87" s="587"/>
      <c r="G87" s="587"/>
      <c r="H87" s="587"/>
      <c r="I87" s="624">
        <f>sum(I65:I86 )</f>
        <v>5780.16</v>
      </c>
      <c r="J87" s="624">
        <f>sum(J65:J79 )</f>
        <v>3784.16523</v>
      </c>
      <c r="K87" s="640">
        <f>SUBTOTAL(109,K$65:K$86)</f>
        <v>1</v>
      </c>
      <c r="L87" s="590"/>
      <c r="M87" s="591"/>
      <c r="N87" s="591"/>
      <c r="O87" s="592"/>
      <c r="P87" s="592"/>
      <c r="Q87" s="592"/>
      <c r="R87" s="592"/>
      <c r="S87" s="592"/>
      <c r="T87" s="592"/>
      <c r="U87" s="592"/>
      <c r="V87" s="592"/>
      <c r="W87" s="592"/>
      <c r="X87" s="592"/>
      <c r="Y87" s="592"/>
      <c r="Z87" s="592"/>
      <c r="AA87" s="592"/>
      <c r="AB87" s="592"/>
      <c r="AC87" s="592"/>
      <c r="AD87" s="592"/>
    </row>
    <row r="88">
      <c r="A88" s="110"/>
      <c r="B88" s="593"/>
      <c r="C88" s="593"/>
      <c r="D88" s="593"/>
      <c r="E88" s="593"/>
      <c r="F88" s="593"/>
      <c r="G88" s="593"/>
      <c r="H88" s="593"/>
      <c r="I88" s="594"/>
      <c r="J88" s="340"/>
      <c r="K88" s="582"/>
      <c r="L88" s="582"/>
      <c r="M88" s="594"/>
      <c r="N88" s="594"/>
      <c r="O88" s="631"/>
      <c r="P88" s="631"/>
      <c r="Q88" s="631"/>
      <c r="R88" s="631"/>
      <c r="S88" s="631"/>
      <c r="T88" s="631"/>
      <c r="U88" s="631"/>
      <c r="V88" s="631"/>
      <c r="W88" s="631"/>
      <c r="X88" s="631"/>
      <c r="Y88" s="631"/>
      <c r="Z88" s="631"/>
      <c r="AA88" s="631"/>
      <c r="AB88" s="631"/>
      <c r="AC88" s="631"/>
      <c r="AD88" s="631"/>
    </row>
    <row r="89" hidden="1">
      <c r="A89" s="597" t="s">
        <v>533</v>
      </c>
      <c r="B89" s="598"/>
      <c r="C89" s="598"/>
      <c r="D89" s="598"/>
      <c r="E89" s="598"/>
      <c r="F89" s="598"/>
      <c r="G89" s="598"/>
      <c r="H89" s="598"/>
      <c r="I89" s="628"/>
      <c r="J89" s="599"/>
      <c r="K89" s="629"/>
      <c r="L89" s="629"/>
      <c r="M89" s="599"/>
      <c r="N89" s="599"/>
      <c r="O89" s="601"/>
      <c r="P89" s="596"/>
      <c r="Q89" s="596"/>
      <c r="R89" s="596"/>
      <c r="S89" s="596"/>
      <c r="T89" s="596"/>
      <c r="U89" s="596"/>
      <c r="V89" s="596"/>
      <c r="W89" s="596"/>
      <c r="X89" s="596"/>
      <c r="Y89" s="596"/>
      <c r="Z89" s="596"/>
      <c r="AA89" s="596"/>
      <c r="AB89" s="596"/>
      <c r="AC89" s="596"/>
      <c r="AD89" s="596"/>
    </row>
    <row r="90" hidden="1">
      <c r="A90" s="354"/>
      <c r="B90" s="593"/>
      <c r="C90" s="593"/>
      <c r="D90" s="593"/>
      <c r="E90" s="593"/>
      <c r="F90" s="593"/>
      <c r="G90" s="593"/>
      <c r="H90" s="593"/>
      <c r="I90" s="594"/>
      <c r="J90" s="340">
        <v>0.0</v>
      </c>
      <c r="K90" s="582" t="str">
        <f>IF(J90&gt;0,J90/SUM($J$90), "")</f>
        <v/>
      </c>
      <c r="L90" s="582"/>
      <c r="M90" s="340"/>
      <c r="N90" s="340"/>
      <c r="O90" s="596"/>
      <c r="P90" s="596"/>
      <c r="Q90" s="596"/>
      <c r="R90" s="596"/>
      <c r="S90" s="596"/>
      <c r="T90" s="596"/>
      <c r="U90" s="596"/>
      <c r="V90" s="596"/>
      <c r="W90" s="596"/>
      <c r="X90" s="596"/>
      <c r="Y90" s="596"/>
      <c r="Z90" s="596"/>
      <c r="AA90" s="596"/>
      <c r="AB90" s="596"/>
      <c r="AC90" s="596"/>
      <c r="AD90" s="596"/>
    </row>
    <row r="91" hidden="1">
      <c r="A91" s="586"/>
      <c r="B91" s="587"/>
      <c r="C91" s="587"/>
      <c r="D91" s="587"/>
      <c r="E91" s="587"/>
      <c r="F91" s="587"/>
      <c r="G91" s="587"/>
      <c r="H91" s="587"/>
      <c r="I91" s="588">
        <f t="shared" ref="I91:J91" si="16">sum(I90 )</f>
        <v>0</v>
      </c>
      <c r="J91" s="624">
        <f t="shared" si="16"/>
        <v>0</v>
      </c>
      <c r="K91" s="589">
        <f>SUBTOTAL(109,K$90)</f>
        <v>0</v>
      </c>
      <c r="L91" s="590"/>
      <c r="M91" s="591"/>
      <c r="N91" s="591"/>
      <c r="O91" s="592"/>
      <c r="P91" s="592"/>
      <c r="Q91" s="592"/>
      <c r="R91" s="592"/>
      <c r="S91" s="592"/>
      <c r="T91" s="592"/>
      <c r="U91" s="592"/>
      <c r="V91" s="592"/>
      <c r="W91" s="592"/>
      <c r="X91" s="592"/>
      <c r="Y91" s="592"/>
      <c r="Z91" s="592"/>
      <c r="AA91" s="592"/>
      <c r="AB91" s="592"/>
      <c r="AC91" s="592"/>
      <c r="AD91" s="592"/>
    </row>
    <row r="92" hidden="1">
      <c r="A92" s="354"/>
      <c r="B92" s="593"/>
      <c r="C92" s="593"/>
      <c r="D92" s="593"/>
      <c r="E92" s="593"/>
      <c r="F92" s="593"/>
      <c r="G92" s="593"/>
      <c r="H92" s="593"/>
      <c r="I92" s="594"/>
      <c r="J92" s="641"/>
      <c r="K92" s="582"/>
      <c r="L92" s="582"/>
      <c r="M92" s="340"/>
      <c r="N92" s="340"/>
      <c r="O92" s="596"/>
      <c r="P92" s="596"/>
      <c r="Q92" s="596"/>
      <c r="R92" s="596"/>
      <c r="S92" s="596"/>
      <c r="T92" s="596"/>
      <c r="U92" s="596"/>
      <c r="V92" s="596"/>
      <c r="W92" s="596"/>
      <c r="X92" s="596"/>
      <c r="Y92" s="596"/>
      <c r="Z92" s="596"/>
      <c r="AA92" s="596"/>
      <c r="AB92" s="596"/>
      <c r="AC92" s="596"/>
      <c r="AD92" s="596"/>
    </row>
    <row r="93" hidden="1">
      <c r="A93" s="597" t="s">
        <v>534</v>
      </c>
      <c r="B93" s="598"/>
      <c r="C93" s="598"/>
      <c r="D93" s="598"/>
      <c r="E93" s="598"/>
      <c r="F93" s="598"/>
      <c r="G93" s="598"/>
      <c r="H93" s="598"/>
      <c r="I93" s="628"/>
      <c r="J93" s="599"/>
      <c r="K93" s="629"/>
      <c r="L93" s="629"/>
      <c r="M93" s="599"/>
      <c r="N93" s="599"/>
      <c r="O93" s="601"/>
      <c r="P93" s="596"/>
      <c r="Q93" s="596"/>
      <c r="R93" s="596"/>
      <c r="S93" s="596"/>
      <c r="T93" s="596"/>
      <c r="U93" s="596"/>
      <c r="V93" s="596"/>
      <c r="W93" s="596"/>
      <c r="X93" s="596"/>
      <c r="Y93" s="596"/>
      <c r="Z93" s="596"/>
      <c r="AA93" s="596"/>
      <c r="AB93" s="596"/>
      <c r="AC93" s="596"/>
      <c r="AD93" s="596"/>
    </row>
    <row r="94" hidden="1">
      <c r="A94" s="354" t="s">
        <v>535</v>
      </c>
      <c r="B94" s="593"/>
      <c r="C94" s="593"/>
      <c r="D94" s="593"/>
      <c r="E94" s="593"/>
      <c r="F94" s="593"/>
      <c r="G94" s="593"/>
      <c r="H94" s="593"/>
      <c r="I94" s="594"/>
      <c r="J94" s="340">
        <v>0.0</v>
      </c>
      <c r="K94" s="582" t="str">
        <f t="shared" ref="K94:K95" si="17">IF(J94&gt;0,J94/SUM($J$95), "")</f>
        <v/>
      </c>
      <c r="L94" s="582"/>
      <c r="M94" s="340"/>
      <c r="N94" s="340"/>
      <c r="O94" s="596"/>
      <c r="P94" s="596"/>
      <c r="Q94" s="596"/>
      <c r="R94" s="596"/>
      <c r="S94" s="596"/>
      <c r="T94" s="596"/>
      <c r="U94" s="596"/>
      <c r="V94" s="596"/>
      <c r="W94" s="596"/>
      <c r="X94" s="596"/>
      <c r="Y94" s="596"/>
      <c r="Z94" s="596"/>
      <c r="AA94" s="596"/>
      <c r="AB94" s="596"/>
      <c r="AC94" s="596"/>
      <c r="AD94" s="596"/>
    </row>
    <row r="95" hidden="1">
      <c r="A95" s="354" t="s">
        <v>537</v>
      </c>
      <c r="B95" s="593"/>
      <c r="C95" s="593"/>
      <c r="D95" s="593"/>
      <c r="E95" s="593"/>
      <c r="F95" s="593"/>
      <c r="G95" s="593"/>
      <c r="H95" s="593"/>
      <c r="I95" s="594"/>
      <c r="J95" s="340">
        <v>0.0</v>
      </c>
      <c r="K95" s="582" t="str">
        <f t="shared" si="17"/>
        <v/>
      </c>
      <c r="L95" s="582"/>
      <c r="M95" s="340"/>
      <c r="N95" s="340"/>
      <c r="O95" s="596"/>
      <c r="P95" s="596"/>
      <c r="Q95" s="596"/>
      <c r="R95" s="596"/>
      <c r="S95" s="596"/>
      <c r="T95" s="596"/>
      <c r="U95" s="596"/>
      <c r="V95" s="596"/>
      <c r="W95" s="596"/>
      <c r="X95" s="596"/>
      <c r="Y95" s="596"/>
      <c r="Z95" s="596"/>
      <c r="AA95" s="596"/>
      <c r="AB95" s="596"/>
      <c r="AC95" s="596"/>
      <c r="AD95" s="596"/>
    </row>
    <row r="96" hidden="1">
      <c r="A96" s="586"/>
      <c r="B96" s="587"/>
      <c r="C96" s="587"/>
      <c r="D96" s="587"/>
      <c r="E96" s="587"/>
      <c r="F96" s="587"/>
      <c r="G96" s="587"/>
      <c r="H96" s="587"/>
      <c r="I96" s="588">
        <f t="shared" ref="I96:J96" si="18">sum(I94:I95 )</f>
        <v>0</v>
      </c>
      <c r="J96" s="624">
        <f t="shared" si="18"/>
        <v>0</v>
      </c>
      <c r="K96" s="589">
        <f>SUBTOTAL(109,K$94:K$95)</f>
        <v>0</v>
      </c>
      <c r="L96" s="590"/>
      <c r="M96" s="591"/>
      <c r="N96" s="591"/>
      <c r="O96" s="592"/>
      <c r="P96" s="592"/>
      <c r="Q96" s="592"/>
      <c r="R96" s="592"/>
      <c r="S96" s="592"/>
      <c r="T96" s="592"/>
      <c r="U96" s="592"/>
      <c r="V96" s="592"/>
      <c r="W96" s="592"/>
      <c r="X96" s="592"/>
      <c r="Y96" s="592"/>
      <c r="Z96" s="592"/>
      <c r="AA96" s="592"/>
      <c r="AB96" s="592"/>
      <c r="AC96" s="592"/>
      <c r="AD96" s="592"/>
    </row>
    <row r="97">
      <c r="A97" s="354"/>
      <c r="B97" s="593"/>
      <c r="C97" s="593"/>
      <c r="D97" s="593"/>
      <c r="E97" s="593"/>
      <c r="F97" s="593"/>
      <c r="G97" s="593"/>
      <c r="H97" s="593"/>
      <c r="I97" s="594"/>
      <c r="J97" s="641"/>
      <c r="K97" s="582"/>
      <c r="L97" s="582"/>
      <c r="M97" s="340"/>
      <c r="N97" s="340"/>
      <c r="O97" s="596"/>
      <c r="P97" s="596"/>
      <c r="Q97" s="596"/>
      <c r="R97" s="596"/>
      <c r="S97" s="596"/>
      <c r="T97" s="596"/>
      <c r="U97" s="596"/>
      <c r="V97" s="596"/>
      <c r="W97" s="596"/>
      <c r="X97" s="596"/>
      <c r="Y97" s="596"/>
      <c r="Z97" s="596"/>
      <c r="AA97" s="596"/>
      <c r="AB97" s="596"/>
      <c r="AC97" s="596"/>
      <c r="AD97" s="596"/>
    </row>
    <row r="98" ht="15.0" customHeight="1">
      <c r="A98" s="597" t="s">
        <v>794</v>
      </c>
      <c r="B98" s="598"/>
      <c r="C98" s="598"/>
      <c r="D98" s="598"/>
      <c r="E98" s="598"/>
      <c r="F98" s="598"/>
      <c r="G98" s="598"/>
      <c r="H98" s="598"/>
      <c r="I98" s="628"/>
      <c r="J98" s="599"/>
      <c r="K98" s="629"/>
      <c r="L98" s="629"/>
      <c r="M98" s="599"/>
      <c r="N98" s="599"/>
      <c r="O98" s="601"/>
      <c r="P98" s="596"/>
      <c r="Q98" s="596"/>
      <c r="R98" s="596"/>
      <c r="S98" s="596"/>
      <c r="T98" s="596"/>
      <c r="U98" s="596"/>
      <c r="V98" s="596"/>
      <c r="W98" s="596"/>
      <c r="X98" s="596"/>
      <c r="Y98" s="596"/>
      <c r="Z98" s="596"/>
      <c r="AA98" s="596"/>
      <c r="AB98" s="596"/>
      <c r="AC98" s="596"/>
      <c r="AD98" s="596"/>
    </row>
    <row r="99" ht="15.0" customHeight="1">
      <c r="A99" s="642" t="s">
        <v>795</v>
      </c>
      <c r="B99" s="593"/>
      <c r="C99" s="593"/>
      <c r="D99" s="593"/>
      <c r="E99" s="593"/>
      <c r="F99" s="593"/>
      <c r="G99" s="593"/>
      <c r="H99" s="593" t="s">
        <v>359</v>
      </c>
      <c r="I99" s="594">
        <f>sum(50000,65000)</f>
        <v>115000</v>
      </c>
      <c r="J99" s="340">
        <f t="shared" ref="J99:J102" si="19">I99</f>
        <v>115000</v>
      </c>
      <c r="K99" s="582"/>
      <c r="L99" s="582"/>
      <c r="M99" s="340"/>
      <c r="N99" s="340"/>
      <c r="O99" s="596"/>
      <c r="P99" s="596"/>
      <c r="Q99" s="596"/>
      <c r="R99" s="596"/>
      <c r="S99" s="596"/>
      <c r="T99" s="596"/>
      <c r="U99" s="596"/>
      <c r="V99" s="596"/>
      <c r="W99" s="596"/>
      <c r="X99" s="596"/>
      <c r="Y99" s="596"/>
      <c r="Z99" s="596"/>
      <c r="AA99" s="596"/>
      <c r="AB99" s="596"/>
      <c r="AC99" s="596"/>
      <c r="AD99" s="596"/>
    </row>
    <row r="100" ht="15.0" customHeight="1">
      <c r="A100" s="642" t="s">
        <v>540</v>
      </c>
      <c r="B100" s="593"/>
      <c r="C100" s="593"/>
      <c r="D100" s="593"/>
      <c r="E100" s="593"/>
      <c r="F100" s="593"/>
      <c r="G100" s="593"/>
      <c r="H100" s="593">
        <v>2500.0</v>
      </c>
      <c r="I100" s="594">
        <f>H100*17</f>
        <v>42500</v>
      </c>
      <c r="J100" s="340">
        <f t="shared" si="19"/>
        <v>42500</v>
      </c>
      <c r="K100" s="582"/>
      <c r="L100" s="582"/>
      <c r="M100" s="340"/>
      <c r="N100" s="340"/>
      <c r="O100" s="596"/>
      <c r="P100" s="596"/>
      <c r="Q100" s="596"/>
      <c r="R100" s="596"/>
      <c r="S100" s="596"/>
      <c r="T100" s="596"/>
      <c r="U100" s="596"/>
      <c r="V100" s="596"/>
      <c r="W100" s="596"/>
      <c r="X100" s="596"/>
      <c r="Y100" s="596"/>
      <c r="Z100" s="596"/>
      <c r="AA100" s="596"/>
      <c r="AB100" s="596"/>
      <c r="AC100" s="596"/>
      <c r="AD100" s="596"/>
    </row>
    <row r="101" ht="15.0" customHeight="1">
      <c r="A101" s="644" t="s">
        <v>541</v>
      </c>
      <c r="B101" s="593"/>
      <c r="C101" s="593"/>
      <c r="D101" s="593"/>
      <c r="E101" s="593"/>
      <c r="F101" s="593"/>
      <c r="G101" s="593"/>
      <c r="H101" s="593">
        <v>1000000.0</v>
      </c>
      <c r="I101" s="594">
        <v>1598.0</v>
      </c>
      <c r="J101" s="340">
        <f t="shared" si="19"/>
        <v>1598</v>
      </c>
      <c r="K101" s="582">
        <f>IF(J101&gt;0,J101/SUM($J$101), "")</f>
        <v>1</v>
      </c>
      <c r="L101" s="582"/>
      <c r="M101" s="340"/>
      <c r="N101" s="340"/>
      <c r="O101" s="596"/>
      <c r="P101" s="596"/>
      <c r="Q101" s="596"/>
      <c r="R101" s="596"/>
      <c r="S101" s="596"/>
      <c r="T101" s="596"/>
      <c r="U101" s="596"/>
      <c r="V101" s="596"/>
      <c r="W101" s="596"/>
      <c r="X101" s="596"/>
      <c r="Y101" s="596"/>
      <c r="Z101" s="596"/>
      <c r="AA101" s="596"/>
      <c r="AB101" s="596"/>
      <c r="AC101" s="596"/>
      <c r="AD101" s="596"/>
    </row>
    <row r="102" ht="15.0" customHeight="1">
      <c r="A102" s="642" t="s">
        <v>422</v>
      </c>
      <c r="B102" s="593"/>
      <c r="C102" s="593"/>
      <c r="D102" s="593"/>
      <c r="E102" s="593"/>
      <c r="F102" s="593"/>
      <c r="G102" s="593"/>
      <c r="H102" s="593" t="s">
        <v>359</v>
      </c>
      <c r="I102" s="594">
        <f>20000</f>
        <v>20000</v>
      </c>
      <c r="J102" s="340">
        <f t="shared" si="19"/>
        <v>20000</v>
      </c>
      <c r="K102" s="582"/>
      <c r="L102" s="582"/>
      <c r="M102" s="340"/>
      <c r="N102" s="340"/>
      <c r="O102" s="596"/>
      <c r="P102" s="596"/>
      <c r="Q102" s="596"/>
      <c r="R102" s="596"/>
      <c r="S102" s="596"/>
      <c r="T102" s="596"/>
      <c r="U102" s="596"/>
      <c r="V102" s="596"/>
      <c r="W102" s="596"/>
      <c r="X102" s="596"/>
      <c r="Y102" s="596"/>
      <c r="Z102" s="596"/>
      <c r="AA102" s="596"/>
      <c r="AB102" s="596"/>
      <c r="AC102" s="596"/>
      <c r="AD102" s="596"/>
    </row>
    <row r="103">
      <c r="A103" s="586"/>
      <c r="B103" s="587"/>
      <c r="C103" s="587"/>
      <c r="D103" s="587"/>
      <c r="E103" s="587"/>
      <c r="F103" s="587"/>
      <c r="G103" s="587"/>
      <c r="H103" s="587"/>
      <c r="I103" s="624">
        <f t="shared" ref="I103:J103" si="20">sum(I99:I102 )</f>
        <v>179098</v>
      </c>
      <c r="J103" s="624">
        <f t="shared" si="20"/>
        <v>179098</v>
      </c>
      <c r="K103" s="589">
        <f>SUBTOTAL(109,K$101)</f>
        <v>1</v>
      </c>
      <c r="L103" s="590"/>
      <c r="M103" s="591"/>
      <c r="N103" s="591"/>
      <c r="O103" s="592"/>
      <c r="P103" s="592"/>
      <c r="Q103" s="592"/>
      <c r="R103" s="592"/>
      <c r="S103" s="592"/>
      <c r="T103" s="592"/>
      <c r="U103" s="592"/>
      <c r="V103" s="592"/>
      <c r="W103" s="592"/>
      <c r="X103" s="592"/>
      <c r="Y103" s="592"/>
      <c r="Z103" s="592"/>
      <c r="AA103" s="592"/>
      <c r="AB103" s="592"/>
      <c r="AC103" s="592"/>
      <c r="AD103" s="592"/>
    </row>
    <row r="104">
      <c r="A104" s="349"/>
      <c r="B104" s="620"/>
      <c r="C104" s="620"/>
      <c r="D104" s="620"/>
      <c r="E104" s="620"/>
      <c r="F104" s="620"/>
      <c r="G104" s="620"/>
      <c r="H104" s="593"/>
      <c r="I104" s="594"/>
      <c r="J104" s="340"/>
      <c r="K104" s="582"/>
      <c r="L104" s="582"/>
      <c r="M104" s="584"/>
      <c r="N104" s="584"/>
      <c r="O104" s="596"/>
      <c r="P104" s="596"/>
      <c r="Q104" s="596"/>
      <c r="R104" s="596"/>
      <c r="S104" s="596"/>
      <c r="T104" s="596"/>
      <c r="U104" s="596"/>
      <c r="V104" s="596"/>
      <c r="W104" s="596"/>
      <c r="X104" s="596"/>
      <c r="Y104" s="596"/>
      <c r="Z104" s="596"/>
      <c r="AA104" s="596"/>
      <c r="AB104" s="596"/>
      <c r="AC104" s="596"/>
      <c r="AD104" s="596"/>
    </row>
    <row r="105">
      <c r="A105" s="597" t="s">
        <v>796</v>
      </c>
      <c r="B105" s="598"/>
      <c r="C105" s="598"/>
      <c r="D105" s="598"/>
      <c r="E105" s="598"/>
      <c r="F105" s="598"/>
      <c r="G105" s="598"/>
      <c r="H105" s="598"/>
      <c r="I105" s="628"/>
      <c r="J105" s="599"/>
      <c r="K105" s="629"/>
      <c r="L105" s="629"/>
      <c r="M105" s="599"/>
      <c r="N105" s="599"/>
      <c r="O105" s="601"/>
      <c r="P105" s="596"/>
      <c r="Q105" s="596"/>
      <c r="R105" s="596"/>
      <c r="S105" s="596"/>
      <c r="T105" s="596"/>
      <c r="U105" s="596"/>
      <c r="V105" s="596"/>
      <c r="W105" s="596"/>
      <c r="X105" s="596"/>
      <c r="Y105" s="596"/>
      <c r="Z105" s="596"/>
      <c r="AA105" s="596"/>
      <c r="AB105" s="596"/>
      <c r="AC105" s="596"/>
      <c r="AD105" s="596"/>
    </row>
    <row r="106">
      <c r="A106" s="354" t="s">
        <v>438</v>
      </c>
      <c r="B106" s="593"/>
      <c r="C106" s="593"/>
      <c r="D106" s="593"/>
      <c r="E106" s="593" t="s">
        <v>439</v>
      </c>
      <c r="F106" s="593"/>
      <c r="G106" s="593"/>
      <c r="H106" s="593">
        <v>0.0</v>
      </c>
      <c r="I106" s="594">
        <v>0.0</v>
      </c>
      <c r="J106" s="340">
        <v>0.0</v>
      </c>
      <c r="K106" s="582" t="str">
        <f t="shared" ref="K106:K107" si="21">IF(J106&gt;0,J106/SUM($J$106:$J$107), "")</f>
        <v/>
      </c>
      <c r="L106" s="582"/>
      <c r="M106" s="340">
        <v>10000.0</v>
      </c>
      <c r="N106" s="340">
        <f>M106*2</f>
        <v>20000</v>
      </c>
      <c r="O106" s="596"/>
      <c r="P106" s="596"/>
      <c r="Q106" s="596"/>
      <c r="R106" s="596"/>
      <c r="S106" s="596"/>
      <c r="T106" s="596"/>
      <c r="U106" s="596"/>
      <c r="V106" s="596"/>
      <c r="W106" s="596"/>
      <c r="X106" s="596"/>
      <c r="Y106" s="596"/>
      <c r="Z106" s="596"/>
      <c r="AA106" s="596"/>
      <c r="AB106" s="596"/>
      <c r="AC106" s="596"/>
      <c r="AD106" s="596"/>
    </row>
    <row r="107">
      <c r="A107" s="354" t="s">
        <v>36</v>
      </c>
      <c r="B107" s="593"/>
      <c r="C107" s="593"/>
      <c r="D107" s="593"/>
      <c r="E107" s="593" t="s">
        <v>439</v>
      </c>
      <c r="F107" s="593"/>
      <c r="G107" s="593"/>
      <c r="H107" s="593">
        <v>0.0</v>
      </c>
      <c r="I107" s="594">
        <v>0.0</v>
      </c>
      <c r="J107" s="340">
        <v>0.0</v>
      </c>
      <c r="K107" s="582" t="str">
        <f t="shared" si="21"/>
        <v/>
      </c>
      <c r="L107" s="582"/>
      <c r="M107" s="340">
        <v>5000.0</v>
      </c>
      <c r="N107" s="340">
        <v>0.0</v>
      </c>
      <c r="O107" s="596"/>
      <c r="P107" s="596"/>
      <c r="Q107" s="596"/>
      <c r="R107" s="596"/>
      <c r="S107" s="596"/>
      <c r="T107" s="596"/>
      <c r="U107" s="596"/>
      <c r="V107" s="596"/>
      <c r="W107" s="596"/>
      <c r="X107" s="596"/>
      <c r="Y107" s="596"/>
      <c r="Z107" s="596"/>
      <c r="AA107" s="596"/>
      <c r="AB107" s="596"/>
      <c r="AC107" s="596"/>
      <c r="AD107" s="596"/>
    </row>
    <row r="108">
      <c r="A108" s="586"/>
      <c r="B108" s="587"/>
      <c r="C108" s="587"/>
      <c r="D108" s="587"/>
      <c r="E108" s="587"/>
      <c r="F108" s="587"/>
      <c r="G108" s="587"/>
      <c r="H108" s="587"/>
      <c r="I108" s="588">
        <f t="shared" ref="I108:J108" si="22">sum(I106:I107 )</f>
        <v>0</v>
      </c>
      <c r="J108" s="624">
        <f t="shared" si="22"/>
        <v>0</v>
      </c>
      <c r="K108" s="589">
        <f>SUBTOTAL(109,K$106:K$107)</f>
        <v>0</v>
      </c>
      <c r="L108" s="590"/>
      <c r="M108" s="591"/>
      <c r="N108" s="591"/>
      <c r="O108" s="592"/>
      <c r="P108" s="592"/>
      <c r="Q108" s="592"/>
      <c r="R108" s="592"/>
      <c r="S108" s="592"/>
      <c r="T108" s="592"/>
      <c r="U108" s="592"/>
      <c r="V108" s="592"/>
      <c r="W108" s="592"/>
      <c r="X108" s="592"/>
      <c r="Y108" s="592"/>
      <c r="Z108" s="592"/>
      <c r="AA108" s="592"/>
      <c r="AB108" s="592"/>
      <c r="AC108" s="592"/>
      <c r="AD108" s="592"/>
    </row>
    <row r="109">
      <c r="A109" s="115"/>
      <c r="B109" s="645"/>
      <c r="C109" s="645"/>
      <c r="D109" s="645"/>
      <c r="E109" s="645"/>
      <c r="F109" s="645"/>
      <c r="G109" s="645"/>
      <c r="H109" s="645"/>
      <c r="I109" s="647"/>
      <c r="J109" s="648"/>
      <c r="K109" s="583"/>
      <c r="L109" s="583"/>
      <c r="M109" s="648"/>
      <c r="N109" s="648"/>
      <c r="O109" s="578"/>
      <c r="P109" s="578"/>
      <c r="Q109" s="578"/>
      <c r="R109" s="578"/>
      <c r="S109" s="578"/>
      <c r="T109" s="578"/>
      <c r="U109" s="578"/>
      <c r="V109" s="578"/>
      <c r="W109" s="578"/>
      <c r="X109" s="578"/>
      <c r="Y109" s="578"/>
      <c r="Z109" s="578"/>
      <c r="AA109" s="578"/>
      <c r="AB109" s="578"/>
      <c r="AC109" s="578"/>
      <c r="AD109" s="578"/>
    </row>
    <row r="110" hidden="1">
      <c r="A110" s="571" t="s">
        <v>249</v>
      </c>
      <c r="B110" s="572"/>
      <c r="C110" s="572"/>
      <c r="D110" s="572"/>
      <c r="E110" s="572"/>
      <c r="F110" s="572"/>
      <c r="G110" s="572"/>
      <c r="H110" s="572"/>
      <c r="I110" s="574"/>
      <c r="J110" s="575"/>
      <c r="K110" s="576"/>
      <c r="L110" s="576"/>
      <c r="M110" s="575"/>
      <c r="N110" s="575"/>
      <c r="O110" s="577"/>
      <c r="P110" s="578"/>
      <c r="Q110" s="578"/>
      <c r="R110" s="578"/>
      <c r="S110" s="578"/>
      <c r="T110" s="578"/>
      <c r="U110" s="578"/>
      <c r="V110" s="578"/>
      <c r="W110" s="578"/>
      <c r="X110" s="578"/>
      <c r="Y110" s="578"/>
      <c r="Z110" s="578"/>
      <c r="AA110" s="578"/>
      <c r="AB110" s="578"/>
      <c r="AC110" s="578"/>
      <c r="AD110" s="578"/>
    </row>
    <row r="111" hidden="1">
      <c r="A111" s="115" t="s">
        <v>545</v>
      </c>
      <c r="B111" s="109"/>
      <c r="C111" s="109"/>
      <c r="D111" s="109"/>
      <c r="E111" s="109"/>
      <c r="F111" s="109"/>
      <c r="G111" s="109"/>
      <c r="H111" s="579"/>
      <c r="I111" s="580">
        <v>0.0</v>
      </c>
      <c r="J111" s="581">
        <f>I111</f>
        <v>0</v>
      </c>
      <c r="K111" s="582" t="str">
        <f>IF(J111&gt;0,J111/SUM($J$3:$J$5), "")</f>
        <v/>
      </c>
      <c r="L111" s="583"/>
      <c r="M111" s="584"/>
      <c r="N111" s="584"/>
      <c r="O111" s="578"/>
      <c r="P111" s="578"/>
      <c r="Q111" s="578"/>
      <c r="R111" s="578"/>
      <c r="S111" s="578"/>
      <c r="T111" s="578"/>
      <c r="U111" s="578"/>
      <c r="V111" s="578"/>
      <c r="W111" s="578"/>
      <c r="X111" s="578"/>
      <c r="Y111" s="578"/>
      <c r="Z111" s="578"/>
      <c r="AA111" s="578"/>
      <c r="AB111" s="578"/>
      <c r="AC111" s="578"/>
      <c r="AD111" s="578"/>
    </row>
    <row r="112" hidden="1">
      <c r="A112" s="108"/>
      <c r="B112" s="645"/>
      <c r="C112" s="645"/>
      <c r="D112" s="645"/>
      <c r="E112" s="645"/>
      <c r="F112" s="645"/>
      <c r="G112" s="645"/>
      <c r="H112" s="645"/>
      <c r="I112" s="647"/>
      <c r="J112" s="648"/>
      <c r="K112" s="583"/>
      <c r="L112" s="583"/>
      <c r="M112" s="648"/>
      <c r="N112" s="648"/>
      <c r="O112" s="578"/>
      <c r="P112" s="578"/>
      <c r="Q112" s="578"/>
      <c r="R112" s="578"/>
      <c r="S112" s="578"/>
      <c r="T112" s="578"/>
      <c r="U112" s="578"/>
      <c r="V112" s="578"/>
      <c r="W112" s="578"/>
      <c r="X112" s="578"/>
      <c r="Y112" s="578"/>
      <c r="Z112" s="578"/>
      <c r="AA112" s="578"/>
      <c r="AB112" s="578"/>
      <c r="AC112" s="578"/>
      <c r="AD112" s="578"/>
    </row>
    <row r="113">
      <c r="A113" s="571" t="s">
        <v>441</v>
      </c>
      <c r="B113" s="572"/>
      <c r="C113" s="572"/>
      <c r="D113" s="572"/>
      <c r="E113" s="572"/>
      <c r="F113" s="572"/>
      <c r="G113" s="572"/>
      <c r="H113" s="572"/>
      <c r="I113" s="574"/>
      <c r="J113" s="575"/>
      <c r="K113" s="576"/>
      <c r="L113" s="576"/>
      <c r="M113" s="575"/>
      <c r="N113" s="575"/>
      <c r="O113" s="577"/>
      <c r="P113" s="578"/>
      <c r="Q113" s="578"/>
      <c r="R113" s="578"/>
      <c r="S113" s="578"/>
      <c r="T113" s="578"/>
      <c r="U113" s="578"/>
      <c r="V113" s="578"/>
      <c r="W113" s="578"/>
      <c r="X113" s="578"/>
      <c r="Y113" s="578"/>
      <c r="Z113" s="578"/>
      <c r="AA113" s="578"/>
      <c r="AB113" s="578"/>
      <c r="AC113" s="578"/>
      <c r="AD113" s="578"/>
    </row>
    <row r="114">
      <c r="A114" s="115" t="s">
        <v>442</v>
      </c>
      <c r="B114" s="579"/>
      <c r="C114" s="579"/>
      <c r="D114" s="579"/>
      <c r="E114" s="579"/>
      <c r="F114" s="579"/>
      <c r="G114" s="579"/>
      <c r="H114" s="579" t="s">
        <v>359</v>
      </c>
      <c r="I114" s="649">
        <v>1300.0</v>
      </c>
      <c r="J114" s="649">
        <f>1500-200</f>
        <v>1300</v>
      </c>
      <c r="K114" s="630">
        <f t="shared" ref="K114:K115" si="23">if(J114&gt;0,J114/sum($J$114:$J$115),"")</f>
        <v>0.07471693776</v>
      </c>
      <c r="L114" s="583"/>
      <c r="M114" s="650"/>
      <c r="N114" s="650"/>
      <c r="O114" s="578"/>
      <c r="P114" s="578"/>
      <c r="Q114" s="578"/>
      <c r="R114" s="578"/>
      <c r="S114" s="578"/>
      <c r="T114" s="578"/>
      <c r="U114" s="578"/>
      <c r="V114" s="578"/>
      <c r="W114" s="578"/>
      <c r="X114" s="578"/>
      <c r="Y114" s="578"/>
      <c r="Z114" s="578"/>
      <c r="AA114" s="578"/>
      <c r="AB114" s="578"/>
      <c r="AC114" s="578"/>
      <c r="AD114" s="578"/>
    </row>
    <row r="115">
      <c r="A115" s="115" t="s">
        <v>444</v>
      </c>
      <c r="B115" s="579"/>
      <c r="C115" s="579"/>
      <c r="D115" s="579"/>
      <c r="E115" s="579"/>
      <c r="F115" s="579"/>
      <c r="G115" s="579"/>
      <c r="H115" s="579"/>
      <c r="I115" s="651">
        <f>sum(1025,2400,1500,6515,1500,2095)-10300</f>
        <v>4735</v>
      </c>
      <c r="J115" s="649">
        <f>I115*3.4</f>
        <v>16099</v>
      </c>
      <c r="K115" s="630">
        <f t="shared" si="23"/>
        <v>0.9252830622</v>
      </c>
      <c r="L115" s="583"/>
      <c r="M115" s="650"/>
      <c r="N115" s="650"/>
      <c r="O115" s="578"/>
      <c r="P115" s="578"/>
      <c r="Q115" s="578"/>
      <c r="R115" s="578"/>
      <c r="S115" s="578"/>
      <c r="T115" s="578"/>
      <c r="U115" s="578"/>
      <c r="V115" s="578"/>
      <c r="W115" s="578"/>
      <c r="X115" s="578"/>
      <c r="Y115" s="578"/>
      <c r="Z115" s="578"/>
      <c r="AA115" s="578"/>
      <c r="AB115" s="578"/>
      <c r="AC115" s="578"/>
      <c r="AD115" s="578"/>
    </row>
    <row r="116">
      <c r="A116" s="586"/>
      <c r="B116" s="587"/>
      <c r="C116" s="587"/>
      <c r="D116" s="587"/>
      <c r="E116" s="587"/>
      <c r="F116" s="587"/>
      <c r="G116" s="587"/>
      <c r="H116" s="587"/>
      <c r="I116" s="588">
        <f>sum(I114:I115 )</f>
        <v>6035</v>
      </c>
      <c r="J116" s="588">
        <f>sum(J114:J115 )-10300</f>
        <v>7099</v>
      </c>
      <c r="K116" s="589">
        <f>SUBTOTAL(109,K114:K115)</f>
        <v>1</v>
      </c>
      <c r="L116" s="590"/>
      <c r="M116" s="624">
        <f>sum(M8:M114 )</f>
        <v>20752.1</v>
      </c>
      <c r="N116" s="624"/>
      <c r="O116" s="592"/>
      <c r="P116" s="592"/>
      <c r="Q116" s="592"/>
      <c r="R116" s="592"/>
      <c r="S116" s="592"/>
      <c r="T116" s="592"/>
      <c r="U116" s="592"/>
      <c r="V116" s="592"/>
      <c r="W116" s="592"/>
      <c r="X116" s="592"/>
      <c r="Y116" s="592"/>
      <c r="Z116" s="592"/>
      <c r="AA116" s="592"/>
      <c r="AB116" s="592"/>
      <c r="AC116" s="592"/>
      <c r="AD116" s="592"/>
    </row>
    <row r="117">
      <c r="B117" s="462"/>
      <c r="C117" s="462"/>
      <c r="D117" s="462"/>
      <c r="E117" s="462"/>
      <c r="F117" s="462"/>
      <c r="G117" s="462"/>
      <c r="H117" s="462"/>
      <c r="I117" s="653"/>
      <c r="J117" s="650"/>
      <c r="K117" s="654"/>
      <c r="L117" s="654"/>
      <c r="M117" s="650"/>
      <c r="N117" s="650"/>
      <c r="O117" s="655"/>
      <c r="P117" s="655"/>
      <c r="Q117" s="655"/>
      <c r="R117" s="655"/>
      <c r="S117" s="655"/>
      <c r="T117" s="655"/>
      <c r="U117" s="655"/>
      <c r="V117" s="655"/>
      <c r="W117" s="655"/>
      <c r="X117" s="655"/>
      <c r="Y117" s="655"/>
      <c r="Z117" s="655"/>
      <c r="AA117" s="655"/>
      <c r="AB117" s="655"/>
      <c r="AC117" s="655"/>
      <c r="AD117" s="655"/>
    </row>
    <row r="118">
      <c r="A118" s="656" t="s">
        <v>354</v>
      </c>
      <c r="B118" s="656"/>
      <c r="C118" s="656"/>
      <c r="D118" s="656"/>
      <c r="E118" s="656"/>
      <c r="F118" s="656"/>
      <c r="G118" s="656"/>
      <c r="H118" s="657" t="s">
        <v>797</v>
      </c>
      <c r="I118" s="658" t="s">
        <v>450</v>
      </c>
      <c r="J118" s="650"/>
      <c r="K118" s="654"/>
      <c r="L118" s="654"/>
      <c r="M118" s="650"/>
      <c r="N118" s="650"/>
      <c r="O118" s="659"/>
      <c r="P118" s="659"/>
      <c r="Q118" s="659"/>
      <c r="R118" s="659"/>
      <c r="S118" s="659"/>
      <c r="T118" s="659"/>
      <c r="U118" s="659"/>
      <c r="V118" s="659"/>
      <c r="W118" s="659"/>
      <c r="X118" s="659"/>
      <c r="Y118" s="659"/>
      <c r="Z118" s="659"/>
      <c r="AA118" s="659"/>
      <c r="AB118" s="659"/>
      <c r="AC118" s="659"/>
      <c r="AD118" s="659"/>
    </row>
    <row r="119">
      <c r="A119" s="462" t="str">
        <f>A105</f>
        <v>Retirement Accts (5%)</v>
      </c>
      <c r="B119" s="652"/>
      <c r="C119" s="652"/>
      <c r="D119" s="652"/>
      <c r="E119" s="652"/>
      <c r="F119" s="652"/>
      <c r="G119" s="652"/>
      <c r="H119" s="661">
        <f>I108</f>
        <v>0</v>
      </c>
      <c r="I119" s="662" t="str">
        <f t="shared" ref="I119:I122" si="24">IF(#REF!&gt;0,#REF!/SUM(#REF!), "")</f>
        <v>#REF!</v>
      </c>
      <c r="J119" s="648"/>
      <c r="K119" s="583"/>
      <c r="L119" s="583"/>
      <c r="M119" s="648"/>
      <c r="N119" s="648"/>
      <c r="O119" s="664"/>
      <c r="P119" s="664"/>
      <c r="Q119" s="664"/>
      <c r="R119" s="664"/>
      <c r="S119" s="664"/>
      <c r="T119" s="664"/>
      <c r="U119" s="664"/>
      <c r="V119" s="664"/>
      <c r="W119" s="664"/>
      <c r="X119" s="664"/>
      <c r="Y119" s="664"/>
      <c r="Z119" s="664"/>
      <c r="AA119" s="664"/>
      <c r="AB119" s="664"/>
      <c r="AC119" s="664"/>
      <c r="AD119" s="664"/>
    </row>
    <row r="120">
      <c r="A120" s="462" t="str">
        <f>A8</f>
        <v>DeFi Crypto Assets (10%)</v>
      </c>
      <c r="B120" s="652"/>
      <c r="C120" s="652"/>
      <c r="D120" s="652"/>
      <c r="E120" s="652"/>
      <c r="F120" s="652"/>
      <c r="G120" s="652"/>
      <c r="H120" s="661">
        <f>I27</f>
        <v>15045.678</v>
      </c>
      <c r="I120" s="662" t="str">
        <f t="shared" si="24"/>
        <v>#REF!</v>
      </c>
      <c r="J120" s="650"/>
      <c r="K120" s="654"/>
      <c r="L120" s="654"/>
      <c r="M120" s="650"/>
      <c r="N120" s="650"/>
      <c r="O120" s="665"/>
      <c r="P120" s="665"/>
      <c r="Q120" s="665"/>
      <c r="R120" s="665"/>
      <c r="S120" s="665"/>
      <c r="T120" s="665"/>
      <c r="U120" s="665"/>
      <c r="V120" s="665"/>
      <c r="W120" s="665"/>
      <c r="X120" s="665"/>
      <c r="Y120" s="665"/>
      <c r="Z120" s="665"/>
      <c r="AA120" s="665"/>
      <c r="AB120" s="665"/>
      <c r="AC120" s="665"/>
      <c r="AD120" s="665"/>
    </row>
    <row r="121">
      <c r="A121" s="471" t="s">
        <v>798</v>
      </c>
      <c r="B121" s="652"/>
      <c r="C121" s="652"/>
      <c r="D121" s="652"/>
      <c r="E121" s="652"/>
      <c r="F121" s="652"/>
      <c r="G121" s="652"/>
      <c r="H121" s="661">
        <f>I62</f>
        <v>13900</v>
      </c>
      <c r="I121" s="662" t="str">
        <f t="shared" si="24"/>
        <v>#REF!</v>
      </c>
      <c r="J121" s="650"/>
      <c r="K121" s="654"/>
      <c r="L121" s="654"/>
      <c r="M121" s="650"/>
      <c r="N121" s="650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  <c r="AA121" s="665"/>
      <c r="AB121" s="665"/>
      <c r="AC121" s="665"/>
      <c r="AD121" s="665"/>
    </row>
    <row r="122">
      <c r="A122" s="462" t="str">
        <f>A64</f>
        <v>Stocks (5%)</v>
      </c>
      <c r="B122" s="652"/>
      <c r="C122" s="652"/>
      <c r="D122" s="652"/>
      <c r="E122" s="652"/>
      <c r="F122" s="652"/>
      <c r="G122" s="652"/>
      <c r="H122" s="661">
        <f>I87</f>
        <v>5780.16</v>
      </c>
      <c r="I122" s="662" t="str">
        <f t="shared" si="24"/>
        <v>#REF!</v>
      </c>
      <c r="J122" s="650"/>
      <c r="K122" s="654"/>
      <c r="L122" s="654"/>
      <c r="M122" s="650"/>
      <c r="N122" s="650"/>
      <c r="O122" s="655"/>
      <c r="P122" s="655"/>
      <c r="Q122" s="655"/>
      <c r="R122" s="655"/>
      <c r="S122" s="655"/>
      <c r="T122" s="655"/>
      <c r="U122" s="655"/>
      <c r="V122" s="655"/>
      <c r="W122" s="655"/>
      <c r="X122" s="655"/>
      <c r="Y122" s="655"/>
      <c r="Z122" s="655"/>
      <c r="AA122" s="655"/>
      <c r="AB122" s="655"/>
      <c r="AC122" s="655"/>
      <c r="AD122" s="655"/>
    </row>
    <row r="123" hidden="1">
      <c r="A123" s="655" t="str">
        <f>A89</f>
        <v>Bonds, ETFs, CDs</v>
      </c>
      <c r="B123" s="652"/>
      <c r="C123" s="652"/>
      <c r="D123" s="652"/>
      <c r="E123" s="652"/>
      <c r="F123" s="652"/>
      <c r="G123" s="652"/>
      <c r="H123" s="1039">
        <f>I91</f>
        <v>0</v>
      </c>
      <c r="I123" s="1040">
        <v>0.0</v>
      </c>
      <c r="J123" s="650"/>
      <c r="K123" s="654"/>
      <c r="L123" s="654"/>
      <c r="M123" s="650"/>
      <c r="N123" s="650"/>
      <c r="O123" s="655"/>
      <c r="P123" s="655"/>
      <c r="Q123" s="655"/>
      <c r="R123" s="655"/>
      <c r="S123" s="655"/>
      <c r="T123" s="655"/>
      <c r="U123" s="655"/>
      <c r="V123" s="655"/>
      <c r="W123" s="655"/>
      <c r="X123" s="655"/>
      <c r="Y123" s="655"/>
      <c r="Z123" s="655"/>
      <c r="AA123" s="655"/>
      <c r="AB123" s="655"/>
      <c r="AC123" s="655"/>
      <c r="AD123" s="655"/>
    </row>
    <row r="124">
      <c r="A124" s="462" t="str">
        <f>A98</f>
        <v>Venture Capital</v>
      </c>
      <c r="B124" s="652"/>
      <c r="C124" s="652"/>
      <c r="D124" s="652"/>
      <c r="E124" s="652"/>
      <c r="F124" s="652"/>
      <c r="G124" s="652"/>
      <c r="H124" s="661">
        <f>I103</f>
        <v>179098</v>
      </c>
      <c r="I124" s="662" t="str">
        <f t="shared" ref="I124:I126" si="25">IF(#REF!&gt;0,#REF!/SUM(#REF!), "")</f>
        <v>#REF!</v>
      </c>
      <c r="J124" s="650"/>
      <c r="K124" s="654"/>
      <c r="L124" s="654"/>
      <c r="M124" s="650"/>
      <c r="N124" s="650"/>
      <c r="O124" s="655"/>
      <c r="P124" s="655"/>
      <c r="Q124" s="655"/>
      <c r="R124" s="655"/>
      <c r="S124" s="655"/>
      <c r="T124" s="655"/>
      <c r="U124" s="655"/>
      <c r="V124" s="655"/>
      <c r="W124" s="655"/>
      <c r="X124" s="655"/>
      <c r="Y124" s="655"/>
      <c r="Z124" s="655"/>
      <c r="AA124" s="655"/>
      <c r="AB124" s="655"/>
      <c r="AC124" s="655"/>
      <c r="AD124" s="655"/>
    </row>
    <row r="125">
      <c r="A125" s="462" t="str">
        <f>A2</f>
        <v>Checking/ Savings</v>
      </c>
      <c r="B125" s="652"/>
      <c r="C125" s="652"/>
      <c r="D125" s="652"/>
      <c r="E125" s="652"/>
      <c r="F125" s="652"/>
      <c r="G125" s="652"/>
      <c r="H125" s="661">
        <f>I6</f>
        <v>7000</v>
      </c>
      <c r="I125" s="662" t="str">
        <f t="shared" si="25"/>
        <v>#REF!</v>
      </c>
      <c r="J125" s="650"/>
      <c r="K125" s="654"/>
      <c r="L125" s="654"/>
      <c r="M125" s="650"/>
      <c r="N125" s="650"/>
      <c r="O125" s="655"/>
      <c r="P125" s="655"/>
      <c r="Q125" s="655"/>
      <c r="R125" s="655"/>
      <c r="S125" s="655"/>
      <c r="T125" s="655"/>
      <c r="U125" s="655"/>
      <c r="V125" s="655"/>
      <c r="W125" s="655"/>
      <c r="X125" s="655"/>
      <c r="Y125" s="655"/>
      <c r="Z125" s="655"/>
      <c r="AA125" s="655"/>
      <c r="AB125" s="655"/>
      <c r="AC125" s="655"/>
      <c r="AD125" s="655"/>
    </row>
    <row r="126">
      <c r="A126" s="462" t="str">
        <f>A113</f>
        <v>Loans Distributed</v>
      </c>
      <c r="B126" s="652"/>
      <c r="C126" s="652"/>
      <c r="D126" s="652"/>
      <c r="E126" s="652"/>
      <c r="F126" s="652"/>
      <c r="G126" s="652"/>
      <c r="H126" s="661">
        <f>I116</f>
        <v>6035</v>
      </c>
      <c r="I126" s="662" t="str">
        <f t="shared" si="25"/>
        <v>#REF!</v>
      </c>
      <c r="J126" s="650"/>
      <c r="K126" s="654"/>
      <c r="L126" s="654"/>
      <c r="M126" s="650"/>
      <c r="N126" s="650"/>
      <c r="O126" s="655"/>
      <c r="P126" s="655"/>
      <c r="Q126" s="655"/>
      <c r="R126" s="655"/>
      <c r="S126" s="655"/>
      <c r="T126" s="655"/>
      <c r="U126" s="655"/>
      <c r="V126" s="655"/>
      <c r="W126" s="655"/>
      <c r="X126" s="655"/>
      <c r="Y126" s="655"/>
      <c r="Z126" s="655"/>
      <c r="AA126" s="655"/>
      <c r="AB126" s="655"/>
      <c r="AC126" s="655"/>
      <c r="AD126" s="655"/>
    </row>
    <row r="127">
      <c r="A127" s="1041" t="s">
        <v>322</v>
      </c>
      <c r="B127" s="1042"/>
      <c r="C127" s="1042"/>
      <c r="D127" s="1042"/>
      <c r="E127" s="1042"/>
      <c r="F127" s="1042"/>
      <c r="G127" s="1042"/>
      <c r="H127" s="1043">
        <f>sum(H119:H126 )</f>
        <v>226858.838</v>
      </c>
      <c r="I127" s="1044" t="str">
        <f>SUBTOTAL(109,I$119:I$126)</f>
        <v>#REF!</v>
      </c>
      <c r="J127" s="648"/>
      <c r="K127" s="583"/>
      <c r="L127" s="583"/>
      <c r="M127" s="112"/>
      <c r="N127" s="648"/>
      <c r="O127" s="664"/>
      <c r="P127" s="664"/>
      <c r="Q127" s="664"/>
      <c r="R127" s="664"/>
      <c r="S127" s="664"/>
      <c r="T127" s="664"/>
      <c r="U127" s="664"/>
      <c r="V127" s="664"/>
      <c r="W127" s="664"/>
      <c r="X127" s="664"/>
      <c r="Y127" s="664"/>
      <c r="Z127" s="664"/>
      <c r="AA127" s="664"/>
      <c r="AB127" s="664"/>
      <c r="AC127" s="664"/>
      <c r="AD127" s="664"/>
    </row>
    <row r="128">
      <c r="A128" s="462"/>
      <c r="B128" s="462"/>
      <c r="C128" s="462"/>
      <c r="D128" s="462"/>
      <c r="E128" s="462"/>
      <c r="F128" s="462"/>
      <c r="G128" s="462"/>
      <c r="I128" s="650"/>
      <c r="J128" s="650"/>
      <c r="K128" s="654"/>
      <c r="L128" s="654"/>
      <c r="M128" s="650"/>
      <c r="N128" s="650"/>
      <c r="O128" s="655"/>
      <c r="P128" s="655"/>
      <c r="Q128" s="655"/>
      <c r="R128" s="655"/>
      <c r="S128" s="655"/>
      <c r="T128" s="655"/>
      <c r="U128" s="655"/>
      <c r="V128" s="655"/>
      <c r="W128" s="655"/>
      <c r="X128" s="655"/>
      <c r="Y128" s="655"/>
      <c r="Z128" s="655"/>
      <c r="AA128" s="655"/>
      <c r="AB128" s="655"/>
      <c r="AC128" s="655"/>
      <c r="AD128" s="655"/>
    </row>
    <row r="129">
      <c r="B129" s="462"/>
      <c r="C129" s="462"/>
      <c r="D129" s="462"/>
      <c r="E129" s="462"/>
      <c r="F129" s="462"/>
      <c r="G129" s="462"/>
      <c r="I129" s="650"/>
      <c r="J129" s="650"/>
      <c r="K129" s="654"/>
      <c r="L129" s="654"/>
      <c r="M129" s="650"/>
      <c r="N129" s="650"/>
      <c r="O129" s="655"/>
      <c r="P129" s="655"/>
      <c r="Q129" s="655"/>
      <c r="R129" s="655"/>
      <c r="S129" s="655"/>
      <c r="T129" s="655"/>
      <c r="U129" s="655"/>
      <c r="V129" s="655"/>
      <c r="W129" s="655"/>
      <c r="X129" s="655"/>
      <c r="Y129" s="655"/>
      <c r="Z129" s="655"/>
      <c r="AA129" s="655"/>
      <c r="AB129" s="655"/>
      <c r="AC129" s="655"/>
      <c r="AD129" s="655"/>
    </row>
    <row r="130">
      <c r="A130" s="1045" t="s">
        <v>799</v>
      </c>
      <c r="B130" s="1046"/>
      <c r="C130" s="1046"/>
      <c r="D130" s="1046"/>
      <c r="E130" s="1046" t="s">
        <v>800</v>
      </c>
      <c r="F130" s="1046"/>
      <c r="G130" s="1046"/>
      <c r="H130" s="1047" t="s">
        <v>801</v>
      </c>
      <c r="I130" s="1047" t="s">
        <v>642</v>
      </c>
      <c r="J130" s="1047" t="s">
        <v>802</v>
      </c>
      <c r="K130" s="1047" t="s">
        <v>803</v>
      </c>
      <c r="L130" s="654"/>
      <c r="M130" s="650"/>
      <c r="N130" s="650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5"/>
      <c r="AB130" s="655"/>
      <c r="AC130" s="655"/>
      <c r="AD130" s="655"/>
    </row>
    <row r="131">
      <c r="A131" s="1048" t="s">
        <v>804</v>
      </c>
      <c r="B131" s="477"/>
      <c r="C131" s="477"/>
      <c r="D131" s="477"/>
      <c r="E131" s="477">
        <v>10000.0</v>
      </c>
      <c r="F131" s="477"/>
      <c r="G131" s="477"/>
      <c r="H131" s="1049" t="s">
        <v>805</v>
      </c>
      <c r="I131" s="110" t="s">
        <v>458</v>
      </c>
      <c r="J131" s="1050" t="str">
        <f t="shared" ref="J131:J133" si="26">#REF!*3400</f>
        <v>#REF!</v>
      </c>
      <c r="K131" s="650"/>
      <c r="L131" s="654"/>
      <c r="M131" s="650"/>
      <c r="N131" s="650"/>
      <c r="O131" s="655"/>
      <c r="P131" s="655"/>
      <c r="Q131" s="655"/>
      <c r="R131" s="655"/>
      <c r="S131" s="655"/>
      <c r="T131" s="655"/>
      <c r="U131" s="655"/>
      <c r="V131" s="655"/>
      <c r="W131" s="655"/>
      <c r="X131" s="655"/>
      <c r="Y131" s="655"/>
      <c r="Z131" s="655"/>
      <c r="AA131" s="655"/>
      <c r="AB131" s="655"/>
      <c r="AC131" s="655"/>
      <c r="AD131" s="655"/>
    </row>
    <row r="132">
      <c r="A132" s="1051" t="s">
        <v>385</v>
      </c>
      <c r="B132" s="477"/>
      <c r="C132" s="477"/>
      <c r="D132" s="477"/>
      <c r="E132" s="477">
        <f>sum(2500,2000)</f>
        <v>4500</v>
      </c>
      <c r="F132" s="477"/>
      <c r="G132" s="477"/>
      <c r="H132" s="1049" t="s">
        <v>686</v>
      </c>
      <c r="I132" s="110" t="s">
        <v>806</v>
      </c>
      <c r="J132" s="1050" t="str">
        <f t="shared" si="26"/>
        <v>#REF!</v>
      </c>
      <c r="K132" s="650"/>
      <c r="L132" s="595"/>
      <c r="M132" s="650"/>
      <c r="N132" s="650"/>
      <c r="O132" s="655"/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  <c r="AA132" s="655"/>
      <c r="AB132" s="655"/>
      <c r="AC132" s="655"/>
      <c r="AD132" s="655"/>
    </row>
    <row r="133">
      <c r="A133" s="1048" t="s">
        <v>807</v>
      </c>
      <c r="B133" s="1052"/>
      <c r="C133" s="1052"/>
      <c r="D133" s="1052"/>
      <c r="E133" s="1052" t="str">
        <f>#REF!*3300</f>
        <v>#REF!</v>
      </c>
      <c r="F133" s="1052"/>
      <c r="G133" s="1052"/>
      <c r="H133" s="1049" t="s">
        <v>805</v>
      </c>
      <c r="I133" s="110" t="s">
        <v>458</v>
      </c>
      <c r="J133" s="1053" t="str">
        <f t="shared" si="26"/>
        <v>#REF!</v>
      </c>
      <c r="L133" s="654"/>
      <c r="M133" s="650"/>
      <c r="N133" s="650"/>
      <c r="O133" s="655"/>
      <c r="P133" s="655"/>
      <c r="Q133" s="655"/>
      <c r="R133" s="655"/>
      <c r="S133" s="655"/>
      <c r="T133" s="655"/>
      <c r="U133" s="655"/>
      <c r="V133" s="655"/>
      <c r="W133" s="655"/>
      <c r="X133" s="655"/>
      <c r="Y133" s="655"/>
      <c r="Z133" s="655"/>
      <c r="AA133" s="655"/>
      <c r="AB133" s="655"/>
      <c r="AC133" s="655"/>
      <c r="AD133" s="655"/>
    </row>
    <row r="134">
      <c r="A134" s="1048" t="s">
        <v>387</v>
      </c>
      <c r="B134" s="477"/>
      <c r="C134" s="477"/>
      <c r="D134" s="477"/>
      <c r="E134" s="477">
        <v>13576.0</v>
      </c>
      <c r="F134" s="477"/>
      <c r="G134" s="477"/>
      <c r="H134" s="1049" t="s">
        <v>805</v>
      </c>
      <c r="I134" s="110" t="s">
        <v>458</v>
      </c>
      <c r="J134" s="673">
        <v>13576.0</v>
      </c>
      <c r="K134" s="654"/>
      <c r="L134" s="654"/>
      <c r="M134" s="650"/>
      <c r="N134" s="650"/>
      <c r="O134" s="655"/>
      <c r="P134" s="655"/>
      <c r="Q134" s="655"/>
      <c r="R134" s="655"/>
      <c r="S134" s="655"/>
      <c r="T134" s="655"/>
      <c r="U134" s="655"/>
      <c r="V134" s="655"/>
      <c r="W134" s="655"/>
      <c r="X134" s="655"/>
      <c r="Y134" s="655"/>
      <c r="Z134" s="655"/>
      <c r="AA134" s="655"/>
      <c r="AB134" s="655"/>
      <c r="AC134" s="655"/>
      <c r="AD134" s="655"/>
    </row>
    <row r="135">
      <c r="A135" s="1048" t="s">
        <v>808</v>
      </c>
      <c r="B135" s="649"/>
      <c r="C135" s="649"/>
      <c r="D135" s="649"/>
      <c r="E135" s="649">
        <v>10476.0</v>
      </c>
      <c r="F135" s="649"/>
      <c r="G135" s="649"/>
      <c r="H135" s="1049" t="s">
        <v>805</v>
      </c>
      <c r="I135" s="110" t="s">
        <v>458</v>
      </c>
      <c r="J135" s="673">
        <v>10476.94</v>
      </c>
      <c r="K135" s="654"/>
      <c r="L135" s="654"/>
      <c r="M135" s="650"/>
      <c r="N135" s="650"/>
      <c r="O135" s="655"/>
      <c r="P135" s="655"/>
      <c r="Q135" s="655"/>
      <c r="R135" s="655"/>
      <c r="S135" s="655"/>
      <c r="T135" s="655"/>
      <c r="U135" s="655"/>
      <c r="V135" s="655"/>
      <c r="W135" s="655"/>
      <c r="X135" s="655"/>
      <c r="Y135" s="655"/>
      <c r="Z135" s="655"/>
      <c r="AA135" s="655"/>
      <c r="AB135" s="655"/>
      <c r="AC135" s="655"/>
      <c r="AD135" s="655"/>
    </row>
    <row r="136">
      <c r="A136" s="1048" t="s">
        <v>388</v>
      </c>
      <c r="B136" s="649"/>
      <c r="C136" s="649"/>
      <c r="D136" s="649"/>
      <c r="E136" s="649">
        <v>7789.0</v>
      </c>
      <c r="F136" s="649"/>
      <c r="G136" s="649"/>
      <c r="H136" s="1049" t="s">
        <v>805</v>
      </c>
      <c r="I136" s="110" t="s">
        <v>458</v>
      </c>
      <c r="J136" s="673">
        <v>7789.0</v>
      </c>
      <c r="K136" s="654"/>
      <c r="L136" s="654"/>
      <c r="M136" s="650"/>
      <c r="N136" s="650"/>
      <c r="O136" s="655"/>
      <c r="P136" s="655"/>
      <c r="Q136" s="655"/>
      <c r="R136" s="655"/>
      <c r="S136" s="655"/>
      <c r="T136" s="655"/>
      <c r="U136" s="655"/>
      <c r="V136" s="655"/>
      <c r="W136" s="655"/>
      <c r="X136" s="655"/>
      <c r="Y136" s="655"/>
      <c r="Z136" s="655"/>
      <c r="AA136" s="655"/>
      <c r="AB136" s="655"/>
      <c r="AC136" s="655"/>
      <c r="AD136" s="655"/>
    </row>
    <row r="137">
      <c r="A137" s="102"/>
      <c r="B137" s="462"/>
      <c r="C137" s="462"/>
      <c r="D137" s="462"/>
      <c r="E137" s="462"/>
      <c r="F137" s="462"/>
      <c r="G137" s="462"/>
      <c r="H137" s="1054"/>
      <c r="I137" s="1055"/>
      <c r="J137" s="1056" t="str">
        <f>sum(J131:J136 )</f>
        <v>#REF!</v>
      </c>
      <c r="K137" s="1055"/>
      <c r="L137" s="654"/>
      <c r="M137" s="650"/>
      <c r="N137" s="650"/>
      <c r="O137" s="655"/>
      <c r="P137" s="655"/>
      <c r="Q137" s="655"/>
      <c r="R137" s="655"/>
      <c r="S137" s="655"/>
      <c r="T137" s="655"/>
      <c r="U137" s="655"/>
      <c r="V137" s="655"/>
      <c r="W137" s="655"/>
      <c r="X137" s="655"/>
      <c r="Y137" s="655"/>
      <c r="Z137" s="655"/>
      <c r="AA137" s="655"/>
      <c r="AB137" s="655"/>
      <c r="AC137" s="655"/>
      <c r="AD137" s="655"/>
    </row>
    <row r="138">
      <c r="A138" s="102"/>
      <c r="B138" s="462"/>
      <c r="C138" s="462"/>
      <c r="D138" s="462"/>
      <c r="E138" s="462"/>
      <c r="F138" s="462"/>
      <c r="G138" s="462"/>
      <c r="H138" s="462"/>
      <c r="I138" s="672"/>
      <c r="J138" s="650"/>
      <c r="K138" s="654"/>
      <c r="L138" s="654"/>
      <c r="M138" s="650"/>
      <c r="N138" s="650"/>
      <c r="O138" s="655"/>
      <c r="P138" s="655"/>
      <c r="Q138" s="655"/>
      <c r="R138" s="655"/>
      <c r="S138" s="655"/>
      <c r="T138" s="655"/>
      <c r="U138" s="655"/>
      <c r="V138" s="655"/>
      <c r="W138" s="655"/>
      <c r="X138" s="655"/>
      <c r="Y138" s="655"/>
      <c r="Z138" s="655"/>
      <c r="AA138" s="655"/>
      <c r="AB138" s="655"/>
      <c r="AC138" s="655"/>
      <c r="AD138" s="655"/>
    </row>
    <row r="139">
      <c r="A139" s="102"/>
      <c r="B139" s="462"/>
      <c r="C139" s="462"/>
      <c r="D139" s="462"/>
      <c r="E139" s="462"/>
      <c r="F139" s="462"/>
      <c r="G139" s="462"/>
      <c r="H139" s="462"/>
      <c r="I139" s="673"/>
      <c r="J139" s="650"/>
      <c r="K139" s="654"/>
      <c r="L139" s="654"/>
      <c r="M139" s="650"/>
      <c r="N139" s="650"/>
      <c r="O139" s="655"/>
      <c r="P139" s="655"/>
      <c r="Q139" s="655"/>
      <c r="R139" s="655"/>
      <c r="S139" s="655"/>
      <c r="T139" s="655"/>
      <c r="U139" s="655"/>
      <c r="V139" s="655"/>
      <c r="W139" s="655"/>
      <c r="X139" s="655"/>
      <c r="Y139" s="655"/>
      <c r="Z139" s="655"/>
      <c r="AA139" s="655"/>
      <c r="AB139" s="655"/>
      <c r="AC139" s="655"/>
      <c r="AD139" s="655"/>
    </row>
    <row r="140">
      <c r="A140" s="102"/>
      <c r="B140" s="462"/>
      <c r="C140" s="462"/>
      <c r="D140" s="462"/>
      <c r="E140" s="462"/>
      <c r="F140" s="462"/>
      <c r="G140" s="462"/>
      <c r="H140" s="462"/>
      <c r="I140" s="654"/>
      <c r="K140" s="654"/>
      <c r="L140" s="654"/>
      <c r="M140" s="650"/>
      <c r="N140" s="650"/>
      <c r="O140" s="655"/>
      <c r="P140" s="655"/>
      <c r="Q140" s="655"/>
      <c r="R140" s="655"/>
      <c r="S140" s="655"/>
      <c r="T140" s="655"/>
      <c r="U140" s="655"/>
      <c r="V140" s="655"/>
      <c r="W140" s="655"/>
      <c r="X140" s="655"/>
      <c r="Y140" s="655"/>
      <c r="Z140" s="655"/>
      <c r="AA140" s="655"/>
      <c r="AB140" s="655"/>
      <c r="AC140" s="655"/>
      <c r="AD140" s="655"/>
    </row>
    <row r="141">
      <c r="A141" s="102"/>
      <c r="B141" s="462"/>
      <c r="C141" s="462"/>
      <c r="D141" s="462"/>
      <c r="E141" s="462"/>
      <c r="F141" s="462"/>
      <c r="G141" s="462"/>
      <c r="H141" s="462"/>
      <c r="I141" s="654"/>
      <c r="J141" s="650"/>
      <c r="K141" s="654"/>
      <c r="L141" s="654"/>
      <c r="M141" s="650"/>
      <c r="N141" s="650"/>
      <c r="O141" s="655"/>
      <c r="P141" s="655"/>
      <c r="Q141" s="655"/>
      <c r="R141" s="655"/>
      <c r="S141" s="655"/>
      <c r="T141" s="655"/>
      <c r="U141" s="655"/>
      <c r="V141" s="655"/>
      <c r="W141" s="655"/>
      <c r="X141" s="655"/>
      <c r="Y141" s="655"/>
      <c r="Z141" s="655"/>
      <c r="AA141" s="655"/>
      <c r="AB141" s="655"/>
      <c r="AC141" s="655"/>
      <c r="AD141" s="655"/>
    </row>
    <row r="142">
      <c r="A142" s="102"/>
      <c r="B142" s="462"/>
      <c r="C142" s="462"/>
      <c r="D142" s="462"/>
      <c r="E142" s="462"/>
      <c r="F142" s="462"/>
      <c r="G142" s="462"/>
      <c r="H142" s="462"/>
      <c r="I142" s="654"/>
      <c r="J142" s="650"/>
      <c r="K142" s="654"/>
      <c r="L142" s="654"/>
      <c r="M142" s="650"/>
      <c r="N142" s="650"/>
      <c r="O142" s="655"/>
      <c r="P142" s="655"/>
      <c r="Q142" s="655"/>
      <c r="R142" s="655"/>
      <c r="S142" s="655"/>
      <c r="T142" s="655"/>
      <c r="U142" s="655"/>
      <c r="V142" s="655"/>
      <c r="W142" s="655"/>
      <c r="X142" s="655"/>
      <c r="Y142" s="655"/>
      <c r="Z142" s="655"/>
      <c r="AA142" s="655"/>
      <c r="AB142" s="655"/>
      <c r="AC142" s="655"/>
      <c r="AD142" s="655"/>
    </row>
    <row r="143">
      <c r="A143" s="104"/>
      <c r="B143" s="675"/>
      <c r="C143" s="675"/>
      <c r="D143" s="675"/>
      <c r="E143" s="675"/>
      <c r="F143" s="675"/>
      <c r="G143" s="675"/>
      <c r="H143" s="675"/>
      <c r="I143" s="677"/>
      <c r="J143" s="678"/>
      <c r="K143" s="677"/>
      <c r="L143" s="654"/>
      <c r="M143" s="650"/>
      <c r="N143" s="650"/>
      <c r="O143" s="655"/>
      <c r="P143" s="655"/>
      <c r="Q143" s="655"/>
      <c r="R143" s="655"/>
      <c r="S143" s="655"/>
      <c r="T143" s="655"/>
      <c r="U143" s="655"/>
      <c r="V143" s="655"/>
      <c r="W143" s="655"/>
      <c r="X143" s="655"/>
      <c r="Y143" s="655"/>
      <c r="Z143" s="655"/>
      <c r="AA143" s="655"/>
      <c r="AB143" s="655"/>
      <c r="AC143" s="655"/>
      <c r="AD143" s="655"/>
    </row>
    <row r="144">
      <c r="B144" s="462"/>
      <c r="C144" s="462"/>
      <c r="D144" s="462"/>
      <c r="E144" s="462"/>
      <c r="F144" s="462"/>
      <c r="G144" s="462"/>
      <c r="H144" s="462"/>
      <c r="I144" s="654"/>
      <c r="J144" s="650"/>
      <c r="K144" s="654"/>
      <c r="L144" s="654"/>
      <c r="M144" s="650"/>
      <c r="N144" s="650"/>
      <c r="O144" s="655"/>
      <c r="P144" s="655"/>
      <c r="Q144" s="655"/>
      <c r="R144" s="655"/>
      <c r="S144" s="655"/>
      <c r="T144" s="655"/>
      <c r="U144" s="655"/>
      <c r="V144" s="655"/>
      <c r="W144" s="655"/>
      <c r="X144" s="655"/>
      <c r="Y144" s="655"/>
      <c r="Z144" s="655"/>
      <c r="AA144" s="655"/>
      <c r="AB144" s="655"/>
      <c r="AC144" s="655"/>
      <c r="AD144" s="655"/>
    </row>
    <row r="145">
      <c r="B145" s="462"/>
      <c r="C145" s="462"/>
      <c r="D145" s="462"/>
      <c r="E145" s="462"/>
      <c r="F145" s="462"/>
      <c r="G145" s="462"/>
      <c r="H145" s="462"/>
      <c r="I145" s="654"/>
      <c r="J145" s="650"/>
      <c r="K145" s="654"/>
      <c r="L145" s="654"/>
      <c r="M145" s="650"/>
      <c r="N145" s="650"/>
      <c r="O145" s="655"/>
      <c r="P145" s="655"/>
      <c r="Q145" s="655"/>
      <c r="R145" s="655"/>
      <c r="S145" s="655"/>
      <c r="T145" s="655"/>
      <c r="U145" s="655"/>
      <c r="V145" s="655"/>
      <c r="W145" s="655"/>
      <c r="X145" s="655"/>
      <c r="Y145" s="655"/>
      <c r="Z145" s="655"/>
      <c r="AA145" s="655"/>
      <c r="AB145" s="655"/>
      <c r="AC145" s="655"/>
      <c r="AD145" s="655"/>
    </row>
    <row r="146">
      <c r="B146" s="462"/>
      <c r="C146" s="462"/>
      <c r="D146" s="462"/>
      <c r="E146" s="462"/>
      <c r="F146" s="462"/>
      <c r="G146" s="462"/>
      <c r="H146" s="462"/>
      <c r="I146" s="654"/>
      <c r="J146" s="679"/>
      <c r="K146" s="654"/>
      <c r="L146" s="654"/>
      <c r="M146" s="650"/>
      <c r="N146" s="650"/>
      <c r="O146" s="655"/>
      <c r="P146" s="655"/>
      <c r="Q146" s="655"/>
      <c r="R146" s="655"/>
      <c r="S146" s="655"/>
      <c r="T146" s="655"/>
      <c r="U146" s="655"/>
      <c r="V146" s="655"/>
      <c r="W146" s="655"/>
      <c r="X146" s="655"/>
      <c r="Y146" s="655"/>
      <c r="Z146" s="655"/>
      <c r="AA146" s="655"/>
      <c r="AB146" s="655"/>
      <c r="AC146" s="655"/>
      <c r="AD146" s="655"/>
    </row>
    <row r="147">
      <c r="B147" s="462"/>
      <c r="C147" s="462"/>
      <c r="D147" s="462"/>
      <c r="E147" s="462"/>
      <c r="F147" s="462"/>
      <c r="G147" s="462"/>
      <c r="H147" s="462"/>
      <c r="I147" s="680"/>
      <c r="J147" s="109"/>
      <c r="K147" s="654"/>
      <c r="L147" s="654"/>
      <c r="M147" s="650"/>
      <c r="N147" s="650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55"/>
      <c r="AB147" s="655"/>
      <c r="AC147" s="655"/>
      <c r="AD147" s="655"/>
    </row>
    <row r="148">
      <c r="B148" s="462"/>
      <c r="C148" s="462"/>
      <c r="D148" s="462"/>
      <c r="E148" s="462"/>
      <c r="F148" s="462"/>
      <c r="G148" s="462"/>
      <c r="H148" s="462"/>
      <c r="I148" s="654"/>
      <c r="J148" s="109"/>
      <c r="K148" s="654"/>
      <c r="L148" s="654"/>
      <c r="M148" s="650"/>
      <c r="N148" s="650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55"/>
      <c r="AB148" s="655"/>
      <c r="AC148" s="655"/>
      <c r="AD148" s="655"/>
    </row>
    <row r="149">
      <c r="B149" s="462"/>
      <c r="C149" s="462"/>
      <c r="D149" s="462"/>
      <c r="E149" s="462"/>
      <c r="F149" s="462"/>
      <c r="G149" s="462"/>
      <c r="H149" s="462"/>
      <c r="I149" s="654"/>
      <c r="J149" s="679"/>
      <c r="K149" s="654"/>
      <c r="L149" s="654"/>
      <c r="M149" s="650"/>
      <c r="N149" s="650"/>
      <c r="O149" s="655"/>
      <c r="P149" s="655"/>
      <c r="Q149" s="655"/>
      <c r="R149" s="655"/>
      <c r="S149" s="655"/>
      <c r="T149" s="655"/>
      <c r="U149" s="655"/>
      <c r="V149" s="655"/>
      <c r="W149" s="655"/>
      <c r="X149" s="655"/>
      <c r="Y149" s="655"/>
      <c r="Z149" s="655"/>
      <c r="AA149" s="655"/>
      <c r="AB149" s="655"/>
      <c r="AC149" s="655"/>
      <c r="AD149" s="655"/>
    </row>
    <row r="150">
      <c r="B150" s="462"/>
      <c r="C150" s="462"/>
      <c r="D150" s="462"/>
      <c r="E150" s="462"/>
      <c r="F150" s="462"/>
      <c r="G150" s="462"/>
      <c r="H150" s="462"/>
      <c r="I150" s="654"/>
      <c r="J150" s="671"/>
      <c r="K150" s="654"/>
      <c r="L150" s="654"/>
      <c r="M150" s="650"/>
      <c r="N150" s="650"/>
      <c r="O150" s="655"/>
      <c r="P150" s="655"/>
      <c r="Q150" s="655"/>
      <c r="R150" s="655"/>
      <c r="S150" s="655"/>
      <c r="T150" s="655"/>
      <c r="U150" s="655"/>
      <c r="V150" s="655"/>
      <c r="W150" s="655"/>
      <c r="X150" s="655"/>
      <c r="Y150" s="655"/>
      <c r="Z150" s="655"/>
      <c r="AA150" s="655"/>
      <c r="AB150" s="655"/>
      <c r="AC150" s="655"/>
      <c r="AD150" s="655"/>
    </row>
    <row r="151">
      <c r="B151" s="462"/>
      <c r="C151" s="462"/>
      <c r="D151" s="462"/>
      <c r="E151" s="462"/>
      <c r="F151" s="462"/>
      <c r="G151" s="462"/>
      <c r="H151" s="462"/>
      <c r="I151" s="654"/>
      <c r="J151" s="650"/>
      <c r="K151" s="654"/>
      <c r="L151" s="654"/>
      <c r="M151" s="650"/>
      <c r="N151" s="650"/>
      <c r="O151" s="655"/>
      <c r="P151" s="655"/>
      <c r="Q151" s="655"/>
      <c r="R151" s="655"/>
      <c r="S151" s="655"/>
      <c r="T151" s="655"/>
      <c r="U151" s="655"/>
      <c r="V151" s="655"/>
      <c r="W151" s="655"/>
      <c r="X151" s="655"/>
      <c r="Y151" s="655"/>
      <c r="Z151" s="655"/>
      <c r="AA151" s="655"/>
      <c r="AB151" s="655"/>
      <c r="AC151" s="655"/>
      <c r="AD151" s="655"/>
    </row>
    <row r="152">
      <c r="B152" s="462"/>
      <c r="C152" s="462"/>
      <c r="D152" s="462"/>
      <c r="E152" s="462"/>
      <c r="F152" s="462"/>
      <c r="G152" s="462"/>
      <c r="H152" s="462"/>
      <c r="I152" s="654"/>
      <c r="J152" s="650"/>
      <c r="K152" s="654"/>
      <c r="L152" s="654"/>
      <c r="M152" s="650"/>
      <c r="N152" s="650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5"/>
      <c r="AB152" s="655"/>
      <c r="AC152" s="655"/>
      <c r="AD152" s="655"/>
    </row>
    <row r="153">
      <c r="B153" s="462"/>
      <c r="C153" s="462"/>
      <c r="D153" s="462"/>
      <c r="E153" s="462"/>
      <c r="F153" s="462"/>
      <c r="G153" s="462"/>
      <c r="H153" s="462"/>
      <c r="I153" s="654"/>
      <c r="J153" s="650"/>
      <c r="K153" s="654"/>
      <c r="L153" s="654"/>
      <c r="M153" s="650"/>
      <c r="N153" s="650"/>
      <c r="O153" s="655"/>
      <c r="P153" s="655"/>
      <c r="Q153" s="655"/>
      <c r="R153" s="655"/>
      <c r="S153" s="655"/>
      <c r="T153" s="655"/>
      <c r="U153" s="655"/>
      <c r="V153" s="655"/>
      <c r="W153" s="655"/>
      <c r="X153" s="655"/>
      <c r="Y153" s="655"/>
      <c r="Z153" s="655"/>
      <c r="AA153" s="655"/>
      <c r="AB153" s="655"/>
      <c r="AC153" s="655"/>
      <c r="AD153" s="655"/>
    </row>
    <row r="154">
      <c r="B154" s="462"/>
      <c r="C154" s="462"/>
      <c r="D154" s="462"/>
      <c r="E154" s="462"/>
      <c r="F154" s="462"/>
      <c r="G154" s="462"/>
      <c r="H154" s="462"/>
      <c r="I154" s="654"/>
      <c r="J154" s="650"/>
      <c r="K154" s="654"/>
      <c r="L154" s="654"/>
      <c r="M154" s="650"/>
      <c r="N154" s="650"/>
      <c r="O154" s="655"/>
      <c r="P154" s="655"/>
      <c r="Q154" s="655"/>
      <c r="R154" s="655"/>
      <c r="S154" s="655"/>
      <c r="T154" s="655"/>
      <c r="U154" s="655"/>
      <c r="V154" s="655"/>
      <c r="W154" s="655"/>
      <c r="X154" s="655"/>
      <c r="Y154" s="655"/>
      <c r="Z154" s="655"/>
      <c r="AA154" s="655"/>
      <c r="AB154" s="655"/>
      <c r="AC154" s="655"/>
      <c r="AD154" s="655"/>
    </row>
    <row r="155">
      <c r="B155" s="462"/>
      <c r="C155" s="462"/>
      <c r="D155" s="462"/>
      <c r="E155" s="462"/>
      <c r="F155" s="462"/>
      <c r="G155" s="462"/>
      <c r="H155" s="462"/>
      <c r="I155" s="654"/>
      <c r="J155" s="650"/>
      <c r="K155" s="654"/>
      <c r="L155" s="654"/>
      <c r="M155" s="650"/>
      <c r="N155" s="650"/>
      <c r="O155" s="655"/>
      <c r="P155" s="655"/>
      <c r="Q155" s="655"/>
      <c r="R155" s="655"/>
      <c r="S155" s="655"/>
      <c r="T155" s="655"/>
      <c r="U155" s="655"/>
      <c r="V155" s="655"/>
      <c r="W155" s="655"/>
      <c r="X155" s="655"/>
      <c r="Y155" s="655"/>
      <c r="Z155" s="655"/>
      <c r="AA155" s="655"/>
      <c r="AB155" s="655"/>
      <c r="AC155" s="655"/>
      <c r="AD155" s="655"/>
    </row>
    <row r="156">
      <c r="B156" s="462"/>
      <c r="C156" s="462"/>
      <c r="D156" s="462"/>
      <c r="E156" s="462"/>
      <c r="F156" s="462"/>
      <c r="G156" s="462"/>
      <c r="H156" s="462"/>
      <c r="I156" s="654"/>
      <c r="J156" s="650"/>
      <c r="K156" s="654"/>
      <c r="L156" s="654"/>
      <c r="M156" s="650"/>
      <c r="N156" s="650"/>
      <c r="O156" s="655"/>
      <c r="P156" s="655"/>
      <c r="Q156" s="655"/>
      <c r="R156" s="655"/>
      <c r="S156" s="655"/>
      <c r="T156" s="655"/>
      <c r="U156" s="655"/>
      <c r="V156" s="655"/>
      <c r="W156" s="655"/>
      <c r="X156" s="655"/>
      <c r="Y156" s="655"/>
      <c r="Z156" s="655"/>
      <c r="AA156" s="655"/>
      <c r="AB156" s="655"/>
      <c r="AC156" s="655"/>
      <c r="AD156" s="655"/>
    </row>
    <row r="157">
      <c r="B157" s="462"/>
      <c r="C157" s="462"/>
      <c r="D157" s="462"/>
      <c r="E157" s="462"/>
      <c r="F157" s="462"/>
      <c r="G157" s="462"/>
      <c r="H157" s="462"/>
      <c r="I157" s="654"/>
      <c r="J157" s="650"/>
      <c r="K157" s="654"/>
      <c r="L157" s="654"/>
      <c r="M157" s="650"/>
      <c r="N157" s="650"/>
      <c r="O157" s="655"/>
      <c r="P157" s="655"/>
      <c r="Q157" s="655"/>
      <c r="R157" s="655"/>
      <c r="S157" s="655"/>
      <c r="T157" s="655"/>
      <c r="U157" s="655"/>
      <c r="V157" s="655"/>
      <c r="W157" s="655"/>
      <c r="X157" s="655"/>
      <c r="Y157" s="655"/>
      <c r="Z157" s="655"/>
      <c r="AA157" s="655"/>
      <c r="AB157" s="655"/>
      <c r="AC157" s="655"/>
      <c r="AD157" s="655"/>
    </row>
    <row r="158">
      <c r="B158" s="462"/>
      <c r="C158" s="462"/>
      <c r="D158" s="462"/>
      <c r="E158" s="462"/>
      <c r="F158" s="462"/>
      <c r="G158" s="462"/>
      <c r="H158" s="462"/>
      <c r="I158" s="654"/>
      <c r="J158" s="650"/>
      <c r="K158" s="654"/>
      <c r="L158" s="654"/>
      <c r="M158" s="650"/>
      <c r="N158" s="650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  <c r="AA158" s="655"/>
      <c r="AB158" s="655"/>
      <c r="AC158" s="655"/>
      <c r="AD158" s="655"/>
    </row>
    <row r="159">
      <c r="B159" s="462"/>
      <c r="C159" s="462"/>
      <c r="D159" s="462"/>
      <c r="E159" s="462"/>
      <c r="F159" s="462"/>
      <c r="G159" s="462"/>
      <c r="H159" s="462"/>
      <c r="I159" s="654"/>
      <c r="J159" s="650"/>
      <c r="K159" s="654"/>
      <c r="L159" s="654"/>
      <c r="M159" s="650"/>
      <c r="N159" s="650"/>
      <c r="O159" s="655"/>
      <c r="P159" s="655"/>
      <c r="Q159" s="655"/>
      <c r="R159" s="655"/>
      <c r="S159" s="655"/>
      <c r="T159" s="655"/>
      <c r="U159" s="655"/>
      <c r="V159" s="655"/>
      <c r="W159" s="655"/>
      <c r="X159" s="655"/>
      <c r="Y159" s="655"/>
      <c r="Z159" s="655"/>
      <c r="AA159" s="655"/>
      <c r="AB159" s="655"/>
      <c r="AC159" s="655"/>
      <c r="AD159" s="655"/>
    </row>
    <row r="160">
      <c r="B160" s="462"/>
      <c r="C160" s="462"/>
      <c r="D160" s="462"/>
      <c r="E160" s="462"/>
      <c r="F160" s="462"/>
      <c r="G160" s="462"/>
      <c r="H160" s="462"/>
      <c r="I160" s="654"/>
      <c r="J160" s="650"/>
      <c r="K160" s="654"/>
      <c r="L160" s="654"/>
      <c r="M160" s="650"/>
      <c r="N160" s="650"/>
      <c r="O160" s="655"/>
      <c r="P160" s="655"/>
      <c r="Q160" s="655"/>
      <c r="R160" s="655"/>
      <c r="S160" s="655"/>
      <c r="T160" s="655"/>
      <c r="U160" s="655"/>
      <c r="V160" s="655"/>
      <c r="W160" s="655"/>
      <c r="X160" s="655"/>
      <c r="Y160" s="655"/>
      <c r="Z160" s="655"/>
      <c r="AA160" s="655"/>
      <c r="AB160" s="655"/>
      <c r="AC160" s="655"/>
      <c r="AD160" s="655"/>
    </row>
    <row r="161">
      <c r="B161" s="462"/>
      <c r="C161" s="462"/>
      <c r="D161" s="462"/>
      <c r="E161" s="462"/>
      <c r="F161" s="462"/>
      <c r="G161" s="462"/>
      <c r="H161" s="462"/>
      <c r="I161" s="654"/>
      <c r="J161" s="650"/>
      <c r="K161" s="654"/>
      <c r="L161" s="654"/>
      <c r="M161" s="650"/>
      <c r="N161" s="650"/>
      <c r="O161" s="655"/>
      <c r="P161" s="655"/>
      <c r="Q161" s="655"/>
      <c r="R161" s="655"/>
      <c r="S161" s="655"/>
      <c r="T161" s="655"/>
      <c r="U161" s="655"/>
      <c r="V161" s="655"/>
      <c r="W161" s="655"/>
      <c r="X161" s="655"/>
      <c r="Y161" s="655"/>
      <c r="Z161" s="655"/>
      <c r="AA161" s="655"/>
      <c r="AB161" s="655"/>
      <c r="AC161" s="655"/>
      <c r="AD161" s="655"/>
    </row>
    <row r="162">
      <c r="B162" s="462"/>
      <c r="C162" s="462"/>
      <c r="D162" s="462"/>
      <c r="E162" s="462"/>
      <c r="F162" s="462"/>
      <c r="G162" s="462"/>
      <c r="H162" s="462"/>
      <c r="I162" s="654"/>
      <c r="J162" s="650"/>
      <c r="K162" s="654"/>
      <c r="L162" s="654"/>
      <c r="M162" s="650"/>
      <c r="N162" s="650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  <c r="AA162" s="655"/>
      <c r="AB162" s="655"/>
      <c r="AC162" s="655"/>
      <c r="AD162" s="655"/>
    </row>
    <row r="163">
      <c r="B163" s="462"/>
      <c r="C163" s="462"/>
      <c r="D163" s="462"/>
      <c r="E163" s="462"/>
      <c r="F163" s="462"/>
      <c r="G163" s="462"/>
      <c r="H163" s="462"/>
      <c r="I163" s="654"/>
      <c r="J163" s="650"/>
      <c r="K163" s="654"/>
      <c r="L163" s="654"/>
      <c r="M163" s="650"/>
      <c r="N163" s="650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  <c r="AA163" s="655"/>
      <c r="AB163" s="655"/>
      <c r="AC163" s="655"/>
      <c r="AD163" s="655"/>
    </row>
    <row r="164">
      <c r="B164" s="462"/>
      <c r="C164" s="462"/>
      <c r="D164" s="462"/>
      <c r="E164" s="462"/>
      <c r="F164" s="462"/>
      <c r="G164" s="462"/>
      <c r="H164" s="462"/>
      <c r="I164" s="654"/>
      <c r="J164" s="650"/>
      <c r="K164" s="654"/>
      <c r="L164" s="654"/>
      <c r="M164" s="650"/>
      <c r="N164" s="650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5"/>
      <c r="AB164" s="655"/>
      <c r="AC164" s="655"/>
      <c r="AD164" s="655"/>
    </row>
    <row r="165">
      <c r="B165" s="462"/>
      <c r="C165" s="462"/>
      <c r="D165" s="462"/>
      <c r="E165" s="462"/>
      <c r="F165" s="462"/>
      <c r="G165" s="462"/>
      <c r="H165" s="462"/>
      <c r="I165" s="654"/>
      <c r="J165" s="650"/>
      <c r="K165" s="654"/>
      <c r="L165" s="654"/>
      <c r="M165" s="650"/>
      <c r="N165" s="650"/>
      <c r="O165" s="655"/>
      <c r="P165" s="655"/>
      <c r="Q165" s="655"/>
      <c r="R165" s="655"/>
      <c r="S165" s="655"/>
      <c r="T165" s="655"/>
      <c r="U165" s="655"/>
      <c r="V165" s="655"/>
      <c r="W165" s="655"/>
      <c r="X165" s="655"/>
      <c r="Y165" s="655"/>
      <c r="Z165" s="655"/>
      <c r="AA165" s="655"/>
      <c r="AB165" s="655"/>
      <c r="AC165" s="655"/>
      <c r="AD165" s="655"/>
    </row>
    <row r="166">
      <c r="B166" s="462"/>
      <c r="C166" s="462"/>
      <c r="D166" s="462"/>
      <c r="E166" s="462"/>
      <c r="F166" s="462"/>
      <c r="G166" s="462"/>
      <c r="H166" s="462"/>
      <c r="I166" s="654"/>
      <c r="J166" s="650"/>
      <c r="K166" s="654"/>
      <c r="L166" s="654"/>
      <c r="M166" s="650"/>
      <c r="N166" s="650"/>
      <c r="O166" s="655"/>
      <c r="P166" s="655"/>
      <c r="Q166" s="655"/>
      <c r="R166" s="655"/>
      <c r="S166" s="655"/>
      <c r="T166" s="655"/>
      <c r="U166" s="655"/>
      <c r="V166" s="655"/>
      <c r="W166" s="655"/>
      <c r="X166" s="655"/>
      <c r="Y166" s="655"/>
      <c r="Z166" s="655"/>
      <c r="AA166" s="655"/>
      <c r="AB166" s="655"/>
      <c r="AC166" s="655"/>
      <c r="AD166" s="655"/>
    </row>
    <row r="167">
      <c r="B167" s="462"/>
      <c r="C167" s="462"/>
      <c r="D167" s="462"/>
      <c r="E167" s="462"/>
      <c r="F167" s="462"/>
      <c r="G167" s="462"/>
      <c r="H167" s="462"/>
      <c r="I167" s="654"/>
      <c r="J167" s="650"/>
      <c r="K167" s="654"/>
      <c r="L167" s="654"/>
      <c r="M167" s="650"/>
      <c r="N167" s="650"/>
      <c r="O167" s="655"/>
      <c r="P167" s="655"/>
      <c r="Q167" s="655"/>
      <c r="R167" s="655"/>
      <c r="S167" s="655"/>
      <c r="T167" s="655"/>
      <c r="U167" s="655"/>
      <c r="V167" s="655"/>
      <c r="W167" s="655"/>
      <c r="X167" s="655"/>
      <c r="Y167" s="655"/>
      <c r="Z167" s="655"/>
      <c r="AA167" s="655"/>
      <c r="AB167" s="655"/>
      <c r="AC167" s="655"/>
      <c r="AD167" s="655"/>
    </row>
    <row r="168">
      <c r="B168" s="462"/>
      <c r="C168" s="462"/>
      <c r="D168" s="462"/>
      <c r="E168" s="462"/>
      <c r="F168" s="462"/>
      <c r="G168" s="462"/>
      <c r="H168" s="462"/>
      <c r="I168" s="654"/>
      <c r="J168" s="650"/>
      <c r="K168" s="654"/>
      <c r="L168" s="654"/>
      <c r="M168" s="650"/>
      <c r="N168" s="650"/>
      <c r="O168" s="655"/>
      <c r="P168" s="655"/>
      <c r="Q168" s="655"/>
      <c r="R168" s="655"/>
      <c r="S168" s="655"/>
      <c r="T168" s="655"/>
      <c r="U168" s="655"/>
      <c r="V168" s="655"/>
      <c r="W168" s="655"/>
      <c r="X168" s="655"/>
      <c r="Y168" s="655"/>
      <c r="Z168" s="655"/>
      <c r="AA168" s="655"/>
      <c r="AB168" s="655"/>
      <c r="AC168" s="655"/>
      <c r="AD168" s="655"/>
    </row>
    <row r="169">
      <c r="B169" s="462"/>
      <c r="C169" s="462"/>
      <c r="D169" s="462"/>
      <c r="E169" s="462"/>
      <c r="F169" s="462"/>
      <c r="G169" s="462"/>
      <c r="H169" s="462"/>
      <c r="I169" s="654"/>
      <c r="J169" s="650"/>
      <c r="K169" s="654"/>
      <c r="L169" s="654"/>
      <c r="M169" s="650"/>
      <c r="N169" s="650"/>
      <c r="O169" s="655"/>
      <c r="P169" s="655"/>
      <c r="Q169" s="655"/>
      <c r="R169" s="655"/>
      <c r="S169" s="655"/>
      <c r="T169" s="655"/>
      <c r="U169" s="655"/>
      <c r="V169" s="655"/>
      <c r="W169" s="655"/>
      <c r="X169" s="655"/>
      <c r="Y169" s="655"/>
      <c r="Z169" s="655"/>
      <c r="AA169" s="655"/>
      <c r="AB169" s="655"/>
      <c r="AC169" s="655"/>
      <c r="AD169" s="655"/>
    </row>
    <row r="170">
      <c r="B170" s="462"/>
      <c r="C170" s="462"/>
      <c r="D170" s="462"/>
      <c r="E170" s="462"/>
      <c r="F170" s="462"/>
      <c r="G170" s="462"/>
      <c r="H170" s="462"/>
      <c r="I170" s="654"/>
      <c r="J170" s="650"/>
      <c r="K170" s="654"/>
      <c r="L170" s="654"/>
      <c r="M170" s="650"/>
      <c r="N170" s="650"/>
      <c r="O170" s="655"/>
      <c r="P170" s="655"/>
      <c r="Q170" s="655"/>
      <c r="R170" s="655"/>
      <c r="S170" s="655"/>
      <c r="T170" s="655"/>
      <c r="U170" s="655"/>
      <c r="V170" s="655"/>
      <c r="W170" s="655"/>
      <c r="X170" s="655"/>
      <c r="Y170" s="655"/>
      <c r="Z170" s="655"/>
      <c r="AA170" s="655"/>
      <c r="AB170" s="655"/>
      <c r="AC170" s="655"/>
      <c r="AD170" s="655"/>
    </row>
    <row r="171">
      <c r="B171" s="462"/>
      <c r="C171" s="462"/>
      <c r="D171" s="462"/>
      <c r="E171" s="462"/>
      <c r="F171" s="462"/>
      <c r="G171" s="462"/>
      <c r="H171" s="462"/>
      <c r="I171" s="654"/>
      <c r="J171" s="650"/>
      <c r="K171" s="654"/>
      <c r="L171" s="654"/>
      <c r="M171" s="650"/>
      <c r="N171" s="650"/>
      <c r="O171" s="655"/>
      <c r="P171" s="655"/>
      <c r="Q171" s="655"/>
      <c r="R171" s="655"/>
      <c r="S171" s="655"/>
      <c r="T171" s="655"/>
      <c r="U171" s="655"/>
      <c r="V171" s="655"/>
      <c r="W171" s="655"/>
      <c r="X171" s="655"/>
      <c r="Y171" s="655"/>
      <c r="Z171" s="655"/>
      <c r="AA171" s="655"/>
      <c r="AB171" s="655"/>
      <c r="AC171" s="655"/>
      <c r="AD171" s="655"/>
    </row>
    <row r="172">
      <c r="B172" s="462"/>
      <c r="C172" s="462"/>
      <c r="D172" s="462"/>
      <c r="E172" s="462"/>
      <c r="F172" s="462"/>
      <c r="G172" s="462"/>
      <c r="H172" s="462"/>
      <c r="I172" s="654"/>
      <c r="J172" s="650"/>
      <c r="K172" s="654"/>
      <c r="L172" s="654"/>
      <c r="M172" s="650"/>
      <c r="N172" s="650"/>
      <c r="O172" s="655"/>
      <c r="P172" s="655"/>
      <c r="Q172" s="655"/>
      <c r="R172" s="655"/>
      <c r="S172" s="655"/>
      <c r="T172" s="655"/>
      <c r="U172" s="655"/>
      <c r="V172" s="655"/>
      <c r="W172" s="655"/>
      <c r="X172" s="655"/>
      <c r="Y172" s="655"/>
      <c r="Z172" s="655"/>
      <c r="AA172" s="655"/>
      <c r="AB172" s="655"/>
      <c r="AC172" s="655"/>
      <c r="AD172" s="655"/>
    </row>
    <row r="173">
      <c r="B173" s="462"/>
      <c r="C173" s="462"/>
      <c r="D173" s="462"/>
      <c r="E173" s="462"/>
      <c r="F173" s="462"/>
      <c r="G173" s="462"/>
      <c r="H173" s="462"/>
      <c r="I173" s="654"/>
      <c r="J173" s="650"/>
      <c r="K173" s="654"/>
      <c r="L173" s="654"/>
      <c r="M173" s="650"/>
      <c r="N173" s="650"/>
      <c r="O173" s="655"/>
      <c r="P173" s="655"/>
      <c r="Q173" s="655"/>
      <c r="R173" s="655"/>
      <c r="S173" s="655"/>
      <c r="T173" s="655"/>
      <c r="U173" s="655"/>
      <c r="V173" s="655"/>
      <c r="W173" s="655"/>
      <c r="X173" s="655"/>
      <c r="Y173" s="655"/>
      <c r="Z173" s="655"/>
      <c r="AA173" s="655"/>
      <c r="AB173" s="655"/>
      <c r="AC173" s="655"/>
      <c r="AD173" s="655"/>
    </row>
    <row r="174">
      <c r="B174" s="462"/>
      <c r="C174" s="462"/>
      <c r="D174" s="462"/>
      <c r="E174" s="462"/>
      <c r="F174" s="462"/>
      <c r="G174" s="462"/>
      <c r="H174" s="462"/>
      <c r="I174" s="654"/>
      <c r="J174" s="650"/>
      <c r="K174" s="654"/>
      <c r="L174" s="654"/>
      <c r="M174" s="650"/>
      <c r="N174" s="650"/>
      <c r="O174" s="655"/>
      <c r="P174" s="655"/>
      <c r="Q174" s="655"/>
      <c r="R174" s="655"/>
      <c r="S174" s="655"/>
      <c r="T174" s="655"/>
      <c r="U174" s="655"/>
      <c r="V174" s="655"/>
      <c r="W174" s="655"/>
      <c r="X174" s="655"/>
      <c r="Y174" s="655"/>
      <c r="Z174" s="655"/>
      <c r="AA174" s="655"/>
      <c r="AB174" s="655"/>
      <c r="AC174" s="655"/>
      <c r="AD174" s="655"/>
    </row>
    <row r="175">
      <c r="B175" s="462"/>
      <c r="C175" s="462"/>
      <c r="D175" s="462"/>
      <c r="E175" s="462"/>
      <c r="F175" s="462"/>
      <c r="G175" s="462"/>
      <c r="H175" s="462"/>
      <c r="I175" s="654"/>
      <c r="J175" s="650"/>
      <c r="K175" s="654"/>
      <c r="L175" s="654"/>
      <c r="M175" s="650"/>
      <c r="N175" s="650"/>
      <c r="O175" s="655"/>
      <c r="P175" s="655"/>
      <c r="Q175" s="655"/>
      <c r="R175" s="655"/>
      <c r="S175" s="655"/>
      <c r="T175" s="655"/>
      <c r="U175" s="655"/>
      <c r="V175" s="655"/>
      <c r="W175" s="655"/>
      <c r="X175" s="655"/>
      <c r="Y175" s="655"/>
      <c r="Z175" s="655"/>
      <c r="AA175" s="655"/>
      <c r="AB175" s="655"/>
      <c r="AC175" s="655"/>
      <c r="AD175" s="655"/>
    </row>
    <row r="176">
      <c r="B176" s="462"/>
      <c r="C176" s="462"/>
      <c r="D176" s="462"/>
      <c r="E176" s="462"/>
      <c r="F176" s="462"/>
      <c r="G176" s="462"/>
      <c r="H176" s="462"/>
      <c r="I176" s="654"/>
      <c r="J176" s="650"/>
      <c r="K176" s="654"/>
      <c r="L176" s="654"/>
      <c r="M176" s="650"/>
      <c r="N176" s="650"/>
      <c r="O176" s="655"/>
      <c r="P176" s="655"/>
      <c r="Q176" s="655"/>
      <c r="R176" s="655"/>
      <c r="S176" s="655"/>
      <c r="T176" s="655"/>
      <c r="U176" s="655"/>
      <c r="V176" s="655"/>
      <c r="W176" s="655"/>
      <c r="X176" s="655"/>
      <c r="Y176" s="655"/>
      <c r="Z176" s="655"/>
      <c r="AA176" s="655"/>
      <c r="AB176" s="655"/>
      <c r="AC176" s="655"/>
      <c r="AD176" s="655"/>
    </row>
    <row r="177">
      <c r="B177" s="462"/>
      <c r="C177" s="462"/>
      <c r="D177" s="462"/>
      <c r="E177" s="462"/>
      <c r="F177" s="462"/>
      <c r="G177" s="462"/>
      <c r="H177" s="462"/>
      <c r="I177" s="654"/>
      <c r="J177" s="650"/>
      <c r="K177" s="654"/>
      <c r="L177" s="654"/>
      <c r="M177" s="650"/>
      <c r="N177" s="650"/>
      <c r="O177" s="655"/>
      <c r="P177" s="655"/>
      <c r="Q177" s="655"/>
      <c r="R177" s="655"/>
      <c r="S177" s="655"/>
      <c r="T177" s="655"/>
      <c r="U177" s="655"/>
      <c r="V177" s="655"/>
      <c r="W177" s="655"/>
      <c r="X177" s="655"/>
      <c r="Y177" s="655"/>
      <c r="Z177" s="655"/>
      <c r="AA177" s="655"/>
      <c r="AB177" s="655"/>
      <c r="AC177" s="655"/>
      <c r="AD177" s="655"/>
    </row>
    <row r="178">
      <c r="B178" s="462"/>
      <c r="C178" s="462"/>
      <c r="D178" s="462"/>
      <c r="E178" s="462"/>
      <c r="F178" s="462"/>
      <c r="G178" s="462"/>
      <c r="H178" s="462"/>
      <c r="I178" s="654"/>
      <c r="J178" s="650"/>
      <c r="K178" s="654"/>
      <c r="L178" s="654"/>
      <c r="M178" s="650"/>
      <c r="N178" s="650"/>
      <c r="O178" s="655"/>
      <c r="P178" s="655"/>
      <c r="Q178" s="655"/>
      <c r="R178" s="655"/>
      <c r="S178" s="655"/>
      <c r="T178" s="655"/>
      <c r="U178" s="655"/>
      <c r="V178" s="655"/>
      <c r="W178" s="655"/>
      <c r="X178" s="655"/>
      <c r="Y178" s="655"/>
      <c r="Z178" s="655"/>
      <c r="AA178" s="655"/>
      <c r="AB178" s="655"/>
      <c r="AC178" s="655"/>
      <c r="AD178" s="655"/>
    </row>
    <row r="179">
      <c r="B179" s="462"/>
      <c r="C179" s="462"/>
      <c r="D179" s="462"/>
      <c r="E179" s="462"/>
      <c r="F179" s="462"/>
      <c r="G179" s="462"/>
      <c r="H179" s="462"/>
      <c r="I179" s="654"/>
      <c r="J179" s="650"/>
      <c r="K179" s="654"/>
      <c r="L179" s="654"/>
      <c r="M179" s="650"/>
      <c r="N179" s="650"/>
      <c r="O179" s="655"/>
      <c r="P179" s="655"/>
      <c r="Q179" s="655"/>
      <c r="R179" s="655"/>
      <c r="S179" s="655"/>
      <c r="T179" s="655"/>
      <c r="U179" s="655"/>
      <c r="V179" s="655"/>
      <c r="W179" s="655"/>
      <c r="X179" s="655"/>
      <c r="Y179" s="655"/>
      <c r="Z179" s="655"/>
      <c r="AA179" s="655"/>
      <c r="AB179" s="655"/>
      <c r="AC179" s="655"/>
      <c r="AD179" s="655"/>
    </row>
    <row r="180">
      <c r="B180" s="462"/>
      <c r="C180" s="462"/>
      <c r="D180" s="462"/>
      <c r="E180" s="462"/>
      <c r="F180" s="462"/>
      <c r="G180" s="462"/>
      <c r="H180" s="462"/>
      <c r="I180" s="654"/>
      <c r="J180" s="650"/>
      <c r="K180" s="654"/>
      <c r="L180" s="654"/>
      <c r="M180" s="650"/>
      <c r="N180" s="650"/>
      <c r="O180" s="655"/>
      <c r="P180" s="655"/>
      <c r="Q180" s="655"/>
      <c r="R180" s="655"/>
      <c r="S180" s="655"/>
      <c r="T180" s="655"/>
      <c r="U180" s="655"/>
      <c r="V180" s="655"/>
      <c r="W180" s="655"/>
      <c r="X180" s="655"/>
      <c r="Y180" s="655"/>
      <c r="Z180" s="655"/>
      <c r="AA180" s="655"/>
      <c r="AB180" s="655"/>
      <c r="AC180" s="655"/>
      <c r="AD180" s="655"/>
    </row>
    <row r="181">
      <c r="B181" s="462"/>
      <c r="C181" s="462"/>
      <c r="D181" s="462"/>
      <c r="E181" s="462"/>
      <c r="F181" s="462"/>
      <c r="G181" s="462"/>
      <c r="H181" s="462"/>
      <c r="I181" s="654"/>
      <c r="J181" s="650"/>
      <c r="K181" s="654"/>
      <c r="L181" s="654"/>
      <c r="M181" s="650"/>
      <c r="N181" s="650"/>
      <c r="O181" s="655"/>
      <c r="P181" s="655"/>
      <c r="Q181" s="655"/>
      <c r="R181" s="655"/>
      <c r="S181" s="655"/>
      <c r="T181" s="655"/>
      <c r="U181" s="655"/>
      <c r="V181" s="655"/>
      <c r="W181" s="655"/>
      <c r="X181" s="655"/>
      <c r="Y181" s="655"/>
      <c r="Z181" s="655"/>
      <c r="AA181" s="655"/>
      <c r="AB181" s="655"/>
      <c r="AC181" s="655"/>
      <c r="AD181" s="655"/>
    </row>
    <row r="182">
      <c r="B182" s="462"/>
      <c r="C182" s="462"/>
      <c r="D182" s="462"/>
      <c r="E182" s="462"/>
      <c r="F182" s="462"/>
      <c r="G182" s="462"/>
      <c r="H182" s="462"/>
      <c r="I182" s="654"/>
      <c r="J182" s="650"/>
      <c r="K182" s="654"/>
      <c r="L182" s="654"/>
      <c r="M182" s="650"/>
      <c r="N182" s="650"/>
      <c r="O182" s="655"/>
      <c r="P182" s="655"/>
      <c r="Q182" s="655"/>
      <c r="R182" s="655"/>
      <c r="S182" s="655"/>
      <c r="T182" s="655"/>
      <c r="U182" s="655"/>
      <c r="V182" s="655"/>
      <c r="W182" s="655"/>
      <c r="X182" s="655"/>
      <c r="Y182" s="655"/>
      <c r="Z182" s="655"/>
      <c r="AA182" s="655"/>
      <c r="AB182" s="655"/>
      <c r="AC182" s="655"/>
      <c r="AD182" s="655"/>
    </row>
    <row r="183">
      <c r="B183" s="462"/>
      <c r="C183" s="462"/>
      <c r="D183" s="462"/>
      <c r="E183" s="462"/>
      <c r="F183" s="462"/>
      <c r="G183" s="462"/>
      <c r="H183" s="462"/>
      <c r="I183" s="654"/>
      <c r="J183" s="650"/>
      <c r="K183" s="654"/>
      <c r="L183" s="654"/>
      <c r="M183" s="650"/>
      <c r="N183" s="650"/>
      <c r="O183" s="655"/>
      <c r="P183" s="655"/>
      <c r="Q183" s="655"/>
      <c r="R183" s="655"/>
      <c r="S183" s="655"/>
      <c r="T183" s="655"/>
      <c r="U183" s="655"/>
      <c r="V183" s="655"/>
      <c r="W183" s="655"/>
      <c r="X183" s="655"/>
      <c r="Y183" s="655"/>
      <c r="Z183" s="655"/>
      <c r="AA183" s="655"/>
      <c r="AB183" s="655"/>
      <c r="AC183" s="655"/>
      <c r="AD183" s="655"/>
    </row>
    <row r="184">
      <c r="B184" s="462"/>
      <c r="C184" s="462"/>
      <c r="D184" s="462"/>
      <c r="E184" s="462"/>
      <c r="F184" s="462"/>
      <c r="G184" s="462"/>
      <c r="H184" s="462"/>
      <c r="I184" s="654"/>
      <c r="J184" s="650"/>
      <c r="K184" s="654"/>
      <c r="L184" s="654"/>
      <c r="M184" s="650"/>
      <c r="N184" s="650"/>
      <c r="O184" s="655"/>
      <c r="P184" s="655"/>
      <c r="Q184" s="655"/>
      <c r="R184" s="655"/>
      <c r="S184" s="655"/>
      <c r="T184" s="655"/>
      <c r="U184" s="655"/>
      <c r="V184" s="655"/>
      <c r="W184" s="655"/>
      <c r="X184" s="655"/>
      <c r="Y184" s="655"/>
      <c r="Z184" s="655"/>
      <c r="AA184" s="655"/>
      <c r="AB184" s="655"/>
      <c r="AC184" s="655"/>
      <c r="AD184" s="655"/>
    </row>
    <row r="185">
      <c r="B185" s="462"/>
      <c r="C185" s="462"/>
      <c r="D185" s="462"/>
      <c r="E185" s="462"/>
      <c r="F185" s="462"/>
      <c r="G185" s="462"/>
      <c r="H185" s="462"/>
      <c r="I185" s="654"/>
      <c r="J185" s="650"/>
      <c r="K185" s="654"/>
      <c r="L185" s="654"/>
      <c r="M185" s="650"/>
      <c r="N185" s="650"/>
      <c r="O185" s="655"/>
      <c r="P185" s="655"/>
      <c r="Q185" s="655"/>
      <c r="R185" s="655"/>
      <c r="S185" s="655"/>
      <c r="T185" s="655"/>
      <c r="U185" s="655"/>
      <c r="V185" s="655"/>
      <c r="W185" s="655"/>
      <c r="X185" s="655"/>
      <c r="Y185" s="655"/>
      <c r="Z185" s="655"/>
      <c r="AA185" s="655"/>
      <c r="AB185" s="655"/>
      <c r="AC185" s="655"/>
      <c r="AD185" s="655"/>
    </row>
    <row r="186">
      <c r="B186" s="462"/>
      <c r="C186" s="462"/>
      <c r="D186" s="462"/>
      <c r="E186" s="462"/>
      <c r="F186" s="462"/>
      <c r="G186" s="462"/>
      <c r="H186" s="462"/>
      <c r="I186" s="654"/>
      <c r="J186" s="650"/>
      <c r="K186" s="654"/>
      <c r="L186" s="654"/>
      <c r="M186" s="650"/>
      <c r="N186" s="650"/>
      <c r="O186" s="655"/>
      <c r="P186" s="655"/>
      <c r="Q186" s="655"/>
      <c r="R186" s="655"/>
      <c r="S186" s="655"/>
      <c r="T186" s="655"/>
      <c r="U186" s="655"/>
      <c r="V186" s="655"/>
      <c r="W186" s="655"/>
      <c r="X186" s="655"/>
      <c r="Y186" s="655"/>
      <c r="Z186" s="655"/>
      <c r="AA186" s="655"/>
      <c r="AB186" s="655"/>
      <c r="AC186" s="655"/>
      <c r="AD186" s="655"/>
    </row>
    <row r="187">
      <c r="B187" s="462"/>
      <c r="C187" s="462"/>
      <c r="D187" s="462"/>
      <c r="E187" s="462"/>
      <c r="F187" s="462"/>
      <c r="G187" s="462"/>
      <c r="H187" s="462"/>
      <c r="I187" s="654"/>
      <c r="J187" s="650"/>
      <c r="K187" s="654"/>
      <c r="L187" s="654"/>
      <c r="M187" s="650"/>
      <c r="N187" s="650"/>
      <c r="O187" s="655"/>
      <c r="P187" s="655"/>
      <c r="Q187" s="655"/>
      <c r="R187" s="655"/>
      <c r="S187" s="655"/>
      <c r="T187" s="655"/>
      <c r="U187" s="655"/>
      <c r="V187" s="655"/>
      <c r="W187" s="655"/>
      <c r="X187" s="655"/>
      <c r="Y187" s="655"/>
      <c r="Z187" s="655"/>
      <c r="AA187" s="655"/>
      <c r="AB187" s="655"/>
      <c r="AC187" s="655"/>
      <c r="AD187" s="655"/>
    </row>
    <row r="188">
      <c r="B188" s="462"/>
      <c r="C188" s="462"/>
      <c r="D188" s="462"/>
      <c r="E188" s="462"/>
      <c r="F188" s="462"/>
      <c r="G188" s="462"/>
      <c r="H188" s="462"/>
      <c r="I188" s="654"/>
      <c r="J188" s="650"/>
      <c r="K188" s="654"/>
      <c r="L188" s="654"/>
      <c r="M188" s="650"/>
      <c r="N188" s="650"/>
      <c r="O188" s="655"/>
      <c r="P188" s="655"/>
      <c r="Q188" s="655"/>
      <c r="R188" s="655"/>
      <c r="S188" s="655"/>
      <c r="T188" s="655"/>
      <c r="U188" s="655"/>
      <c r="V188" s="655"/>
      <c r="W188" s="655"/>
      <c r="X188" s="655"/>
      <c r="Y188" s="655"/>
      <c r="Z188" s="655"/>
      <c r="AA188" s="655"/>
      <c r="AB188" s="655"/>
      <c r="AC188" s="655"/>
      <c r="AD188" s="655"/>
    </row>
    <row r="189">
      <c r="B189" s="462"/>
      <c r="C189" s="462"/>
      <c r="D189" s="462"/>
      <c r="E189" s="462"/>
      <c r="F189" s="462"/>
      <c r="G189" s="462"/>
      <c r="H189" s="462"/>
      <c r="I189" s="654"/>
      <c r="J189" s="650"/>
      <c r="K189" s="654"/>
      <c r="L189" s="654"/>
      <c r="M189" s="650"/>
      <c r="N189" s="650"/>
      <c r="O189" s="655"/>
      <c r="P189" s="655"/>
      <c r="Q189" s="655"/>
      <c r="R189" s="655"/>
      <c r="S189" s="655"/>
      <c r="T189" s="655"/>
      <c r="U189" s="655"/>
      <c r="V189" s="655"/>
      <c r="W189" s="655"/>
      <c r="X189" s="655"/>
      <c r="Y189" s="655"/>
      <c r="Z189" s="655"/>
      <c r="AA189" s="655"/>
      <c r="AB189" s="655"/>
      <c r="AC189" s="655"/>
      <c r="AD189" s="655"/>
    </row>
    <row r="190">
      <c r="B190" s="462"/>
      <c r="C190" s="462"/>
      <c r="D190" s="462"/>
      <c r="E190" s="462"/>
      <c r="F190" s="462"/>
      <c r="G190" s="462"/>
      <c r="H190" s="462"/>
      <c r="I190" s="654"/>
      <c r="J190" s="650"/>
      <c r="K190" s="654"/>
      <c r="L190" s="654"/>
      <c r="M190" s="650"/>
      <c r="N190" s="650"/>
      <c r="O190" s="655"/>
      <c r="P190" s="655"/>
      <c r="Q190" s="655"/>
      <c r="R190" s="655"/>
      <c r="S190" s="655"/>
      <c r="T190" s="655"/>
      <c r="U190" s="655"/>
      <c r="V190" s="655"/>
      <c r="W190" s="655"/>
      <c r="X190" s="655"/>
      <c r="Y190" s="655"/>
      <c r="Z190" s="655"/>
      <c r="AA190" s="655"/>
      <c r="AB190" s="655"/>
      <c r="AC190" s="655"/>
      <c r="AD190" s="655"/>
    </row>
    <row r="191">
      <c r="B191" s="462"/>
      <c r="C191" s="462"/>
      <c r="D191" s="462"/>
      <c r="E191" s="462"/>
      <c r="F191" s="462"/>
      <c r="G191" s="462"/>
      <c r="H191" s="462"/>
      <c r="I191" s="654"/>
      <c r="J191" s="650"/>
      <c r="K191" s="654"/>
      <c r="L191" s="654"/>
      <c r="M191" s="650"/>
      <c r="N191" s="650"/>
      <c r="O191" s="655"/>
      <c r="P191" s="655"/>
      <c r="Q191" s="655"/>
      <c r="R191" s="655"/>
      <c r="S191" s="655"/>
      <c r="T191" s="655"/>
      <c r="U191" s="655"/>
      <c r="V191" s="655"/>
      <c r="W191" s="655"/>
      <c r="X191" s="655"/>
      <c r="Y191" s="655"/>
      <c r="Z191" s="655"/>
      <c r="AA191" s="655"/>
      <c r="AB191" s="655"/>
      <c r="AC191" s="655"/>
      <c r="AD191" s="655"/>
    </row>
    <row r="192">
      <c r="B192" s="462"/>
      <c r="C192" s="462"/>
      <c r="D192" s="462"/>
      <c r="E192" s="462"/>
      <c r="F192" s="462"/>
      <c r="G192" s="462"/>
      <c r="H192" s="462"/>
      <c r="I192" s="654"/>
      <c r="J192" s="650"/>
      <c r="K192" s="654"/>
      <c r="L192" s="654"/>
      <c r="M192" s="650"/>
      <c r="N192" s="650"/>
      <c r="O192" s="655"/>
      <c r="P192" s="655"/>
      <c r="Q192" s="655"/>
      <c r="R192" s="655"/>
      <c r="S192" s="655"/>
      <c r="T192" s="655"/>
      <c r="U192" s="655"/>
      <c r="V192" s="655"/>
      <c r="W192" s="655"/>
      <c r="X192" s="655"/>
      <c r="Y192" s="655"/>
      <c r="Z192" s="655"/>
      <c r="AA192" s="655"/>
      <c r="AB192" s="655"/>
      <c r="AC192" s="655"/>
      <c r="AD192" s="655"/>
    </row>
    <row r="193">
      <c r="B193" s="462"/>
      <c r="C193" s="462"/>
      <c r="D193" s="462"/>
      <c r="E193" s="462"/>
      <c r="F193" s="462"/>
      <c r="G193" s="462"/>
      <c r="H193" s="462"/>
      <c r="I193" s="654"/>
      <c r="J193" s="650"/>
      <c r="K193" s="654"/>
      <c r="L193" s="654"/>
      <c r="M193" s="650"/>
      <c r="N193" s="650"/>
      <c r="O193" s="655"/>
      <c r="P193" s="655"/>
      <c r="Q193" s="655"/>
      <c r="R193" s="655"/>
      <c r="S193" s="655"/>
      <c r="T193" s="655"/>
      <c r="U193" s="655"/>
      <c r="V193" s="655"/>
      <c r="W193" s="655"/>
      <c r="X193" s="655"/>
      <c r="Y193" s="655"/>
      <c r="Z193" s="655"/>
      <c r="AA193" s="655"/>
      <c r="AB193" s="655"/>
      <c r="AC193" s="655"/>
      <c r="AD193" s="655"/>
    </row>
    <row r="194">
      <c r="B194" s="462"/>
      <c r="C194" s="462"/>
      <c r="D194" s="462"/>
      <c r="E194" s="462"/>
      <c r="F194" s="462"/>
      <c r="G194" s="462"/>
      <c r="H194" s="462"/>
      <c r="I194" s="654"/>
      <c r="J194" s="650"/>
      <c r="K194" s="654"/>
      <c r="L194" s="654"/>
      <c r="M194" s="650"/>
      <c r="N194" s="650"/>
      <c r="O194" s="655"/>
      <c r="P194" s="655"/>
      <c r="Q194" s="655"/>
      <c r="R194" s="655"/>
      <c r="S194" s="655"/>
      <c r="T194" s="655"/>
      <c r="U194" s="655"/>
      <c r="V194" s="655"/>
      <c r="W194" s="655"/>
      <c r="X194" s="655"/>
      <c r="Y194" s="655"/>
      <c r="Z194" s="655"/>
      <c r="AA194" s="655"/>
      <c r="AB194" s="655"/>
      <c r="AC194" s="655"/>
      <c r="AD194" s="655"/>
    </row>
    <row r="195">
      <c r="B195" s="462"/>
      <c r="C195" s="462"/>
      <c r="D195" s="462"/>
      <c r="E195" s="462"/>
      <c r="F195" s="462"/>
      <c r="G195" s="462"/>
      <c r="H195" s="462"/>
      <c r="I195" s="654"/>
      <c r="J195" s="650"/>
      <c r="K195" s="654"/>
      <c r="L195" s="654"/>
      <c r="M195" s="650"/>
      <c r="N195" s="650"/>
      <c r="O195" s="655"/>
      <c r="P195" s="655"/>
      <c r="Q195" s="655"/>
      <c r="R195" s="655"/>
      <c r="S195" s="655"/>
      <c r="T195" s="655"/>
      <c r="U195" s="655"/>
      <c r="V195" s="655"/>
      <c r="W195" s="655"/>
      <c r="X195" s="655"/>
      <c r="Y195" s="655"/>
      <c r="Z195" s="655"/>
      <c r="AA195" s="655"/>
      <c r="AB195" s="655"/>
      <c r="AC195" s="655"/>
      <c r="AD195" s="655"/>
    </row>
    <row r="196">
      <c r="B196" s="462"/>
      <c r="C196" s="462"/>
      <c r="D196" s="462"/>
      <c r="E196" s="462"/>
      <c r="F196" s="462"/>
      <c r="G196" s="462"/>
      <c r="H196" s="462"/>
      <c r="I196" s="654"/>
      <c r="J196" s="650"/>
      <c r="K196" s="654"/>
      <c r="L196" s="654"/>
      <c r="M196" s="650"/>
      <c r="N196" s="650"/>
      <c r="O196" s="655"/>
      <c r="P196" s="655"/>
      <c r="Q196" s="655"/>
      <c r="R196" s="655"/>
      <c r="S196" s="655"/>
      <c r="T196" s="655"/>
      <c r="U196" s="655"/>
      <c r="V196" s="655"/>
      <c r="W196" s="655"/>
      <c r="X196" s="655"/>
      <c r="Y196" s="655"/>
      <c r="Z196" s="655"/>
      <c r="AA196" s="655"/>
      <c r="AB196" s="655"/>
      <c r="AC196" s="655"/>
      <c r="AD196" s="655"/>
    </row>
    <row r="197">
      <c r="B197" s="462"/>
      <c r="C197" s="462"/>
      <c r="D197" s="462"/>
      <c r="E197" s="462"/>
      <c r="F197" s="462"/>
      <c r="G197" s="462"/>
      <c r="H197" s="462"/>
      <c r="I197" s="654"/>
      <c r="J197" s="650"/>
      <c r="K197" s="654"/>
      <c r="L197" s="654"/>
      <c r="M197" s="650"/>
      <c r="N197" s="650"/>
      <c r="O197" s="655"/>
      <c r="P197" s="655"/>
      <c r="Q197" s="655"/>
      <c r="R197" s="655"/>
      <c r="S197" s="655"/>
      <c r="T197" s="655"/>
      <c r="U197" s="655"/>
      <c r="V197" s="655"/>
      <c r="W197" s="655"/>
      <c r="X197" s="655"/>
      <c r="Y197" s="655"/>
      <c r="Z197" s="655"/>
      <c r="AA197" s="655"/>
      <c r="AB197" s="655"/>
      <c r="AC197" s="655"/>
      <c r="AD197" s="655"/>
    </row>
    <row r="198">
      <c r="B198" s="462"/>
      <c r="C198" s="462"/>
      <c r="D198" s="462"/>
      <c r="E198" s="462"/>
      <c r="F198" s="462"/>
      <c r="G198" s="462"/>
      <c r="H198" s="462"/>
      <c r="I198" s="654"/>
      <c r="J198" s="650"/>
      <c r="K198" s="654"/>
      <c r="L198" s="654"/>
      <c r="M198" s="650"/>
      <c r="N198" s="650"/>
      <c r="O198" s="655"/>
      <c r="P198" s="655"/>
      <c r="Q198" s="655"/>
      <c r="R198" s="655"/>
      <c r="S198" s="655"/>
      <c r="T198" s="655"/>
      <c r="U198" s="655"/>
      <c r="V198" s="655"/>
      <c r="W198" s="655"/>
      <c r="X198" s="655"/>
      <c r="Y198" s="655"/>
      <c r="Z198" s="655"/>
      <c r="AA198" s="655"/>
      <c r="AB198" s="655"/>
      <c r="AC198" s="655"/>
      <c r="AD198" s="655"/>
    </row>
    <row r="199">
      <c r="B199" s="462"/>
      <c r="C199" s="462"/>
      <c r="D199" s="462"/>
      <c r="E199" s="462"/>
      <c r="F199" s="462"/>
      <c r="G199" s="462"/>
      <c r="H199" s="462"/>
      <c r="I199" s="654"/>
      <c r="J199" s="650"/>
      <c r="K199" s="654"/>
      <c r="L199" s="654"/>
      <c r="M199" s="650"/>
      <c r="N199" s="650"/>
      <c r="O199" s="655"/>
      <c r="P199" s="655"/>
      <c r="Q199" s="655"/>
      <c r="R199" s="655"/>
      <c r="S199" s="655"/>
      <c r="T199" s="655"/>
      <c r="U199" s="655"/>
      <c r="V199" s="655"/>
      <c r="W199" s="655"/>
      <c r="X199" s="655"/>
      <c r="Y199" s="655"/>
      <c r="Z199" s="655"/>
      <c r="AA199" s="655"/>
      <c r="AB199" s="655"/>
      <c r="AC199" s="655"/>
      <c r="AD199" s="655"/>
    </row>
    <row r="200">
      <c r="B200" s="462"/>
      <c r="C200" s="462"/>
      <c r="D200" s="462"/>
      <c r="E200" s="462"/>
      <c r="F200" s="462"/>
      <c r="G200" s="462"/>
      <c r="H200" s="462"/>
      <c r="I200" s="654"/>
      <c r="J200" s="650"/>
      <c r="K200" s="654"/>
      <c r="L200" s="654"/>
      <c r="M200" s="650"/>
      <c r="N200" s="650"/>
      <c r="O200" s="655"/>
      <c r="P200" s="655"/>
      <c r="Q200" s="655"/>
      <c r="R200" s="655"/>
      <c r="S200" s="655"/>
      <c r="T200" s="655"/>
      <c r="U200" s="655"/>
      <c r="V200" s="655"/>
      <c r="W200" s="655"/>
      <c r="X200" s="655"/>
      <c r="Y200" s="655"/>
      <c r="Z200" s="655"/>
      <c r="AA200" s="655"/>
      <c r="AB200" s="655"/>
      <c r="AC200" s="655"/>
      <c r="AD200" s="655"/>
    </row>
    <row r="201">
      <c r="B201" s="462"/>
      <c r="C201" s="462"/>
      <c r="D201" s="462"/>
      <c r="E201" s="462"/>
      <c r="F201" s="462"/>
      <c r="G201" s="462"/>
      <c r="H201" s="462"/>
      <c r="I201" s="654"/>
      <c r="J201" s="650"/>
      <c r="K201" s="654"/>
      <c r="L201" s="654"/>
      <c r="M201" s="650"/>
      <c r="N201" s="650"/>
      <c r="O201" s="655"/>
      <c r="P201" s="655"/>
      <c r="Q201" s="655"/>
      <c r="R201" s="655"/>
      <c r="S201" s="655"/>
      <c r="T201" s="655"/>
      <c r="U201" s="655"/>
      <c r="V201" s="655"/>
      <c r="W201" s="655"/>
      <c r="X201" s="655"/>
      <c r="Y201" s="655"/>
      <c r="Z201" s="655"/>
      <c r="AA201" s="655"/>
      <c r="AB201" s="655"/>
      <c r="AC201" s="655"/>
      <c r="AD201" s="655"/>
    </row>
    <row r="202">
      <c r="B202" s="462"/>
      <c r="C202" s="462"/>
      <c r="D202" s="462"/>
      <c r="E202" s="462"/>
      <c r="F202" s="462"/>
      <c r="G202" s="462"/>
      <c r="H202" s="462"/>
      <c r="I202" s="654"/>
      <c r="J202" s="650"/>
      <c r="K202" s="654"/>
      <c r="L202" s="654"/>
      <c r="M202" s="650"/>
      <c r="N202" s="650"/>
      <c r="O202" s="655"/>
      <c r="P202" s="655"/>
      <c r="Q202" s="655"/>
      <c r="R202" s="655"/>
      <c r="S202" s="655"/>
      <c r="T202" s="655"/>
      <c r="U202" s="655"/>
      <c r="V202" s="655"/>
      <c r="W202" s="655"/>
      <c r="X202" s="655"/>
      <c r="Y202" s="655"/>
      <c r="Z202" s="655"/>
      <c r="AA202" s="655"/>
      <c r="AB202" s="655"/>
      <c r="AC202" s="655"/>
      <c r="AD202" s="655"/>
    </row>
    <row r="203">
      <c r="B203" s="462"/>
      <c r="C203" s="462"/>
      <c r="D203" s="462"/>
      <c r="E203" s="462"/>
      <c r="F203" s="462"/>
      <c r="G203" s="462"/>
      <c r="H203" s="462"/>
      <c r="I203" s="654"/>
      <c r="J203" s="650"/>
      <c r="K203" s="654"/>
      <c r="L203" s="654"/>
      <c r="M203" s="650"/>
      <c r="N203" s="650"/>
      <c r="O203" s="655"/>
      <c r="P203" s="655"/>
      <c r="Q203" s="655"/>
      <c r="R203" s="655"/>
      <c r="S203" s="655"/>
      <c r="T203" s="655"/>
      <c r="U203" s="655"/>
      <c r="V203" s="655"/>
      <c r="W203" s="655"/>
      <c r="X203" s="655"/>
      <c r="Y203" s="655"/>
      <c r="Z203" s="655"/>
      <c r="AA203" s="655"/>
      <c r="AB203" s="655"/>
      <c r="AC203" s="655"/>
      <c r="AD203" s="655"/>
    </row>
    <row r="204">
      <c r="B204" s="462"/>
      <c r="C204" s="462"/>
      <c r="D204" s="462"/>
      <c r="E204" s="462"/>
      <c r="F204" s="462"/>
      <c r="G204" s="462"/>
      <c r="H204" s="462"/>
      <c r="I204" s="654"/>
      <c r="J204" s="650"/>
      <c r="K204" s="654"/>
      <c r="L204" s="654"/>
      <c r="M204" s="650"/>
      <c r="N204" s="650"/>
      <c r="O204" s="655"/>
      <c r="P204" s="655"/>
      <c r="Q204" s="655"/>
      <c r="R204" s="655"/>
      <c r="S204" s="655"/>
      <c r="T204" s="655"/>
      <c r="U204" s="655"/>
      <c r="V204" s="655"/>
      <c r="W204" s="655"/>
      <c r="X204" s="655"/>
      <c r="Y204" s="655"/>
      <c r="Z204" s="655"/>
      <c r="AA204" s="655"/>
      <c r="AB204" s="655"/>
      <c r="AC204" s="655"/>
      <c r="AD204" s="655"/>
    </row>
    <row r="205">
      <c r="B205" s="462"/>
      <c r="C205" s="462"/>
      <c r="D205" s="462"/>
      <c r="E205" s="462"/>
      <c r="F205" s="462"/>
      <c r="G205" s="462"/>
      <c r="H205" s="462"/>
      <c r="I205" s="654"/>
      <c r="J205" s="650"/>
      <c r="K205" s="654"/>
      <c r="L205" s="654"/>
      <c r="M205" s="650"/>
      <c r="N205" s="650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655"/>
      <c r="AB205" s="655"/>
      <c r="AC205" s="655"/>
      <c r="AD205" s="655"/>
    </row>
    <row r="206">
      <c r="B206" s="462"/>
      <c r="C206" s="462"/>
      <c r="D206" s="462"/>
      <c r="E206" s="462"/>
      <c r="F206" s="462"/>
      <c r="G206" s="462"/>
      <c r="H206" s="462"/>
      <c r="I206" s="654"/>
      <c r="J206" s="650"/>
      <c r="K206" s="654"/>
      <c r="L206" s="654"/>
      <c r="M206" s="650"/>
      <c r="N206" s="650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5"/>
      <c r="AB206" s="655"/>
      <c r="AC206" s="655"/>
      <c r="AD206" s="655"/>
    </row>
    <row r="207">
      <c r="B207" s="462"/>
      <c r="C207" s="462"/>
      <c r="D207" s="462"/>
      <c r="E207" s="462"/>
      <c r="F207" s="462"/>
      <c r="G207" s="462"/>
      <c r="H207" s="462"/>
      <c r="I207" s="654"/>
      <c r="J207" s="650"/>
      <c r="K207" s="654"/>
      <c r="L207" s="654"/>
      <c r="M207" s="650"/>
      <c r="N207" s="650"/>
      <c r="O207" s="655"/>
      <c r="P207" s="655"/>
      <c r="Q207" s="655"/>
      <c r="R207" s="655"/>
      <c r="S207" s="655"/>
      <c r="T207" s="655"/>
      <c r="U207" s="655"/>
      <c r="V207" s="655"/>
      <c r="W207" s="655"/>
      <c r="X207" s="655"/>
      <c r="Y207" s="655"/>
      <c r="Z207" s="655"/>
      <c r="AA207" s="655"/>
      <c r="AB207" s="655"/>
      <c r="AC207" s="655"/>
      <c r="AD207" s="655"/>
    </row>
    <row r="208">
      <c r="B208" s="462"/>
      <c r="C208" s="462"/>
      <c r="D208" s="462"/>
      <c r="E208" s="462"/>
      <c r="F208" s="462"/>
      <c r="G208" s="462"/>
      <c r="H208" s="462"/>
      <c r="I208" s="654"/>
      <c r="J208" s="650"/>
      <c r="K208" s="654"/>
      <c r="L208" s="654"/>
      <c r="M208" s="650"/>
      <c r="N208" s="650"/>
      <c r="O208" s="655"/>
      <c r="P208" s="655"/>
      <c r="Q208" s="655"/>
      <c r="R208" s="655"/>
      <c r="S208" s="655"/>
      <c r="T208" s="655"/>
      <c r="U208" s="655"/>
      <c r="V208" s="655"/>
      <c r="W208" s="655"/>
      <c r="X208" s="655"/>
      <c r="Y208" s="655"/>
      <c r="Z208" s="655"/>
      <c r="AA208" s="655"/>
      <c r="AB208" s="655"/>
      <c r="AC208" s="655"/>
      <c r="AD208" s="655"/>
    </row>
    <row r="209">
      <c r="B209" s="462"/>
      <c r="C209" s="462"/>
      <c r="D209" s="462"/>
      <c r="E209" s="462"/>
      <c r="F209" s="462"/>
      <c r="G209" s="462"/>
      <c r="H209" s="462"/>
      <c r="I209" s="654"/>
      <c r="J209" s="650"/>
      <c r="K209" s="654"/>
      <c r="L209" s="654"/>
      <c r="M209" s="650"/>
      <c r="N209" s="650"/>
      <c r="O209" s="655"/>
      <c r="P209" s="655"/>
      <c r="Q209" s="655"/>
      <c r="R209" s="655"/>
      <c r="S209" s="655"/>
      <c r="T209" s="655"/>
      <c r="U209" s="655"/>
      <c r="V209" s="655"/>
      <c r="W209" s="655"/>
      <c r="X209" s="655"/>
      <c r="Y209" s="655"/>
      <c r="Z209" s="655"/>
      <c r="AA209" s="655"/>
      <c r="AB209" s="655"/>
      <c r="AC209" s="655"/>
      <c r="AD209" s="655"/>
    </row>
    <row r="210">
      <c r="B210" s="462"/>
      <c r="C210" s="462"/>
      <c r="D210" s="462"/>
      <c r="E210" s="462"/>
      <c r="F210" s="462"/>
      <c r="G210" s="462"/>
      <c r="H210" s="462"/>
      <c r="I210" s="654"/>
      <c r="J210" s="650"/>
      <c r="K210" s="654"/>
      <c r="L210" s="654"/>
      <c r="M210" s="650"/>
      <c r="N210" s="650"/>
      <c r="O210" s="655"/>
      <c r="P210" s="655"/>
      <c r="Q210" s="655"/>
      <c r="R210" s="655"/>
      <c r="S210" s="655"/>
      <c r="T210" s="655"/>
      <c r="U210" s="655"/>
      <c r="V210" s="655"/>
      <c r="W210" s="655"/>
      <c r="X210" s="655"/>
      <c r="Y210" s="655"/>
      <c r="Z210" s="655"/>
      <c r="AA210" s="655"/>
      <c r="AB210" s="655"/>
      <c r="AC210" s="655"/>
      <c r="AD210" s="655"/>
    </row>
    <row r="211">
      <c r="B211" s="462"/>
      <c r="C211" s="462"/>
      <c r="D211" s="462"/>
      <c r="E211" s="462"/>
      <c r="F211" s="462"/>
      <c r="G211" s="462"/>
      <c r="H211" s="462"/>
      <c r="I211" s="654"/>
      <c r="J211" s="650"/>
      <c r="K211" s="654"/>
      <c r="L211" s="654"/>
      <c r="M211" s="650"/>
      <c r="N211" s="650"/>
      <c r="O211" s="655"/>
      <c r="P211" s="655"/>
      <c r="Q211" s="655"/>
      <c r="R211" s="655"/>
      <c r="S211" s="655"/>
      <c r="T211" s="655"/>
      <c r="U211" s="655"/>
      <c r="V211" s="655"/>
      <c r="W211" s="655"/>
      <c r="X211" s="655"/>
      <c r="Y211" s="655"/>
      <c r="Z211" s="655"/>
      <c r="AA211" s="655"/>
      <c r="AB211" s="655"/>
      <c r="AC211" s="655"/>
      <c r="AD211" s="655"/>
    </row>
    <row r="212">
      <c r="B212" s="462"/>
      <c r="C212" s="462"/>
      <c r="D212" s="462"/>
      <c r="E212" s="462"/>
      <c r="F212" s="462"/>
      <c r="G212" s="462"/>
      <c r="H212" s="462"/>
      <c r="I212" s="654"/>
      <c r="J212" s="650"/>
      <c r="K212" s="654"/>
      <c r="L212" s="654"/>
      <c r="M212" s="650"/>
      <c r="N212" s="650"/>
      <c r="O212" s="655"/>
      <c r="P212" s="655"/>
      <c r="Q212" s="655"/>
      <c r="R212" s="655"/>
      <c r="S212" s="655"/>
      <c r="T212" s="655"/>
      <c r="U212" s="655"/>
      <c r="V212" s="655"/>
      <c r="W212" s="655"/>
      <c r="X212" s="655"/>
      <c r="Y212" s="655"/>
      <c r="Z212" s="655"/>
      <c r="AA212" s="655"/>
      <c r="AB212" s="655"/>
      <c r="AC212" s="655"/>
      <c r="AD212" s="655"/>
    </row>
    <row r="213">
      <c r="B213" s="462"/>
      <c r="C213" s="462"/>
      <c r="D213" s="462"/>
      <c r="E213" s="462"/>
      <c r="F213" s="462"/>
      <c r="G213" s="462"/>
      <c r="H213" s="462"/>
      <c r="I213" s="654"/>
      <c r="J213" s="650"/>
      <c r="K213" s="654"/>
      <c r="L213" s="654"/>
      <c r="M213" s="650"/>
      <c r="N213" s="650"/>
      <c r="O213" s="655"/>
      <c r="P213" s="655"/>
      <c r="Q213" s="655"/>
      <c r="R213" s="655"/>
      <c r="S213" s="655"/>
      <c r="T213" s="655"/>
      <c r="U213" s="655"/>
      <c r="V213" s="655"/>
      <c r="W213" s="655"/>
      <c r="X213" s="655"/>
      <c r="Y213" s="655"/>
      <c r="Z213" s="655"/>
      <c r="AA213" s="655"/>
      <c r="AB213" s="655"/>
      <c r="AC213" s="655"/>
      <c r="AD213" s="655"/>
    </row>
    <row r="214">
      <c r="B214" s="462"/>
      <c r="C214" s="462"/>
      <c r="D214" s="462"/>
      <c r="E214" s="462"/>
      <c r="F214" s="462"/>
      <c r="G214" s="462"/>
      <c r="H214" s="462"/>
      <c r="I214" s="654"/>
      <c r="J214" s="650"/>
      <c r="K214" s="654"/>
      <c r="L214" s="654"/>
      <c r="M214" s="650"/>
      <c r="N214" s="650"/>
      <c r="O214" s="655"/>
      <c r="P214" s="655"/>
      <c r="Q214" s="655"/>
      <c r="R214" s="655"/>
      <c r="S214" s="655"/>
      <c r="T214" s="655"/>
      <c r="U214" s="655"/>
      <c r="V214" s="655"/>
      <c r="W214" s="655"/>
      <c r="X214" s="655"/>
      <c r="Y214" s="655"/>
      <c r="Z214" s="655"/>
      <c r="AA214" s="655"/>
      <c r="AB214" s="655"/>
      <c r="AC214" s="655"/>
      <c r="AD214" s="655"/>
    </row>
    <row r="215">
      <c r="B215" s="462"/>
      <c r="C215" s="462"/>
      <c r="D215" s="462"/>
      <c r="E215" s="462"/>
      <c r="F215" s="462"/>
      <c r="G215" s="462"/>
      <c r="H215" s="462"/>
      <c r="I215" s="654"/>
      <c r="J215" s="650"/>
      <c r="K215" s="654"/>
      <c r="L215" s="654"/>
      <c r="M215" s="650"/>
      <c r="N215" s="650"/>
      <c r="O215" s="655"/>
      <c r="P215" s="655"/>
      <c r="Q215" s="655"/>
      <c r="R215" s="655"/>
      <c r="S215" s="655"/>
      <c r="T215" s="655"/>
      <c r="U215" s="655"/>
      <c r="V215" s="655"/>
      <c r="W215" s="655"/>
      <c r="X215" s="655"/>
      <c r="Y215" s="655"/>
      <c r="Z215" s="655"/>
      <c r="AA215" s="655"/>
      <c r="AB215" s="655"/>
      <c r="AC215" s="655"/>
      <c r="AD215" s="655"/>
    </row>
    <row r="216">
      <c r="B216" s="462"/>
      <c r="C216" s="462"/>
      <c r="D216" s="462"/>
      <c r="E216" s="462"/>
      <c r="F216" s="462"/>
      <c r="G216" s="462"/>
      <c r="H216" s="462"/>
      <c r="I216" s="654"/>
      <c r="J216" s="650"/>
      <c r="K216" s="654"/>
      <c r="L216" s="654"/>
      <c r="M216" s="650"/>
      <c r="N216" s="650"/>
      <c r="O216" s="655"/>
      <c r="P216" s="655"/>
      <c r="Q216" s="655"/>
      <c r="R216" s="655"/>
      <c r="S216" s="655"/>
      <c r="T216" s="655"/>
      <c r="U216" s="655"/>
      <c r="V216" s="655"/>
      <c r="W216" s="655"/>
      <c r="X216" s="655"/>
      <c r="Y216" s="655"/>
      <c r="Z216" s="655"/>
      <c r="AA216" s="655"/>
      <c r="AB216" s="655"/>
      <c r="AC216" s="655"/>
      <c r="AD216" s="655"/>
    </row>
    <row r="217">
      <c r="B217" s="462"/>
      <c r="C217" s="462"/>
      <c r="D217" s="462"/>
      <c r="E217" s="462"/>
      <c r="F217" s="462"/>
      <c r="G217" s="462"/>
      <c r="H217" s="462"/>
      <c r="I217" s="654"/>
      <c r="J217" s="650"/>
      <c r="K217" s="654"/>
      <c r="L217" s="654"/>
      <c r="M217" s="650"/>
      <c r="N217" s="650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5"/>
      <c r="AB217" s="655"/>
      <c r="AC217" s="655"/>
      <c r="AD217" s="655"/>
    </row>
    <row r="218">
      <c r="B218" s="462"/>
      <c r="C218" s="462"/>
      <c r="D218" s="462"/>
      <c r="E218" s="462"/>
      <c r="F218" s="462"/>
      <c r="G218" s="462"/>
      <c r="H218" s="462"/>
      <c r="I218" s="654"/>
      <c r="J218" s="650"/>
      <c r="K218" s="654"/>
      <c r="L218" s="654"/>
      <c r="M218" s="650"/>
      <c r="N218" s="650"/>
      <c r="O218" s="655"/>
      <c r="P218" s="655"/>
      <c r="Q218" s="655"/>
      <c r="R218" s="655"/>
      <c r="S218" s="655"/>
      <c r="T218" s="655"/>
      <c r="U218" s="655"/>
      <c r="V218" s="655"/>
      <c r="W218" s="655"/>
      <c r="X218" s="655"/>
      <c r="Y218" s="655"/>
      <c r="Z218" s="655"/>
      <c r="AA218" s="655"/>
      <c r="AB218" s="655"/>
      <c r="AC218" s="655"/>
      <c r="AD218" s="655"/>
    </row>
    <row r="219">
      <c r="B219" s="462"/>
      <c r="C219" s="462"/>
      <c r="D219" s="462"/>
      <c r="E219" s="462"/>
      <c r="F219" s="462"/>
      <c r="G219" s="462"/>
      <c r="H219" s="462"/>
      <c r="I219" s="654"/>
      <c r="J219" s="650"/>
      <c r="K219" s="654"/>
      <c r="L219" s="654"/>
      <c r="M219" s="650"/>
      <c r="N219" s="650"/>
      <c r="O219" s="655"/>
      <c r="P219" s="655"/>
      <c r="Q219" s="655"/>
      <c r="R219" s="655"/>
      <c r="S219" s="655"/>
      <c r="T219" s="655"/>
      <c r="U219" s="655"/>
      <c r="V219" s="655"/>
      <c r="W219" s="655"/>
      <c r="X219" s="655"/>
      <c r="Y219" s="655"/>
      <c r="Z219" s="655"/>
      <c r="AA219" s="655"/>
      <c r="AB219" s="655"/>
      <c r="AC219" s="655"/>
      <c r="AD219" s="655"/>
    </row>
    <row r="220">
      <c r="B220" s="462"/>
      <c r="C220" s="462"/>
      <c r="D220" s="462"/>
      <c r="E220" s="462"/>
      <c r="F220" s="462"/>
      <c r="G220" s="462"/>
      <c r="H220" s="462"/>
      <c r="I220" s="654"/>
      <c r="J220" s="650"/>
      <c r="K220" s="654"/>
      <c r="L220" s="654"/>
      <c r="M220" s="650"/>
      <c r="N220" s="650"/>
      <c r="O220" s="655"/>
      <c r="P220" s="655"/>
      <c r="Q220" s="655"/>
      <c r="R220" s="655"/>
      <c r="S220" s="655"/>
      <c r="T220" s="655"/>
      <c r="U220" s="655"/>
      <c r="V220" s="655"/>
      <c r="W220" s="655"/>
      <c r="X220" s="655"/>
      <c r="Y220" s="655"/>
      <c r="Z220" s="655"/>
      <c r="AA220" s="655"/>
      <c r="AB220" s="655"/>
      <c r="AC220" s="655"/>
      <c r="AD220" s="655"/>
    </row>
    <row r="221">
      <c r="B221" s="462"/>
      <c r="C221" s="462"/>
      <c r="D221" s="462"/>
      <c r="E221" s="462"/>
      <c r="F221" s="462"/>
      <c r="G221" s="462"/>
      <c r="H221" s="462"/>
      <c r="I221" s="654"/>
      <c r="J221" s="650"/>
      <c r="K221" s="654"/>
      <c r="L221" s="654"/>
      <c r="M221" s="650"/>
      <c r="N221" s="650"/>
      <c r="O221" s="655"/>
      <c r="P221" s="655"/>
      <c r="Q221" s="655"/>
      <c r="R221" s="655"/>
      <c r="S221" s="655"/>
      <c r="T221" s="655"/>
      <c r="U221" s="655"/>
      <c r="V221" s="655"/>
      <c r="W221" s="655"/>
      <c r="X221" s="655"/>
      <c r="Y221" s="655"/>
      <c r="Z221" s="655"/>
      <c r="AA221" s="655"/>
      <c r="AB221" s="655"/>
      <c r="AC221" s="655"/>
      <c r="AD221" s="655"/>
    </row>
    <row r="222">
      <c r="B222" s="462"/>
      <c r="C222" s="462"/>
      <c r="D222" s="462"/>
      <c r="E222" s="462"/>
      <c r="F222" s="462"/>
      <c r="G222" s="462"/>
      <c r="H222" s="462"/>
      <c r="I222" s="654"/>
      <c r="J222" s="650"/>
      <c r="K222" s="654"/>
      <c r="L222" s="654"/>
      <c r="M222" s="650"/>
      <c r="N222" s="650"/>
      <c r="O222" s="655"/>
      <c r="P222" s="655"/>
      <c r="Q222" s="655"/>
      <c r="R222" s="655"/>
      <c r="S222" s="655"/>
      <c r="T222" s="655"/>
      <c r="U222" s="655"/>
      <c r="V222" s="655"/>
      <c r="W222" s="655"/>
      <c r="X222" s="655"/>
      <c r="Y222" s="655"/>
      <c r="Z222" s="655"/>
      <c r="AA222" s="655"/>
      <c r="AB222" s="655"/>
      <c r="AC222" s="655"/>
      <c r="AD222" s="655"/>
    </row>
    <row r="223">
      <c r="B223" s="462"/>
      <c r="C223" s="462"/>
      <c r="D223" s="462"/>
      <c r="E223" s="462"/>
      <c r="F223" s="462"/>
      <c r="G223" s="462"/>
      <c r="H223" s="462"/>
      <c r="I223" s="654"/>
      <c r="J223" s="650"/>
      <c r="K223" s="654"/>
      <c r="L223" s="654"/>
      <c r="M223" s="650"/>
      <c r="N223" s="650"/>
      <c r="O223" s="655"/>
      <c r="P223" s="655"/>
      <c r="Q223" s="655"/>
      <c r="R223" s="655"/>
      <c r="S223" s="655"/>
      <c r="T223" s="655"/>
      <c r="U223" s="655"/>
      <c r="V223" s="655"/>
      <c r="W223" s="655"/>
      <c r="X223" s="655"/>
      <c r="Y223" s="655"/>
      <c r="Z223" s="655"/>
      <c r="AA223" s="655"/>
      <c r="AB223" s="655"/>
      <c r="AC223" s="655"/>
      <c r="AD223" s="655"/>
    </row>
    <row r="224">
      <c r="B224" s="462"/>
      <c r="C224" s="462"/>
      <c r="D224" s="462"/>
      <c r="E224" s="462"/>
      <c r="F224" s="462"/>
      <c r="G224" s="462"/>
      <c r="H224" s="462"/>
      <c r="I224" s="654"/>
      <c r="J224" s="650"/>
      <c r="K224" s="654"/>
      <c r="L224" s="654"/>
      <c r="M224" s="650"/>
      <c r="N224" s="650"/>
      <c r="O224" s="655"/>
      <c r="P224" s="655"/>
      <c r="Q224" s="655"/>
      <c r="R224" s="655"/>
      <c r="S224" s="655"/>
      <c r="T224" s="655"/>
      <c r="U224" s="655"/>
      <c r="V224" s="655"/>
      <c r="W224" s="655"/>
      <c r="X224" s="655"/>
      <c r="Y224" s="655"/>
      <c r="Z224" s="655"/>
      <c r="AA224" s="655"/>
      <c r="AB224" s="655"/>
      <c r="AC224" s="655"/>
      <c r="AD224" s="655"/>
    </row>
    <row r="225">
      <c r="B225" s="462"/>
      <c r="C225" s="462"/>
      <c r="D225" s="462"/>
      <c r="E225" s="462"/>
      <c r="F225" s="462"/>
      <c r="G225" s="462"/>
      <c r="H225" s="462"/>
      <c r="I225" s="654"/>
      <c r="J225" s="650"/>
      <c r="K225" s="654"/>
      <c r="L225" s="654"/>
      <c r="M225" s="650"/>
      <c r="N225" s="650"/>
      <c r="O225" s="655"/>
      <c r="P225" s="655"/>
      <c r="Q225" s="655"/>
      <c r="R225" s="655"/>
      <c r="S225" s="655"/>
      <c r="T225" s="655"/>
      <c r="U225" s="655"/>
      <c r="V225" s="655"/>
      <c r="W225" s="655"/>
      <c r="X225" s="655"/>
      <c r="Y225" s="655"/>
      <c r="Z225" s="655"/>
      <c r="AA225" s="655"/>
      <c r="AB225" s="655"/>
      <c r="AC225" s="655"/>
      <c r="AD225" s="655"/>
    </row>
    <row r="226">
      <c r="B226" s="462"/>
      <c r="C226" s="462"/>
      <c r="D226" s="462"/>
      <c r="E226" s="462"/>
      <c r="F226" s="462"/>
      <c r="G226" s="462"/>
      <c r="H226" s="462"/>
      <c r="I226" s="654"/>
      <c r="J226" s="650"/>
      <c r="K226" s="654"/>
      <c r="L226" s="654"/>
      <c r="M226" s="650"/>
      <c r="N226" s="650"/>
      <c r="O226" s="655"/>
      <c r="P226" s="655"/>
      <c r="Q226" s="655"/>
      <c r="R226" s="655"/>
      <c r="S226" s="655"/>
      <c r="T226" s="655"/>
      <c r="U226" s="655"/>
      <c r="V226" s="655"/>
      <c r="W226" s="655"/>
      <c r="X226" s="655"/>
      <c r="Y226" s="655"/>
      <c r="Z226" s="655"/>
      <c r="AA226" s="655"/>
      <c r="AB226" s="655"/>
      <c r="AC226" s="655"/>
      <c r="AD226" s="655"/>
    </row>
    <row r="227">
      <c r="B227" s="462"/>
      <c r="C227" s="462"/>
      <c r="D227" s="462"/>
      <c r="E227" s="462"/>
      <c r="F227" s="462"/>
      <c r="G227" s="462"/>
      <c r="H227" s="462"/>
      <c r="I227" s="654"/>
      <c r="J227" s="650"/>
      <c r="K227" s="654"/>
      <c r="L227" s="654"/>
      <c r="M227" s="650"/>
      <c r="N227" s="650"/>
      <c r="O227" s="655"/>
      <c r="P227" s="655"/>
      <c r="Q227" s="655"/>
      <c r="R227" s="655"/>
      <c r="S227" s="655"/>
      <c r="T227" s="655"/>
      <c r="U227" s="655"/>
      <c r="V227" s="655"/>
      <c r="W227" s="655"/>
      <c r="X227" s="655"/>
      <c r="Y227" s="655"/>
      <c r="Z227" s="655"/>
      <c r="AA227" s="655"/>
      <c r="AB227" s="655"/>
      <c r="AC227" s="655"/>
      <c r="AD227" s="655"/>
    </row>
    <row r="228">
      <c r="B228" s="462"/>
      <c r="C228" s="462"/>
      <c r="D228" s="462"/>
      <c r="E228" s="462"/>
      <c r="F228" s="462"/>
      <c r="G228" s="462"/>
      <c r="H228" s="462"/>
      <c r="I228" s="654"/>
      <c r="J228" s="650"/>
      <c r="K228" s="654"/>
      <c r="L228" s="654"/>
      <c r="M228" s="650"/>
      <c r="N228" s="650"/>
      <c r="O228" s="655"/>
      <c r="P228" s="655"/>
      <c r="Q228" s="655"/>
      <c r="R228" s="655"/>
      <c r="S228" s="655"/>
      <c r="T228" s="655"/>
      <c r="U228" s="655"/>
      <c r="V228" s="655"/>
      <c r="W228" s="655"/>
      <c r="X228" s="655"/>
      <c r="Y228" s="655"/>
      <c r="Z228" s="655"/>
      <c r="AA228" s="655"/>
      <c r="AB228" s="655"/>
      <c r="AC228" s="655"/>
      <c r="AD228" s="655"/>
    </row>
    <row r="229">
      <c r="B229" s="462"/>
      <c r="C229" s="462"/>
      <c r="D229" s="462"/>
      <c r="E229" s="462"/>
      <c r="F229" s="462"/>
      <c r="G229" s="462"/>
      <c r="H229" s="462"/>
      <c r="I229" s="654"/>
      <c r="J229" s="650"/>
      <c r="K229" s="654"/>
      <c r="L229" s="654"/>
      <c r="M229" s="650"/>
      <c r="N229" s="650"/>
      <c r="O229" s="655"/>
      <c r="P229" s="655"/>
      <c r="Q229" s="655"/>
      <c r="R229" s="655"/>
      <c r="S229" s="655"/>
      <c r="T229" s="655"/>
      <c r="U229" s="655"/>
      <c r="V229" s="655"/>
      <c r="W229" s="655"/>
      <c r="X229" s="655"/>
      <c r="Y229" s="655"/>
      <c r="Z229" s="655"/>
      <c r="AA229" s="655"/>
      <c r="AB229" s="655"/>
      <c r="AC229" s="655"/>
      <c r="AD229" s="655"/>
    </row>
    <row r="230">
      <c r="B230" s="462"/>
      <c r="C230" s="462"/>
      <c r="D230" s="462"/>
      <c r="E230" s="462"/>
      <c r="F230" s="462"/>
      <c r="G230" s="462"/>
      <c r="H230" s="462"/>
      <c r="I230" s="654"/>
      <c r="J230" s="650"/>
      <c r="K230" s="654"/>
      <c r="L230" s="654"/>
      <c r="M230" s="650"/>
      <c r="N230" s="650"/>
      <c r="O230" s="655"/>
      <c r="P230" s="655"/>
      <c r="Q230" s="655"/>
      <c r="R230" s="655"/>
      <c r="S230" s="655"/>
      <c r="T230" s="655"/>
      <c r="U230" s="655"/>
      <c r="V230" s="655"/>
      <c r="W230" s="655"/>
      <c r="X230" s="655"/>
      <c r="Y230" s="655"/>
      <c r="Z230" s="655"/>
      <c r="AA230" s="655"/>
      <c r="AB230" s="655"/>
      <c r="AC230" s="655"/>
      <c r="AD230" s="655"/>
    </row>
    <row r="231">
      <c r="B231" s="462"/>
      <c r="C231" s="462"/>
      <c r="D231" s="462"/>
      <c r="E231" s="462"/>
      <c r="F231" s="462"/>
      <c r="G231" s="462"/>
      <c r="H231" s="462"/>
      <c r="I231" s="654"/>
      <c r="J231" s="650"/>
      <c r="K231" s="654"/>
      <c r="L231" s="654"/>
      <c r="M231" s="650"/>
      <c r="N231" s="650"/>
      <c r="O231" s="655"/>
      <c r="P231" s="655"/>
      <c r="Q231" s="655"/>
      <c r="R231" s="655"/>
      <c r="S231" s="655"/>
      <c r="T231" s="655"/>
      <c r="U231" s="655"/>
      <c r="V231" s="655"/>
      <c r="W231" s="655"/>
      <c r="X231" s="655"/>
      <c r="Y231" s="655"/>
      <c r="Z231" s="655"/>
      <c r="AA231" s="655"/>
      <c r="AB231" s="655"/>
      <c r="AC231" s="655"/>
      <c r="AD231" s="655"/>
    </row>
    <row r="232">
      <c r="B232" s="462"/>
      <c r="C232" s="462"/>
      <c r="D232" s="462"/>
      <c r="E232" s="462"/>
      <c r="F232" s="462"/>
      <c r="G232" s="462"/>
      <c r="H232" s="462"/>
      <c r="I232" s="654"/>
      <c r="J232" s="650"/>
      <c r="K232" s="654"/>
      <c r="L232" s="654"/>
      <c r="M232" s="650"/>
      <c r="N232" s="650"/>
      <c r="O232" s="655"/>
      <c r="P232" s="655"/>
      <c r="Q232" s="655"/>
      <c r="R232" s="655"/>
      <c r="S232" s="655"/>
      <c r="T232" s="655"/>
      <c r="U232" s="655"/>
      <c r="V232" s="655"/>
      <c r="W232" s="655"/>
      <c r="X232" s="655"/>
      <c r="Y232" s="655"/>
      <c r="Z232" s="655"/>
      <c r="AA232" s="655"/>
      <c r="AB232" s="655"/>
      <c r="AC232" s="655"/>
      <c r="AD232" s="655"/>
    </row>
    <row r="233">
      <c r="B233" s="462"/>
      <c r="C233" s="462"/>
      <c r="D233" s="462"/>
      <c r="E233" s="462"/>
      <c r="F233" s="462"/>
      <c r="G233" s="462"/>
      <c r="H233" s="462"/>
      <c r="I233" s="654"/>
      <c r="J233" s="650"/>
      <c r="K233" s="654"/>
      <c r="L233" s="654"/>
      <c r="M233" s="650"/>
      <c r="N233" s="650"/>
      <c r="O233" s="655"/>
      <c r="P233" s="655"/>
      <c r="Q233" s="655"/>
      <c r="R233" s="655"/>
      <c r="S233" s="655"/>
      <c r="T233" s="655"/>
      <c r="U233" s="655"/>
      <c r="V233" s="655"/>
      <c r="W233" s="655"/>
      <c r="X233" s="655"/>
      <c r="Y233" s="655"/>
      <c r="Z233" s="655"/>
      <c r="AA233" s="655"/>
      <c r="AB233" s="655"/>
      <c r="AC233" s="655"/>
      <c r="AD233" s="655"/>
    </row>
    <row r="234">
      <c r="B234" s="462"/>
      <c r="C234" s="462"/>
      <c r="D234" s="462"/>
      <c r="E234" s="462"/>
      <c r="F234" s="462"/>
      <c r="G234" s="462"/>
      <c r="H234" s="462"/>
      <c r="I234" s="654"/>
      <c r="J234" s="650"/>
      <c r="K234" s="654"/>
      <c r="L234" s="654"/>
      <c r="M234" s="650"/>
      <c r="N234" s="650"/>
      <c r="O234" s="655"/>
      <c r="P234" s="655"/>
      <c r="Q234" s="655"/>
      <c r="R234" s="655"/>
      <c r="S234" s="655"/>
      <c r="T234" s="655"/>
      <c r="U234" s="655"/>
      <c r="V234" s="655"/>
      <c r="W234" s="655"/>
      <c r="X234" s="655"/>
      <c r="Y234" s="655"/>
      <c r="Z234" s="655"/>
      <c r="AA234" s="655"/>
      <c r="AB234" s="655"/>
      <c r="AC234" s="655"/>
      <c r="AD234" s="655"/>
    </row>
    <row r="235">
      <c r="B235" s="462"/>
      <c r="C235" s="462"/>
      <c r="D235" s="462"/>
      <c r="E235" s="462"/>
      <c r="F235" s="462"/>
      <c r="G235" s="462"/>
      <c r="H235" s="462"/>
      <c r="I235" s="654"/>
      <c r="J235" s="650"/>
      <c r="K235" s="654"/>
      <c r="L235" s="654"/>
      <c r="M235" s="650"/>
      <c r="N235" s="650"/>
      <c r="O235" s="655"/>
      <c r="P235" s="655"/>
      <c r="Q235" s="655"/>
      <c r="R235" s="655"/>
      <c r="S235" s="655"/>
      <c r="T235" s="655"/>
      <c r="U235" s="655"/>
      <c r="V235" s="655"/>
      <c r="W235" s="655"/>
      <c r="X235" s="655"/>
      <c r="Y235" s="655"/>
      <c r="Z235" s="655"/>
      <c r="AA235" s="655"/>
      <c r="AB235" s="655"/>
      <c r="AC235" s="655"/>
      <c r="AD235" s="655"/>
    </row>
    <row r="236">
      <c r="B236" s="462"/>
      <c r="C236" s="462"/>
      <c r="D236" s="462"/>
      <c r="E236" s="462"/>
      <c r="F236" s="462"/>
      <c r="G236" s="462"/>
      <c r="H236" s="462"/>
      <c r="I236" s="654"/>
      <c r="J236" s="650"/>
      <c r="K236" s="654"/>
      <c r="L236" s="654"/>
      <c r="M236" s="650"/>
      <c r="N236" s="650"/>
      <c r="O236" s="655"/>
      <c r="P236" s="655"/>
      <c r="Q236" s="655"/>
      <c r="R236" s="655"/>
      <c r="S236" s="655"/>
      <c r="T236" s="655"/>
      <c r="U236" s="655"/>
      <c r="V236" s="655"/>
      <c r="W236" s="655"/>
      <c r="X236" s="655"/>
      <c r="Y236" s="655"/>
      <c r="Z236" s="655"/>
      <c r="AA236" s="655"/>
      <c r="AB236" s="655"/>
      <c r="AC236" s="655"/>
      <c r="AD236" s="655"/>
    </row>
    <row r="237">
      <c r="B237" s="462"/>
      <c r="C237" s="462"/>
      <c r="D237" s="462"/>
      <c r="E237" s="462"/>
      <c r="F237" s="462"/>
      <c r="G237" s="462"/>
      <c r="H237" s="462"/>
      <c r="I237" s="654"/>
      <c r="J237" s="650"/>
      <c r="K237" s="654"/>
      <c r="L237" s="654"/>
      <c r="M237" s="650"/>
      <c r="N237" s="650"/>
      <c r="O237" s="655"/>
      <c r="P237" s="655"/>
      <c r="Q237" s="655"/>
      <c r="R237" s="655"/>
      <c r="S237" s="655"/>
      <c r="T237" s="655"/>
      <c r="U237" s="655"/>
      <c r="V237" s="655"/>
      <c r="W237" s="655"/>
      <c r="X237" s="655"/>
      <c r="Y237" s="655"/>
      <c r="Z237" s="655"/>
      <c r="AA237" s="655"/>
      <c r="AB237" s="655"/>
      <c r="AC237" s="655"/>
      <c r="AD237" s="655"/>
    </row>
    <row r="238">
      <c r="B238" s="462"/>
      <c r="C238" s="462"/>
      <c r="D238" s="462"/>
      <c r="E238" s="462"/>
      <c r="F238" s="462"/>
      <c r="G238" s="462"/>
      <c r="H238" s="462"/>
      <c r="I238" s="654"/>
      <c r="J238" s="650"/>
      <c r="K238" s="654"/>
      <c r="L238" s="654"/>
      <c r="M238" s="650"/>
      <c r="N238" s="650"/>
      <c r="O238" s="655"/>
      <c r="P238" s="655"/>
      <c r="Q238" s="655"/>
      <c r="R238" s="655"/>
      <c r="S238" s="655"/>
      <c r="T238" s="655"/>
      <c r="U238" s="655"/>
      <c r="V238" s="655"/>
      <c r="W238" s="655"/>
      <c r="X238" s="655"/>
      <c r="Y238" s="655"/>
      <c r="Z238" s="655"/>
      <c r="AA238" s="655"/>
      <c r="AB238" s="655"/>
      <c r="AC238" s="655"/>
      <c r="AD238" s="655"/>
    </row>
    <row r="239">
      <c r="B239" s="462"/>
      <c r="C239" s="462"/>
      <c r="D239" s="462"/>
      <c r="E239" s="462"/>
      <c r="F239" s="462"/>
      <c r="G239" s="462"/>
      <c r="H239" s="462"/>
      <c r="I239" s="654"/>
      <c r="J239" s="650"/>
      <c r="K239" s="654"/>
      <c r="L239" s="654"/>
      <c r="M239" s="650"/>
      <c r="N239" s="650"/>
      <c r="O239" s="655"/>
      <c r="P239" s="655"/>
      <c r="Q239" s="655"/>
      <c r="R239" s="655"/>
      <c r="S239" s="655"/>
      <c r="T239" s="655"/>
      <c r="U239" s="655"/>
      <c r="V239" s="655"/>
      <c r="W239" s="655"/>
      <c r="X239" s="655"/>
      <c r="Y239" s="655"/>
      <c r="Z239" s="655"/>
      <c r="AA239" s="655"/>
      <c r="AB239" s="655"/>
      <c r="AC239" s="655"/>
      <c r="AD239" s="655"/>
    </row>
    <row r="240">
      <c r="B240" s="462"/>
      <c r="C240" s="462"/>
      <c r="D240" s="462"/>
      <c r="E240" s="462"/>
      <c r="F240" s="462"/>
      <c r="G240" s="462"/>
      <c r="H240" s="462"/>
      <c r="I240" s="654"/>
      <c r="J240" s="650"/>
      <c r="K240" s="654"/>
      <c r="L240" s="654"/>
      <c r="M240" s="650"/>
      <c r="N240" s="650"/>
      <c r="O240" s="655"/>
      <c r="P240" s="655"/>
      <c r="Q240" s="655"/>
      <c r="R240" s="655"/>
      <c r="S240" s="655"/>
      <c r="T240" s="655"/>
      <c r="U240" s="655"/>
      <c r="V240" s="655"/>
      <c r="W240" s="655"/>
      <c r="X240" s="655"/>
      <c r="Y240" s="655"/>
      <c r="Z240" s="655"/>
      <c r="AA240" s="655"/>
      <c r="AB240" s="655"/>
      <c r="AC240" s="655"/>
      <c r="AD240" s="655"/>
    </row>
    <row r="241">
      <c r="B241" s="462"/>
      <c r="C241" s="462"/>
      <c r="D241" s="462"/>
      <c r="E241" s="462"/>
      <c r="F241" s="462"/>
      <c r="G241" s="462"/>
      <c r="H241" s="462"/>
      <c r="I241" s="654"/>
      <c r="J241" s="650"/>
      <c r="K241" s="654"/>
      <c r="L241" s="654"/>
      <c r="M241" s="650"/>
      <c r="N241" s="650"/>
      <c r="O241" s="655"/>
      <c r="P241" s="655"/>
      <c r="Q241" s="655"/>
      <c r="R241" s="655"/>
      <c r="S241" s="655"/>
      <c r="T241" s="655"/>
      <c r="U241" s="655"/>
      <c r="V241" s="655"/>
      <c r="W241" s="655"/>
      <c r="X241" s="655"/>
      <c r="Y241" s="655"/>
      <c r="Z241" s="655"/>
      <c r="AA241" s="655"/>
      <c r="AB241" s="655"/>
      <c r="AC241" s="655"/>
      <c r="AD241" s="655"/>
    </row>
    <row r="242">
      <c r="B242" s="462"/>
      <c r="C242" s="462"/>
      <c r="D242" s="462"/>
      <c r="E242" s="462"/>
      <c r="F242" s="462"/>
      <c r="G242" s="462"/>
      <c r="H242" s="462"/>
      <c r="I242" s="654"/>
      <c r="J242" s="650"/>
      <c r="K242" s="654"/>
      <c r="L242" s="654"/>
      <c r="M242" s="650"/>
      <c r="N242" s="650"/>
      <c r="O242" s="655"/>
      <c r="P242" s="655"/>
      <c r="Q242" s="655"/>
      <c r="R242" s="655"/>
      <c r="S242" s="655"/>
      <c r="T242" s="655"/>
      <c r="U242" s="655"/>
      <c r="V242" s="655"/>
      <c r="W242" s="655"/>
      <c r="X242" s="655"/>
      <c r="Y242" s="655"/>
      <c r="Z242" s="655"/>
      <c r="AA242" s="655"/>
      <c r="AB242" s="655"/>
      <c r="AC242" s="655"/>
      <c r="AD242" s="655"/>
    </row>
    <row r="243">
      <c r="B243" s="462"/>
      <c r="C243" s="462"/>
      <c r="D243" s="462"/>
      <c r="E243" s="462"/>
      <c r="F243" s="462"/>
      <c r="G243" s="462"/>
      <c r="H243" s="462"/>
      <c r="I243" s="654"/>
      <c r="J243" s="650"/>
      <c r="K243" s="654"/>
      <c r="L243" s="654"/>
      <c r="M243" s="650"/>
      <c r="N243" s="650"/>
      <c r="O243" s="655"/>
      <c r="P243" s="655"/>
      <c r="Q243" s="655"/>
      <c r="R243" s="655"/>
      <c r="S243" s="655"/>
      <c r="T243" s="655"/>
      <c r="U243" s="655"/>
      <c r="V243" s="655"/>
      <c r="W243" s="655"/>
      <c r="X243" s="655"/>
      <c r="Y243" s="655"/>
      <c r="Z243" s="655"/>
      <c r="AA243" s="655"/>
      <c r="AB243" s="655"/>
      <c r="AC243" s="655"/>
      <c r="AD243" s="655"/>
    </row>
    <row r="244">
      <c r="B244" s="462"/>
      <c r="C244" s="462"/>
      <c r="D244" s="462"/>
      <c r="E244" s="462"/>
      <c r="F244" s="462"/>
      <c r="G244" s="462"/>
      <c r="H244" s="462"/>
      <c r="I244" s="654"/>
      <c r="J244" s="650"/>
      <c r="K244" s="654"/>
      <c r="L244" s="654"/>
      <c r="M244" s="650"/>
      <c r="N244" s="650"/>
      <c r="O244" s="655"/>
      <c r="P244" s="655"/>
      <c r="Q244" s="655"/>
      <c r="R244" s="655"/>
      <c r="S244" s="655"/>
      <c r="T244" s="655"/>
      <c r="U244" s="655"/>
      <c r="V244" s="655"/>
      <c r="W244" s="655"/>
      <c r="X244" s="655"/>
      <c r="Y244" s="655"/>
      <c r="Z244" s="655"/>
      <c r="AA244" s="655"/>
      <c r="AB244" s="655"/>
      <c r="AC244" s="655"/>
      <c r="AD244" s="655"/>
    </row>
    <row r="245">
      <c r="B245" s="462"/>
      <c r="C245" s="462"/>
      <c r="D245" s="462"/>
      <c r="E245" s="462"/>
      <c r="F245" s="462"/>
      <c r="G245" s="462"/>
      <c r="H245" s="462"/>
      <c r="I245" s="654"/>
      <c r="J245" s="650"/>
      <c r="K245" s="654"/>
      <c r="L245" s="654"/>
      <c r="M245" s="650"/>
      <c r="N245" s="650"/>
      <c r="O245" s="655"/>
      <c r="P245" s="655"/>
      <c r="Q245" s="655"/>
      <c r="R245" s="655"/>
      <c r="S245" s="655"/>
      <c r="T245" s="655"/>
      <c r="U245" s="655"/>
      <c r="V245" s="655"/>
      <c r="W245" s="655"/>
      <c r="X245" s="655"/>
      <c r="Y245" s="655"/>
      <c r="Z245" s="655"/>
      <c r="AA245" s="655"/>
      <c r="AB245" s="655"/>
      <c r="AC245" s="655"/>
      <c r="AD245" s="655"/>
    </row>
    <row r="246">
      <c r="B246" s="462"/>
      <c r="C246" s="462"/>
      <c r="D246" s="462"/>
      <c r="E246" s="462"/>
      <c r="F246" s="462"/>
      <c r="G246" s="462"/>
      <c r="H246" s="462"/>
      <c r="I246" s="654"/>
      <c r="J246" s="650"/>
      <c r="K246" s="654"/>
      <c r="L246" s="654"/>
      <c r="M246" s="650"/>
      <c r="N246" s="650"/>
      <c r="O246" s="655"/>
      <c r="P246" s="655"/>
      <c r="Q246" s="655"/>
      <c r="R246" s="655"/>
      <c r="S246" s="655"/>
      <c r="T246" s="655"/>
      <c r="U246" s="655"/>
      <c r="V246" s="655"/>
      <c r="W246" s="655"/>
      <c r="X246" s="655"/>
      <c r="Y246" s="655"/>
      <c r="Z246" s="655"/>
      <c r="AA246" s="655"/>
      <c r="AB246" s="655"/>
      <c r="AC246" s="655"/>
      <c r="AD246" s="655"/>
    </row>
    <row r="247">
      <c r="B247" s="462"/>
      <c r="C247" s="462"/>
      <c r="D247" s="462"/>
      <c r="E247" s="462"/>
      <c r="F247" s="462"/>
      <c r="G247" s="462"/>
      <c r="H247" s="462"/>
      <c r="I247" s="654"/>
      <c r="J247" s="650"/>
      <c r="K247" s="654"/>
      <c r="L247" s="654"/>
      <c r="M247" s="650"/>
      <c r="N247" s="650"/>
      <c r="O247" s="655"/>
      <c r="P247" s="655"/>
      <c r="Q247" s="655"/>
      <c r="R247" s="655"/>
      <c r="S247" s="655"/>
      <c r="T247" s="655"/>
      <c r="U247" s="655"/>
      <c r="V247" s="655"/>
      <c r="W247" s="655"/>
      <c r="X247" s="655"/>
      <c r="Y247" s="655"/>
      <c r="Z247" s="655"/>
      <c r="AA247" s="655"/>
      <c r="AB247" s="655"/>
      <c r="AC247" s="655"/>
      <c r="AD247" s="655"/>
    </row>
    <row r="248">
      <c r="B248" s="462"/>
      <c r="C248" s="462"/>
      <c r="D248" s="462"/>
      <c r="E248" s="462"/>
      <c r="F248" s="462"/>
      <c r="G248" s="462"/>
      <c r="H248" s="462"/>
      <c r="I248" s="654"/>
      <c r="J248" s="650"/>
      <c r="K248" s="654"/>
      <c r="L248" s="654"/>
      <c r="M248" s="650"/>
      <c r="N248" s="650"/>
      <c r="O248" s="655"/>
      <c r="P248" s="655"/>
      <c r="Q248" s="655"/>
      <c r="R248" s="655"/>
      <c r="S248" s="655"/>
      <c r="T248" s="655"/>
      <c r="U248" s="655"/>
      <c r="V248" s="655"/>
      <c r="W248" s="655"/>
      <c r="X248" s="655"/>
      <c r="Y248" s="655"/>
      <c r="Z248" s="655"/>
      <c r="AA248" s="655"/>
      <c r="AB248" s="655"/>
      <c r="AC248" s="655"/>
      <c r="AD248" s="655"/>
    </row>
    <row r="249">
      <c r="B249" s="462"/>
      <c r="C249" s="462"/>
      <c r="D249" s="462"/>
      <c r="E249" s="462"/>
      <c r="F249" s="462"/>
      <c r="G249" s="462"/>
      <c r="H249" s="462"/>
      <c r="I249" s="654"/>
      <c r="J249" s="650"/>
      <c r="K249" s="654"/>
      <c r="L249" s="654"/>
      <c r="M249" s="650"/>
      <c r="N249" s="650"/>
      <c r="O249" s="655"/>
      <c r="P249" s="655"/>
      <c r="Q249" s="655"/>
      <c r="R249" s="655"/>
      <c r="S249" s="655"/>
      <c r="T249" s="655"/>
      <c r="U249" s="655"/>
      <c r="V249" s="655"/>
      <c r="W249" s="655"/>
      <c r="X249" s="655"/>
      <c r="Y249" s="655"/>
      <c r="Z249" s="655"/>
      <c r="AA249" s="655"/>
      <c r="AB249" s="655"/>
      <c r="AC249" s="655"/>
      <c r="AD249" s="655"/>
    </row>
    <row r="250">
      <c r="B250" s="462"/>
      <c r="C250" s="462"/>
      <c r="D250" s="462"/>
      <c r="E250" s="462"/>
      <c r="F250" s="462"/>
      <c r="G250" s="462"/>
      <c r="H250" s="462"/>
      <c r="I250" s="654"/>
      <c r="J250" s="650"/>
      <c r="K250" s="654"/>
      <c r="L250" s="654"/>
      <c r="M250" s="650"/>
      <c r="N250" s="650"/>
      <c r="O250" s="655"/>
      <c r="P250" s="655"/>
      <c r="Q250" s="655"/>
      <c r="R250" s="655"/>
      <c r="S250" s="655"/>
      <c r="T250" s="655"/>
      <c r="U250" s="655"/>
      <c r="V250" s="655"/>
      <c r="W250" s="655"/>
      <c r="X250" s="655"/>
      <c r="Y250" s="655"/>
      <c r="Z250" s="655"/>
      <c r="AA250" s="655"/>
      <c r="AB250" s="655"/>
      <c r="AC250" s="655"/>
      <c r="AD250" s="655"/>
    </row>
    <row r="251">
      <c r="B251" s="462"/>
      <c r="C251" s="462"/>
      <c r="D251" s="462"/>
      <c r="E251" s="462"/>
      <c r="F251" s="462"/>
      <c r="G251" s="462"/>
      <c r="H251" s="462"/>
      <c r="I251" s="654"/>
      <c r="J251" s="650"/>
      <c r="K251" s="654"/>
      <c r="L251" s="654"/>
      <c r="M251" s="650"/>
      <c r="N251" s="650"/>
      <c r="O251" s="655"/>
      <c r="P251" s="655"/>
      <c r="Q251" s="655"/>
      <c r="R251" s="655"/>
      <c r="S251" s="655"/>
      <c r="T251" s="655"/>
      <c r="U251" s="655"/>
      <c r="V251" s="655"/>
      <c r="W251" s="655"/>
      <c r="X251" s="655"/>
      <c r="Y251" s="655"/>
      <c r="Z251" s="655"/>
      <c r="AA251" s="655"/>
      <c r="AB251" s="655"/>
      <c r="AC251" s="655"/>
      <c r="AD251" s="655"/>
    </row>
    <row r="252">
      <c r="B252" s="462"/>
      <c r="C252" s="462"/>
      <c r="D252" s="462"/>
      <c r="E252" s="462"/>
      <c r="F252" s="462"/>
      <c r="G252" s="462"/>
      <c r="H252" s="462"/>
      <c r="I252" s="654"/>
      <c r="J252" s="650"/>
      <c r="K252" s="654"/>
      <c r="L252" s="654"/>
      <c r="M252" s="650"/>
      <c r="N252" s="650"/>
      <c r="O252" s="655"/>
      <c r="P252" s="655"/>
      <c r="Q252" s="655"/>
      <c r="R252" s="655"/>
      <c r="S252" s="655"/>
      <c r="T252" s="655"/>
      <c r="U252" s="655"/>
      <c r="V252" s="655"/>
      <c r="W252" s="655"/>
      <c r="X252" s="655"/>
      <c r="Y252" s="655"/>
      <c r="Z252" s="655"/>
      <c r="AA252" s="655"/>
      <c r="AB252" s="655"/>
      <c r="AC252" s="655"/>
      <c r="AD252" s="655"/>
    </row>
    <row r="253">
      <c r="B253" s="462"/>
      <c r="C253" s="462"/>
      <c r="D253" s="462"/>
      <c r="E253" s="462"/>
      <c r="F253" s="462"/>
      <c r="G253" s="462"/>
      <c r="H253" s="462"/>
      <c r="I253" s="654"/>
      <c r="J253" s="650"/>
      <c r="K253" s="654"/>
      <c r="L253" s="654"/>
      <c r="M253" s="650"/>
      <c r="N253" s="650"/>
      <c r="O253" s="655"/>
      <c r="P253" s="655"/>
      <c r="Q253" s="655"/>
      <c r="R253" s="655"/>
      <c r="S253" s="655"/>
      <c r="T253" s="655"/>
      <c r="U253" s="655"/>
      <c r="V253" s="655"/>
      <c r="W253" s="655"/>
      <c r="X253" s="655"/>
      <c r="Y253" s="655"/>
      <c r="Z253" s="655"/>
      <c r="AA253" s="655"/>
      <c r="AB253" s="655"/>
      <c r="AC253" s="655"/>
      <c r="AD253" s="655"/>
    </row>
    <row r="254">
      <c r="B254" s="462"/>
      <c r="C254" s="462"/>
      <c r="D254" s="462"/>
      <c r="E254" s="462"/>
      <c r="F254" s="462"/>
      <c r="G254" s="462"/>
      <c r="H254" s="462"/>
      <c r="I254" s="654"/>
      <c r="J254" s="650"/>
      <c r="K254" s="654"/>
      <c r="L254" s="654"/>
      <c r="M254" s="650"/>
      <c r="N254" s="650"/>
      <c r="O254" s="655"/>
      <c r="P254" s="655"/>
      <c r="Q254" s="655"/>
      <c r="R254" s="655"/>
      <c r="S254" s="655"/>
      <c r="T254" s="655"/>
      <c r="U254" s="655"/>
      <c r="V254" s="655"/>
      <c r="W254" s="655"/>
      <c r="X254" s="655"/>
      <c r="Y254" s="655"/>
      <c r="Z254" s="655"/>
      <c r="AA254" s="655"/>
      <c r="AB254" s="655"/>
      <c r="AC254" s="655"/>
      <c r="AD254" s="655"/>
    </row>
    <row r="255">
      <c r="B255" s="462"/>
      <c r="C255" s="462"/>
      <c r="D255" s="462"/>
      <c r="E255" s="462"/>
      <c r="F255" s="462"/>
      <c r="G255" s="462"/>
      <c r="H255" s="462"/>
      <c r="I255" s="654"/>
      <c r="J255" s="650"/>
      <c r="K255" s="654"/>
      <c r="L255" s="654"/>
      <c r="M255" s="650"/>
      <c r="N255" s="650"/>
      <c r="O255" s="655"/>
      <c r="P255" s="655"/>
      <c r="Q255" s="655"/>
      <c r="R255" s="655"/>
      <c r="S255" s="655"/>
      <c r="T255" s="655"/>
      <c r="U255" s="655"/>
      <c r="V255" s="655"/>
      <c r="W255" s="655"/>
      <c r="X255" s="655"/>
      <c r="Y255" s="655"/>
      <c r="Z255" s="655"/>
      <c r="AA255" s="655"/>
      <c r="AB255" s="655"/>
      <c r="AC255" s="655"/>
      <c r="AD255" s="655"/>
    </row>
    <row r="256">
      <c r="B256" s="462"/>
      <c r="C256" s="462"/>
      <c r="D256" s="462"/>
      <c r="E256" s="462"/>
      <c r="F256" s="462"/>
      <c r="G256" s="462"/>
      <c r="H256" s="462"/>
      <c r="I256" s="654"/>
      <c r="J256" s="650"/>
      <c r="K256" s="654"/>
      <c r="L256" s="654"/>
      <c r="M256" s="650"/>
      <c r="N256" s="650"/>
      <c r="O256" s="655"/>
      <c r="P256" s="655"/>
      <c r="Q256" s="655"/>
      <c r="R256" s="655"/>
      <c r="S256" s="655"/>
      <c r="T256" s="655"/>
      <c r="U256" s="655"/>
      <c r="V256" s="655"/>
      <c r="W256" s="655"/>
      <c r="X256" s="655"/>
      <c r="Y256" s="655"/>
      <c r="Z256" s="655"/>
      <c r="AA256" s="655"/>
      <c r="AB256" s="655"/>
      <c r="AC256" s="655"/>
      <c r="AD256" s="655"/>
    </row>
    <row r="257">
      <c r="B257" s="462"/>
      <c r="C257" s="462"/>
      <c r="D257" s="462"/>
      <c r="E257" s="462"/>
      <c r="F257" s="462"/>
      <c r="G257" s="462"/>
      <c r="H257" s="462"/>
      <c r="I257" s="654"/>
      <c r="J257" s="650"/>
      <c r="K257" s="654"/>
      <c r="L257" s="654"/>
      <c r="M257" s="650"/>
      <c r="N257" s="650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5"/>
      <c r="AB257" s="655"/>
      <c r="AC257" s="655"/>
      <c r="AD257" s="655"/>
    </row>
    <row r="258">
      <c r="B258" s="462"/>
      <c r="C258" s="462"/>
      <c r="D258" s="462"/>
      <c r="E258" s="462"/>
      <c r="F258" s="462"/>
      <c r="G258" s="462"/>
      <c r="H258" s="462"/>
      <c r="I258" s="654"/>
      <c r="J258" s="650"/>
      <c r="K258" s="654"/>
      <c r="L258" s="654"/>
      <c r="M258" s="650"/>
      <c r="N258" s="650"/>
      <c r="O258" s="655"/>
      <c r="P258" s="655"/>
      <c r="Q258" s="655"/>
      <c r="R258" s="655"/>
      <c r="S258" s="655"/>
      <c r="T258" s="655"/>
      <c r="U258" s="655"/>
      <c r="V258" s="655"/>
      <c r="W258" s="655"/>
      <c r="X258" s="655"/>
      <c r="Y258" s="655"/>
      <c r="Z258" s="655"/>
      <c r="AA258" s="655"/>
      <c r="AB258" s="655"/>
      <c r="AC258" s="655"/>
      <c r="AD258" s="655"/>
    </row>
    <row r="259">
      <c r="B259" s="462"/>
      <c r="C259" s="462"/>
      <c r="D259" s="462"/>
      <c r="E259" s="462"/>
      <c r="F259" s="462"/>
      <c r="G259" s="462"/>
      <c r="H259" s="462"/>
      <c r="I259" s="654"/>
      <c r="J259" s="650"/>
      <c r="K259" s="654"/>
      <c r="L259" s="654"/>
      <c r="M259" s="650"/>
      <c r="N259" s="650"/>
      <c r="O259" s="655"/>
      <c r="P259" s="655"/>
      <c r="Q259" s="655"/>
      <c r="R259" s="655"/>
      <c r="S259" s="655"/>
      <c r="T259" s="655"/>
      <c r="U259" s="655"/>
      <c r="V259" s="655"/>
      <c r="W259" s="655"/>
      <c r="X259" s="655"/>
      <c r="Y259" s="655"/>
      <c r="Z259" s="655"/>
      <c r="AA259" s="655"/>
      <c r="AB259" s="655"/>
      <c r="AC259" s="655"/>
      <c r="AD259" s="655"/>
    </row>
    <row r="260">
      <c r="B260" s="462"/>
      <c r="C260" s="462"/>
      <c r="D260" s="462"/>
      <c r="E260" s="462"/>
      <c r="F260" s="462"/>
      <c r="G260" s="462"/>
      <c r="H260" s="462"/>
      <c r="I260" s="654"/>
      <c r="J260" s="650"/>
      <c r="K260" s="654"/>
      <c r="L260" s="654"/>
      <c r="M260" s="650"/>
      <c r="N260" s="650"/>
      <c r="O260" s="655"/>
      <c r="P260" s="655"/>
      <c r="Q260" s="655"/>
      <c r="R260" s="655"/>
      <c r="S260" s="655"/>
      <c r="T260" s="655"/>
      <c r="U260" s="655"/>
      <c r="V260" s="655"/>
      <c r="W260" s="655"/>
      <c r="X260" s="655"/>
      <c r="Y260" s="655"/>
      <c r="Z260" s="655"/>
      <c r="AA260" s="655"/>
      <c r="AB260" s="655"/>
      <c r="AC260" s="655"/>
      <c r="AD260" s="655"/>
    </row>
    <row r="261">
      <c r="B261" s="462"/>
      <c r="C261" s="462"/>
      <c r="D261" s="462"/>
      <c r="E261" s="462"/>
      <c r="F261" s="462"/>
      <c r="G261" s="462"/>
      <c r="H261" s="462"/>
      <c r="I261" s="654"/>
      <c r="J261" s="650"/>
      <c r="K261" s="654"/>
      <c r="L261" s="654"/>
      <c r="M261" s="650"/>
      <c r="N261" s="650"/>
      <c r="O261" s="655"/>
      <c r="P261" s="655"/>
      <c r="Q261" s="655"/>
      <c r="R261" s="655"/>
      <c r="S261" s="655"/>
      <c r="T261" s="655"/>
      <c r="U261" s="655"/>
      <c r="V261" s="655"/>
      <c r="W261" s="655"/>
      <c r="X261" s="655"/>
      <c r="Y261" s="655"/>
      <c r="Z261" s="655"/>
      <c r="AA261" s="655"/>
      <c r="AB261" s="655"/>
      <c r="AC261" s="655"/>
      <c r="AD261" s="655"/>
    </row>
    <row r="262">
      <c r="B262" s="462"/>
      <c r="C262" s="462"/>
      <c r="D262" s="462"/>
      <c r="E262" s="462"/>
      <c r="F262" s="462"/>
      <c r="G262" s="462"/>
      <c r="H262" s="462"/>
      <c r="I262" s="654"/>
      <c r="J262" s="650"/>
      <c r="K262" s="654"/>
      <c r="L262" s="654"/>
      <c r="M262" s="650"/>
      <c r="N262" s="650"/>
      <c r="O262" s="655"/>
      <c r="P262" s="655"/>
      <c r="Q262" s="655"/>
      <c r="R262" s="655"/>
      <c r="S262" s="655"/>
      <c r="T262" s="655"/>
      <c r="U262" s="655"/>
      <c r="V262" s="655"/>
      <c r="W262" s="655"/>
      <c r="X262" s="655"/>
      <c r="Y262" s="655"/>
      <c r="Z262" s="655"/>
      <c r="AA262" s="655"/>
      <c r="AB262" s="655"/>
      <c r="AC262" s="655"/>
      <c r="AD262" s="655"/>
    </row>
    <row r="263">
      <c r="B263" s="462"/>
      <c r="C263" s="462"/>
      <c r="D263" s="462"/>
      <c r="E263" s="462"/>
      <c r="F263" s="462"/>
      <c r="G263" s="462"/>
      <c r="H263" s="462"/>
      <c r="I263" s="654"/>
      <c r="J263" s="650"/>
      <c r="K263" s="654"/>
      <c r="L263" s="654"/>
      <c r="M263" s="650"/>
      <c r="N263" s="650"/>
      <c r="O263" s="655"/>
      <c r="P263" s="655"/>
      <c r="Q263" s="655"/>
      <c r="R263" s="655"/>
      <c r="S263" s="655"/>
      <c r="T263" s="655"/>
      <c r="U263" s="655"/>
      <c r="V263" s="655"/>
      <c r="W263" s="655"/>
      <c r="X263" s="655"/>
      <c r="Y263" s="655"/>
      <c r="Z263" s="655"/>
      <c r="AA263" s="655"/>
      <c r="AB263" s="655"/>
      <c r="AC263" s="655"/>
      <c r="AD263" s="655"/>
    </row>
    <row r="264">
      <c r="B264" s="462"/>
      <c r="C264" s="462"/>
      <c r="D264" s="462"/>
      <c r="E264" s="462"/>
      <c r="F264" s="462"/>
      <c r="G264" s="462"/>
      <c r="H264" s="462"/>
      <c r="I264" s="654"/>
      <c r="J264" s="650"/>
      <c r="K264" s="654"/>
      <c r="L264" s="654"/>
      <c r="M264" s="650"/>
      <c r="N264" s="650"/>
      <c r="O264" s="655"/>
      <c r="P264" s="655"/>
      <c r="Q264" s="655"/>
      <c r="R264" s="655"/>
      <c r="S264" s="655"/>
      <c r="T264" s="655"/>
      <c r="U264" s="655"/>
      <c r="V264" s="655"/>
      <c r="W264" s="655"/>
      <c r="X264" s="655"/>
      <c r="Y264" s="655"/>
      <c r="Z264" s="655"/>
      <c r="AA264" s="655"/>
      <c r="AB264" s="655"/>
      <c r="AC264" s="655"/>
      <c r="AD264" s="655"/>
    </row>
    <row r="265">
      <c r="B265" s="462"/>
      <c r="C265" s="462"/>
      <c r="D265" s="462"/>
      <c r="E265" s="462"/>
      <c r="F265" s="462"/>
      <c r="G265" s="462"/>
      <c r="H265" s="462"/>
      <c r="I265" s="654"/>
      <c r="J265" s="650"/>
      <c r="K265" s="654"/>
      <c r="L265" s="654"/>
      <c r="M265" s="650"/>
      <c r="N265" s="650"/>
      <c r="O265" s="655"/>
      <c r="P265" s="655"/>
      <c r="Q265" s="655"/>
      <c r="R265" s="655"/>
      <c r="S265" s="655"/>
      <c r="T265" s="655"/>
      <c r="U265" s="655"/>
      <c r="V265" s="655"/>
      <c r="W265" s="655"/>
      <c r="X265" s="655"/>
      <c r="Y265" s="655"/>
      <c r="Z265" s="655"/>
      <c r="AA265" s="655"/>
      <c r="AB265" s="655"/>
      <c r="AC265" s="655"/>
      <c r="AD265" s="655"/>
    </row>
    <row r="266">
      <c r="B266" s="462"/>
      <c r="C266" s="462"/>
      <c r="D266" s="462"/>
      <c r="E266" s="462"/>
      <c r="F266" s="462"/>
      <c r="G266" s="462"/>
      <c r="H266" s="462"/>
      <c r="I266" s="654"/>
      <c r="J266" s="650"/>
      <c r="K266" s="654"/>
      <c r="L266" s="654"/>
      <c r="M266" s="650"/>
      <c r="N266" s="650"/>
      <c r="O266" s="655"/>
      <c r="P266" s="655"/>
      <c r="Q266" s="655"/>
      <c r="R266" s="655"/>
      <c r="S266" s="655"/>
      <c r="T266" s="655"/>
      <c r="U266" s="655"/>
      <c r="V266" s="655"/>
      <c r="W266" s="655"/>
      <c r="X266" s="655"/>
      <c r="Y266" s="655"/>
      <c r="Z266" s="655"/>
      <c r="AA266" s="655"/>
      <c r="AB266" s="655"/>
      <c r="AC266" s="655"/>
      <c r="AD266" s="655"/>
    </row>
    <row r="267">
      <c r="B267" s="462"/>
      <c r="C267" s="462"/>
      <c r="D267" s="462"/>
      <c r="E267" s="462"/>
      <c r="F267" s="462"/>
      <c r="G267" s="462"/>
      <c r="H267" s="462"/>
      <c r="I267" s="654"/>
      <c r="J267" s="650"/>
      <c r="K267" s="654"/>
      <c r="L267" s="654"/>
      <c r="M267" s="650"/>
      <c r="N267" s="650"/>
      <c r="O267" s="655"/>
      <c r="P267" s="655"/>
      <c r="Q267" s="655"/>
      <c r="R267" s="655"/>
      <c r="S267" s="655"/>
      <c r="T267" s="655"/>
      <c r="U267" s="655"/>
      <c r="V267" s="655"/>
      <c r="W267" s="655"/>
      <c r="X267" s="655"/>
      <c r="Y267" s="655"/>
      <c r="Z267" s="655"/>
      <c r="AA267" s="655"/>
      <c r="AB267" s="655"/>
      <c r="AC267" s="655"/>
      <c r="AD267" s="655"/>
    </row>
    <row r="268">
      <c r="B268" s="462"/>
      <c r="C268" s="462"/>
      <c r="D268" s="462"/>
      <c r="E268" s="462"/>
      <c r="F268" s="462"/>
      <c r="G268" s="462"/>
      <c r="H268" s="462"/>
      <c r="I268" s="654"/>
      <c r="J268" s="650"/>
      <c r="K268" s="654"/>
      <c r="L268" s="654"/>
      <c r="M268" s="650"/>
      <c r="N268" s="650"/>
      <c r="O268" s="655"/>
      <c r="P268" s="655"/>
      <c r="Q268" s="655"/>
      <c r="R268" s="655"/>
      <c r="S268" s="655"/>
      <c r="T268" s="655"/>
      <c r="U268" s="655"/>
      <c r="V268" s="655"/>
      <c r="W268" s="655"/>
      <c r="X268" s="655"/>
      <c r="Y268" s="655"/>
      <c r="Z268" s="655"/>
      <c r="AA268" s="655"/>
      <c r="AB268" s="655"/>
      <c r="AC268" s="655"/>
      <c r="AD268" s="655"/>
    </row>
    <row r="269">
      <c r="B269" s="462"/>
      <c r="C269" s="462"/>
      <c r="D269" s="462"/>
      <c r="E269" s="462"/>
      <c r="F269" s="462"/>
      <c r="G269" s="462"/>
      <c r="H269" s="462"/>
      <c r="I269" s="654"/>
      <c r="J269" s="650"/>
      <c r="K269" s="654"/>
      <c r="L269" s="654"/>
      <c r="M269" s="650"/>
      <c r="N269" s="650"/>
      <c r="O269" s="655"/>
      <c r="P269" s="655"/>
      <c r="Q269" s="655"/>
      <c r="R269" s="655"/>
      <c r="S269" s="655"/>
      <c r="T269" s="655"/>
      <c r="U269" s="655"/>
      <c r="V269" s="655"/>
      <c r="W269" s="655"/>
      <c r="X269" s="655"/>
      <c r="Y269" s="655"/>
      <c r="Z269" s="655"/>
      <c r="AA269" s="655"/>
      <c r="AB269" s="655"/>
      <c r="AC269" s="655"/>
      <c r="AD269" s="655"/>
    </row>
    <row r="270">
      <c r="B270" s="462"/>
      <c r="C270" s="462"/>
      <c r="D270" s="462"/>
      <c r="E270" s="462"/>
      <c r="F270" s="462"/>
      <c r="G270" s="462"/>
      <c r="H270" s="462"/>
      <c r="I270" s="654"/>
      <c r="J270" s="650"/>
      <c r="K270" s="654"/>
      <c r="L270" s="654"/>
      <c r="M270" s="650"/>
      <c r="N270" s="650"/>
      <c r="O270" s="655"/>
      <c r="P270" s="655"/>
      <c r="Q270" s="655"/>
      <c r="R270" s="655"/>
      <c r="S270" s="655"/>
      <c r="T270" s="655"/>
      <c r="U270" s="655"/>
      <c r="V270" s="655"/>
      <c r="W270" s="655"/>
      <c r="X270" s="655"/>
      <c r="Y270" s="655"/>
      <c r="Z270" s="655"/>
      <c r="AA270" s="655"/>
      <c r="AB270" s="655"/>
      <c r="AC270" s="655"/>
      <c r="AD270" s="655"/>
    </row>
    <row r="271">
      <c r="B271" s="462"/>
      <c r="C271" s="462"/>
      <c r="D271" s="462"/>
      <c r="E271" s="462"/>
      <c r="F271" s="462"/>
      <c r="G271" s="462"/>
      <c r="H271" s="462"/>
      <c r="I271" s="654"/>
      <c r="J271" s="650"/>
      <c r="K271" s="654"/>
      <c r="L271" s="654"/>
      <c r="M271" s="650"/>
      <c r="N271" s="650"/>
      <c r="O271" s="655"/>
      <c r="P271" s="655"/>
      <c r="Q271" s="655"/>
      <c r="R271" s="655"/>
      <c r="S271" s="655"/>
      <c r="T271" s="655"/>
      <c r="U271" s="655"/>
      <c r="V271" s="655"/>
      <c r="W271" s="655"/>
      <c r="X271" s="655"/>
      <c r="Y271" s="655"/>
      <c r="Z271" s="655"/>
      <c r="AA271" s="655"/>
      <c r="AB271" s="655"/>
      <c r="AC271" s="655"/>
      <c r="AD271" s="655"/>
    </row>
    <row r="272">
      <c r="B272" s="462"/>
      <c r="C272" s="462"/>
      <c r="D272" s="462"/>
      <c r="E272" s="462"/>
      <c r="F272" s="462"/>
      <c r="G272" s="462"/>
      <c r="H272" s="462"/>
      <c r="I272" s="654"/>
      <c r="J272" s="650"/>
      <c r="K272" s="654"/>
      <c r="L272" s="654"/>
      <c r="M272" s="650"/>
      <c r="N272" s="650"/>
      <c r="O272" s="655"/>
      <c r="P272" s="655"/>
      <c r="Q272" s="655"/>
      <c r="R272" s="655"/>
      <c r="S272" s="655"/>
      <c r="T272" s="655"/>
      <c r="U272" s="655"/>
      <c r="V272" s="655"/>
      <c r="W272" s="655"/>
      <c r="X272" s="655"/>
      <c r="Y272" s="655"/>
      <c r="Z272" s="655"/>
      <c r="AA272" s="655"/>
      <c r="AB272" s="655"/>
      <c r="AC272" s="655"/>
      <c r="AD272" s="655"/>
    </row>
    <row r="273">
      <c r="B273" s="462"/>
      <c r="C273" s="462"/>
      <c r="D273" s="462"/>
      <c r="E273" s="462"/>
      <c r="F273" s="462"/>
      <c r="G273" s="462"/>
      <c r="H273" s="462"/>
      <c r="I273" s="654"/>
      <c r="J273" s="650"/>
      <c r="K273" s="654"/>
      <c r="L273" s="654"/>
      <c r="M273" s="650"/>
      <c r="N273" s="650"/>
      <c r="O273" s="655"/>
      <c r="P273" s="655"/>
      <c r="Q273" s="655"/>
      <c r="R273" s="655"/>
      <c r="S273" s="655"/>
      <c r="T273" s="655"/>
      <c r="U273" s="655"/>
      <c r="V273" s="655"/>
      <c r="W273" s="655"/>
      <c r="X273" s="655"/>
      <c r="Y273" s="655"/>
      <c r="Z273" s="655"/>
      <c r="AA273" s="655"/>
      <c r="AB273" s="655"/>
      <c r="AC273" s="655"/>
      <c r="AD273" s="655"/>
    </row>
    <row r="274">
      <c r="B274" s="462"/>
      <c r="C274" s="462"/>
      <c r="D274" s="462"/>
      <c r="E274" s="462"/>
      <c r="F274" s="462"/>
      <c r="G274" s="462"/>
      <c r="H274" s="462"/>
      <c r="I274" s="654"/>
      <c r="J274" s="650"/>
      <c r="K274" s="654"/>
      <c r="L274" s="654"/>
      <c r="M274" s="650"/>
      <c r="N274" s="650"/>
      <c r="O274" s="655"/>
      <c r="P274" s="655"/>
      <c r="Q274" s="655"/>
      <c r="R274" s="655"/>
      <c r="S274" s="655"/>
      <c r="T274" s="655"/>
      <c r="U274" s="655"/>
      <c r="V274" s="655"/>
      <c r="W274" s="655"/>
      <c r="X274" s="655"/>
      <c r="Y274" s="655"/>
      <c r="Z274" s="655"/>
      <c r="AA274" s="655"/>
      <c r="AB274" s="655"/>
      <c r="AC274" s="655"/>
      <c r="AD274" s="655"/>
    </row>
    <row r="275">
      <c r="B275" s="462"/>
      <c r="C275" s="462"/>
      <c r="D275" s="462"/>
      <c r="E275" s="462"/>
      <c r="F275" s="462"/>
      <c r="G275" s="462"/>
      <c r="H275" s="462"/>
      <c r="I275" s="654"/>
      <c r="J275" s="650"/>
      <c r="K275" s="654"/>
      <c r="L275" s="654"/>
      <c r="M275" s="650"/>
      <c r="N275" s="650"/>
      <c r="O275" s="655"/>
      <c r="P275" s="655"/>
      <c r="Q275" s="655"/>
      <c r="R275" s="655"/>
      <c r="S275" s="655"/>
      <c r="T275" s="655"/>
      <c r="U275" s="655"/>
      <c r="V275" s="655"/>
      <c r="W275" s="655"/>
      <c r="X275" s="655"/>
      <c r="Y275" s="655"/>
      <c r="Z275" s="655"/>
      <c r="AA275" s="655"/>
      <c r="AB275" s="655"/>
      <c r="AC275" s="655"/>
      <c r="AD275" s="655"/>
    </row>
    <row r="276">
      <c r="B276" s="462"/>
      <c r="C276" s="462"/>
      <c r="D276" s="462"/>
      <c r="E276" s="462"/>
      <c r="F276" s="462"/>
      <c r="G276" s="462"/>
      <c r="H276" s="462"/>
      <c r="I276" s="654"/>
      <c r="J276" s="650"/>
      <c r="K276" s="654"/>
      <c r="L276" s="654"/>
      <c r="M276" s="650"/>
      <c r="N276" s="650"/>
      <c r="O276" s="655"/>
      <c r="P276" s="655"/>
      <c r="Q276" s="655"/>
      <c r="R276" s="655"/>
      <c r="S276" s="655"/>
      <c r="T276" s="655"/>
      <c r="U276" s="655"/>
      <c r="V276" s="655"/>
      <c r="W276" s="655"/>
      <c r="X276" s="655"/>
      <c r="Y276" s="655"/>
      <c r="Z276" s="655"/>
      <c r="AA276" s="655"/>
      <c r="AB276" s="655"/>
      <c r="AC276" s="655"/>
      <c r="AD276" s="655"/>
    </row>
    <row r="277">
      <c r="B277" s="462"/>
      <c r="C277" s="462"/>
      <c r="D277" s="462"/>
      <c r="E277" s="462"/>
      <c r="F277" s="462"/>
      <c r="G277" s="462"/>
      <c r="H277" s="462"/>
      <c r="I277" s="654"/>
      <c r="J277" s="650"/>
      <c r="K277" s="654"/>
      <c r="L277" s="654"/>
      <c r="M277" s="650"/>
      <c r="N277" s="650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  <c r="AA277" s="655"/>
      <c r="AB277" s="655"/>
      <c r="AC277" s="655"/>
      <c r="AD277" s="655"/>
    </row>
    <row r="278">
      <c r="B278" s="462"/>
      <c r="C278" s="462"/>
      <c r="D278" s="462"/>
      <c r="E278" s="462"/>
      <c r="F278" s="462"/>
      <c r="G278" s="462"/>
      <c r="H278" s="462"/>
      <c r="I278" s="654"/>
      <c r="J278" s="650"/>
      <c r="K278" s="654"/>
      <c r="L278" s="654"/>
      <c r="M278" s="650"/>
      <c r="N278" s="650"/>
      <c r="O278" s="655"/>
      <c r="P278" s="655"/>
      <c r="Q278" s="655"/>
      <c r="R278" s="655"/>
      <c r="S278" s="655"/>
      <c r="T278" s="655"/>
      <c r="U278" s="655"/>
      <c r="V278" s="655"/>
      <c r="W278" s="655"/>
      <c r="X278" s="655"/>
      <c r="Y278" s="655"/>
      <c r="Z278" s="655"/>
      <c r="AA278" s="655"/>
      <c r="AB278" s="655"/>
      <c r="AC278" s="655"/>
      <c r="AD278" s="655"/>
    </row>
    <row r="279">
      <c r="B279" s="462"/>
      <c r="C279" s="462"/>
      <c r="D279" s="462"/>
      <c r="E279" s="462"/>
      <c r="F279" s="462"/>
      <c r="G279" s="462"/>
      <c r="H279" s="462"/>
      <c r="I279" s="654"/>
      <c r="J279" s="650"/>
      <c r="K279" s="654"/>
      <c r="L279" s="654"/>
      <c r="M279" s="650"/>
      <c r="N279" s="650"/>
      <c r="O279" s="655"/>
      <c r="P279" s="655"/>
      <c r="Q279" s="655"/>
      <c r="R279" s="655"/>
      <c r="S279" s="655"/>
      <c r="T279" s="655"/>
      <c r="U279" s="655"/>
      <c r="V279" s="655"/>
      <c r="W279" s="655"/>
      <c r="X279" s="655"/>
      <c r="Y279" s="655"/>
      <c r="Z279" s="655"/>
      <c r="AA279" s="655"/>
      <c r="AB279" s="655"/>
      <c r="AC279" s="655"/>
      <c r="AD279" s="655"/>
    </row>
    <row r="280">
      <c r="B280" s="462"/>
      <c r="C280" s="462"/>
      <c r="D280" s="462"/>
      <c r="E280" s="462"/>
      <c r="F280" s="462"/>
      <c r="G280" s="462"/>
      <c r="H280" s="462"/>
      <c r="I280" s="654"/>
      <c r="J280" s="650"/>
      <c r="K280" s="654"/>
      <c r="L280" s="654"/>
      <c r="M280" s="650"/>
      <c r="N280" s="650"/>
      <c r="O280" s="655"/>
      <c r="P280" s="655"/>
      <c r="Q280" s="655"/>
      <c r="R280" s="655"/>
      <c r="S280" s="655"/>
      <c r="T280" s="655"/>
      <c r="U280" s="655"/>
      <c r="V280" s="655"/>
      <c r="W280" s="655"/>
      <c r="X280" s="655"/>
      <c r="Y280" s="655"/>
      <c r="Z280" s="655"/>
      <c r="AA280" s="655"/>
      <c r="AB280" s="655"/>
      <c r="AC280" s="655"/>
      <c r="AD280" s="655"/>
    </row>
    <row r="281">
      <c r="B281" s="462"/>
      <c r="C281" s="462"/>
      <c r="D281" s="462"/>
      <c r="E281" s="462"/>
      <c r="F281" s="462"/>
      <c r="G281" s="462"/>
      <c r="H281" s="462"/>
      <c r="I281" s="654"/>
      <c r="J281" s="650"/>
      <c r="K281" s="654"/>
      <c r="L281" s="654"/>
      <c r="M281" s="650"/>
      <c r="N281" s="650"/>
      <c r="O281" s="655"/>
      <c r="P281" s="655"/>
      <c r="Q281" s="655"/>
      <c r="R281" s="655"/>
      <c r="S281" s="655"/>
      <c r="T281" s="655"/>
      <c r="U281" s="655"/>
      <c r="V281" s="655"/>
      <c r="W281" s="655"/>
      <c r="X281" s="655"/>
      <c r="Y281" s="655"/>
      <c r="Z281" s="655"/>
      <c r="AA281" s="655"/>
      <c r="AB281" s="655"/>
      <c r="AC281" s="655"/>
      <c r="AD281" s="655"/>
    </row>
    <row r="282">
      <c r="B282" s="462"/>
      <c r="C282" s="462"/>
      <c r="D282" s="462"/>
      <c r="E282" s="462"/>
      <c r="F282" s="462"/>
      <c r="G282" s="462"/>
      <c r="H282" s="462"/>
      <c r="I282" s="654"/>
      <c r="J282" s="650"/>
      <c r="K282" s="654"/>
      <c r="L282" s="654"/>
      <c r="M282" s="650"/>
      <c r="N282" s="650"/>
      <c r="O282" s="655"/>
      <c r="P282" s="655"/>
      <c r="Q282" s="655"/>
      <c r="R282" s="655"/>
      <c r="S282" s="655"/>
      <c r="T282" s="655"/>
      <c r="U282" s="655"/>
      <c r="V282" s="655"/>
      <c r="W282" s="655"/>
      <c r="X282" s="655"/>
      <c r="Y282" s="655"/>
      <c r="Z282" s="655"/>
      <c r="AA282" s="655"/>
      <c r="AB282" s="655"/>
      <c r="AC282" s="655"/>
      <c r="AD282" s="655"/>
    </row>
    <row r="283">
      <c r="B283" s="462"/>
      <c r="C283" s="462"/>
      <c r="D283" s="462"/>
      <c r="E283" s="462"/>
      <c r="F283" s="462"/>
      <c r="G283" s="462"/>
      <c r="H283" s="462"/>
      <c r="I283" s="654"/>
      <c r="J283" s="650"/>
      <c r="K283" s="654"/>
      <c r="L283" s="654"/>
      <c r="M283" s="650"/>
      <c r="N283" s="650"/>
      <c r="O283" s="655"/>
      <c r="P283" s="655"/>
      <c r="Q283" s="655"/>
      <c r="R283" s="655"/>
      <c r="S283" s="655"/>
      <c r="T283" s="655"/>
      <c r="U283" s="655"/>
      <c r="V283" s="655"/>
      <c r="W283" s="655"/>
      <c r="X283" s="655"/>
      <c r="Y283" s="655"/>
      <c r="Z283" s="655"/>
      <c r="AA283" s="655"/>
      <c r="AB283" s="655"/>
      <c r="AC283" s="655"/>
      <c r="AD283" s="655"/>
    </row>
    <row r="284">
      <c r="B284" s="462"/>
      <c r="C284" s="462"/>
      <c r="D284" s="462"/>
      <c r="E284" s="462"/>
      <c r="F284" s="462"/>
      <c r="G284" s="462"/>
      <c r="H284" s="462"/>
      <c r="I284" s="654"/>
      <c r="J284" s="650"/>
      <c r="K284" s="654"/>
      <c r="L284" s="654"/>
      <c r="M284" s="650"/>
      <c r="N284" s="650"/>
      <c r="O284" s="655"/>
      <c r="P284" s="655"/>
      <c r="Q284" s="655"/>
      <c r="R284" s="655"/>
      <c r="S284" s="655"/>
      <c r="T284" s="655"/>
      <c r="U284" s="655"/>
      <c r="V284" s="655"/>
      <c r="W284" s="655"/>
      <c r="X284" s="655"/>
      <c r="Y284" s="655"/>
      <c r="Z284" s="655"/>
      <c r="AA284" s="655"/>
      <c r="AB284" s="655"/>
      <c r="AC284" s="655"/>
      <c r="AD284" s="655"/>
    </row>
    <row r="285">
      <c r="B285" s="462"/>
      <c r="C285" s="462"/>
      <c r="D285" s="462"/>
      <c r="E285" s="462"/>
      <c r="F285" s="462"/>
      <c r="G285" s="462"/>
      <c r="H285" s="462"/>
      <c r="I285" s="654"/>
      <c r="J285" s="650"/>
      <c r="K285" s="654"/>
      <c r="L285" s="654"/>
      <c r="M285" s="650"/>
      <c r="N285" s="650"/>
      <c r="O285" s="655"/>
      <c r="P285" s="655"/>
      <c r="Q285" s="655"/>
      <c r="R285" s="655"/>
      <c r="S285" s="655"/>
      <c r="T285" s="655"/>
      <c r="U285" s="655"/>
      <c r="V285" s="655"/>
      <c r="W285" s="655"/>
      <c r="X285" s="655"/>
      <c r="Y285" s="655"/>
      <c r="Z285" s="655"/>
      <c r="AA285" s="655"/>
      <c r="AB285" s="655"/>
      <c r="AC285" s="655"/>
      <c r="AD285" s="655"/>
    </row>
    <row r="286">
      <c r="B286" s="462"/>
      <c r="C286" s="462"/>
      <c r="D286" s="462"/>
      <c r="E286" s="462"/>
      <c r="F286" s="462"/>
      <c r="G286" s="462"/>
      <c r="H286" s="462"/>
      <c r="I286" s="654"/>
      <c r="J286" s="650"/>
      <c r="K286" s="654"/>
      <c r="L286" s="654"/>
      <c r="M286" s="650"/>
      <c r="N286" s="650"/>
      <c r="O286" s="655"/>
      <c r="P286" s="655"/>
      <c r="Q286" s="655"/>
      <c r="R286" s="655"/>
      <c r="S286" s="655"/>
      <c r="T286" s="655"/>
      <c r="U286" s="655"/>
      <c r="V286" s="655"/>
      <c r="W286" s="655"/>
      <c r="X286" s="655"/>
      <c r="Y286" s="655"/>
      <c r="Z286" s="655"/>
      <c r="AA286" s="655"/>
      <c r="AB286" s="655"/>
      <c r="AC286" s="655"/>
      <c r="AD286" s="655"/>
    </row>
    <row r="287">
      <c r="B287" s="462"/>
      <c r="C287" s="462"/>
      <c r="D287" s="462"/>
      <c r="E287" s="462"/>
      <c r="F287" s="462"/>
      <c r="G287" s="462"/>
      <c r="H287" s="462"/>
      <c r="I287" s="654"/>
      <c r="J287" s="650"/>
      <c r="K287" s="654"/>
      <c r="L287" s="654"/>
      <c r="M287" s="650"/>
      <c r="N287" s="650"/>
      <c r="O287" s="655"/>
      <c r="P287" s="655"/>
      <c r="Q287" s="655"/>
      <c r="R287" s="655"/>
      <c r="S287" s="655"/>
      <c r="T287" s="655"/>
      <c r="U287" s="655"/>
      <c r="V287" s="655"/>
      <c r="W287" s="655"/>
      <c r="X287" s="655"/>
      <c r="Y287" s="655"/>
      <c r="Z287" s="655"/>
      <c r="AA287" s="655"/>
      <c r="AB287" s="655"/>
      <c r="AC287" s="655"/>
      <c r="AD287" s="655"/>
    </row>
    <row r="288">
      <c r="B288" s="462"/>
      <c r="C288" s="462"/>
      <c r="D288" s="462"/>
      <c r="E288" s="462"/>
      <c r="F288" s="462"/>
      <c r="G288" s="462"/>
      <c r="H288" s="462"/>
      <c r="I288" s="654"/>
      <c r="J288" s="650"/>
      <c r="K288" s="654"/>
      <c r="L288" s="654"/>
      <c r="M288" s="650"/>
      <c r="N288" s="650"/>
      <c r="O288" s="655"/>
      <c r="P288" s="655"/>
      <c r="Q288" s="655"/>
      <c r="R288" s="655"/>
      <c r="S288" s="655"/>
      <c r="T288" s="655"/>
      <c r="U288" s="655"/>
      <c r="V288" s="655"/>
      <c r="W288" s="655"/>
      <c r="X288" s="655"/>
      <c r="Y288" s="655"/>
      <c r="Z288" s="655"/>
      <c r="AA288" s="655"/>
      <c r="AB288" s="655"/>
      <c r="AC288" s="655"/>
      <c r="AD288" s="655"/>
    </row>
    <row r="289">
      <c r="B289" s="462"/>
      <c r="C289" s="462"/>
      <c r="D289" s="462"/>
      <c r="E289" s="462"/>
      <c r="F289" s="462"/>
      <c r="G289" s="462"/>
      <c r="H289" s="462"/>
      <c r="I289" s="654"/>
      <c r="J289" s="650"/>
      <c r="K289" s="654"/>
      <c r="L289" s="654"/>
      <c r="M289" s="650"/>
      <c r="N289" s="650"/>
      <c r="O289" s="655"/>
      <c r="P289" s="655"/>
      <c r="Q289" s="655"/>
      <c r="R289" s="655"/>
      <c r="S289" s="655"/>
      <c r="T289" s="655"/>
      <c r="U289" s="655"/>
      <c r="V289" s="655"/>
      <c r="W289" s="655"/>
      <c r="X289" s="655"/>
      <c r="Y289" s="655"/>
      <c r="Z289" s="655"/>
      <c r="AA289" s="655"/>
      <c r="AB289" s="655"/>
      <c r="AC289" s="655"/>
      <c r="AD289" s="655"/>
    </row>
    <row r="290">
      <c r="B290" s="462"/>
      <c r="C290" s="462"/>
      <c r="D290" s="462"/>
      <c r="E290" s="462"/>
      <c r="F290" s="462"/>
      <c r="G290" s="462"/>
      <c r="H290" s="462"/>
      <c r="I290" s="654"/>
      <c r="J290" s="650"/>
      <c r="K290" s="654"/>
      <c r="L290" s="654"/>
      <c r="M290" s="650"/>
      <c r="N290" s="650"/>
      <c r="O290" s="655"/>
      <c r="P290" s="655"/>
      <c r="Q290" s="655"/>
      <c r="R290" s="655"/>
      <c r="S290" s="655"/>
      <c r="T290" s="655"/>
      <c r="U290" s="655"/>
      <c r="V290" s="655"/>
      <c r="W290" s="655"/>
      <c r="X290" s="655"/>
      <c r="Y290" s="655"/>
      <c r="Z290" s="655"/>
      <c r="AA290" s="655"/>
      <c r="AB290" s="655"/>
      <c r="AC290" s="655"/>
      <c r="AD290" s="655"/>
    </row>
    <row r="291">
      <c r="B291" s="462"/>
      <c r="C291" s="462"/>
      <c r="D291" s="462"/>
      <c r="E291" s="462"/>
      <c r="F291" s="462"/>
      <c r="G291" s="462"/>
      <c r="H291" s="462"/>
      <c r="I291" s="654"/>
      <c r="J291" s="650"/>
      <c r="K291" s="654"/>
      <c r="L291" s="654"/>
      <c r="M291" s="650"/>
      <c r="N291" s="650"/>
      <c r="O291" s="655"/>
      <c r="P291" s="655"/>
      <c r="Q291" s="655"/>
      <c r="R291" s="655"/>
      <c r="S291" s="655"/>
      <c r="T291" s="655"/>
      <c r="U291" s="655"/>
      <c r="V291" s="655"/>
      <c r="W291" s="655"/>
      <c r="X291" s="655"/>
      <c r="Y291" s="655"/>
      <c r="Z291" s="655"/>
      <c r="AA291" s="655"/>
      <c r="AB291" s="655"/>
      <c r="AC291" s="655"/>
      <c r="AD291" s="655"/>
    </row>
    <row r="292">
      <c r="B292" s="462"/>
      <c r="C292" s="462"/>
      <c r="D292" s="462"/>
      <c r="E292" s="462"/>
      <c r="F292" s="462"/>
      <c r="G292" s="462"/>
      <c r="H292" s="462"/>
      <c r="I292" s="654"/>
      <c r="J292" s="650"/>
      <c r="K292" s="654"/>
      <c r="L292" s="654"/>
      <c r="M292" s="650"/>
      <c r="N292" s="650"/>
      <c r="O292" s="655"/>
      <c r="P292" s="655"/>
      <c r="Q292" s="655"/>
      <c r="R292" s="655"/>
      <c r="S292" s="655"/>
      <c r="T292" s="655"/>
      <c r="U292" s="655"/>
      <c r="V292" s="655"/>
      <c r="W292" s="655"/>
      <c r="X292" s="655"/>
      <c r="Y292" s="655"/>
      <c r="Z292" s="655"/>
      <c r="AA292" s="655"/>
      <c r="AB292" s="655"/>
      <c r="AC292" s="655"/>
      <c r="AD292" s="655"/>
    </row>
    <row r="293">
      <c r="B293" s="462"/>
      <c r="C293" s="462"/>
      <c r="D293" s="462"/>
      <c r="E293" s="462"/>
      <c r="F293" s="462"/>
      <c r="G293" s="462"/>
      <c r="H293" s="462"/>
      <c r="I293" s="654"/>
      <c r="J293" s="650"/>
      <c r="K293" s="654"/>
      <c r="L293" s="654"/>
      <c r="M293" s="650"/>
      <c r="N293" s="650"/>
      <c r="O293" s="655"/>
      <c r="P293" s="655"/>
      <c r="Q293" s="655"/>
      <c r="R293" s="655"/>
      <c r="S293" s="655"/>
      <c r="T293" s="655"/>
      <c r="U293" s="655"/>
      <c r="V293" s="655"/>
      <c r="W293" s="655"/>
      <c r="X293" s="655"/>
      <c r="Y293" s="655"/>
      <c r="Z293" s="655"/>
      <c r="AA293" s="655"/>
      <c r="AB293" s="655"/>
      <c r="AC293" s="655"/>
      <c r="AD293" s="655"/>
    </row>
    <row r="294">
      <c r="B294" s="462"/>
      <c r="C294" s="462"/>
      <c r="D294" s="462"/>
      <c r="E294" s="462"/>
      <c r="F294" s="462"/>
      <c r="G294" s="462"/>
      <c r="H294" s="462"/>
      <c r="I294" s="654"/>
      <c r="J294" s="650"/>
      <c r="K294" s="654"/>
      <c r="L294" s="654"/>
      <c r="M294" s="650"/>
      <c r="N294" s="650"/>
      <c r="O294" s="655"/>
      <c r="P294" s="655"/>
      <c r="Q294" s="655"/>
      <c r="R294" s="655"/>
      <c r="S294" s="655"/>
      <c r="T294" s="655"/>
      <c r="U294" s="655"/>
      <c r="V294" s="655"/>
      <c r="W294" s="655"/>
      <c r="X294" s="655"/>
      <c r="Y294" s="655"/>
      <c r="Z294" s="655"/>
      <c r="AA294" s="655"/>
      <c r="AB294" s="655"/>
      <c r="AC294" s="655"/>
      <c r="AD294" s="655"/>
    </row>
    <row r="295">
      <c r="B295" s="462"/>
      <c r="C295" s="462"/>
      <c r="D295" s="462"/>
      <c r="E295" s="462"/>
      <c r="F295" s="462"/>
      <c r="G295" s="462"/>
      <c r="H295" s="462"/>
      <c r="I295" s="654"/>
      <c r="J295" s="650"/>
      <c r="K295" s="654"/>
      <c r="L295" s="654"/>
      <c r="M295" s="650"/>
      <c r="N295" s="650"/>
      <c r="O295" s="655"/>
      <c r="P295" s="655"/>
      <c r="Q295" s="655"/>
      <c r="R295" s="655"/>
      <c r="S295" s="655"/>
      <c r="T295" s="655"/>
      <c r="U295" s="655"/>
      <c r="V295" s="655"/>
      <c r="W295" s="655"/>
      <c r="X295" s="655"/>
      <c r="Y295" s="655"/>
      <c r="Z295" s="655"/>
      <c r="AA295" s="655"/>
      <c r="AB295" s="655"/>
      <c r="AC295" s="655"/>
      <c r="AD295" s="655"/>
    </row>
    <row r="296">
      <c r="B296" s="462"/>
      <c r="C296" s="462"/>
      <c r="D296" s="462"/>
      <c r="E296" s="462"/>
      <c r="F296" s="462"/>
      <c r="G296" s="462"/>
      <c r="H296" s="462"/>
      <c r="I296" s="654"/>
      <c r="J296" s="650"/>
      <c r="K296" s="654"/>
      <c r="L296" s="654"/>
      <c r="M296" s="650"/>
      <c r="N296" s="650"/>
      <c r="O296" s="655"/>
      <c r="P296" s="655"/>
      <c r="Q296" s="655"/>
      <c r="R296" s="655"/>
      <c r="S296" s="655"/>
      <c r="T296" s="655"/>
      <c r="U296" s="655"/>
      <c r="V296" s="655"/>
      <c r="W296" s="655"/>
      <c r="X296" s="655"/>
      <c r="Y296" s="655"/>
      <c r="Z296" s="655"/>
      <c r="AA296" s="655"/>
      <c r="AB296" s="655"/>
      <c r="AC296" s="655"/>
      <c r="AD296" s="655"/>
    </row>
    <row r="297">
      <c r="B297" s="462"/>
      <c r="C297" s="462"/>
      <c r="D297" s="462"/>
      <c r="E297" s="462"/>
      <c r="F297" s="462"/>
      <c r="G297" s="462"/>
      <c r="H297" s="462"/>
      <c r="I297" s="654"/>
      <c r="J297" s="650"/>
      <c r="K297" s="654"/>
      <c r="L297" s="654"/>
      <c r="M297" s="650"/>
      <c r="N297" s="650"/>
      <c r="O297" s="655"/>
      <c r="P297" s="655"/>
      <c r="Q297" s="655"/>
      <c r="R297" s="655"/>
      <c r="S297" s="655"/>
      <c r="T297" s="655"/>
      <c r="U297" s="655"/>
      <c r="V297" s="655"/>
      <c r="W297" s="655"/>
      <c r="X297" s="655"/>
      <c r="Y297" s="655"/>
      <c r="Z297" s="655"/>
      <c r="AA297" s="655"/>
      <c r="AB297" s="655"/>
      <c r="AC297" s="655"/>
      <c r="AD297" s="655"/>
    </row>
    <row r="298">
      <c r="B298" s="462"/>
      <c r="C298" s="462"/>
      <c r="D298" s="462"/>
      <c r="E298" s="462"/>
      <c r="F298" s="462"/>
      <c r="G298" s="462"/>
      <c r="H298" s="462"/>
      <c r="I298" s="654"/>
      <c r="J298" s="650"/>
      <c r="K298" s="654"/>
      <c r="L298" s="654"/>
      <c r="M298" s="650"/>
      <c r="N298" s="650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  <c r="AA298" s="655"/>
      <c r="AB298" s="655"/>
      <c r="AC298" s="655"/>
      <c r="AD298" s="655"/>
    </row>
    <row r="299">
      <c r="B299" s="462"/>
      <c r="C299" s="462"/>
      <c r="D299" s="462"/>
      <c r="E299" s="462"/>
      <c r="F299" s="462"/>
      <c r="G299" s="462"/>
      <c r="H299" s="462"/>
      <c r="I299" s="654"/>
      <c r="J299" s="650"/>
      <c r="K299" s="654"/>
      <c r="L299" s="654"/>
      <c r="M299" s="650"/>
      <c r="N299" s="650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5"/>
      <c r="AB299" s="655"/>
      <c r="AC299" s="655"/>
      <c r="AD299" s="655"/>
    </row>
    <row r="300">
      <c r="B300" s="462"/>
      <c r="C300" s="462"/>
      <c r="D300" s="462"/>
      <c r="E300" s="462"/>
      <c r="F300" s="462"/>
      <c r="G300" s="462"/>
      <c r="H300" s="462"/>
      <c r="I300" s="654"/>
      <c r="J300" s="650"/>
      <c r="K300" s="654"/>
      <c r="L300" s="654"/>
      <c r="M300" s="650"/>
      <c r="N300" s="650"/>
      <c r="O300" s="655"/>
      <c r="P300" s="655"/>
      <c r="Q300" s="655"/>
      <c r="R300" s="655"/>
      <c r="S300" s="655"/>
      <c r="T300" s="655"/>
      <c r="U300" s="655"/>
      <c r="V300" s="655"/>
      <c r="W300" s="655"/>
      <c r="X300" s="655"/>
      <c r="Y300" s="655"/>
      <c r="Z300" s="655"/>
      <c r="AA300" s="655"/>
      <c r="AB300" s="655"/>
      <c r="AC300" s="655"/>
      <c r="AD300" s="655"/>
    </row>
    <row r="301">
      <c r="B301" s="462"/>
      <c r="C301" s="462"/>
      <c r="D301" s="462"/>
      <c r="E301" s="462"/>
      <c r="F301" s="462"/>
      <c r="G301" s="462"/>
      <c r="H301" s="462"/>
      <c r="I301" s="654"/>
      <c r="J301" s="650"/>
      <c r="K301" s="654"/>
      <c r="L301" s="654"/>
      <c r="M301" s="650"/>
      <c r="N301" s="650"/>
      <c r="O301" s="655"/>
      <c r="P301" s="655"/>
      <c r="Q301" s="655"/>
      <c r="R301" s="655"/>
      <c r="S301" s="655"/>
      <c r="T301" s="655"/>
      <c r="U301" s="655"/>
      <c r="V301" s="655"/>
      <c r="W301" s="655"/>
      <c r="X301" s="655"/>
      <c r="Y301" s="655"/>
      <c r="Z301" s="655"/>
      <c r="AA301" s="655"/>
      <c r="AB301" s="655"/>
      <c r="AC301" s="655"/>
      <c r="AD301" s="655"/>
    </row>
    <row r="302">
      <c r="B302" s="462"/>
      <c r="C302" s="462"/>
      <c r="D302" s="462"/>
      <c r="E302" s="462"/>
      <c r="F302" s="462"/>
      <c r="G302" s="462"/>
      <c r="H302" s="462"/>
      <c r="I302" s="654"/>
      <c r="J302" s="650"/>
      <c r="K302" s="654"/>
      <c r="L302" s="654"/>
      <c r="M302" s="650"/>
      <c r="N302" s="650"/>
      <c r="O302" s="655"/>
      <c r="P302" s="655"/>
      <c r="Q302" s="655"/>
      <c r="R302" s="655"/>
      <c r="S302" s="655"/>
      <c r="T302" s="655"/>
      <c r="U302" s="655"/>
      <c r="V302" s="655"/>
      <c r="W302" s="655"/>
      <c r="X302" s="655"/>
      <c r="Y302" s="655"/>
      <c r="Z302" s="655"/>
      <c r="AA302" s="655"/>
      <c r="AB302" s="655"/>
      <c r="AC302" s="655"/>
      <c r="AD302" s="655"/>
    </row>
    <row r="303">
      <c r="B303" s="462"/>
      <c r="C303" s="462"/>
      <c r="D303" s="462"/>
      <c r="E303" s="462"/>
      <c r="F303" s="462"/>
      <c r="G303" s="462"/>
      <c r="H303" s="462"/>
      <c r="I303" s="654"/>
      <c r="J303" s="650"/>
      <c r="K303" s="654"/>
      <c r="L303" s="654"/>
      <c r="M303" s="650"/>
      <c r="N303" s="650"/>
      <c r="O303" s="655"/>
      <c r="P303" s="655"/>
      <c r="Q303" s="655"/>
      <c r="R303" s="655"/>
      <c r="S303" s="655"/>
      <c r="T303" s="655"/>
      <c r="U303" s="655"/>
      <c r="V303" s="655"/>
      <c r="W303" s="655"/>
      <c r="X303" s="655"/>
      <c r="Y303" s="655"/>
      <c r="Z303" s="655"/>
      <c r="AA303" s="655"/>
      <c r="AB303" s="655"/>
      <c r="AC303" s="655"/>
      <c r="AD303" s="655"/>
    </row>
    <row r="304">
      <c r="B304" s="462"/>
      <c r="C304" s="462"/>
      <c r="D304" s="462"/>
      <c r="E304" s="462"/>
      <c r="F304" s="462"/>
      <c r="G304" s="462"/>
      <c r="H304" s="462"/>
      <c r="I304" s="654"/>
      <c r="J304" s="650"/>
      <c r="K304" s="654"/>
      <c r="L304" s="654"/>
      <c r="M304" s="650"/>
      <c r="N304" s="650"/>
      <c r="O304" s="655"/>
      <c r="P304" s="655"/>
      <c r="Q304" s="655"/>
      <c r="R304" s="655"/>
      <c r="S304" s="655"/>
      <c r="T304" s="655"/>
      <c r="U304" s="655"/>
      <c r="V304" s="655"/>
      <c r="W304" s="655"/>
      <c r="X304" s="655"/>
      <c r="Y304" s="655"/>
      <c r="Z304" s="655"/>
      <c r="AA304" s="655"/>
      <c r="AB304" s="655"/>
      <c r="AC304" s="655"/>
      <c r="AD304" s="655"/>
    </row>
    <row r="305">
      <c r="B305" s="462"/>
      <c r="C305" s="462"/>
      <c r="D305" s="462"/>
      <c r="E305" s="462"/>
      <c r="F305" s="462"/>
      <c r="G305" s="462"/>
      <c r="H305" s="462"/>
      <c r="I305" s="654"/>
      <c r="J305" s="650"/>
      <c r="K305" s="654"/>
      <c r="L305" s="654"/>
      <c r="M305" s="650"/>
      <c r="N305" s="650"/>
      <c r="O305" s="655"/>
      <c r="P305" s="655"/>
      <c r="Q305" s="655"/>
      <c r="R305" s="655"/>
      <c r="S305" s="655"/>
      <c r="T305" s="655"/>
      <c r="U305" s="655"/>
      <c r="V305" s="655"/>
      <c r="W305" s="655"/>
      <c r="X305" s="655"/>
      <c r="Y305" s="655"/>
      <c r="Z305" s="655"/>
      <c r="AA305" s="655"/>
      <c r="AB305" s="655"/>
      <c r="AC305" s="655"/>
      <c r="AD305" s="655"/>
    </row>
    <row r="306">
      <c r="B306" s="462"/>
      <c r="C306" s="462"/>
      <c r="D306" s="462"/>
      <c r="E306" s="462"/>
      <c r="F306" s="462"/>
      <c r="G306" s="462"/>
      <c r="H306" s="462"/>
      <c r="I306" s="654"/>
      <c r="J306" s="650"/>
      <c r="K306" s="654"/>
      <c r="L306" s="654"/>
      <c r="M306" s="650"/>
      <c r="N306" s="650"/>
      <c r="O306" s="655"/>
      <c r="P306" s="655"/>
      <c r="Q306" s="655"/>
      <c r="R306" s="655"/>
      <c r="S306" s="655"/>
      <c r="T306" s="655"/>
      <c r="U306" s="655"/>
      <c r="V306" s="655"/>
      <c r="W306" s="655"/>
      <c r="X306" s="655"/>
      <c r="Y306" s="655"/>
      <c r="Z306" s="655"/>
      <c r="AA306" s="655"/>
      <c r="AB306" s="655"/>
      <c r="AC306" s="655"/>
      <c r="AD306" s="655"/>
    </row>
    <row r="307">
      <c r="B307" s="462"/>
      <c r="C307" s="462"/>
      <c r="D307" s="462"/>
      <c r="E307" s="462"/>
      <c r="F307" s="462"/>
      <c r="G307" s="462"/>
      <c r="H307" s="462"/>
      <c r="I307" s="654"/>
      <c r="J307" s="650"/>
      <c r="K307" s="654"/>
      <c r="L307" s="654"/>
      <c r="M307" s="650"/>
      <c r="N307" s="650"/>
      <c r="O307" s="655"/>
      <c r="P307" s="655"/>
      <c r="Q307" s="655"/>
      <c r="R307" s="655"/>
      <c r="S307" s="655"/>
      <c r="T307" s="655"/>
      <c r="U307" s="655"/>
      <c r="V307" s="655"/>
      <c r="W307" s="655"/>
      <c r="X307" s="655"/>
      <c r="Y307" s="655"/>
      <c r="Z307" s="655"/>
      <c r="AA307" s="655"/>
      <c r="AB307" s="655"/>
      <c r="AC307" s="655"/>
      <c r="AD307" s="655"/>
    </row>
    <row r="308">
      <c r="B308" s="462"/>
      <c r="C308" s="462"/>
      <c r="D308" s="462"/>
      <c r="E308" s="462"/>
      <c r="F308" s="462"/>
      <c r="G308" s="462"/>
      <c r="H308" s="462"/>
      <c r="I308" s="654"/>
      <c r="J308" s="650"/>
      <c r="K308" s="654"/>
      <c r="L308" s="654"/>
      <c r="M308" s="650"/>
      <c r="N308" s="650"/>
      <c r="O308" s="655"/>
      <c r="P308" s="655"/>
      <c r="Q308" s="655"/>
      <c r="R308" s="655"/>
      <c r="S308" s="655"/>
      <c r="T308" s="655"/>
      <c r="U308" s="655"/>
      <c r="V308" s="655"/>
      <c r="W308" s="655"/>
      <c r="X308" s="655"/>
      <c r="Y308" s="655"/>
      <c r="Z308" s="655"/>
      <c r="AA308" s="655"/>
      <c r="AB308" s="655"/>
      <c r="AC308" s="655"/>
      <c r="AD308" s="655"/>
    </row>
    <row r="309">
      <c r="B309" s="462"/>
      <c r="C309" s="462"/>
      <c r="D309" s="462"/>
      <c r="E309" s="462"/>
      <c r="F309" s="462"/>
      <c r="G309" s="462"/>
      <c r="H309" s="462"/>
      <c r="I309" s="654"/>
      <c r="J309" s="650"/>
      <c r="K309" s="654"/>
      <c r="L309" s="654"/>
      <c r="M309" s="650"/>
      <c r="N309" s="650"/>
      <c r="O309" s="655"/>
      <c r="P309" s="655"/>
      <c r="Q309" s="655"/>
      <c r="R309" s="655"/>
      <c r="S309" s="655"/>
      <c r="T309" s="655"/>
      <c r="U309" s="655"/>
      <c r="V309" s="655"/>
      <c r="W309" s="655"/>
      <c r="X309" s="655"/>
      <c r="Y309" s="655"/>
      <c r="Z309" s="655"/>
      <c r="AA309" s="655"/>
      <c r="AB309" s="655"/>
      <c r="AC309" s="655"/>
      <c r="AD309" s="655"/>
    </row>
    <row r="310">
      <c r="B310" s="462"/>
      <c r="C310" s="462"/>
      <c r="D310" s="462"/>
      <c r="E310" s="462"/>
      <c r="F310" s="462"/>
      <c r="G310" s="462"/>
      <c r="H310" s="462"/>
      <c r="I310" s="654"/>
      <c r="J310" s="650"/>
      <c r="K310" s="654"/>
      <c r="L310" s="654"/>
      <c r="M310" s="650"/>
      <c r="N310" s="650"/>
      <c r="O310" s="655"/>
      <c r="P310" s="655"/>
      <c r="Q310" s="655"/>
      <c r="R310" s="655"/>
      <c r="S310" s="655"/>
      <c r="T310" s="655"/>
      <c r="U310" s="655"/>
      <c r="V310" s="655"/>
      <c r="W310" s="655"/>
      <c r="X310" s="655"/>
      <c r="Y310" s="655"/>
      <c r="Z310" s="655"/>
      <c r="AA310" s="655"/>
      <c r="AB310" s="655"/>
      <c r="AC310" s="655"/>
      <c r="AD310" s="655"/>
    </row>
    <row r="311">
      <c r="B311" s="462"/>
      <c r="C311" s="462"/>
      <c r="D311" s="462"/>
      <c r="E311" s="462"/>
      <c r="F311" s="462"/>
      <c r="G311" s="462"/>
      <c r="H311" s="462"/>
      <c r="I311" s="654"/>
      <c r="J311" s="650"/>
      <c r="K311" s="654"/>
      <c r="L311" s="654"/>
      <c r="M311" s="650"/>
      <c r="N311" s="650"/>
      <c r="O311" s="655"/>
      <c r="P311" s="655"/>
      <c r="Q311" s="655"/>
      <c r="R311" s="655"/>
      <c r="S311" s="655"/>
      <c r="T311" s="655"/>
      <c r="U311" s="655"/>
      <c r="V311" s="655"/>
      <c r="W311" s="655"/>
      <c r="X311" s="655"/>
      <c r="Y311" s="655"/>
      <c r="Z311" s="655"/>
      <c r="AA311" s="655"/>
      <c r="AB311" s="655"/>
      <c r="AC311" s="655"/>
      <c r="AD311" s="655"/>
    </row>
    <row r="312">
      <c r="B312" s="462"/>
      <c r="C312" s="462"/>
      <c r="D312" s="462"/>
      <c r="E312" s="462"/>
      <c r="F312" s="462"/>
      <c r="G312" s="462"/>
      <c r="H312" s="462"/>
      <c r="I312" s="654"/>
      <c r="J312" s="650"/>
      <c r="K312" s="654"/>
      <c r="L312" s="654"/>
      <c r="M312" s="650"/>
      <c r="N312" s="650"/>
      <c r="O312" s="655"/>
      <c r="P312" s="655"/>
      <c r="Q312" s="655"/>
      <c r="R312" s="655"/>
      <c r="S312" s="655"/>
      <c r="T312" s="655"/>
      <c r="U312" s="655"/>
      <c r="V312" s="655"/>
      <c r="W312" s="655"/>
      <c r="X312" s="655"/>
      <c r="Y312" s="655"/>
      <c r="Z312" s="655"/>
      <c r="AA312" s="655"/>
      <c r="AB312" s="655"/>
      <c r="AC312" s="655"/>
      <c r="AD312" s="655"/>
    </row>
    <row r="313">
      <c r="B313" s="462"/>
      <c r="C313" s="462"/>
      <c r="D313" s="462"/>
      <c r="E313" s="462"/>
      <c r="F313" s="462"/>
      <c r="G313" s="462"/>
      <c r="H313" s="462"/>
      <c r="I313" s="654"/>
      <c r="J313" s="650"/>
      <c r="K313" s="654"/>
      <c r="L313" s="654"/>
      <c r="M313" s="650"/>
      <c r="N313" s="650"/>
      <c r="O313" s="655"/>
      <c r="P313" s="655"/>
      <c r="Q313" s="655"/>
      <c r="R313" s="655"/>
      <c r="S313" s="655"/>
      <c r="T313" s="655"/>
      <c r="U313" s="655"/>
      <c r="V313" s="655"/>
      <c r="W313" s="655"/>
      <c r="X313" s="655"/>
      <c r="Y313" s="655"/>
      <c r="Z313" s="655"/>
      <c r="AA313" s="655"/>
      <c r="AB313" s="655"/>
      <c r="AC313" s="655"/>
      <c r="AD313" s="655"/>
    </row>
    <row r="314">
      <c r="B314" s="462"/>
      <c r="C314" s="462"/>
      <c r="D314" s="462"/>
      <c r="E314" s="462"/>
      <c r="F314" s="462"/>
      <c r="G314" s="462"/>
      <c r="H314" s="462"/>
      <c r="I314" s="654"/>
      <c r="J314" s="650"/>
      <c r="K314" s="654"/>
      <c r="L314" s="654"/>
      <c r="M314" s="650"/>
      <c r="N314" s="650"/>
      <c r="O314" s="655"/>
      <c r="P314" s="655"/>
      <c r="Q314" s="655"/>
      <c r="R314" s="655"/>
      <c r="S314" s="655"/>
      <c r="T314" s="655"/>
      <c r="U314" s="655"/>
      <c r="V314" s="655"/>
      <c r="W314" s="655"/>
      <c r="X314" s="655"/>
      <c r="Y314" s="655"/>
      <c r="Z314" s="655"/>
      <c r="AA314" s="655"/>
      <c r="AB314" s="655"/>
      <c r="AC314" s="655"/>
      <c r="AD314" s="655"/>
    </row>
    <row r="315">
      <c r="B315" s="462"/>
      <c r="C315" s="462"/>
      <c r="D315" s="462"/>
      <c r="E315" s="462"/>
      <c r="F315" s="462"/>
      <c r="G315" s="462"/>
      <c r="H315" s="462"/>
      <c r="I315" s="654"/>
      <c r="J315" s="650"/>
      <c r="K315" s="654"/>
      <c r="L315" s="654"/>
      <c r="M315" s="650"/>
      <c r="N315" s="650"/>
      <c r="O315" s="655"/>
      <c r="P315" s="655"/>
      <c r="Q315" s="655"/>
      <c r="R315" s="655"/>
      <c r="S315" s="655"/>
      <c r="T315" s="655"/>
      <c r="U315" s="655"/>
      <c r="V315" s="655"/>
      <c r="W315" s="655"/>
      <c r="X315" s="655"/>
      <c r="Y315" s="655"/>
      <c r="Z315" s="655"/>
      <c r="AA315" s="655"/>
      <c r="AB315" s="655"/>
      <c r="AC315" s="655"/>
      <c r="AD315" s="655"/>
    </row>
    <row r="316">
      <c r="B316" s="462"/>
      <c r="C316" s="462"/>
      <c r="D316" s="462"/>
      <c r="E316" s="462"/>
      <c r="F316" s="462"/>
      <c r="G316" s="462"/>
      <c r="H316" s="462"/>
      <c r="I316" s="654"/>
      <c r="J316" s="650"/>
      <c r="K316" s="654"/>
      <c r="L316" s="654"/>
      <c r="M316" s="650"/>
      <c r="N316" s="650"/>
      <c r="O316" s="655"/>
      <c r="P316" s="655"/>
      <c r="Q316" s="655"/>
      <c r="R316" s="655"/>
      <c r="S316" s="655"/>
      <c r="T316" s="655"/>
      <c r="U316" s="655"/>
      <c r="V316" s="655"/>
      <c r="W316" s="655"/>
      <c r="X316" s="655"/>
      <c r="Y316" s="655"/>
      <c r="Z316" s="655"/>
      <c r="AA316" s="655"/>
      <c r="AB316" s="655"/>
      <c r="AC316" s="655"/>
      <c r="AD316" s="655"/>
    </row>
    <row r="317">
      <c r="B317" s="462"/>
      <c r="C317" s="462"/>
      <c r="D317" s="462"/>
      <c r="E317" s="462"/>
      <c r="F317" s="462"/>
      <c r="G317" s="462"/>
      <c r="H317" s="462"/>
      <c r="I317" s="654"/>
      <c r="J317" s="650"/>
      <c r="K317" s="654"/>
      <c r="L317" s="654"/>
      <c r="M317" s="650"/>
      <c r="N317" s="650"/>
      <c r="O317" s="655"/>
      <c r="P317" s="655"/>
      <c r="Q317" s="655"/>
      <c r="R317" s="655"/>
      <c r="S317" s="655"/>
      <c r="T317" s="655"/>
      <c r="U317" s="655"/>
      <c r="V317" s="655"/>
      <c r="W317" s="655"/>
      <c r="X317" s="655"/>
      <c r="Y317" s="655"/>
      <c r="Z317" s="655"/>
      <c r="AA317" s="655"/>
      <c r="AB317" s="655"/>
      <c r="AC317" s="655"/>
      <c r="AD317" s="655"/>
    </row>
    <row r="318">
      <c r="B318" s="462"/>
      <c r="C318" s="462"/>
      <c r="D318" s="462"/>
      <c r="E318" s="462"/>
      <c r="F318" s="462"/>
      <c r="G318" s="462"/>
      <c r="H318" s="462"/>
      <c r="I318" s="654"/>
      <c r="J318" s="650"/>
      <c r="K318" s="654"/>
      <c r="L318" s="654"/>
      <c r="M318" s="650"/>
      <c r="N318" s="650"/>
      <c r="O318" s="655"/>
      <c r="P318" s="655"/>
      <c r="Q318" s="655"/>
      <c r="R318" s="655"/>
      <c r="S318" s="655"/>
      <c r="T318" s="655"/>
      <c r="U318" s="655"/>
      <c r="V318" s="655"/>
      <c r="W318" s="655"/>
      <c r="X318" s="655"/>
      <c r="Y318" s="655"/>
      <c r="Z318" s="655"/>
      <c r="AA318" s="655"/>
      <c r="AB318" s="655"/>
      <c r="AC318" s="655"/>
      <c r="AD318" s="655"/>
    </row>
    <row r="319">
      <c r="B319" s="462"/>
      <c r="C319" s="462"/>
      <c r="D319" s="462"/>
      <c r="E319" s="462"/>
      <c r="F319" s="462"/>
      <c r="G319" s="462"/>
      <c r="H319" s="462"/>
      <c r="I319" s="654"/>
      <c r="J319" s="650"/>
      <c r="K319" s="654"/>
      <c r="L319" s="654"/>
      <c r="M319" s="650"/>
      <c r="N319" s="650"/>
      <c r="O319" s="655"/>
      <c r="P319" s="655"/>
      <c r="Q319" s="655"/>
      <c r="R319" s="655"/>
      <c r="S319" s="655"/>
      <c r="T319" s="655"/>
      <c r="U319" s="655"/>
      <c r="V319" s="655"/>
      <c r="W319" s="655"/>
      <c r="X319" s="655"/>
      <c r="Y319" s="655"/>
      <c r="Z319" s="655"/>
      <c r="AA319" s="655"/>
      <c r="AB319" s="655"/>
      <c r="AC319" s="655"/>
      <c r="AD319" s="655"/>
    </row>
    <row r="320">
      <c r="B320" s="462"/>
      <c r="C320" s="462"/>
      <c r="D320" s="462"/>
      <c r="E320" s="462"/>
      <c r="F320" s="462"/>
      <c r="G320" s="462"/>
      <c r="H320" s="462"/>
      <c r="I320" s="654"/>
      <c r="J320" s="650"/>
      <c r="K320" s="654"/>
      <c r="L320" s="654"/>
      <c r="M320" s="650"/>
      <c r="N320" s="650"/>
      <c r="O320" s="655"/>
      <c r="P320" s="655"/>
      <c r="Q320" s="655"/>
      <c r="R320" s="655"/>
      <c r="S320" s="655"/>
      <c r="T320" s="655"/>
      <c r="U320" s="655"/>
      <c r="V320" s="655"/>
      <c r="W320" s="655"/>
      <c r="X320" s="655"/>
      <c r="Y320" s="655"/>
      <c r="Z320" s="655"/>
      <c r="AA320" s="655"/>
      <c r="AB320" s="655"/>
      <c r="AC320" s="655"/>
      <c r="AD320" s="655"/>
    </row>
    <row r="321">
      <c r="B321" s="462"/>
      <c r="C321" s="462"/>
      <c r="D321" s="462"/>
      <c r="E321" s="462"/>
      <c r="F321" s="462"/>
      <c r="G321" s="462"/>
      <c r="H321" s="462"/>
      <c r="I321" s="654"/>
      <c r="J321" s="650"/>
      <c r="K321" s="654"/>
      <c r="L321" s="654"/>
      <c r="M321" s="650"/>
      <c r="N321" s="650"/>
      <c r="O321" s="655"/>
      <c r="P321" s="655"/>
      <c r="Q321" s="655"/>
      <c r="R321" s="655"/>
      <c r="S321" s="655"/>
      <c r="T321" s="655"/>
      <c r="U321" s="655"/>
      <c r="V321" s="655"/>
      <c r="W321" s="655"/>
      <c r="X321" s="655"/>
      <c r="Y321" s="655"/>
      <c r="Z321" s="655"/>
      <c r="AA321" s="655"/>
      <c r="AB321" s="655"/>
      <c r="AC321" s="655"/>
      <c r="AD321" s="655"/>
    </row>
    <row r="322">
      <c r="B322" s="462"/>
      <c r="C322" s="462"/>
      <c r="D322" s="462"/>
      <c r="E322" s="462"/>
      <c r="F322" s="462"/>
      <c r="G322" s="462"/>
      <c r="H322" s="462"/>
      <c r="I322" s="654"/>
      <c r="J322" s="650"/>
      <c r="K322" s="654"/>
      <c r="L322" s="654"/>
      <c r="M322" s="650"/>
      <c r="N322" s="650"/>
      <c r="O322" s="655"/>
      <c r="P322" s="655"/>
      <c r="Q322" s="655"/>
      <c r="R322" s="655"/>
      <c r="S322" s="655"/>
      <c r="T322" s="655"/>
      <c r="U322" s="655"/>
      <c r="V322" s="655"/>
      <c r="W322" s="655"/>
      <c r="X322" s="655"/>
      <c r="Y322" s="655"/>
      <c r="Z322" s="655"/>
      <c r="AA322" s="655"/>
      <c r="AB322" s="655"/>
      <c r="AC322" s="655"/>
      <c r="AD322" s="655"/>
    </row>
    <row r="323">
      <c r="B323" s="462"/>
      <c r="C323" s="462"/>
      <c r="D323" s="462"/>
      <c r="E323" s="462"/>
      <c r="F323" s="462"/>
      <c r="G323" s="462"/>
      <c r="H323" s="462"/>
      <c r="I323" s="654"/>
      <c r="J323" s="650"/>
      <c r="K323" s="654"/>
      <c r="L323" s="654"/>
      <c r="M323" s="650"/>
      <c r="N323" s="650"/>
      <c r="O323" s="655"/>
      <c r="P323" s="655"/>
      <c r="Q323" s="655"/>
      <c r="R323" s="655"/>
      <c r="S323" s="655"/>
      <c r="T323" s="655"/>
      <c r="U323" s="655"/>
      <c r="V323" s="655"/>
      <c r="W323" s="655"/>
      <c r="X323" s="655"/>
      <c r="Y323" s="655"/>
      <c r="Z323" s="655"/>
      <c r="AA323" s="655"/>
      <c r="AB323" s="655"/>
      <c r="AC323" s="655"/>
      <c r="AD323" s="655"/>
    </row>
    <row r="324">
      <c r="B324" s="462"/>
      <c r="C324" s="462"/>
      <c r="D324" s="462"/>
      <c r="E324" s="462"/>
      <c r="F324" s="462"/>
      <c r="G324" s="462"/>
      <c r="H324" s="462"/>
      <c r="I324" s="654"/>
      <c r="J324" s="650"/>
      <c r="K324" s="654"/>
      <c r="L324" s="654"/>
      <c r="M324" s="650"/>
      <c r="N324" s="650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5"/>
      <c r="AB324" s="655"/>
      <c r="AC324" s="655"/>
      <c r="AD324" s="655"/>
    </row>
    <row r="325">
      <c r="B325" s="462"/>
      <c r="C325" s="462"/>
      <c r="D325" s="462"/>
      <c r="E325" s="462"/>
      <c r="F325" s="462"/>
      <c r="G325" s="462"/>
      <c r="H325" s="462"/>
      <c r="I325" s="654"/>
      <c r="J325" s="650"/>
      <c r="K325" s="654"/>
      <c r="L325" s="654"/>
      <c r="M325" s="650"/>
      <c r="N325" s="650"/>
      <c r="O325" s="655"/>
      <c r="P325" s="655"/>
      <c r="Q325" s="655"/>
      <c r="R325" s="655"/>
      <c r="S325" s="655"/>
      <c r="T325" s="655"/>
      <c r="U325" s="655"/>
      <c r="V325" s="655"/>
      <c r="W325" s="655"/>
      <c r="X325" s="655"/>
      <c r="Y325" s="655"/>
      <c r="Z325" s="655"/>
      <c r="AA325" s="655"/>
      <c r="AB325" s="655"/>
      <c r="AC325" s="655"/>
      <c r="AD325" s="655"/>
    </row>
    <row r="326">
      <c r="B326" s="462"/>
      <c r="C326" s="462"/>
      <c r="D326" s="462"/>
      <c r="E326" s="462"/>
      <c r="F326" s="462"/>
      <c r="G326" s="462"/>
      <c r="H326" s="462"/>
      <c r="I326" s="654"/>
      <c r="J326" s="650"/>
      <c r="K326" s="654"/>
      <c r="L326" s="654"/>
      <c r="M326" s="650"/>
      <c r="N326" s="650"/>
      <c r="O326" s="655"/>
      <c r="P326" s="655"/>
      <c r="Q326" s="655"/>
      <c r="R326" s="655"/>
      <c r="S326" s="655"/>
      <c r="T326" s="655"/>
      <c r="U326" s="655"/>
      <c r="V326" s="655"/>
      <c r="W326" s="655"/>
      <c r="X326" s="655"/>
      <c r="Y326" s="655"/>
      <c r="Z326" s="655"/>
      <c r="AA326" s="655"/>
      <c r="AB326" s="655"/>
      <c r="AC326" s="655"/>
      <c r="AD326" s="655"/>
    </row>
    <row r="327">
      <c r="B327" s="462"/>
      <c r="C327" s="462"/>
      <c r="D327" s="462"/>
      <c r="E327" s="462"/>
      <c r="F327" s="462"/>
      <c r="G327" s="462"/>
      <c r="H327" s="462"/>
      <c r="I327" s="654"/>
      <c r="J327" s="650"/>
      <c r="K327" s="654"/>
      <c r="L327" s="654"/>
      <c r="M327" s="650"/>
      <c r="N327" s="650"/>
      <c r="O327" s="655"/>
      <c r="P327" s="655"/>
      <c r="Q327" s="655"/>
      <c r="R327" s="655"/>
      <c r="S327" s="655"/>
      <c r="T327" s="655"/>
      <c r="U327" s="655"/>
      <c r="V327" s="655"/>
      <c r="W327" s="655"/>
      <c r="X327" s="655"/>
      <c r="Y327" s="655"/>
      <c r="Z327" s="655"/>
      <c r="AA327" s="655"/>
      <c r="AB327" s="655"/>
      <c r="AC327" s="655"/>
      <c r="AD327" s="655"/>
    </row>
    <row r="328">
      <c r="B328" s="462"/>
      <c r="C328" s="462"/>
      <c r="D328" s="462"/>
      <c r="E328" s="462"/>
      <c r="F328" s="462"/>
      <c r="G328" s="462"/>
      <c r="H328" s="462"/>
      <c r="I328" s="654"/>
      <c r="J328" s="650"/>
      <c r="K328" s="654"/>
      <c r="L328" s="654"/>
      <c r="M328" s="650"/>
      <c r="N328" s="650"/>
      <c r="O328" s="655"/>
      <c r="P328" s="655"/>
      <c r="Q328" s="655"/>
      <c r="R328" s="655"/>
      <c r="S328" s="655"/>
      <c r="T328" s="655"/>
      <c r="U328" s="655"/>
      <c r="V328" s="655"/>
      <c r="W328" s="655"/>
      <c r="X328" s="655"/>
      <c r="Y328" s="655"/>
      <c r="Z328" s="655"/>
      <c r="AA328" s="655"/>
      <c r="AB328" s="655"/>
      <c r="AC328" s="655"/>
      <c r="AD328" s="655"/>
    </row>
    <row r="329">
      <c r="B329" s="462"/>
      <c r="C329" s="462"/>
      <c r="D329" s="462"/>
      <c r="E329" s="462"/>
      <c r="F329" s="462"/>
      <c r="G329" s="462"/>
      <c r="H329" s="462"/>
      <c r="I329" s="654"/>
      <c r="J329" s="650"/>
      <c r="K329" s="654"/>
      <c r="L329" s="654"/>
      <c r="M329" s="650"/>
      <c r="N329" s="650"/>
      <c r="O329" s="655"/>
      <c r="P329" s="655"/>
      <c r="Q329" s="655"/>
      <c r="R329" s="655"/>
      <c r="S329" s="655"/>
      <c r="T329" s="655"/>
      <c r="U329" s="655"/>
      <c r="V329" s="655"/>
      <c r="W329" s="655"/>
      <c r="X329" s="655"/>
      <c r="Y329" s="655"/>
      <c r="Z329" s="655"/>
      <c r="AA329" s="655"/>
      <c r="AB329" s="655"/>
      <c r="AC329" s="655"/>
      <c r="AD329" s="655"/>
    </row>
    <row r="330">
      <c r="B330" s="462"/>
      <c r="C330" s="462"/>
      <c r="D330" s="462"/>
      <c r="E330" s="462"/>
      <c r="F330" s="462"/>
      <c r="G330" s="462"/>
      <c r="H330" s="462"/>
      <c r="I330" s="654"/>
      <c r="J330" s="650"/>
      <c r="K330" s="654"/>
      <c r="L330" s="654"/>
      <c r="M330" s="650"/>
      <c r="N330" s="650"/>
      <c r="O330" s="655"/>
      <c r="P330" s="655"/>
      <c r="Q330" s="655"/>
      <c r="R330" s="655"/>
      <c r="S330" s="655"/>
      <c r="T330" s="655"/>
      <c r="U330" s="655"/>
      <c r="V330" s="655"/>
      <c r="W330" s="655"/>
      <c r="X330" s="655"/>
      <c r="Y330" s="655"/>
      <c r="Z330" s="655"/>
      <c r="AA330" s="655"/>
      <c r="AB330" s="655"/>
      <c r="AC330" s="655"/>
      <c r="AD330" s="655"/>
    </row>
    <row r="331">
      <c r="B331" s="462"/>
      <c r="C331" s="462"/>
      <c r="D331" s="462"/>
      <c r="E331" s="462"/>
      <c r="F331" s="462"/>
      <c r="G331" s="462"/>
      <c r="H331" s="462"/>
      <c r="I331" s="654"/>
      <c r="J331" s="650"/>
      <c r="K331" s="654"/>
      <c r="L331" s="654"/>
      <c r="M331" s="650"/>
      <c r="N331" s="650"/>
      <c r="O331" s="655"/>
      <c r="P331" s="655"/>
      <c r="Q331" s="655"/>
      <c r="R331" s="655"/>
      <c r="S331" s="655"/>
      <c r="T331" s="655"/>
      <c r="U331" s="655"/>
      <c r="V331" s="655"/>
      <c r="W331" s="655"/>
      <c r="X331" s="655"/>
      <c r="Y331" s="655"/>
      <c r="Z331" s="655"/>
      <c r="AA331" s="655"/>
      <c r="AB331" s="655"/>
      <c r="AC331" s="655"/>
      <c r="AD331" s="655"/>
    </row>
    <row r="332">
      <c r="B332" s="462"/>
      <c r="C332" s="462"/>
      <c r="D332" s="462"/>
      <c r="E332" s="462"/>
      <c r="F332" s="462"/>
      <c r="G332" s="462"/>
      <c r="H332" s="462"/>
      <c r="I332" s="654"/>
      <c r="J332" s="650"/>
      <c r="K332" s="654"/>
      <c r="L332" s="654"/>
      <c r="M332" s="650"/>
      <c r="N332" s="650"/>
      <c r="O332" s="655"/>
      <c r="P332" s="655"/>
      <c r="Q332" s="655"/>
      <c r="R332" s="655"/>
      <c r="S332" s="655"/>
      <c r="T332" s="655"/>
      <c r="U332" s="655"/>
      <c r="V332" s="655"/>
      <c r="W332" s="655"/>
      <c r="X332" s="655"/>
      <c r="Y332" s="655"/>
      <c r="Z332" s="655"/>
      <c r="AA332" s="655"/>
      <c r="AB332" s="655"/>
      <c r="AC332" s="655"/>
      <c r="AD332" s="655"/>
    </row>
    <row r="333">
      <c r="B333" s="462"/>
      <c r="C333" s="462"/>
      <c r="D333" s="462"/>
      <c r="E333" s="462"/>
      <c r="F333" s="462"/>
      <c r="G333" s="462"/>
      <c r="H333" s="462"/>
      <c r="I333" s="654"/>
      <c r="J333" s="650"/>
      <c r="K333" s="654"/>
      <c r="L333" s="654"/>
      <c r="M333" s="650"/>
      <c r="N333" s="650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5"/>
      <c r="AB333" s="655"/>
      <c r="AC333" s="655"/>
      <c r="AD333" s="655"/>
    </row>
    <row r="334">
      <c r="B334" s="462"/>
      <c r="C334" s="462"/>
      <c r="D334" s="462"/>
      <c r="E334" s="462"/>
      <c r="F334" s="462"/>
      <c r="G334" s="462"/>
      <c r="H334" s="462"/>
      <c r="I334" s="654"/>
      <c r="J334" s="650"/>
      <c r="K334" s="654"/>
      <c r="L334" s="654"/>
      <c r="M334" s="650"/>
      <c r="N334" s="650"/>
      <c r="O334" s="655"/>
      <c r="P334" s="655"/>
      <c r="Q334" s="655"/>
      <c r="R334" s="655"/>
      <c r="S334" s="655"/>
      <c r="T334" s="655"/>
      <c r="U334" s="655"/>
      <c r="V334" s="655"/>
      <c r="W334" s="655"/>
      <c r="X334" s="655"/>
      <c r="Y334" s="655"/>
      <c r="Z334" s="655"/>
      <c r="AA334" s="655"/>
      <c r="AB334" s="655"/>
      <c r="AC334" s="655"/>
      <c r="AD334" s="655"/>
    </row>
    <row r="335">
      <c r="B335" s="462"/>
      <c r="C335" s="462"/>
      <c r="D335" s="462"/>
      <c r="E335" s="462"/>
      <c r="F335" s="462"/>
      <c r="G335" s="462"/>
      <c r="H335" s="462"/>
      <c r="I335" s="654"/>
      <c r="J335" s="650"/>
      <c r="K335" s="654"/>
      <c r="L335" s="654"/>
      <c r="M335" s="650"/>
      <c r="N335" s="650"/>
      <c r="O335" s="655"/>
      <c r="P335" s="655"/>
      <c r="Q335" s="655"/>
      <c r="R335" s="655"/>
      <c r="S335" s="655"/>
      <c r="T335" s="655"/>
      <c r="U335" s="655"/>
      <c r="V335" s="655"/>
      <c r="W335" s="655"/>
      <c r="X335" s="655"/>
      <c r="Y335" s="655"/>
      <c r="Z335" s="655"/>
      <c r="AA335" s="655"/>
      <c r="AB335" s="655"/>
      <c r="AC335" s="655"/>
      <c r="AD335" s="655"/>
    </row>
    <row r="336">
      <c r="B336" s="462"/>
      <c r="C336" s="462"/>
      <c r="D336" s="462"/>
      <c r="E336" s="462"/>
      <c r="F336" s="462"/>
      <c r="G336" s="462"/>
      <c r="H336" s="462"/>
      <c r="I336" s="654"/>
      <c r="J336" s="650"/>
      <c r="K336" s="654"/>
      <c r="L336" s="654"/>
      <c r="M336" s="650"/>
      <c r="N336" s="650"/>
      <c r="O336" s="655"/>
      <c r="P336" s="655"/>
      <c r="Q336" s="655"/>
      <c r="R336" s="655"/>
      <c r="S336" s="655"/>
      <c r="T336" s="655"/>
      <c r="U336" s="655"/>
      <c r="V336" s="655"/>
      <c r="W336" s="655"/>
      <c r="X336" s="655"/>
      <c r="Y336" s="655"/>
      <c r="Z336" s="655"/>
      <c r="AA336" s="655"/>
      <c r="AB336" s="655"/>
      <c r="AC336" s="655"/>
      <c r="AD336" s="655"/>
    </row>
    <row r="337">
      <c r="B337" s="462"/>
      <c r="C337" s="462"/>
      <c r="D337" s="462"/>
      <c r="E337" s="462"/>
      <c r="F337" s="462"/>
      <c r="G337" s="462"/>
      <c r="H337" s="462"/>
      <c r="I337" s="654"/>
      <c r="J337" s="650"/>
      <c r="K337" s="654"/>
      <c r="L337" s="654"/>
      <c r="M337" s="650"/>
      <c r="N337" s="650"/>
      <c r="O337" s="655"/>
      <c r="P337" s="655"/>
      <c r="Q337" s="655"/>
      <c r="R337" s="655"/>
      <c r="S337" s="655"/>
      <c r="T337" s="655"/>
      <c r="U337" s="655"/>
      <c r="V337" s="655"/>
      <c r="W337" s="655"/>
      <c r="X337" s="655"/>
      <c r="Y337" s="655"/>
      <c r="Z337" s="655"/>
      <c r="AA337" s="655"/>
      <c r="AB337" s="655"/>
      <c r="AC337" s="655"/>
      <c r="AD337" s="655"/>
    </row>
    <row r="338">
      <c r="B338" s="462"/>
      <c r="C338" s="462"/>
      <c r="D338" s="462"/>
      <c r="E338" s="462"/>
      <c r="F338" s="462"/>
      <c r="G338" s="462"/>
      <c r="H338" s="462"/>
      <c r="I338" s="654"/>
      <c r="J338" s="650"/>
      <c r="K338" s="654"/>
      <c r="L338" s="654"/>
      <c r="M338" s="650"/>
      <c r="N338" s="650"/>
      <c r="O338" s="655"/>
      <c r="P338" s="655"/>
      <c r="Q338" s="655"/>
      <c r="R338" s="655"/>
      <c r="S338" s="655"/>
      <c r="T338" s="655"/>
      <c r="U338" s="655"/>
      <c r="V338" s="655"/>
      <c r="W338" s="655"/>
      <c r="X338" s="655"/>
      <c r="Y338" s="655"/>
      <c r="Z338" s="655"/>
      <c r="AA338" s="655"/>
      <c r="AB338" s="655"/>
      <c r="AC338" s="655"/>
      <c r="AD338" s="655"/>
    </row>
    <row r="339">
      <c r="B339" s="462"/>
      <c r="C339" s="462"/>
      <c r="D339" s="462"/>
      <c r="E339" s="462"/>
      <c r="F339" s="462"/>
      <c r="G339" s="462"/>
      <c r="H339" s="462"/>
      <c r="I339" s="654"/>
      <c r="J339" s="650"/>
      <c r="K339" s="654"/>
      <c r="L339" s="654"/>
      <c r="M339" s="650"/>
      <c r="N339" s="650"/>
      <c r="O339" s="655"/>
      <c r="P339" s="655"/>
      <c r="Q339" s="655"/>
      <c r="R339" s="655"/>
      <c r="S339" s="655"/>
      <c r="T339" s="655"/>
      <c r="U339" s="655"/>
      <c r="V339" s="655"/>
      <c r="W339" s="655"/>
      <c r="X339" s="655"/>
      <c r="Y339" s="655"/>
      <c r="Z339" s="655"/>
      <c r="AA339" s="655"/>
      <c r="AB339" s="655"/>
      <c r="AC339" s="655"/>
      <c r="AD339" s="655"/>
    </row>
    <row r="340">
      <c r="B340" s="462"/>
      <c r="C340" s="462"/>
      <c r="D340" s="462"/>
      <c r="E340" s="462"/>
      <c r="F340" s="462"/>
      <c r="G340" s="462"/>
      <c r="H340" s="462"/>
      <c r="I340" s="654"/>
      <c r="J340" s="650"/>
      <c r="K340" s="654"/>
      <c r="L340" s="654"/>
      <c r="M340" s="650"/>
      <c r="N340" s="650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5"/>
      <c r="AB340" s="655"/>
      <c r="AC340" s="655"/>
      <c r="AD340" s="655"/>
    </row>
    <row r="341">
      <c r="B341" s="462"/>
      <c r="C341" s="462"/>
      <c r="D341" s="462"/>
      <c r="E341" s="462"/>
      <c r="F341" s="462"/>
      <c r="G341" s="462"/>
      <c r="H341" s="462"/>
      <c r="I341" s="654"/>
      <c r="J341" s="650"/>
      <c r="K341" s="654"/>
      <c r="L341" s="654"/>
      <c r="M341" s="650"/>
      <c r="N341" s="650"/>
      <c r="O341" s="655"/>
      <c r="P341" s="655"/>
      <c r="Q341" s="655"/>
      <c r="R341" s="655"/>
      <c r="S341" s="655"/>
      <c r="T341" s="655"/>
      <c r="U341" s="655"/>
      <c r="V341" s="655"/>
      <c r="W341" s="655"/>
      <c r="X341" s="655"/>
      <c r="Y341" s="655"/>
      <c r="Z341" s="655"/>
      <c r="AA341" s="655"/>
      <c r="AB341" s="655"/>
      <c r="AC341" s="655"/>
      <c r="AD341" s="655"/>
    </row>
    <row r="342">
      <c r="B342" s="462"/>
      <c r="C342" s="462"/>
      <c r="D342" s="462"/>
      <c r="E342" s="462"/>
      <c r="F342" s="462"/>
      <c r="G342" s="462"/>
      <c r="H342" s="462"/>
      <c r="I342" s="654"/>
      <c r="J342" s="650"/>
      <c r="K342" s="654"/>
      <c r="L342" s="654"/>
      <c r="M342" s="650"/>
      <c r="N342" s="650"/>
      <c r="O342" s="655"/>
      <c r="P342" s="655"/>
      <c r="Q342" s="655"/>
      <c r="R342" s="655"/>
      <c r="S342" s="655"/>
      <c r="T342" s="655"/>
      <c r="U342" s="655"/>
      <c r="V342" s="655"/>
      <c r="W342" s="655"/>
      <c r="X342" s="655"/>
      <c r="Y342" s="655"/>
      <c r="Z342" s="655"/>
      <c r="AA342" s="655"/>
      <c r="AB342" s="655"/>
      <c r="AC342" s="655"/>
      <c r="AD342" s="655"/>
    </row>
    <row r="343">
      <c r="B343" s="462"/>
      <c r="C343" s="462"/>
      <c r="D343" s="462"/>
      <c r="E343" s="462"/>
      <c r="F343" s="462"/>
      <c r="G343" s="462"/>
      <c r="H343" s="462"/>
      <c r="I343" s="654"/>
      <c r="J343" s="650"/>
      <c r="K343" s="654"/>
      <c r="L343" s="654"/>
      <c r="M343" s="650"/>
      <c r="N343" s="650"/>
      <c r="O343" s="655"/>
      <c r="P343" s="655"/>
      <c r="Q343" s="655"/>
      <c r="R343" s="655"/>
      <c r="S343" s="655"/>
      <c r="T343" s="655"/>
      <c r="U343" s="655"/>
      <c r="V343" s="655"/>
      <c r="W343" s="655"/>
      <c r="X343" s="655"/>
      <c r="Y343" s="655"/>
      <c r="Z343" s="655"/>
      <c r="AA343" s="655"/>
      <c r="AB343" s="655"/>
      <c r="AC343" s="655"/>
      <c r="AD343" s="655"/>
    </row>
    <row r="344">
      <c r="B344" s="462"/>
      <c r="C344" s="462"/>
      <c r="D344" s="462"/>
      <c r="E344" s="462"/>
      <c r="F344" s="462"/>
      <c r="G344" s="462"/>
      <c r="H344" s="462"/>
      <c r="I344" s="654"/>
      <c r="J344" s="650"/>
      <c r="K344" s="654"/>
      <c r="L344" s="654"/>
      <c r="M344" s="650"/>
      <c r="N344" s="650"/>
      <c r="O344" s="655"/>
      <c r="P344" s="655"/>
      <c r="Q344" s="655"/>
      <c r="R344" s="655"/>
      <c r="S344" s="655"/>
      <c r="T344" s="655"/>
      <c r="U344" s="655"/>
      <c r="V344" s="655"/>
      <c r="W344" s="655"/>
      <c r="X344" s="655"/>
      <c r="Y344" s="655"/>
      <c r="Z344" s="655"/>
      <c r="AA344" s="655"/>
      <c r="AB344" s="655"/>
      <c r="AC344" s="655"/>
      <c r="AD344" s="655"/>
    </row>
    <row r="345">
      <c r="B345" s="462"/>
      <c r="C345" s="462"/>
      <c r="D345" s="462"/>
      <c r="E345" s="462"/>
      <c r="F345" s="462"/>
      <c r="G345" s="462"/>
      <c r="H345" s="462"/>
      <c r="I345" s="654"/>
      <c r="J345" s="650"/>
      <c r="K345" s="654"/>
      <c r="L345" s="654"/>
      <c r="M345" s="650"/>
      <c r="N345" s="650"/>
      <c r="O345" s="655"/>
      <c r="P345" s="655"/>
      <c r="Q345" s="655"/>
      <c r="R345" s="655"/>
      <c r="S345" s="655"/>
      <c r="T345" s="655"/>
      <c r="U345" s="655"/>
      <c r="V345" s="655"/>
      <c r="W345" s="655"/>
      <c r="X345" s="655"/>
      <c r="Y345" s="655"/>
      <c r="Z345" s="655"/>
      <c r="AA345" s="655"/>
      <c r="AB345" s="655"/>
      <c r="AC345" s="655"/>
      <c r="AD345" s="655"/>
    </row>
    <row r="346">
      <c r="B346" s="462"/>
      <c r="C346" s="462"/>
      <c r="D346" s="462"/>
      <c r="E346" s="462"/>
      <c r="F346" s="462"/>
      <c r="G346" s="462"/>
      <c r="H346" s="462"/>
      <c r="I346" s="654"/>
      <c r="J346" s="650"/>
      <c r="K346" s="654"/>
      <c r="L346" s="654"/>
      <c r="M346" s="650"/>
      <c r="N346" s="650"/>
      <c r="O346" s="655"/>
      <c r="P346" s="655"/>
      <c r="Q346" s="655"/>
      <c r="R346" s="655"/>
      <c r="S346" s="655"/>
      <c r="T346" s="655"/>
      <c r="U346" s="655"/>
      <c r="V346" s="655"/>
      <c r="W346" s="655"/>
      <c r="X346" s="655"/>
      <c r="Y346" s="655"/>
      <c r="Z346" s="655"/>
      <c r="AA346" s="655"/>
      <c r="AB346" s="655"/>
      <c r="AC346" s="655"/>
      <c r="AD346" s="655"/>
    </row>
    <row r="347">
      <c r="B347" s="462"/>
      <c r="C347" s="462"/>
      <c r="D347" s="462"/>
      <c r="E347" s="462"/>
      <c r="F347" s="462"/>
      <c r="G347" s="462"/>
      <c r="H347" s="462"/>
      <c r="I347" s="654"/>
      <c r="J347" s="650"/>
      <c r="K347" s="654"/>
      <c r="L347" s="654"/>
      <c r="M347" s="650"/>
      <c r="N347" s="650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  <c r="AA347" s="655"/>
      <c r="AB347" s="655"/>
      <c r="AC347" s="655"/>
      <c r="AD347" s="655"/>
    </row>
    <row r="348">
      <c r="B348" s="462"/>
      <c r="C348" s="462"/>
      <c r="D348" s="462"/>
      <c r="E348" s="462"/>
      <c r="F348" s="462"/>
      <c r="G348" s="462"/>
      <c r="H348" s="462"/>
      <c r="I348" s="654"/>
      <c r="J348" s="650"/>
      <c r="K348" s="654"/>
      <c r="L348" s="654"/>
      <c r="M348" s="650"/>
      <c r="N348" s="650"/>
      <c r="O348" s="655"/>
      <c r="P348" s="655"/>
      <c r="Q348" s="655"/>
      <c r="R348" s="655"/>
      <c r="S348" s="655"/>
      <c r="T348" s="655"/>
      <c r="U348" s="655"/>
      <c r="V348" s="655"/>
      <c r="W348" s="655"/>
      <c r="X348" s="655"/>
      <c r="Y348" s="655"/>
      <c r="Z348" s="655"/>
      <c r="AA348" s="655"/>
      <c r="AB348" s="655"/>
      <c r="AC348" s="655"/>
      <c r="AD348" s="655"/>
    </row>
    <row r="349">
      <c r="B349" s="462"/>
      <c r="C349" s="462"/>
      <c r="D349" s="462"/>
      <c r="E349" s="462"/>
      <c r="F349" s="462"/>
      <c r="G349" s="462"/>
      <c r="H349" s="462"/>
      <c r="I349" s="654"/>
      <c r="J349" s="650"/>
      <c r="K349" s="654"/>
      <c r="L349" s="654"/>
      <c r="M349" s="650"/>
      <c r="N349" s="650"/>
      <c r="O349" s="655"/>
      <c r="P349" s="655"/>
      <c r="Q349" s="655"/>
      <c r="R349" s="655"/>
      <c r="S349" s="655"/>
      <c r="T349" s="655"/>
      <c r="U349" s="655"/>
      <c r="V349" s="655"/>
      <c r="W349" s="655"/>
      <c r="X349" s="655"/>
      <c r="Y349" s="655"/>
      <c r="Z349" s="655"/>
      <c r="AA349" s="655"/>
      <c r="AB349" s="655"/>
      <c r="AC349" s="655"/>
      <c r="AD349" s="655"/>
    </row>
    <row r="350">
      <c r="B350" s="462"/>
      <c r="C350" s="462"/>
      <c r="D350" s="462"/>
      <c r="E350" s="462"/>
      <c r="F350" s="462"/>
      <c r="G350" s="462"/>
      <c r="H350" s="462"/>
      <c r="I350" s="654"/>
      <c r="J350" s="650"/>
      <c r="K350" s="654"/>
      <c r="L350" s="654"/>
      <c r="M350" s="650"/>
      <c r="N350" s="650"/>
      <c r="O350" s="655"/>
      <c r="P350" s="655"/>
      <c r="Q350" s="655"/>
      <c r="R350" s="655"/>
      <c r="S350" s="655"/>
      <c r="T350" s="655"/>
      <c r="U350" s="655"/>
      <c r="V350" s="655"/>
      <c r="W350" s="655"/>
      <c r="X350" s="655"/>
      <c r="Y350" s="655"/>
      <c r="Z350" s="655"/>
      <c r="AA350" s="655"/>
      <c r="AB350" s="655"/>
      <c r="AC350" s="655"/>
      <c r="AD350" s="655"/>
    </row>
    <row r="351">
      <c r="B351" s="462"/>
      <c r="C351" s="462"/>
      <c r="D351" s="462"/>
      <c r="E351" s="462"/>
      <c r="F351" s="462"/>
      <c r="G351" s="462"/>
      <c r="H351" s="462"/>
      <c r="I351" s="654"/>
      <c r="J351" s="650"/>
      <c r="K351" s="654"/>
      <c r="L351" s="654"/>
      <c r="M351" s="650"/>
      <c r="N351" s="650"/>
      <c r="O351" s="655"/>
      <c r="P351" s="655"/>
      <c r="Q351" s="655"/>
      <c r="R351" s="655"/>
      <c r="S351" s="655"/>
      <c r="T351" s="655"/>
      <c r="U351" s="655"/>
      <c r="V351" s="655"/>
      <c r="W351" s="655"/>
      <c r="X351" s="655"/>
      <c r="Y351" s="655"/>
      <c r="Z351" s="655"/>
      <c r="AA351" s="655"/>
      <c r="AB351" s="655"/>
      <c r="AC351" s="655"/>
      <c r="AD351" s="655"/>
    </row>
    <row r="352">
      <c r="B352" s="462"/>
      <c r="C352" s="462"/>
      <c r="D352" s="462"/>
      <c r="E352" s="462"/>
      <c r="F352" s="462"/>
      <c r="G352" s="462"/>
      <c r="H352" s="462"/>
      <c r="I352" s="654"/>
      <c r="J352" s="650"/>
      <c r="K352" s="654"/>
      <c r="L352" s="654"/>
      <c r="M352" s="650"/>
      <c r="N352" s="650"/>
      <c r="O352" s="655"/>
      <c r="P352" s="655"/>
      <c r="Q352" s="655"/>
      <c r="R352" s="655"/>
      <c r="S352" s="655"/>
      <c r="T352" s="655"/>
      <c r="U352" s="655"/>
      <c r="V352" s="655"/>
      <c r="W352" s="655"/>
      <c r="X352" s="655"/>
      <c r="Y352" s="655"/>
      <c r="Z352" s="655"/>
      <c r="AA352" s="655"/>
      <c r="AB352" s="655"/>
      <c r="AC352" s="655"/>
      <c r="AD352" s="655"/>
    </row>
    <row r="353">
      <c r="B353" s="462"/>
      <c r="C353" s="462"/>
      <c r="D353" s="462"/>
      <c r="E353" s="462"/>
      <c r="F353" s="462"/>
      <c r="G353" s="462"/>
      <c r="H353" s="462"/>
      <c r="I353" s="654"/>
      <c r="J353" s="650"/>
      <c r="K353" s="654"/>
      <c r="L353" s="654"/>
      <c r="M353" s="650"/>
      <c r="N353" s="650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  <c r="AA353" s="655"/>
      <c r="AB353" s="655"/>
      <c r="AC353" s="655"/>
      <c r="AD353" s="655"/>
    </row>
    <row r="354">
      <c r="B354" s="462"/>
      <c r="C354" s="462"/>
      <c r="D354" s="462"/>
      <c r="E354" s="462"/>
      <c r="F354" s="462"/>
      <c r="G354" s="462"/>
      <c r="H354" s="462"/>
      <c r="I354" s="654"/>
      <c r="J354" s="650"/>
      <c r="K354" s="654"/>
      <c r="L354" s="654"/>
      <c r="M354" s="650"/>
      <c r="N354" s="650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5"/>
      <c r="AB354" s="655"/>
      <c r="AC354" s="655"/>
      <c r="AD354" s="655"/>
    </row>
    <row r="355">
      <c r="B355" s="462"/>
      <c r="C355" s="462"/>
      <c r="D355" s="462"/>
      <c r="E355" s="462"/>
      <c r="F355" s="462"/>
      <c r="G355" s="462"/>
      <c r="H355" s="462"/>
      <c r="I355" s="654"/>
      <c r="J355" s="650"/>
      <c r="K355" s="654"/>
      <c r="L355" s="654"/>
      <c r="M355" s="650"/>
      <c r="N355" s="650"/>
      <c r="O355" s="655"/>
      <c r="P355" s="655"/>
      <c r="Q355" s="655"/>
      <c r="R355" s="655"/>
      <c r="S355" s="655"/>
      <c r="T355" s="655"/>
      <c r="U355" s="655"/>
      <c r="V355" s="655"/>
      <c r="W355" s="655"/>
      <c r="X355" s="655"/>
      <c r="Y355" s="655"/>
      <c r="Z355" s="655"/>
      <c r="AA355" s="655"/>
      <c r="AB355" s="655"/>
      <c r="AC355" s="655"/>
      <c r="AD355" s="655"/>
    </row>
    <row r="356">
      <c r="B356" s="462"/>
      <c r="C356" s="462"/>
      <c r="D356" s="462"/>
      <c r="E356" s="462"/>
      <c r="F356" s="462"/>
      <c r="G356" s="462"/>
      <c r="H356" s="462"/>
      <c r="I356" s="654"/>
      <c r="J356" s="650"/>
      <c r="K356" s="654"/>
      <c r="L356" s="654"/>
      <c r="M356" s="650"/>
      <c r="N356" s="650"/>
      <c r="O356" s="655"/>
      <c r="P356" s="655"/>
      <c r="Q356" s="655"/>
      <c r="R356" s="655"/>
      <c r="S356" s="655"/>
      <c r="T356" s="655"/>
      <c r="U356" s="655"/>
      <c r="V356" s="655"/>
      <c r="W356" s="655"/>
      <c r="X356" s="655"/>
      <c r="Y356" s="655"/>
      <c r="Z356" s="655"/>
      <c r="AA356" s="655"/>
      <c r="AB356" s="655"/>
      <c r="AC356" s="655"/>
      <c r="AD356" s="655"/>
    </row>
    <row r="357">
      <c r="B357" s="462"/>
      <c r="C357" s="462"/>
      <c r="D357" s="462"/>
      <c r="E357" s="462"/>
      <c r="F357" s="462"/>
      <c r="G357" s="462"/>
      <c r="H357" s="462"/>
      <c r="I357" s="654"/>
      <c r="J357" s="650"/>
      <c r="K357" s="654"/>
      <c r="L357" s="654"/>
      <c r="M357" s="650"/>
      <c r="N357" s="650"/>
      <c r="O357" s="655"/>
      <c r="P357" s="655"/>
      <c r="Q357" s="655"/>
      <c r="R357" s="655"/>
      <c r="S357" s="655"/>
      <c r="T357" s="655"/>
      <c r="U357" s="655"/>
      <c r="V357" s="655"/>
      <c r="W357" s="655"/>
      <c r="X357" s="655"/>
      <c r="Y357" s="655"/>
      <c r="Z357" s="655"/>
      <c r="AA357" s="655"/>
      <c r="AB357" s="655"/>
      <c r="AC357" s="655"/>
      <c r="AD357" s="655"/>
    </row>
    <row r="358">
      <c r="B358" s="462"/>
      <c r="C358" s="462"/>
      <c r="D358" s="462"/>
      <c r="E358" s="462"/>
      <c r="F358" s="462"/>
      <c r="G358" s="462"/>
      <c r="H358" s="462"/>
      <c r="I358" s="654"/>
      <c r="J358" s="650"/>
      <c r="K358" s="654"/>
      <c r="L358" s="654"/>
      <c r="M358" s="650"/>
      <c r="N358" s="650"/>
      <c r="O358" s="655"/>
      <c r="P358" s="655"/>
      <c r="Q358" s="655"/>
      <c r="R358" s="655"/>
      <c r="S358" s="655"/>
      <c r="T358" s="655"/>
      <c r="U358" s="655"/>
      <c r="V358" s="655"/>
      <c r="W358" s="655"/>
      <c r="X358" s="655"/>
      <c r="Y358" s="655"/>
      <c r="Z358" s="655"/>
      <c r="AA358" s="655"/>
      <c r="AB358" s="655"/>
      <c r="AC358" s="655"/>
      <c r="AD358" s="655"/>
    </row>
    <row r="359">
      <c r="B359" s="462"/>
      <c r="C359" s="462"/>
      <c r="D359" s="462"/>
      <c r="E359" s="462"/>
      <c r="F359" s="462"/>
      <c r="G359" s="462"/>
      <c r="H359" s="462"/>
      <c r="I359" s="654"/>
      <c r="J359" s="650"/>
      <c r="K359" s="654"/>
      <c r="L359" s="654"/>
      <c r="M359" s="650"/>
      <c r="N359" s="650"/>
      <c r="O359" s="655"/>
      <c r="P359" s="655"/>
      <c r="Q359" s="655"/>
      <c r="R359" s="655"/>
      <c r="S359" s="655"/>
      <c r="T359" s="655"/>
      <c r="U359" s="655"/>
      <c r="V359" s="655"/>
      <c r="W359" s="655"/>
      <c r="X359" s="655"/>
      <c r="Y359" s="655"/>
      <c r="Z359" s="655"/>
      <c r="AA359" s="655"/>
      <c r="AB359" s="655"/>
      <c r="AC359" s="655"/>
      <c r="AD359" s="655"/>
    </row>
    <row r="360">
      <c r="B360" s="462"/>
      <c r="C360" s="462"/>
      <c r="D360" s="462"/>
      <c r="E360" s="462"/>
      <c r="F360" s="462"/>
      <c r="G360" s="462"/>
      <c r="H360" s="462"/>
      <c r="I360" s="654"/>
      <c r="J360" s="650"/>
      <c r="K360" s="654"/>
      <c r="L360" s="654"/>
      <c r="M360" s="650"/>
      <c r="N360" s="650"/>
      <c r="O360" s="655"/>
      <c r="P360" s="655"/>
      <c r="Q360" s="655"/>
      <c r="R360" s="655"/>
      <c r="S360" s="655"/>
      <c r="T360" s="655"/>
      <c r="U360" s="655"/>
      <c r="V360" s="655"/>
      <c r="W360" s="655"/>
      <c r="X360" s="655"/>
      <c r="Y360" s="655"/>
      <c r="Z360" s="655"/>
      <c r="AA360" s="655"/>
      <c r="AB360" s="655"/>
      <c r="AC360" s="655"/>
      <c r="AD360" s="655"/>
    </row>
    <row r="361">
      <c r="B361" s="462"/>
      <c r="C361" s="462"/>
      <c r="D361" s="462"/>
      <c r="E361" s="462"/>
      <c r="F361" s="462"/>
      <c r="G361" s="462"/>
      <c r="H361" s="462"/>
      <c r="I361" s="654"/>
      <c r="J361" s="650"/>
      <c r="K361" s="654"/>
      <c r="L361" s="654"/>
      <c r="M361" s="650"/>
      <c r="N361" s="650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5"/>
      <c r="AB361" s="655"/>
      <c r="AC361" s="655"/>
      <c r="AD361" s="655"/>
    </row>
    <row r="362">
      <c r="B362" s="462"/>
      <c r="C362" s="462"/>
      <c r="D362" s="462"/>
      <c r="E362" s="462"/>
      <c r="F362" s="462"/>
      <c r="G362" s="462"/>
      <c r="H362" s="462"/>
      <c r="I362" s="654"/>
      <c r="J362" s="650"/>
      <c r="K362" s="654"/>
      <c r="L362" s="654"/>
      <c r="M362" s="650"/>
      <c r="N362" s="650"/>
      <c r="O362" s="655"/>
      <c r="P362" s="655"/>
      <c r="Q362" s="655"/>
      <c r="R362" s="655"/>
      <c r="S362" s="655"/>
      <c r="T362" s="655"/>
      <c r="U362" s="655"/>
      <c r="V362" s="655"/>
      <c r="W362" s="655"/>
      <c r="X362" s="655"/>
      <c r="Y362" s="655"/>
      <c r="Z362" s="655"/>
      <c r="AA362" s="655"/>
      <c r="AB362" s="655"/>
      <c r="AC362" s="655"/>
      <c r="AD362" s="655"/>
    </row>
    <row r="363">
      <c r="B363" s="462"/>
      <c r="C363" s="462"/>
      <c r="D363" s="462"/>
      <c r="E363" s="462"/>
      <c r="F363" s="462"/>
      <c r="G363" s="462"/>
      <c r="H363" s="462"/>
      <c r="I363" s="654"/>
      <c r="J363" s="650"/>
      <c r="K363" s="654"/>
      <c r="L363" s="654"/>
      <c r="M363" s="650"/>
      <c r="N363" s="650"/>
      <c r="O363" s="655"/>
      <c r="P363" s="655"/>
      <c r="Q363" s="655"/>
      <c r="R363" s="655"/>
      <c r="S363" s="655"/>
      <c r="T363" s="655"/>
      <c r="U363" s="655"/>
      <c r="V363" s="655"/>
      <c r="W363" s="655"/>
      <c r="X363" s="655"/>
      <c r="Y363" s="655"/>
      <c r="Z363" s="655"/>
      <c r="AA363" s="655"/>
      <c r="AB363" s="655"/>
      <c r="AC363" s="655"/>
      <c r="AD363" s="655"/>
    </row>
    <row r="364">
      <c r="B364" s="462"/>
      <c r="C364" s="462"/>
      <c r="D364" s="462"/>
      <c r="E364" s="462"/>
      <c r="F364" s="462"/>
      <c r="G364" s="462"/>
      <c r="H364" s="462"/>
      <c r="I364" s="654"/>
      <c r="J364" s="650"/>
      <c r="K364" s="654"/>
      <c r="L364" s="654"/>
      <c r="M364" s="650"/>
      <c r="N364" s="650"/>
      <c r="O364" s="655"/>
      <c r="P364" s="655"/>
      <c r="Q364" s="655"/>
      <c r="R364" s="655"/>
      <c r="S364" s="655"/>
      <c r="T364" s="655"/>
      <c r="U364" s="655"/>
      <c r="V364" s="655"/>
      <c r="W364" s="655"/>
      <c r="X364" s="655"/>
      <c r="Y364" s="655"/>
      <c r="Z364" s="655"/>
      <c r="AA364" s="655"/>
      <c r="AB364" s="655"/>
      <c r="AC364" s="655"/>
      <c r="AD364" s="655"/>
    </row>
    <row r="365">
      <c r="B365" s="462"/>
      <c r="C365" s="462"/>
      <c r="D365" s="462"/>
      <c r="E365" s="462"/>
      <c r="F365" s="462"/>
      <c r="G365" s="462"/>
      <c r="H365" s="462"/>
      <c r="I365" s="654"/>
      <c r="J365" s="650"/>
      <c r="K365" s="654"/>
      <c r="L365" s="654"/>
      <c r="M365" s="650"/>
      <c r="N365" s="650"/>
      <c r="O365" s="655"/>
      <c r="P365" s="655"/>
      <c r="Q365" s="655"/>
      <c r="R365" s="655"/>
      <c r="S365" s="655"/>
      <c r="T365" s="655"/>
      <c r="U365" s="655"/>
      <c r="V365" s="655"/>
      <c r="W365" s="655"/>
      <c r="X365" s="655"/>
      <c r="Y365" s="655"/>
      <c r="Z365" s="655"/>
      <c r="AA365" s="655"/>
      <c r="AB365" s="655"/>
      <c r="AC365" s="655"/>
      <c r="AD365" s="655"/>
    </row>
    <row r="366">
      <c r="B366" s="462"/>
      <c r="C366" s="462"/>
      <c r="D366" s="462"/>
      <c r="E366" s="462"/>
      <c r="F366" s="462"/>
      <c r="G366" s="462"/>
      <c r="H366" s="462"/>
      <c r="I366" s="654"/>
      <c r="J366" s="650"/>
      <c r="K366" s="654"/>
      <c r="L366" s="654"/>
      <c r="M366" s="650"/>
      <c r="N366" s="650"/>
      <c r="O366" s="655"/>
      <c r="P366" s="655"/>
      <c r="Q366" s="655"/>
      <c r="R366" s="655"/>
      <c r="S366" s="655"/>
      <c r="T366" s="655"/>
      <c r="U366" s="655"/>
      <c r="V366" s="655"/>
      <c r="W366" s="655"/>
      <c r="X366" s="655"/>
      <c r="Y366" s="655"/>
      <c r="Z366" s="655"/>
      <c r="AA366" s="655"/>
      <c r="AB366" s="655"/>
      <c r="AC366" s="655"/>
      <c r="AD366" s="655"/>
    </row>
    <row r="367">
      <c r="B367" s="462"/>
      <c r="C367" s="462"/>
      <c r="D367" s="462"/>
      <c r="E367" s="462"/>
      <c r="F367" s="462"/>
      <c r="G367" s="462"/>
      <c r="H367" s="462"/>
      <c r="I367" s="654"/>
      <c r="J367" s="650"/>
      <c r="K367" s="654"/>
      <c r="L367" s="654"/>
      <c r="M367" s="650"/>
      <c r="N367" s="650"/>
      <c r="O367" s="655"/>
      <c r="P367" s="655"/>
      <c r="Q367" s="655"/>
      <c r="R367" s="655"/>
      <c r="S367" s="655"/>
      <c r="T367" s="655"/>
      <c r="U367" s="655"/>
      <c r="V367" s="655"/>
      <c r="W367" s="655"/>
      <c r="X367" s="655"/>
      <c r="Y367" s="655"/>
      <c r="Z367" s="655"/>
      <c r="AA367" s="655"/>
      <c r="AB367" s="655"/>
      <c r="AC367" s="655"/>
      <c r="AD367" s="655"/>
    </row>
    <row r="368">
      <c r="B368" s="462"/>
      <c r="C368" s="462"/>
      <c r="D368" s="462"/>
      <c r="E368" s="462"/>
      <c r="F368" s="462"/>
      <c r="G368" s="462"/>
      <c r="H368" s="462"/>
      <c r="I368" s="654"/>
      <c r="J368" s="650"/>
      <c r="K368" s="654"/>
      <c r="L368" s="654"/>
      <c r="M368" s="650"/>
      <c r="N368" s="650"/>
      <c r="O368" s="655"/>
      <c r="P368" s="655"/>
      <c r="Q368" s="655"/>
      <c r="R368" s="655"/>
      <c r="S368" s="655"/>
      <c r="T368" s="655"/>
      <c r="U368" s="655"/>
      <c r="V368" s="655"/>
      <c r="W368" s="655"/>
      <c r="X368" s="655"/>
      <c r="Y368" s="655"/>
      <c r="Z368" s="655"/>
      <c r="AA368" s="655"/>
      <c r="AB368" s="655"/>
      <c r="AC368" s="655"/>
      <c r="AD368" s="655"/>
    </row>
    <row r="369">
      <c r="B369" s="462"/>
      <c r="C369" s="462"/>
      <c r="D369" s="462"/>
      <c r="E369" s="462"/>
      <c r="F369" s="462"/>
      <c r="G369" s="462"/>
      <c r="H369" s="462"/>
      <c r="I369" s="654"/>
      <c r="J369" s="650"/>
      <c r="K369" s="654"/>
      <c r="L369" s="654"/>
      <c r="M369" s="650"/>
      <c r="N369" s="650"/>
      <c r="O369" s="655"/>
      <c r="P369" s="655"/>
      <c r="Q369" s="655"/>
      <c r="R369" s="655"/>
      <c r="S369" s="655"/>
      <c r="T369" s="655"/>
      <c r="U369" s="655"/>
      <c r="V369" s="655"/>
      <c r="W369" s="655"/>
      <c r="X369" s="655"/>
      <c r="Y369" s="655"/>
      <c r="Z369" s="655"/>
      <c r="AA369" s="655"/>
      <c r="AB369" s="655"/>
      <c r="AC369" s="655"/>
      <c r="AD369" s="655"/>
    </row>
    <row r="370">
      <c r="B370" s="462"/>
      <c r="C370" s="462"/>
      <c r="D370" s="462"/>
      <c r="E370" s="462"/>
      <c r="F370" s="462"/>
      <c r="G370" s="462"/>
      <c r="H370" s="462"/>
      <c r="I370" s="654"/>
      <c r="J370" s="650"/>
      <c r="K370" s="654"/>
      <c r="L370" s="654"/>
      <c r="M370" s="650"/>
      <c r="N370" s="650"/>
      <c r="O370" s="655"/>
      <c r="P370" s="655"/>
      <c r="Q370" s="655"/>
      <c r="R370" s="655"/>
      <c r="S370" s="655"/>
      <c r="T370" s="655"/>
      <c r="U370" s="655"/>
      <c r="V370" s="655"/>
      <c r="W370" s="655"/>
      <c r="X370" s="655"/>
      <c r="Y370" s="655"/>
      <c r="Z370" s="655"/>
      <c r="AA370" s="655"/>
      <c r="AB370" s="655"/>
      <c r="AC370" s="655"/>
      <c r="AD370" s="655"/>
    </row>
    <row r="371">
      <c r="B371" s="462"/>
      <c r="C371" s="462"/>
      <c r="D371" s="462"/>
      <c r="E371" s="462"/>
      <c r="F371" s="462"/>
      <c r="G371" s="462"/>
      <c r="H371" s="462"/>
      <c r="I371" s="654"/>
      <c r="J371" s="650"/>
      <c r="K371" s="654"/>
      <c r="L371" s="654"/>
      <c r="M371" s="650"/>
      <c r="N371" s="650"/>
      <c r="O371" s="655"/>
      <c r="P371" s="655"/>
      <c r="Q371" s="655"/>
      <c r="R371" s="655"/>
      <c r="S371" s="655"/>
      <c r="T371" s="655"/>
      <c r="U371" s="655"/>
      <c r="V371" s="655"/>
      <c r="W371" s="655"/>
      <c r="X371" s="655"/>
      <c r="Y371" s="655"/>
      <c r="Z371" s="655"/>
      <c r="AA371" s="655"/>
      <c r="AB371" s="655"/>
      <c r="AC371" s="655"/>
      <c r="AD371" s="655"/>
    </row>
    <row r="372">
      <c r="B372" s="462"/>
      <c r="C372" s="462"/>
      <c r="D372" s="462"/>
      <c r="E372" s="462"/>
      <c r="F372" s="462"/>
      <c r="G372" s="462"/>
      <c r="H372" s="462"/>
      <c r="I372" s="654"/>
      <c r="J372" s="650"/>
      <c r="K372" s="654"/>
      <c r="L372" s="654"/>
      <c r="M372" s="650"/>
      <c r="N372" s="650"/>
      <c r="O372" s="655"/>
      <c r="P372" s="655"/>
      <c r="Q372" s="655"/>
      <c r="R372" s="655"/>
      <c r="S372" s="655"/>
      <c r="T372" s="655"/>
      <c r="U372" s="655"/>
      <c r="V372" s="655"/>
      <c r="W372" s="655"/>
      <c r="X372" s="655"/>
      <c r="Y372" s="655"/>
      <c r="Z372" s="655"/>
      <c r="AA372" s="655"/>
      <c r="AB372" s="655"/>
      <c r="AC372" s="655"/>
      <c r="AD372" s="655"/>
    </row>
    <row r="373">
      <c r="B373" s="462"/>
      <c r="C373" s="462"/>
      <c r="D373" s="462"/>
      <c r="E373" s="462"/>
      <c r="F373" s="462"/>
      <c r="G373" s="462"/>
      <c r="H373" s="462"/>
      <c r="I373" s="654"/>
      <c r="J373" s="650"/>
      <c r="K373" s="654"/>
      <c r="L373" s="654"/>
      <c r="M373" s="650"/>
      <c r="N373" s="650"/>
      <c r="O373" s="655"/>
      <c r="P373" s="655"/>
      <c r="Q373" s="655"/>
      <c r="R373" s="655"/>
      <c r="S373" s="655"/>
      <c r="T373" s="655"/>
      <c r="U373" s="655"/>
      <c r="V373" s="655"/>
      <c r="W373" s="655"/>
      <c r="X373" s="655"/>
      <c r="Y373" s="655"/>
      <c r="Z373" s="655"/>
      <c r="AA373" s="655"/>
      <c r="AB373" s="655"/>
      <c r="AC373" s="655"/>
      <c r="AD373" s="655"/>
    </row>
    <row r="374">
      <c r="B374" s="462"/>
      <c r="C374" s="462"/>
      <c r="D374" s="462"/>
      <c r="E374" s="462"/>
      <c r="F374" s="462"/>
      <c r="G374" s="462"/>
      <c r="H374" s="462"/>
      <c r="I374" s="654"/>
      <c r="J374" s="650"/>
      <c r="K374" s="654"/>
      <c r="L374" s="654"/>
      <c r="M374" s="650"/>
      <c r="N374" s="650"/>
      <c r="O374" s="655"/>
      <c r="P374" s="655"/>
      <c r="Q374" s="655"/>
      <c r="R374" s="655"/>
      <c r="S374" s="655"/>
      <c r="T374" s="655"/>
      <c r="U374" s="655"/>
      <c r="V374" s="655"/>
      <c r="W374" s="655"/>
      <c r="X374" s="655"/>
      <c r="Y374" s="655"/>
      <c r="Z374" s="655"/>
      <c r="AA374" s="655"/>
      <c r="AB374" s="655"/>
      <c r="AC374" s="655"/>
      <c r="AD374" s="655"/>
    </row>
    <row r="375">
      <c r="B375" s="462"/>
      <c r="C375" s="462"/>
      <c r="D375" s="462"/>
      <c r="E375" s="462"/>
      <c r="F375" s="462"/>
      <c r="G375" s="462"/>
      <c r="H375" s="462"/>
      <c r="I375" s="654"/>
      <c r="J375" s="650"/>
      <c r="K375" s="654"/>
      <c r="L375" s="654"/>
      <c r="M375" s="650"/>
      <c r="N375" s="650"/>
      <c r="O375" s="655"/>
      <c r="P375" s="655"/>
      <c r="Q375" s="655"/>
      <c r="R375" s="655"/>
      <c r="S375" s="655"/>
      <c r="T375" s="655"/>
      <c r="U375" s="655"/>
      <c r="V375" s="655"/>
      <c r="W375" s="655"/>
      <c r="X375" s="655"/>
      <c r="Y375" s="655"/>
      <c r="Z375" s="655"/>
      <c r="AA375" s="655"/>
      <c r="AB375" s="655"/>
      <c r="AC375" s="655"/>
      <c r="AD375" s="655"/>
    </row>
    <row r="376">
      <c r="B376" s="462"/>
      <c r="C376" s="462"/>
      <c r="D376" s="462"/>
      <c r="E376" s="462"/>
      <c r="F376" s="462"/>
      <c r="G376" s="462"/>
      <c r="H376" s="462"/>
      <c r="I376" s="654"/>
      <c r="J376" s="650"/>
      <c r="K376" s="654"/>
      <c r="L376" s="654"/>
      <c r="M376" s="650"/>
      <c r="N376" s="650"/>
      <c r="O376" s="655"/>
      <c r="P376" s="655"/>
      <c r="Q376" s="655"/>
      <c r="R376" s="655"/>
      <c r="S376" s="655"/>
      <c r="T376" s="655"/>
      <c r="U376" s="655"/>
      <c r="V376" s="655"/>
      <c r="W376" s="655"/>
      <c r="X376" s="655"/>
      <c r="Y376" s="655"/>
      <c r="Z376" s="655"/>
      <c r="AA376" s="655"/>
      <c r="AB376" s="655"/>
      <c r="AC376" s="655"/>
      <c r="AD376" s="655"/>
    </row>
    <row r="377">
      <c r="B377" s="462"/>
      <c r="C377" s="462"/>
      <c r="D377" s="462"/>
      <c r="E377" s="462"/>
      <c r="F377" s="462"/>
      <c r="G377" s="462"/>
      <c r="H377" s="462"/>
      <c r="I377" s="654"/>
      <c r="J377" s="650"/>
      <c r="K377" s="654"/>
      <c r="L377" s="654"/>
      <c r="M377" s="650"/>
      <c r="N377" s="650"/>
      <c r="O377" s="655"/>
      <c r="P377" s="655"/>
      <c r="Q377" s="655"/>
      <c r="R377" s="655"/>
      <c r="S377" s="655"/>
      <c r="T377" s="655"/>
      <c r="U377" s="655"/>
      <c r="V377" s="655"/>
      <c r="W377" s="655"/>
      <c r="X377" s="655"/>
      <c r="Y377" s="655"/>
      <c r="Z377" s="655"/>
      <c r="AA377" s="655"/>
      <c r="AB377" s="655"/>
      <c r="AC377" s="655"/>
      <c r="AD377" s="655"/>
    </row>
    <row r="378">
      <c r="B378" s="462"/>
      <c r="C378" s="462"/>
      <c r="D378" s="462"/>
      <c r="E378" s="462"/>
      <c r="F378" s="462"/>
      <c r="G378" s="462"/>
      <c r="H378" s="462"/>
      <c r="I378" s="654"/>
      <c r="J378" s="650"/>
      <c r="K378" s="654"/>
      <c r="L378" s="654"/>
      <c r="M378" s="650"/>
      <c r="N378" s="650"/>
      <c r="O378" s="655"/>
      <c r="P378" s="655"/>
      <c r="Q378" s="655"/>
      <c r="R378" s="655"/>
      <c r="S378" s="655"/>
      <c r="T378" s="655"/>
      <c r="U378" s="655"/>
      <c r="V378" s="655"/>
      <c r="W378" s="655"/>
      <c r="X378" s="655"/>
      <c r="Y378" s="655"/>
      <c r="Z378" s="655"/>
      <c r="AA378" s="655"/>
      <c r="AB378" s="655"/>
      <c r="AC378" s="655"/>
      <c r="AD378" s="655"/>
    </row>
    <row r="379">
      <c r="B379" s="462"/>
      <c r="C379" s="462"/>
      <c r="D379" s="462"/>
      <c r="E379" s="462"/>
      <c r="F379" s="462"/>
      <c r="G379" s="462"/>
      <c r="H379" s="462"/>
      <c r="I379" s="654"/>
      <c r="J379" s="650"/>
      <c r="K379" s="654"/>
      <c r="L379" s="654"/>
      <c r="M379" s="650"/>
      <c r="N379" s="650"/>
      <c r="O379" s="655"/>
      <c r="P379" s="655"/>
      <c r="Q379" s="655"/>
      <c r="R379" s="655"/>
      <c r="S379" s="655"/>
      <c r="T379" s="655"/>
      <c r="U379" s="655"/>
      <c r="V379" s="655"/>
      <c r="W379" s="655"/>
      <c r="X379" s="655"/>
      <c r="Y379" s="655"/>
      <c r="Z379" s="655"/>
      <c r="AA379" s="655"/>
      <c r="AB379" s="655"/>
      <c r="AC379" s="655"/>
      <c r="AD379" s="655"/>
    </row>
    <row r="380">
      <c r="B380" s="462"/>
      <c r="C380" s="462"/>
      <c r="D380" s="462"/>
      <c r="E380" s="462"/>
      <c r="F380" s="462"/>
      <c r="G380" s="462"/>
      <c r="H380" s="462"/>
      <c r="I380" s="654"/>
      <c r="J380" s="650"/>
      <c r="K380" s="654"/>
      <c r="L380" s="654"/>
      <c r="M380" s="650"/>
      <c r="N380" s="650"/>
      <c r="O380" s="655"/>
      <c r="P380" s="655"/>
      <c r="Q380" s="655"/>
      <c r="R380" s="655"/>
      <c r="S380" s="655"/>
      <c r="T380" s="655"/>
      <c r="U380" s="655"/>
      <c r="V380" s="655"/>
      <c r="W380" s="655"/>
      <c r="X380" s="655"/>
      <c r="Y380" s="655"/>
      <c r="Z380" s="655"/>
      <c r="AA380" s="655"/>
      <c r="AB380" s="655"/>
      <c r="AC380" s="655"/>
      <c r="AD380" s="655"/>
    </row>
    <row r="381">
      <c r="B381" s="462"/>
      <c r="C381" s="462"/>
      <c r="D381" s="462"/>
      <c r="E381" s="462"/>
      <c r="F381" s="462"/>
      <c r="G381" s="462"/>
      <c r="H381" s="462"/>
      <c r="I381" s="654"/>
      <c r="J381" s="650"/>
      <c r="K381" s="654"/>
      <c r="L381" s="654"/>
      <c r="M381" s="650"/>
      <c r="N381" s="650"/>
      <c r="O381" s="655"/>
      <c r="P381" s="655"/>
      <c r="Q381" s="655"/>
      <c r="R381" s="655"/>
      <c r="S381" s="655"/>
      <c r="T381" s="655"/>
      <c r="U381" s="655"/>
      <c r="V381" s="655"/>
      <c r="W381" s="655"/>
      <c r="X381" s="655"/>
      <c r="Y381" s="655"/>
      <c r="Z381" s="655"/>
      <c r="AA381" s="655"/>
      <c r="AB381" s="655"/>
      <c r="AC381" s="655"/>
      <c r="AD381" s="655"/>
    </row>
    <row r="382">
      <c r="B382" s="462"/>
      <c r="C382" s="462"/>
      <c r="D382" s="462"/>
      <c r="E382" s="462"/>
      <c r="F382" s="462"/>
      <c r="G382" s="462"/>
      <c r="H382" s="462"/>
      <c r="I382" s="654"/>
      <c r="J382" s="650"/>
      <c r="K382" s="654"/>
      <c r="L382" s="654"/>
      <c r="M382" s="650"/>
      <c r="N382" s="650"/>
      <c r="O382" s="655"/>
      <c r="P382" s="655"/>
      <c r="Q382" s="655"/>
      <c r="R382" s="655"/>
      <c r="S382" s="655"/>
      <c r="T382" s="655"/>
      <c r="U382" s="655"/>
      <c r="V382" s="655"/>
      <c r="W382" s="655"/>
      <c r="X382" s="655"/>
      <c r="Y382" s="655"/>
      <c r="Z382" s="655"/>
      <c r="AA382" s="655"/>
      <c r="AB382" s="655"/>
      <c r="AC382" s="655"/>
      <c r="AD382" s="655"/>
    </row>
    <row r="383">
      <c r="B383" s="462"/>
      <c r="C383" s="462"/>
      <c r="D383" s="462"/>
      <c r="E383" s="462"/>
      <c r="F383" s="462"/>
      <c r="G383" s="462"/>
      <c r="H383" s="462"/>
      <c r="I383" s="654"/>
      <c r="J383" s="650"/>
      <c r="K383" s="654"/>
      <c r="L383" s="654"/>
      <c r="M383" s="650"/>
      <c r="N383" s="650"/>
      <c r="O383" s="655"/>
      <c r="P383" s="655"/>
      <c r="Q383" s="655"/>
      <c r="R383" s="655"/>
      <c r="S383" s="655"/>
      <c r="T383" s="655"/>
      <c r="U383" s="655"/>
      <c r="V383" s="655"/>
      <c r="W383" s="655"/>
      <c r="X383" s="655"/>
      <c r="Y383" s="655"/>
      <c r="Z383" s="655"/>
      <c r="AA383" s="655"/>
      <c r="AB383" s="655"/>
      <c r="AC383" s="655"/>
      <c r="AD383" s="655"/>
    </row>
    <row r="384">
      <c r="B384" s="462"/>
      <c r="C384" s="462"/>
      <c r="D384" s="462"/>
      <c r="E384" s="462"/>
      <c r="F384" s="462"/>
      <c r="G384" s="462"/>
      <c r="H384" s="462"/>
      <c r="I384" s="654"/>
      <c r="J384" s="650"/>
      <c r="K384" s="654"/>
      <c r="L384" s="654"/>
      <c r="M384" s="650"/>
      <c r="N384" s="650"/>
      <c r="O384" s="655"/>
      <c r="P384" s="655"/>
      <c r="Q384" s="655"/>
      <c r="R384" s="655"/>
      <c r="S384" s="655"/>
      <c r="T384" s="655"/>
      <c r="U384" s="655"/>
      <c r="V384" s="655"/>
      <c r="W384" s="655"/>
      <c r="X384" s="655"/>
      <c r="Y384" s="655"/>
      <c r="Z384" s="655"/>
      <c r="AA384" s="655"/>
      <c r="AB384" s="655"/>
      <c r="AC384" s="655"/>
      <c r="AD384" s="655"/>
    </row>
    <row r="385">
      <c r="B385" s="462"/>
      <c r="C385" s="462"/>
      <c r="D385" s="462"/>
      <c r="E385" s="462"/>
      <c r="F385" s="462"/>
      <c r="G385" s="462"/>
      <c r="H385" s="462"/>
      <c r="I385" s="654"/>
      <c r="J385" s="650"/>
      <c r="K385" s="654"/>
      <c r="L385" s="654"/>
      <c r="M385" s="650"/>
      <c r="N385" s="650"/>
      <c r="O385" s="655"/>
      <c r="P385" s="655"/>
      <c r="Q385" s="655"/>
      <c r="R385" s="655"/>
      <c r="S385" s="655"/>
      <c r="T385" s="655"/>
      <c r="U385" s="655"/>
      <c r="V385" s="655"/>
      <c r="W385" s="655"/>
      <c r="X385" s="655"/>
      <c r="Y385" s="655"/>
      <c r="Z385" s="655"/>
      <c r="AA385" s="655"/>
      <c r="AB385" s="655"/>
      <c r="AC385" s="655"/>
      <c r="AD385" s="655"/>
    </row>
    <row r="386">
      <c r="B386" s="462"/>
      <c r="C386" s="462"/>
      <c r="D386" s="462"/>
      <c r="E386" s="462"/>
      <c r="F386" s="462"/>
      <c r="G386" s="462"/>
      <c r="H386" s="462"/>
      <c r="I386" s="654"/>
      <c r="J386" s="650"/>
      <c r="K386" s="654"/>
      <c r="L386" s="654"/>
      <c r="M386" s="650"/>
      <c r="N386" s="650"/>
      <c r="O386" s="655"/>
      <c r="P386" s="655"/>
      <c r="Q386" s="655"/>
      <c r="R386" s="655"/>
      <c r="S386" s="655"/>
      <c r="T386" s="655"/>
      <c r="U386" s="655"/>
      <c r="V386" s="655"/>
      <c r="W386" s="655"/>
      <c r="X386" s="655"/>
      <c r="Y386" s="655"/>
      <c r="Z386" s="655"/>
      <c r="AA386" s="655"/>
      <c r="AB386" s="655"/>
      <c r="AC386" s="655"/>
      <c r="AD386" s="655"/>
    </row>
    <row r="387">
      <c r="B387" s="462"/>
      <c r="C387" s="462"/>
      <c r="D387" s="462"/>
      <c r="E387" s="462"/>
      <c r="F387" s="462"/>
      <c r="G387" s="462"/>
      <c r="H387" s="462"/>
      <c r="I387" s="654"/>
      <c r="J387" s="650"/>
      <c r="K387" s="654"/>
      <c r="L387" s="654"/>
      <c r="M387" s="650"/>
      <c r="N387" s="650"/>
      <c r="O387" s="655"/>
      <c r="P387" s="655"/>
      <c r="Q387" s="655"/>
      <c r="R387" s="655"/>
      <c r="S387" s="655"/>
      <c r="T387" s="655"/>
      <c r="U387" s="655"/>
      <c r="V387" s="655"/>
      <c r="W387" s="655"/>
      <c r="X387" s="655"/>
      <c r="Y387" s="655"/>
      <c r="Z387" s="655"/>
      <c r="AA387" s="655"/>
      <c r="AB387" s="655"/>
      <c r="AC387" s="655"/>
      <c r="AD387" s="655"/>
    </row>
    <row r="388">
      <c r="B388" s="462"/>
      <c r="C388" s="462"/>
      <c r="D388" s="462"/>
      <c r="E388" s="462"/>
      <c r="F388" s="462"/>
      <c r="G388" s="462"/>
      <c r="H388" s="462"/>
      <c r="I388" s="654"/>
      <c r="J388" s="650"/>
      <c r="K388" s="654"/>
      <c r="L388" s="654"/>
      <c r="M388" s="650"/>
      <c r="N388" s="650"/>
      <c r="O388" s="655"/>
      <c r="P388" s="655"/>
      <c r="Q388" s="655"/>
      <c r="R388" s="655"/>
      <c r="S388" s="655"/>
      <c r="T388" s="655"/>
      <c r="U388" s="655"/>
      <c r="V388" s="655"/>
      <c r="W388" s="655"/>
      <c r="X388" s="655"/>
      <c r="Y388" s="655"/>
      <c r="Z388" s="655"/>
      <c r="AA388" s="655"/>
      <c r="AB388" s="655"/>
      <c r="AC388" s="655"/>
      <c r="AD388" s="655"/>
    </row>
    <row r="389">
      <c r="B389" s="462"/>
      <c r="C389" s="462"/>
      <c r="D389" s="462"/>
      <c r="E389" s="462"/>
      <c r="F389" s="462"/>
      <c r="G389" s="462"/>
      <c r="H389" s="462"/>
      <c r="I389" s="654"/>
      <c r="J389" s="650"/>
      <c r="K389" s="654"/>
      <c r="L389" s="654"/>
      <c r="M389" s="650"/>
      <c r="N389" s="650"/>
      <c r="O389" s="655"/>
      <c r="P389" s="655"/>
      <c r="Q389" s="655"/>
      <c r="R389" s="655"/>
      <c r="S389" s="655"/>
      <c r="T389" s="655"/>
      <c r="U389" s="655"/>
      <c r="V389" s="655"/>
      <c r="W389" s="655"/>
      <c r="X389" s="655"/>
      <c r="Y389" s="655"/>
      <c r="Z389" s="655"/>
      <c r="AA389" s="655"/>
      <c r="AB389" s="655"/>
      <c r="AC389" s="655"/>
      <c r="AD389" s="655"/>
    </row>
    <row r="390">
      <c r="B390" s="462"/>
      <c r="C390" s="462"/>
      <c r="D390" s="462"/>
      <c r="E390" s="462"/>
      <c r="F390" s="462"/>
      <c r="G390" s="462"/>
      <c r="H390" s="462"/>
      <c r="I390" s="654"/>
      <c r="J390" s="650"/>
      <c r="K390" s="654"/>
      <c r="L390" s="654"/>
      <c r="M390" s="650"/>
      <c r="N390" s="650"/>
      <c r="O390" s="655"/>
      <c r="P390" s="655"/>
      <c r="Q390" s="655"/>
      <c r="R390" s="655"/>
      <c r="S390" s="655"/>
      <c r="T390" s="655"/>
      <c r="U390" s="655"/>
      <c r="V390" s="655"/>
      <c r="W390" s="655"/>
      <c r="X390" s="655"/>
      <c r="Y390" s="655"/>
      <c r="Z390" s="655"/>
      <c r="AA390" s="655"/>
      <c r="AB390" s="655"/>
      <c r="AC390" s="655"/>
      <c r="AD390" s="655"/>
    </row>
    <row r="391">
      <c r="B391" s="462"/>
      <c r="C391" s="462"/>
      <c r="D391" s="462"/>
      <c r="E391" s="462"/>
      <c r="F391" s="462"/>
      <c r="G391" s="462"/>
      <c r="H391" s="462"/>
      <c r="I391" s="654"/>
      <c r="J391" s="650"/>
      <c r="K391" s="654"/>
      <c r="L391" s="654"/>
      <c r="M391" s="650"/>
      <c r="N391" s="650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  <c r="AA391" s="655"/>
      <c r="AB391" s="655"/>
      <c r="AC391" s="655"/>
      <c r="AD391" s="655"/>
    </row>
    <row r="392">
      <c r="B392" s="462"/>
      <c r="C392" s="462"/>
      <c r="D392" s="462"/>
      <c r="E392" s="462"/>
      <c r="F392" s="462"/>
      <c r="G392" s="462"/>
      <c r="H392" s="462"/>
      <c r="I392" s="654"/>
      <c r="J392" s="650"/>
      <c r="K392" s="654"/>
      <c r="L392" s="654"/>
      <c r="M392" s="650"/>
      <c r="N392" s="650"/>
      <c r="O392" s="655"/>
      <c r="P392" s="655"/>
      <c r="Q392" s="655"/>
      <c r="R392" s="655"/>
      <c r="S392" s="655"/>
      <c r="T392" s="655"/>
      <c r="U392" s="655"/>
      <c r="V392" s="655"/>
      <c r="W392" s="655"/>
      <c r="X392" s="655"/>
      <c r="Y392" s="655"/>
      <c r="Z392" s="655"/>
      <c r="AA392" s="655"/>
      <c r="AB392" s="655"/>
      <c r="AC392" s="655"/>
      <c r="AD392" s="655"/>
    </row>
    <row r="393">
      <c r="B393" s="462"/>
      <c r="C393" s="462"/>
      <c r="D393" s="462"/>
      <c r="E393" s="462"/>
      <c r="F393" s="462"/>
      <c r="G393" s="462"/>
      <c r="H393" s="462"/>
      <c r="I393" s="654"/>
      <c r="J393" s="650"/>
      <c r="K393" s="654"/>
      <c r="L393" s="654"/>
      <c r="M393" s="650"/>
      <c r="N393" s="650"/>
      <c r="O393" s="655"/>
      <c r="P393" s="655"/>
      <c r="Q393" s="655"/>
      <c r="R393" s="655"/>
      <c r="S393" s="655"/>
      <c r="T393" s="655"/>
      <c r="U393" s="655"/>
      <c r="V393" s="655"/>
      <c r="W393" s="655"/>
      <c r="X393" s="655"/>
      <c r="Y393" s="655"/>
      <c r="Z393" s="655"/>
      <c r="AA393" s="655"/>
      <c r="AB393" s="655"/>
      <c r="AC393" s="655"/>
      <c r="AD393" s="655"/>
    </row>
    <row r="394">
      <c r="B394" s="462"/>
      <c r="C394" s="462"/>
      <c r="D394" s="462"/>
      <c r="E394" s="462"/>
      <c r="F394" s="462"/>
      <c r="G394" s="462"/>
      <c r="H394" s="462"/>
      <c r="I394" s="654"/>
      <c r="J394" s="650"/>
      <c r="K394" s="654"/>
      <c r="L394" s="654"/>
      <c r="M394" s="650"/>
      <c r="N394" s="650"/>
      <c r="O394" s="655"/>
      <c r="P394" s="655"/>
      <c r="Q394" s="655"/>
      <c r="R394" s="655"/>
      <c r="S394" s="655"/>
      <c r="T394" s="655"/>
      <c r="U394" s="655"/>
      <c r="V394" s="655"/>
      <c r="W394" s="655"/>
      <c r="X394" s="655"/>
      <c r="Y394" s="655"/>
      <c r="Z394" s="655"/>
      <c r="AA394" s="655"/>
      <c r="AB394" s="655"/>
      <c r="AC394" s="655"/>
      <c r="AD394" s="655"/>
    </row>
    <row r="395">
      <c r="B395" s="462"/>
      <c r="C395" s="462"/>
      <c r="D395" s="462"/>
      <c r="E395" s="462"/>
      <c r="F395" s="462"/>
      <c r="G395" s="462"/>
      <c r="H395" s="462"/>
      <c r="I395" s="654"/>
      <c r="J395" s="650"/>
      <c r="K395" s="654"/>
      <c r="L395" s="654"/>
      <c r="M395" s="650"/>
      <c r="N395" s="650"/>
      <c r="O395" s="655"/>
      <c r="P395" s="655"/>
      <c r="Q395" s="655"/>
      <c r="R395" s="655"/>
      <c r="S395" s="655"/>
      <c r="T395" s="655"/>
      <c r="U395" s="655"/>
      <c r="V395" s="655"/>
      <c r="W395" s="655"/>
      <c r="X395" s="655"/>
      <c r="Y395" s="655"/>
      <c r="Z395" s="655"/>
      <c r="AA395" s="655"/>
      <c r="AB395" s="655"/>
      <c r="AC395" s="655"/>
      <c r="AD395" s="655"/>
    </row>
    <row r="396">
      <c r="B396" s="462"/>
      <c r="C396" s="462"/>
      <c r="D396" s="462"/>
      <c r="E396" s="462"/>
      <c r="F396" s="462"/>
      <c r="G396" s="462"/>
      <c r="H396" s="462"/>
      <c r="I396" s="654"/>
      <c r="J396" s="650"/>
      <c r="K396" s="654"/>
      <c r="L396" s="654"/>
      <c r="M396" s="650"/>
      <c r="N396" s="650"/>
      <c r="O396" s="655"/>
      <c r="P396" s="655"/>
      <c r="Q396" s="655"/>
      <c r="R396" s="655"/>
      <c r="S396" s="655"/>
      <c r="T396" s="655"/>
      <c r="U396" s="655"/>
      <c r="V396" s="655"/>
      <c r="W396" s="655"/>
      <c r="X396" s="655"/>
      <c r="Y396" s="655"/>
      <c r="Z396" s="655"/>
      <c r="AA396" s="655"/>
      <c r="AB396" s="655"/>
      <c r="AC396" s="655"/>
      <c r="AD396" s="655"/>
    </row>
    <row r="397">
      <c r="B397" s="462"/>
      <c r="C397" s="462"/>
      <c r="D397" s="462"/>
      <c r="E397" s="462"/>
      <c r="F397" s="462"/>
      <c r="G397" s="462"/>
      <c r="H397" s="462"/>
      <c r="I397" s="654"/>
      <c r="J397" s="650"/>
      <c r="K397" s="654"/>
      <c r="L397" s="654"/>
      <c r="M397" s="650"/>
      <c r="N397" s="650"/>
      <c r="O397" s="655"/>
      <c r="P397" s="655"/>
      <c r="Q397" s="655"/>
      <c r="R397" s="655"/>
      <c r="S397" s="655"/>
      <c r="T397" s="655"/>
      <c r="U397" s="655"/>
      <c r="V397" s="655"/>
      <c r="W397" s="655"/>
      <c r="X397" s="655"/>
      <c r="Y397" s="655"/>
      <c r="Z397" s="655"/>
      <c r="AA397" s="655"/>
      <c r="AB397" s="655"/>
      <c r="AC397" s="655"/>
      <c r="AD397" s="655"/>
    </row>
    <row r="398">
      <c r="B398" s="462"/>
      <c r="C398" s="462"/>
      <c r="D398" s="462"/>
      <c r="E398" s="462"/>
      <c r="F398" s="462"/>
      <c r="G398" s="462"/>
      <c r="H398" s="462"/>
      <c r="I398" s="654"/>
      <c r="J398" s="650"/>
      <c r="K398" s="654"/>
      <c r="L398" s="654"/>
      <c r="M398" s="650"/>
      <c r="N398" s="650"/>
      <c r="O398" s="655"/>
      <c r="P398" s="655"/>
      <c r="Q398" s="655"/>
      <c r="R398" s="655"/>
      <c r="S398" s="655"/>
      <c r="T398" s="655"/>
      <c r="U398" s="655"/>
      <c r="V398" s="655"/>
      <c r="W398" s="655"/>
      <c r="X398" s="655"/>
      <c r="Y398" s="655"/>
      <c r="Z398" s="655"/>
      <c r="AA398" s="655"/>
      <c r="AB398" s="655"/>
      <c r="AC398" s="655"/>
      <c r="AD398" s="655"/>
    </row>
    <row r="399">
      <c r="B399" s="462"/>
      <c r="C399" s="462"/>
      <c r="D399" s="462"/>
      <c r="E399" s="462"/>
      <c r="F399" s="462"/>
      <c r="G399" s="462"/>
      <c r="H399" s="462"/>
      <c r="I399" s="654"/>
      <c r="J399" s="650"/>
      <c r="K399" s="654"/>
      <c r="L399" s="654"/>
      <c r="M399" s="650"/>
      <c r="N399" s="650"/>
      <c r="O399" s="655"/>
      <c r="P399" s="655"/>
      <c r="Q399" s="655"/>
      <c r="R399" s="655"/>
      <c r="S399" s="655"/>
      <c r="T399" s="655"/>
      <c r="U399" s="655"/>
      <c r="V399" s="655"/>
      <c r="W399" s="655"/>
      <c r="X399" s="655"/>
      <c r="Y399" s="655"/>
      <c r="Z399" s="655"/>
      <c r="AA399" s="655"/>
      <c r="AB399" s="655"/>
      <c r="AC399" s="655"/>
      <c r="AD399" s="655"/>
    </row>
    <row r="400">
      <c r="B400" s="462"/>
      <c r="C400" s="462"/>
      <c r="D400" s="462"/>
      <c r="E400" s="462"/>
      <c r="F400" s="462"/>
      <c r="G400" s="462"/>
      <c r="H400" s="462"/>
      <c r="I400" s="654"/>
      <c r="J400" s="650"/>
      <c r="K400" s="654"/>
      <c r="L400" s="654"/>
      <c r="M400" s="650"/>
      <c r="N400" s="650"/>
      <c r="O400" s="655"/>
      <c r="P400" s="655"/>
      <c r="Q400" s="655"/>
      <c r="R400" s="655"/>
      <c r="S400" s="655"/>
      <c r="T400" s="655"/>
      <c r="U400" s="655"/>
      <c r="V400" s="655"/>
      <c r="W400" s="655"/>
      <c r="X400" s="655"/>
      <c r="Y400" s="655"/>
      <c r="Z400" s="655"/>
      <c r="AA400" s="655"/>
      <c r="AB400" s="655"/>
      <c r="AC400" s="655"/>
      <c r="AD400" s="655"/>
    </row>
    <row r="401">
      <c r="B401" s="462"/>
      <c r="C401" s="462"/>
      <c r="D401" s="462"/>
      <c r="E401" s="462"/>
      <c r="F401" s="462"/>
      <c r="G401" s="462"/>
      <c r="H401" s="462"/>
      <c r="I401" s="654"/>
      <c r="J401" s="650"/>
      <c r="K401" s="654"/>
      <c r="L401" s="654"/>
      <c r="M401" s="650"/>
      <c r="N401" s="650"/>
      <c r="O401" s="655"/>
      <c r="P401" s="655"/>
      <c r="Q401" s="655"/>
      <c r="R401" s="655"/>
      <c r="S401" s="655"/>
      <c r="T401" s="655"/>
      <c r="U401" s="655"/>
      <c r="V401" s="655"/>
      <c r="W401" s="655"/>
      <c r="X401" s="655"/>
      <c r="Y401" s="655"/>
      <c r="Z401" s="655"/>
      <c r="AA401" s="655"/>
      <c r="AB401" s="655"/>
      <c r="AC401" s="655"/>
      <c r="AD401" s="655"/>
    </row>
    <row r="402">
      <c r="B402" s="462"/>
      <c r="C402" s="462"/>
      <c r="D402" s="462"/>
      <c r="E402" s="462"/>
      <c r="F402" s="462"/>
      <c r="G402" s="462"/>
      <c r="H402" s="462"/>
      <c r="I402" s="654"/>
      <c r="J402" s="650"/>
      <c r="K402" s="654"/>
      <c r="L402" s="654"/>
      <c r="M402" s="650"/>
      <c r="N402" s="650"/>
      <c r="O402" s="655"/>
      <c r="P402" s="655"/>
      <c r="Q402" s="655"/>
      <c r="R402" s="655"/>
      <c r="S402" s="655"/>
      <c r="T402" s="655"/>
      <c r="U402" s="655"/>
      <c r="V402" s="655"/>
      <c r="W402" s="655"/>
      <c r="X402" s="655"/>
      <c r="Y402" s="655"/>
      <c r="Z402" s="655"/>
      <c r="AA402" s="655"/>
      <c r="AB402" s="655"/>
      <c r="AC402" s="655"/>
      <c r="AD402" s="655"/>
    </row>
    <row r="403">
      <c r="B403" s="462"/>
      <c r="C403" s="462"/>
      <c r="D403" s="462"/>
      <c r="E403" s="462"/>
      <c r="F403" s="462"/>
      <c r="G403" s="462"/>
      <c r="H403" s="462"/>
      <c r="I403" s="654"/>
      <c r="J403" s="650"/>
      <c r="K403" s="654"/>
      <c r="L403" s="654"/>
      <c r="M403" s="650"/>
      <c r="N403" s="650"/>
      <c r="O403" s="655"/>
      <c r="P403" s="655"/>
      <c r="Q403" s="655"/>
      <c r="R403" s="655"/>
      <c r="S403" s="655"/>
      <c r="T403" s="655"/>
      <c r="U403" s="655"/>
      <c r="V403" s="655"/>
      <c r="W403" s="655"/>
      <c r="X403" s="655"/>
      <c r="Y403" s="655"/>
      <c r="Z403" s="655"/>
      <c r="AA403" s="655"/>
      <c r="AB403" s="655"/>
      <c r="AC403" s="655"/>
      <c r="AD403" s="655"/>
    </row>
    <row r="404">
      <c r="B404" s="462"/>
      <c r="C404" s="462"/>
      <c r="D404" s="462"/>
      <c r="E404" s="462"/>
      <c r="F404" s="462"/>
      <c r="G404" s="462"/>
      <c r="H404" s="462"/>
      <c r="I404" s="654"/>
      <c r="J404" s="650"/>
      <c r="K404" s="654"/>
      <c r="L404" s="654"/>
      <c r="M404" s="650"/>
      <c r="N404" s="650"/>
      <c r="O404" s="655"/>
      <c r="P404" s="655"/>
      <c r="Q404" s="655"/>
      <c r="R404" s="655"/>
      <c r="S404" s="655"/>
      <c r="T404" s="655"/>
      <c r="U404" s="655"/>
      <c r="V404" s="655"/>
      <c r="W404" s="655"/>
      <c r="X404" s="655"/>
      <c r="Y404" s="655"/>
      <c r="Z404" s="655"/>
      <c r="AA404" s="655"/>
      <c r="AB404" s="655"/>
      <c r="AC404" s="655"/>
      <c r="AD404" s="655"/>
    </row>
    <row r="405">
      <c r="B405" s="462"/>
      <c r="C405" s="462"/>
      <c r="D405" s="462"/>
      <c r="E405" s="462"/>
      <c r="F405" s="462"/>
      <c r="G405" s="462"/>
      <c r="H405" s="462"/>
      <c r="I405" s="654"/>
      <c r="J405" s="650"/>
      <c r="K405" s="654"/>
      <c r="L405" s="654"/>
      <c r="M405" s="650"/>
      <c r="N405" s="650"/>
      <c r="O405" s="655"/>
      <c r="P405" s="655"/>
      <c r="Q405" s="655"/>
      <c r="R405" s="655"/>
      <c r="S405" s="655"/>
      <c r="T405" s="655"/>
      <c r="U405" s="655"/>
      <c r="V405" s="655"/>
      <c r="W405" s="655"/>
      <c r="X405" s="655"/>
      <c r="Y405" s="655"/>
      <c r="Z405" s="655"/>
      <c r="AA405" s="655"/>
      <c r="AB405" s="655"/>
      <c r="AC405" s="655"/>
      <c r="AD405" s="655"/>
    </row>
    <row r="406">
      <c r="B406" s="462"/>
      <c r="C406" s="462"/>
      <c r="D406" s="462"/>
      <c r="E406" s="462"/>
      <c r="F406" s="462"/>
      <c r="G406" s="462"/>
      <c r="H406" s="462"/>
      <c r="I406" s="654"/>
      <c r="J406" s="650"/>
      <c r="K406" s="654"/>
      <c r="L406" s="654"/>
      <c r="M406" s="650"/>
      <c r="N406" s="650"/>
      <c r="O406" s="655"/>
      <c r="P406" s="655"/>
      <c r="Q406" s="655"/>
      <c r="R406" s="655"/>
      <c r="S406" s="655"/>
      <c r="T406" s="655"/>
      <c r="U406" s="655"/>
      <c r="V406" s="655"/>
      <c r="W406" s="655"/>
      <c r="X406" s="655"/>
      <c r="Y406" s="655"/>
      <c r="Z406" s="655"/>
      <c r="AA406" s="655"/>
      <c r="AB406" s="655"/>
      <c r="AC406" s="655"/>
      <c r="AD406" s="655"/>
    </row>
    <row r="407">
      <c r="B407" s="462"/>
      <c r="C407" s="462"/>
      <c r="D407" s="462"/>
      <c r="E407" s="462"/>
      <c r="F407" s="462"/>
      <c r="G407" s="462"/>
      <c r="H407" s="462"/>
      <c r="I407" s="654"/>
      <c r="J407" s="650"/>
      <c r="K407" s="654"/>
      <c r="L407" s="654"/>
      <c r="M407" s="650"/>
      <c r="N407" s="650"/>
      <c r="O407" s="655"/>
      <c r="P407" s="655"/>
      <c r="Q407" s="655"/>
      <c r="R407" s="655"/>
      <c r="S407" s="655"/>
      <c r="T407" s="655"/>
      <c r="U407" s="655"/>
      <c r="V407" s="655"/>
      <c r="W407" s="655"/>
      <c r="X407" s="655"/>
      <c r="Y407" s="655"/>
      <c r="Z407" s="655"/>
      <c r="AA407" s="655"/>
      <c r="AB407" s="655"/>
      <c r="AC407" s="655"/>
      <c r="AD407" s="655"/>
    </row>
    <row r="408">
      <c r="B408" s="462"/>
      <c r="C408" s="462"/>
      <c r="D408" s="462"/>
      <c r="E408" s="462"/>
      <c r="F408" s="462"/>
      <c r="G408" s="462"/>
      <c r="H408" s="462"/>
      <c r="I408" s="654"/>
      <c r="J408" s="650"/>
      <c r="K408" s="654"/>
      <c r="L408" s="654"/>
      <c r="M408" s="650"/>
      <c r="N408" s="650"/>
      <c r="O408" s="655"/>
      <c r="P408" s="655"/>
      <c r="Q408" s="655"/>
      <c r="R408" s="655"/>
      <c r="S408" s="655"/>
      <c r="T408" s="655"/>
      <c r="U408" s="655"/>
      <c r="V408" s="655"/>
      <c r="W408" s="655"/>
      <c r="X408" s="655"/>
      <c r="Y408" s="655"/>
      <c r="Z408" s="655"/>
      <c r="AA408" s="655"/>
      <c r="AB408" s="655"/>
      <c r="AC408" s="655"/>
      <c r="AD408" s="655"/>
    </row>
    <row r="409">
      <c r="B409" s="462"/>
      <c r="C409" s="462"/>
      <c r="D409" s="462"/>
      <c r="E409" s="462"/>
      <c r="F409" s="462"/>
      <c r="G409" s="462"/>
      <c r="H409" s="462"/>
      <c r="I409" s="654"/>
      <c r="J409" s="650"/>
      <c r="K409" s="654"/>
      <c r="L409" s="654"/>
      <c r="M409" s="650"/>
      <c r="N409" s="650"/>
      <c r="O409" s="655"/>
      <c r="P409" s="655"/>
      <c r="Q409" s="655"/>
      <c r="R409" s="655"/>
      <c r="S409" s="655"/>
      <c r="T409" s="655"/>
      <c r="U409" s="655"/>
      <c r="V409" s="655"/>
      <c r="W409" s="655"/>
      <c r="X409" s="655"/>
      <c r="Y409" s="655"/>
      <c r="Z409" s="655"/>
      <c r="AA409" s="655"/>
      <c r="AB409" s="655"/>
      <c r="AC409" s="655"/>
      <c r="AD409" s="655"/>
    </row>
    <row r="410">
      <c r="B410" s="462"/>
      <c r="C410" s="462"/>
      <c r="D410" s="462"/>
      <c r="E410" s="462"/>
      <c r="F410" s="462"/>
      <c r="G410" s="462"/>
      <c r="H410" s="462"/>
      <c r="I410" s="654"/>
      <c r="J410" s="650"/>
      <c r="K410" s="654"/>
      <c r="L410" s="654"/>
      <c r="M410" s="650"/>
      <c r="N410" s="650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55"/>
      <c r="AB410" s="655"/>
      <c r="AC410" s="655"/>
      <c r="AD410" s="655"/>
    </row>
    <row r="411">
      <c r="B411" s="462"/>
      <c r="C411" s="462"/>
      <c r="D411" s="462"/>
      <c r="E411" s="462"/>
      <c r="F411" s="462"/>
      <c r="G411" s="462"/>
      <c r="H411" s="462"/>
      <c r="I411" s="654"/>
      <c r="J411" s="650"/>
      <c r="K411" s="654"/>
      <c r="L411" s="654"/>
      <c r="M411" s="650"/>
      <c r="N411" s="650"/>
      <c r="O411" s="655"/>
      <c r="P411" s="655"/>
      <c r="Q411" s="655"/>
      <c r="R411" s="655"/>
      <c r="S411" s="655"/>
      <c r="T411" s="655"/>
      <c r="U411" s="655"/>
      <c r="V411" s="655"/>
      <c r="W411" s="655"/>
      <c r="X411" s="655"/>
      <c r="Y411" s="655"/>
      <c r="Z411" s="655"/>
      <c r="AA411" s="655"/>
      <c r="AB411" s="655"/>
      <c r="AC411" s="655"/>
      <c r="AD411" s="655"/>
    </row>
    <row r="412">
      <c r="B412" s="462"/>
      <c r="C412" s="462"/>
      <c r="D412" s="462"/>
      <c r="E412" s="462"/>
      <c r="F412" s="462"/>
      <c r="G412" s="462"/>
      <c r="H412" s="462"/>
      <c r="I412" s="654"/>
      <c r="J412" s="650"/>
      <c r="K412" s="654"/>
      <c r="L412" s="654"/>
      <c r="M412" s="650"/>
      <c r="N412" s="650"/>
      <c r="O412" s="655"/>
      <c r="P412" s="655"/>
      <c r="Q412" s="655"/>
      <c r="R412" s="655"/>
      <c r="S412" s="655"/>
      <c r="T412" s="655"/>
      <c r="U412" s="655"/>
      <c r="V412" s="655"/>
      <c r="W412" s="655"/>
      <c r="X412" s="655"/>
      <c r="Y412" s="655"/>
      <c r="Z412" s="655"/>
      <c r="AA412" s="655"/>
      <c r="AB412" s="655"/>
      <c r="AC412" s="655"/>
      <c r="AD412" s="655"/>
    </row>
    <row r="413">
      <c r="B413" s="462"/>
      <c r="C413" s="462"/>
      <c r="D413" s="462"/>
      <c r="E413" s="462"/>
      <c r="F413" s="462"/>
      <c r="G413" s="462"/>
      <c r="H413" s="462"/>
      <c r="I413" s="654"/>
      <c r="J413" s="650"/>
      <c r="K413" s="654"/>
      <c r="L413" s="654"/>
      <c r="M413" s="650"/>
      <c r="N413" s="650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5"/>
      <c r="AB413" s="655"/>
      <c r="AC413" s="655"/>
      <c r="AD413" s="655"/>
    </row>
    <row r="414">
      <c r="B414" s="462"/>
      <c r="C414" s="462"/>
      <c r="D414" s="462"/>
      <c r="E414" s="462"/>
      <c r="F414" s="462"/>
      <c r="G414" s="462"/>
      <c r="H414" s="462"/>
      <c r="I414" s="654"/>
      <c r="J414" s="650"/>
      <c r="K414" s="654"/>
      <c r="L414" s="654"/>
      <c r="M414" s="650"/>
      <c r="N414" s="650"/>
      <c r="O414" s="655"/>
      <c r="P414" s="655"/>
      <c r="Q414" s="655"/>
      <c r="R414" s="655"/>
      <c r="S414" s="655"/>
      <c r="T414" s="655"/>
      <c r="U414" s="655"/>
      <c r="V414" s="655"/>
      <c r="W414" s="655"/>
      <c r="X414" s="655"/>
      <c r="Y414" s="655"/>
      <c r="Z414" s="655"/>
      <c r="AA414" s="655"/>
      <c r="AB414" s="655"/>
      <c r="AC414" s="655"/>
      <c r="AD414" s="655"/>
    </row>
    <row r="415">
      <c r="B415" s="462"/>
      <c r="C415" s="462"/>
      <c r="D415" s="462"/>
      <c r="E415" s="462"/>
      <c r="F415" s="462"/>
      <c r="G415" s="462"/>
      <c r="H415" s="462"/>
      <c r="I415" s="654"/>
      <c r="J415" s="650"/>
      <c r="K415" s="654"/>
      <c r="L415" s="654"/>
      <c r="M415" s="650"/>
      <c r="N415" s="650"/>
      <c r="O415" s="655"/>
      <c r="P415" s="655"/>
      <c r="Q415" s="655"/>
      <c r="R415" s="655"/>
      <c r="S415" s="655"/>
      <c r="T415" s="655"/>
      <c r="U415" s="655"/>
      <c r="V415" s="655"/>
      <c r="W415" s="655"/>
      <c r="X415" s="655"/>
      <c r="Y415" s="655"/>
      <c r="Z415" s="655"/>
      <c r="AA415" s="655"/>
      <c r="AB415" s="655"/>
      <c r="AC415" s="655"/>
      <c r="AD415" s="655"/>
    </row>
    <row r="416">
      <c r="B416" s="462"/>
      <c r="C416" s="462"/>
      <c r="D416" s="462"/>
      <c r="E416" s="462"/>
      <c r="F416" s="462"/>
      <c r="G416" s="462"/>
      <c r="H416" s="462"/>
      <c r="I416" s="654"/>
      <c r="J416" s="650"/>
      <c r="K416" s="654"/>
      <c r="L416" s="654"/>
      <c r="M416" s="650"/>
      <c r="N416" s="650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55"/>
      <c r="AB416" s="655"/>
      <c r="AC416" s="655"/>
      <c r="AD416" s="655"/>
    </row>
    <row r="417">
      <c r="B417" s="462"/>
      <c r="C417" s="462"/>
      <c r="D417" s="462"/>
      <c r="E417" s="462"/>
      <c r="F417" s="462"/>
      <c r="G417" s="462"/>
      <c r="H417" s="462"/>
      <c r="I417" s="654"/>
      <c r="J417" s="650"/>
      <c r="K417" s="654"/>
      <c r="L417" s="654"/>
      <c r="M417" s="650"/>
      <c r="N417" s="650"/>
      <c r="O417" s="655"/>
      <c r="P417" s="655"/>
      <c r="Q417" s="655"/>
      <c r="R417" s="655"/>
      <c r="S417" s="655"/>
      <c r="T417" s="655"/>
      <c r="U417" s="655"/>
      <c r="V417" s="655"/>
      <c r="W417" s="655"/>
      <c r="X417" s="655"/>
      <c r="Y417" s="655"/>
      <c r="Z417" s="655"/>
      <c r="AA417" s="655"/>
      <c r="AB417" s="655"/>
      <c r="AC417" s="655"/>
      <c r="AD417" s="655"/>
    </row>
    <row r="418">
      <c r="B418" s="462"/>
      <c r="C418" s="462"/>
      <c r="D418" s="462"/>
      <c r="E418" s="462"/>
      <c r="F418" s="462"/>
      <c r="G418" s="462"/>
      <c r="H418" s="462"/>
      <c r="I418" s="654"/>
      <c r="J418" s="650"/>
      <c r="K418" s="654"/>
      <c r="L418" s="654"/>
      <c r="M418" s="650"/>
      <c r="N418" s="650"/>
      <c r="O418" s="655"/>
      <c r="P418" s="655"/>
      <c r="Q418" s="655"/>
      <c r="R418" s="655"/>
      <c r="S418" s="655"/>
      <c r="T418" s="655"/>
      <c r="U418" s="655"/>
      <c r="V418" s="655"/>
      <c r="W418" s="655"/>
      <c r="X418" s="655"/>
      <c r="Y418" s="655"/>
      <c r="Z418" s="655"/>
      <c r="AA418" s="655"/>
      <c r="AB418" s="655"/>
      <c r="AC418" s="655"/>
      <c r="AD418" s="655"/>
    </row>
    <row r="419">
      <c r="B419" s="462"/>
      <c r="C419" s="462"/>
      <c r="D419" s="462"/>
      <c r="E419" s="462"/>
      <c r="F419" s="462"/>
      <c r="G419" s="462"/>
      <c r="H419" s="462"/>
      <c r="I419" s="654"/>
      <c r="J419" s="650"/>
      <c r="K419" s="654"/>
      <c r="L419" s="654"/>
      <c r="M419" s="650"/>
      <c r="N419" s="650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655"/>
      <c r="AB419" s="655"/>
      <c r="AC419" s="655"/>
      <c r="AD419" s="655"/>
    </row>
    <row r="420">
      <c r="B420" s="462"/>
      <c r="C420" s="462"/>
      <c r="D420" s="462"/>
      <c r="E420" s="462"/>
      <c r="F420" s="462"/>
      <c r="G420" s="462"/>
      <c r="H420" s="462"/>
      <c r="I420" s="654"/>
      <c r="J420" s="650"/>
      <c r="K420" s="654"/>
      <c r="L420" s="654"/>
      <c r="M420" s="650"/>
      <c r="N420" s="650"/>
      <c r="O420" s="655"/>
      <c r="P420" s="655"/>
      <c r="Q420" s="655"/>
      <c r="R420" s="655"/>
      <c r="S420" s="655"/>
      <c r="T420" s="655"/>
      <c r="U420" s="655"/>
      <c r="V420" s="655"/>
      <c r="W420" s="655"/>
      <c r="X420" s="655"/>
      <c r="Y420" s="655"/>
      <c r="Z420" s="655"/>
      <c r="AA420" s="655"/>
      <c r="AB420" s="655"/>
      <c r="AC420" s="655"/>
      <c r="AD420" s="655"/>
    </row>
    <row r="421">
      <c r="B421" s="462"/>
      <c r="C421" s="462"/>
      <c r="D421" s="462"/>
      <c r="E421" s="462"/>
      <c r="F421" s="462"/>
      <c r="G421" s="462"/>
      <c r="H421" s="462"/>
      <c r="I421" s="654"/>
      <c r="J421" s="650"/>
      <c r="K421" s="654"/>
      <c r="L421" s="654"/>
      <c r="M421" s="650"/>
      <c r="N421" s="650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5"/>
      <c r="AB421" s="655"/>
      <c r="AC421" s="655"/>
      <c r="AD421" s="655"/>
    </row>
    <row r="422">
      <c r="B422" s="462"/>
      <c r="C422" s="462"/>
      <c r="D422" s="462"/>
      <c r="E422" s="462"/>
      <c r="F422" s="462"/>
      <c r="G422" s="462"/>
      <c r="H422" s="462"/>
      <c r="I422" s="654"/>
      <c r="J422" s="650"/>
      <c r="K422" s="654"/>
      <c r="L422" s="654"/>
      <c r="M422" s="650"/>
      <c r="N422" s="650"/>
      <c r="O422" s="655"/>
      <c r="P422" s="655"/>
      <c r="Q422" s="655"/>
      <c r="R422" s="655"/>
      <c r="S422" s="655"/>
      <c r="T422" s="655"/>
      <c r="U422" s="655"/>
      <c r="V422" s="655"/>
      <c r="W422" s="655"/>
      <c r="X422" s="655"/>
      <c r="Y422" s="655"/>
      <c r="Z422" s="655"/>
      <c r="AA422" s="655"/>
      <c r="AB422" s="655"/>
      <c r="AC422" s="655"/>
      <c r="AD422" s="655"/>
    </row>
    <row r="423">
      <c r="B423" s="462"/>
      <c r="C423" s="462"/>
      <c r="D423" s="462"/>
      <c r="E423" s="462"/>
      <c r="F423" s="462"/>
      <c r="G423" s="462"/>
      <c r="H423" s="462"/>
      <c r="I423" s="654"/>
      <c r="J423" s="650"/>
      <c r="K423" s="654"/>
      <c r="L423" s="654"/>
      <c r="M423" s="650"/>
      <c r="N423" s="650"/>
      <c r="O423" s="655"/>
      <c r="P423" s="655"/>
      <c r="Q423" s="655"/>
      <c r="R423" s="655"/>
      <c r="S423" s="655"/>
      <c r="T423" s="655"/>
      <c r="U423" s="655"/>
      <c r="V423" s="655"/>
      <c r="W423" s="655"/>
      <c r="X423" s="655"/>
      <c r="Y423" s="655"/>
      <c r="Z423" s="655"/>
      <c r="AA423" s="655"/>
      <c r="AB423" s="655"/>
      <c r="AC423" s="655"/>
      <c r="AD423" s="655"/>
    </row>
    <row r="424">
      <c r="B424" s="462"/>
      <c r="C424" s="462"/>
      <c r="D424" s="462"/>
      <c r="E424" s="462"/>
      <c r="F424" s="462"/>
      <c r="G424" s="462"/>
      <c r="H424" s="462"/>
      <c r="I424" s="654"/>
      <c r="J424" s="650"/>
      <c r="K424" s="654"/>
      <c r="L424" s="654"/>
      <c r="M424" s="650"/>
      <c r="N424" s="650"/>
      <c r="O424" s="655"/>
      <c r="P424" s="655"/>
      <c r="Q424" s="655"/>
      <c r="R424" s="655"/>
      <c r="S424" s="655"/>
      <c r="T424" s="655"/>
      <c r="U424" s="655"/>
      <c r="V424" s="655"/>
      <c r="W424" s="655"/>
      <c r="X424" s="655"/>
      <c r="Y424" s="655"/>
      <c r="Z424" s="655"/>
      <c r="AA424" s="655"/>
      <c r="AB424" s="655"/>
      <c r="AC424" s="655"/>
      <c r="AD424" s="655"/>
    </row>
    <row r="425">
      <c r="B425" s="462"/>
      <c r="C425" s="462"/>
      <c r="D425" s="462"/>
      <c r="E425" s="462"/>
      <c r="F425" s="462"/>
      <c r="G425" s="462"/>
      <c r="H425" s="462"/>
      <c r="I425" s="654"/>
      <c r="J425" s="650"/>
      <c r="K425" s="654"/>
      <c r="L425" s="654"/>
      <c r="M425" s="650"/>
      <c r="N425" s="650"/>
      <c r="O425" s="655"/>
      <c r="P425" s="655"/>
      <c r="Q425" s="655"/>
      <c r="R425" s="655"/>
      <c r="S425" s="655"/>
      <c r="T425" s="655"/>
      <c r="U425" s="655"/>
      <c r="V425" s="655"/>
      <c r="W425" s="655"/>
      <c r="X425" s="655"/>
      <c r="Y425" s="655"/>
      <c r="Z425" s="655"/>
      <c r="AA425" s="655"/>
      <c r="AB425" s="655"/>
      <c r="AC425" s="655"/>
      <c r="AD425" s="655"/>
    </row>
    <row r="426">
      <c r="B426" s="462"/>
      <c r="C426" s="462"/>
      <c r="D426" s="462"/>
      <c r="E426" s="462"/>
      <c r="F426" s="462"/>
      <c r="G426" s="462"/>
      <c r="H426" s="462"/>
      <c r="I426" s="654"/>
      <c r="J426" s="650"/>
      <c r="K426" s="654"/>
      <c r="L426" s="654"/>
      <c r="M426" s="650"/>
      <c r="N426" s="650"/>
      <c r="O426" s="655"/>
      <c r="P426" s="655"/>
      <c r="Q426" s="655"/>
      <c r="R426" s="655"/>
      <c r="S426" s="655"/>
      <c r="T426" s="655"/>
      <c r="U426" s="655"/>
      <c r="V426" s="655"/>
      <c r="W426" s="655"/>
      <c r="X426" s="655"/>
      <c r="Y426" s="655"/>
      <c r="Z426" s="655"/>
      <c r="AA426" s="655"/>
      <c r="AB426" s="655"/>
      <c r="AC426" s="655"/>
      <c r="AD426" s="655"/>
    </row>
    <row r="427">
      <c r="B427" s="462"/>
      <c r="C427" s="462"/>
      <c r="D427" s="462"/>
      <c r="E427" s="462"/>
      <c r="F427" s="462"/>
      <c r="G427" s="462"/>
      <c r="H427" s="462"/>
      <c r="I427" s="654"/>
      <c r="J427" s="650"/>
      <c r="K427" s="654"/>
      <c r="L427" s="654"/>
      <c r="M427" s="650"/>
      <c r="N427" s="650"/>
      <c r="O427" s="655"/>
      <c r="P427" s="655"/>
      <c r="Q427" s="655"/>
      <c r="R427" s="655"/>
      <c r="S427" s="655"/>
      <c r="T427" s="655"/>
      <c r="U427" s="655"/>
      <c r="V427" s="655"/>
      <c r="W427" s="655"/>
      <c r="X427" s="655"/>
      <c r="Y427" s="655"/>
      <c r="Z427" s="655"/>
      <c r="AA427" s="655"/>
      <c r="AB427" s="655"/>
      <c r="AC427" s="655"/>
      <c r="AD427" s="655"/>
    </row>
    <row r="428">
      <c r="B428" s="462"/>
      <c r="C428" s="462"/>
      <c r="D428" s="462"/>
      <c r="E428" s="462"/>
      <c r="F428" s="462"/>
      <c r="G428" s="462"/>
      <c r="H428" s="462"/>
      <c r="I428" s="654"/>
      <c r="J428" s="650"/>
      <c r="K428" s="654"/>
      <c r="L428" s="654"/>
      <c r="M428" s="650"/>
      <c r="N428" s="650"/>
      <c r="O428" s="655"/>
      <c r="P428" s="655"/>
      <c r="Q428" s="655"/>
      <c r="R428" s="655"/>
      <c r="S428" s="655"/>
      <c r="T428" s="655"/>
      <c r="U428" s="655"/>
      <c r="V428" s="655"/>
      <c r="W428" s="655"/>
      <c r="X428" s="655"/>
      <c r="Y428" s="655"/>
      <c r="Z428" s="655"/>
      <c r="AA428" s="655"/>
      <c r="AB428" s="655"/>
      <c r="AC428" s="655"/>
      <c r="AD428" s="655"/>
    </row>
    <row r="429">
      <c r="B429" s="462"/>
      <c r="C429" s="462"/>
      <c r="D429" s="462"/>
      <c r="E429" s="462"/>
      <c r="F429" s="462"/>
      <c r="G429" s="462"/>
      <c r="H429" s="462"/>
      <c r="I429" s="654"/>
      <c r="J429" s="650"/>
      <c r="K429" s="654"/>
      <c r="L429" s="654"/>
      <c r="M429" s="650"/>
      <c r="N429" s="650"/>
      <c r="O429" s="655"/>
      <c r="P429" s="655"/>
      <c r="Q429" s="655"/>
      <c r="R429" s="655"/>
      <c r="S429" s="655"/>
      <c r="T429" s="655"/>
      <c r="U429" s="655"/>
      <c r="V429" s="655"/>
      <c r="W429" s="655"/>
      <c r="X429" s="655"/>
      <c r="Y429" s="655"/>
      <c r="Z429" s="655"/>
      <c r="AA429" s="655"/>
      <c r="AB429" s="655"/>
      <c r="AC429" s="655"/>
      <c r="AD429" s="655"/>
    </row>
    <row r="430">
      <c r="B430" s="462"/>
      <c r="C430" s="462"/>
      <c r="D430" s="462"/>
      <c r="E430" s="462"/>
      <c r="F430" s="462"/>
      <c r="G430" s="462"/>
      <c r="H430" s="462"/>
      <c r="I430" s="654"/>
      <c r="J430" s="650"/>
      <c r="K430" s="654"/>
      <c r="L430" s="654"/>
      <c r="M430" s="650"/>
      <c r="N430" s="650"/>
      <c r="O430" s="655"/>
      <c r="P430" s="655"/>
      <c r="Q430" s="655"/>
      <c r="R430" s="655"/>
      <c r="S430" s="655"/>
      <c r="T430" s="655"/>
      <c r="U430" s="655"/>
      <c r="V430" s="655"/>
      <c r="W430" s="655"/>
      <c r="X430" s="655"/>
      <c r="Y430" s="655"/>
      <c r="Z430" s="655"/>
      <c r="AA430" s="655"/>
      <c r="AB430" s="655"/>
      <c r="AC430" s="655"/>
      <c r="AD430" s="655"/>
    </row>
    <row r="431">
      <c r="B431" s="462"/>
      <c r="C431" s="462"/>
      <c r="D431" s="462"/>
      <c r="E431" s="462"/>
      <c r="F431" s="462"/>
      <c r="G431" s="462"/>
      <c r="H431" s="462"/>
      <c r="I431" s="654"/>
      <c r="J431" s="650"/>
      <c r="K431" s="654"/>
      <c r="L431" s="654"/>
      <c r="M431" s="650"/>
      <c r="N431" s="650"/>
      <c r="O431" s="655"/>
      <c r="P431" s="655"/>
      <c r="Q431" s="655"/>
      <c r="R431" s="655"/>
      <c r="S431" s="655"/>
      <c r="T431" s="655"/>
      <c r="U431" s="655"/>
      <c r="V431" s="655"/>
      <c r="W431" s="655"/>
      <c r="X431" s="655"/>
      <c r="Y431" s="655"/>
      <c r="Z431" s="655"/>
      <c r="AA431" s="655"/>
      <c r="AB431" s="655"/>
      <c r="AC431" s="655"/>
      <c r="AD431" s="655"/>
    </row>
    <row r="432">
      <c r="B432" s="462"/>
      <c r="C432" s="462"/>
      <c r="D432" s="462"/>
      <c r="E432" s="462"/>
      <c r="F432" s="462"/>
      <c r="G432" s="462"/>
      <c r="H432" s="462"/>
      <c r="I432" s="654"/>
      <c r="J432" s="650"/>
      <c r="K432" s="654"/>
      <c r="L432" s="654"/>
      <c r="M432" s="650"/>
      <c r="N432" s="650"/>
      <c r="O432" s="655"/>
      <c r="P432" s="655"/>
      <c r="Q432" s="655"/>
      <c r="R432" s="655"/>
      <c r="S432" s="655"/>
      <c r="T432" s="655"/>
      <c r="U432" s="655"/>
      <c r="V432" s="655"/>
      <c r="W432" s="655"/>
      <c r="X432" s="655"/>
      <c r="Y432" s="655"/>
      <c r="Z432" s="655"/>
      <c r="AA432" s="655"/>
      <c r="AB432" s="655"/>
      <c r="AC432" s="655"/>
      <c r="AD432" s="655"/>
    </row>
    <row r="433">
      <c r="B433" s="462"/>
      <c r="C433" s="462"/>
      <c r="D433" s="462"/>
      <c r="E433" s="462"/>
      <c r="F433" s="462"/>
      <c r="G433" s="462"/>
      <c r="H433" s="462"/>
      <c r="I433" s="654"/>
      <c r="J433" s="650"/>
      <c r="K433" s="654"/>
      <c r="L433" s="654"/>
      <c r="M433" s="650"/>
      <c r="N433" s="650"/>
      <c r="O433" s="655"/>
      <c r="P433" s="655"/>
      <c r="Q433" s="655"/>
      <c r="R433" s="655"/>
      <c r="S433" s="655"/>
      <c r="T433" s="655"/>
      <c r="U433" s="655"/>
      <c r="V433" s="655"/>
      <c r="W433" s="655"/>
      <c r="X433" s="655"/>
      <c r="Y433" s="655"/>
      <c r="Z433" s="655"/>
      <c r="AA433" s="655"/>
      <c r="AB433" s="655"/>
      <c r="AC433" s="655"/>
      <c r="AD433" s="655"/>
    </row>
    <row r="434">
      <c r="B434" s="462"/>
      <c r="C434" s="462"/>
      <c r="D434" s="462"/>
      <c r="E434" s="462"/>
      <c r="F434" s="462"/>
      <c r="G434" s="462"/>
      <c r="H434" s="462"/>
      <c r="I434" s="654"/>
      <c r="J434" s="650"/>
      <c r="K434" s="654"/>
      <c r="L434" s="654"/>
      <c r="M434" s="650"/>
      <c r="N434" s="650"/>
      <c r="O434" s="655"/>
      <c r="P434" s="655"/>
      <c r="Q434" s="655"/>
      <c r="R434" s="655"/>
      <c r="S434" s="655"/>
      <c r="T434" s="655"/>
      <c r="U434" s="655"/>
      <c r="V434" s="655"/>
      <c r="W434" s="655"/>
      <c r="X434" s="655"/>
      <c r="Y434" s="655"/>
      <c r="Z434" s="655"/>
      <c r="AA434" s="655"/>
      <c r="AB434" s="655"/>
      <c r="AC434" s="655"/>
      <c r="AD434" s="655"/>
    </row>
    <row r="435">
      <c r="B435" s="462"/>
      <c r="C435" s="462"/>
      <c r="D435" s="462"/>
      <c r="E435" s="462"/>
      <c r="F435" s="462"/>
      <c r="G435" s="462"/>
      <c r="H435" s="462"/>
      <c r="I435" s="654"/>
      <c r="J435" s="650"/>
      <c r="K435" s="654"/>
      <c r="L435" s="654"/>
      <c r="M435" s="650"/>
      <c r="N435" s="650"/>
      <c r="O435" s="655"/>
      <c r="P435" s="655"/>
      <c r="Q435" s="655"/>
      <c r="R435" s="655"/>
      <c r="S435" s="655"/>
      <c r="T435" s="655"/>
      <c r="U435" s="655"/>
      <c r="V435" s="655"/>
      <c r="W435" s="655"/>
      <c r="X435" s="655"/>
      <c r="Y435" s="655"/>
      <c r="Z435" s="655"/>
      <c r="AA435" s="655"/>
      <c r="AB435" s="655"/>
      <c r="AC435" s="655"/>
      <c r="AD435" s="655"/>
    </row>
    <row r="436">
      <c r="B436" s="462"/>
      <c r="C436" s="462"/>
      <c r="D436" s="462"/>
      <c r="E436" s="462"/>
      <c r="F436" s="462"/>
      <c r="G436" s="462"/>
      <c r="H436" s="462"/>
      <c r="I436" s="654"/>
      <c r="J436" s="650"/>
      <c r="K436" s="654"/>
      <c r="L436" s="654"/>
      <c r="M436" s="650"/>
      <c r="N436" s="650"/>
      <c r="O436" s="655"/>
      <c r="P436" s="655"/>
      <c r="Q436" s="655"/>
      <c r="R436" s="655"/>
      <c r="S436" s="655"/>
      <c r="T436" s="655"/>
      <c r="U436" s="655"/>
      <c r="V436" s="655"/>
      <c r="W436" s="655"/>
      <c r="X436" s="655"/>
      <c r="Y436" s="655"/>
      <c r="Z436" s="655"/>
      <c r="AA436" s="655"/>
      <c r="AB436" s="655"/>
      <c r="AC436" s="655"/>
      <c r="AD436" s="655"/>
    </row>
    <row r="437">
      <c r="B437" s="462"/>
      <c r="C437" s="462"/>
      <c r="D437" s="462"/>
      <c r="E437" s="462"/>
      <c r="F437" s="462"/>
      <c r="G437" s="462"/>
      <c r="H437" s="462"/>
      <c r="I437" s="654"/>
      <c r="J437" s="650"/>
      <c r="K437" s="654"/>
      <c r="L437" s="654"/>
      <c r="M437" s="650"/>
      <c r="N437" s="650"/>
      <c r="O437" s="655"/>
      <c r="P437" s="655"/>
      <c r="Q437" s="655"/>
      <c r="R437" s="655"/>
      <c r="S437" s="655"/>
      <c r="T437" s="655"/>
      <c r="U437" s="655"/>
      <c r="V437" s="655"/>
      <c r="W437" s="655"/>
      <c r="X437" s="655"/>
      <c r="Y437" s="655"/>
      <c r="Z437" s="655"/>
      <c r="AA437" s="655"/>
      <c r="AB437" s="655"/>
      <c r="AC437" s="655"/>
      <c r="AD437" s="655"/>
    </row>
    <row r="438">
      <c r="B438" s="462"/>
      <c r="C438" s="462"/>
      <c r="D438" s="462"/>
      <c r="E438" s="462"/>
      <c r="F438" s="462"/>
      <c r="G438" s="462"/>
      <c r="H438" s="462"/>
      <c r="I438" s="654"/>
      <c r="J438" s="650"/>
      <c r="K438" s="654"/>
      <c r="L438" s="654"/>
      <c r="M438" s="650"/>
      <c r="N438" s="650"/>
      <c r="O438" s="655"/>
      <c r="P438" s="655"/>
      <c r="Q438" s="655"/>
      <c r="R438" s="655"/>
      <c r="S438" s="655"/>
      <c r="T438" s="655"/>
      <c r="U438" s="655"/>
      <c r="V438" s="655"/>
      <c r="W438" s="655"/>
      <c r="X438" s="655"/>
      <c r="Y438" s="655"/>
      <c r="Z438" s="655"/>
      <c r="AA438" s="655"/>
      <c r="AB438" s="655"/>
      <c r="AC438" s="655"/>
      <c r="AD438" s="655"/>
    </row>
    <row r="439">
      <c r="B439" s="462"/>
      <c r="C439" s="462"/>
      <c r="D439" s="462"/>
      <c r="E439" s="462"/>
      <c r="F439" s="462"/>
      <c r="G439" s="462"/>
      <c r="H439" s="462"/>
      <c r="I439" s="654"/>
      <c r="J439" s="650"/>
      <c r="K439" s="654"/>
      <c r="L439" s="654"/>
      <c r="M439" s="650"/>
      <c r="N439" s="650"/>
      <c r="O439" s="655"/>
      <c r="P439" s="655"/>
      <c r="Q439" s="655"/>
      <c r="R439" s="655"/>
      <c r="S439" s="655"/>
      <c r="T439" s="655"/>
      <c r="U439" s="655"/>
      <c r="V439" s="655"/>
      <c r="W439" s="655"/>
      <c r="X439" s="655"/>
      <c r="Y439" s="655"/>
      <c r="Z439" s="655"/>
      <c r="AA439" s="655"/>
      <c r="AB439" s="655"/>
      <c r="AC439" s="655"/>
      <c r="AD439" s="655"/>
    </row>
    <row r="440">
      <c r="B440" s="462"/>
      <c r="C440" s="462"/>
      <c r="D440" s="462"/>
      <c r="E440" s="462"/>
      <c r="F440" s="462"/>
      <c r="G440" s="462"/>
      <c r="H440" s="462"/>
      <c r="I440" s="654"/>
      <c r="J440" s="650"/>
      <c r="K440" s="654"/>
      <c r="L440" s="654"/>
      <c r="M440" s="650"/>
      <c r="N440" s="650"/>
      <c r="O440" s="655"/>
      <c r="P440" s="655"/>
      <c r="Q440" s="655"/>
      <c r="R440" s="655"/>
      <c r="S440" s="655"/>
      <c r="T440" s="655"/>
      <c r="U440" s="655"/>
      <c r="V440" s="655"/>
      <c r="W440" s="655"/>
      <c r="X440" s="655"/>
      <c r="Y440" s="655"/>
      <c r="Z440" s="655"/>
      <c r="AA440" s="655"/>
      <c r="AB440" s="655"/>
      <c r="AC440" s="655"/>
      <c r="AD440" s="655"/>
    </row>
    <row r="441">
      <c r="B441" s="462"/>
      <c r="C441" s="462"/>
      <c r="D441" s="462"/>
      <c r="E441" s="462"/>
      <c r="F441" s="462"/>
      <c r="G441" s="462"/>
      <c r="H441" s="462"/>
      <c r="I441" s="654"/>
      <c r="J441" s="650"/>
      <c r="K441" s="654"/>
      <c r="L441" s="654"/>
      <c r="M441" s="650"/>
      <c r="N441" s="650"/>
      <c r="O441" s="655"/>
      <c r="P441" s="655"/>
      <c r="Q441" s="655"/>
      <c r="R441" s="655"/>
      <c r="S441" s="655"/>
      <c r="T441" s="655"/>
      <c r="U441" s="655"/>
      <c r="V441" s="655"/>
      <c r="W441" s="655"/>
      <c r="X441" s="655"/>
      <c r="Y441" s="655"/>
      <c r="Z441" s="655"/>
      <c r="AA441" s="655"/>
      <c r="AB441" s="655"/>
      <c r="AC441" s="655"/>
      <c r="AD441" s="655"/>
    </row>
    <row r="442">
      <c r="B442" s="462"/>
      <c r="C442" s="462"/>
      <c r="D442" s="462"/>
      <c r="E442" s="462"/>
      <c r="F442" s="462"/>
      <c r="G442" s="462"/>
      <c r="H442" s="462"/>
      <c r="I442" s="654"/>
      <c r="J442" s="650"/>
      <c r="K442" s="654"/>
      <c r="L442" s="654"/>
      <c r="M442" s="650"/>
      <c r="N442" s="650"/>
      <c r="O442" s="655"/>
      <c r="P442" s="655"/>
      <c r="Q442" s="655"/>
      <c r="R442" s="655"/>
      <c r="S442" s="655"/>
      <c r="T442" s="655"/>
      <c r="U442" s="655"/>
      <c r="V442" s="655"/>
      <c r="W442" s="655"/>
      <c r="X442" s="655"/>
      <c r="Y442" s="655"/>
      <c r="Z442" s="655"/>
      <c r="AA442" s="655"/>
      <c r="AB442" s="655"/>
      <c r="AC442" s="655"/>
      <c r="AD442" s="655"/>
    </row>
    <row r="443">
      <c r="B443" s="462"/>
      <c r="C443" s="462"/>
      <c r="D443" s="462"/>
      <c r="E443" s="462"/>
      <c r="F443" s="462"/>
      <c r="G443" s="462"/>
      <c r="H443" s="462"/>
      <c r="I443" s="654"/>
      <c r="J443" s="650"/>
      <c r="K443" s="654"/>
      <c r="L443" s="654"/>
      <c r="M443" s="650"/>
      <c r="N443" s="650"/>
      <c r="O443" s="655"/>
      <c r="P443" s="655"/>
      <c r="Q443" s="655"/>
      <c r="R443" s="655"/>
      <c r="S443" s="655"/>
      <c r="T443" s="655"/>
      <c r="U443" s="655"/>
      <c r="V443" s="655"/>
      <c r="W443" s="655"/>
      <c r="X443" s="655"/>
      <c r="Y443" s="655"/>
      <c r="Z443" s="655"/>
      <c r="AA443" s="655"/>
      <c r="AB443" s="655"/>
      <c r="AC443" s="655"/>
      <c r="AD443" s="655"/>
    </row>
    <row r="444">
      <c r="B444" s="462"/>
      <c r="C444" s="462"/>
      <c r="D444" s="462"/>
      <c r="E444" s="462"/>
      <c r="F444" s="462"/>
      <c r="G444" s="462"/>
      <c r="H444" s="462"/>
      <c r="I444" s="654"/>
      <c r="J444" s="650"/>
      <c r="K444" s="654"/>
      <c r="L444" s="654"/>
      <c r="M444" s="650"/>
      <c r="N444" s="650"/>
      <c r="O444" s="655"/>
      <c r="P444" s="655"/>
      <c r="Q444" s="655"/>
      <c r="R444" s="655"/>
      <c r="S444" s="655"/>
      <c r="T444" s="655"/>
      <c r="U444" s="655"/>
      <c r="V444" s="655"/>
      <c r="W444" s="655"/>
      <c r="X444" s="655"/>
      <c r="Y444" s="655"/>
      <c r="Z444" s="655"/>
      <c r="AA444" s="655"/>
      <c r="AB444" s="655"/>
      <c r="AC444" s="655"/>
      <c r="AD444" s="655"/>
    </row>
    <row r="445">
      <c r="B445" s="462"/>
      <c r="C445" s="462"/>
      <c r="D445" s="462"/>
      <c r="E445" s="462"/>
      <c r="F445" s="462"/>
      <c r="G445" s="462"/>
      <c r="H445" s="462"/>
      <c r="I445" s="654"/>
      <c r="J445" s="650"/>
      <c r="K445" s="654"/>
      <c r="L445" s="654"/>
      <c r="M445" s="650"/>
      <c r="N445" s="650"/>
      <c r="O445" s="655"/>
      <c r="P445" s="655"/>
      <c r="Q445" s="655"/>
      <c r="R445" s="655"/>
      <c r="S445" s="655"/>
      <c r="T445" s="655"/>
      <c r="U445" s="655"/>
      <c r="V445" s="655"/>
      <c r="W445" s="655"/>
      <c r="X445" s="655"/>
      <c r="Y445" s="655"/>
      <c r="Z445" s="655"/>
      <c r="AA445" s="655"/>
      <c r="AB445" s="655"/>
      <c r="AC445" s="655"/>
      <c r="AD445" s="655"/>
    </row>
    <row r="446">
      <c r="B446" s="462"/>
      <c r="C446" s="462"/>
      <c r="D446" s="462"/>
      <c r="E446" s="462"/>
      <c r="F446" s="462"/>
      <c r="G446" s="462"/>
      <c r="H446" s="462"/>
      <c r="I446" s="654"/>
      <c r="J446" s="650"/>
      <c r="K446" s="654"/>
      <c r="L446" s="654"/>
      <c r="M446" s="650"/>
      <c r="N446" s="650"/>
      <c r="O446" s="655"/>
      <c r="P446" s="655"/>
      <c r="Q446" s="655"/>
      <c r="R446" s="655"/>
      <c r="S446" s="655"/>
      <c r="T446" s="655"/>
      <c r="U446" s="655"/>
      <c r="V446" s="655"/>
      <c r="W446" s="655"/>
      <c r="X446" s="655"/>
      <c r="Y446" s="655"/>
      <c r="Z446" s="655"/>
      <c r="AA446" s="655"/>
      <c r="AB446" s="655"/>
      <c r="AC446" s="655"/>
      <c r="AD446" s="655"/>
    </row>
    <row r="447">
      <c r="B447" s="462"/>
      <c r="C447" s="462"/>
      <c r="D447" s="462"/>
      <c r="E447" s="462"/>
      <c r="F447" s="462"/>
      <c r="G447" s="462"/>
      <c r="H447" s="462"/>
      <c r="I447" s="654"/>
      <c r="J447" s="650"/>
      <c r="K447" s="654"/>
      <c r="L447" s="654"/>
      <c r="M447" s="650"/>
      <c r="N447" s="650"/>
      <c r="O447" s="655"/>
      <c r="P447" s="655"/>
      <c r="Q447" s="655"/>
      <c r="R447" s="655"/>
      <c r="S447" s="655"/>
      <c r="T447" s="655"/>
      <c r="U447" s="655"/>
      <c r="V447" s="655"/>
      <c r="W447" s="655"/>
      <c r="X447" s="655"/>
      <c r="Y447" s="655"/>
      <c r="Z447" s="655"/>
      <c r="AA447" s="655"/>
      <c r="AB447" s="655"/>
      <c r="AC447" s="655"/>
      <c r="AD447" s="655"/>
    </row>
    <row r="448">
      <c r="B448" s="462"/>
      <c r="C448" s="462"/>
      <c r="D448" s="462"/>
      <c r="E448" s="462"/>
      <c r="F448" s="462"/>
      <c r="G448" s="462"/>
      <c r="H448" s="462"/>
      <c r="I448" s="654"/>
      <c r="J448" s="650"/>
      <c r="K448" s="654"/>
      <c r="L448" s="654"/>
      <c r="M448" s="650"/>
      <c r="N448" s="650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  <c r="AA448" s="655"/>
      <c r="AB448" s="655"/>
      <c r="AC448" s="655"/>
      <c r="AD448" s="655"/>
    </row>
    <row r="449">
      <c r="B449" s="462"/>
      <c r="C449" s="462"/>
      <c r="D449" s="462"/>
      <c r="E449" s="462"/>
      <c r="F449" s="462"/>
      <c r="G449" s="462"/>
      <c r="H449" s="462"/>
      <c r="I449" s="654"/>
      <c r="J449" s="650"/>
      <c r="K449" s="654"/>
      <c r="L449" s="654"/>
      <c r="M449" s="650"/>
      <c r="N449" s="650"/>
      <c r="O449" s="655"/>
      <c r="P449" s="655"/>
      <c r="Q449" s="655"/>
      <c r="R449" s="655"/>
      <c r="S449" s="655"/>
      <c r="T449" s="655"/>
      <c r="U449" s="655"/>
      <c r="V449" s="655"/>
      <c r="W449" s="655"/>
      <c r="X449" s="655"/>
      <c r="Y449" s="655"/>
      <c r="Z449" s="655"/>
      <c r="AA449" s="655"/>
      <c r="AB449" s="655"/>
      <c r="AC449" s="655"/>
      <c r="AD449" s="655"/>
    </row>
    <row r="450">
      <c r="B450" s="462"/>
      <c r="C450" s="462"/>
      <c r="D450" s="462"/>
      <c r="E450" s="462"/>
      <c r="F450" s="462"/>
      <c r="G450" s="462"/>
      <c r="H450" s="462"/>
      <c r="I450" s="654"/>
      <c r="J450" s="650"/>
      <c r="K450" s="654"/>
      <c r="L450" s="654"/>
      <c r="M450" s="650"/>
      <c r="N450" s="650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5"/>
      <c r="AB450" s="655"/>
      <c r="AC450" s="655"/>
      <c r="AD450" s="655"/>
    </row>
    <row r="451">
      <c r="B451" s="462"/>
      <c r="C451" s="462"/>
      <c r="D451" s="462"/>
      <c r="E451" s="462"/>
      <c r="F451" s="462"/>
      <c r="G451" s="462"/>
      <c r="H451" s="462"/>
      <c r="I451" s="654"/>
      <c r="J451" s="650"/>
      <c r="K451" s="654"/>
      <c r="L451" s="654"/>
      <c r="M451" s="650"/>
      <c r="N451" s="650"/>
      <c r="O451" s="655"/>
      <c r="P451" s="655"/>
      <c r="Q451" s="655"/>
      <c r="R451" s="655"/>
      <c r="S451" s="655"/>
      <c r="T451" s="655"/>
      <c r="U451" s="655"/>
      <c r="V451" s="655"/>
      <c r="W451" s="655"/>
      <c r="X451" s="655"/>
      <c r="Y451" s="655"/>
      <c r="Z451" s="655"/>
      <c r="AA451" s="655"/>
      <c r="AB451" s="655"/>
      <c r="AC451" s="655"/>
      <c r="AD451" s="655"/>
    </row>
    <row r="452">
      <c r="B452" s="462"/>
      <c r="C452" s="462"/>
      <c r="D452" s="462"/>
      <c r="E452" s="462"/>
      <c r="F452" s="462"/>
      <c r="G452" s="462"/>
      <c r="H452" s="462"/>
      <c r="I452" s="654"/>
      <c r="J452" s="650"/>
      <c r="K452" s="654"/>
      <c r="L452" s="654"/>
      <c r="M452" s="650"/>
      <c r="N452" s="650"/>
      <c r="O452" s="655"/>
      <c r="P452" s="655"/>
      <c r="Q452" s="655"/>
      <c r="R452" s="655"/>
      <c r="S452" s="655"/>
      <c r="T452" s="655"/>
      <c r="U452" s="655"/>
      <c r="V452" s="655"/>
      <c r="W452" s="655"/>
      <c r="X452" s="655"/>
      <c r="Y452" s="655"/>
      <c r="Z452" s="655"/>
      <c r="AA452" s="655"/>
      <c r="AB452" s="655"/>
      <c r="AC452" s="655"/>
      <c r="AD452" s="655"/>
    </row>
    <row r="453">
      <c r="B453" s="462"/>
      <c r="C453" s="462"/>
      <c r="D453" s="462"/>
      <c r="E453" s="462"/>
      <c r="F453" s="462"/>
      <c r="G453" s="462"/>
      <c r="H453" s="462"/>
      <c r="I453" s="654"/>
      <c r="J453" s="650"/>
      <c r="K453" s="654"/>
      <c r="L453" s="654"/>
      <c r="M453" s="650"/>
      <c r="N453" s="650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55"/>
      <c r="AB453" s="655"/>
      <c r="AC453" s="655"/>
      <c r="AD453" s="655"/>
    </row>
    <row r="454">
      <c r="B454" s="462"/>
      <c r="C454" s="462"/>
      <c r="D454" s="462"/>
      <c r="E454" s="462"/>
      <c r="F454" s="462"/>
      <c r="G454" s="462"/>
      <c r="H454" s="462"/>
      <c r="I454" s="654"/>
      <c r="J454" s="650"/>
      <c r="K454" s="654"/>
      <c r="L454" s="654"/>
      <c r="M454" s="650"/>
      <c r="N454" s="650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55"/>
      <c r="AB454" s="655"/>
      <c r="AC454" s="655"/>
      <c r="AD454" s="655"/>
    </row>
    <row r="455">
      <c r="B455" s="462"/>
      <c r="C455" s="462"/>
      <c r="D455" s="462"/>
      <c r="E455" s="462"/>
      <c r="F455" s="462"/>
      <c r="G455" s="462"/>
      <c r="H455" s="462"/>
      <c r="I455" s="654"/>
      <c r="J455" s="650"/>
      <c r="K455" s="654"/>
      <c r="L455" s="654"/>
      <c r="M455" s="650"/>
      <c r="N455" s="650"/>
      <c r="O455" s="655"/>
      <c r="P455" s="655"/>
      <c r="Q455" s="655"/>
      <c r="R455" s="655"/>
      <c r="S455" s="655"/>
      <c r="T455" s="655"/>
      <c r="U455" s="655"/>
      <c r="V455" s="655"/>
      <c r="W455" s="655"/>
      <c r="X455" s="655"/>
      <c r="Y455" s="655"/>
      <c r="Z455" s="655"/>
      <c r="AA455" s="655"/>
      <c r="AB455" s="655"/>
      <c r="AC455" s="655"/>
      <c r="AD455" s="655"/>
    </row>
    <row r="456">
      <c r="B456" s="462"/>
      <c r="C456" s="462"/>
      <c r="D456" s="462"/>
      <c r="E456" s="462"/>
      <c r="F456" s="462"/>
      <c r="G456" s="462"/>
      <c r="H456" s="462"/>
      <c r="I456" s="654"/>
      <c r="J456" s="650"/>
      <c r="K456" s="654"/>
      <c r="L456" s="654"/>
      <c r="M456" s="650"/>
      <c r="N456" s="650"/>
      <c r="O456" s="655"/>
      <c r="P456" s="655"/>
      <c r="Q456" s="655"/>
      <c r="R456" s="655"/>
      <c r="S456" s="655"/>
      <c r="T456" s="655"/>
      <c r="U456" s="655"/>
      <c r="V456" s="655"/>
      <c r="W456" s="655"/>
      <c r="X456" s="655"/>
      <c r="Y456" s="655"/>
      <c r="Z456" s="655"/>
      <c r="AA456" s="655"/>
      <c r="AB456" s="655"/>
      <c r="AC456" s="655"/>
      <c r="AD456" s="655"/>
    </row>
    <row r="457">
      <c r="B457" s="462"/>
      <c r="C457" s="462"/>
      <c r="D457" s="462"/>
      <c r="E457" s="462"/>
      <c r="F457" s="462"/>
      <c r="G457" s="462"/>
      <c r="H457" s="462"/>
      <c r="I457" s="654"/>
      <c r="J457" s="650"/>
      <c r="K457" s="654"/>
      <c r="L457" s="654"/>
      <c r="M457" s="650"/>
      <c r="N457" s="650"/>
      <c r="O457" s="655"/>
      <c r="P457" s="655"/>
      <c r="Q457" s="655"/>
      <c r="R457" s="655"/>
      <c r="S457" s="655"/>
      <c r="T457" s="655"/>
      <c r="U457" s="655"/>
      <c r="V457" s="655"/>
      <c r="W457" s="655"/>
      <c r="X457" s="655"/>
      <c r="Y457" s="655"/>
      <c r="Z457" s="655"/>
      <c r="AA457" s="655"/>
      <c r="AB457" s="655"/>
      <c r="AC457" s="655"/>
      <c r="AD457" s="655"/>
    </row>
    <row r="458">
      <c r="B458" s="462"/>
      <c r="C458" s="462"/>
      <c r="D458" s="462"/>
      <c r="E458" s="462"/>
      <c r="F458" s="462"/>
      <c r="G458" s="462"/>
      <c r="H458" s="462"/>
      <c r="I458" s="654"/>
      <c r="J458" s="650"/>
      <c r="K458" s="654"/>
      <c r="L458" s="654"/>
      <c r="M458" s="650"/>
      <c r="N458" s="650"/>
      <c r="O458" s="655"/>
      <c r="P458" s="655"/>
      <c r="Q458" s="655"/>
      <c r="R458" s="655"/>
      <c r="S458" s="655"/>
      <c r="T458" s="655"/>
      <c r="U458" s="655"/>
      <c r="V458" s="655"/>
      <c r="W458" s="655"/>
      <c r="X458" s="655"/>
      <c r="Y458" s="655"/>
      <c r="Z458" s="655"/>
      <c r="AA458" s="655"/>
      <c r="AB458" s="655"/>
      <c r="AC458" s="655"/>
      <c r="AD458" s="655"/>
    </row>
    <row r="459">
      <c r="B459" s="462"/>
      <c r="C459" s="462"/>
      <c r="D459" s="462"/>
      <c r="E459" s="462"/>
      <c r="F459" s="462"/>
      <c r="G459" s="462"/>
      <c r="H459" s="462"/>
      <c r="I459" s="654"/>
      <c r="J459" s="650"/>
      <c r="K459" s="654"/>
      <c r="L459" s="654"/>
      <c r="M459" s="650"/>
      <c r="N459" s="650"/>
      <c r="O459" s="655"/>
      <c r="P459" s="655"/>
      <c r="Q459" s="655"/>
      <c r="R459" s="655"/>
      <c r="S459" s="655"/>
      <c r="T459" s="655"/>
      <c r="U459" s="655"/>
      <c r="V459" s="655"/>
      <c r="W459" s="655"/>
      <c r="X459" s="655"/>
      <c r="Y459" s="655"/>
      <c r="Z459" s="655"/>
      <c r="AA459" s="655"/>
      <c r="AB459" s="655"/>
      <c r="AC459" s="655"/>
      <c r="AD459" s="655"/>
    </row>
    <row r="460">
      <c r="B460" s="462"/>
      <c r="C460" s="462"/>
      <c r="D460" s="462"/>
      <c r="E460" s="462"/>
      <c r="F460" s="462"/>
      <c r="G460" s="462"/>
      <c r="H460" s="462"/>
      <c r="I460" s="654"/>
      <c r="J460" s="650"/>
      <c r="K460" s="654"/>
      <c r="L460" s="654"/>
      <c r="M460" s="650"/>
      <c r="N460" s="650"/>
      <c r="O460" s="655"/>
      <c r="P460" s="655"/>
      <c r="Q460" s="655"/>
      <c r="R460" s="655"/>
      <c r="S460" s="655"/>
      <c r="T460" s="655"/>
      <c r="U460" s="655"/>
      <c r="V460" s="655"/>
      <c r="W460" s="655"/>
      <c r="X460" s="655"/>
      <c r="Y460" s="655"/>
      <c r="Z460" s="655"/>
      <c r="AA460" s="655"/>
      <c r="AB460" s="655"/>
      <c r="AC460" s="655"/>
      <c r="AD460" s="655"/>
    </row>
    <row r="461">
      <c r="B461" s="462"/>
      <c r="C461" s="462"/>
      <c r="D461" s="462"/>
      <c r="E461" s="462"/>
      <c r="F461" s="462"/>
      <c r="G461" s="462"/>
      <c r="H461" s="462"/>
      <c r="I461" s="654"/>
      <c r="J461" s="650"/>
      <c r="K461" s="654"/>
      <c r="L461" s="654"/>
      <c r="M461" s="650"/>
      <c r="N461" s="650"/>
      <c r="O461" s="655"/>
      <c r="P461" s="655"/>
      <c r="Q461" s="655"/>
      <c r="R461" s="655"/>
      <c r="S461" s="655"/>
      <c r="T461" s="655"/>
      <c r="U461" s="655"/>
      <c r="V461" s="655"/>
      <c r="W461" s="655"/>
      <c r="X461" s="655"/>
      <c r="Y461" s="655"/>
      <c r="Z461" s="655"/>
      <c r="AA461" s="655"/>
      <c r="AB461" s="655"/>
      <c r="AC461" s="655"/>
      <c r="AD461" s="655"/>
    </row>
    <row r="462">
      <c r="B462" s="462"/>
      <c r="C462" s="462"/>
      <c r="D462" s="462"/>
      <c r="E462" s="462"/>
      <c r="F462" s="462"/>
      <c r="G462" s="462"/>
      <c r="H462" s="462"/>
      <c r="I462" s="654"/>
      <c r="J462" s="650"/>
      <c r="K462" s="654"/>
      <c r="L462" s="654"/>
      <c r="M462" s="650"/>
      <c r="N462" s="650"/>
      <c r="O462" s="655"/>
      <c r="P462" s="655"/>
      <c r="Q462" s="655"/>
      <c r="R462" s="655"/>
      <c r="S462" s="655"/>
      <c r="T462" s="655"/>
      <c r="U462" s="655"/>
      <c r="V462" s="655"/>
      <c r="W462" s="655"/>
      <c r="X462" s="655"/>
      <c r="Y462" s="655"/>
      <c r="Z462" s="655"/>
      <c r="AA462" s="655"/>
      <c r="AB462" s="655"/>
      <c r="AC462" s="655"/>
      <c r="AD462" s="655"/>
    </row>
    <row r="463">
      <c r="B463" s="462"/>
      <c r="C463" s="462"/>
      <c r="D463" s="462"/>
      <c r="E463" s="462"/>
      <c r="F463" s="462"/>
      <c r="G463" s="462"/>
      <c r="H463" s="462"/>
      <c r="I463" s="654"/>
      <c r="J463" s="650"/>
      <c r="K463" s="654"/>
      <c r="L463" s="654"/>
      <c r="M463" s="650"/>
      <c r="N463" s="650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  <c r="AA463" s="655"/>
      <c r="AB463" s="655"/>
      <c r="AC463" s="655"/>
      <c r="AD463" s="655"/>
    </row>
    <row r="464">
      <c r="B464" s="462"/>
      <c r="C464" s="462"/>
      <c r="D464" s="462"/>
      <c r="E464" s="462"/>
      <c r="F464" s="462"/>
      <c r="G464" s="462"/>
      <c r="H464" s="462"/>
      <c r="I464" s="654"/>
      <c r="J464" s="650"/>
      <c r="K464" s="654"/>
      <c r="L464" s="654"/>
      <c r="M464" s="650"/>
      <c r="N464" s="650"/>
      <c r="O464" s="655"/>
      <c r="P464" s="655"/>
      <c r="Q464" s="655"/>
      <c r="R464" s="655"/>
      <c r="S464" s="655"/>
      <c r="T464" s="655"/>
      <c r="U464" s="655"/>
      <c r="V464" s="655"/>
      <c r="W464" s="655"/>
      <c r="X464" s="655"/>
      <c r="Y464" s="655"/>
      <c r="Z464" s="655"/>
      <c r="AA464" s="655"/>
      <c r="AB464" s="655"/>
      <c r="AC464" s="655"/>
      <c r="AD464" s="655"/>
    </row>
    <row r="465">
      <c r="B465" s="462"/>
      <c r="C465" s="462"/>
      <c r="D465" s="462"/>
      <c r="E465" s="462"/>
      <c r="F465" s="462"/>
      <c r="G465" s="462"/>
      <c r="H465" s="462"/>
      <c r="I465" s="654"/>
      <c r="J465" s="650"/>
      <c r="K465" s="654"/>
      <c r="L465" s="654"/>
      <c r="M465" s="650"/>
      <c r="N465" s="650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655"/>
      <c r="AB465" s="655"/>
      <c r="AC465" s="655"/>
      <c r="AD465" s="655"/>
    </row>
    <row r="466">
      <c r="B466" s="462"/>
      <c r="C466" s="462"/>
      <c r="D466" s="462"/>
      <c r="E466" s="462"/>
      <c r="F466" s="462"/>
      <c r="G466" s="462"/>
      <c r="H466" s="462"/>
      <c r="I466" s="654"/>
      <c r="J466" s="650"/>
      <c r="K466" s="654"/>
      <c r="L466" s="654"/>
      <c r="M466" s="650"/>
      <c r="N466" s="650"/>
      <c r="O466" s="655"/>
      <c r="P466" s="655"/>
      <c r="Q466" s="655"/>
      <c r="R466" s="655"/>
      <c r="S466" s="655"/>
      <c r="T466" s="655"/>
      <c r="U466" s="655"/>
      <c r="V466" s="655"/>
      <c r="W466" s="655"/>
      <c r="X466" s="655"/>
      <c r="Y466" s="655"/>
      <c r="Z466" s="655"/>
      <c r="AA466" s="655"/>
      <c r="AB466" s="655"/>
      <c r="AC466" s="655"/>
      <c r="AD466" s="655"/>
    </row>
    <row r="467">
      <c r="B467" s="462"/>
      <c r="C467" s="462"/>
      <c r="D467" s="462"/>
      <c r="E467" s="462"/>
      <c r="F467" s="462"/>
      <c r="G467" s="462"/>
      <c r="H467" s="462"/>
      <c r="I467" s="654"/>
      <c r="J467" s="650"/>
      <c r="K467" s="654"/>
      <c r="L467" s="654"/>
      <c r="M467" s="650"/>
      <c r="N467" s="650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5"/>
      <c r="AB467" s="655"/>
      <c r="AC467" s="655"/>
      <c r="AD467" s="655"/>
    </row>
    <row r="468">
      <c r="B468" s="462"/>
      <c r="C468" s="462"/>
      <c r="D468" s="462"/>
      <c r="E468" s="462"/>
      <c r="F468" s="462"/>
      <c r="G468" s="462"/>
      <c r="H468" s="462"/>
      <c r="I468" s="654"/>
      <c r="J468" s="650"/>
      <c r="K468" s="654"/>
      <c r="L468" s="654"/>
      <c r="M468" s="650"/>
      <c r="N468" s="650"/>
      <c r="O468" s="655"/>
      <c r="P468" s="655"/>
      <c r="Q468" s="655"/>
      <c r="R468" s="655"/>
      <c r="S468" s="655"/>
      <c r="T468" s="655"/>
      <c r="U468" s="655"/>
      <c r="V468" s="655"/>
      <c r="W468" s="655"/>
      <c r="X468" s="655"/>
      <c r="Y468" s="655"/>
      <c r="Z468" s="655"/>
      <c r="AA468" s="655"/>
      <c r="AB468" s="655"/>
      <c r="AC468" s="655"/>
      <c r="AD468" s="655"/>
    </row>
    <row r="469">
      <c r="B469" s="462"/>
      <c r="C469" s="462"/>
      <c r="D469" s="462"/>
      <c r="E469" s="462"/>
      <c r="F469" s="462"/>
      <c r="G469" s="462"/>
      <c r="H469" s="462"/>
      <c r="I469" s="654"/>
      <c r="J469" s="650"/>
      <c r="K469" s="654"/>
      <c r="L469" s="654"/>
      <c r="M469" s="650"/>
      <c r="N469" s="650"/>
      <c r="O469" s="655"/>
      <c r="P469" s="655"/>
      <c r="Q469" s="655"/>
      <c r="R469" s="655"/>
      <c r="S469" s="655"/>
      <c r="T469" s="655"/>
      <c r="U469" s="655"/>
      <c r="V469" s="655"/>
      <c r="W469" s="655"/>
      <c r="X469" s="655"/>
      <c r="Y469" s="655"/>
      <c r="Z469" s="655"/>
      <c r="AA469" s="655"/>
      <c r="AB469" s="655"/>
      <c r="AC469" s="655"/>
      <c r="AD469" s="655"/>
    </row>
    <row r="470">
      <c r="B470" s="462"/>
      <c r="C470" s="462"/>
      <c r="D470" s="462"/>
      <c r="E470" s="462"/>
      <c r="F470" s="462"/>
      <c r="G470" s="462"/>
      <c r="H470" s="462"/>
      <c r="I470" s="654"/>
      <c r="J470" s="650"/>
      <c r="K470" s="654"/>
      <c r="L470" s="654"/>
      <c r="M470" s="650"/>
      <c r="N470" s="650"/>
      <c r="O470" s="655"/>
      <c r="P470" s="655"/>
      <c r="Q470" s="655"/>
      <c r="R470" s="655"/>
      <c r="S470" s="655"/>
      <c r="T470" s="655"/>
      <c r="U470" s="655"/>
      <c r="V470" s="655"/>
      <c r="W470" s="655"/>
      <c r="X470" s="655"/>
      <c r="Y470" s="655"/>
      <c r="Z470" s="655"/>
      <c r="AA470" s="655"/>
      <c r="AB470" s="655"/>
      <c r="AC470" s="655"/>
      <c r="AD470" s="655"/>
    </row>
    <row r="471">
      <c r="B471" s="462"/>
      <c r="C471" s="462"/>
      <c r="D471" s="462"/>
      <c r="E471" s="462"/>
      <c r="F471" s="462"/>
      <c r="G471" s="462"/>
      <c r="H471" s="462"/>
      <c r="I471" s="654"/>
      <c r="J471" s="650"/>
      <c r="K471" s="654"/>
      <c r="L471" s="654"/>
      <c r="M471" s="650"/>
      <c r="N471" s="650"/>
      <c r="O471" s="655"/>
      <c r="P471" s="655"/>
      <c r="Q471" s="655"/>
      <c r="R471" s="655"/>
      <c r="S471" s="655"/>
      <c r="T471" s="655"/>
      <c r="U471" s="655"/>
      <c r="V471" s="655"/>
      <c r="W471" s="655"/>
      <c r="X471" s="655"/>
      <c r="Y471" s="655"/>
      <c r="Z471" s="655"/>
      <c r="AA471" s="655"/>
      <c r="AB471" s="655"/>
      <c r="AC471" s="655"/>
      <c r="AD471" s="655"/>
    </row>
    <row r="472">
      <c r="B472" s="462"/>
      <c r="C472" s="462"/>
      <c r="D472" s="462"/>
      <c r="E472" s="462"/>
      <c r="F472" s="462"/>
      <c r="G472" s="462"/>
      <c r="H472" s="462"/>
      <c r="I472" s="654"/>
      <c r="J472" s="650"/>
      <c r="K472" s="654"/>
      <c r="L472" s="654"/>
      <c r="M472" s="650"/>
      <c r="N472" s="650"/>
      <c r="O472" s="655"/>
      <c r="P472" s="655"/>
      <c r="Q472" s="655"/>
      <c r="R472" s="655"/>
      <c r="S472" s="655"/>
      <c r="T472" s="655"/>
      <c r="U472" s="655"/>
      <c r="V472" s="655"/>
      <c r="W472" s="655"/>
      <c r="X472" s="655"/>
      <c r="Y472" s="655"/>
      <c r="Z472" s="655"/>
      <c r="AA472" s="655"/>
      <c r="AB472" s="655"/>
      <c r="AC472" s="655"/>
      <c r="AD472" s="655"/>
    </row>
    <row r="473">
      <c r="B473" s="462"/>
      <c r="C473" s="462"/>
      <c r="D473" s="462"/>
      <c r="E473" s="462"/>
      <c r="F473" s="462"/>
      <c r="G473" s="462"/>
      <c r="H473" s="462"/>
      <c r="I473" s="654"/>
      <c r="J473" s="650"/>
      <c r="K473" s="654"/>
      <c r="L473" s="654"/>
      <c r="M473" s="650"/>
      <c r="N473" s="650"/>
      <c r="O473" s="655"/>
      <c r="P473" s="655"/>
      <c r="Q473" s="655"/>
      <c r="R473" s="655"/>
      <c r="S473" s="655"/>
      <c r="T473" s="655"/>
      <c r="U473" s="655"/>
      <c r="V473" s="655"/>
      <c r="W473" s="655"/>
      <c r="X473" s="655"/>
      <c r="Y473" s="655"/>
      <c r="Z473" s="655"/>
      <c r="AA473" s="655"/>
      <c r="AB473" s="655"/>
      <c r="AC473" s="655"/>
      <c r="AD473" s="655"/>
    </row>
    <row r="474">
      <c r="B474" s="462"/>
      <c r="C474" s="462"/>
      <c r="D474" s="462"/>
      <c r="E474" s="462"/>
      <c r="F474" s="462"/>
      <c r="G474" s="462"/>
      <c r="H474" s="462"/>
      <c r="I474" s="654"/>
      <c r="J474" s="650"/>
      <c r="K474" s="654"/>
      <c r="L474" s="654"/>
      <c r="M474" s="650"/>
      <c r="N474" s="650"/>
      <c r="O474" s="655"/>
      <c r="P474" s="655"/>
      <c r="Q474" s="655"/>
      <c r="R474" s="655"/>
      <c r="S474" s="655"/>
      <c r="T474" s="655"/>
      <c r="U474" s="655"/>
      <c r="V474" s="655"/>
      <c r="W474" s="655"/>
      <c r="X474" s="655"/>
      <c r="Y474" s="655"/>
      <c r="Z474" s="655"/>
      <c r="AA474" s="655"/>
      <c r="AB474" s="655"/>
      <c r="AC474" s="655"/>
      <c r="AD474" s="655"/>
    </row>
    <row r="475">
      <c r="B475" s="462"/>
      <c r="C475" s="462"/>
      <c r="D475" s="462"/>
      <c r="E475" s="462"/>
      <c r="F475" s="462"/>
      <c r="G475" s="462"/>
      <c r="H475" s="462"/>
      <c r="I475" s="654"/>
      <c r="J475" s="650"/>
      <c r="K475" s="654"/>
      <c r="L475" s="654"/>
      <c r="M475" s="650"/>
      <c r="N475" s="650"/>
      <c r="O475" s="655"/>
      <c r="P475" s="655"/>
      <c r="Q475" s="655"/>
      <c r="R475" s="655"/>
      <c r="S475" s="655"/>
      <c r="T475" s="655"/>
      <c r="U475" s="655"/>
      <c r="V475" s="655"/>
      <c r="W475" s="655"/>
      <c r="X475" s="655"/>
      <c r="Y475" s="655"/>
      <c r="Z475" s="655"/>
      <c r="AA475" s="655"/>
      <c r="AB475" s="655"/>
      <c r="AC475" s="655"/>
      <c r="AD475" s="655"/>
    </row>
    <row r="476">
      <c r="B476" s="462"/>
      <c r="C476" s="462"/>
      <c r="D476" s="462"/>
      <c r="E476" s="462"/>
      <c r="F476" s="462"/>
      <c r="G476" s="462"/>
      <c r="H476" s="462"/>
      <c r="I476" s="654"/>
      <c r="J476" s="650"/>
      <c r="K476" s="654"/>
      <c r="L476" s="654"/>
      <c r="M476" s="650"/>
      <c r="N476" s="650"/>
      <c r="O476" s="655"/>
      <c r="P476" s="655"/>
      <c r="Q476" s="655"/>
      <c r="R476" s="655"/>
      <c r="S476" s="655"/>
      <c r="T476" s="655"/>
      <c r="U476" s="655"/>
      <c r="V476" s="655"/>
      <c r="W476" s="655"/>
      <c r="X476" s="655"/>
      <c r="Y476" s="655"/>
      <c r="Z476" s="655"/>
      <c r="AA476" s="655"/>
      <c r="AB476" s="655"/>
      <c r="AC476" s="655"/>
      <c r="AD476" s="655"/>
    </row>
    <row r="477">
      <c r="B477" s="462"/>
      <c r="C477" s="462"/>
      <c r="D477" s="462"/>
      <c r="E477" s="462"/>
      <c r="F477" s="462"/>
      <c r="G477" s="462"/>
      <c r="H477" s="462"/>
      <c r="I477" s="654"/>
      <c r="J477" s="650"/>
      <c r="K477" s="654"/>
      <c r="L477" s="654"/>
      <c r="M477" s="650"/>
      <c r="N477" s="650"/>
      <c r="O477" s="655"/>
      <c r="P477" s="655"/>
      <c r="Q477" s="655"/>
      <c r="R477" s="655"/>
      <c r="S477" s="655"/>
      <c r="T477" s="655"/>
      <c r="U477" s="655"/>
      <c r="V477" s="655"/>
      <c r="W477" s="655"/>
      <c r="X477" s="655"/>
      <c r="Y477" s="655"/>
      <c r="Z477" s="655"/>
      <c r="AA477" s="655"/>
      <c r="AB477" s="655"/>
      <c r="AC477" s="655"/>
      <c r="AD477" s="655"/>
    </row>
    <row r="478">
      <c r="B478" s="462"/>
      <c r="C478" s="462"/>
      <c r="D478" s="462"/>
      <c r="E478" s="462"/>
      <c r="F478" s="462"/>
      <c r="G478" s="462"/>
      <c r="H478" s="462"/>
      <c r="I478" s="654"/>
      <c r="J478" s="650"/>
      <c r="K478" s="654"/>
      <c r="L478" s="654"/>
      <c r="M478" s="650"/>
      <c r="N478" s="650"/>
      <c r="O478" s="655"/>
      <c r="P478" s="655"/>
      <c r="Q478" s="655"/>
      <c r="R478" s="655"/>
      <c r="S478" s="655"/>
      <c r="T478" s="655"/>
      <c r="U478" s="655"/>
      <c r="V478" s="655"/>
      <c r="W478" s="655"/>
      <c r="X478" s="655"/>
      <c r="Y478" s="655"/>
      <c r="Z478" s="655"/>
      <c r="AA478" s="655"/>
      <c r="AB478" s="655"/>
      <c r="AC478" s="655"/>
      <c r="AD478" s="655"/>
    </row>
    <row r="479">
      <c r="B479" s="462"/>
      <c r="C479" s="462"/>
      <c r="D479" s="462"/>
      <c r="E479" s="462"/>
      <c r="F479" s="462"/>
      <c r="G479" s="462"/>
      <c r="H479" s="462"/>
      <c r="I479" s="654"/>
      <c r="J479" s="650"/>
      <c r="K479" s="654"/>
      <c r="L479" s="654"/>
      <c r="M479" s="650"/>
      <c r="N479" s="650"/>
      <c r="O479" s="655"/>
      <c r="P479" s="655"/>
      <c r="Q479" s="655"/>
      <c r="R479" s="655"/>
      <c r="S479" s="655"/>
      <c r="T479" s="655"/>
      <c r="U479" s="655"/>
      <c r="V479" s="655"/>
      <c r="W479" s="655"/>
      <c r="X479" s="655"/>
      <c r="Y479" s="655"/>
      <c r="Z479" s="655"/>
      <c r="AA479" s="655"/>
      <c r="AB479" s="655"/>
      <c r="AC479" s="655"/>
      <c r="AD479" s="655"/>
    </row>
    <row r="480">
      <c r="B480" s="462"/>
      <c r="C480" s="462"/>
      <c r="D480" s="462"/>
      <c r="E480" s="462"/>
      <c r="F480" s="462"/>
      <c r="G480" s="462"/>
      <c r="H480" s="462"/>
      <c r="I480" s="654"/>
      <c r="J480" s="650"/>
      <c r="K480" s="654"/>
      <c r="L480" s="654"/>
      <c r="M480" s="650"/>
      <c r="N480" s="650"/>
      <c r="O480" s="655"/>
      <c r="P480" s="655"/>
      <c r="Q480" s="655"/>
      <c r="R480" s="655"/>
      <c r="S480" s="655"/>
      <c r="T480" s="655"/>
      <c r="U480" s="655"/>
      <c r="V480" s="655"/>
      <c r="W480" s="655"/>
      <c r="X480" s="655"/>
      <c r="Y480" s="655"/>
      <c r="Z480" s="655"/>
      <c r="AA480" s="655"/>
      <c r="AB480" s="655"/>
      <c r="AC480" s="655"/>
      <c r="AD480" s="655"/>
    </row>
    <row r="481">
      <c r="B481" s="462"/>
      <c r="C481" s="462"/>
      <c r="D481" s="462"/>
      <c r="E481" s="462"/>
      <c r="F481" s="462"/>
      <c r="G481" s="462"/>
      <c r="H481" s="462"/>
      <c r="I481" s="654"/>
      <c r="J481" s="650"/>
      <c r="K481" s="654"/>
      <c r="L481" s="654"/>
      <c r="M481" s="650"/>
      <c r="N481" s="650"/>
      <c r="O481" s="655"/>
      <c r="P481" s="655"/>
      <c r="Q481" s="655"/>
      <c r="R481" s="655"/>
      <c r="S481" s="655"/>
      <c r="T481" s="655"/>
      <c r="U481" s="655"/>
      <c r="V481" s="655"/>
      <c r="W481" s="655"/>
      <c r="X481" s="655"/>
      <c r="Y481" s="655"/>
      <c r="Z481" s="655"/>
      <c r="AA481" s="655"/>
      <c r="AB481" s="655"/>
      <c r="AC481" s="655"/>
      <c r="AD481" s="655"/>
    </row>
    <row r="482">
      <c r="B482" s="462"/>
      <c r="C482" s="462"/>
      <c r="D482" s="462"/>
      <c r="E482" s="462"/>
      <c r="F482" s="462"/>
      <c r="G482" s="462"/>
      <c r="H482" s="462"/>
      <c r="I482" s="654"/>
      <c r="J482" s="650"/>
      <c r="K482" s="654"/>
      <c r="L482" s="654"/>
      <c r="M482" s="650"/>
      <c r="N482" s="650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5"/>
      <c r="AB482" s="655"/>
      <c r="AC482" s="655"/>
      <c r="AD482" s="655"/>
    </row>
    <row r="483">
      <c r="B483" s="462"/>
      <c r="C483" s="462"/>
      <c r="D483" s="462"/>
      <c r="E483" s="462"/>
      <c r="F483" s="462"/>
      <c r="G483" s="462"/>
      <c r="H483" s="462"/>
      <c r="I483" s="654"/>
      <c r="J483" s="650"/>
      <c r="K483" s="654"/>
      <c r="L483" s="654"/>
      <c r="M483" s="650"/>
      <c r="N483" s="650"/>
      <c r="O483" s="655"/>
      <c r="P483" s="655"/>
      <c r="Q483" s="655"/>
      <c r="R483" s="655"/>
      <c r="S483" s="655"/>
      <c r="T483" s="655"/>
      <c r="U483" s="655"/>
      <c r="V483" s="655"/>
      <c r="W483" s="655"/>
      <c r="X483" s="655"/>
      <c r="Y483" s="655"/>
      <c r="Z483" s="655"/>
      <c r="AA483" s="655"/>
      <c r="AB483" s="655"/>
      <c r="AC483" s="655"/>
      <c r="AD483" s="655"/>
    </row>
    <row r="484">
      <c r="B484" s="462"/>
      <c r="C484" s="462"/>
      <c r="D484" s="462"/>
      <c r="E484" s="462"/>
      <c r="F484" s="462"/>
      <c r="G484" s="462"/>
      <c r="H484" s="462"/>
      <c r="I484" s="654"/>
      <c r="J484" s="650"/>
      <c r="K484" s="654"/>
      <c r="L484" s="654"/>
      <c r="M484" s="650"/>
      <c r="N484" s="650"/>
      <c r="O484" s="655"/>
      <c r="P484" s="655"/>
      <c r="Q484" s="655"/>
      <c r="R484" s="655"/>
      <c r="S484" s="655"/>
      <c r="T484" s="655"/>
      <c r="U484" s="655"/>
      <c r="V484" s="655"/>
      <c r="W484" s="655"/>
      <c r="X484" s="655"/>
      <c r="Y484" s="655"/>
      <c r="Z484" s="655"/>
      <c r="AA484" s="655"/>
      <c r="AB484" s="655"/>
      <c r="AC484" s="655"/>
      <c r="AD484" s="655"/>
    </row>
    <row r="485">
      <c r="B485" s="462"/>
      <c r="C485" s="462"/>
      <c r="D485" s="462"/>
      <c r="E485" s="462"/>
      <c r="F485" s="462"/>
      <c r="G485" s="462"/>
      <c r="H485" s="462"/>
      <c r="I485" s="654"/>
      <c r="J485" s="650"/>
      <c r="K485" s="654"/>
      <c r="L485" s="654"/>
      <c r="M485" s="650"/>
      <c r="N485" s="650"/>
      <c r="O485" s="655"/>
      <c r="P485" s="655"/>
      <c r="Q485" s="655"/>
      <c r="R485" s="655"/>
      <c r="S485" s="655"/>
      <c r="T485" s="655"/>
      <c r="U485" s="655"/>
      <c r="V485" s="655"/>
      <c r="W485" s="655"/>
      <c r="X485" s="655"/>
      <c r="Y485" s="655"/>
      <c r="Z485" s="655"/>
      <c r="AA485" s="655"/>
      <c r="AB485" s="655"/>
      <c r="AC485" s="655"/>
      <c r="AD485" s="655"/>
    </row>
    <row r="486">
      <c r="B486" s="462"/>
      <c r="C486" s="462"/>
      <c r="D486" s="462"/>
      <c r="E486" s="462"/>
      <c r="F486" s="462"/>
      <c r="G486" s="462"/>
      <c r="H486" s="462"/>
      <c r="I486" s="654"/>
      <c r="J486" s="650"/>
      <c r="K486" s="654"/>
      <c r="L486" s="654"/>
      <c r="M486" s="650"/>
      <c r="N486" s="650"/>
      <c r="O486" s="655"/>
      <c r="P486" s="655"/>
      <c r="Q486" s="655"/>
      <c r="R486" s="655"/>
      <c r="S486" s="655"/>
      <c r="T486" s="655"/>
      <c r="U486" s="655"/>
      <c r="V486" s="655"/>
      <c r="W486" s="655"/>
      <c r="X486" s="655"/>
      <c r="Y486" s="655"/>
      <c r="Z486" s="655"/>
      <c r="AA486" s="655"/>
      <c r="AB486" s="655"/>
      <c r="AC486" s="655"/>
      <c r="AD486" s="655"/>
    </row>
    <row r="487">
      <c r="B487" s="462"/>
      <c r="C487" s="462"/>
      <c r="D487" s="462"/>
      <c r="E487" s="462"/>
      <c r="F487" s="462"/>
      <c r="G487" s="462"/>
      <c r="H487" s="462"/>
      <c r="I487" s="654"/>
      <c r="J487" s="650"/>
      <c r="K487" s="654"/>
      <c r="L487" s="654"/>
      <c r="M487" s="650"/>
      <c r="N487" s="650"/>
      <c r="O487" s="655"/>
      <c r="P487" s="655"/>
      <c r="Q487" s="655"/>
      <c r="R487" s="655"/>
      <c r="S487" s="655"/>
      <c r="T487" s="655"/>
      <c r="U487" s="655"/>
      <c r="V487" s="655"/>
      <c r="W487" s="655"/>
      <c r="X487" s="655"/>
      <c r="Y487" s="655"/>
      <c r="Z487" s="655"/>
      <c r="AA487" s="655"/>
      <c r="AB487" s="655"/>
      <c r="AC487" s="655"/>
      <c r="AD487" s="655"/>
    </row>
    <row r="488">
      <c r="B488" s="462"/>
      <c r="C488" s="462"/>
      <c r="D488" s="462"/>
      <c r="E488" s="462"/>
      <c r="F488" s="462"/>
      <c r="G488" s="462"/>
      <c r="H488" s="462"/>
      <c r="I488" s="654"/>
      <c r="J488" s="650"/>
      <c r="K488" s="654"/>
      <c r="L488" s="654"/>
      <c r="M488" s="650"/>
      <c r="N488" s="650"/>
      <c r="O488" s="655"/>
      <c r="P488" s="655"/>
      <c r="Q488" s="655"/>
      <c r="R488" s="655"/>
      <c r="S488" s="655"/>
      <c r="T488" s="655"/>
      <c r="U488" s="655"/>
      <c r="V488" s="655"/>
      <c r="W488" s="655"/>
      <c r="X488" s="655"/>
      <c r="Y488" s="655"/>
      <c r="Z488" s="655"/>
      <c r="AA488" s="655"/>
      <c r="AB488" s="655"/>
      <c r="AC488" s="655"/>
      <c r="AD488" s="655"/>
    </row>
    <row r="489">
      <c r="B489" s="462"/>
      <c r="C489" s="462"/>
      <c r="D489" s="462"/>
      <c r="E489" s="462"/>
      <c r="F489" s="462"/>
      <c r="G489" s="462"/>
      <c r="H489" s="462"/>
      <c r="I489" s="654"/>
      <c r="J489" s="650"/>
      <c r="K489" s="654"/>
      <c r="L489" s="654"/>
      <c r="M489" s="650"/>
      <c r="N489" s="650"/>
      <c r="O489" s="655"/>
      <c r="P489" s="655"/>
      <c r="Q489" s="655"/>
      <c r="R489" s="655"/>
      <c r="S489" s="655"/>
      <c r="T489" s="655"/>
      <c r="U489" s="655"/>
      <c r="V489" s="655"/>
      <c r="W489" s="655"/>
      <c r="X489" s="655"/>
      <c r="Y489" s="655"/>
      <c r="Z489" s="655"/>
      <c r="AA489" s="655"/>
      <c r="AB489" s="655"/>
      <c r="AC489" s="655"/>
      <c r="AD489" s="655"/>
    </row>
    <row r="490">
      <c r="B490" s="462"/>
      <c r="C490" s="462"/>
      <c r="D490" s="462"/>
      <c r="E490" s="462"/>
      <c r="F490" s="462"/>
      <c r="G490" s="462"/>
      <c r="H490" s="462"/>
      <c r="I490" s="654"/>
      <c r="J490" s="650"/>
      <c r="K490" s="654"/>
      <c r="L490" s="654"/>
      <c r="M490" s="650"/>
      <c r="N490" s="650"/>
      <c r="O490" s="655"/>
      <c r="P490" s="655"/>
      <c r="Q490" s="655"/>
      <c r="R490" s="655"/>
      <c r="S490" s="655"/>
      <c r="T490" s="655"/>
      <c r="U490" s="655"/>
      <c r="V490" s="655"/>
      <c r="W490" s="655"/>
      <c r="X490" s="655"/>
      <c r="Y490" s="655"/>
      <c r="Z490" s="655"/>
      <c r="AA490" s="655"/>
      <c r="AB490" s="655"/>
      <c r="AC490" s="655"/>
      <c r="AD490" s="655"/>
    </row>
    <row r="491">
      <c r="B491" s="462"/>
      <c r="C491" s="462"/>
      <c r="D491" s="462"/>
      <c r="E491" s="462"/>
      <c r="F491" s="462"/>
      <c r="G491" s="462"/>
      <c r="H491" s="462"/>
      <c r="I491" s="654"/>
      <c r="J491" s="650"/>
      <c r="K491" s="654"/>
      <c r="L491" s="654"/>
      <c r="M491" s="650"/>
      <c r="N491" s="650"/>
      <c r="O491" s="655"/>
      <c r="P491" s="655"/>
      <c r="Q491" s="655"/>
      <c r="R491" s="655"/>
      <c r="S491" s="655"/>
      <c r="T491" s="655"/>
      <c r="U491" s="655"/>
      <c r="V491" s="655"/>
      <c r="W491" s="655"/>
      <c r="X491" s="655"/>
      <c r="Y491" s="655"/>
      <c r="Z491" s="655"/>
      <c r="AA491" s="655"/>
      <c r="AB491" s="655"/>
      <c r="AC491" s="655"/>
      <c r="AD491" s="655"/>
    </row>
    <row r="492">
      <c r="B492" s="462"/>
      <c r="C492" s="462"/>
      <c r="D492" s="462"/>
      <c r="E492" s="462"/>
      <c r="F492" s="462"/>
      <c r="G492" s="462"/>
      <c r="H492" s="462"/>
      <c r="I492" s="654"/>
      <c r="J492" s="650"/>
      <c r="K492" s="654"/>
      <c r="L492" s="654"/>
      <c r="M492" s="650"/>
      <c r="N492" s="650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655"/>
      <c r="AB492" s="655"/>
      <c r="AC492" s="655"/>
      <c r="AD492" s="655"/>
    </row>
    <row r="493">
      <c r="B493" s="462"/>
      <c r="C493" s="462"/>
      <c r="D493" s="462"/>
      <c r="E493" s="462"/>
      <c r="F493" s="462"/>
      <c r="G493" s="462"/>
      <c r="H493" s="462"/>
      <c r="I493" s="654"/>
      <c r="J493" s="650"/>
      <c r="K493" s="654"/>
      <c r="L493" s="654"/>
      <c r="M493" s="650"/>
      <c r="N493" s="650"/>
      <c r="O493" s="655"/>
      <c r="P493" s="655"/>
      <c r="Q493" s="655"/>
      <c r="R493" s="655"/>
      <c r="S493" s="655"/>
      <c r="T493" s="655"/>
      <c r="U493" s="655"/>
      <c r="V493" s="655"/>
      <c r="W493" s="655"/>
      <c r="X493" s="655"/>
      <c r="Y493" s="655"/>
      <c r="Z493" s="655"/>
      <c r="AA493" s="655"/>
      <c r="AB493" s="655"/>
      <c r="AC493" s="655"/>
      <c r="AD493" s="655"/>
    </row>
    <row r="494">
      <c r="B494" s="462"/>
      <c r="C494" s="462"/>
      <c r="D494" s="462"/>
      <c r="E494" s="462"/>
      <c r="F494" s="462"/>
      <c r="G494" s="462"/>
      <c r="H494" s="462"/>
      <c r="I494" s="654"/>
      <c r="J494" s="650"/>
      <c r="K494" s="654"/>
      <c r="L494" s="654"/>
      <c r="M494" s="650"/>
      <c r="N494" s="650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5"/>
      <c r="AB494" s="655"/>
      <c r="AC494" s="655"/>
      <c r="AD494" s="655"/>
    </row>
    <row r="495">
      <c r="B495" s="462"/>
      <c r="C495" s="462"/>
      <c r="D495" s="462"/>
      <c r="E495" s="462"/>
      <c r="F495" s="462"/>
      <c r="G495" s="462"/>
      <c r="H495" s="462"/>
      <c r="I495" s="654"/>
      <c r="J495" s="650"/>
      <c r="K495" s="654"/>
      <c r="L495" s="654"/>
      <c r="M495" s="650"/>
      <c r="N495" s="650"/>
      <c r="O495" s="655"/>
      <c r="P495" s="655"/>
      <c r="Q495" s="655"/>
      <c r="R495" s="655"/>
      <c r="S495" s="655"/>
      <c r="T495" s="655"/>
      <c r="U495" s="655"/>
      <c r="V495" s="655"/>
      <c r="W495" s="655"/>
      <c r="X495" s="655"/>
      <c r="Y495" s="655"/>
      <c r="Z495" s="655"/>
      <c r="AA495" s="655"/>
      <c r="AB495" s="655"/>
      <c r="AC495" s="655"/>
      <c r="AD495" s="655"/>
    </row>
    <row r="496">
      <c r="B496" s="462"/>
      <c r="C496" s="462"/>
      <c r="D496" s="462"/>
      <c r="E496" s="462"/>
      <c r="F496" s="462"/>
      <c r="G496" s="462"/>
      <c r="H496" s="462"/>
      <c r="I496" s="654"/>
      <c r="J496" s="650"/>
      <c r="K496" s="654"/>
      <c r="L496" s="654"/>
      <c r="M496" s="650"/>
      <c r="N496" s="650"/>
      <c r="O496" s="655"/>
      <c r="P496" s="655"/>
      <c r="Q496" s="655"/>
      <c r="R496" s="655"/>
      <c r="S496" s="655"/>
      <c r="T496" s="655"/>
      <c r="U496" s="655"/>
      <c r="V496" s="655"/>
      <c r="W496" s="655"/>
      <c r="X496" s="655"/>
      <c r="Y496" s="655"/>
      <c r="Z496" s="655"/>
      <c r="AA496" s="655"/>
      <c r="AB496" s="655"/>
      <c r="AC496" s="655"/>
      <c r="AD496" s="655"/>
    </row>
    <row r="497">
      <c r="B497" s="462"/>
      <c r="C497" s="462"/>
      <c r="D497" s="462"/>
      <c r="E497" s="462"/>
      <c r="F497" s="462"/>
      <c r="G497" s="462"/>
      <c r="H497" s="462"/>
      <c r="I497" s="654"/>
      <c r="J497" s="650"/>
      <c r="K497" s="654"/>
      <c r="L497" s="654"/>
      <c r="M497" s="650"/>
      <c r="N497" s="650"/>
      <c r="O497" s="655"/>
      <c r="P497" s="655"/>
      <c r="Q497" s="655"/>
      <c r="R497" s="655"/>
      <c r="S497" s="655"/>
      <c r="T497" s="655"/>
      <c r="U497" s="655"/>
      <c r="V497" s="655"/>
      <c r="W497" s="655"/>
      <c r="X497" s="655"/>
      <c r="Y497" s="655"/>
      <c r="Z497" s="655"/>
      <c r="AA497" s="655"/>
      <c r="AB497" s="655"/>
      <c r="AC497" s="655"/>
      <c r="AD497" s="655"/>
    </row>
    <row r="498">
      <c r="B498" s="462"/>
      <c r="C498" s="462"/>
      <c r="D498" s="462"/>
      <c r="E498" s="462"/>
      <c r="F498" s="462"/>
      <c r="G498" s="462"/>
      <c r="H498" s="462"/>
      <c r="I498" s="654"/>
      <c r="J498" s="650"/>
      <c r="K498" s="654"/>
      <c r="L498" s="654"/>
      <c r="M498" s="650"/>
      <c r="N498" s="650"/>
      <c r="O498" s="655"/>
      <c r="P498" s="655"/>
      <c r="Q498" s="655"/>
      <c r="R498" s="655"/>
      <c r="S498" s="655"/>
      <c r="T498" s="655"/>
      <c r="U498" s="655"/>
      <c r="V498" s="655"/>
      <c r="W498" s="655"/>
      <c r="X498" s="655"/>
      <c r="Y498" s="655"/>
      <c r="Z498" s="655"/>
      <c r="AA498" s="655"/>
      <c r="AB498" s="655"/>
      <c r="AC498" s="655"/>
      <c r="AD498" s="655"/>
    </row>
    <row r="499">
      <c r="B499" s="462"/>
      <c r="C499" s="462"/>
      <c r="D499" s="462"/>
      <c r="E499" s="462"/>
      <c r="F499" s="462"/>
      <c r="G499" s="462"/>
      <c r="H499" s="462"/>
      <c r="I499" s="654"/>
      <c r="J499" s="650"/>
      <c r="K499" s="654"/>
      <c r="L499" s="654"/>
      <c r="M499" s="650"/>
      <c r="N499" s="650"/>
      <c r="O499" s="655"/>
      <c r="P499" s="655"/>
      <c r="Q499" s="655"/>
      <c r="R499" s="655"/>
      <c r="S499" s="655"/>
      <c r="T499" s="655"/>
      <c r="U499" s="655"/>
      <c r="V499" s="655"/>
      <c r="W499" s="655"/>
      <c r="X499" s="655"/>
      <c r="Y499" s="655"/>
      <c r="Z499" s="655"/>
      <c r="AA499" s="655"/>
      <c r="AB499" s="655"/>
      <c r="AC499" s="655"/>
      <c r="AD499" s="655"/>
    </row>
    <row r="500">
      <c r="B500" s="462"/>
      <c r="C500" s="462"/>
      <c r="D500" s="462"/>
      <c r="E500" s="462"/>
      <c r="F500" s="462"/>
      <c r="G500" s="462"/>
      <c r="H500" s="462"/>
      <c r="I500" s="654"/>
      <c r="J500" s="650"/>
      <c r="K500" s="654"/>
      <c r="L500" s="654"/>
      <c r="M500" s="650"/>
      <c r="N500" s="650"/>
      <c r="O500" s="655"/>
      <c r="P500" s="655"/>
      <c r="Q500" s="655"/>
      <c r="R500" s="655"/>
      <c r="S500" s="655"/>
      <c r="T500" s="655"/>
      <c r="U500" s="655"/>
      <c r="V500" s="655"/>
      <c r="W500" s="655"/>
      <c r="X500" s="655"/>
      <c r="Y500" s="655"/>
      <c r="Z500" s="655"/>
      <c r="AA500" s="655"/>
      <c r="AB500" s="655"/>
      <c r="AC500" s="655"/>
      <c r="AD500" s="655"/>
    </row>
    <row r="501">
      <c r="B501" s="462"/>
      <c r="C501" s="462"/>
      <c r="D501" s="462"/>
      <c r="E501" s="462"/>
      <c r="F501" s="462"/>
      <c r="G501" s="462"/>
      <c r="H501" s="462"/>
      <c r="I501" s="654"/>
      <c r="J501" s="650"/>
      <c r="K501" s="654"/>
      <c r="L501" s="654"/>
      <c r="M501" s="650"/>
      <c r="N501" s="650"/>
      <c r="O501" s="655"/>
      <c r="P501" s="655"/>
      <c r="Q501" s="655"/>
      <c r="R501" s="655"/>
      <c r="S501" s="655"/>
      <c r="T501" s="655"/>
      <c r="U501" s="655"/>
      <c r="V501" s="655"/>
      <c r="W501" s="655"/>
      <c r="X501" s="655"/>
      <c r="Y501" s="655"/>
      <c r="Z501" s="655"/>
      <c r="AA501" s="655"/>
      <c r="AB501" s="655"/>
      <c r="AC501" s="655"/>
      <c r="AD501" s="655"/>
    </row>
    <row r="502">
      <c r="B502" s="462"/>
      <c r="C502" s="462"/>
      <c r="D502" s="462"/>
      <c r="E502" s="462"/>
      <c r="F502" s="462"/>
      <c r="G502" s="462"/>
      <c r="H502" s="462"/>
      <c r="I502" s="654"/>
      <c r="J502" s="650"/>
      <c r="K502" s="654"/>
      <c r="L502" s="654"/>
      <c r="M502" s="650"/>
      <c r="N502" s="650"/>
      <c r="O502" s="655"/>
      <c r="P502" s="655"/>
      <c r="Q502" s="655"/>
      <c r="R502" s="655"/>
      <c r="S502" s="655"/>
      <c r="T502" s="655"/>
      <c r="U502" s="655"/>
      <c r="V502" s="655"/>
      <c r="W502" s="655"/>
      <c r="X502" s="655"/>
      <c r="Y502" s="655"/>
      <c r="Z502" s="655"/>
      <c r="AA502" s="655"/>
      <c r="AB502" s="655"/>
      <c r="AC502" s="655"/>
      <c r="AD502" s="655"/>
    </row>
    <row r="503">
      <c r="B503" s="462"/>
      <c r="C503" s="462"/>
      <c r="D503" s="462"/>
      <c r="E503" s="462"/>
      <c r="F503" s="462"/>
      <c r="G503" s="462"/>
      <c r="H503" s="462"/>
      <c r="I503" s="654"/>
      <c r="J503" s="650"/>
      <c r="K503" s="654"/>
      <c r="L503" s="654"/>
      <c r="M503" s="650"/>
      <c r="N503" s="650"/>
      <c r="O503" s="655"/>
      <c r="P503" s="655"/>
      <c r="Q503" s="655"/>
      <c r="R503" s="655"/>
      <c r="S503" s="655"/>
      <c r="T503" s="655"/>
      <c r="U503" s="655"/>
      <c r="V503" s="655"/>
      <c r="W503" s="655"/>
      <c r="X503" s="655"/>
      <c r="Y503" s="655"/>
      <c r="Z503" s="655"/>
      <c r="AA503" s="655"/>
      <c r="AB503" s="655"/>
      <c r="AC503" s="655"/>
      <c r="AD503" s="655"/>
    </row>
    <row r="504">
      <c r="B504" s="462"/>
      <c r="C504" s="462"/>
      <c r="D504" s="462"/>
      <c r="E504" s="462"/>
      <c r="F504" s="462"/>
      <c r="G504" s="462"/>
      <c r="H504" s="462"/>
      <c r="I504" s="654"/>
      <c r="J504" s="650"/>
      <c r="K504" s="654"/>
      <c r="L504" s="654"/>
      <c r="M504" s="650"/>
      <c r="N504" s="650"/>
      <c r="O504" s="655"/>
      <c r="P504" s="655"/>
      <c r="Q504" s="655"/>
      <c r="R504" s="655"/>
      <c r="S504" s="655"/>
      <c r="T504" s="655"/>
      <c r="U504" s="655"/>
      <c r="V504" s="655"/>
      <c r="W504" s="655"/>
      <c r="X504" s="655"/>
      <c r="Y504" s="655"/>
      <c r="Z504" s="655"/>
      <c r="AA504" s="655"/>
      <c r="AB504" s="655"/>
      <c r="AC504" s="655"/>
      <c r="AD504" s="655"/>
    </row>
    <row r="505">
      <c r="B505" s="462"/>
      <c r="C505" s="462"/>
      <c r="D505" s="462"/>
      <c r="E505" s="462"/>
      <c r="F505" s="462"/>
      <c r="G505" s="462"/>
      <c r="H505" s="462"/>
      <c r="I505" s="654"/>
      <c r="J505" s="650"/>
      <c r="K505" s="654"/>
      <c r="L505" s="654"/>
      <c r="M505" s="650"/>
      <c r="N505" s="650"/>
      <c r="O505" s="655"/>
      <c r="P505" s="655"/>
      <c r="Q505" s="655"/>
      <c r="R505" s="655"/>
      <c r="S505" s="655"/>
      <c r="T505" s="655"/>
      <c r="U505" s="655"/>
      <c r="V505" s="655"/>
      <c r="W505" s="655"/>
      <c r="X505" s="655"/>
      <c r="Y505" s="655"/>
      <c r="Z505" s="655"/>
      <c r="AA505" s="655"/>
      <c r="AB505" s="655"/>
      <c r="AC505" s="655"/>
      <c r="AD505" s="655"/>
    </row>
    <row r="506">
      <c r="B506" s="462"/>
      <c r="C506" s="462"/>
      <c r="D506" s="462"/>
      <c r="E506" s="462"/>
      <c r="F506" s="462"/>
      <c r="G506" s="462"/>
      <c r="H506" s="462"/>
      <c r="I506" s="654"/>
      <c r="J506" s="650"/>
      <c r="K506" s="654"/>
      <c r="L506" s="654"/>
      <c r="M506" s="650"/>
      <c r="N506" s="650"/>
      <c r="O506" s="655"/>
      <c r="P506" s="655"/>
      <c r="Q506" s="655"/>
      <c r="R506" s="655"/>
      <c r="S506" s="655"/>
      <c r="T506" s="655"/>
      <c r="U506" s="655"/>
      <c r="V506" s="655"/>
      <c r="W506" s="655"/>
      <c r="X506" s="655"/>
      <c r="Y506" s="655"/>
      <c r="Z506" s="655"/>
      <c r="AA506" s="655"/>
      <c r="AB506" s="655"/>
      <c r="AC506" s="655"/>
      <c r="AD506" s="655"/>
    </row>
    <row r="507">
      <c r="B507" s="462"/>
      <c r="C507" s="462"/>
      <c r="D507" s="462"/>
      <c r="E507" s="462"/>
      <c r="F507" s="462"/>
      <c r="G507" s="462"/>
      <c r="H507" s="462"/>
      <c r="I507" s="654"/>
      <c r="J507" s="650"/>
      <c r="K507" s="654"/>
      <c r="L507" s="654"/>
      <c r="M507" s="650"/>
      <c r="N507" s="650"/>
      <c r="O507" s="655"/>
      <c r="P507" s="655"/>
      <c r="Q507" s="655"/>
      <c r="R507" s="655"/>
      <c r="S507" s="655"/>
      <c r="T507" s="655"/>
      <c r="U507" s="655"/>
      <c r="V507" s="655"/>
      <c r="W507" s="655"/>
      <c r="X507" s="655"/>
      <c r="Y507" s="655"/>
      <c r="Z507" s="655"/>
      <c r="AA507" s="655"/>
      <c r="AB507" s="655"/>
      <c r="AC507" s="655"/>
      <c r="AD507" s="655"/>
    </row>
    <row r="508">
      <c r="B508" s="462"/>
      <c r="C508" s="462"/>
      <c r="D508" s="462"/>
      <c r="E508" s="462"/>
      <c r="F508" s="462"/>
      <c r="G508" s="462"/>
      <c r="H508" s="462"/>
      <c r="I508" s="654"/>
      <c r="J508" s="650"/>
      <c r="K508" s="654"/>
      <c r="L508" s="654"/>
      <c r="M508" s="650"/>
      <c r="N508" s="650"/>
      <c r="O508" s="655"/>
      <c r="P508" s="655"/>
      <c r="Q508" s="655"/>
      <c r="R508" s="655"/>
      <c r="S508" s="655"/>
      <c r="T508" s="655"/>
      <c r="U508" s="655"/>
      <c r="V508" s="655"/>
      <c r="W508" s="655"/>
      <c r="X508" s="655"/>
      <c r="Y508" s="655"/>
      <c r="Z508" s="655"/>
      <c r="AA508" s="655"/>
      <c r="AB508" s="655"/>
      <c r="AC508" s="655"/>
      <c r="AD508" s="655"/>
    </row>
    <row r="509">
      <c r="B509" s="462"/>
      <c r="C509" s="462"/>
      <c r="D509" s="462"/>
      <c r="E509" s="462"/>
      <c r="F509" s="462"/>
      <c r="G509" s="462"/>
      <c r="H509" s="462"/>
      <c r="I509" s="654"/>
      <c r="J509" s="650"/>
      <c r="K509" s="654"/>
      <c r="L509" s="654"/>
      <c r="M509" s="650"/>
      <c r="N509" s="650"/>
      <c r="O509" s="655"/>
      <c r="P509" s="655"/>
      <c r="Q509" s="655"/>
      <c r="R509" s="655"/>
      <c r="S509" s="655"/>
      <c r="T509" s="655"/>
      <c r="U509" s="655"/>
      <c r="V509" s="655"/>
      <c r="W509" s="655"/>
      <c r="X509" s="655"/>
      <c r="Y509" s="655"/>
      <c r="Z509" s="655"/>
      <c r="AA509" s="655"/>
      <c r="AB509" s="655"/>
      <c r="AC509" s="655"/>
      <c r="AD509" s="655"/>
    </row>
    <row r="510">
      <c r="B510" s="462"/>
      <c r="C510" s="462"/>
      <c r="D510" s="462"/>
      <c r="E510" s="462"/>
      <c r="F510" s="462"/>
      <c r="G510" s="462"/>
      <c r="H510" s="462"/>
      <c r="I510" s="654"/>
      <c r="J510" s="650"/>
      <c r="K510" s="654"/>
      <c r="L510" s="654"/>
      <c r="M510" s="650"/>
      <c r="N510" s="650"/>
      <c r="O510" s="655"/>
      <c r="P510" s="655"/>
      <c r="Q510" s="655"/>
      <c r="R510" s="655"/>
      <c r="S510" s="655"/>
      <c r="T510" s="655"/>
      <c r="U510" s="655"/>
      <c r="V510" s="655"/>
      <c r="W510" s="655"/>
      <c r="X510" s="655"/>
      <c r="Y510" s="655"/>
      <c r="Z510" s="655"/>
      <c r="AA510" s="655"/>
      <c r="AB510" s="655"/>
      <c r="AC510" s="655"/>
      <c r="AD510" s="655"/>
    </row>
    <row r="511">
      <c r="B511" s="462"/>
      <c r="C511" s="462"/>
      <c r="D511" s="462"/>
      <c r="E511" s="462"/>
      <c r="F511" s="462"/>
      <c r="G511" s="462"/>
      <c r="H511" s="462"/>
      <c r="I511" s="654"/>
      <c r="J511" s="650"/>
      <c r="K511" s="654"/>
      <c r="L511" s="654"/>
      <c r="M511" s="650"/>
      <c r="N511" s="650"/>
      <c r="O511" s="655"/>
      <c r="P511" s="655"/>
      <c r="Q511" s="655"/>
      <c r="R511" s="655"/>
      <c r="S511" s="655"/>
      <c r="T511" s="655"/>
      <c r="U511" s="655"/>
      <c r="V511" s="655"/>
      <c r="W511" s="655"/>
      <c r="X511" s="655"/>
      <c r="Y511" s="655"/>
      <c r="Z511" s="655"/>
      <c r="AA511" s="655"/>
      <c r="AB511" s="655"/>
      <c r="AC511" s="655"/>
      <c r="AD511" s="655"/>
    </row>
    <row r="512">
      <c r="B512" s="462"/>
      <c r="C512" s="462"/>
      <c r="D512" s="462"/>
      <c r="E512" s="462"/>
      <c r="F512" s="462"/>
      <c r="G512" s="462"/>
      <c r="H512" s="462"/>
      <c r="I512" s="654"/>
      <c r="J512" s="650"/>
      <c r="K512" s="654"/>
      <c r="L512" s="654"/>
      <c r="M512" s="650"/>
      <c r="N512" s="650"/>
      <c r="O512" s="655"/>
      <c r="P512" s="655"/>
      <c r="Q512" s="655"/>
      <c r="R512" s="655"/>
      <c r="S512" s="655"/>
      <c r="T512" s="655"/>
      <c r="U512" s="655"/>
      <c r="V512" s="655"/>
      <c r="W512" s="655"/>
      <c r="X512" s="655"/>
      <c r="Y512" s="655"/>
      <c r="Z512" s="655"/>
      <c r="AA512" s="655"/>
      <c r="AB512" s="655"/>
      <c r="AC512" s="655"/>
      <c r="AD512" s="655"/>
    </row>
    <row r="513">
      <c r="B513" s="462"/>
      <c r="C513" s="462"/>
      <c r="D513" s="462"/>
      <c r="E513" s="462"/>
      <c r="F513" s="462"/>
      <c r="G513" s="462"/>
      <c r="H513" s="462"/>
      <c r="I513" s="654"/>
      <c r="J513" s="650"/>
      <c r="K513" s="654"/>
      <c r="L513" s="654"/>
      <c r="M513" s="650"/>
      <c r="N513" s="650"/>
      <c r="O513" s="655"/>
      <c r="P513" s="655"/>
      <c r="Q513" s="655"/>
      <c r="R513" s="655"/>
      <c r="S513" s="655"/>
      <c r="T513" s="655"/>
      <c r="U513" s="655"/>
      <c r="V513" s="655"/>
      <c r="W513" s="655"/>
      <c r="X513" s="655"/>
      <c r="Y513" s="655"/>
      <c r="Z513" s="655"/>
      <c r="AA513" s="655"/>
      <c r="AB513" s="655"/>
      <c r="AC513" s="655"/>
      <c r="AD513" s="655"/>
    </row>
    <row r="514">
      <c r="B514" s="462"/>
      <c r="C514" s="462"/>
      <c r="D514" s="462"/>
      <c r="E514" s="462"/>
      <c r="F514" s="462"/>
      <c r="G514" s="462"/>
      <c r="H514" s="462"/>
      <c r="I514" s="654"/>
      <c r="J514" s="650"/>
      <c r="K514" s="654"/>
      <c r="L514" s="654"/>
      <c r="M514" s="650"/>
      <c r="N514" s="650"/>
      <c r="O514" s="655"/>
      <c r="P514" s="655"/>
      <c r="Q514" s="655"/>
      <c r="R514" s="655"/>
      <c r="S514" s="655"/>
      <c r="T514" s="655"/>
      <c r="U514" s="655"/>
      <c r="V514" s="655"/>
      <c r="W514" s="655"/>
      <c r="X514" s="655"/>
      <c r="Y514" s="655"/>
      <c r="Z514" s="655"/>
      <c r="AA514" s="655"/>
      <c r="AB514" s="655"/>
      <c r="AC514" s="655"/>
      <c r="AD514" s="655"/>
    </row>
    <row r="515">
      <c r="B515" s="462"/>
      <c r="C515" s="462"/>
      <c r="D515" s="462"/>
      <c r="E515" s="462"/>
      <c r="F515" s="462"/>
      <c r="G515" s="462"/>
      <c r="H515" s="462"/>
      <c r="I515" s="654"/>
      <c r="J515" s="650"/>
      <c r="K515" s="654"/>
      <c r="L515" s="654"/>
      <c r="M515" s="650"/>
      <c r="N515" s="650"/>
      <c r="O515" s="655"/>
      <c r="P515" s="655"/>
      <c r="Q515" s="655"/>
      <c r="R515" s="655"/>
      <c r="S515" s="655"/>
      <c r="T515" s="655"/>
      <c r="U515" s="655"/>
      <c r="V515" s="655"/>
      <c r="W515" s="655"/>
      <c r="X515" s="655"/>
      <c r="Y515" s="655"/>
      <c r="Z515" s="655"/>
      <c r="AA515" s="655"/>
      <c r="AB515" s="655"/>
      <c r="AC515" s="655"/>
      <c r="AD515" s="655"/>
    </row>
    <row r="516">
      <c r="B516" s="462"/>
      <c r="C516" s="462"/>
      <c r="D516" s="462"/>
      <c r="E516" s="462"/>
      <c r="F516" s="462"/>
      <c r="G516" s="462"/>
      <c r="H516" s="462"/>
      <c r="I516" s="654"/>
      <c r="J516" s="650"/>
      <c r="K516" s="654"/>
      <c r="L516" s="654"/>
      <c r="M516" s="650"/>
      <c r="N516" s="650"/>
      <c r="O516" s="655"/>
      <c r="P516" s="655"/>
      <c r="Q516" s="655"/>
      <c r="R516" s="655"/>
      <c r="S516" s="655"/>
      <c r="T516" s="655"/>
      <c r="U516" s="655"/>
      <c r="V516" s="655"/>
      <c r="W516" s="655"/>
      <c r="X516" s="655"/>
      <c r="Y516" s="655"/>
      <c r="Z516" s="655"/>
      <c r="AA516" s="655"/>
      <c r="AB516" s="655"/>
      <c r="AC516" s="655"/>
      <c r="AD516" s="655"/>
    </row>
    <row r="517">
      <c r="B517" s="462"/>
      <c r="C517" s="462"/>
      <c r="D517" s="462"/>
      <c r="E517" s="462"/>
      <c r="F517" s="462"/>
      <c r="G517" s="462"/>
      <c r="H517" s="462"/>
      <c r="I517" s="654"/>
      <c r="J517" s="650"/>
      <c r="K517" s="654"/>
      <c r="L517" s="654"/>
      <c r="M517" s="650"/>
      <c r="N517" s="650"/>
      <c r="O517" s="655"/>
      <c r="P517" s="655"/>
      <c r="Q517" s="655"/>
      <c r="R517" s="655"/>
      <c r="S517" s="655"/>
      <c r="T517" s="655"/>
      <c r="U517" s="655"/>
      <c r="V517" s="655"/>
      <c r="W517" s="655"/>
      <c r="X517" s="655"/>
      <c r="Y517" s="655"/>
      <c r="Z517" s="655"/>
      <c r="AA517" s="655"/>
      <c r="AB517" s="655"/>
      <c r="AC517" s="655"/>
      <c r="AD517" s="655"/>
    </row>
    <row r="518">
      <c r="B518" s="462"/>
      <c r="C518" s="462"/>
      <c r="D518" s="462"/>
      <c r="E518" s="462"/>
      <c r="F518" s="462"/>
      <c r="G518" s="462"/>
      <c r="H518" s="462"/>
      <c r="I518" s="654"/>
      <c r="J518" s="650"/>
      <c r="K518" s="654"/>
      <c r="L518" s="654"/>
      <c r="M518" s="650"/>
      <c r="N518" s="650"/>
      <c r="O518" s="655"/>
      <c r="P518" s="655"/>
      <c r="Q518" s="655"/>
      <c r="R518" s="655"/>
      <c r="S518" s="655"/>
      <c r="T518" s="655"/>
      <c r="U518" s="655"/>
      <c r="V518" s="655"/>
      <c r="W518" s="655"/>
      <c r="X518" s="655"/>
      <c r="Y518" s="655"/>
      <c r="Z518" s="655"/>
      <c r="AA518" s="655"/>
      <c r="AB518" s="655"/>
      <c r="AC518" s="655"/>
      <c r="AD518" s="655"/>
    </row>
    <row r="519">
      <c r="B519" s="462"/>
      <c r="C519" s="462"/>
      <c r="D519" s="462"/>
      <c r="E519" s="462"/>
      <c r="F519" s="462"/>
      <c r="G519" s="462"/>
      <c r="H519" s="462"/>
      <c r="I519" s="654"/>
      <c r="J519" s="650"/>
      <c r="K519" s="654"/>
      <c r="L519" s="654"/>
      <c r="M519" s="650"/>
      <c r="N519" s="650"/>
      <c r="O519" s="655"/>
      <c r="P519" s="655"/>
      <c r="Q519" s="655"/>
      <c r="R519" s="655"/>
      <c r="S519" s="655"/>
      <c r="T519" s="655"/>
      <c r="U519" s="655"/>
      <c r="V519" s="655"/>
      <c r="W519" s="655"/>
      <c r="X519" s="655"/>
      <c r="Y519" s="655"/>
      <c r="Z519" s="655"/>
      <c r="AA519" s="655"/>
      <c r="AB519" s="655"/>
      <c r="AC519" s="655"/>
      <c r="AD519" s="655"/>
    </row>
    <row r="520">
      <c r="B520" s="462"/>
      <c r="C520" s="462"/>
      <c r="D520" s="462"/>
      <c r="E520" s="462"/>
      <c r="F520" s="462"/>
      <c r="G520" s="462"/>
      <c r="H520" s="462"/>
      <c r="I520" s="654"/>
      <c r="J520" s="650"/>
      <c r="K520" s="654"/>
      <c r="L520" s="654"/>
      <c r="M520" s="650"/>
      <c r="N520" s="650"/>
      <c r="O520" s="655"/>
      <c r="P520" s="655"/>
      <c r="Q520" s="655"/>
      <c r="R520" s="655"/>
      <c r="S520" s="655"/>
      <c r="T520" s="655"/>
      <c r="U520" s="655"/>
      <c r="V520" s="655"/>
      <c r="W520" s="655"/>
      <c r="X520" s="655"/>
      <c r="Y520" s="655"/>
      <c r="Z520" s="655"/>
      <c r="AA520" s="655"/>
      <c r="AB520" s="655"/>
      <c r="AC520" s="655"/>
      <c r="AD520" s="655"/>
    </row>
    <row r="521">
      <c r="B521" s="462"/>
      <c r="C521" s="462"/>
      <c r="D521" s="462"/>
      <c r="E521" s="462"/>
      <c r="F521" s="462"/>
      <c r="G521" s="462"/>
      <c r="H521" s="462"/>
      <c r="I521" s="654"/>
      <c r="J521" s="650"/>
      <c r="K521" s="654"/>
      <c r="L521" s="654"/>
      <c r="M521" s="650"/>
      <c r="N521" s="650"/>
      <c r="O521" s="655"/>
      <c r="P521" s="655"/>
      <c r="Q521" s="655"/>
      <c r="R521" s="655"/>
      <c r="S521" s="655"/>
      <c r="T521" s="655"/>
      <c r="U521" s="655"/>
      <c r="V521" s="655"/>
      <c r="W521" s="655"/>
      <c r="X521" s="655"/>
      <c r="Y521" s="655"/>
      <c r="Z521" s="655"/>
      <c r="AA521" s="655"/>
      <c r="AB521" s="655"/>
      <c r="AC521" s="655"/>
      <c r="AD521" s="655"/>
    </row>
    <row r="522">
      <c r="B522" s="462"/>
      <c r="C522" s="462"/>
      <c r="D522" s="462"/>
      <c r="E522" s="462"/>
      <c r="F522" s="462"/>
      <c r="G522" s="462"/>
      <c r="H522" s="462"/>
      <c r="I522" s="654"/>
      <c r="J522" s="650"/>
      <c r="K522" s="654"/>
      <c r="L522" s="654"/>
      <c r="M522" s="650"/>
      <c r="N522" s="650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655"/>
      <c r="AB522" s="655"/>
      <c r="AC522" s="655"/>
      <c r="AD522" s="655"/>
    </row>
    <row r="523">
      <c r="B523" s="462"/>
      <c r="C523" s="462"/>
      <c r="D523" s="462"/>
      <c r="E523" s="462"/>
      <c r="F523" s="462"/>
      <c r="G523" s="462"/>
      <c r="H523" s="462"/>
      <c r="I523" s="654"/>
      <c r="J523" s="650"/>
      <c r="K523" s="654"/>
      <c r="L523" s="654"/>
      <c r="M523" s="650"/>
      <c r="N523" s="650"/>
      <c r="O523" s="655"/>
      <c r="P523" s="655"/>
      <c r="Q523" s="655"/>
      <c r="R523" s="655"/>
      <c r="S523" s="655"/>
      <c r="T523" s="655"/>
      <c r="U523" s="655"/>
      <c r="V523" s="655"/>
      <c r="W523" s="655"/>
      <c r="X523" s="655"/>
      <c r="Y523" s="655"/>
      <c r="Z523" s="655"/>
      <c r="AA523" s="655"/>
      <c r="AB523" s="655"/>
      <c r="AC523" s="655"/>
      <c r="AD523" s="655"/>
    </row>
    <row r="524">
      <c r="B524" s="462"/>
      <c r="C524" s="462"/>
      <c r="D524" s="462"/>
      <c r="E524" s="462"/>
      <c r="F524" s="462"/>
      <c r="G524" s="462"/>
      <c r="H524" s="462"/>
      <c r="I524" s="654"/>
      <c r="J524" s="650"/>
      <c r="K524" s="654"/>
      <c r="L524" s="654"/>
      <c r="M524" s="650"/>
      <c r="N524" s="650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5"/>
      <c r="AB524" s="655"/>
      <c r="AC524" s="655"/>
      <c r="AD524" s="655"/>
    </row>
    <row r="525">
      <c r="B525" s="462"/>
      <c r="C525" s="462"/>
      <c r="D525" s="462"/>
      <c r="E525" s="462"/>
      <c r="F525" s="462"/>
      <c r="G525" s="462"/>
      <c r="H525" s="462"/>
      <c r="I525" s="654"/>
      <c r="J525" s="650"/>
      <c r="K525" s="654"/>
      <c r="L525" s="654"/>
      <c r="M525" s="650"/>
      <c r="N525" s="650"/>
      <c r="O525" s="655"/>
      <c r="P525" s="655"/>
      <c r="Q525" s="655"/>
      <c r="R525" s="655"/>
      <c r="S525" s="655"/>
      <c r="T525" s="655"/>
      <c r="U525" s="655"/>
      <c r="V525" s="655"/>
      <c r="W525" s="655"/>
      <c r="X525" s="655"/>
      <c r="Y525" s="655"/>
      <c r="Z525" s="655"/>
      <c r="AA525" s="655"/>
      <c r="AB525" s="655"/>
      <c r="AC525" s="655"/>
      <c r="AD525" s="655"/>
    </row>
    <row r="526">
      <c r="B526" s="462"/>
      <c r="C526" s="462"/>
      <c r="D526" s="462"/>
      <c r="E526" s="462"/>
      <c r="F526" s="462"/>
      <c r="G526" s="462"/>
      <c r="H526" s="462"/>
      <c r="I526" s="654"/>
      <c r="J526" s="650"/>
      <c r="K526" s="654"/>
      <c r="L526" s="654"/>
      <c r="M526" s="650"/>
      <c r="N526" s="650"/>
      <c r="O526" s="655"/>
      <c r="P526" s="655"/>
      <c r="Q526" s="655"/>
      <c r="R526" s="655"/>
      <c r="S526" s="655"/>
      <c r="T526" s="655"/>
      <c r="U526" s="655"/>
      <c r="V526" s="655"/>
      <c r="W526" s="655"/>
      <c r="X526" s="655"/>
      <c r="Y526" s="655"/>
      <c r="Z526" s="655"/>
      <c r="AA526" s="655"/>
      <c r="AB526" s="655"/>
      <c r="AC526" s="655"/>
      <c r="AD526" s="655"/>
    </row>
    <row r="527">
      <c r="B527" s="462"/>
      <c r="C527" s="462"/>
      <c r="D527" s="462"/>
      <c r="E527" s="462"/>
      <c r="F527" s="462"/>
      <c r="G527" s="462"/>
      <c r="H527" s="462"/>
      <c r="I527" s="654"/>
      <c r="J527" s="650"/>
      <c r="K527" s="654"/>
      <c r="L527" s="654"/>
      <c r="M527" s="650"/>
      <c r="N527" s="650"/>
      <c r="O527" s="655"/>
      <c r="P527" s="655"/>
      <c r="Q527" s="655"/>
      <c r="R527" s="655"/>
      <c r="S527" s="655"/>
      <c r="T527" s="655"/>
      <c r="U527" s="655"/>
      <c r="V527" s="655"/>
      <c r="W527" s="655"/>
      <c r="X527" s="655"/>
      <c r="Y527" s="655"/>
      <c r="Z527" s="655"/>
      <c r="AA527" s="655"/>
      <c r="AB527" s="655"/>
      <c r="AC527" s="655"/>
      <c r="AD527" s="655"/>
    </row>
    <row r="528">
      <c r="B528" s="462"/>
      <c r="C528" s="462"/>
      <c r="D528" s="462"/>
      <c r="E528" s="462"/>
      <c r="F528" s="462"/>
      <c r="G528" s="462"/>
      <c r="H528" s="462"/>
      <c r="I528" s="654"/>
      <c r="J528" s="650"/>
      <c r="K528" s="654"/>
      <c r="L528" s="654"/>
      <c r="M528" s="650"/>
      <c r="N528" s="650"/>
      <c r="O528" s="655"/>
      <c r="P528" s="655"/>
      <c r="Q528" s="655"/>
      <c r="R528" s="655"/>
      <c r="S528" s="655"/>
      <c r="T528" s="655"/>
      <c r="U528" s="655"/>
      <c r="V528" s="655"/>
      <c r="W528" s="655"/>
      <c r="X528" s="655"/>
      <c r="Y528" s="655"/>
      <c r="Z528" s="655"/>
      <c r="AA528" s="655"/>
      <c r="AB528" s="655"/>
      <c r="AC528" s="655"/>
      <c r="AD528" s="655"/>
    </row>
    <row r="529">
      <c r="B529" s="462"/>
      <c r="C529" s="462"/>
      <c r="D529" s="462"/>
      <c r="E529" s="462"/>
      <c r="F529" s="462"/>
      <c r="G529" s="462"/>
      <c r="H529" s="462"/>
      <c r="I529" s="654"/>
      <c r="J529" s="650"/>
      <c r="K529" s="654"/>
      <c r="L529" s="654"/>
      <c r="M529" s="650"/>
      <c r="N529" s="650"/>
      <c r="O529" s="655"/>
      <c r="P529" s="655"/>
      <c r="Q529" s="655"/>
      <c r="R529" s="655"/>
      <c r="S529" s="655"/>
      <c r="T529" s="655"/>
      <c r="U529" s="655"/>
      <c r="V529" s="655"/>
      <c r="W529" s="655"/>
      <c r="X529" s="655"/>
      <c r="Y529" s="655"/>
      <c r="Z529" s="655"/>
      <c r="AA529" s="655"/>
      <c r="AB529" s="655"/>
      <c r="AC529" s="655"/>
      <c r="AD529" s="655"/>
    </row>
    <row r="530">
      <c r="B530" s="462"/>
      <c r="C530" s="462"/>
      <c r="D530" s="462"/>
      <c r="E530" s="462"/>
      <c r="F530" s="462"/>
      <c r="G530" s="462"/>
      <c r="H530" s="462"/>
      <c r="I530" s="654"/>
      <c r="J530" s="650"/>
      <c r="K530" s="654"/>
      <c r="L530" s="654"/>
      <c r="M530" s="650"/>
      <c r="N530" s="650"/>
      <c r="O530" s="655"/>
      <c r="P530" s="655"/>
      <c r="Q530" s="655"/>
      <c r="R530" s="655"/>
      <c r="S530" s="655"/>
      <c r="T530" s="655"/>
      <c r="U530" s="655"/>
      <c r="V530" s="655"/>
      <c r="W530" s="655"/>
      <c r="X530" s="655"/>
      <c r="Y530" s="655"/>
      <c r="Z530" s="655"/>
      <c r="AA530" s="655"/>
      <c r="AB530" s="655"/>
      <c r="AC530" s="655"/>
      <c r="AD530" s="655"/>
    </row>
    <row r="531">
      <c r="B531" s="462"/>
      <c r="C531" s="462"/>
      <c r="D531" s="462"/>
      <c r="E531" s="462"/>
      <c r="F531" s="462"/>
      <c r="G531" s="462"/>
      <c r="H531" s="462"/>
      <c r="I531" s="654"/>
      <c r="J531" s="650"/>
      <c r="K531" s="654"/>
      <c r="L531" s="654"/>
      <c r="M531" s="650"/>
      <c r="N531" s="650"/>
      <c r="O531" s="655"/>
      <c r="P531" s="655"/>
      <c r="Q531" s="655"/>
      <c r="R531" s="655"/>
      <c r="S531" s="655"/>
      <c r="T531" s="655"/>
      <c r="U531" s="655"/>
      <c r="V531" s="655"/>
      <c r="W531" s="655"/>
      <c r="X531" s="655"/>
      <c r="Y531" s="655"/>
      <c r="Z531" s="655"/>
      <c r="AA531" s="655"/>
      <c r="AB531" s="655"/>
      <c r="AC531" s="655"/>
      <c r="AD531" s="655"/>
    </row>
    <row r="532">
      <c r="B532" s="462"/>
      <c r="C532" s="462"/>
      <c r="D532" s="462"/>
      <c r="E532" s="462"/>
      <c r="F532" s="462"/>
      <c r="G532" s="462"/>
      <c r="H532" s="462"/>
      <c r="I532" s="654"/>
      <c r="J532" s="650"/>
      <c r="K532" s="654"/>
      <c r="L532" s="654"/>
      <c r="M532" s="650"/>
      <c r="N532" s="650"/>
      <c r="O532" s="655"/>
      <c r="P532" s="655"/>
      <c r="Q532" s="655"/>
      <c r="R532" s="655"/>
      <c r="S532" s="655"/>
      <c r="T532" s="655"/>
      <c r="U532" s="655"/>
      <c r="V532" s="655"/>
      <c r="W532" s="655"/>
      <c r="X532" s="655"/>
      <c r="Y532" s="655"/>
      <c r="Z532" s="655"/>
      <c r="AA532" s="655"/>
      <c r="AB532" s="655"/>
      <c r="AC532" s="655"/>
      <c r="AD532" s="655"/>
    </row>
    <row r="533">
      <c r="B533" s="462"/>
      <c r="C533" s="462"/>
      <c r="D533" s="462"/>
      <c r="E533" s="462"/>
      <c r="F533" s="462"/>
      <c r="G533" s="462"/>
      <c r="H533" s="462"/>
      <c r="I533" s="654"/>
      <c r="J533" s="650"/>
      <c r="K533" s="654"/>
      <c r="L533" s="654"/>
      <c r="M533" s="650"/>
      <c r="N533" s="650"/>
      <c r="O533" s="655"/>
      <c r="P533" s="655"/>
      <c r="Q533" s="655"/>
      <c r="R533" s="655"/>
      <c r="S533" s="655"/>
      <c r="T533" s="655"/>
      <c r="U533" s="655"/>
      <c r="V533" s="655"/>
      <c r="W533" s="655"/>
      <c r="X533" s="655"/>
      <c r="Y533" s="655"/>
      <c r="Z533" s="655"/>
      <c r="AA533" s="655"/>
      <c r="AB533" s="655"/>
      <c r="AC533" s="655"/>
      <c r="AD533" s="655"/>
    </row>
    <row r="534">
      <c r="B534" s="462"/>
      <c r="C534" s="462"/>
      <c r="D534" s="462"/>
      <c r="E534" s="462"/>
      <c r="F534" s="462"/>
      <c r="G534" s="462"/>
      <c r="H534" s="462"/>
      <c r="I534" s="654"/>
      <c r="J534" s="650"/>
      <c r="K534" s="654"/>
      <c r="L534" s="654"/>
      <c r="M534" s="650"/>
      <c r="N534" s="650"/>
      <c r="O534" s="655"/>
      <c r="P534" s="655"/>
      <c r="Q534" s="655"/>
      <c r="R534" s="655"/>
      <c r="S534" s="655"/>
      <c r="T534" s="655"/>
      <c r="U534" s="655"/>
      <c r="V534" s="655"/>
      <c r="W534" s="655"/>
      <c r="X534" s="655"/>
      <c r="Y534" s="655"/>
      <c r="Z534" s="655"/>
      <c r="AA534" s="655"/>
      <c r="AB534" s="655"/>
      <c r="AC534" s="655"/>
      <c r="AD534" s="655"/>
    </row>
    <row r="535">
      <c r="B535" s="462"/>
      <c r="C535" s="462"/>
      <c r="D535" s="462"/>
      <c r="E535" s="462"/>
      <c r="F535" s="462"/>
      <c r="G535" s="462"/>
      <c r="H535" s="462"/>
      <c r="I535" s="654"/>
      <c r="J535" s="650"/>
      <c r="K535" s="654"/>
      <c r="L535" s="654"/>
      <c r="M535" s="650"/>
      <c r="N535" s="650"/>
      <c r="O535" s="655"/>
      <c r="P535" s="655"/>
      <c r="Q535" s="655"/>
      <c r="R535" s="655"/>
      <c r="S535" s="655"/>
      <c r="T535" s="655"/>
      <c r="U535" s="655"/>
      <c r="V535" s="655"/>
      <c r="W535" s="655"/>
      <c r="X535" s="655"/>
      <c r="Y535" s="655"/>
      <c r="Z535" s="655"/>
      <c r="AA535" s="655"/>
      <c r="AB535" s="655"/>
      <c r="AC535" s="655"/>
      <c r="AD535" s="655"/>
    </row>
    <row r="536">
      <c r="B536" s="462"/>
      <c r="C536" s="462"/>
      <c r="D536" s="462"/>
      <c r="E536" s="462"/>
      <c r="F536" s="462"/>
      <c r="G536" s="462"/>
      <c r="H536" s="462"/>
      <c r="I536" s="654"/>
      <c r="J536" s="650"/>
      <c r="K536" s="654"/>
      <c r="L536" s="654"/>
      <c r="M536" s="650"/>
      <c r="N536" s="650"/>
      <c r="O536" s="655"/>
      <c r="P536" s="655"/>
      <c r="Q536" s="655"/>
      <c r="R536" s="655"/>
      <c r="S536" s="655"/>
      <c r="T536" s="655"/>
      <c r="U536" s="655"/>
      <c r="V536" s="655"/>
      <c r="W536" s="655"/>
      <c r="X536" s="655"/>
      <c r="Y536" s="655"/>
      <c r="Z536" s="655"/>
      <c r="AA536" s="655"/>
      <c r="AB536" s="655"/>
      <c r="AC536" s="655"/>
      <c r="AD536" s="655"/>
    </row>
    <row r="537">
      <c r="B537" s="462"/>
      <c r="C537" s="462"/>
      <c r="D537" s="462"/>
      <c r="E537" s="462"/>
      <c r="F537" s="462"/>
      <c r="G537" s="462"/>
      <c r="H537" s="462"/>
      <c r="I537" s="654"/>
      <c r="J537" s="650"/>
      <c r="K537" s="654"/>
      <c r="L537" s="654"/>
      <c r="M537" s="650"/>
      <c r="N537" s="650"/>
      <c r="O537" s="655"/>
      <c r="P537" s="655"/>
      <c r="Q537" s="655"/>
      <c r="R537" s="655"/>
      <c r="S537" s="655"/>
      <c r="T537" s="655"/>
      <c r="U537" s="655"/>
      <c r="V537" s="655"/>
      <c r="W537" s="655"/>
      <c r="X537" s="655"/>
      <c r="Y537" s="655"/>
      <c r="Z537" s="655"/>
      <c r="AA537" s="655"/>
      <c r="AB537" s="655"/>
      <c r="AC537" s="655"/>
      <c r="AD537" s="655"/>
    </row>
    <row r="538">
      <c r="B538" s="462"/>
      <c r="C538" s="462"/>
      <c r="D538" s="462"/>
      <c r="E538" s="462"/>
      <c r="F538" s="462"/>
      <c r="G538" s="462"/>
      <c r="H538" s="462"/>
      <c r="I538" s="654"/>
      <c r="J538" s="650"/>
      <c r="K538" s="654"/>
      <c r="L538" s="654"/>
      <c r="M538" s="650"/>
      <c r="N538" s="650"/>
      <c r="O538" s="655"/>
      <c r="P538" s="655"/>
      <c r="Q538" s="655"/>
      <c r="R538" s="655"/>
      <c r="S538" s="655"/>
      <c r="T538" s="655"/>
      <c r="U538" s="655"/>
      <c r="V538" s="655"/>
      <c r="W538" s="655"/>
      <c r="X538" s="655"/>
      <c r="Y538" s="655"/>
      <c r="Z538" s="655"/>
      <c r="AA538" s="655"/>
      <c r="AB538" s="655"/>
      <c r="AC538" s="655"/>
      <c r="AD538" s="655"/>
    </row>
    <row r="539">
      <c r="B539" s="462"/>
      <c r="C539" s="462"/>
      <c r="D539" s="462"/>
      <c r="E539" s="462"/>
      <c r="F539" s="462"/>
      <c r="G539" s="462"/>
      <c r="H539" s="462"/>
      <c r="I539" s="654"/>
      <c r="J539" s="650"/>
      <c r="K539" s="654"/>
      <c r="L539" s="654"/>
      <c r="M539" s="650"/>
      <c r="N539" s="650"/>
      <c r="O539" s="655"/>
      <c r="P539" s="655"/>
      <c r="Q539" s="655"/>
      <c r="R539" s="655"/>
      <c r="S539" s="655"/>
      <c r="T539" s="655"/>
      <c r="U539" s="655"/>
      <c r="V539" s="655"/>
      <c r="W539" s="655"/>
      <c r="X539" s="655"/>
      <c r="Y539" s="655"/>
      <c r="Z539" s="655"/>
      <c r="AA539" s="655"/>
      <c r="AB539" s="655"/>
      <c r="AC539" s="655"/>
      <c r="AD539" s="655"/>
    </row>
    <row r="540">
      <c r="B540" s="462"/>
      <c r="C540" s="462"/>
      <c r="D540" s="462"/>
      <c r="E540" s="462"/>
      <c r="F540" s="462"/>
      <c r="G540" s="462"/>
      <c r="H540" s="462"/>
      <c r="I540" s="654"/>
      <c r="J540" s="650"/>
      <c r="K540" s="654"/>
      <c r="L540" s="654"/>
      <c r="M540" s="650"/>
      <c r="N540" s="650"/>
      <c r="O540" s="655"/>
      <c r="P540" s="655"/>
      <c r="Q540" s="655"/>
      <c r="R540" s="655"/>
      <c r="S540" s="655"/>
      <c r="T540" s="655"/>
      <c r="U540" s="655"/>
      <c r="V540" s="655"/>
      <c r="W540" s="655"/>
      <c r="X540" s="655"/>
      <c r="Y540" s="655"/>
      <c r="Z540" s="655"/>
      <c r="AA540" s="655"/>
      <c r="AB540" s="655"/>
      <c r="AC540" s="655"/>
      <c r="AD540" s="655"/>
    </row>
    <row r="541">
      <c r="B541" s="462"/>
      <c r="C541" s="462"/>
      <c r="D541" s="462"/>
      <c r="E541" s="462"/>
      <c r="F541" s="462"/>
      <c r="G541" s="462"/>
      <c r="H541" s="462"/>
      <c r="I541" s="654"/>
      <c r="J541" s="650"/>
      <c r="K541" s="654"/>
      <c r="L541" s="654"/>
      <c r="M541" s="650"/>
      <c r="N541" s="650"/>
      <c r="O541" s="655"/>
      <c r="P541" s="655"/>
      <c r="Q541" s="655"/>
      <c r="R541" s="655"/>
      <c r="S541" s="655"/>
      <c r="T541" s="655"/>
      <c r="U541" s="655"/>
      <c r="V541" s="655"/>
      <c r="W541" s="655"/>
      <c r="X541" s="655"/>
      <c r="Y541" s="655"/>
      <c r="Z541" s="655"/>
      <c r="AA541" s="655"/>
      <c r="AB541" s="655"/>
      <c r="AC541" s="655"/>
      <c r="AD541" s="655"/>
    </row>
    <row r="542">
      <c r="B542" s="462"/>
      <c r="C542" s="462"/>
      <c r="D542" s="462"/>
      <c r="E542" s="462"/>
      <c r="F542" s="462"/>
      <c r="G542" s="462"/>
      <c r="H542" s="462"/>
      <c r="I542" s="654"/>
      <c r="J542" s="650"/>
      <c r="K542" s="654"/>
      <c r="L542" s="654"/>
      <c r="M542" s="650"/>
      <c r="N542" s="650"/>
      <c r="O542" s="655"/>
      <c r="P542" s="655"/>
      <c r="Q542" s="655"/>
      <c r="R542" s="655"/>
      <c r="S542" s="655"/>
      <c r="T542" s="655"/>
      <c r="U542" s="655"/>
      <c r="V542" s="655"/>
      <c r="W542" s="655"/>
      <c r="X542" s="655"/>
      <c r="Y542" s="655"/>
      <c r="Z542" s="655"/>
      <c r="AA542" s="655"/>
      <c r="AB542" s="655"/>
      <c r="AC542" s="655"/>
      <c r="AD542" s="655"/>
    </row>
    <row r="543">
      <c r="B543" s="462"/>
      <c r="C543" s="462"/>
      <c r="D543" s="462"/>
      <c r="E543" s="462"/>
      <c r="F543" s="462"/>
      <c r="G543" s="462"/>
      <c r="H543" s="462"/>
      <c r="I543" s="654"/>
      <c r="J543" s="650"/>
      <c r="K543" s="654"/>
      <c r="L543" s="654"/>
      <c r="M543" s="650"/>
      <c r="N543" s="650"/>
      <c r="O543" s="655"/>
      <c r="P543" s="655"/>
      <c r="Q543" s="655"/>
      <c r="R543" s="655"/>
      <c r="S543" s="655"/>
      <c r="T543" s="655"/>
      <c r="U543" s="655"/>
      <c r="V543" s="655"/>
      <c r="W543" s="655"/>
      <c r="X543" s="655"/>
      <c r="Y543" s="655"/>
      <c r="Z543" s="655"/>
      <c r="AA543" s="655"/>
      <c r="AB543" s="655"/>
      <c r="AC543" s="655"/>
      <c r="AD543" s="655"/>
    </row>
    <row r="544">
      <c r="B544" s="462"/>
      <c r="C544" s="462"/>
      <c r="D544" s="462"/>
      <c r="E544" s="462"/>
      <c r="F544" s="462"/>
      <c r="G544" s="462"/>
      <c r="H544" s="462"/>
      <c r="I544" s="654"/>
      <c r="J544" s="650"/>
      <c r="K544" s="654"/>
      <c r="L544" s="654"/>
      <c r="M544" s="650"/>
      <c r="N544" s="650"/>
      <c r="O544" s="655"/>
      <c r="P544" s="655"/>
      <c r="Q544" s="655"/>
      <c r="R544" s="655"/>
      <c r="S544" s="655"/>
      <c r="T544" s="655"/>
      <c r="U544" s="655"/>
      <c r="V544" s="655"/>
      <c r="W544" s="655"/>
      <c r="X544" s="655"/>
      <c r="Y544" s="655"/>
      <c r="Z544" s="655"/>
      <c r="AA544" s="655"/>
      <c r="AB544" s="655"/>
      <c r="AC544" s="655"/>
      <c r="AD544" s="655"/>
    </row>
    <row r="545">
      <c r="B545" s="462"/>
      <c r="C545" s="462"/>
      <c r="D545" s="462"/>
      <c r="E545" s="462"/>
      <c r="F545" s="462"/>
      <c r="G545" s="462"/>
      <c r="H545" s="462"/>
      <c r="I545" s="654"/>
      <c r="J545" s="650"/>
      <c r="K545" s="654"/>
      <c r="L545" s="654"/>
      <c r="M545" s="650"/>
      <c r="N545" s="650"/>
      <c r="O545" s="655"/>
      <c r="P545" s="655"/>
      <c r="Q545" s="655"/>
      <c r="R545" s="655"/>
      <c r="S545" s="655"/>
      <c r="T545" s="655"/>
      <c r="U545" s="655"/>
      <c r="V545" s="655"/>
      <c r="W545" s="655"/>
      <c r="X545" s="655"/>
      <c r="Y545" s="655"/>
      <c r="Z545" s="655"/>
      <c r="AA545" s="655"/>
      <c r="AB545" s="655"/>
      <c r="AC545" s="655"/>
      <c r="AD545" s="655"/>
    </row>
    <row r="546">
      <c r="B546" s="462"/>
      <c r="C546" s="462"/>
      <c r="D546" s="462"/>
      <c r="E546" s="462"/>
      <c r="F546" s="462"/>
      <c r="G546" s="462"/>
      <c r="H546" s="462"/>
      <c r="I546" s="654"/>
      <c r="J546" s="650"/>
      <c r="K546" s="654"/>
      <c r="L546" s="654"/>
      <c r="M546" s="650"/>
      <c r="N546" s="650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5"/>
      <c r="AB546" s="655"/>
      <c r="AC546" s="655"/>
      <c r="AD546" s="655"/>
    </row>
    <row r="547">
      <c r="B547" s="462"/>
      <c r="C547" s="462"/>
      <c r="D547" s="462"/>
      <c r="E547" s="462"/>
      <c r="F547" s="462"/>
      <c r="G547" s="462"/>
      <c r="H547" s="462"/>
      <c r="I547" s="654"/>
      <c r="J547" s="650"/>
      <c r="K547" s="654"/>
      <c r="L547" s="654"/>
      <c r="M547" s="650"/>
      <c r="N547" s="650"/>
      <c r="O547" s="655"/>
      <c r="P547" s="655"/>
      <c r="Q547" s="655"/>
      <c r="R547" s="655"/>
      <c r="S547" s="655"/>
      <c r="T547" s="655"/>
      <c r="U547" s="655"/>
      <c r="V547" s="655"/>
      <c r="W547" s="655"/>
      <c r="X547" s="655"/>
      <c r="Y547" s="655"/>
      <c r="Z547" s="655"/>
      <c r="AA547" s="655"/>
      <c r="AB547" s="655"/>
      <c r="AC547" s="655"/>
      <c r="AD547" s="655"/>
    </row>
    <row r="548">
      <c r="B548" s="462"/>
      <c r="C548" s="462"/>
      <c r="D548" s="462"/>
      <c r="E548" s="462"/>
      <c r="F548" s="462"/>
      <c r="G548" s="462"/>
      <c r="H548" s="462"/>
      <c r="I548" s="654"/>
      <c r="J548" s="650"/>
      <c r="K548" s="654"/>
      <c r="L548" s="654"/>
      <c r="M548" s="650"/>
      <c r="N548" s="650"/>
      <c r="O548" s="655"/>
      <c r="P548" s="655"/>
      <c r="Q548" s="655"/>
      <c r="R548" s="655"/>
      <c r="S548" s="655"/>
      <c r="T548" s="655"/>
      <c r="U548" s="655"/>
      <c r="V548" s="655"/>
      <c r="W548" s="655"/>
      <c r="X548" s="655"/>
      <c r="Y548" s="655"/>
      <c r="Z548" s="655"/>
      <c r="AA548" s="655"/>
      <c r="AB548" s="655"/>
      <c r="AC548" s="655"/>
      <c r="AD548" s="655"/>
    </row>
    <row r="549">
      <c r="B549" s="462"/>
      <c r="C549" s="462"/>
      <c r="D549" s="462"/>
      <c r="E549" s="462"/>
      <c r="F549" s="462"/>
      <c r="G549" s="462"/>
      <c r="H549" s="462"/>
      <c r="I549" s="654"/>
      <c r="J549" s="650"/>
      <c r="K549" s="654"/>
      <c r="L549" s="654"/>
      <c r="M549" s="650"/>
      <c r="N549" s="650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  <c r="AA549" s="655"/>
      <c r="AB549" s="655"/>
      <c r="AC549" s="655"/>
      <c r="AD549" s="655"/>
    </row>
    <row r="550">
      <c r="B550" s="462"/>
      <c r="C550" s="462"/>
      <c r="D550" s="462"/>
      <c r="E550" s="462"/>
      <c r="F550" s="462"/>
      <c r="G550" s="462"/>
      <c r="H550" s="462"/>
      <c r="I550" s="654"/>
      <c r="J550" s="650"/>
      <c r="K550" s="654"/>
      <c r="L550" s="654"/>
      <c r="M550" s="650"/>
      <c r="N550" s="650"/>
      <c r="O550" s="655"/>
      <c r="P550" s="655"/>
      <c r="Q550" s="655"/>
      <c r="R550" s="655"/>
      <c r="S550" s="655"/>
      <c r="T550" s="655"/>
      <c r="U550" s="655"/>
      <c r="V550" s="655"/>
      <c r="W550" s="655"/>
      <c r="X550" s="655"/>
      <c r="Y550" s="655"/>
      <c r="Z550" s="655"/>
      <c r="AA550" s="655"/>
      <c r="AB550" s="655"/>
      <c r="AC550" s="655"/>
      <c r="AD550" s="655"/>
    </row>
    <row r="551">
      <c r="B551" s="462"/>
      <c r="C551" s="462"/>
      <c r="D551" s="462"/>
      <c r="E551" s="462"/>
      <c r="F551" s="462"/>
      <c r="G551" s="462"/>
      <c r="H551" s="462"/>
      <c r="I551" s="654"/>
      <c r="J551" s="650"/>
      <c r="K551" s="654"/>
      <c r="L551" s="654"/>
      <c r="M551" s="650"/>
      <c r="N551" s="650"/>
      <c r="O551" s="655"/>
      <c r="P551" s="655"/>
      <c r="Q551" s="655"/>
      <c r="R551" s="655"/>
      <c r="S551" s="655"/>
      <c r="T551" s="655"/>
      <c r="U551" s="655"/>
      <c r="V551" s="655"/>
      <c r="W551" s="655"/>
      <c r="X551" s="655"/>
      <c r="Y551" s="655"/>
      <c r="Z551" s="655"/>
      <c r="AA551" s="655"/>
      <c r="AB551" s="655"/>
      <c r="AC551" s="655"/>
      <c r="AD551" s="655"/>
    </row>
    <row r="552">
      <c r="B552" s="462"/>
      <c r="C552" s="462"/>
      <c r="D552" s="462"/>
      <c r="E552" s="462"/>
      <c r="F552" s="462"/>
      <c r="G552" s="462"/>
      <c r="H552" s="462"/>
      <c r="I552" s="654"/>
      <c r="J552" s="650"/>
      <c r="K552" s="654"/>
      <c r="L552" s="654"/>
      <c r="M552" s="650"/>
      <c r="N552" s="650"/>
      <c r="O552" s="655"/>
      <c r="P552" s="655"/>
      <c r="Q552" s="655"/>
      <c r="R552" s="655"/>
      <c r="S552" s="655"/>
      <c r="T552" s="655"/>
      <c r="U552" s="655"/>
      <c r="V552" s="655"/>
      <c r="W552" s="655"/>
      <c r="X552" s="655"/>
      <c r="Y552" s="655"/>
      <c r="Z552" s="655"/>
      <c r="AA552" s="655"/>
      <c r="AB552" s="655"/>
      <c r="AC552" s="655"/>
      <c r="AD552" s="655"/>
    </row>
    <row r="553">
      <c r="B553" s="462"/>
      <c r="C553" s="462"/>
      <c r="D553" s="462"/>
      <c r="E553" s="462"/>
      <c r="F553" s="462"/>
      <c r="G553" s="462"/>
      <c r="H553" s="462"/>
      <c r="I553" s="654"/>
      <c r="J553" s="650"/>
      <c r="K553" s="654"/>
      <c r="L553" s="654"/>
      <c r="M553" s="650"/>
      <c r="N553" s="650"/>
      <c r="O553" s="655"/>
      <c r="P553" s="655"/>
      <c r="Q553" s="655"/>
      <c r="R553" s="655"/>
      <c r="S553" s="655"/>
      <c r="T553" s="655"/>
      <c r="U553" s="655"/>
      <c r="V553" s="655"/>
      <c r="W553" s="655"/>
      <c r="X553" s="655"/>
      <c r="Y553" s="655"/>
      <c r="Z553" s="655"/>
      <c r="AA553" s="655"/>
      <c r="AB553" s="655"/>
      <c r="AC553" s="655"/>
      <c r="AD553" s="655"/>
    </row>
    <row r="554">
      <c r="B554" s="462"/>
      <c r="C554" s="462"/>
      <c r="D554" s="462"/>
      <c r="E554" s="462"/>
      <c r="F554" s="462"/>
      <c r="G554" s="462"/>
      <c r="H554" s="462"/>
      <c r="I554" s="654"/>
      <c r="J554" s="650"/>
      <c r="K554" s="654"/>
      <c r="L554" s="654"/>
      <c r="M554" s="650"/>
      <c r="N554" s="650"/>
      <c r="O554" s="655"/>
      <c r="P554" s="655"/>
      <c r="Q554" s="655"/>
      <c r="R554" s="655"/>
      <c r="S554" s="655"/>
      <c r="T554" s="655"/>
      <c r="U554" s="655"/>
      <c r="V554" s="655"/>
      <c r="W554" s="655"/>
      <c r="X554" s="655"/>
      <c r="Y554" s="655"/>
      <c r="Z554" s="655"/>
      <c r="AA554" s="655"/>
      <c r="AB554" s="655"/>
      <c r="AC554" s="655"/>
      <c r="AD554" s="655"/>
    </row>
    <row r="555">
      <c r="B555" s="462"/>
      <c r="C555" s="462"/>
      <c r="D555" s="462"/>
      <c r="E555" s="462"/>
      <c r="F555" s="462"/>
      <c r="G555" s="462"/>
      <c r="H555" s="462"/>
      <c r="I555" s="654"/>
      <c r="J555" s="650"/>
      <c r="K555" s="654"/>
      <c r="L555" s="654"/>
      <c r="M555" s="650"/>
      <c r="N555" s="650"/>
      <c r="O555" s="655"/>
      <c r="P555" s="655"/>
      <c r="Q555" s="655"/>
      <c r="R555" s="655"/>
      <c r="S555" s="655"/>
      <c r="T555" s="655"/>
      <c r="U555" s="655"/>
      <c r="V555" s="655"/>
      <c r="W555" s="655"/>
      <c r="X555" s="655"/>
      <c r="Y555" s="655"/>
      <c r="Z555" s="655"/>
      <c r="AA555" s="655"/>
      <c r="AB555" s="655"/>
      <c r="AC555" s="655"/>
      <c r="AD555" s="655"/>
    </row>
    <row r="556">
      <c r="B556" s="462"/>
      <c r="C556" s="462"/>
      <c r="D556" s="462"/>
      <c r="E556" s="462"/>
      <c r="F556" s="462"/>
      <c r="G556" s="462"/>
      <c r="H556" s="462"/>
      <c r="I556" s="654"/>
      <c r="J556" s="650"/>
      <c r="K556" s="654"/>
      <c r="L556" s="654"/>
      <c r="M556" s="650"/>
      <c r="N556" s="650"/>
      <c r="O556" s="655"/>
      <c r="P556" s="655"/>
      <c r="Q556" s="655"/>
      <c r="R556" s="655"/>
      <c r="S556" s="655"/>
      <c r="T556" s="655"/>
      <c r="U556" s="655"/>
      <c r="V556" s="655"/>
      <c r="W556" s="655"/>
      <c r="X556" s="655"/>
      <c r="Y556" s="655"/>
      <c r="Z556" s="655"/>
      <c r="AA556" s="655"/>
      <c r="AB556" s="655"/>
      <c r="AC556" s="655"/>
      <c r="AD556" s="655"/>
    </row>
    <row r="557">
      <c r="B557" s="462"/>
      <c r="C557" s="462"/>
      <c r="D557" s="462"/>
      <c r="E557" s="462"/>
      <c r="F557" s="462"/>
      <c r="G557" s="462"/>
      <c r="H557" s="462"/>
      <c r="I557" s="654"/>
      <c r="J557" s="650"/>
      <c r="K557" s="654"/>
      <c r="L557" s="654"/>
      <c r="M557" s="650"/>
      <c r="N557" s="650"/>
      <c r="O557" s="655"/>
      <c r="P557" s="655"/>
      <c r="Q557" s="655"/>
      <c r="R557" s="655"/>
      <c r="S557" s="655"/>
      <c r="T557" s="655"/>
      <c r="U557" s="655"/>
      <c r="V557" s="655"/>
      <c r="W557" s="655"/>
      <c r="X557" s="655"/>
      <c r="Y557" s="655"/>
      <c r="Z557" s="655"/>
      <c r="AA557" s="655"/>
      <c r="AB557" s="655"/>
      <c r="AC557" s="655"/>
      <c r="AD557" s="655"/>
    </row>
    <row r="558">
      <c r="B558" s="462"/>
      <c r="C558" s="462"/>
      <c r="D558" s="462"/>
      <c r="E558" s="462"/>
      <c r="F558" s="462"/>
      <c r="G558" s="462"/>
      <c r="H558" s="462"/>
      <c r="I558" s="654"/>
      <c r="J558" s="650"/>
      <c r="K558" s="654"/>
      <c r="L558" s="654"/>
      <c r="M558" s="650"/>
      <c r="N558" s="650"/>
      <c r="O558" s="655"/>
      <c r="P558" s="655"/>
      <c r="Q558" s="655"/>
      <c r="R558" s="655"/>
      <c r="S558" s="655"/>
      <c r="T558" s="655"/>
      <c r="U558" s="655"/>
      <c r="V558" s="655"/>
      <c r="W558" s="655"/>
      <c r="X558" s="655"/>
      <c r="Y558" s="655"/>
      <c r="Z558" s="655"/>
      <c r="AA558" s="655"/>
      <c r="AB558" s="655"/>
      <c r="AC558" s="655"/>
      <c r="AD558" s="655"/>
    </row>
    <row r="559">
      <c r="B559" s="462"/>
      <c r="C559" s="462"/>
      <c r="D559" s="462"/>
      <c r="E559" s="462"/>
      <c r="F559" s="462"/>
      <c r="G559" s="462"/>
      <c r="H559" s="462"/>
      <c r="I559" s="654"/>
      <c r="J559" s="650"/>
      <c r="K559" s="654"/>
      <c r="L559" s="654"/>
      <c r="M559" s="650"/>
      <c r="N559" s="650"/>
      <c r="O559" s="655"/>
      <c r="P559" s="655"/>
      <c r="Q559" s="655"/>
      <c r="R559" s="655"/>
      <c r="S559" s="655"/>
      <c r="T559" s="655"/>
      <c r="U559" s="655"/>
      <c r="V559" s="655"/>
      <c r="W559" s="655"/>
      <c r="X559" s="655"/>
      <c r="Y559" s="655"/>
      <c r="Z559" s="655"/>
      <c r="AA559" s="655"/>
      <c r="AB559" s="655"/>
      <c r="AC559" s="655"/>
      <c r="AD559" s="655"/>
    </row>
    <row r="560">
      <c r="B560" s="462"/>
      <c r="C560" s="462"/>
      <c r="D560" s="462"/>
      <c r="E560" s="462"/>
      <c r="F560" s="462"/>
      <c r="G560" s="462"/>
      <c r="H560" s="462"/>
      <c r="I560" s="654"/>
      <c r="J560" s="650"/>
      <c r="K560" s="654"/>
      <c r="L560" s="654"/>
      <c r="M560" s="650"/>
      <c r="N560" s="650"/>
      <c r="O560" s="655"/>
      <c r="P560" s="655"/>
      <c r="Q560" s="655"/>
      <c r="R560" s="655"/>
      <c r="S560" s="655"/>
      <c r="T560" s="655"/>
      <c r="U560" s="655"/>
      <c r="V560" s="655"/>
      <c r="W560" s="655"/>
      <c r="X560" s="655"/>
      <c r="Y560" s="655"/>
      <c r="Z560" s="655"/>
      <c r="AA560" s="655"/>
      <c r="AB560" s="655"/>
      <c r="AC560" s="655"/>
      <c r="AD560" s="655"/>
    </row>
    <row r="561">
      <c r="B561" s="462"/>
      <c r="C561" s="462"/>
      <c r="D561" s="462"/>
      <c r="E561" s="462"/>
      <c r="F561" s="462"/>
      <c r="G561" s="462"/>
      <c r="H561" s="462"/>
      <c r="I561" s="654"/>
      <c r="J561" s="650"/>
      <c r="K561" s="654"/>
      <c r="L561" s="654"/>
      <c r="M561" s="650"/>
      <c r="N561" s="650"/>
      <c r="O561" s="655"/>
      <c r="P561" s="655"/>
      <c r="Q561" s="655"/>
      <c r="R561" s="655"/>
      <c r="S561" s="655"/>
      <c r="T561" s="655"/>
      <c r="U561" s="655"/>
      <c r="V561" s="655"/>
      <c r="W561" s="655"/>
      <c r="X561" s="655"/>
      <c r="Y561" s="655"/>
      <c r="Z561" s="655"/>
      <c r="AA561" s="655"/>
      <c r="AB561" s="655"/>
      <c r="AC561" s="655"/>
      <c r="AD561" s="655"/>
    </row>
    <row r="562">
      <c r="B562" s="462"/>
      <c r="C562" s="462"/>
      <c r="D562" s="462"/>
      <c r="E562" s="462"/>
      <c r="F562" s="462"/>
      <c r="G562" s="462"/>
      <c r="H562" s="462"/>
      <c r="I562" s="654"/>
      <c r="J562" s="650"/>
      <c r="K562" s="654"/>
      <c r="L562" s="654"/>
      <c r="M562" s="650"/>
      <c r="N562" s="650"/>
      <c r="O562" s="655"/>
      <c r="P562" s="655"/>
      <c r="Q562" s="655"/>
      <c r="R562" s="655"/>
      <c r="S562" s="655"/>
      <c r="T562" s="655"/>
      <c r="U562" s="655"/>
      <c r="V562" s="655"/>
      <c r="W562" s="655"/>
      <c r="X562" s="655"/>
      <c r="Y562" s="655"/>
      <c r="Z562" s="655"/>
      <c r="AA562" s="655"/>
      <c r="AB562" s="655"/>
      <c r="AC562" s="655"/>
      <c r="AD562" s="655"/>
    </row>
    <row r="563">
      <c r="B563" s="462"/>
      <c r="C563" s="462"/>
      <c r="D563" s="462"/>
      <c r="E563" s="462"/>
      <c r="F563" s="462"/>
      <c r="G563" s="462"/>
      <c r="H563" s="462"/>
      <c r="I563" s="654"/>
      <c r="J563" s="650"/>
      <c r="K563" s="654"/>
      <c r="L563" s="654"/>
      <c r="M563" s="650"/>
      <c r="N563" s="650"/>
      <c r="O563" s="655"/>
      <c r="P563" s="655"/>
      <c r="Q563" s="655"/>
      <c r="R563" s="655"/>
      <c r="S563" s="655"/>
      <c r="T563" s="655"/>
      <c r="U563" s="655"/>
      <c r="V563" s="655"/>
      <c r="W563" s="655"/>
      <c r="X563" s="655"/>
      <c r="Y563" s="655"/>
      <c r="Z563" s="655"/>
      <c r="AA563" s="655"/>
      <c r="AB563" s="655"/>
      <c r="AC563" s="655"/>
      <c r="AD563" s="655"/>
    </row>
    <row r="564">
      <c r="B564" s="462"/>
      <c r="C564" s="462"/>
      <c r="D564" s="462"/>
      <c r="E564" s="462"/>
      <c r="F564" s="462"/>
      <c r="G564" s="462"/>
      <c r="H564" s="462"/>
      <c r="I564" s="654"/>
      <c r="J564" s="650"/>
      <c r="K564" s="654"/>
      <c r="L564" s="654"/>
      <c r="M564" s="650"/>
      <c r="N564" s="650"/>
      <c r="O564" s="655"/>
      <c r="P564" s="655"/>
      <c r="Q564" s="655"/>
      <c r="R564" s="655"/>
      <c r="S564" s="655"/>
      <c r="T564" s="655"/>
      <c r="U564" s="655"/>
      <c r="V564" s="655"/>
      <c r="W564" s="655"/>
      <c r="X564" s="655"/>
      <c r="Y564" s="655"/>
      <c r="Z564" s="655"/>
      <c r="AA564" s="655"/>
      <c r="AB564" s="655"/>
      <c r="AC564" s="655"/>
      <c r="AD564" s="655"/>
    </row>
    <row r="565">
      <c r="B565" s="462"/>
      <c r="C565" s="462"/>
      <c r="D565" s="462"/>
      <c r="E565" s="462"/>
      <c r="F565" s="462"/>
      <c r="G565" s="462"/>
      <c r="H565" s="462"/>
      <c r="I565" s="654"/>
      <c r="J565" s="650"/>
      <c r="K565" s="654"/>
      <c r="L565" s="654"/>
      <c r="M565" s="650"/>
      <c r="N565" s="650"/>
      <c r="O565" s="655"/>
      <c r="P565" s="655"/>
      <c r="Q565" s="655"/>
      <c r="R565" s="655"/>
      <c r="S565" s="655"/>
      <c r="T565" s="655"/>
      <c r="U565" s="655"/>
      <c r="V565" s="655"/>
      <c r="W565" s="655"/>
      <c r="X565" s="655"/>
      <c r="Y565" s="655"/>
      <c r="Z565" s="655"/>
      <c r="AA565" s="655"/>
      <c r="AB565" s="655"/>
      <c r="AC565" s="655"/>
      <c r="AD565" s="655"/>
    </row>
    <row r="566">
      <c r="B566" s="462"/>
      <c r="C566" s="462"/>
      <c r="D566" s="462"/>
      <c r="E566" s="462"/>
      <c r="F566" s="462"/>
      <c r="G566" s="462"/>
      <c r="H566" s="462"/>
      <c r="I566" s="654"/>
      <c r="J566" s="650"/>
      <c r="K566" s="654"/>
      <c r="L566" s="654"/>
      <c r="M566" s="650"/>
      <c r="N566" s="650"/>
      <c r="O566" s="655"/>
      <c r="P566" s="655"/>
      <c r="Q566" s="655"/>
      <c r="R566" s="655"/>
      <c r="S566" s="655"/>
      <c r="T566" s="655"/>
      <c r="U566" s="655"/>
      <c r="V566" s="655"/>
      <c r="W566" s="655"/>
      <c r="X566" s="655"/>
      <c r="Y566" s="655"/>
      <c r="Z566" s="655"/>
      <c r="AA566" s="655"/>
      <c r="AB566" s="655"/>
      <c r="AC566" s="655"/>
      <c r="AD566" s="655"/>
    </row>
    <row r="567">
      <c r="B567" s="462"/>
      <c r="C567" s="462"/>
      <c r="D567" s="462"/>
      <c r="E567" s="462"/>
      <c r="F567" s="462"/>
      <c r="G567" s="462"/>
      <c r="H567" s="462"/>
      <c r="I567" s="654"/>
      <c r="J567" s="650"/>
      <c r="K567" s="654"/>
      <c r="L567" s="654"/>
      <c r="M567" s="650"/>
      <c r="N567" s="650"/>
      <c r="O567" s="655"/>
      <c r="P567" s="655"/>
      <c r="Q567" s="655"/>
      <c r="R567" s="655"/>
      <c r="S567" s="655"/>
      <c r="T567" s="655"/>
      <c r="U567" s="655"/>
      <c r="V567" s="655"/>
      <c r="W567" s="655"/>
      <c r="X567" s="655"/>
      <c r="Y567" s="655"/>
      <c r="Z567" s="655"/>
      <c r="AA567" s="655"/>
      <c r="AB567" s="655"/>
      <c r="AC567" s="655"/>
      <c r="AD567" s="655"/>
    </row>
    <row r="568">
      <c r="B568" s="462"/>
      <c r="C568" s="462"/>
      <c r="D568" s="462"/>
      <c r="E568" s="462"/>
      <c r="F568" s="462"/>
      <c r="G568" s="462"/>
      <c r="H568" s="462"/>
      <c r="I568" s="654"/>
      <c r="J568" s="650"/>
      <c r="K568" s="654"/>
      <c r="L568" s="654"/>
      <c r="M568" s="650"/>
      <c r="N568" s="650"/>
      <c r="O568" s="655"/>
      <c r="P568" s="655"/>
      <c r="Q568" s="655"/>
      <c r="R568" s="655"/>
      <c r="S568" s="655"/>
      <c r="T568" s="655"/>
      <c r="U568" s="655"/>
      <c r="V568" s="655"/>
      <c r="W568" s="655"/>
      <c r="X568" s="655"/>
      <c r="Y568" s="655"/>
      <c r="Z568" s="655"/>
      <c r="AA568" s="655"/>
      <c r="AB568" s="655"/>
      <c r="AC568" s="655"/>
      <c r="AD568" s="655"/>
    </row>
    <row r="569">
      <c r="B569" s="462"/>
      <c r="C569" s="462"/>
      <c r="D569" s="462"/>
      <c r="E569" s="462"/>
      <c r="F569" s="462"/>
      <c r="G569" s="462"/>
      <c r="H569" s="462"/>
      <c r="I569" s="654"/>
      <c r="J569" s="650"/>
      <c r="K569" s="654"/>
      <c r="L569" s="654"/>
      <c r="M569" s="650"/>
      <c r="N569" s="650"/>
      <c r="O569" s="655"/>
      <c r="P569" s="655"/>
      <c r="Q569" s="655"/>
      <c r="R569" s="655"/>
      <c r="S569" s="655"/>
      <c r="T569" s="655"/>
      <c r="U569" s="655"/>
      <c r="V569" s="655"/>
      <c r="W569" s="655"/>
      <c r="X569" s="655"/>
      <c r="Y569" s="655"/>
      <c r="Z569" s="655"/>
      <c r="AA569" s="655"/>
      <c r="AB569" s="655"/>
      <c r="AC569" s="655"/>
      <c r="AD569" s="655"/>
    </row>
    <row r="570">
      <c r="B570" s="462"/>
      <c r="C570" s="462"/>
      <c r="D570" s="462"/>
      <c r="E570" s="462"/>
      <c r="F570" s="462"/>
      <c r="G570" s="462"/>
      <c r="H570" s="462"/>
      <c r="I570" s="654"/>
      <c r="J570" s="650"/>
      <c r="K570" s="654"/>
      <c r="L570" s="654"/>
      <c r="M570" s="650"/>
      <c r="N570" s="650"/>
      <c r="O570" s="655"/>
      <c r="P570" s="655"/>
      <c r="Q570" s="655"/>
      <c r="R570" s="655"/>
      <c r="S570" s="655"/>
      <c r="T570" s="655"/>
      <c r="U570" s="655"/>
      <c r="V570" s="655"/>
      <c r="W570" s="655"/>
      <c r="X570" s="655"/>
      <c r="Y570" s="655"/>
      <c r="Z570" s="655"/>
      <c r="AA570" s="655"/>
      <c r="AB570" s="655"/>
      <c r="AC570" s="655"/>
      <c r="AD570" s="655"/>
    </row>
    <row r="571">
      <c r="B571" s="462"/>
      <c r="C571" s="462"/>
      <c r="D571" s="462"/>
      <c r="E571" s="462"/>
      <c r="F571" s="462"/>
      <c r="G571" s="462"/>
      <c r="H571" s="462"/>
      <c r="I571" s="654"/>
      <c r="J571" s="650"/>
      <c r="K571" s="654"/>
      <c r="L571" s="654"/>
      <c r="M571" s="650"/>
      <c r="N571" s="650"/>
      <c r="O571" s="655"/>
      <c r="P571" s="655"/>
      <c r="Q571" s="655"/>
      <c r="R571" s="655"/>
      <c r="S571" s="655"/>
      <c r="T571" s="655"/>
      <c r="U571" s="655"/>
      <c r="V571" s="655"/>
      <c r="W571" s="655"/>
      <c r="X571" s="655"/>
      <c r="Y571" s="655"/>
      <c r="Z571" s="655"/>
      <c r="AA571" s="655"/>
      <c r="AB571" s="655"/>
      <c r="AC571" s="655"/>
      <c r="AD571" s="655"/>
    </row>
    <row r="572">
      <c r="B572" s="462"/>
      <c r="C572" s="462"/>
      <c r="D572" s="462"/>
      <c r="E572" s="462"/>
      <c r="F572" s="462"/>
      <c r="G572" s="462"/>
      <c r="H572" s="462"/>
      <c r="I572" s="654"/>
      <c r="J572" s="650"/>
      <c r="K572" s="654"/>
      <c r="L572" s="654"/>
      <c r="M572" s="650"/>
      <c r="N572" s="650"/>
      <c r="O572" s="655"/>
      <c r="P572" s="655"/>
      <c r="Q572" s="655"/>
      <c r="R572" s="655"/>
      <c r="S572" s="655"/>
      <c r="T572" s="655"/>
      <c r="U572" s="655"/>
      <c r="V572" s="655"/>
      <c r="W572" s="655"/>
      <c r="X572" s="655"/>
      <c r="Y572" s="655"/>
      <c r="Z572" s="655"/>
      <c r="AA572" s="655"/>
      <c r="AB572" s="655"/>
      <c r="AC572" s="655"/>
      <c r="AD572" s="655"/>
    </row>
    <row r="573">
      <c r="B573" s="462"/>
      <c r="C573" s="462"/>
      <c r="D573" s="462"/>
      <c r="E573" s="462"/>
      <c r="F573" s="462"/>
      <c r="G573" s="462"/>
      <c r="H573" s="462"/>
      <c r="I573" s="654"/>
      <c r="J573" s="650"/>
      <c r="K573" s="654"/>
      <c r="L573" s="654"/>
      <c r="M573" s="650"/>
      <c r="N573" s="650"/>
      <c r="O573" s="655"/>
      <c r="P573" s="655"/>
      <c r="Q573" s="655"/>
      <c r="R573" s="655"/>
      <c r="S573" s="655"/>
      <c r="T573" s="655"/>
      <c r="U573" s="655"/>
      <c r="V573" s="655"/>
      <c r="W573" s="655"/>
      <c r="X573" s="655"/>
      <c r="Y573" s="655"/>
      <c r="Z573" s="655"/>
      <c r="AA573" s="655"/>
      <c r="AB573" s="655"/>
      <c r="AC573" s="655"/>
      <c r="AD573" s="655"/>
    </row>
    <row r="574">
      <c r="B574" s="462"/>
      <c r="C574" s="462"/>
      <c r="D574" s="462"/>
      <c r="E574" s="462"/>
      <c r="F574" s="462"/>
      <c r="G574" s="462"/>
      <c r="H574" s="462"/>
      <c r="I574" s="654"/>
      <c r="J574" s="650"/>
      <c r="K574" s="654"/>
      <c r="L574" s="654"/>
      <c r="M574" s="650"/>
      <c r="N574" s="650"/>
      <c r="O574" s="655"/>
      <c r="P574" s="655"/>
      <c r="Q574" s="655"/>
      <c r="R574" s="655"/>
      <c r="S574" s="655"/>
      <c r="T574" s="655"/>
      <c r="U574" s="655"/>
      <c r="V574" s="655"/>
      <c r="W574" s="655"/>
      <c r="X574" s="655"/>
      <c r="Y574" s="655"/>
      <c r="Z574" s="655"/>
      <c r="AA574" s="655"/>
      <c r="AB574" s="655"/>
      <c r="AC574" s="655"/>
      <c r="AD574" s="655"/>
    </row>
    <row r="575">
      <c r="B575" s="462"/>
      <c r="C575" s="462"/>
      <c r="D575" s="462"/>
      <c r="E575" s="462"/>
      <c r="F575" s="462"/>
      <c r="G575" s="462"/>
      <c r="H575" s="462"/>
      <c r="I575" s="654"/>
      <c r="J575" s="650"/>
      <c r="K575" s="654"/>
      <c r="L575" s="654"/>
      <c r="M575" s="650"/>
      <c r="N575" s="650"/>
      <c r="O575" s="655"/>
      <c r="P575" s="655"/>
      <c r="Q575" s="655"/>
      <c r="R575" s="655"/>
      <c r="S575" s="655"/>
      <c r="T575" s="655"/>
      <c r="U575" s="655"/>
      <c r="V575" s="655"/>
      <c r="W575" s="655"/>
      <c r="X575" s="655"/>
      <c r="Y575" s="655"/>
      <c r="Z575" s="655"/>
      <c r="AA575" s="655"/>
      <c r="AB575" s="655"/>
      <c r="AC575" s="655"/>
      <c r="AD575" s="655"/>
    </row>
    <row r="576">
      <c r="B576" s="462"/>
      <c r="C576" s="462"/>
      <c r="D576" s="462"/>
      <c r="E576" s="462"/>
      <c r="F576" s="462"/>
      <c r="G576" s="462"/>
      <c r="H576" s="462"/>
      <c r="I576" s="654"/>
      <c r="J576" s="650"/>
      <c r="K576" s="654"/>
      <c r="L576" s="654"/>
      <c r="M576" s="650"/>
      <c r="N576" s="650"/>
      <c r="O576" s="655"/>
      <c r="P576" s="655"/>
      <c r="Q576" s="655"/>
      <c r="R576" s="655"/>
      <c r="S576" s="655"/>
      <c r="T576" s="655"/>
      <c r="U576" s="655"/>
      <c r="V576" s="655"/>
      <c r="W576" s="655"/>
      <c r="X576" s="655"/>
      <c r="Y576" s="655"/>
      <c r="Z576" s="655"/>
      <c r="AA576" s="655"/>
      <c r="AB576" s="655"/>
      <c r="AC576" s="655"/>
      <c r="AD576" s="655"/>
    </row>
    <row r="577">
      <c r="B577" s="462"/>
      <c r="C577" s="462"/>
      <c r="D577" s="462"/>
      <c r="E577" s="462"/>
      <c r="F577" s="462"/>
      <c r="G577" s="462"/>
      <c r="H577" s="462"/>
      <c r="I577" s="654"/>
      <c r="J577" s="650"/>
      <c r="K577" s="654"/>
      <c r="L577" s="654"/>
      <c r="M577" s="650"/>
      <c r="N577" s="650"/>
      <c r="O577" s="655"/>
      <c r="P577" s="655"/>
      <c r="Q577" s="655"/>
      <c r="R577" s="655"/>
      <c r="S577" s="655"/>
      <c r="T577" s="655"/>
      <c r="U577" s="655"/>
      <c r="V577" s="655"/>
      <c r="W577" s="655"/>
      <c r="X577" s="655"/>
      <c r="Y577" s="655"/>
      <c r="Z577" s="655"/>
      <c r="AA577" s="655"/>
      <c r="AB577" s="655"/>
      <c r="AC577" s="655"/>
      <c r="AD577" s="655"/>
    </row>
    <row r="578">
      <c r="B578" s="462"/>
      <c r="C578" s="462"/>
      <c r="D578" s="462"/>
      <c r="E578" s="462"/>
      <c r="F578" s="462"/>
      <c r="G578" s="462"/>
      <c r="H578" s="462"/>
      <c r="I578" s="654"/>
      <c r="J578" s="650"/>
      <c r="K578" s="654"/>
      <c r="L578" s="654"/>
      <c r="M578" s="650"/>
      <c r="N578" s="650"/>
      <c r="O578" s="655"/>
      <c r="P578" s="655"/>
      <c r="Q578" s="655"/>
      <c r="R578" s="655"/>
      <c r="S578" s="655"/>
      <c r="T578" s="655"/>
      <c r="U578" s="655"/>
      <c r="V578" s="655"/>
      <c r="W578" s="655"/>
      <c r="X578" s="655"/>
      <c r="Y578" s="655"/>
      <c r="Z578" s="655"/>
      <c r="AA578" s="655"/>
      <c r="AB578" s="655"/>
      <c r="AC578" s="655"/>
      <c r="AD578" s="655"/>
    </row>
    <row r="579">
      <c r="B579" s="462"/>
      <c r="C579" s="462"/>
      <c r="D579" s="462"/>
      <c r="E579" s="462"/>
      <c r="F579" s="462"/>
      <c r="G579" s="462"/>
      <c r="H579" s="462"/>
      <c r="I579" s="654"/>
      <c r="J579" s="650"/>
      <c r="K579" s="654"/>
      <c r="L579" s="654"/>
      <c r="M579" s="650"/>
      <c r="N579" s="650"/>
      <c r="O579" s="655"/>
      <c r="P579" s="655"/>
      <c r="Q579" s="655"/>
      <c r="R579" s="655"/>
      <c r="S579" s="655"/>
      <c r="T579" s="655"/>
      <c r="U579" s="655"/>
      <c r="V579" s="655"/>
      <c r="W579" s="655"/>
      <c r="X579" s="655"/>
      <c r="Y579" s="655"/>
      <c r="Z579" s="655"/>
      <c r="AA579" s="655"/>
      <c r="AB579" s="655"/>
      <c r="AC579" s="655"/>
      <c r="AD579" s="655"/>
    </row>
    <row r="580">
      <c r="B580" s="462"/>
      <c r="C580" s="462"/>
      <c r="D580" s="462"/>
      <c r="E580" s="462"/>
      <c r="F580" s="462"/>
      <c r="G580" s="462"/>
      <c r="H580" s="462"/>
      <c r="I580" s="654"/>
      <c r="J580" s="650"/>
      <c r="K580" s="654"/>
      <c r="L580" s="654"/>
      <c r="M580" s="650"/>
      <c r="N580" s="650"/>
      <c r="O580" s="655"/>
      <c r="P580" s="655"/>
      <c r="Q580" s="655"/>
      <c r="R580" s="655"/>
      <c r="S580" s="655"/>
      <c r="T580" s="655"/>
      <c r="U580" s="655"/>
      <c r="V580" s="655"/>
      <c r="W580" s="655"/>
      <c r="X580" s="655"/>
      <c r="Y580" s="655"/>
      <c r="Z580" s="655"/>
      <c r="AA580" s="655"/>
      <c r="AB580" s="655"/>
      <c r="AC580" s="655"/>
      <c r="AD580" s="655"/>
    </row>
    <row r="581">
      <c r="B581" s="462"/>
      <c r="C581" s="462"/>
      <c r="D581" s="462"/>
      <c r="E581" s="462"/>
      <c r="F581" s="462"/>
      <c r="G581" s="462"/>
      <c r="H581" s="462"/>
      <c r="I581" s="654"/>
      <c r="J581" s="650"/>
      <c r="K581" s="654"/>
      <c r="L581" s="654"/>
      <c r="M581" s="650"/>
      <c r="N581" s="650"/>
      <c r="O581" s="655"/>
      <c r="P581" s="655"/>
      <c r="Q581" s="655"/>
      <c r="R581" s="655"/>
      <c r="S581" s="655"/>
      <c r="T581" s="655"/>
      <c r="U581" s="655"/>
      <c r="V581" s="655"/>
      <c r="W581" s="655"/>
      <c r="X581" s="655"/>
      <c r="Y581" s="655"/>
      <c r="Z581" s="655"/>
      <c r="AA581" s="655"/>
      <c r="AB581" s="655"/>
      <c r="AC581" s="655"/>
      <c r="AD581" s="655"/>
    </row>
    <row r="582">
      <c r="B582" s="462"/>
      <c r="C582" s="462"/>
      <c r="D582" s="462"/>
      <c r="E582" s="462"/>
      <c r="F582" s="462"/>
      <c r="G582" s="462"/>
      <c r="H582" s="462"/>
      <c r="I582" s="654"/>
      <c r="J582" s="650"/>
      <c r="K582" s="654"/>
      <c r="L582" s="654"/>
      <c r="M582" s="650"/>
      <c r="N582" s="650"/>
      <c r="O582" s="655"/>
      <c r="P582" s="655"/>
      <c r="Q582" s="655"/>
      <c r="R582" s="655"/>
      <c r="S582" s="655"/>
      <c r="T582" s="655"/>
      <c r="U582" s="655"/>
      <c r="V582" s="655"/>
      <c r="W582" s="655"/>
      <c r="X582" s="655"/>
      <c r="Y582" s="655"/>
      <c r="Z582" s="655"/>
      <c r="AA582" s="655"/>
      <c r="AB582" s="655"/>
      <c r="AC582" s="655"/>
      <c r="AD582" s="655"/>
    </row>
    <row r="583">
      <c r="B583" s="462"/>
      <c r="C583" s="462"/>
      <c r="D583" s="462"/>
      <c r="E583" s="462"/>
      <c r="F583" s="462"/>
      <c r="G583" s="462"/>
      <c r="H583" s="462"/>
      <c r="I583" s="654"/>
      <c r="J583" s="650"/>
      <c r="K583" s="654"/>
      <c r="L583" s="654"/>
      <c r="M583" s="650"/>
      <c r="N583" s="650"/>
      <c r="O583" s="655"/>
      <c r="P583" s="655"/>
      <c r="Q583" s="655"/>
      <c r="R583" s="655"/>
      <c r="S583" s="655"/>
      <c r="T583" s="655"/>
      <c r="U583" s="655"/>
      <c r="V583" s="655"/>
      <c r="W583" s="655"/>
      <c r="X583" s="655"/>
      <c r="Y583" s="655"/>
      <c r="Z583" s="655"/>
      <c r="AA583" s="655"/>
      <c r="AB583" s="655"/>
      <c r="AC583" s="655"/>
      <c r="AD583" s="655"/>
    </row>
    <row r="584">
      <c r="B584" s="462"/>
      <c r="C584" s="462"/>
      <c r="D584" s="462"/>
      <c r="E584" s="462"/>
      <c r="F584" s="462"/>
      <c r="G584" s="462"/>
      <c r="H584" s="462"/>
      <c r="I584" s="654"/>
      <c r="J584" s="650"/>
      <c r="K584" s="654"/>
      <c r="L584" s="654"/>
      <c r="M584" s="650"/>
      <c r="N584" s="650"/>
      <c r="O584" s="655"/>
      <c r="P584" s="655"/>
      <c r="Q584" s="655"/>
      <c r="R584" s="655"/>
      <c r="S584" s="655"/>
      <c r="T584" s="655"/>
      <c r="U584" s="655"/>
      <c r="V584" s="655"/>
      <c r="W584" s="655"/>
      <c r="X584" s="655"/>
      <c r="Y584" s="655"/>
      <c r="Z584" s="655"/>
      <c r="AA584" s="655"/>
      <c r="AB584" s="655"/>
      <c r="AC584" s="655"/>
      <c r="AD584" s="655"/>
    </row>
    <row r="585">
      <c r="B585" s="462"/>
      <c r="C585" s="462"/>
      <c r="D585" s="462"/>
      <c r="E585" s="462"/>
      <c r="F585" s="462"/>
      <c r="G585" s="462"/>
      <c r="H585" s="462"/>
      <c r="I585" s="654"/>
      <c r="J585" s="650"/>
      <c r="K585" s="654"/>
      <c r="L585" s="654"/>
      <c r="M585" s="650"/>
      <c r="N585" s="650"/>
      <c r="O585" s="655"/>
      <c r="P585" s="655"/>
      <c r="Q585" s="655"/>
      <c r="R585" s="655"/>
      <c r="S585" s="655"/>
      <c r="T585" s="655"/>
      <c r="U585" s="655"/>
      <c r="V585" s="655"/>
      <c r="W585" s="655"/>
      <c r="X585" s="655"/>
      <c r="Y585" s="655"/>
      <c r="Z585" s="655"/>
      <c r="AA585" s="655"/>
      <c r="AB585" s="655"/>
      <c r="AC585" s="655"/>
      <c r="AD585" s="655"/>
    </row>
    <row r="586">
      <c r="B586" s="462"/>
      <c r="C586" s="462"/>
      <c r="D586" s="462"/>
      <c r="E586" s="462"/>
      <c r="F586" s="462"/>
      <c r="G586" s="462"/>
      <c r="H586" s="462"/>
      <c r="I586" s="654"/>
      <c r="J586" s="650"/>
      <c r="K586" s="654"/>
      <c r="L586" s="654"/>
      <c r="M586" s="650"/>
      <c r="N586" s="650"/>
      <c r="O586" s="655"/>
      <c r="P586" s="655"/>
      <c r="Q586" s="655"/>
      <c r="R586" s="655"/>
      <c r="S586" s="655"/>
      <c r="T586" s="655"/>
      <c r="U586" s="655"/>
      <c r="V586" s="655"/>
      <c r="W586" s="655"/>
      <c r="X586" s="655"/>
      <c r="Y586" s="655"/>
      <c r="Z586" s="655"/>
      <c r="AA586" s="655"/>
      <c r="AB586" s="655"/>
      <c r="AC586" s="655"/>
      <c r="AD586" s="655"/>
    </row>
    <row r="587">
      <c r="B587" s="462"/>
      <c r="C587" s="462"/>
      <c r="D587" s="462"/>
      <c r="E587" s="462"/>
      <c r="F587" s="462"/>
      <c r="G587" s="462"/>
      <c r="H587" s="462"/>
      <c r="I587" s="654"/>
      <c r="J587" s="650"/>
      <c r="K587" s="654"/>
      <c r="L587" s="654"/>
      <c r="M587" s="650"/>
      <c r="N587" s="650"/>
      <c r="O587" s="655"/>
      <c r="P587" s="655"/>
      <c r="Q587" s="655"/>
      <c r="R587" s="655"/>
      <c r="S587" s="655"/>
      <c r="T587" s="655"/>
      <c r="U587" s="655"/>
      <c r="V587" s="655"/>
      <c r="W587" s="655"/>
      <c r="X587" s="655"/>
      <c r="Y587" s="655"/>
      <c r="Z587" s="655"/>
      <c r="AA587" s="655"/>
      <c r="AB587" s="655"/>
      <c r="AC587" s="655"/>
      <c r="AD587" s="655"/>
    </row>
    <row r="588">
      <c r="B588" s="462"/>
      <c r="C588" s="462"/>
      <c r="D588" s="462"/>
      <c r="E588" s="462"/>
      <c r="F588" s="462"/>
      <c r="G588" s="462"/>
      <c r="H588" s="462"/>
      <c r="I588" s="654"/>
      <c r="J588" s="650"/>
      <c r="K588" s="654"/>
      <c r="L588" s="654"/>
      <c r="M588" s="650"/>
      <c r="N588" s="650"/>
      <c r="O588" s="655"/>
      <c r="P588" s="655"/>
      <c r="Q588" s="655"/>
      <c r="R588" s="655"/>
      <c r="S588" s="655"/>
      <c r="T588" s="655"/>
      <c r="U588" s="655"/>
      <c r="V588" s="655"/>
      <c r="W588" s="655"/>
      <c r="X588" s="655"/>
      <c r="Y588" s="655"/>
      <c r="Z588" s="655"/>
      <c r="AA588" s="655"/>
      <c r="AB588" s="655"/>
      <c r="AC588" s="655"/>
      <c r="AD588" s="655"/>
    </row>
    <row r="589">
      <c r="B589" s="462"/>
      <c r="C589" s="462"/>
      <c r="D589" s="462"/>
      <c r="E589" s="462"/>
      <c r="F589" s="462"/>
      <c r="G589" s="462"/>
      <c r="H589" s="462"/>
      <c r="I589" s="654"/>
      <c r="J589" s="650"/>
      <c r="K589" s="654"/>
      <c r="L589" s="654"/>
      <c r="M589" s="650"/>
      <c r="N589" s="650"/>
      <c r="O589" s="655"/>
      <c r="P589" s="655"/>
      <c r="Q589" s="655"/>
      <c r="R589" s="655"/>
      <c r="S589" s="655"/>
      <c r="T589" s="655"/>
      <c r="U589" s="655"/>
      <c r="V589" s="655"/>
      <c r="W589" s="655"/>
      <c r="X589" s="655"/>
      <c r="Y589" s="655"/>
      <c r="Z589" s="655"/>
      <c r="AA589" s="655"/>
      <c r="AB589" s="655"/>
      <c r="AC589" s="655"/>
      <c r="AD589" s="655"/>
    </row>
    <row r="590">
      <c r="B590" s="462"/>
      <c r="C590" s="462"/>
      <c r="D590" s="462"/>
      <c r="E590" s="462"/>
      <c r="F590" s="462"/>
      <c r="G590" s="462"/>
      <c r="H590" s="462"/>
      <c r="I590" s="654"/>
      <c r="J590" s="650"/>
      <c r="K590" s="654"/>
      <c r="L590" s="654"/>
      <c r="M590" s="650"/>
      <c r="N590" s="650"/>
      <c r="O590" s="655"/>
      <c r="P590" s="655"/>
      <c r="Q590" s="655"/>
      <c r="R590" s="655"/>
      <c r="S590" s="655"/>
      <c r="T590" s="655"/>
      <c r="U590" s="655"/>
      <c r="V590" s="655"/>
      <c r="W590" s="655"/>
      <c r="X590" s="655"/>
      <c r="Y590" s="655"/>
      <c r="Z590" s="655"/>
      <c r="AA590" s="655"/>
      <c r="AB590" s="655"/>
      <c r="AC590" s="655"/>
      <c r="AD590" s="655"/>
    </row>
    <row r="591">
      <c r="B591" s="462"/>
      <c r="C591" s="462"/>
      <c r="D591" s="462"/>
      <c r="E591" s="462"/>
      <c r="F591" s="462"/>
      <c r="G591" s="462"/>
      <c r="H591" s="462"/>
      <c r="I591" s="654"/>
      <c r="J591" s="650"/>
      <c r="K591" s="654"/>
      <c r="L591" s="654"/>
      <c r="M591" s="650"/>
      <c r="N591" s="650"/>
      <c r="O591" s="655"/>
      <c r="P591" s="655"/>
      <c r="Q591" s="655"/>
      <c r="R591" s="655"/>
      <c r="S591" s="655"/>
      <c r="T591" s="655"/>
      <c r="U591" s="655"/>
      <c r="V591" s="655"/>
      <c r="W591" s="655"/>
      <c r="X591" s="655"/>
      <c r="Y591" s="655"/>
      <c r="Z591" s="655"/>
      <c r="AA591" s="655"/>
      <c r="AB591" s="655"/>
      <c r="AC591" s="655"/>
      <c r="AD591" s="655"/>
    </row>
    <row r="592">
      <c r="B592" s="462"/>
      <c r="C592" s="462"/>
      <c r="D592" s="462"/>
      <c r="E592" s="462"/>
      <c r="F592" s="462"/>
      <c r="G592" s="462"/>
      <c r="H592" s="462"/>
      <c r="I592" s="654"/>
      <c r="J592" s="650"/>
      <c r="K592" s="654"/>
      <c r="L592" s="654"/>
      <c r="M592" s="650"/>
      <c r="N592" s="650"/>
      <c r="O592" s="655"/>
      <c r="P592" s="655"/>
      <c r="Q592" s="655"/>
      <c r="R592" s="655"/>
      <c r="S592" s="655"/>
      <c r="T592" s="655"/>
      <c r="U592" s="655"/>
      <c r="V592" s="655"/>
      <c r="W592" s="655"/>
      <c r="X592" s="655"/>
      <c r="Y592" s="655"/>
      <c r="Z592" s="655"/>
      <c r="AA592" s="655"/>
      <c r="AB592" s="655"/>
      <c r="AC592" s="655"/>
      <c r="AD592" s="655"/>
    </row>
    <row r="593">
      <c r="B593" s="462"/>
      <c r="C593" s="462"/>
      <c r="D593" s="462"/>
      <c r="E593" s="462"/>
      <c r="F593" s="462"/>
      <c r="G593" s="462"/>
      <c r="H593" s="462"/>
      <c r="I593" s="654"/>
      <c r="J593" s="650"/>
      <c r="K593" s="654"/>
      <c r="L593" s="654"/>
      <c r="M593" s="650"/>
      <c r="N593" s="650"/>
      <c r="O593" s="655"/>
      <c r="P593" s="655"/>
      <c r="Q593" s="655"/>
      <c r="R593" s="655"/>
      <c r="S593" s="655"/>
      <c r="T593" s="655"/>
      <c r="U593" s="655"/>
      <c r="V593" s="655"/>
      <c r="W593" s="655"/>
      <c r="X593" s="655"/>
      <c r="Y593" s="655"/>
      <c r="Z593" s="655"/>
      <c r="AA593" s="655"/>
      <c r="AB593" s="655"/>
      <c r="AC593" s="655"/>
      <c r="AD593" s="655"/>
    </row>
    <row r="594">
      <c r="B594" s="462"/>
      <c r="C594" s="462"/>
      <c r="D594" s="462"/>
      <c r="E594" s="462"/>
      <c r="F594" s="462"/>
      <c r="G594" s="462"/>
      <c r="H594" s="462"/>
      <c r="I594" s="654"/>
      <c r="J594" s="650"/>
      <c r="K594" s="654"/>
      <c r="L594" s="654"/>
      <c r="M594" s="650"/>
      <c r="N594" s="650"/>
      <c r="O594" s="655"/>
      <c r="P594" s="655"/>
      <c r="Q594" s="655"/>
      <c r="R594" s="655"/>
      <c r="S594" s="655"/>
      <c r="T594" s="655"/>
      <c r="U594" s="655"/>
      <c r="V594" s="655"/>
      <c r="W594" s="655"/>
      <c r="X594" s="655"/>
      <c r="Y594" s="655"/>
      <c r="Z594" s="655"/>
      <c r="AA594" s="655"/>
      <c r="AB594" s="655"/>
      <c r="AC594" s="655"/>
      <c r="AD594" s="655"/>
    </row>
    <row r="595">
      <c r="B595" s="462"/>
      <c r="C595" s="462"/>
      <c r="D595" s="462"/>
      <c r="E595" s="462"/>
      <c r="F595" s="462"/>
      <c r="G595" s="462"/>
      <c r="H595" s="462"/>
      <c r="I595" s="654"/>
      <c r="J595" s="650"/>
      <c r="K595" s="654"/>
      <c r="L595" s="654"/>
      <c r="M595" s="650"/>
      <c r="N595" s="650"/>
      <c r="O595" s="655"/>
      <c r="P595" s="655"/>
      <c r="Q595" s="655"/>
      <c r="R595" s="655"/>
      <c r="S595" s="655"/>
      <c r="T595" s="655"/>
      <c r="U595" s="655"/>
      <c r="V595" s="655"/>
      <c r="W595" s="655"/>
      <c r="X595" s="655"/>
      <c r="Y595" s="655"/>
      <c r="Z595" s="655"/>
      <c r="AA595" s="655"/>
      <c r="AB595" s="655"/>
      <c r="AC595" s="655"/>
      <c r="AD595" s="655"/>
    </row>
    <row r="596">
      <c r="B596" s="462"/>
      <c r="C596" s="462"/>
      <c r="D596" s="462"/>
      <c r="E596" s="462"/>
      <c r="F596" s="462"/>
      <c r="G596" s="462"/>
      <c r="H596" s="462"/>
      <c r="I596" s="654"/>
      <c r="J596" s="650"/>
      <c r="K596" s="654"/>
      <c r="L596" s="654"/>
      <c r="M596" s="650"/>
      <c r="N596" s="650"/>
      <c r="O596" s="655"/>
      <c r="P596" s="655"/>
      <c r="Q596" s="655"/>
      <c r="R596" s="655"/>
      <c r="S596" s="655"/>
      <c r="T596" s="655"/>
      <c r="U596" s="655"/>
      <c r="V596" s="655"/>
      <c r="W596" s="655"/>
      <c r="X596" s="655"/>
      <c r="Y596" s="655"/>
      <c r="Z596" s="655"/>
      <c r="AA596" s="655"/>
      <c r="AB596" s="655"/>
      <c r="AC596" s="655"/>
      <c r="AD596" s="655"/>
    </row>
    <row r="597">
      <c r="B597" s="462"/>
      <c r="C597" s="462"/>
      <c r="D597" s="462"/>
      <c r="E597" s="462"/>
      <c r="F597" s="462"/>
      <c r="G597" s="462"/>
      <c r="H597" s="462"/>
      <c r="I597" s="654"/>
      <c r="J597" s="650"/>
      <c r="K597" s="654"/>
      <c r="L597" s="654"/>
      <c r="M597" s="650"/>
      <c r="N597" s="650"/>
      <c r="O597" s="655"/>
      <c r="P597" s="655"/>
      <c r="Q597" s="655"/>
      <c r="R597" s="655"/>
      <c r="S597" s="655"/>
      <c r="T597" s="655"/>
      <c r="U597" s="655"/>
      <c r="V597" s="655"/>
      <c r="W597" s="655"/>
      <c r="X597" s="655"/>
      <c r="Y597" s="655"/>
      <c r="Z597" s="655"/>
      <c r="AA597" s="655"/>
      <c r="AB597" s="655"/>
      <c r="AC597" s="655"/>
      <c r="AD597" s="655"/>
    </row>
    <row r="598">
      <c r="B598" s="462"/>
      <c r="C598" s="462"/>
      <c r="D598" s="462"/>
      <c r="E598" s="462"/>
      <c r="F598" s="462"/>
      <c r="G598" s="462"/>
      <c r="H598" s="462"/>
      <c r="I598" s="654"/>
      <c r="J598" s="650"/>
      <c r="K598" s="654"/>
      <c r="L598" s="654"/>
      <c r="M598" s="650"/>
      <c r="N598" s="650"/>
      <c r="O598" s="655"/>
      <c r="P598" s="655"/>
      <c r="Q598" s="655"/>
      <c r="R598" s="655"/>
      <c r="S598" s="655"/>
      <c r="T598" s="655"/>
      <c r="U598" s="655"/>
      <c r="V598" s="655"/>
      <c r="W598" s="655"/>
      <c r="X598" s="655"/>
      <c r="Y598" s="655"/>
      <c r="Z598" s="655"/>
      <c r="AA598" s="655"/>
      <c r="AB598" s="655"/>
      <c r="AC598" s="655"/>
      <c r="AD598" s="655"/>
    </row>
    <row r="599">
      <c r="B599" s="462"/>
      <c r="C599" s="462"/>
      <c r="D599" s="462"/>
      <c r="E599" s="462"/>
      <c r="F599" s="462"/>
      <c r="G599" s="462"/>
      <c r="H599" s="462"/>
      <c r="I599" s="654"/>
      <c r="J599" s="650"/>
      <c r="K599" s="654"/>
      <c r="L599" s="654"/>
      <c r="M599" s="650"/>
      <c r="N599" s="650"/>
      <c r="O599" s="655"/>
      <c r="P599" s="655"/>
      <c r="Q599" s="655"/>
      <c r="R599" s="655"/>
      <c r="S599" s="655"/>
      <c r="T599" s="655"/>
      <c r="U599" s="655"/>
      <c r="V599" s="655"/>
      <c r="W599" s="655"/>
      <c r="X599" s="655"/>
      <c r="Y599" s="655"/>
      <c r="Z599" s="655"/>
      <c r="AA599" s="655"/>
      <c r="AB599" s="655"/>
      <c r="AC599" s="655"/>
      <c r="AD599" s="655"/>
    </row>
    <row r="600">
      <c r="B600" s="462"/>
      <c r="C600" s="462"/>
      <c r="D600" s="462"/>
      <c r="E600" s="462"/>
      <c r="F600" s="462"/>
      <c r="G600" s="462"/>
      <c r="H600" s="462"/>
      <c r="I600" s="654"/>
      <c r="J600" s="650"/>
      <c r="K600" s="654"/>
      <c r="L600" s="654"/>
      <c r="M600" s="650"/>
      <c r="N600" s="650"/>
      <c r="O600" s="655"/>
      <c r="P600" s="655"/>
      <c r="Q600" s="655"/>
      <c r="R600" s="655"/>
      <c r="S600" s="655"/>
      <c r="T600" s="655"/>
      <c r="U600" s="655"/>
      <c r="V600" s="655"/>
      <c r="W600" s="655"/>
      <c r="X600" s="655"/>
      <c r="Y600" s="655"/>
      <c r="Z600" s="655"/>
      <c r="AA600" s="655"/>
      <c r="AB600" s="655"/>
      <c r="AC600" s="655"/>
      <c r="AD600" s="655"/>
    </row>
    <row r="601">
      <c r="B601" s="462"/>
      <c r="C601" s="462"/>
      <c r="D601" s="462"/>
      <c r="E601" s="462"/>
      <c r="F601" s="462"/>
      <c r="G601" s="462"/>
      <c r="H601" s="462"/>
      <c r="I601" s="654"/>
      <c r="J601" s="650"/>
      <c r="K601" s="654"/>
      <c r="L601" s="654"/>
      <c r="M601" s="650"/>
      <c r="N601" s="650"/>
      <c r="O601" s="655"/>
      <c r="P601" s="655"/>
      <c r="Q601" s="655"/>
      <c r="R601" s="655"/>
      <c r="S601" s="655"/>
      <c r="T601" s="655"/>
      <c r="U601" s="655"/>
      <c r="V601" s="655"/>
      <c r="W601" s="655"/>
      <c r="X601" s="655"/>
      <c r="Y601" s="655"/>
      <c r="Z601" s="655"/>
      <c r="AA601" s="655"/>
      <c r="AB601" s="655"/>
      <c r="AC601" s="655"/>
      <c r="AD601" s="655"/>
    </row>
    <row r="602">
      <c r="B602" s="462"/>
      <c r="C602" s="462"/>
      <c r="D602" s="462"/>
      <c r="E602" s="462"/>
      <c r="F602" s="462"/>
      <c r="G602" s="462"/>
      <c r="H602" s="462"/>
      <c r="I602" s="654"/>
      <c r="J602" s="650"/>
      <c r="K602" s="654"/>
      <c r="L602" s="654"/>
      <c r="M602" s="650"/>
      <c r="N602" s="650"/>
      <c r="O602" s="655"/>
      <c r="P602" s="655"/>
      <c r="Q602" s="655"/>
      <c r="R602" s="655"/>
      <c r="S602" s="655"/>
      <c r="T602" s="655"/>
      <c r="U602" s="655"/>
      <c r="V602" s="655"/>
      <c r="W602" s="655"/>
      <c r="X602" s="655"/>
      <c r="Y602" s="655"/>
      <c r="Z602" s="655"/>
      <c r="AA602" s="655"/>
      <c r="AB602" s="655"/>
      <c r="AC602" s="655"/>
      <c r="AD602" s="655"/>
    </row>
    <row r="603">
      <c r="B603" s="462"/>
      <c r="C603" s="462"/>
      <c r="D603" s="462"/>
      <c r="E603" s="462"/>
      <c r="F603" s="462"/>
      <c r="G603" s="462"/>
      <c r="H603" s="462"/>
      <c r="I603" s="654"/>
      <c r="J603" s="650"/>
      <c r="K603" s="654"/>
      <c r="L603" s="654"/>
      <c r="M603" s="650"/>
      <c r="N603" s="650"/>
      <c r="O603" s="655"/>
      <c r="P603" s="655"/>
      <c r="Q603" s="655"/>
      <c r="R603" s="655"/>
      <c r="S603" s="655"/>
      <c r="T603" s="655"/>
      <c r="U603" s="655"/>
      <c r="V603" s="655"/>
      <c r="W603" s="655"/>
      <c r="X603" s="655"/>
      <c r="Y603" s="655"/>
      <c r="Z603" s="655"/>
      <c r="AA603" s="655"/>
      <c r="AB603" s="655"/>
      <c r="AC603" s="655"/>
      <c r="AD603" s="655"/>
    </row>
    <row r="604">
      <c r="B604" s="462"/>
      <c r="C604" s="462"/>
      <c r="D604" s="462"/>
      <c r="E604" s="462"/>
      <c r="F604" s="462"/>
      <c r="G604" s="462"/>
      <c r="H604" s="462"/>
      <c r="I604" s="654"/>
      <c r="J604" s="650"/>
      <c r="K604" s="654"/>
      <c r="L604" s="654"/>
      <c r="M604" s="650"/>
      <c r="N604" s="650"/>
      <c r="O604" s="655"/>
      <c r="P604" s="655"/>
      <c r="Q604" s="655"/>
      <c r="R604" s="655"/>
      <c r="S604" s="655"/>
      <c r="T604" s="655"/>
      <c r="U604" s="655"/>
      <c r="V604" s="655"/>
      <c r="W604" s="655"/>
      <c r="X604" s="655"/>
      <c r="Y604" s="655"/>
      <c r="Z604" s="655"/>
      <c r="AA604" s="655"/>
      <c r="AB604" s="655"/>
      <c r="AC604" s="655"/>
      <c r="AD604" s="655"/>
    </row>
    <row r="605">
      <c r="B605" s="462"/>
      <c r="C605" s="462"/>
      <c r="D605" s="462"/>
      <c r="E605" s="462"/>
      <c r="F605" s="462"/>
      <c r="G605" s="462"/>
      <c r="H605" s="462"/>
      <c r="I605" s="654"/>
      <c r="J605" s="650"/>
      <c r="K605" s="654"/>
      <c r="L605" s="654"/>
      <c r="M605" s="650"/>
      <c r="N605" s="650"/>
      <c r="O605" s="655"/>
      <c r="P605" s="655"/>
      <c r="Q605" s="655"/>
      <c r="R605" s="655"/>
      <c r="S605" s="655"/>
      <c r="T605" s="655"/>
      <c r="U605" s="655"/>
      <c r="V605" s="655"/>
      <c r="W605" s="655"/>
      <c r="X605" s="655"/>
      <c r="Y605" s="655"/>
      <c r="Z605" s="655"/>
      <c r="AA605" s="655"/>
      <c r="AB605" s="655"/>
      <c r="AC605" s="655"/>
      <c r="AD605" s="655"/>
    </row>
    <row r="606">
      <c r="B606" s="462"/>
      <c r="C606" s="462"/>
      <c r="D606" s="462"/>
      <c r="E606" s="462"/>
      <c r="F606" s="462"/>
      <c r="G606" s="462"/>
      <c r="H606" s="462"/>
      <c r="I606" s="654"/>
      <c r="J606" s="650"/>
      <c r="K606" s="654"/>
      <c r="L606" s="654"/>
      <c r="M606" s="650"/>
      <c r="N606" s="650"/>
      <c r="O606" s="655"/>
      <c r="P606" s="655"/>
      <c r="Q606" s="655"/>
      <c r="R606" s="655"/>
      <c r="S606" s="655"/>
      <c r="T606" s="655"/>
      <c r="U606" s="655"/>
      <c r="V606" s="655"/>
      <c r="W606" s="655"/>
      <c r="X606" s="655"/>
      <c r="Y606" s="655"/>
      <c r="Z606" s="655"/>
      <c r="AA606" s="655"/>
      <c r="AB606" s="655"/>
      <c r="AC606" s="655"/>
      <c r="AD606" s="655"/>
    </row>
    <row r="607">
      <c r="B607" s="462"/>
      <c r="C607" s="462"/>
      <c r="D607" s="462"/>
      <c r="E607" s="462"/>
      <c r="F607" s="462"/>
      <c r="G607" s="462"/>
      <c r="H607" s="462"/>
      <c r="I607" s="654"/>
      <c r="J607" s="650"/>
      <c r="K607" s="654"/>
      <c r="L607" s="654"/>
      <c r="M607" s="650"/>
      <c r="N607" s="650"/>
      <c r="O607" s="655"/>
      <c r="P607" s="655"/>
      <c r="Q607" s="655"/>
      <c r="R607" s="655"/>
      <c r="S607" s="655"/>
      <c r="T607" s="655"/>
      <c r="U607" s="655"/>
      <c r="V607" s="655"/>
      <c r="W607" s="655"/>
      <c r="X607" s="655"/>
      <c r="Y607" s="655"/>
      <c r="Z607" s="655"/>
      <c r="AA607" s="655"/>
      <c r="AB607" s="655"/>
      <c r="AC607" s="655"/>
      <c r="AD607" s="655"/>
    </row>
    <row r="608">
      <c r="B608" s="462"/>
      <c r="C608" s="462"/>
      <c r="D608" s="462"/>
      <c r="E608" s="462"/>
      <c r="F608" s="462"/>
      <c r="G608" s="462"/>
      <c r="H608" s="462"/>
      <c r="I608" s="654"/>
      <c r="J608" s="650"/>
      <c r="K608" s="654"/>
      <c r="L608" s="654"/>
      <c r="M608" s="650"/>
      <c r="N608" s="650"/>
      <c r="O608" s="655"/>
      <c r="P608" s="655"/>
      <c r="Q608" s="655"/>
      <c r="R608" s="655"/>
      <c r="S608" s="655"/>
      <c r="T608" s="655"/>
      <c r="U608" s="655"/>
      <c r="V608" s="655"/>
      <c r="W608" s="655"/>
      <c r="X608" s="655"/>
      <c r="Y608" s="655"/>
      <c r="Z608" s="655"/>
      <c r="AA608" s="655"/>
      <c r="AB608" s="655"/>
      <c r="AC608" s="655"/>
      <c r="AD608" s="655"/>
    </row>
    <row r="609">
      <c r="B609" s="462"/>
      <c r="C609" s="462"/>
      <c r="D609" s="462"/>
      <c r="E609" s="462"/>
      <c r="F609" s="462"/>
      <c r="G609" s="462"/>
      <c r="H609" s="462"/>
      <c r="I609" s="654"/>
      <c r="J609" s="650"/>
      <c r="K609" s="654"/>
      <c r="L609" s="654"/>
      <c r="M609" s="650"/>
      <c r="N609" s="650"/>
      <c r="O609" s="655"/>
      <c r="P609" s="655"/>
      <c r="Q609" s="655"/>
      <c r="R609" s="655"/>
      <c r="S609" s="655"/>
      <c r="T609" s="655"/>
      <c r="U609" s="655"/>
      <c r="V609" s="655"/>
      <c r="W609" s="655"/>
      <c r="X609" s="655"/>
      <c r="Y609" s="655"/>
      <c r="Z609" s="655"/>
      <c r="AA609" s="655"/>
      <c r="AB609" s="655"/>
      <c r="AC609" s="655"/>
      <c r="AD609" s="655"/>
    </row>
    <row r="610">
      <c r="B610" s="462"/>
      <c r="C610" s="462"/>
      <c r="D610" s="462"/>
      <c r="E610" s="462"/>
      <c r="F610" s="462"/>
      <c r="G610" s="462"/>
      <c r="H610" s="462"/>
      <c r="I610" s="654"/>
      <c r="J610" s="650"/>
      <c r="K610" s="654"/>
      <c r="L610" s="654"/>
      <c r="M610" s="650"/>
      <c r="N610" s="650"/>
      <c r="O610" s="655"/>
      <c r="P610" s="655"/>
      <c r="Q610" s="655"/>
      <c r="R610" s="655"/>
      <c r="S610" s="655"/>
      <c r="T610" s="655"/>
      <c r="U610" s="655"/>
      <c r="V610" s="655"/>
      <c r="W610" s="655"/>
      <c r="X610" s="655"/>
      <c r="Y610" s="655"/>
      <c r="Z610" s="655"/>
      <c r="AA610" s="655"/>
      <c r="AB610" s="655"/>
      <c r="AC610" s="655"/>
      <c r="AD610" s="655"/>
    </row>
    <row r="611">
      <c r="B611" s="462"/>
      <c r="C611" s="462"/>
      <c r="D611" s="462"/>
      <c r="E611" s="462"/>
      <c r="F611" s="462"/>
      <c r="G611" s="462"/>
      <c r="H611" s="462"/>
      <c r="I611" s="654"/>
      <c r="J611" s="650"/>
      <c r="K611" s="654"/>
      <c r="L611" s="654"/>
      <c r="M611" s="650"/>
      <c r="N611" s="650"/>
      <c r="O611" s="655"/>
      <c r="P611" s="655"/>
      <c r="Q611" s="655"/>
      <c r="R611" s="655"/>
      <c r="S611" s="655"/>
      <c r="T611" s="655"/>
      <c r="U611" s="655"/>
      <c r="V611" s="655"/>
      <c r="W611" s="655"/>
      <c r="X611" s="655"/>
      <c r="Y611" s="655"/>
      <c r="Z611" s="655"/>
      <c r="AA611" s="655"/>
      <c r="AB611" s="655"/>
      <c r="AC611" s="655"/>
      <c r="AD611" s="655"/>
    </row>
    <row r="612">
      <c r="B612" s="462"/>
      <c r="C612" s="462"/>
      <c r="D612" s="462"/>
      <c r="E612" s="462"/>
      <c r="F612" s="462"/>
      <c r="G612" s="462"/>
      <c r="H612" s="462"/>
      <c r="I612" s="654"/>
      <c r="J612" s="650"/>
      <c r="K612" s="654"/>
      <c r="L612" s="654"/>
      <c r="M612" s="650"/>
      <c r="N612" s="650"/>
      <c r="O612" s="655"/>
      <c r="P612" s="655"/>
      <c r="Q612" s="655"/>
      <c r="R612" s="655"/>
      <c r="S612" s="655"/>
      <c r="T612" s="655"/>
      <c r="U612" s="655"/>
      <c r="V612" s="655"/>
      <c r="W612" s="655"/>
      <c r="X612" s="655"/>
      <c r="Y612" s="655"/>
      <c r="Z612" s="655"/>
      <c r="AA612" s="655"/>
      <c r="AB612" s="655"/>
      <c r="AC612" s="655"/>
      <c r="AD612" s="655"/>
    </row>
    <row r="613">
      <c r="B613" s="462"/>
      <c r="C613" s="462"/>
      <c r="D613" s="462"/>
      <c r="E613" s="462"/>
      <c r="F613" s="462"/>
      <c r="G613" s="462"/>
      <c r="H613" s="462"/>
      <c r="I613" s="654"/>
      <c r="J613" s="650"/>
      <c r="K613" s="654"/>
      <c r="L613" s="654"/>
      <c r="M613" s="650"/>
      <c r="N613" s="650"/>
      <c r="O613" s="655"/>
      <c r="P613" s="655"/>
      <c r="Q613" s="655"/>
      <c r="R613" s="655"/>
      <c r="S613" s="655"/>
      <c r="T613" s="655"/>
      <c r="U613" s="655"/>
      <c r="V613" s="655"/>
      <c r="W613" s="655"/>
      <c r="X613" s="655"/>
      <c r="Y613" s="655"/>
      <c r="Z613" s="655"/>
      <c r="AA613" s="655"/>
      <c r="AB613" s="655"/>
      <c r="AC613" s="655"/>
      <c r="AD613" s="655"/>
    </row>
    <row r="614">
      <c r="B614" s="462"/>
      <c r="C614" s="462"/>
      <c r="D614" s="462"/>
      <c r="E614" s="462"/>
      <c r="F614" s="462"/>
      <c r="G614" s="462"/>
      <c r="H614" s="462"/>
      <c r="I614" s="654"/>
      <c r="J614" s="650"/>
      <c r="K614" s="654"/>
      <c r="L614" s="654"/>
      <c r="M614" s="650"/>
      <c r="N614" s="650"/>
      <c r="O614" s="655"/>
      <c r="P614" s="655"/>
      <c r="Q614" s="655"/>
      <c r="R614" s="655"/>
      <c r="S614" s="655"/>
      <c r="T614" s="655"/>
      <c r="U614" s="655"/>
      <c r="V614" s="655"/>
      <c r="W614" s="655"/>
      <c r="X614" s="655"/>
      <c r="Y614" s="655"/>
      <c r="Z614" s="655"/>
      <c r="AA614" s="655"/>
      <c r="AB614" s="655"/>
      <c r="AC614" s="655"/>
      <c r="AD614" s="655"/>
    </row>
    <row r="615">
      <c r="B615" s="462"/>
      <c r="C615" s="462"/>
      <c r="D615" s="462"/>
      <c r="E615" s="462"/>
      <c r="F615" s="462"/>
      <c r="G615" s="462"/>
      <c r="H615" s="462"/>
      <c r="I615" s="654"/>
      <c r="J615" s="650"/>
      <c r="K615" s="654"/>
      <c r="L615" s="654"/>
      <c r="M615" s="650"/>
      <c r="N615" s="650"/>
      <c r="O615" s="655"/>
      <c r="P615" s="655"/>
      <c r="Q615" s="655"/>
      <c r="R615" s="655"/>
      <c r="S615" s="655"/>
      <c r="T615" s="655"/>
      <c r="U615" s="655"/>
      <c r="V615" s="655"/>
      <c r="W615" s="655"/>
      <c r="X615" s="655"/>
      <c r="Y615" s="655"/>
      <c r="Z615" s="655"/>
      <c r="AA615" s="655"/>
      <c r="AB615" s="655"/>
      <c r="AC615" s="655"/>
      <c r="AD615" s="655"/>
    </row>
    <row r="616">
      <c r="B616" s="462"/>
      <c r="C616" s="462"/>
      <c r="D616" s="462"/>
      <c r="E616" s="462"/>
      <c r="F616" s="462"/>
      <c r="G616" s="462"/>
      <c r="H616" s="462"/>
      <c r="I616" s="654"/>
      <c r="J616" s="650"/>
      <c r="K616" s="654"/>
      <c r="L616" s="654"/>
      <c r="M616" s="650"/>
      <c r="N616" s="650"/>
      <c r="O616" s="655"/>
      <c r="P616" s="655"/>
      <c r="Q616" s="655"/>
      <c r="R616" s="655"/>
      <c r="S616" s="655"/>
      <c r="T616" s="655"/>
      <c r="U616" s="655"/>
      <c r="V616" s="655"/>
      <c r="W616" s="655"/>
      <c r="X616" s="655"/>
      <c r="Y616" s="655"/>
      <c r="Z616" s="655"/>
      <c r="AA616" s="655"/>
      <c r="AB616" s="655"/>
      <c r="AC616" s="655"/>
      <c r="AD616" s="655"/>
    </row>
    <row r="617">
      <c r="B617" s="462"/>
      <c r="C617" s="462"/>
      <c r="D617" s="462"/>
      <c r="E617" s="462"/>
      <c r="F617" s="462"/>
      <c r="G617" s="462"/>
      <c r="H617" s="462"/>
      <c r="I617" s="654"/>
      <c r="J617" s="650"/>
      <c r="K617" s="654"/>
      <c r="L617" s="654"/>
      <c r="M617" s="650"/>
      <c r="N617" s="650"/>
      <c r="O617" s="655"/>
      <c r="P617" s="655"/>
      <c r="Q617" s="655"/>
      <c r="R617" s="655"/>
      <c r="S617" s="655"/>
      <c r="T617" s="655"/>
      <c r="U617" s="655"/>
      <c r="V617" s="655"/>
      <c r="W617" s="655"/>
      <c r="X617" s="655"/>
      <c r="Y617" s="655"/>
      <c r="Z617" s="655"/>
      <c r="AA617" s="655"/>
      <c r="AB617" s="655"/>
      <c r="AC617" s="655"/>
      <c r="AD617" s="655"/>
    </row>
    <row r="618">
      <c r="B618" s="462"/>
      <c r="C618" s="462"/>
      <c r="D618" s="462"/>
      <c r="E618" s="462"/>
      <c r="F618" s="462"/>
      <c r="G618" s="462"/>
      <c r="H618" s="462"/>
      <c r="I618" s="654"/>
      <c r="J618" s="650"/>
      <c r="K618" s="654"/>
      <c r="L618" s="654"/>
      <c r="M618" s="650"/>
      <c r="N618" s="650"/>
      <c r="O618" s="655"/>
      <c r="P618" s="655"/>
      <c r="Q618" s="655"/>
      <c r="R618" s="655"/>
      <c r="S618" s="655"/>
      <c r="T618" s="655"/>
      <c r="U618" s="655"/>
      <c r="V618" s="655"/>
      <c r="W618" s="655"/>
      <c r="X618" s="655"/>
      <c r="Y618" s="655"/>
      <c r="Z618" s="655"/>
      <c r="AA618" s="655"/>
      <c r="AB618" s="655"/>
      <c r="AC618" s="655"/>
      <c r="AD618" s="655"/>
    </row>
    <row r="619">
      <c r="B619" s="462"/>
      <c r="C619" s="462"/>
      <c r="D619" s="462"/>
      <c r="E619" s="462"/>
      <c r="F619" s="462"/>
      <c r="G619" s="462"/>
      <c r="H619" s="462"/>
      <c r="I619" s="654"/>
      <c r="J619" s="650"/>
      <c r="K619" s="654"/>
      <c r="L619" s="654"/>
      <c r="M619" s="650"/>
      <c r="N619" s="650"/>
      <c r="O619" s="655"/>
      <c r="P619" s="655"/>
      <c r="Q619" s="655"/>
      <c r="R619" s="655"/>
      <c r="S619" s="655"/>
      <c r="T619" s="655"/>
      <c r="U619" s="655"/>
      <c r="V619" s="655"/>
      <c r="W619" s="655"/>
      <c r="X619" s="655"/>
      <c r="Y619" s="655"/>
      <c r="Z619" s="655"/>
      <c r="AA619" s="655"/>
      <c r="AB619" s="655"/>
      <c r="AC619" s="655"/>
      <c r="AD619" s="655"/>
    </row>
    <row r="620">
      <c r="B620" s="462"/>
      <c r="C620" s="462"/>
      <c r="D620" s="462"/>
      <c r="E620" s="462"/>
      <c r="F620" s="462"/>
      <c r="G620" s="462"/>
      <c r="H620" s="462"/>
      <c r="I620" s="654"/>
      <c r="J620" s="650"/>
      <c r="K620" s="654"/>
      <c r="L620" s="654"/>
      <c r="M620" s="650"/>
      <c r="N620" s="650"/>
      <c r="O620" s="655"/>
      <c r="P620" s="655"/>
      <c r="Q620" s="655"/>
      <c r="R620" s="655"/>
      <c r="S620" s="655"/>
      <c r="T620" s="655"/>
      <c r="U620" s="655"/>
      <c r="V620" s="655"/>
      <c r="W620" s="655"/>
      <c r="X620" s="655"/>
      <c r="Y620" s="655"/>
      <c r="Z620" s="655"/>
      <c r="AA620" s="655"/>
      <c r="AB620" s="655"/>
      <c r="AC620" s="655"/>
      <c r="AD620" s="655"/>
    </row>
    <row r="621">
      <c r="B621" s="462"/>
      <c r="C621" s="462"/>
      <c r="D621" s="462"/>
      <c r="E621" s="462"/>
      <c r="F621" s="462"/>
      <c r="G621" s="462"/>
      <c r="H621" s="462"/>
      <c r="I621" s="654"/>
      <c r="J621" s="650"/>
      <c r="K621" s="654"/>
      <c r="L621" s="654"/>
      <c r="M621" s="650"/>
      <c r="N621" s="650"/>
      <c r="O621" s="655"/>
      <c r="P621" s="655"/>
      <c r="Q621" s="655"/>
      <c r="R621" s="655"/>
      <c r="S621" s="655"/>
      <c r="T621" s="655"/>
      <c r="U621" s="655"/>
      <c r="V621" s="655"/>
      <c r="W621" s="655"/>
      <c r="X621" s="655"/>
      <c r="Y621" s="655"/>
      <c r="Z621" s="655"/>
      <c r="AA621" s="655"/>
      <c r="AB621" s="655"/>
      <c r="AC621" s="655"/>
      <c r="AD621" s="655"/>
    </row>
    <row r="622">
      <c r="B622" s="462"/>
      <c r="C622" s="462"/>
      <c r="D622" s="462"/>
      <c r="E622" s="462"/>
      <c r="F622" s="462"/>
      <c r="G622" s="462"/>
      <c r="H622" s="462"/>
      <c r="I622" s="654"/>
      <c r="J622" s="650"/>
      <c r="K622" s="654"/>
      <c r="L622" s="654"/>
      <c r="M622" s="650"/>
      <c r="N622" s="650"/>
      <c r="O622" s="655"/>
      <c r="P622" s="655"/>
      <c r="Q622" s="655"/>
      <c r="R622" s="655"/>
      <c r="S622" s="655"/>
      <c r="T622" s="655"/>
      <c r="U622" s="655"/>
      <c r="V622" s="655"/>
      <c r="W622" s="655"/>
      <c r="X622" s="655"/>
      <c r="Y622" s="655"/>
      <c r="Z622" s="655"/>
      <c r="AA622" s="655"/>
      <c r="AB622" s="655"/>
      <c r="AC622" s="655"/>
      <c r="AD622" s="655"/>
    </row>
    <row r="623">
      <c r="B623" s="462"/>
      <c r="C623" s="462"/>
      <c r="D623" s="462"/>
      <c r="E623" s="462"/>
      <c r="F623" s="462"/>
      <c r="G623" s="462"/>
      <c r="H623" s="462"/>
      <c r="I623" s="654"/>
      <c r="J623" s="650"/>
      <c r="K623" s="654"/>
      <c r="L623" s="654"/>
      <c r="M623" s="650"/>
      <c r="N623" s="650"/>
      <c r="O623" s="655"/>
      <c r="P623" s="655"/>
      <c r="Q623" s="655"/>
      <c r="R623" s="655"/>
      <c r="S623" s="655"/>
      <c r="T623" s="655"/>
      <c r="U623" s="655"/>
      <c r="V623" s="655"/>
      <c r="W623" s="655"/>
      <c r="X623" s="655"/>
      <c r="Y623" s="655"/>
      <c r="Z623" s="655"/>
      <c r="AA623" s="655"/>
      <c r="AB623" s="655"/>
      <c r="AC623" s="655"/>
      <c r="AD623" s="655"/>
    </row>
    <row r="624">
      <c r="B624" s="462"/>
      <c r="C624" s="462"/>
      <c r="D624" s="462"/>
      <c r="E624" s="462"/>
      <c r="F624" s="462"/>
      <c r="G624" s="462"/>
      <c r="H624" s="462"/>
      <c r="I624" s="654"/>
      <c r="J624" s="650"/>
      <c r="K624" s="654"/>
      <c r="L624" s="654"/>
      <c r="M624" s="650"/>
      <c r="N624" s="650"/>
      <c r="O624" s="655"/>
      <c r="P624" s="655"/>
      <c r="Q624" s="655"/>
      <c r="R624" s="655"/>
      <c r="S624" s="655"/>
      <c r="T624" s="655"/>
      <c r="U624" s="655"/>
      <c r="V624" s="655"/>
      <c r="W624" s="655"/>
      <c r="X624" s="655"/>
      <c r="Y624" s="655"/>
      <c r="Z624" s="655"/>
      <c r="AA624" s="655"/>
      <c r="AB624" s="655"/>
      <c r="AC624" s="655"/>
      <c r="AD624" s="655"/>
    </row>
    <row r="625">
      <c r="B625" s="462"/>
      <c r="C625" s="462"/>
      <c r="D625" s="462"/>
      <c r="E625" s="462"/>
      <c r="F625" s="462"/>
      <c r="G625" s="462"/>
      <c r="H625" s="462"/>
      <c r="I625" s="654"/>
      <c r="J625" s="650"/>
      <c r="K625" s="654"/>
      <c r="L625" s="654"/>
      <c r="M625" s="650"/>
      <c r="N625" s="650"/>
      <c r="O625" s="655"/>
      <c r="P625" s="655"/>
      <c r="Q625" s="655"/>
      <c r="R625" s="655"/>
      <c r="S625" s="655"/>
      <c r="T625" s="655"/>
      <c r="U625" s="655"/>
      <c r="V625" s="655"/>
      <c r="W625" s="655"/>
      <c r="X625" s="655"/>
      <c r="Y625" s="655"/>
      <c r="Z625" s="655"/>
      <c r="AA625" s="655"/>
      <c r="AB625" s="655"/>
      <c r="AC625" s="655"/>
      <c r="AD625" s="655"/>
    </row>
    <row r="626">
      <c r="B626" s="462"/>
      <c r="C626" s="462"/>
      <c r="D626" s="462"/>
      <c r="E626" s="462"/>
      <c r="F626" s="462"/>
      <c r="G626" s="462"/>
      <c r="H626" s="462"/>
      <c r="I626" s="654"/>
      <c r="J626" s="650"/>
      <c r="K626" s="654"/>
      <c r="L626" s="654"/>
      <c r="M626" s="650"/>
      <c r="N626" s="650"/>
      <c r="O626" s="655"/>
      <c r="P626" s="655"/>
      <c r="Q626" s="655"/>
      <c r="R626" s="655"/>
      <c r="S626" s="655"/>
      <c r="T626" s="655"/>
      <c r="U626" s="655"/>
      <c r="V626" s="655"/>
      <c r="W626" s="655"/>
      <c r="X626" s="655"/>
      <c r="Y626" s="655"/>
      <c r="Z626" s="655"/>
      <c r="AA626" s="655"/>
      <c r="AB626" s="655"/>
      <c r="AC626" s="655"/>
      <c r="AD626" s="655"/>
    </row>
    <row r="627">
      <c r="B627" s="462"/>
      <c r="C627" s="462"/>
      <c r="D627" s="462"/>
      <c r="E627" s="462"/>
      <c r="F627" s="462"/>
      <c r="G627" s="462"/>
      <c r="H627" s="462"/>
      <c r="I627" s="654"/>
      <c r="J627" s="650"/>
      <c r="K627" s="654"/>
      <c r="L627" s="654"/>
      <c r="M627" s="650"/>
      <c r="N627" s="650"/>
      <c r="O627" s="655"/>
      <c r="P627" s="655"/>
      <c r="Q627" s="655"/>
      <c r="R627" s="655"/>
      <c r="S627" s="655"/>
      <c r="T627" s="655"/>
      <c r="U627" s="655"/>
      <c r="V627" s="655"/>
      <c r="W627" s="655"/>
      <c r="X627" s="655"/>
      <c r="Y627" s="655"/>
      <c r="Z627" s="655"/>
      <c r="AA627" s="655"/>
      <c r="AB627" s="655"/>
      <c r="AC627" s="655"/>
      <c r="AD627" s="655"/>
    </row>
    <row r="628">
      <c r="B628" s="462"/>
      <c r="C628" s="462"/>
      <c r="D628" s="462"/>
      <c r="E628" s="462"/>
      <c r="F628" s="462"/>
      <c r="G628" s="462"/>
      <c r="H628" s="462"/>
      <c r="I628" s="654"/>
      <c r="J628" s="650"/>
      <c r="K628" s="654"/>
      <c r="L628" s="654"/>
      <c r="M628" s="650"/>
      <c r="N628" s="650"/>
      <c r="O628" s="655"/>
      <c r="P628" s="655"/>
      <c r="Q628" s="655"/>
      <c r="R628" s="655"/>
      <c r="S628" s="655"/>
      <c r="T628" s="655"/>
      <c r="U628" s="655"/>
      <c r="V628" s="655"/>
      <c r="W628" s="655"/>
      <c r="X628" s="655"/>
      <c r="Y628" s="655"/>
      <c r="Z628" s="655"/>
      <c r="AA628" s="655"/>
      <c r="AB628" s="655"/>
      <c r="AC628" s="655"/>
      <c r="AD628" s="655"/>
    </row>
    <row r="629">
      <c r="B629" s="462"/>
      <c r="C629" s="462"/>
      <c r="D629" s="462"/>
      <c r="E629" s="462"/>
      <c r="F629" s="462"/>
      <c r="G629" s="462"/>
      <c r="H629" s="462"/>
      <c r="I629" s="654"/>
      <c r="J629" s="650"/>
      <c r="K629" s="654"/>
      <c r="L629" s="654"/>
      <c r="M629" s="650"/>
      <c r="N629" s="650"/>
      <c r="O629" s="655"/>
      <c r="P629" s="655"/>
      <c r="Q629" s="655"/>
      <c r="R629" s="655"/>
      <c r="S629" s="655"/>
      <c r="T629" s="655"/>
      <c r="U629" s="655"/>
      <c r="V629" s="655"/>
      <c r="W629" s="655"/>
      <c r="X629" s="655"/>
      <c r="Y629" s="655"/>
      <c r="Z629" s="655"/>
      <c r="AA629" s="655"/>
      <c r="AB629" s="655"/>
      <c r="AC629" s="655"/>
      <c r="AD629" s="655"/>
    </row>
    <row r="630">
      <c r="B630" s="462"/>
      <c r="C630" s="462"/>
      <c r="D630" s="462"/>
      <c r="E630" s="462"/>
      <c r="F630" s="462"/>
      <c r="G630" s="462"/>
      <c r="H630" s="462"/>
      <c r="I630" s="654"/>
      <c r="J630" s="650"/>
      <c r="K630" s="654"/>
      <c r="L630" s="654"/>
      <c r="M630" s="650"/>
      <c r="N630" s="650"/>
      <c r="O630" s="655"/>
      <c r="P630" s="655"/>
      <c r="Q630" s="655"/>
      <c r="R630" s="655"/>
      <c r="S630" s="655"/>
      <c r="T630" s="655"/>
      <c r="U630" s="655"/>
      <c r="V630" s="655"/>
      <c r="W630" s="655"/>
      <c r="X630" s="655"/>
      <c r="Y630" s="655"/>
      <c r="Z630" s="655"/>
      <c r="AA630" s="655"/>
      <c r="AB630" s="655"/>
      <c r="AC630" s="655"/>
      <c r="AD630" s="655"/>
    </row>
    <row r="631">
      <c r="B631" s="462"/>
      <c r="C631" s="462"/>
      <c r="D631" s="462"/>
      <c r="E631" s="462"/>
      <c r="F631" s="462"/>
      <c r="G631" s="462"/>
      <c r="H631" s="462"/>
      <c r="I631" s="654"/>
      <c r="J631" s="650"/>
      <c r="K631" s="654"/>
      <c r="L631" s="654"/>
      <c r="M631" s="650"/>
      <c r="N631" s="650"/>
      <c r="O631" s="655"/>
      <c r="P631" s="655"/>
      <c r="Q631" s="655"/>
      <c r="R631" s="655"/>
      <c r="S631" s="655"/>
      <c r="T631" s="655"/>
      <c r="U631" s="655"/>
      <c r="V631" s="655"/>
      <c r="W631" s="655"/>
      <c r="X631" s="655"/>
      <c r="Y631" s="655"/>
      <c r="Z631" s="655"/>
      <c r="AA631" s="655"/>
      <c r="AB631" s="655"/>
      <c r="AC631" s="655"/>
      <c r="AD631" s="655"/>
    </row>
    <row r="632">
      <c r="B632" s="462"/>
      <c r="C632" s="462"/>
      <c r="D632" s="462"/>
      <c r="E632" s="462"/>
      <c r="F632" s="462"/>
      <c r="G632" s="462"/>
      <c r="H632" s="462"/>
      <c r="I632" s="654"/>
      <c r="J632" s="650"/>
      <c r="K632" s="654"/>
      <c r="L632" s="654"/>
      <c r="M632" s="650"/>
      <c r="N632" s="650"/>
      <c r="O632" s="655"/>
      <c r="P632" s="655"/>
      <c r="Q632" s="655"/>
      <c r="R632" s="655"/>
      <c r="S632" s="655"/>
      <c r="T632" s="655"/>
      <c r="U632" s="655"/>
      <c r="V632" s="655"/>
      <c r="W632" s="655"/>
      <c r="X632" s="655"/>
      <c r="Y632" s="655"/>
      <c r="Z632" s="655"/>
      <c r="AA632" s="655"/>
      <c r="AB632" s="655"/>
      <c r="AC632" s="655"/>
      <c r="AD632" s="655"/>
    </row>
    <row r="633">
      <c r="B633" s="462"/>
      <c r="C633" s="462"/>
      <c r="D633" s="462"/>
      <c r="E633" s="462"/>
      <c r="F633" s="462"/>
      <c r="G633" s="462"/>
      <c r="H633" s="462"/>
      <c r="I633" s="654"/>
      <c r="J633" s="650"/>
      <c r="K633" s="654"/>
      <c r="L633" s="654"/>
      <c r="M633" s="650"/>
      <c r="N633" s="650"/>
      <c r="O633" s="655"/>
      <c r="P633" s="655"/>
      <c r="Q633" s="655"/>
      <c r="R633" s="655"/>
      <c r="S633" s="655"/>
      <c r="T633" s="655"/>
      <c r="U633" s="655"/>
      <c r="V633" s="655"/>
      <c r="W633" s="655"/>
      <c r="X633" s="655"/>
      <c r="Y633" s="655"/>
      <c r="Z633" s="655"/>
      <c r="AA633" s="655"/>
      <c r="AB633" s="655"/>
      <c r="AC633" s="655"/>
      <c r="AD633" s="655"/>
    </row>
    <row r="634">
      <c r="B634" s="462"/>
      <c r="C634" s="462"/>
      <c r="D634" s="462"/>
      <c r="E634" s="462"/>
      <c r="F634" s="462"/>
      <c r="G634" s="462"/>
      <c r="H634" s="462"/>
      <c r="I634" s="654"/>
      <c r="J634" s="650"/>
      <c r="K634" s="654"/>
      <c r="L634" s="654"/>
      <c r="M634" s="650"/>
      <c r="N634" s="650"/>
      <c r="O634" s="655"/>
      <c r="P634" s="655"/>
      <c r="Q634" s="655"/>
      <c r="R634" s="655"/>
      <c r="S634" s="655"/>
      <c r="T634" s="655"/>
      <c r="U634" s="655"/>
      <c r="V634" s="655"/>
      <c r="W634" s="655"/>
      <c r="X634" s="655"/>
      <c r="Y634" s="655"/>
      <c r="Z634" s="655"/>
      <c r="AA634" s="655"/>
      <c r="AB634" s="655"/>
      <c r="AC634" s="655"/>
      <c r="AD634" s="655"/>
    </row>
    <row r="635">
      <c r="B635" s="462"/>
      <c r="C635" s="462"/>
      <c r="D635" s="462"/>
      <c r="E635" s="462"/>
      <c r="F635" s="462"/>
      <c r="G635" s="462"/>
      <c r="H635" s="462"/>
      <c r="I635" s="654"/>
      <c r="J635" s="650"/>
      <c r="K635" s="654"/>
      <c r="L635" s="654"/>
      <c r="M635" s="650"/>
      <c r="N635" s="650"/>
      <c r="O635" s="655"/>
      <c r="P635" s="655"/>
      <c r="Q635" s="655"/>
      <c r="R635" s="655"/>
      <c r="S635" s="655"/>
      <c r="T635" s="655"/>
      <c r="U635" s="655"/>
      <c r="V635" s="655"/>
      <c r="W635" s="655"/>
      <c r="X635" s="655"/>
      <c r="Y635" s="655"/>
      <c r="Z635" s="655"/>
      <c r="AA635" s="655"/>
      <c r="AB635" s="655"/>
      <c r="AC635" s="655"/>
      <c r="AD635" s="655"/>
    </row>
    <row r="636">
      <c r="B636" s="462"/>
      <c r="C636" s="462"/>
      <c r="D636" s="462"/>
      <c r="E636" s="462"/>
      <c r="F636" s="462"/>
      <c r="G636" s="462"/>
      <c r="H636" s="462"/>
      <c r="I636" s="654"/>
      <c r="J636" s="650"/>
      <c r="K636" s="654"/>
      <c r="L636" s="654"/>
      <c r="M636" s="650"/>
      <c r="N636" s="650"/>
      <c r="O636" s="655"/>
      <c r="P636" s="655"/>
      <c r="Q636" s="655"/>
      <c r="R636" s="655"/>
      <c r="S636" s="655"/>
      <c r="T636" s="655"/>
      <c r="U636" s="655"/>
      <c r="V636" s="655"/>
      <c r="W636" s="655"/>
      <c r="X636" s="655"/>
      <c r="Y636" s="655"/>
      <c r="Z636" s="655"/>
      <c r="AA636" s="655"/>
      <c r="AB636" s="655"/>
      <c r="AC636" s="655"/>
      <c r="AD636" s="655"/>
    </row>
    <row r="637">
      <c r="B637" s="462"/>
      <c r="C637" s="462"/>
      <c r="D637" s="462"/>
      <c r="E637" s="462"/>
      <c r="F637" s="462"/>
      <c r="G637" s="462"/>
      <c r="H637" s="462"/>
      <c r="I637" s="654"/>
      <c r="J637" s="650"/>
      <c r="K637" s="654"/>
      <c r="L637" s="654"/>
      <c r="M637" s="650"/>
      <c r="N637" s="650"/>
      <c r="O637" s="655"/>
      <c r="P637" s="655"/>
      <c r="Q637" s="655"/>
      <c r="R637" s="655"/>
      <c r="S637" s="655"/>
      <c r="T637" s="655"/>
      <c r="U637" s="655"/>
      <c r="V637" s="655"/>
      <c r="W637" s="655"/>
      <c r="X637" s="655"/>
      <c r="Y637" s="655"/>
      <c r="Z637" s="655"/>
      <c r="AA637" s="655"/>
      <c r="AB637" s="655"/>
      <c r="AC637" s="655"/>
      <c r="AD637" s="655"/>
    </row>
    <row r="638">
      <c r="B638" s="462"/>
      <c r="C638" s="462"/>
      <c r="D638" s="462"/>
      <c r="E638" s="462"/>
      <c r="F638" s="462"/>
      <c r="G638" s="462"/>
      <c r="H638" s="462"/>
      <c r="I638" s="654"/>
      <c r="J638" s="650"/>
      <c r="K638" s="654"/>
      <c r="L638" s="654"/>
      <c r="M638" s="650"/>
      <c r="N638" s="650"/>
      <c r="O638" s="655"/>
      <c r="P638" s="655"/>
      <c r="Q638" s="655"/>
      <c r="R638" s="655"/>
      <c r="S638" s="655"/>
      <c r="T638" s="655"/>
      <c r="U638" s="655"/>
      <c r="V638" s="655"/>
      <c r="W638" s="655"/>
      <c r="X638" s="655"/>
      <c r="Y638" s="655"/>
      <c r="Z638" s="655"/>
      <c r="AA638" s="655"/>
      <c r="AB638" s="655"/>
      <c r="AC638" s="655"/>
      <c r="AD638" s="655"/>
    </row>
    <row r="639">
      <c r="B639" s="462"/>
      <c r="C639" s="462"/>
      <c r="D639" s="462"/>
      <c r="E639" s="462"/>
      <c r="F639" s="462"/>
      <c r="G639" s="462"/>
      <c r="H639" s="462"/>
      <c r="I639" s="654"/>
      <c r="J639" s="650"/>
      <c r="K639" s="654"/>
      <c r="L639" s="654"/>
      <c r="M639" s="650"/>
      <c r="N639" s="650"/>
      <c r="O639" s="655"/>
      <c r="P639" s="655"/>
      <c r="Q639" s="655"/>
      <c r="R639" s="655"/>
      <c r="S639" s="655"/>
      <c r="T639" s="655"/>
      <c r="U639" s="655"/>
      <c r="V639" s="655"/>
      <c r="W639" s="655"/>
      <c r="X639" s="655"/>
      <c r="Y639" s="655"/>
      <c r="Z639" s="655"/>
      <c r="AA639" s="655"/>
      <c r="AB639" s="655"/>
      <c r="AC639" s="655"/>
      <c r="AD639" s="655"/>
    </row>
    <row r="640">
      <c r="B640" s="462"/>
      <c r="C640" s="462"/>
      <c r="D640" s="462"/>
      <c r="E640" s="462"/>
      <c r="F640" s="462"/>
      <c r="G640" s="462"/>
      <c r="H640" s="462"/>
      <c r="I640" s="654"/>
      <c r="J640" s="650"/>
      <c r="K640" s="654"/>
      <c r="L640" s="654"/>
      <c r="M640" s="650"/>
      <c r="N640" s="650"/>
      <c r="O640" s="655"/>
      <c r="P640" s="655"/>
      <c r="Q640" s="655"/>
      <c r="R640" s="655"/>
      <c r="S640" s="655"/>
      <c r="T640" s="655"/>
      <c r="U640" s="655"/>
      <c r="V640" s="655"/>
      <c r="W640" s="655"/>
      <c r="X640" s="655"/>
      <c r="Y640" s="655"/>
      <c r="Z640" s="655"/>
      <c r="AA640" s="655"/>
      <c r="AB640" s="655"/>
      <c r="AC640" s="655"/>
      <c r="AD640" s="655"/>
    </row>
    <row r="641">
      <c r="B641" s="462"/>
      <c r="C641" s="462"/>
      <c r="D641" s="462"/>
      <c r="E641" s="462"/>
      <c r="F641" s="462"/>
      <c r="G641" s="462"/>
      <c r="H641" s="462"/>
      <c r="I641" s="654"/>
      <c r="J641" s="650"/>
      <c r="K641" s="654"/>
      <c r="L641" s="654"/>
      <c r="M641" s="650"/>
      <c r="N641" s="650"/>
      <c r="O641" s="655"/>
      <c r="P641" s="655"/>
      <c r="Q641" s="655"/>
      <c r="R641" s="655"/>
      <c r="S641" s="655"/>
      <c r="T641" s="655"/>
      <c r="U641" s="655"/>
      <c r="V641" s="655"/>
      <c r="W641" s="655"/>
      <c r="X641" s="655"/>
      <c r="Y641" s="655"/>
      <c r="Z641" s="655"/>
      <c r="AA641" s="655"/>
      <c r="AB641" s="655"/>
      <c r="AC641" s="655"/>
      <c r="AD641" s="655"/>
    </row>
    <row r="642">
      <c r="B642" s="462"/>
      <c r="C642" s="462"/>
      <c r="D642" s="462"/>
      <c r="E642" s="462"/>
      <c r="F642" s="462"/>
      <c r="G642" s="462"/>
      <c r="H642" s="462"/>
      <c r="I642" s="654"/>
      <c r="J642" s="650"/>
      <c r="K642" s="654"/>
      <c r="L642" s="654"/>
      <c r="M642" s="650"/>
      <c r="N642" s="650"/>
      <c r="O642" s="655"/>
      <c r="P642" s="655"/>
      <c r="Q642" s="655"/>
      <c r="R642" s="655"/>
      <c r="S642" s="655"/>
      <c r="T642" s="655"/>
      <c r="U642" s="655"/>
      <c r="V642" s="655"/>
      <c r="W642" s="655"/>
      <c r="X642" s="655"/>
      <c r="Y642" s="655"/>
      <c r="Z642" s="655"/>
      <c r="AA642" s="655"/>
      <c r="AB642" s="655"/>
      <c r="AC642" s="655"/>
      <c r="AD642" s="655"/>
    </row>
    <row r="643">
      <c r="B643" s="462"/>
      <c r="C643" s="462"/>
      <c r="D643" s="462"/>
      <c r="E643" s="462"/>
      <c r="F643" s="462"/>
      <c r="G643" s="462"/>
      <c r="H643" s="462"/>
      <c r="I643" s="654"/>
      <c r="J643" s="650"/>
      <c r="K643" s="654"/>
      <c r="L643" s="654"/>
      <c r="M643" s="650"/>
      <c r="N643" s="650"/>
      <c r="O643" s="655"/>
      <c r="P643" s="655"/>
      <c r="Q643" s="655"/>
      <c r="R643" s="655"/>
      <c r="S643" s="655"/>
      <c r="T643" s="655"/>
      <c r="U643" s="655"/>
      <c r="V643" s="655"/>
      <c r="W643" s="655"/>
      <c r="X643" s="655"/>
      <c r="Y643" s="655"/>
      <c r="Z643" s="655"/>
      <c r="AA643" s="655"/>
      <c r="AB643" s="655"/>
      <c r="AC643" s="655"/>
      <c r="AD643" s="655"/>
    </row>
    <row r="644">
      <c r="B644" s="462"/>
      <c r="C644" s="462"/>
      <c r="D644" s="462"/>
      <c r="E644" s="462"/>
      <c r="F644" s="462"/>
      <c r="G644" s="462"/>
      <c r="H644" s="462"/>
      <c r="I644" s="654"/>
      <c r="J644" s="650"/>
      <c r="K644" s="654"/>
      <c r="L644" s="654"/>
      <c r="M644" s="650"/>
      <c r="N644" s="650"/>
      <c r="O644" s="655"/>
      <c r="P644" s="655"/>
      <c r="Q644" s="655"/>
      <c r="R644" s="655"/>
      <c r="S644" s="655"/>
      <c r="T644" s="655"/>
      <c r="U644" s="655"/>
      <c r="V644" s="655"/>
      <c r="W644" s="655"/>
      <c r="X644" s="655"/>
      <c r="Y644" s="655"/>
      <c r="Z644" s="655"/>
      <c r="AA644" s="655"/>
      <c r="AB644" s="655"/>
      <c r="AC644" s="655"/>
      <c r="AD644" s="655"/>
    </row>
    <row r="645">
      <c r="B645" s="462"/>
      <c r="C645" s="462"/>
      <c r="D645" s="462"/>
      <c r="E645" s="462"/>
      <c r="F645" s="462"/>
      <c r="G645" s="462"/>
      <c r="H645" s="462"/>
      <c r="I645" s="654"/>
      <c r="J645" s="650"/>
      <c r="K645" s="654"/>
      <c r="L645" s="654"/>
      <c r="M645" s="650"/>
      <c r="N645" s="650"/>
      <c r="O645" s="655"/>
      <c r="P645" s="655"/>
      <c r="Q645" s="655"/>
      <c r="R645" s="655"/>
      <c r="S645" s="655"/>
      <c r="T645" s="655"/>
      <c r="U645" s="655"/>
      <c r="V645" s="655"/>
      <c r="W645" s="655"/>
      <c r="X645" s="655"/>
      <c r="Y645" s="655"/>
      <c r="Z645" s="655"/>
      <c r="AA645" s="655"/>
      <c r="AB645" s="655"/>
      <c r="AC645" s="655"/>
      <c r="AD645" s="655"/>
    </row>
    <row r="646">
      <c r="B646" s="462"/>
      <c r="C646" s="462"/>
      <c r="D646" s="462"/>
      <c r="E646" s="462"/>
      <c r="F646" s="462"/>
      <c r="G646" s="462"/>
      <c r="H646" s="462"/>
      <c r="I646" s="654"/>
      <c r="J646" s="650"/>
      <c r="K646" s="654"/>
      <c r="L646" s="654"/>
      <c r="M646" s="650"/>
      <c r="N646" s="650"/>
      <c r="O646" s="655"/>
      <c r="P646" s="655"/>
      <c r="Q646" s="655"/>
      <c r="R646" s="655"/>
      <c r="S646" s="655"/>
      <c r="T646" s="655"/>
      <c r="U646" s="655"/>
      <c r="V646" s="655"/>
      <c r="W646" s="655"/>
      <c r="X646" s="655"/>
      <c r="Y646" s="655"/>
      <c r="Z646" s="655"/>
      <c r="AA646" s="655"/>
      <c r="AB646" s="655"/>
      <c r="AC646" s="655"/>
      <c r="AD646" s="655"/>
    </row>
    <row r="647">
      <c r="B647" s="462"/>
      <c r="C647" s="462"/>
      <c r="D647" s="462"/>
      <c r="E647" s="462"/>
      <c r="F647" s="462"/>
      <c r="G647" s="462"/>
      <c r="H647" s="462"/>
      <c r="I647" s="654"/>
      <c r="J647" s="650"/>
      <c r="K647" s="654"/>
      <c r="L647" s="654"/>
      <c r="M647" s="650"/>
      <c r="N647" s="650"/>
      <c r="O647" s="655"/>
      <c r="P647" s="655"/>
      <c r="Q647" s="655"/>
      <c r="R647" s="655"/>
      <c r="S647" s="655"/>
      <c r="T647" s="655"/>
      <c r="U647" s="655"/>
      <c r="V647" s="655"/>
      <c r="W647" s="655"/>
      <c r="X647" s="655"/>
      <c r="Y647" s="655"/>
      <c r="Z647" s="655"/>
      <c r="AA647" s="655"/>
      <c r="AB647" s="655"/>
      <c r="AC647" s="655"/>
      <c r="AD647" s="655"/>
    </row>
    <row r="648">
      <c r="B648" s="462"/>
      <c r="C648" s="462"/>
      <c r="D648" s="462"/>
      <c r="E648" s="462"/>
      <c r="F648" s="462"/>
      <c r="G648" s="462"/>
      <c r="H648" s="462"/>
      <c r="I648" s="654"/>
      <c r="J648" s="650"/>
      <c r="K648" s="654"/>
      <c r="L648" s="654"/>
      <c r="M648" s="650"/>
      <c r="N648" s="650"/>
      <c r="O648" s="655"/>
      <c r="P648" s="655"/>
      <c r="Q648" s="655"/>
      <c r="R648" s="655"/>
      <c r="S648" s="655"/>
      <c r="T648" s="655"/>
      <c r="U648" s="655"/>
      <c r="V648" s="655"/>
      <c r="W648" s="655"/>
      <c r="X648" s="655"/>
      <c r="Y648" s="655"/>
      <c r="Z648" s="655"/>
      <c r="AA648" s="655"/>
      <c r="AB648" s="655"/>
      <c r="AC648" s="655"/>
      <c r="AD648" s="655"/>
    </row>
    <row r="649">
      <c r="B649" s="462"/>
      <c r="C649" s="462"/>
      <c r="D649" s="462"/>
      <c r="E649" s="462"/>
      <c r="F649" s="462"/>
      <c r="G649" s="462"/>
      <c r="H649" s="462"/>
      <c r="I649" s="654"/>
      <c r="J649" s="650"/>
      <c r="K649" s="654"/>
      <c r="L649" s="654"/>
      <c r="M649" s="650"/>
      <c r="N649" s="650"/>
      <c r="O649" s="655"/>
      <c r="P649" s="655"/>
      <c r="Q649" s="655"/>
      <c r="R649" s="655"/>
      <c r="S649" s="655"/>
      <c r="T649" s="655"/>
      <c r="U649" s="655"/>
      <c r="V649" s="655"/>
      <c r="W649" s="655"/>
      <c r="X649" s="655"/>
      <c r="Y649" s="655"/>
      <c r="Z649" s="655"/>
      <c r="AA649" s="655"/>
      <c r="AB649" s="655"/>
      <c r="AC649" s="655"/>
      <c r="AD649" s="655"/>
    </row>
    <row r="650">
      <c r="B650" s="462"/>
      <c r="C650" s="462"/>
      <c r="D650" s="462"/>
      <c r="E650" s="462"/>
      <c r="F650" s="462"/>
      <c r="G650" s="462"/>
      <c r="H650" s="462"/>
      <c r="I650" s="654"/>
      <c r="J650" s="650"/>
      <c r="K650" s="654"/>
      <c r="L650" s="654"/>
      <c r="M650" s="650"/>
      <c r="N650" s="650"/>
      <c r="O650" s="655"/>
      <c r="P650" s="655"/>
      <c r="Q650" s="655"/>
      <c r="R650" s="655"/>
      <c r="S650" s="655"/>
      <c r="T650" s="655"/>
      <c r="U650" s="655"/>
      <c r="V650" s="655"/>
      <c r="W650" s="655"/>
      <c r="X650" s="655"/>
      <c r="Y650" s="655"/>
      <c r="Z650" s="655"/>
      <c r="AA650" s="655"/>
      <c r="AB650" s="655"/>
      <c r="AC650" s="655"/>
      <c r="AD650" s="655"/>
    </row>
    <row r="651">
      <c r="B651" s="462"/>
      <c r="C651" s="462"/>
      <c r="D651" s="462"/>
      <c r="E651" s="462"/>
      <c r="F651" s="462"/>
      <c r="G651" s="462"/>
      <c r="H651" s="462"/>
      <c r="I651" s="654"/>
      <c r="J651" s="650"/>
      <c r="K651" s="654"/>
      <c r="L651" s="654"/>
      <c r="M651" s="650"/>
      <c r="N651" s="650"/>
      <c r="O651" s="655"/>
      <c r="P651" s="655"/>
      <c r="Q651" s="655"/>
      <c r="R651" s="655"/>
      <c r="S651" s="655"/>
      <c r="T651" s="655"/>
      <c r="U651" s="655"/>
      <c r="V651" s="655"/>
      <c r="W651" s="655"/>
      <c r="X651" s="655"/>
      <c r="Y651" s="655"/>
      <c r="Z651" s="655"/>
      <c r="AA651" s="655"/>
      <c r="AB651" s="655"/>
      <c r="AC651" s="655"/>
      <c r="AD651" s="655"/>
    </row>
    <row r="652">
      <c r="B652" s="462"/>
      <c r="C652" s="462"/>
      <c r="D652" s="462"/>
      <c r="E652" s="462"/>
      <c r="F652" s="462"/>
      <c r="G652" s="462"/>
      <c r="H652" s="462"/>
      <c r="I652" s="654"/>
      <c r="J652" s="650"/>
      <c r="K652" s="654"/>
      <c r="L652" s="654"/>
      <c r="M652" s="650"/>
      <c r="N652" s="650"/>
      <c r="O652" s="655"/>
      <c r="P652" s="655"/>
      <c r="Q652" s="655"/>
      <c r="R652" s="655"/>
      <c r="S652" s="655"/>
      <c r="T652" s="655"/>
      <c r="U652" s="655"/>
      <c r="V652" s="655"/>
      <c r="W652" s="655"/>
      <c r="X652" s="655"/>
      <c r="Y652" s="655"/>
      <c r="Z652" s="655"/>
      <c r="AA652" s="655"/>
      <c r="AB652" s="655"/>
      <c r="AC652" s="655"/>
      <c r="AD652" s="655"/>
    </row>
    <row r="653">
      <c r="B653" s="462"/>
      <c r="C653" s="462"/>
      <c r="D653" s="462"/>
      <c r="E653" s="462"/>
      <c r="F653" s="462"/>
      <c r="G653" s="462"/>
      <c r="H653" s="462"/>
      <c r="I653" s="654"/>
      <c r="J653" s="650"/>
      <c r="K653" s="654"/>
      <c r="L653" s="654"/>
      <c r="M653" s="650"/>
      <c r="N653" s="650"/>
      <c r="O653" s="655"/>
      <c r="P653" s="655"/>
      <c r="Q653" s="655"/>
      <c r="R653" s="655"/>
      <c r="S653" s="655"/>
      <c r="T653" s="655"/>
      <c r="U653" s="655"/>
      <c r="V653" s="655"/>
      <c r="W653" s="655"/>
      <c r="X653" s="655"/>
      <c r="Y653" s="655"/>
      <c r="Z653" s="655"/>
      <c r="AA653" s="655"/>
      <c r="AB653" s="655"/>
      <c r="AC653" s="655"/>
      <c r="AD653" s="655"/>
    </row>
    <row r="654">
      <c r="B654" s="462"/>
      <c r="C654" s="462"/>
      <c r="D654" s="462"/>
      <c r="E654" s="462"/>
      <c r="F654" s="462"/>
      <c r="G654" s="462"/>
      <c r="H654" s="462"/>
      <c r="I654" s="654"/>
      <c r="J654" s="650"/>
      <c r="K654" s="654"/>
      <c r="L654" s="654"/>
      <c r="M654" s="650"/>
      <c r="N654" s="650"/>
      <c r="O654" s="655"/>
      <c r="P654" s="655"/>
      <c r="Q654" s="655"/>
      <c r="R654" s="655"/>
      <c r="S654" s="655"/>
      <c r="T654" s="655"/>
      <c r="U654" s="655"/>
      <c r="V654" s="655"/>
      <c r="W654" s="655"/>
      <c r="X654" s="655"/>
      <c r="Y654" s="655"/>
      <c r="Z654" s="655"/>
      <c r="AA654" s="655"/>
      <c r="AB654" s="655"/>
      <c r="AC654" s="655"/>
      <c r="AD654" s="655"/>
    </row>
    <row r="655">
      <c r="B655" s="462"/>
      <c r="C655" s="462"/>
      <c r="D655" s="462"/>
      <c r="E655" s="462"/>
      <c r="F655" s="462"/>
      <c r="G655" s="462"/>
      <c r="H655" s="462"/>
      <c r="I655" s="654"/>
      <c r="J655" s="650"/>
      <c r="K655" s="654"/>
      <c r="L655" s="654"/>
      <c r="M655" s="650"/>
      <c r="N655" s="650"/>
      <c r="O655" s="655"/>
      <c r="P655" s="655"/>
      <c r="Q655" s="655"/>
      <c r="R655" s="655"/>
      <c r="S655" s="655"/>
      <c r="T655" s="655"/>
      <c r="U655" s="655"/>
      <c r="V655" s="655"/>
      <c r="W655" s="655"/>
      <c r="X655" s="655"/>
      <c r="Y655" s="655"/>
      <c r="Z655" s="655"/>
      <c r="AA655" s="655"/>
      <c r="AB655" s="655"/>
      <c r="AC655" s="655"/>
      <c r="AD655" s="655"/>
    </row>
    <row r="656">
      <c r="B656" s="462"/>
      <c r="C656" s="462"/>
      <c r="D656" s="462"/>
      <c r="E656" s="462"/>
      <c r="F656" s="462"/>
      <c r="G656" s="462"/>
      <c r="H656" s="462"/>
      <c r="I656" s="654"/>
      <c r="J656" s="650"/>
      <c r="K656" s="654"/>
      <c r="L656" s="654"/>
      <c r="M656" s="650"/>
      <c r="N656" s="650"/>
      <c r="O656" s="655"/>
      <c r="P656" s="655"/>
      <c r="Q656" s="655"/>
      <c r="R656" s="655"/>
      <c r="S656" s="655"/>
      <c r="T656" s="655"/>
      <c r="U656" s="655"/>
      <c r="V656" s="655"/>
      <c r="W656" s="655"/>
      <c r="X656" s="655"/>
      <c r="Y656" s="655"/>
      <c r="Z656" s="655"/>
      <c r="AA656" s="655"/>
      <c r="AB656" s="655"/>
      <c r="AC656" s="655"/>
      <c r="AD656" s="655"/>
    </row>
    <row r="657">
      <c r="B657" s="462"/>
      <c r="C657" s="462"/>
      <c r="D657" s="462"/>
      <c r="E657" s="462"/>
      <c r="F657" s="462"/>
      <c r="G657" s="462"/>
      <c r="H657" s="462"/>
      <c r="I657" s="654"/>
      <c r="J657" s="650"/>
      <c r="K657" s="654"/>
      <c r="L657" s="654"/>
      <c r="M657" s="650"/>
      <c r="N657" s="650"/>
      <c r="O657" s="655"/>
      <c r="P657" s="655"/>
      <c r="Q657" s="655"/>
      <c r="R657" s="655"/>
      <c r="S657" s="655"/>
      <c r="T657" s="655"/>
      <c r="U657" s="655"/>
      <c r="V657" s="655"/>
      <c r="W657" s="655"/>
      <c r="X657" s="655"/>
      <c r="Y657" s="655"/>
      <c r="Z657" s="655"/>
      <c r="AA657" s="655"/>
      <c r="AB657" s="655"/>
      <c r="AC657" s="655"/>
      <c r="AD657" s="655"/>
    </row>
    <row r="658">
      <c r="B658" s="462"/>
      <c r="C658" s="462"/>
      <c r="D658" s="462"/>
      <c r="E658" s="462"/>
      <c r="F658" s="462"/>
      <c r="G658" s="462"/>
      <c r="H658" s="462"/>
      <c r="I658" s="654"/>
      <c r="J658" s="650"/>
      <c r="K658" s="654"/>
      <c r="L658" s="654"/>
      <c r="M658" s="650"/>
      <c r="N658" s="650"/>
      <c r="O658" s="655"/>
      <c r="P658" s="655"/>
      <c r="Q658" s="655"/>
      <c r="R658" s="655"/>
      <c r="S658" s="655"/>
      <c r="T658" s="655"/>
      <c r="U658" s="655"/>
      <c r="V658" s="655"/>
      <c r="W658" s="655"/>
      <c r="X658" s="655"/>
      <c r="Y658" s="655"/>
      <c r="Z658" s="655"/>
      <c r="AA658" s="655"/>
      <c r="AB658" s="655"/>
      <c r="AC658" s="655"/>
      <c r="AD658" s="655"/>
    </row>
    <row r="659">
      <c r="B659" s="462"/>
      <c r="C659" s="462"/>
      <c r="D659" s="462"/>
      <c r="E659" s="462"/>
      <c r="F659" s="462"/>
      <c r="G659" s="462"/>
      <c r="H659" s="462"/>
      <c r="I659" s="654"/>
      <c r="J659" s="650"/>
      <c r="K659" s="654"/>
      <c r="L659" s="654"/>
      <c r="M659" s="650"/>
      <c r="N659" s="650"/>
      <c r="O659" s="655"/>
      <c r="P659" s="655"/>
      <c r="Q659" s="655"/>
      <c r="R659" s="655"/>
      <c r="S659" s="655"/>
      <c r="T659" s="655"/>
      <c r="U659" s="655"/>
      <c r="V659" s="655"/>
      <c r="W659" s="655"/>
      <c r="X659" s="655"/>
      <c r="Y659" s="655"/>
      <c r="Z659" s="655"/>
      <c r="AA659" s="655"/>
      <c r="AB659" s="655"/>
      <c r="AC659" s="655"/>
      <c r="AD659" s="655"/>
    </row>
    <row r="660">
      <c r="B660" s="462"/>
      <c r="C660" s="462"/>
      <c r="D660" s="462"/>
      <c r="E660" s="462"/>
      <c r="F660" s="462"/>
      <c r="G660" s="462"/>
      <c r="H660" s="462"/>
      <c r="I660" s="654"/>
      <c r="J660" s="650"/>
      <c r="K660" s="654"/>
      <c r="L660" s="654"/>
      <c r="M660" s="650"/>
      <c r="N660" s="650"/>
      <c r="O660" s="655"/>
      <c r="P660" s="655"/>
      <c r="Q660" s="655"/>
      <c r="R660" s="655"/>
      <c r="S660" s="655"/>
      <c r="T660" s="655"/>
      <c r="U660" s="655"/>
      <c r="V660" s="655"/>
      <c r="W660" s="655"/>
      <c r="X660" s="655"/>
      <c r="Y660" s="655"/>
      <c r="Z660" s="655"/>
      <c r="AA660" s="655"/>
      <c r="AB660" s="655"/>
      <c r="AC660" s="655"/>
      <c r="AD660" s="655"/>
    </row>
    <row r="661">
      <c r="B661" s="462"/>
      <c r="C661" s="462"/>
      <c r="D661" s="462"/>
      <c r="E661" s="462"/>
      <c r="F661" s="462"/>
      <c r="G661" s="462"/>
      <c r="H661" s="462"/>
      <c r="I661" s="654"/>
      <c r="J661" s="650"/>
      <c r="K661" s="654"/>
      <c r="L661" s="654"/>
      <c r="M661" s="650"/>
      <c r="N661" s="650"/>
      <c r="O661" s="655"/>
      <c r="P661" s="655"/>
      <c r="Q661" s="655"/>
      <c r="R661" s="655"/>
      <c r="S661" s="655"/>
      <c r="T661" s="655"/>
      <c r="U661" s="655"/>
      <c r="V661" s="655"/>
      <c r="W661" s="655"/>
      <c r="X661" s="655"/>
      <c r="Y661" s="655"/>
      <c r="Z661" s="655"/>
      <c r="AA661" s="655"/>
      <c r="AB661" s="655"/>
      <c r="AC661" s="655"/>
      <c r="AD661" s="655"/>
    </row>
    <row r="662">
      <c r="B662" s="462"/>
      <c r="C662" s="462"/>
      <c r="D662" s="462"/>
      <c r="E662" s="462"/>
      <c r="F662" s="462"/>
      <c r="G662" s="462"/>
      <c r="H662" s="462"/>
      <c r="I662" s="654"/>
      <c r="J662" s="650"/>
      <c r="K662" s="654"/>
      <c r="L662" s="654"/>
      <c r="M662" s="650"/>
      <c r="N662" s="650"/>
      <c r="O662" s="655"/>
      <c r="P662" s="655"/>
      <c r="Q662" s="655"/>
      <c r="R662" s="655"/>
      <c r="S662" s="655"/>
      <c r="T662" s="655"/>
      <c r="U662" s="655"/>
      <c r="V662" s="655"/>
      <c r="W662" s="655"/>
      <c r="X662" s="655"/>
      <c r="Y662" s="655"/>
      <c r="Z662" s="655"/>
      <c r="AA662" s="655"/>
      <c r="AB662" s="655"/>
      <c r="AC662" s="655"/>
      <c r="AD662" s="655"/>
    </row>
    <row r="663">
      <c r="B663" s="462"/>
      <c r="C663" s="462"/>
      <c r="D663" s="462"/>
      <c r="E663" s="462"/>
      <c r="F663" s="462"/>
      <c r="G663" s="462"/>
      <c r="H663" s="462"/>
      <c r="I663" s="654"/>
      <c r="J663" s="650"/>
      <c r="K663" s="654"/>
      <c r="L663" s="654"/>
      <c r="M663" s="650"/>
      <c r="N663" s="650"/>
      <c r="O663" s="655"/>
      <c r="P663" s="655"/>
      <c r="Q663" s="655"/>
      <c r="R663" s="655"/>
      <c r="S663" s="655"/>
      <c r="T663" s="655"/>
      <c r="U663" s="655"/>
      <c r="V663" s="655"/>
      <c r="W663" s="655"/>
      <c r="X663" s="655"/>
      <c r="Y663" s="655"/>
      <c r="Z663" s="655"/>
      <c r="AA663" s="655"/>
      <c r="AB663" s="655"/>
      <c r="AC663" s="655"/>
      <c r="AD663" s="655"/>
    </row>
    <row r="664">
      <c r="B664" s="462"/>
      <c r="C664" s="462"/>
      <c r="D664" s="462"/>
      <c r="E664" s="462"/>
      <c r="F664" s="462"/>
      <c r="G664" s="462"/>
      <c r="H664" s="462"/>
      <c r="I664" s="654"/>
      <c r="J664" s="650"/>
      <c r="K664" s="654"/>
      <c r="L664" s="654"/>
      <c r="M664" s="650"/>
      <c r="N664" s="650"/>
      <c r="O664" s="655"/>
      <c r="P664" s="655"/>
      <c r="Q664" s="655"/>
      <c r="R664" s="655"/>
      <c r="S664" s="655"/>
      <c r="T664" s="655"/>
      <c r="U664" s="655"/>
      <c r="V664" s="655"/>
      <c r="W664" s="655"/>
      <c r="X664" s="655"/>
      <c r="Y664" s="655"/>
      <c r="Z664" s="655"/>
      <c r="AA664" s="655"/>
      <c r="AB664" s="655"/>
      <c r="AC664" s="655"/>
      <c r="AD664" s="655"/>
    </row>
    <row r="665">
      <c r="B665" s="462"/>
      <c r="C665" s="462"/>
      <c r="D665" s="462"/>
      <c r="E665" s="462"/>
      <c r="F665" s="462"/>
      <c r="G665" s="462"/>
      <c r="H665" s="462"/>
      <c r="I665" s="654"/>
      <c r="J665" s="650"/>
      <c r="K665" s="654"/>
      <c r="L665" s="654"/>
      <c r="M665" s="650"/>
      <c r="N665" s="650"/>
      <c r="O665" s="655"/>
      <c r="P665" s="655"/>
      <c r="Q665" s="655"/>
      <c r="R665" s="655"/>
      <c r="S665" s="655"/>
      <c r="T665" s="655"/>
      <c r="U665" s="655"/>
      <c r="V665" s="655"/>
      <c r="W665" s="655"/>
      <c r="X665" s="655"/>
      <c r="Y665" s="655"/>
      <c r="Z665" s="655"/>
      <c r="AA665" s="655"/>
      <c r="AB665" s="655"/>
      <c r="AC665" s="655"/>
      <c r="AD665" s="655"/>
    </row>
    <row r="666">
      <c r="B666" s="462"/>
      <c r="C666" s="462"/>
      <c r="D666" s="462"/>
      <c r="E666" s="462"/>
      <c r="F666" s="462"/>
      <c r="G666" s="462"/>
      <c r="H666" s="462"/>
      <c r="I666" s="654"/>
      <c r="J666" s="650"/>
      <c r="K666" s="654"/>
      <c r="L666" s="654"/>
      <c r="M666" s="650"/>
      <c r="N666" s="650"/>
      <c r="O666" s="655"/>
      <c r="P666" s="655"/>
      <c r="Q666" s="655"/>
      <c r="R666" s="655"/>
      <c r="S666" s="655"/>
      <c r="T666" s="655"/>
      <c r="U666" s="655"/>
      <c r="V666" s="655"/>
      <c r="W666" s="655"/>
      <c r="X666" s="655"/>
      <c r="Y666" s="655"/>
      <c r="Z666" s="655"/>
      <c r="AA666" s="655"/>
      <c r="AB666" s="655"/>
      <c r="AC666" s="655"/>
      <c r="AD666" s="655"/>
    </row>
    <row r="667">
      <c r="B667" s="462"/>
      <c r="C667" s="462"/>
      <c r="D667" s="462"/>
      <c r="E667" s="462"/>
      <c r="F667" s="462"/>
      <c r="G667" s="462"/>
      <c r="H667" s="462"/>
      <c r="I667" s="654"/>
      <c r="J667" s="650"/>
      <c r="K667" s="654"/>
      <c r="L667" s="654"/>
      <c r="M667" s="650"/>
      <c r="N667" s="650"/>
      <c r="O667" s="655"/>
      <c r="P667" s="655"/>
      <c r="Q667" s="655"/>
      <c r="R667" s="655"/>
      <c r="S667" s="655"/>
      <c r="T667" s="655"/>
      <c r="U667" s="655"/>
      <c r="V667" s="655"/>
      <c r="W667" s="655"/>
      <c r="X667" s="655"/>
      <c r="Y667" s="655"/>
      <c r="Z667" s="655"/>
      <c r="AA667" s="655"/>
      <c r="AB667" s="655"/>
      <c r="AC667" s="655"/>
      <c r="AD667" s="655"/>
    </row>
    <row r="668">
      <c r="B668" s="462"/>
      <c r="C668" s="462"/>
      <c r="D668" s="462"/>
      <c r="E668" s="462"/>
      <c r="F668" s="462"/>
      <c r="G668" s="462"/>
      <c r="H668" s="462"/>
      <c r="I668" s="654"/>
      <c r="J668" s="650"/>
      <c r="K668" s="654"/>
      <c r="L668" s="654"/>
      <c r="M668" s="650"/>
      <c r="N668" s="650"/>
      <c r="O668" s="655"/>
      <c r="P668" s="655"/>
      <c r="Q668" s="655"/>
      <c r="R668" s="655"/>
      <c r="S668" s="655"/>
      <c r="T668" s="655"/>
      <c r="U668" s="655"/>
      <c r="V668" s="655"/>
      <c r="W668" s="655"/>
      <c r="X668" s="655"/>
      <c r="Y668" s="655"/>
      <c r="Z668" s="655"/>
      <c r="AA668" s="655"/>
      <c r="AB668" s="655"/>
      <c r="AC668" s="655"/>
      <c r="AD668" s="655"/>
    </row>
    <row r="669">
      <c r="B669" s="462"/>
      <c r="C669" s="462"/>
      <c r="D669" s="462"/>
      <c r="E669" s="462"/>
      <c r="F669" s="462"/>
      <c r="G669" s="462"/>
      <c r="H669" s="462"/>
      <c r="I669" s="654"/>
      <c r="J669" s="650"/>
      <c r="K669" s="654"/>
      <c r="L669" s="654"/>
      <c r="M669" s="650"/>
      <c r="N669" s="650"/>
      <c r="O669" s="655"/>
      <c r="P669" s="655"/>
      <c r="Q669" s="655"/>
      <c r="R669" s="655"/>
      <c r="S669" s="655"/>
      <c r="T669" s="655"/>
      <c r="U669" s="655"/>
      <c r="V669" s="655"/>
      <c r="W669" s="655"/>
      <c r="X669" s="655"/>
      <c r="Y669" s="655"/>
      <c r="Z669" s="655"/>
      <c r="AA669" s="655"/>
      <c r="AB669" s="655"/>
      <c r="AC669" s="655"/>
      <c r="AD669" s="655"/>
    </row>
    <row r="670">
      <c r="B670" s="462"/>
      <c r="C670" s="462"/>
      <c r="D670" s="462"/>
      <c r="E670" s="462"/>
      <c r="F670" s="462"/>
      <c r="G670" s="462"/>
      <c r="H670" s="462"/>
      <c r="I670" s="654"/>
      <c r="J670" s="650"/>
      <c r="K670" s="654"/>
      <c r="L670" s="654"/>
      <c r="M670" s="650"/>
      <c r="N670" s="650"/>
      <c r="O670" s="655"/>
      <c r="P670" s="655"/>
      <c r="Q670" s="655"/>
      <c r="R670" s="655"/>
      <c r="S670" s="655"/>
      <c r="T670" s="655"/>
      <c r="U670" s="655"/>
      <c r="V670" s="655"/>
      <c r="W670" s="655"/>
      <c r="X670" s="655"/>
      <c r="Y670" s="655"/>
      <c r="Z670" s="655"/>
      <c r="AA670" s="655"/>
      <c r="AB670" s="655"/>
      <c r="AC670" s="655"/>
      <c r="AD670" s="655"/>
    </row>
    <row r="671">
      <c r="B671" s="462"/>
      <c r="C671" s="462"/>
      <c r="D671" s="462"/>
      <c r="E671" s="462"/>
      <c r="F671" s="462"/>
      <c r="G671" s="462"/>
      <c r="H671" s="462"/>
      <c r="I671" s="654"/>
      <c r="J671" s="650"/>
      <c r="K671" s="654"/>
      <c r="L671" s="654"/>
      <c r="M671" s="650"/>
      <c r="N671" s="650"/>
      <c r="O671" s="655"/>
      <c r="P671" s="655"/>
      <c r="Q671" s="655"/>
      <c r="R671" s="655"/>
      <c r="S671" s="655"/>
      <c r="T671" s="655"/>
      <c r="U671" s="655"/>
      <c r="V671" s="655"/>
      <c r="W671" s="655"/>
      <c r="X671" s="655"/>
      <c r="Y671" s="655"/>
      <c r="Z671" s="655"/>
      <c r="AA671" s="655"/>
      <c r="AB671" s="655"/>
      <c r="AC671" s="655"/>
      <c r="AD671" s="655"/>
    </row>
    <row r="672">
      <c r="B672" s="462"/>
      <c r="C672" s="462"/>
      <c r="D672" s="462"/>
      <c r="E672" s="462"/>
      <c r="F672" s="462"/>
      <c r="G672" s="462"/>
      <c r="H672" s="462"/>
      <c r="I672" s="654"/>
      <c r="J672" s="650"/>
      <c r="K672" s="654"/>
      <c r="L672" s="654"/>
      <c r="M672" s="650"/>
      <c r="N672" s="650"/>
      <c r="O672" s="655"/>
      <c r="P672" s="655"/>
      <c r="Q672" s="655"/>
      <c r="R672" s="655"/>
      <c r="S672" s="655"/>
      <c r="T672" s="655"/>
      <c r="U672" s="655"/>
      <c r="V672" s="655"/>
      <c r="W672" s="655"/>
      <c r="X672" s="655"/>
      <c r="Y672" s="655"/>
      <c r="Z672" s="655"/>
      <c r="AA672" s="655"/>
      <c r="AB672" s="655"/>
      <c r="AC672" s="655"/>
      <c r="AD672" s="655"/>
    </row>
    <row r="673">
      <c r="B673" s="462"/>
      <c r="C673" s="462"/>
      <c r="D673" s="462"/>
      <c r="E673" s="462"/>
      <c r="F673" s="462"/>
      <c r="G673" s="462"/>
      <c r="H673" s="462"/>
      <c r="I673" s="654"/>
      <c r="J673" s="650"/>
      <c r="K673" s="654"/>
      <c r="L673" s="654"/>
      <c r="M673" s="650"/>
      <c r="N673" s="650"/>
      <c r="O673" s="655"/>
      <c r="P673" s="655"/>
      <c r="Q673" s="655"/>
      <c r="R673" s="655"/>
      <c r="S673" s="655"/>
      <c r="T673" s="655"/>
      <c r="U673" s="655"/>
      <c r="V673" s="655"/>
      <c r="W673" s="655"/>
      <c r="X673" s="655"/>
      <c r="Y673" s="655"/>
      <c r="Z673" s="655"/>
      <c r="AA673" s="655"/>
      <c r="AB673" s="655"/>
      <c r="AC673" s="655"/>
      <c r="AD673" s="655"/>
    </row>
    <row r="674">
      <c r="B674" s="462"/>
      <c r="C674" s="462"/>
      <c r="D674" s="462"/>
      <c r="E674" s="462"/>
      <c r="F674" s="462"/>
      <c r="G674" s="462"/>
      <c r="H674" s="462"/>
      <c r="I674" s="654"/>
      <c r="J674" s="650"/>
      <c r="K674" s="654"/>
      <c r="L674" s="654"/>
      <c r="M674" s="650"/>
      <c r="N674" s="650"/>
      <c r="O674" s="655"/>
      <c r="P674" s="655"/>
      <c r="Q674" s="655"/>
      <c r="R674" s="655"/>
      <c r="S674" s="655"/>
      <c r="T674" s="655"/>
      <c r="U674" s="655"/>
      <c r="V674" s="655"/>
      <c r="W674" s="655"/>
      <c r="X674" s="655"/>
      <c r="Y674" s="655"/>
      <c r="Z674" s="655"/>
      <c r="AA674" s="655"/>
      <c r="AB674" s="655"/>
      <c r="AC674" s="655"/>
      <c r="AD674" s="655"/>
    </row>
    <row r="675">
      <c r="B675" s="462"/>
      <c r="C675" s="462"/>
      <c r="D675" s="462"/>
      <c r="E675" s="462"/>
      <c r="F675" s="462"/>
      <c r="G675" s="462"/>
      <c r="H675" s="462"/>
      <c r="I675" s="654"/>
      <c r="J675" s="650"/>
      <c r="K675" s="654"/>
      <c r="L675" s="654"/>
      <c r="M675" s="650"/>
      <c r="N675" s="650"/>
      <c r="O675" s="655"/>
      <c r="P675" s="655"/>
      <c r="Q675" s="655"/>
      <c r="R675" s="655"/>
      <c r="S675" s="655"/>
      <c r="T675" s="655"/>
      <c r="U675" s="655"/>
      <c r="V675" s="655"/>
      <c r="W675" s="655"/>
      <c r="X675" s="655"/>
      <c r="Y675" s="655"/>
      <c r="Z675" s="655"/>
      <c r="AA675" s="655"/>
      <c r="AB675" s="655"/>
      <c r="AC675" s="655"/>
      <c r="AD675" s="655"/>
    </row>
    <row r="676">
      <c r="B676" s="462"/>
      <c r="C676" s="462"/>
      <c r="D676" s="462"/>
      <c r="E676" s="462"/>
      <c r="F676" s="462"/>
      <c r="G676" s="462"/>
      <c r="H676" s="462"/>
      <c r="I676" s="654"/>
      <c r="J676" s="650"/>
      <c r="K676" s="654"/>
      <c r="L676" s="654"/>
      <c r="M676" s="650"/>
      <c r="N676" s="650"/>
      <c r="O676" s="655"/>
      <c r="P676" s="655"/>
      <c r="Q676" s="655"/>
      <c r="R676" s="655"/>
      <c r="S676" s="655"/>
      <c r="T676" s="655"/>
      <c r="U676" s="655"/>
      <c r="V676" s="655"/>
      <c r="W676" s="655"/>
      <c r="X676" s="655"/>
      <c r="Y676" s="655"/>
      <c r="Z676" s="655"/>
      <c r="AA676" s="655"/>
      <c r="AB676" s="655"/>
      <c r="AC676" s="655"/>
      <c r="AD676" s="655"/>
    </row>
    <row r="677">
      <c r="B677" s="462"/>
      <c r="C677" s="462"/>
      <c r="D677" s="462"/>
      <c r="E677" s="462"/>
      <c r="F677" s="462"/>
      <c r="G677" s="462"/>
      <c r="H677" s="462"/>
      <c r="I677" s="654"/>
      <c r="J677" s="650"/>
      <c r="K677" s="654"/>
      <c r="L677" s="654"/>
      <c r="M677" s="650"/>
      <c r="N677" s="650"/>
      <c r="O677" s="655"/>
      <c r="P677" s="655"/>
      <c r="Q677" s="655"/>
      <c r="R677" s="655"/>
      <c r="S677" s="655"/>
      <c r="T677" s="655"/>
      <c r="U677" s="655"/>
      <c r="V677" s="655"/>
      <c r="W677" s="655"/>
      <c r="X677" s="655"/>
      <c r="Y677" s="655"/>
      <c r="Z677" s="655"/>
      <c r="AA677" s="655"/>
      <c r="AB677" s="655"/>
      <c r="AC677" s="655"/>
      <c r="AD677" s="655"/>
    </row>
    <row r="678">
      <c r="B678" s="462"/>
      <c r="C678" s="462"/>
      <c r="D678" s="462"/>
      <c r="E678" s="462"/>
      <c r="F678" s="462"/>
      <c r="G678" s="462"/>
      <c r="H678" s="462"/>
      <c r="I678" s="654"/>
      <c r="J678" s="650"/>
      <c r="K678" s="654"/>
      <c r="L678" s="654"/>
      <c r="M678" s="650"/>
      <c r="N678" s="650"/>
      <c r="O678" s="655"/>
      <c r="P678" s="655"/>
      <c r="Q678" s="655"/>
      <c r="R678" s="655"/>
      <c r="S678" s="655"/>
      <c r="T678" s="655"/>
      <c r="U678" s="655"/>
      <c r="V678" s="655"/>
      <c r="W678" s="655"/>
      <c r="X678" s="655"/>
      <c r="Y678" s="655"/>
      <c r="Z678" s="655"/>
      <c r="AA678" s="655"/>
      <c r="AB678" s="655"/>
      <c r="AC678" s="655"/>
      <c r="AD678" s="655"/>
    </row>
    <row r="679">
      <c r="B679" s="462"/>
      <c r="C679" s="462"/>
      <c r="D679" s="462"/>
      <c r="E679" s="462"/>
      <c r="F679" s="462"/>
      <c r="G679" s="462"/>
      <c r="H679" s="462"/>
      <c r="I679" s="654"/>
      <c r="J679" s="650"/>
      <c r="K679" s="654"/>
      <c r="L679" s="654"/>
      <c r="M679" s="650"/>
      <c r="N679" s="650"/>
      <c r="O679" s="655"/>
      <c r="P679" s="655"/>
      <c r="Q679" s="655"/>
      <c r="R679" s="655"/>
      <c r="S679" s="655"/>
      <c r="T679" s="655"/>
      <c r="U679" s="655"/>
      <c r="V679" s="655"/>
      <c r="W679" s="655"/>
      <c r="X679" s="655"/>
      <c r="Y679" s="655"/>
      <c r="Z679" s="655"/>
      <c r="AA679" s="655"/>
      <c r="AB679" s="655"/>
      <c r="AC679" s="655"/>
      <c r="AD679" s="655"/>
    </row>
    <row r="680">
      <c r="B680" s="462"/>
      <c r="C680" s="462"/>
      <c r="D680" s="462"/>
      <c r="E680" s="462"/>
      <c r="F680" s="462"/>
      <c r="G680" s="462"/>
      <c r="H680" s="462"/>
      <c r="I680" s="654"/>
      <c r="J680" s="650"/>
      <c r="K680" s="654"/>
      <c r="L680" s="654"/>
      <c r="M680" s="650"/>
      <c r="N680" s="650"/>
      <c r="O680" s="655"/>
      <c r="P680" s="655"/>
      <c r="Q680" s="655"/>
      <c r="R680" s="655"/>
      <c r="S680" s="655"/>
      <c r="T680" s="655"/>
      <c r="U680" s="655"/>
      <c r="V680" s="655"/>
      <c r="W680" s="655"/>
      <c r="X680" s="655"/>
      <c r="Y680" s="655"/>
      <c r="Z680" s="655"/>
      <c r="AA680" s="655"/>
      <c r="AB680" s="655"/>
      <c r="AC680" s="655"/>
      <c r="AD680" s="655"/>
    </row>
    <row r="681">
      <c r="B681" s="462"/>
      <c r="C681" s="462"/>
      <c r="D681" s="462"/>
      <c r="E681" s="462"/>
      <c r="F681" s="462"/>
      <c r="G681" s="462"/>
      <c r="H681" s="462"/>
      <c r="I681" s="654"/>
      <c r="J681" s="650"/>
      <c r="K681" s="654"/>
      <c r="L681" s="654"/>
      <c r="M681" s="650"/>
      <c r="N681" s="650"/>
      <c r="O681" s="655"/>
      <c r="P681" s="655"/>
      <c r="Q681" s="655"/>
      <c r="R681" s="655"/>
      <c r="S681" s="655"/>
      <c r="T681" s="655"/>
      <c r="U681" s="655"/>
      <c r="V681" s="655"/>
      <c r="W681" s="655"/>
      <c r="X681" s="655"/>
      <c r="Y681" s="655"/>
      <c r="Z681" s="655"/>
      <c r="AA681" s="655"/>
      <c r="AB681" s="655"/>
      <c r="AC681" s="655"/>
      <c r="AD681" s="655"/>
    </row>
    <row r="682">
      <c r="B682" s="462"/>
      <c r="C682" s="462"/>
      <c r="D682" s="462"/>
      <c r="E682" s="462"/>
      <c r="F682" s="462"/>
      <c r="G682" s="462"/>
      <c r="H682" s="462"/>
      <c r="I682" s="654"/>
      <c r="J682" s="650"/>
      <c r="K682" s="654"/>
      <c r="L682" s="654"/>
      <c r="M682" s="650"/>
      <c r="N682" s="650"/>
      <c r="O682" s="655"/>
      <c r="P682" s="655"/>
      <c r="Q682" s="655"/>
      <c r="R682" s="655"/>
      <c r="S682" s="655"/>
      <c r="T682" s="655"/>
      <c r="U682" s="655"/>
      <c r="V682" s="655"/>
      <c r="W682" s="655"/>
      <c r="X682" s="655"/>
      <c r="Y682" s="655"/>
      <c r="Z682" s="655"/>
      <c r="AA682" s="655"/>
      <c r="AB682" s="655"/>
      <c r="AC682" s="655"/>
      <c r="AD682" s="655"/>
    </row>
    <row r="683">
      <c r="B683" s="462"/>
      <c r="C683" s="462"/>
      <c r="D683" s="462"/>
      <c r="E683" s="462"/>
      <c r="F683" s="462"/>
      <c r="G683" s="462"/>
      <c r="H683" s="462"/>
      <c r="I683" s="654"/>
      <c r="J683" s="650"/>
      <c r="K683" s="654"/>
      <c r="L683" s="654"/>
      <c r="M683" s="650"/>
      <c r="N683" s="650"/>
      <c r="O683" s="655"/>
      <c r="P683" s="655"/>
      <c r="Q683" s="655"/>
      <c r="R683" s="655"/>
      <c r="S683" s="655"/>
      <c r="T683" s="655"/>
      <c r="U683" s="655"/>
      <c r="V683" s="655"/>
      <c r="W683" s="655"/>
      <c r="X683" s="655"/>
      <c r="Y683" s="655"/>
      <c r="Z683" s="655"/>
      <c r="AA683" s="655"/>
      <c r="AB683" s="655"/>
      <c r="AC683" s="655"/>
      <c r="AD683" s="655"/>
    </row>
    <row r="684">
      <c r="B684" s="462"/>
      <c r="C684" s="462"/>
      <c r="D684" s="462"/>
      <c r="E684" s="462"/>
      <c r="F684" s="462"/>
      <c r="G684" s="462"/>
      <c r="H684" s="462"/>
      <c r="I684" s="654"/>
      <c r="J684" s="650"/>
      <c r="K684" s="654"/>
      <c r="L684" s="654"/>
      <c r="M684" s="650"/>
      <c r="N684" s="650"/>
      <c r="O684" s="655"/>
      <c r="P684" s="655"/>
      <c r="Q684" s="655"/>
      <c r="R684" s="655"/>
      <c r="S684" s="655"/>
      <c r="T684" s="655"/>
      <c r="U684" s="655"/>
      <c r="V684" s="655"/>
      <c r="W684" s="655"/>
      <c r="X684" s="655"/>
      <c r="Y684" s="655"/>
      <c r="Z684" s="655"/>
      <c r="AA684" s="655"/>
      <c r="AB684" s="655"/>
      <c r="AC684" s="655"/>
      <c r="AD684" s="655"/>
    </row>
    <row r="685">
      <c r="B685" s="462"/>
      <c r="C685" s="462"/>
      <c r="D685" s="462"/>
      <c r="E685" s="462"/>
      <c r="F685" s="462"/>
      <c r="G685" s="462"/>
      <c r="H685" s="462"/>
      <c r="I685" s="654"/>
      <c r="J685" s="650"/>
      <c r="K685" s="654"/>
      <c r="L685" s="654"/>
      <c r="M685" s="650"/>
      <c r="N685" s="650"/>
      <c r="O685" s="655"/>
      <c r="P685" s="655"/>
      <c r="Q685" s="655"/>
      <c r="R685" s="655"/>
      <c r="S685" s="655"/>
      <c r="T685" s="655"/>
      <c r="U685" s="655"/>
      <c r="V685" s="655"/>
      <c r="W685" s="655"/>
      <c r="X685" s="655"/>
      <c r="Y685" s="655"/>
      <c r="Z685" s="655"/>
      <c r="AA685" s="655"/>
      <c r="AB685" s="655"/>
      <c r="AC685" s="655"/>
      <c r="AD685" s="655"/>
    </row>
    <row r="686">
      <c r="B686" s="462"/>
      <c r="C686" s="462"/>
      <c r="D686" s="462"/>
      <c r="E686" s="462"/>
      <c r="F686" s="462"/>
      <c r="G686" s="462"/>
      <c r="H686" s="462"/>
      <c r="I686" s="654"/>
      <c r="J686" s="650"/>
      <c r="K686" s="654"/>
      <c r="L686" s="654"/>
      <c r="M686" s="650"/>
      <c r="N686" s="650"/>
      <c r="O686" s="655"/>
      <c r="P686" s="655"/>
      <c r="Q686" s="655"/>
      <c r="R686" s="655"/>
      <c r="S686" s="655"/>
      <c r="T686" s="655"/>
      <c r="U686" s="655"/>
      <c r="V686" s="655"/>
      <c r="W686" s="655"/>
      <c r="X686" s="655"/>
      <c r="Y686" s="655"/>
      <c r="Z686" s="655"/>
      <c r="AA686" s="655"/>
      <c r="AB686" s="655"/>
      <c r="AC686" s="655"/>
      <c r="AD686" s="655"/>
    </row>
    <row r="687">
      <c r="B687" s="462"/>
      <c r="C687" s="462"/>
      <c r="D687" s="462"/>
      <c r="E687" s="462"/>
      <c r="F687" s="462"/>
      <c r="G687" s="462"/>
      <c r="H687" s="462"/>
      <c r="I687" s="654"/>
      <c r="J687" s="650"/>
      <c r="K687" s="654"/>
      <c r="L687" s="654"/>
      <c r="M687" s="650"/>
      <c r="N687" s="650"/>
      <c r="O687" s="655"/>
      <c r="P687" s="655"/>
      <c r="Q687" s="655"/>
      <c r="R687" s="655"/>
      <c r="S687" s="655"/>
      <c r="T687" s="655"/>
      <c r="U687" s="655"/>
      <c r="V687" s="655"/>
      <c r="W687" s="655"/>
      <c r="X687" s="655"/>
      <c r="Y687" s="655"/>
      <c r="Z687" s="655"/>
      <c r="AA687" s="655"/>
      <c r="AB687" s="655"/>
      <c r="AC687" s="655"/>
      <c r="AD687" s="655"/>
    </row>
    <row r="688">
      <c r="B688" s="462"/>
      <c r="C688" s="462"/>
      <c r="D688" s="462"/>
      <c r="E688" s="462"/>
      <c r="F688" s="462"/>
      <c r="G688" s="462"/>
      <c r="H688" s="462"/>
      <c r="I688" s="654"/>
      <c r="J688" s="650"/>
      <c r="K688" s="654"/>
      <c r="L688" s="654"/>
      <c r="M688" s="650"/>
      <c r="N688" s="650"/>
      <c r="O688" s="655"/>
      <c r="P688" s="655"/>
      <c r="Q688" s="655"/>
      <c r="R688" s="655"/>
      <c r="S688" s="655"/>
      <c r="T688" s="655"/>
      <c r="U688" s="655"/>
      <c r="V688" s="655"/>
      <c r="W688" s="655"/>
      <c r="X688" s="655"/>
      <c r="Y688" s="655"/>
      <c r="Z688" s="655"/>
      <c r="AA688" s="655"/>
      <c r="AB688" s="655"/>
      <c r="AC688" s="655"/>
      <c r="AD688" s="655"/>
    </row>
    <row r="689">
      <c r="B689" s="462"/>
      <c r="C689" s="462"/>
      <c r="D689" s="462"/>
      <c r="E689" s="462"/>
      <c r="F689" s="462"/>
      <c r="G689" s="462"/>
      <c r="H689" s="462"/>
      <c r="I689" s="654"/>
      <c r="J689" s="650"/>
      <c r="K689" s="654"/>
      <c r="L689" s="654"/>
      <c r="M689" s="650"/>
      <c r="N689" s="650"/>
      <c r="O689" s="655"/>
      <c r="P689" s="655"/>
      <c r="Q689" s="655"/>
      <c r="R689" s="655"/>
      <c r="S689" s="655"/>
      <c r="T689" s="655"/>
      <c r="U689" s="655"/>
      <c r="V689" s="655"/>
      <c r="W689" s="655"/>
      <c r="X689" s="655"/>
      <c r="Y689" s="655"/>
      <c r="Z689" s="655"/>
      <c r="AA689" s="655"/>
      <c r="AB689" s="655"/>
      <c r="AC689" s="655"/>
      <c r="AD689" s="655"/>
    </row>
    <row r="690">
      <c r="B690" s="462"/>
      <c r="C690" s="462"/>
      <c r="D690" s="462"/>
      <c r="E690" s="462"/>
      <c r="F690" s="462"/>
      <c r="G690" s="462"/>
      <c r="H690" s="462"/>
      <c r="I690" s="654"/>
      <c r="J690" s="650"/>
      <c r="K690" s="654"/>
      <c r="L690" s="654"/>
      <c r="M690" s="650"/>
      <c r="N690" s="650"/>
      <c r="O690" s="655"/>
      <c r="P690" s="655"/>
      <c r="Q690" s="655"/>
      <c r="R690" s="655"/>
      <c r="S690" s="655"/>
      <c r="T690" s="655"/>
      <c r="U690" s="655"/>
      <c r="V690" s="655"/>
      <c r="W690" s="655"/>
      <c r="X690" s="655"/>
      <c r="Y690" s="655"/>
      <c r="Z690" s="655"/>
      <c r="AA690" s="655"/>
      <c r="AB690" s="655"/>
      <c r="AC690" s="655"/>
      <c r="AD690" s="655"/>
    </row>
    <row r="691">
      <c r="B691" s="462"/>
      <c r="C691" s="462"/>
      <c r="D691" s="462"/>
      <c r="E691" s="462"/>
      <c r="F691" s="462"/>
      <c r="G691" s="462"/>
      <c r="H691" s="462"/>
      <c r="I691" s="654"/>
      <c r="J691" s="650"/>
      <c r="K691" s="654"/>
      <c r="L691" s="654"/>
      <c r="M691" s="650"/>
      <c r="N691" s="650"/>
      <c r="O691" s="655"/>
      <c r="P691" s="655"/>
      <c r="Q691" s="655"/>
      <c r="R691" s="655"/>
      <c r="S691" s="655"/>
      <c r="T691" s="655"/>
      <c r="U691" s="655"/>
      <c r="V691" s="655"/>
      <c r="W691" s="655"/>
      <c r="X691" s="655"/>
      <c r="Y691" s="655"/>
      <c r="Z691" s="655"/>
      <c r="AA691" s="655"/>
      <c r="AB691" s="655"/>
      <c r="AC691" s="655"/>
      <c r="AD691" s="655"/>
    </row>
    <row r="692">
      <c r="B692" s="462"/>
      <c r="C692" s="462"/>
      <c r="D692" s="462"/>
      <c r="E692" s="462"/>
      <c r="F692" s="462"/>
      <c r="G692" s="462"/>
      <c r="H692" s="462"/>
      <c r="I692" s="654"/>
      <c r="J692" s="650"/>
      <c r="K692" s="654"/>
      <c r="L692" s="654"/>
      <c r="M692" s="650"/>
      <c r="N692" s="650"/>
      <c r="O692" s="655"/>
      <c r="P692" s="655"/>
      <c r="Q692" s="655"/>
      <c r="R692" s="655"/>
      <c r="S692" s="655"/>
      <c r="T692" s="655"/>
      <c r="U692" s="655"/>
      <c r="V692" s="655"/>
      <c r="W692" s="655"/>
      <c r="X692" s="655"/>
      <c r="Y692" s="655"/>
      <c r="Z692" s="655"/>
      <c r="AA692" s="655"/>
      <c r="AB692" s="655"/>
      <c r="AC692" s="655"/>
      <c r="AD692" s="655"/>
    </row>
    <row r="693">
      <c r="B693" s="462"/>
      <c r="C693" s="462"/>
      <c r="D693" s="462"/>
      <c r="E693" s="462"/>
      <c r="F693" s="462"/>
      <c r="G693" s="462"/>
      <c r="H693" s="462"/>
      <c r="I693" s="654"/>
      <c r="J693" s="650"/>
      <c r="K693" s="654"/>
      <c r="L693" s="654"/>
      <c r="M693" s="650"/>
      <c r="N693" s="650"/>
      <c r="O693" s="655"/>
      <c r="P693" s="655"/>
      <c r="Q693" s="655"/>
      <c r="R693" s="655"/>
      <c r="S693" s="655"/>
      <c r="T693" s="655"/>
      <c r="U693" s="655"/>
      <c r="V693" s="655"/>
      <c r="W693" s="655"/>
      <c r="X693" s="655"/>
      <c r="Y693" s="655"/>
      <c r="Z693" s="655"/>
      <c r="AA693" s="655"/>
      <c r="AB693" s="655"/>
      <c r="AC693" s="655"/>
      <c r="AD693" s="655"/>
    </row>
    <row r="694">
      <c r="B694" s="462"/>
      <c r="C694" s="462"/>
      <c r="D694" s="462"/>
      <c r="E694" s="462"/>
      <c r="F694" s="462"/>
      <c r="G694" s="462"/>
      <c r="H694" s="462"/>
      <c r="I694" s="654"/>
      <c r="J694" s="650"/>
      <c r="K694" s="654"/>
      <c r="L694" s="654"/>
      <c r="M694" s="650"/>
      <c r="N694" s="650"/>
      <c r="O694" s="655"/>
      <c r="P694" s="655"/>
      <c r="Q694" s="655"/>
      <c r="R694" s="655"/>
      <c r="S694" s="655"/>
      <c r="T694" s="655"/>
      <c r="U694" s="655"/>
      <c r="V694" s="655"/>
      <c r="W694" s="655"/>
      <c r="X694" s="655"/>
      <c r="Y694" s="655"/>
      <c r="Z694" s="655"/>
      <c r="AA694" s="655"/>
      <c r="AB694" s="655"/>
      <c r="AC694" s="655"/>
      <c r="AD694" s="655"/>
    </row>
    <row r="695">
      <c r="B695" s="462"/>
      <c r="C695" s="462"/>
      <c r="D695" s="462"/>
      <c r="E695" s="462"/>
      <c r="F695" s="462"/>
      <c r="G695" s="462"/>
      <c r="H695" s="462"/>
      <c r="I695" s="654"/>
      <c r="J695" s="650"/>
      <c r="K695" s="654"/>
      <c r="L695" s="654"/>
      <c r="M695" s="650"/>
      <c r="N695" s="650"/>
      <c r="O695" s="655"/>
      <c r="P695" s="655"/>
      <c r="Q695" s="655"/>
      <c r="R695" s="655"/>
      <c r="S695" s="655"/>
      <c r="T695" s="655"/>
      <c r="U695" s="655"/>
      <c r="V695" s="655"/>
      <c r="W695" s="655"/>
      <c r="X695" s="655"/>
      <c r="Y695" s="655"/>
      <c r="Z695" s="655"/>
      <c r="AA695" s="655"/>
      <c r="AB695" s="655"/>
      <c r="AC695" s="655"/>
      <c r="AD695" s="655"/>
    </row>
    <row r="696">
      <c r="B696" s="462"/>
      <c r="C696" s="462"/>
      <c r="D696" s="462"/>
      <c r="E696" s="462"/>
      <c r="F696" s="462"/>
      <c r="G696" s="462"/>
      <c r="H696" s="462"/>
      <c r="I696" s="654"/>
      <c r="J696" s="650"/>
      <c r="K696" s="654"/>
      <c r="L696" s="654"/>
      <c r="M696" s="650"/>
      <c r="N696" s="650"/>
      <c r="O696" s="655"/>
      <c r="P696" s="655"/>
      <c r="Q696" s="655"/>
      <c r="R696" s="655"/>
      <c r="S696" s="655"/>
      <c r="T696" s="655"/>
      <c r="U696" s="655"/>
      <c r="V696" s="655"/>
      <c r="W696" s="655"/>
      <c r="X696" s="655"/>
      <c r="Y696" s="655"/>
      <c r="Z696" s="655"/>
      <c r="AA696" s="655"/>
      <c r="AB696" s="655"/>
      <c r="AC696" s="655"/>
      <c r="AD696" s="655"/>
    </row>
    <row r="697">
      <c r="B697" s="462"/>
      <c r="C697" s="462"/>
      <c r="D697" s="462"/>
      <c r="E697" s="462"/>
      <c r="F697" s="462"/>
      <c r="G697" s="462"/>
      <c r="H697" s="462"/>
      <c r="I697" s="654"/>
      <c r="J697" s="650"/>
      <c r="K697" s="654"/>
      <c r="L697" s="654"/>
      <c r="M697" s="650"/>
      <c r="N697" s="650"/>
      <c r="O697" s="655"/>
      <c r="P697" s="655"/>
      <c r="Q697" s="655"/>
      <c r="R697" s="655"/>
      <c r="S697" s="655"/>
      <c r="T697" s="655"/>
      <c r="U697" s="655"/>
      <c r="V697" s="655"/>
      <c r="W697" s="655"/>
      <c r="X697" s="655"/>
      <c r="Y697" s="655"/>
      <c r="Z697" s="655"/>
      <c r="AA697" s="655"/>
      <c r="AB697" s="655"/>
      <c r="AC697" s="655"/>
      <c r="AD697" s="655"/>
    </row>
    <row r="698">
      <c r="B698" s="462"/>
      <c r="C698" s="462"/>
      <c r="D698" s="462"/>
      <c r="E698" s="462"/>
      <c r="F698" s="462"/>
      <c r="G698" s="462"/>
      <c r="H698" s="462"/>
      <c r="I698" s="654"/>
      <c r="J698" s="650"/>
      <c r="K698" s="654"/>
      <c r="L698" s="654"/>
      <c r="M698" s="650"/>
      <c r="N698" s="650"/>
      <c r="O698" s="655"/>
      <c r="P698" s="655"/>
      <c r="Q698" s="655"/>
      <c r="R698" s="655"/>
      <c r="S698" s="655"/>
      <c r="T698" s="655"/>
      <c r="U698" s="655"/>
      <c r="V698" s="655"/>
      <c r="W698" s="655"/>
      <c r="X698" s="655"/>
      <c r="Y698" s="655"/>
      <c r="Z698" s="655"/>
      <c r="AA698" s="655"/>
      <c r="AB698" s="655"/>
      <c r="AC698" s="655"/>
      <c r="AD698" s="655"/>
    </row>
    <row r="699">
      <c r="B699" s="462"/>
      <c r="C699" s="462"/>
      <c r="D699" s="462"/>
      <c r="E699" s="462"/>
      <c r="F699" s="462"/>
      <c r="G699" s="462"/>
      <c r="H699" s="462"/>
      <c r="I699" s="654"/>
      <c r="J699" s="650"/>
      <c r="K699" s="654"/>
      <c r="L699" s="654"/>
      <c r="M699" s="650"/>
      <c r="N699" s="650"/>
      <c r="O699" s="655"/>
      <c r="P699" s="655"/>
      <c r="Q699" s="655"/>
      <c r="R699" s="655"/>
      <c r="S699" s="655"/>
      <c r="T699" s="655"/>
      <c r="U699" s="655"/>
      <c r="V699" s="655"/>
      <c r="W699" s="655"/>
      <c r="X699" s="655"/>
      <c r="Y699" s="655"/>
      <c r="Z699" s="655"/>
      <c r="AA699" s="655"/>
      <c r="AB699" s="655"/>
      <c r="AC699" s="655"/>
      <c r="AD699" s="655"/>
    </row>
    <row r="700">
      <c r="B700" s="462"/>
      <c r="C700" s="462"/>
      <c r="D700" s="462"/>
      <c r="E700" s="462"/>
      <c r="F700" s="462"/>
      <c r="G700" s="462"/>
      <c r="H700" s="462"/>
      <c r="I700" s="654"/>
      <c r="J700" s="650"/>
      <c r="K700" s="654"/>
      <c r="L700" s="654"/>
      <c r="M700" s="650"/>
      <c r="N700" s="650"/>
      <c r="O700" s="655"/>
      <c r="P700" s="655"/>
      <c r="Q700" s="655"/>
      <c r="R700" s="655"/>
      <c r="S700" s="655"/>
      <c r="T700" s="655"/>
      <c r="U700" s="655"/>
      <c r="V700" s="655"/>
      <c r="W700" s="655"/>
      <c r="X700" s="655"/>
      <c r="Y700" s="655"/>
      <c r="Z700" s="655"/>
      <c r="AA700" s="655"/>
      <c r="AB700" s="655"/>
      <c r="AC700" s="655"/>
      <c r="AD700" s="655"/>
    </row>
    <row r="701">
      <c r="B701" s="462"/>
      <c r="C701" s="462"/>
      <c r="D701" s="462"/>
      <c r="E701" s="462"/>
      <c r="F701" s="462"/>
      <c r="G701" s="462"/>
      <c r="H701" s="462"/>
      <c r="I701" s="654"/>
      <c r="J701" s="650"/>
      <c r="K701" s="654"/>
      <c r="L701" s="654"/>
      <c r="M701" s="650"/>
      <c r="N701" s="650"/>
      <c r="O701" s="655"/>
      <c r="P701" s="655"/>
      <c r="Q701" s="655"/>
      <c r="R701" s="655"/>
      <c r="S701" s="655"/>
      <c r="T701" s="655"/>
      <c r="U701" s="655"/>
      <c r="V701" s="655"/>
      <c r="W701" s="655"/>
      <c r="X701" s="655"/>
      <c r="Y701" s="655"/>
      <c r="Z701" s="655"/>
      <c r="AA701" s="655"/>
      <c r="AB701" s="655"/>
      <c r="AC701" s="655"/>
      <c r="AD701" s="655"/>
    </row>
    <row r="702">
      <c r="B702" s="462"/>
      <c r="C702" s="462"/>
      <c r="D702" s="462"/>
      <c r="E702" s="462"/>
      <c r="F702" s="462"/>
      <c r="G702" s="462"/>
      <c r="H702" s="462"/>
      <c r="I702" s="654"/>
      <c r="J702" s="650"/>
      <c r="K702" s="654"/>
      <c r="L702" s="654"/>
      <c r="M702" s="650"/>
      <c r="N702" s="650"/>
      <c r="O702" s="655"/>
      <c r="P702" s="655"/>
      <c r="Q702" s="655"/>
      <c r="R702" s="655"/>
      <c r="S702" s="655"/>
      <c r="T702" s="655"/>
      <c r="U702" s="655"/>
      <c r="V702" s="655"/>
      <c r="W702" s="655"/>
      <c r="X702" s="655"/>
      <c r="Y702" s="655"/>
      <c r="Z702" s="655"/>
      <c r="AA702" s="655"/>
      <c r="AB702" s="655"/>
      <c r="AC702" s="655"/>
      <c r="AD702" s="655"/>
    </row>
    <row r="703">
      <c r="B703" s="462"/>
      <c r="C703" s="462"/>
      <c r="D703" s="462"/>
      <c r="E703" s="462"/>
      <c r="F703" s="462"/>
      <c r="G703" s="462"/>
      <c r="H703" s="462"/>
      <c r="I703" s="654"/>
      <c r="J703" s="650"/>
      <c r="K703" s="654"/>
      <c r="L703" s="654"/>
      <c r="M703" s="650"/>
      <c r="N703" s="650"/>
      <c r="O703" s="655"/>
      <c r="P703" s="655"/>
      <c r="Q703" s="655"/>
      <c r="R703" s="655"/>
      <c r="S703" s="655"/>
      <c r="T703" s="655"/>
      <c r="U703" s="655"/>
      <c r="V703" s="655"/>
      <c r="W703" s="655"/>
      <c r="X703" s="655"/>
      <c r="Y703" s="655"/>
      <c r="Z703" s="655"/>
      <c r="AA703" s="655"/>
      <c r="AB703" s="655"/>
      <c r="AC703" s="655"/>
      <c r="AD703" s="655"/>
    </row>
    <row r="704">
      <c r="B704" s="462"/>
      <c r="C704" s="462"/>
      <c r="D704" s="462"/>
      <c r="E704" s="462"/>
      <c r="F704" s="462"/>
      <c r="G704" s="462"/>
      <c r="H704" s="462"/>
      <c r="I704" s="654"/>
      <c r="J704" s="650"/>
      <c r="K704" s="654"/>
      <c r="L704" s="654"/>
      <c r="M704" s="650"/>
      <c r="N704" s="650"/>
      <c r="O704" s="655"/>
      <c r="P704" s="655"/>
      <c r="Q704" s="655"/>
      <c r="R704" s="655"/>
      <c r="S704" s="655"/>
      <c r="T704" s="655"/>
      <c r="U704" s="655"/>
      <c r="V704" s="655"/>
      <c r="W704" s="655"/>
      <c r="X704" s="655"/>
      <c r="Y704" s="655"/>
      <c r="Z704" s="655"/>
      <c r="AA704" s="655"/>
      <c r="AB704" s="655"/>
      <c r="AC704" s="655"/>
      <c r="AD704" s="655"/>
    </row>
    <row r="705">
      <c r="B705" s="462"/>
      <c r="C705" s="462"/>
      <c r="D705" s="462"/>
      <c r="E705" s="462"/>
      <c r="F705" s="462"/>
      <c r="G705" s="462"/>
      <c r="H705" s="462"/>
      <c r="I705" s="654"/>
      <c r="J705" s="650"/>
      <c r="K705" s="654"/>
      <c r="L705" s="654"/>
      <c r="M705" s="650"/>
      <c r="N705" s="650"/>
      <c r="O705" s="655"/>
      <c r="P705" s="655"/>
      <c r="Q705" s="655"/>
      <c r="R705" s="655"/>
      <c r="S705" s="655"/>
      <c r="T705" s="655"/>
      <c r="U705" s="655"/>
      <c r="V705" s="655"/>
      <c r="W705" s="655"/>
      <c r="X705" s="655"/>
      <c r="Y705" s="655"/>
      <c r="Z705" s="655"/>
      <c r="AA705" s="655"/>
      <c r="AB705" s="655"/>
      <c r="AC705" s="655"/>
      <c r="AD705" s="655"/>
    </row>
    <row r="706">
      <c r="B706" s="462"/>
      <c r="C706" s="462"/>
      <c r="D706" s="462"/>
      <c r="E706" s="462"/>
      <c r="F706" s="462"/>
      <c r="G706" s="462"/>
      <c r="H706" s="462"/>
      <c r="I706" s="654"/>
      <c r="J706" s="650"/>
      <c r="K706" s="654"/>
      <c r="L706" s="654"/>
      <c r="M706" s="650"/>
      <c r="N706" s="650"/>
      <c r="O706" s="655"/>
      <c r="P706" s="655"/>
      <c r="Q706" s="655"/>
      <c r="R706" s="655"/>
      <c r="S706" s="655"/>
      <c r="T706" s="655"/>
      <c r="U706" s="655"/>
      <c r="V706" s="655"/>
      <c r="W706" s="655"/>
      <c r="X706" s="655"/>
      <c r="Y706" s="655"/>
      <c r="Z706" s="655"/>
      <c r="AA706" s="655"/>
      <c r="AB706" s="655"/>
      <c r="AC706" s="655"/>
      <c r="AD706" s="655"/>
    </row>
    <row r="707">
      <c r="B707" s="462"/>
      <c r="C707" s="462"/>
      <c r="D707" s="462"/>
      <c r="E707" s="462"/>
      <c r="F707" s="462"/>
      <c r="G707" s="462"/>
      <c r="H707" s="462"/>
      <c r="I707" s="654"/>
      <c r="J707" s="650"/>
      <c r="K707" s="654"/>
      <c r="L707" s="654"/>
      <c r="M707" s="650"/>
      <c r="N707" s="650"/>
      <c r="O707" s="655"/>
      <c r="P707" s="655"/>
      <c r="Q707" s="655"/>
      <c r="R707" s="655"/>
      <c r="S707" s="655"/>
      <c r="T707" s="655"/>
      <c r="U707" s="655"/>
      <c r="V707" s="655"/>
      <c r="W707" s="655"/>
      <c r="X707" s="655"/>
      <c r="Y707" s="655"/>
      <c r="Z707" s="655"/>
      <c r="AA707" s="655"/>
      <c r="AB707" s="655"/>
      <c r="AC707" s="655"/>
      <c r="AD707" s="655"/>
    </row>
    <row r="708">
      <c r="B708" s="462"/>
      <c r="C708" s="462"/>
      <c r="D708" s="462"/>
      <c r="E708" s="462"/>
      <c r="F708" s="462"/>
      <c r="G708" s="462"/>
      <c r="H708" s="462"/>
      <c r="I708" s="654"/>
      <c r="J708" s="650"/>
      <c r="K708" s="654"/>
      <c r="L708" s="654"/>
      <c r="M708" s="650"/>
      <c r="N708" s="650"/>
      <c r="O708" s="655"/>
      <c r="P708" s="655"/>
      <c r="Q708" s="655"/>
      <c r="R708" s="655"/>
      <c r="S708" s="655"/>
      <c r="T708" s="655"/>
      <c r="U708" s="655"/>
      <c r="V708" s="655"/>
      <c r="W708" s="655"/>
      <c r="X708" s="655"/>
      <c r="Y708" s="655"/>
      <c r="Z708" s="655"/>
      <c r="AA708" s="655"/>
      <c r="AB708" s="655"/>
      <c r="AC708" s="655"/>
      <c r="AD708" s="655"/>
    </row>
    <row r="709">
      <c r="B709" s="462"/>
      <c r="C709" s="462"/>
      <c r="D709" s="462"/>
      <c r="E709" s="462"/>
      <c r="F709" s="462"/>
      <c r="G709" s="462"/>
      <c r="H709" s="462"/>
      <c r="I709" s="654"/>
      <c r="J709" s="650"/>
      <c r="K709" s="654"/>
      <c r="L709" s="654"/>
      <c r="M709" s="650"/>
      <c r="N709" s="650"/>
      <c r="O709" s="655"/>
      <c r="P709" s="655"/>
      <c r="Q709" s="655"/>
      <c r="R709" s="655"/>
      <c r="S709" s="655"/>
      <c r="T709" s="655"/>
      <c r="U709" s="655"/>
      <c r="V709" s="655"/>
      <c r="W709" s="655"/>
      <c r="X709" s="655"/>
      <c r="Y709" s="655"/>
      <c r="Z709" s="655"/>
      <c r="AA709" s="655"/>
      <c r="AB709" s="655"/>
      <c r="AC709" s="655"/>
      <c r="AD709" s="655"/>
    </row>
    <row r="710">
      <c r="B710" s="462"/>
      <c r="C710" s="462"/>
      <c r="D710" s="462"/>
      <c r="E710" s="462"/>
      <c r="F710" s="462"/>
      <c r="G710" s="462"/>
      <c r="H710" s="462"/>
      <c r="I710" s="654"/>
      <c r="J710" s="650"/>
      <c r="K710" s="654"/>
      <c r="L710" s="654"/>
      <c r="M710" s="650"/>
      <c r="N710" s="650"/>
      <c r="O710" s="655"/>
      <c r="P710" s="655"/>
      <c r="Q710" s="655"/>
      <c r="R710" s="655"/>
      <c r="S710" s="655"/>
      <c r="T710" s="655"/>
      <c r="U710" s="655"/>
      <c r="V710" s="655"/>
      <c r="W710" s="655"/>
      <c r="X710" s="655"/>
      <c r="Y710" s="655"/>
      <c r="Z710" s="655"/>
      <c r="AA710" s="655"/>
      <c r="AB710" s="655"/>
      <c r="AC710" s="655"/>
      <c r="AD710" s="655"/>
    </row>
    <row r="711">
      <c r="B711" s="462"/>
      <c r="C711" s="462"/>
      <c r="D711" s="462"/>
      <c r="E711" s="462"/>
      <c r="F711" s="462"/>
      <c r="G711" s="462"/>
      <c r="H711" s="462"/>
      <c r="I711" s="654"/>
      <c r="J711" s="650"/>
      <c r="K711" s="654"/>
      <c r="L711" s="654"/>
      <c r="M711" s="650"/>
      <c r="N711" s="650"/>
      <c r="O711" s="655"/>
      <c r="P711" s="655"/>
      <c r="Q711" s="655"/>
      <c r="R711" s="655"/>
      <c r="S711" s="655"/>
      <c r="T711" s="655"/>
      <c r="U711" s="655"/>
      <c r="V711" s="655"/>
      <c r="W711" s="655"/>
      <c r="X711" s="655"/>
      <c r="Y711" s="655"/>
      <c r="Z711" s="655"/>
      <c r="AA711" s="655"/>
      <c r="AB711" s="655"/>
      <c r="AC711" s="655"/>
      <c r="AD711" s="655"/>
    </row>
    <row r="712">
      <c r="B712" s="462"/>
      <c r="C712" s="462"/>
      <c r="D712" s="462"/>
      <c r="E712" s="462"/>
      <c r="F712" s="462"/>
      <c r="G712" s="462"/>
      <c r="H712" s="462"/>
      <c r="I712" s="654"/>
      <c r="J712" s="650"/>
      <c r="K712" s="654"/>
      <c r="L712" s="654"/>
      <c r="M712" s="650"/>
      <c r="N712" s="650"/>
      <c r="O712" s="655"/>
      <c r="P712" s="655"/>
      <c r="Q712" s="655"/>
      <c r="R712" s="655"/>
      <c r="S712" s="655"/>
      <c r="T712" s="655"/>
      <c r="U712" s="655"/>
      <c r="V712" s="655"/>
      <c r="W712" s="655"/>
      <c r="X712" s="655"/>
      <c r="Y712" s="655"/>
      <c r="Z712" s="655"/>
      <c r="AA712" s="655"/>
      <c r="AB712" s="655"/>
      <c r="AC712" s="655"/>
      <c r="AD712" s="655"/>
    </row>
    <row r="713">
      <c r="B713" s="462"/>
      <c r="C713" s="462"/>
      <c r="D713" s="462"/>
      <c r="E713" s="462"/>
      <c r="F713" s="462"/>
      <c r="G713" s="462"/>
      <c r="H713" s="462"/>
      <c r="I713" s="654"/>
      <c r="J713" s="650"/>
      <c r="K713" s="654"/>
      <c r="L713" s="654"/>
      <c r="M713" s="650"/>
      <c r="N713" s="650"/>
      <c r="O713" s="655"/>
      <c r="P713" s="655"/>
      <c r="Q713" s="655"/>
      <c r="R713" s="655"/>
      <c r="S713" s="655"/>
      <c r="T713" s="655"/>
      <c r="U713" s="655"/>
      <c r="V713" s="655"/>
      <c r="W713" s="655"/>
      <c r="X713" s="655"/>
      <c r="Y713" s="655"/>
      <c r="Z713" s="655"/>
      <c r="AA713" s="655"/>
      <c r="AB713" s="655"/>
      <c r="AC713" s="655"/>
      <c r="AD713" s="655"/>
    </row>
    <row r="714">
      <c r="B714" s="462"/>
      <c r="C714" s="462"/>
      <c r="D714" s="462"/>
      <c r="E714" s="462"/>
      <c r="F714" s="462"/>
      <c r="G714" s="462"/>
      <c r="H714" s="462"/>
      <c r="I714" s="654"/>
      <c r="J714" s="650"/>
      <c r="K714" s="654"/>
      <c r="L714" s="654"/>
      <c r="M714" s="650"/>
      <c r="N714" s="650"/>
      <c r="O714" s="655"/>
      <c r="P714" s="655"/>
      <c r="Q714" s="655"/>
      <c r="R714" s="655"/>
      <c r="S714" s="655"/>
      <c r="T714" s="655"/>
      <c r="U714" s="655"/>
      <c r="V714" s="655"/>
      <c r="W714" s="655"/>
      <c r="X714" s="655"/>
      <c r="Y714" s="655"/>
      <c r="Z714" s="655"/>
      <c r="AA714" s="655"/>
      <c r="AB714" s="655"/>
      <c r="AC714" s="655"/>
      <c r="AD714" s="655"/>
    </row>
    <row r="715">
      <c r="B715" s="462"/>
      <c r="C715" s="462"/>
      <c r="D715" s="462"/>
      <c r="E715" s="462"/>
      <c r="F715" s="462"/>
      <c r="G715" s="462"/>
      <c r="H715" s="462"/>
      <c r="I715" s="654"/>
      <c r="J715" s="650"/>
      <c r="K715" s="654"/>
      <c r="L715" s="654"/>
      <c r="M715" s="650"/>
      <c r="N715" s="650"/>
      <c r="O715" s="655"/>
      <c r="P715" s="655"/>
      <c r="Q715" s="655"/>
      <c r="R715" s="655"/>
      <c r="S715" s="655"/>
      <c r="T715" s="655"/>
      <c r="U715" s="655"/>
      <c r="V715" s="655"/>
      <c r="W715" s="655"/>
      <c r="X715" s="655"/>
      <c r="Y715" s="655"/>
      <c r="Z715" s="655"/>
      <c r="AA715" s="655"/>
      <c r="AB715" s="655"/>
      <c r="AC715" s="655"/>
      <c r="AD715" s="655"/>
    </row>
    <row r="716">
      <c r="B716" s="462"/>
      <c r="C716" s="462"/>
      <c r="D716" s="462"/>
      <c r="E716" s="462"/>
      <c r="F716" s="462"/>
      <c r="G716" s="462"/>
      <c r="H716" s="462"/>
      <c r="I716" s="654"/>
      <c r="J716" s="650"/>
      <c r="K716" s="654"/>
      <c r="L716" s="654"/>
      <c r="M716" s="650"/>
      <c r="N716" s="650"/>
      <c r="O716" s="655"/>
      <c r="P716" s="655"/>
      <c r="Q716" s="655"/>
      <c r="R716" s="655"/>
      <c r="S716" s="655"/>
      <c r="T716" s="655"/>
      <c r="U716" s="655"/>
      <c r="V716" s="655"/>
      <c r="W716" s="655"/>
      <c r="X716" s="655"/>
      <c r="Y716" s="655"/>
      <c r="Z716" s="655"/>
      <c r="AA716" s="655"/>
      <c r="AB716" s="655"/>
      <c r="AC716" s="655"/>
      <c r="AD716" s="655"/>
    </row>
    <row r="717">
      <c r="B717" s="462"/>
      <c r="C717" s="462"/>
      <c r="D717" s="462"/>
      <c r="E717" s="462"/>
      <c r="F717" s="462"/>
      <c r="G717" s="462"/>
      <c r="H717" s="462"/>
      <c r="I717" s="654"/>
      <c r="J717" s="650"/>
      <c r="K717" s="654"/>
      <c r="L717" s="654"/>
      <c r="M717" s="650"/>
      <c r="N717" s="650"/>
      <c r="O717" s="655"/>
      <c r="P717" s="655"/>
      <c r="Q717" s="655"/>
      <c r="R717" s="655"/>
      <c r="S717" s="655"/>
      <c r="T717" s="655"/>
      <c r="U717" s="655"/>
      <c r="V717" s="655"/>
      <c r="W717" s="655"/>
      <c r="X717" s="655"/>
      <c r="Y717" s="655"/>
      <c r="Z717" s="655"/>
      <c r="AA717" s="655"/>
      <c r="AB717" s="655"/>
      <c r="AC717" s="655"/>
      <c r="AD717" s="655"/>
    </row>
    <row r="718">
      <c r="B718" s="462"/>
      <c r="C718" s="462"/>
      <c r="D718" s="462"/>
      <c r="E718" s="462"/>
      <c r="F718" s="462"/>
      <c r="G718" s="462"/>
      <c r="H718" s="462"/>
      <c r="I718" s="654"/>
      <c r="J718" s="650"/>
      <c r="K718" s="654"/>
      <c r="L718" s="654"/>
      <c r="M718" s="650"/>
      <c r="N718" s="650"/>
      <c r="O718" s="655"/>
      <c r="P718" s="655"/>
      <c r="Q718" s="655"/>
      <c r="R718" s="655"/>
      <c r="S718" s="655"/>
      <c r="T718" s="655"/>
      <c r="U718" s="655"/>
      <c r="V718" s="655"/>
      <c r="W718" s="655"/>
      <c r="X718" s="655"/>
      <c r="Y718" s="655"/>
      <c r="Z718" s="655"/>
      <c r="AA718" s="655"/>
      <c r="AB718" s="655"/>
      <c r="AC718" s="655"/>
      <c r="AD718" s="655"/>
    </row>
    <row r="719">
      <c r="B719" s="462"/>
      <c r="C719" s="462"/>
      <c r="D719" s="462"/>
      <c r="E719" s="462"/>
      <c r="F719" s="462"/>
      <c r="G719" s="462"/>
      <c r="H719" s="462"/>
      <c r="I719" s="654"/>
      <c r="J719" s="650"/>
      <c r="K719" s="654"/>
      <c r="L719" s="654"/>
      <c r="M719" s="650"/>
      <c r="N719" s="650"/>
      <c r="O719" s="655"/>
      <c r="P719" s="655"/>
      <c r="Q719" s="655"/>
      <c r="R719" s="655"/>
      <c r="S719" s="655"/>
      <c r="T719" s="655"/>
      <c r="U719" s="655"/>
      <c r="V719" s="655"/>
      <c r="W719" s="655"/>
      <c r="X719" s="655"/>
      <c r="Y719" s="655"/>
      <c r="Z719" s="655"/>
      <c r="AA719" s="655"/>
      <c r="AB719" s="655"/>
      <c r="AC719" s="655"/>
      <c r="AD719" s="655"/>
    </row>
    <row r="720">
      <c r="B720" s="462"/>
      <c r="C720" s="462"/>
      <c r="D720" s="462"/>
      <c r="E720" s="462"/>
      <c r="F720" s="462"/>
      <c r="G720" s="462"/>
      <c r="H720" s="462"/>
      <c r="I720" s="654"/>
      <c r="J720" s="650"/>
      <c r="K720" s="654"/>
      <c r="L720" s="654"/>
      <c r="M720" s="650"/>
      <c r="N720" s="650"/>
      <c r="O720" s="655"/>
      <c r="P720" s="655"/>
      <c r="Q720" s="655"/>
      <c r="R720" s="655"/>
      <c r="S720" s="655"/>
      <c r="T720" s="655"/>
      <c r="U720" s="655"/>
      <c r="V720" s="655"/>
      <c r="W720" s="655"/>
      <c r="X720" s="655"/>
      <c r="Y720" s="655"/>
      <c r="Z720" s="655"/>
      <c r="AA720" s="655"/>
      <c r="AB720" s="655"/>
      <c r="AC720" s="655"/>
      <c r="AD720" s="655"/>
    </row>
    <row r="721">
      <c r="B721" s="462"/>
      <c r="C721" s="462"/>
      <c r="D721" s="462"/>
      <c r="E721" s="462"/>
      <c r="F721" s="462"/>
      <c r="G721" s="462"/>
      <c r="H721" s="462"/>
      <c r="I721" s="654"/>
      <c r="J721" s="650"/>
      <c r="K721" s="654"/>
      <c r="L721" s="654"/>
      <c r="M721" s="650"/>
      <c r="N721" s="650"/>
      <c r="O721" s="655"/>
      <c r="P721" s="655"/>
      <c r="Q721" s="655"/>
      <c r="R721" s="655"/>
      <c r="S721" s="655"/>
      <c r="T721" s="655"/>
      <c r="U721" s="655"/>
      <c r="V721" s="655"/>
      <c r="W721" s="655"/>
      <c r="X721" s="655"/>
      <c r="Y721" s="655"/>
      <c r="Z721" s="655"/>
      <c r="AA721" s="655"/>
      <c r="AB721" s="655"/>
      <c r="AC721" s="655"/>
      <c r="AD721" s="655"/>
    </row>
    <row r="722">
      <c r="B722" s="462"/>
      <c r="C722" s="462"/>
      <c r="D722" s="462"/>
      <c r="E722" s="462"/>
      <c r="F722" s="462"/>
      <c r="G722" s="462"/>
      <c r="H722" s="462"/>
      <c r="I722" s="654"/>
      <c r="J722" s="650"/>
      <c r="K722" s="654"/>
      <c r="L722" s="654"/>
      <c r="M722" s="650"/>
      <c r="N722" s="650"/>
      <c r="O722" s="655"/>
      <c r="P722" s="655"/>
      <c r="Q722" s="655"/>
      <c r="R722" s="655"/>
      <c r="S722" s="655"/>
      <c r="T722" s="655"/>
      <c r="U722" s="655"/>
      <c r="V722" s="655"/>
      <c r="W722" s="655"/>
      <c r="X722" s="655"/>
      <c r="Y722" s="655"/>
      <c r="Z722" s="655"/>
      <c r="AA722" s="655"/>
      <c r="AB722" s="655"/>
      <c r="AC722" s="655"/>
      <c r="AD722" s="655"/>
    </row>
    <row r="723">
      <c r="B723" s="462"/>
      <c r="C723" s="462"/>
      <c r="D723" s="462"/>
      <c r="E723" s="462"/>
      <c r="F723" s="462"/>
      <c r="G723" s="462"/>
      <c r="H723" s="462"/>
      <c r="I723" s="654"/>
      <c r="J723" s="650"/>
      <c r="K723" s="654"/>
      <c r="L723" s="654"/>
      <c r="M723" s="650"/>
      <c r="N723" s="650"/>
      <c r="O723" s="655"/>
      <c r="P723" s="655"/>
      <c r="Q723" s="655"/>
      <c r="R723" s="655"/>
      <c r="S723" s="655"/>
      <c r="T723" s="655"/>
      <c r="U723" s="655"/>
      <c r="V723" s="655"/>
      <c r="W723" s="655"/>
      <c r="X723" s="655"/>
      <c r="Y723" s="655"/>
      <c r="Z723" s="655"/>
      <c r="AA723" s="655"/>
      <c r="AB723" s="655"/>
      <c r="AC723" s="655"/>
      <c r="AD723" s="655"/>
    </row>
    <row r="724">
      <c r="B724" s="462"/>
      <c r="C724" s="462"/>
      <c r="D724" s="462"/>
      <c r="E724" s="462"/>
      <c r="F724" s="462"/>
      <c r="G724" s="462"/>
      <c r="H724" s="462"/>
      <c r="I724" s="654"/>
      <c r="J724" s="650"/>
      <c r="K724" s="654"/>
      <c r="L724" s="654"/>
      <c r="M724" s="650"/>
      <c r="N724" s="650"/>
      <c r="O724" s="655"/>
      <c r="P724" s="655"/>
      <c r="Q724" s="655"/>
      <c r="R724" s="655"/>
      <c r="S724" s="655"/>
      <c r="T724" s="655"/>
      <c r="U724" s="655"/>
      <c r="V724" s="655"/>
      <c r="W724" s="655"/>
      <c r="X724" s="655"/>
      <c r="Y724" s="655"/>
      <c r="Z724" s="655"/>
      <c r="AA724" s="655"/>
      <c r="AB724" s="655"/>
      <c r="AC724" s="655"/>
      <c r="AD724" s="655"/>
    </row>
    <row r="725">
      <c r="B725" s="462"/>
      <c r="C725" s="462"/>
      <c r="D725" s="462"/>
      <c r="E725" s="462"/>
      <c r="F725" s="462"/>
      <c r="G725" s="462"/>
      <c r="H725" s="462"/>
      <c r="I725" s="654"/>
      <c r="J725" s="650"/>
      <c r="K725" s="654"/>
      <c r="L725" s="654"/>
      <c r="M725" s="650"/>
      <c r="N725" s="650"/>
      <c r="O725" s="655"/>
      <c r="P725" s="655"/>
      <c r="Q725" s="655"/>
      <c r="R725" s="655"/>
      <c r="S725" s="655"/>
      <c r="T725" s="655"/>
      <c r="U725" s="655"/>
      <c r="V725" s="655"/>
      <c r="W725" s="655"/>
      <c r="X725" s="655"/>
      <c r="Y725" s="655"/>
      <c r="Z725" s="655"/>
      <c r="AA725" s="655"/>
      <c r="AB725" s="655"/>
      <c r="AC725" s="655"/>
      <c r="AD725" s="655"/>
    </row>
    <row r="726">
      <c r="B726" s="462"/>
      <c r="C726" s="462"/>
      <c r="D726" s="462"/>
      <c r="E726" s="462"/>
      <c r="F726" s="462"/>
      <c r="G726" s="462"/>
      <c r="H726" s="462"/>
      <c r="I726" s="654"/>
      <c r="J726" s="650"/>
      <c r="K726" s="654"/>
      <c r="L726" s="654"/>
      <c r="M726" s="650"/>
      <c r="N726" s="650"/>
      <c r="O726" s="655"/>
      <c r="P726" s="655"/>
      <c r="Q726" s="655"/>
      <c r="R726" s="655"/>
      <c r="S726" s="655"/>
      <c r="T726" s="655"/>
      <c r="U726" s="655"/>
      <c r="V726" s="655"/>
      <c r="W726" s="655"/>
      <c r="X726" s="655"/>
      <c r="Y726" s="655"/>
      <c r="Z726" s="655"/>
      <c r="AA726" s="655"/>
      <c r="AB726" s="655"/>
      <c r="AC726" s="655"/>
      <c r="AD726" s="655"/>
    </row>
    <row r="727">
      <c r="B727" s="462"/>
      <c r="C727" s="462"/>
      <c r="D727" s="462"/>
      <c r="E727" s="462"/>
      <c r="F727" s="462"/>
      <c r="G727" s="462"/>
      <c r="H727" s="462"/>
      <c r="I727" s="654"/>
      <c r="J727" s="650"/>
      <c r="K727" s="654"/>
      <c r="L727" s="654"/>
      <c r="M727" s="650"/>
      <c r="N727" s="650"/>
      <c r="O727" s="655"/>
      <c r="P727" s="655"/>
      <c r="Q727" s="655"/>
      <c r="R727" s="655"/>
      <c r="S727" s="655"/>
      <c r="T727" s="655"/>
      <c r="U727" s="655"/>
      <c r="V727" s="655"/>
      <c r="W727" s="655"/>
      <c r="X727" s="655"/>
      <c r="Y727" s="655"/>
      <c r="Z727" s="655"/>
      <c r="AA727" s="655"/>
      <c r="AB727" s="655"/>
      <c r="AC727" s="655"/>
      <c r="AD727" s="655"/>
    </row>
    <row r="728">
      <c r="B728" s="462"/>
      <c r="C728" s="462"/>
      <c r="D728" s="462"/>
      <c r="E728" s="462"/>
      <c r="F728" s="462"/>
      <c r="G728" s="462"/>
      <c r="H728" s="462"/>
      <c r="I728" s="654"/>
      <c r="J728" s="650"/>
      <c r="K728" s="654"/>
      <c r="L728" s="654"/>
      <c r="M728" s="650"/>
      <c r="N728" s="650"/>
      <c r="O728" s="655"/>
      <c r="P728" s="655"/>
      <c r="Q728" s="655"/>
      <c r="R728" s="655"/>
      <c r="S728" s="655"/>
      <c r="T728" s="655"/>
      <c r="U728" s="655"/>
      <c r="V728" s="655"/>
      <c r="W728" s="655"/>
      <c r="X728" s="655"/>
      <c r="Y728" s="655"/>
      <c r="Z728" s="655"/>
      <c r="AA728" s="655"/>
      <c r="AB728" s="655"/>
      <c r="AC728" s="655"/>
      <c r="AD728" s="655"/>
    </row>
    <row r="729">
      <c r="B729" s="462"/>
      <c r="C729" s="462"/>
      <c r="D729" s="462"/>
      <c r="E729" s="462"/>
      <c r="F729" s="462"/>
      <c r="G729" s="462"/>
      <c r="H729" s="462"/>
      <c r="I729" s="654"/>
      <c r="J729" s="650"/>
      <c r="K729" s="654"/>
      <c r="L729" s="654"/>
      <c r="M729" s="650"/>
      <c r="N729" s="650"/>
      <c r="O729" s="655"/>
      <c r="P729" s="655"/>
      <c r="Q729" s="655"/>
      <c r="R729" s="655"/>
      <c r="S729" s="655"/>
      <c r="T729" s="655"/>
      <c r="U729" s="655"/>
      <c r="V729" s="655"/>
      <c r="W729" s="655"/>
      <c r="X729" s="655"/>
      <c r="Y729" s="655"/>
      <c r="Z729" s="655"/>
      <c r="AA729" s="655"/>
      <c r="AB729" s="655"/>
      <c r="AC729" s="655"/>
      <c r="AD729" s="655"/>
    </row>
    <row r="730">
      <c r="B730" s="462"/>
      <c r="C730" s="462"/>
      <c r="D730" s="462"/>
      <c r="E730" s="462"/>
      <c r="F730" s="462"/>
      <c r="G730" s="462"/>
      <c r="H730" s="462"/>
      <c r="I730" s="654"/>
      <c r="J730" s="650"/>
      <c r="K730" s="654"/>
      <c r="L730" s="654"/>
      <c r="M730" s="650"/>
      <c r="N730" s="650"/>
      <c r="O730" s="655"/>
      <c r="P730" s="655"/>
      <c r="Q730" s="655"/>
      <c r="R730" s="655"/>
      <c r="S730" s="655"/>
      <c r="T730" s="655"/>
      <c r="U730" s="655"/>
      <c r="V730" s="655"/>
      <c r="W730" s="655"/>
      <c r="X730" s="655"/>
      <c r="Y730" s="655"/>
      <c r="Z730" s="655"/>
      <c r="AA730" s="655"/>
      <c r="AB730" s="655"/>
      <c r="AC730" s="655"/>
      <c r="AD730" s="655"/>
    </row>
    <row r="731">
      <c r="B731" s="462"/>
      <c r="C731" s="462"/>
      <c r="D731" s="462"/>
      <c r="E731" s="462"/>
      <c r="F731" s="462"/>
      <c r="G731" s="462"/>
      <c r="H731" s="462"/>
      <c r="I731" s="654"/>
      <c r="J731" s="650"/>
      <c r="K731" s="654"/>
      <c r="L731" s="654"/>
      <c r="M731" s="650"/>
      <c r="N731" s="650"/>
      <c r="O731" s="655"/>
      <c r="P731" s="655"/>
      <c r="Q731" s="655"/>
      <c r="R731" s="655"/>
      <c r="S731" s="655"/>
      <c r="T731" s="655"/>
      <c r="U731" s="655"/>
      <c r="V731" s="655"/>
      <c r="W731" s="655"/>
      <c r="X731" s="655"/>
      <c r="Y731" s="655"/>
      <c r="Z731" s="655"/>
      <c r="AA731" s="655"/>
      <c r="AB731" s="655"/>
      <c r="AC731" s="655"/>
      <c r="AD731" s="655"/>
    </row>
    <row r="732">
      <c r="B732" s="462"/>
      <c r="C732" s="462"/>
      <c r="D732" s="462"/>
      <c r="E732" s="462"/>
      <c r="F732" s="462"/>
      <c r="G732" s="462"/>
      <c r="H732" s="462"/>
      <c r="I732" s="654"/>
      <c r="J732" s="650"/>
      <c r="K732" s="654"/>
      <c r="L732" s="654"/>
      <c r="M732" s="650"/>
      <c r="N732" s="650"/>
      <c r="O732" s="655"/>
      <c r="P732" s="655"/>
      <c r="Q732" s="655"/>
      <c r="R732" s="655"/>
      <c r="S732" s="655"/>
      <c r="T732" s="655"/>
      <c r="U732" s="655"/>
      <c r="V732" s="655"/>
      <c r="W732" s="655"/>
      <c r="X732" s="655"/>
      <c r="Y732" s="655"/>
      <c r="Z732" s="655"/>
      <c r="AA732" s="655"/>
      <c r="AB732" s="655"/>
      <c r="AC732" s="655"/>
      <c r="AD732" s="655"/>
    </row>
    <row r="733">
      <c r="B733" s="462"/>
      <c r="C733" s="462"/>
      <c r="D733" s="462"/>
      <c r="E733" s="462"/>
      <c r="F733" s="462"/>
      <c r="G733" s="462"/>
      <c r="H733" s="462"/>
      <c r="I733" s="654"/>
      <c r="J733" s="650"/>
      <c r="K733" s="654"/>
      <c r="L733" s="654"/>
      <c r="M733" s="650"/>
      <c r="N733" s="650"/>
      <c r="O733" s="655"/>
      <c r="P733" s="655"/>
      <c r="Q733" s="655"/>
      <c r="R733" s="655"/>
      <c r="S733" s="655"/>
      <c r="T733" s="655"/>
      <c r="U733" s="655"/>
      <c r="V733" s="655"/>
      <c r="W733" s="655"/>
      <c r="X733" s="655"/>
      <c r="Y733" s="655"/>
      <c r="Z733" s="655"/>
      <c r="AA733" s="655"/>
      <c r="AB733" s="655"/>
      <c r="AC733" s="655"/>
      <c r="AD733" s="655"/>
    </row>
    <row r="734">
      <c r="B734" s="462"/>
      <c r="C734" s="462"/>
      <c r="D734" s="462"/>
      <c r="E734" s="462"/>
      <c r="F734" s="462"/>
      <c r="G734" s="462"/>
      <c r="H734" s="462"/>
      <c r="I734" s="654"/>
      <c r="J734" s="650"/>
      <c r="K734" s="654"/>
      <c r="L734" s="654"/>
      <c r="M734" s="650"/>
      <c r="N734" s="650"/>
      <c r="O734" s="655"/>
      <c r="P734" s="655"/>
      <c r="Q734" s="655"/>
      <c r="R734" s="655"/>
      <c r="S734" s="655"/>
      <c r="T734" s="655"/>
      <c r="U734" s="655"/>
      <c r="V734" s="655"/>
      <c r="W734" s="655"/>
      <c r="X734" s="655"/>
      <c r="Y734" s="655"/>
      <c r="Z734" s="655"/>
      <c r="AA734" s="655"/>
      <c r="AB734" s="655"/>
      <c r="AC734" s="655"/>
      <c r="AD734" s="655"/>
    </row>
    <row r="735">
      <c r="B735" s="462"/>
      <c r="C735" s="462"/>
      <c r="D735" s="462"/>
      <c r="E735" s="462"/>
      <c r="F735" s="462"/>
      <c r="G735" s="462"/>
      <c r="H735" s="462"/>
      <c r="I735" s="654"/>
      <c r="J735" s="650"/>
      <c r="K735" s="654"/>
      <c r="L735" s="654"/>
      <c r="M735" s="650"/>
      <c r="N735" s="650"/>
      <c r="O735" s="655"/>
      <c r="P735" s="655"/>
      <c r="Q735" s="655"/>
      <c r="R735" s="655"/>
      <c r="S735" s="655"/>
      <c r="T735" s="655"/>
      <c r="U735" s="655"/>
      <c r="V735" s="655"/>
      <c r="W735" s="655"/>
      <c r="X735" s="655"/>
      <c r="Y735" s="655"/>
      <c r="Z735" s="655"/>
      <c r="AA735" s="655"/>
      <c r="AB735" s="655"/>
      <c r="AC735" s="655"/>
      <c r="AD735" s="655"/>
    </row>
    <row r="736">
      <c r="B736" s="462"/>
      <c r="C736" s="462"/>
      <c r="D736" s="462"/>
      <c r="E736" s="462"/>
      <c r="F736" s="462"/>
      <c r="G736" s="462"/>
      <c r="H736" s="462"/>
      <c r="I736" s="654"/>
      <c r="J736" s="650"/>
      <c r="K736" s="654"/>
      <c r="L736" s="654"/>
      <c r="M736" s="650"/>
      <c r="N736" s="650"/>
      <c r="O736" s="655"/>
      <c r="P736" s="655"/>
      <c r="Q736" s="655"/>
      <c r="R736" s="655"/>
      <c r="S736" s="655"/>
      <c r="T736" s="655"/>
      <c r="U736" s="655"/>
      <c r="V736" s="655"/>
      <c r="W736" s="655"/>
      <c r="X736" s="655"/>
      <c r="Y736" s="655"/>
      <c r="Z736" s="655"/>
      <c r="AA736" s="655"/>
      <c r="AB736" s="655"/>
      <c r="AC736" s="655"/>
      <c r="AD736" s="655"/>
    </row>
    <row r="737">
      <c r="B737" s="462"/>
      <c r="C737" s="462"/>
      <c r="D737" s="462"/>
      <c r="E737" s="462"/>
      <c r="F737" s="462"/>
      <c r="G737" s="462"/>
      <c r="H737" s="462"/>
      <c r="I737" s="654"/>
      <c r="J737" s="650"/>
      <c r="K737" s="654"/>
      <c r="L737" s="654"/>
      <c r="M737" s="650"/>
      <c r="N737" s="650"/>
      <c r="O737" s="655"/>
      <c r="P737" s="655"/>
      <c r="Q737" s="655"/>
      <c r="R737" s="655"/>
      <c r="S737" s="655"/>
      <c r="T737" s="655"/>
      <c r="U737" s="655"/>
      <c r="V737" s="655"/>
      <c r="W737" s="655"/>
      <c r="X737" s="655"/>
      <c r="Y737" s="655"/>
      <c r="Z737" s="655"/>
      <c r="AA737" s="655"/>
      <c r="AB737" s="655"/>
      <c r="AC737" s="655"/>
      <c r="AD737" s="655"/>
    </row>
    <row r="738">
      <c r="B738" s="462"/>
      <c r="C738" s="462"/>
      <c r="D738" s="462"/>
      <c r="E738" s="462"/>
      <c r="F738" s="462"/>
      <c r="G738" s="462"/>
      <c r="H738" s="462"/>
      <c r="I738" s="654"/>
      <c r="J738" s="650"/>
      <c r="K738" s="654"/>
      <c r="L738" s="654"/>
      <c r="M738" s="650"/>
      <c r="N738" s="650"/>
      <c r="O738" s="655"/>
      <c r="P738" s="655"/>
      <c r="Q738" s="655"/>
      <c r="R738" s="655"/>
      <c r="S738" s="655"/>
      <c r="T738" s="655"/>
      <c r="U738" s="655"/>
      <c r="V738" s="655"/>
      <c r="W738" s="655"/>
      <c r="X738" s="655"/>
      <c r="Y738" s="655"/>
      <c r="Z738" s="655"/>
      <c r="AA738" s="655"/>
      <c r="AB738" s="655"/>
      <c r="AC738" s="655"/>
      <c r="AD738" s="655"/>
    </row>
    <row r="739">
      <c r="B739" s="462"/>
      <c r="C739" s="462"/>
      <c r="D739" s="462"/>
      <c r="E739" s="462"/>
      <c r="F739" s="462"/>
      <c r="G739" s="462"/>
      <c r="H739" s="462"/>
      <c r="I739" s="654"/>
      <c r="J739" s="650"/>
      <c r="K739" s="654"/>
      <c r="L739" s="654"/>
      <c r="M739" s="650"/>
      <c r="N739" s="650"/>
      <c r="O739" s="655"/>
      <c r="P739" s="655"/>
      <c r="Q739" s="655"/>
      <c r="R739" s="655"/>
      <c r="S739" s="655"/>
      <c r="T739" s="655"/>
      <c r="U739" s="655"/>
      <c r="V739" s="655"/>
      <c r="W739" s="655"/>
      <c r="X739" s="655"/>
      <c r="Y739" s="655"/>
      <c r="Z739" s="655"/>
      <c r="AA739" s="655"/>
      <c r="AB739" s="655"/>
      <c r="AC739" s="655"/>
      <c r="AD739" s="655"/>
    </row>
    <row r="740">
      <c r="B740" s="462"/>
      <c r="C740" s="462"/>
      <c r="D740" s="462"/>
      <c r="E740" s="462"/>
      <c r="F740" s="462"/>
      <c r="G740" s="462"/>
      <c r="H740" s="462"/>
      <c r="I740" s="654"/>
      <c r="J740" s="650"/>
      <c r="K740" s="654"/>
      <c r="L740" s="654"/>
      <c r="M740" s="650"/>
      <c r="N740" s="650"/>
      <c r="O740" s="655"/>
      <c r="P740" s="655"/>
      <c r="Q740" s="655"/>
      <c r="R740" s="655"/>
      <c r="S740" s="655"/>
      <c r="T740" s="655"/>
      <c r="U740" s="655"/>
      <c r="V740" s="655"/>
      <c r="W740" s="655"/>
      <c r="X740" s="655"/>
      <c r="Y740" s="655"/>
      <c r="Z740" s="655"/>
      <c r="AA740" s="655"/>
      <c r="AB740" s="655"/>
      <c r="AC740" s="655"/>
      <c r="AD740" s="655"/>
    </row>
    <row r="741">
      <c r="B741" s="462"/>
      <c r="C741" s="462"/>
      <c r="D741" s="462"/>
      <c r="E741" s="462"/>
      <c r="F741" s="462"/>
      <c r="G741" s="462"/>
      <c r="H741" s="462"/>
      <c r="I741" s="654"/>
      <c r="J741" s="650"/>
      <c r="K741" s="654"/>
      <c r="L741" s="654"/>
      <c r="M741" s="650"/>
      <c r="N741" s="650"/>
      <c r="O741" s="655"/>
      <c r="P741" s="655"/>
      <c r="Q741" s="655"/>
      <c r="R741" s="655"/>
      <c r="S741" s="655"/>
      <c r="T741" s="655"/>
      <c r="U741" s="655"/>
      <c r="V741" s="655"/>
      <c r="W741" s="655"/>
      <c r="X741" s="655"/>
      <c r="Y741" s="655"/>
      <c r="Z741" s="655"/>
      <c r="AA741" s="655"/>
      <c r="AB741" s="655"/>
      <c r="AC741" s="655"/>
      <c r="AD741" s="655"/>
    </row>
    <row r="742">
      <c r="B742" s="462"/>
      <c r="C742" s="462"/>
      <c r="D742" s="462"/>
      <c r="E742" s="462"/>
      <c r="F742" s="462"/>
      <c r="G742" s="462"/>
      <c r="H742" s="462"/>
      <c r="I742" s="654"/>
      <c r="J742" s="650"/>
      <c r="K742" s="654"/>
      <c r="L742" s="654"/>
      <c r="M742" s="650"/>
      <c r="N742" s="650"/>
      <c r="O742" s="655"/>
      <c r="P742" s="655"/>
      <c r="Q742" s="655"/>
      <c r="R742" s="655"/>
      <c r="S742" s="655"/>
      <c r="T742" s="655"/>
      <c r="U742" s="655"/>
      <c r="V742" s="655"/>
      <c r="W742" s="655"/>
      <c r="X742" s="655"/>
      <c r="Y742" s="655"/>
      <c r="Z742" s="655"/>
      <c r="AA742" s="655"/>
      <c r="AB742" s="655"/>
      <c r="AC742" s="655"/>
      <c r="AD742" s="655"/>
    </row>
    <row r="743">
      <c r="B743" s="462"/>
      <c r="C743" s="462"/>
      <c r="D743" s="462"/>
      <c r="E743" s="462"/>
      <c r="F743" s="462"/>
      <c r="G743" s="462"/>
      <c r="H743" s="462"/>
      <c r="I743" s="654"/>
      <c r="J743" s="650"/>
      <c r="K743" s="654"/>
      <c r="L743" s="654"/>
      <c r="M743" s="650"/>
      <c r="N743" s="650"/>
      <c r="O743" s="655"/>
      <c r="P743" s="655"/>
      <c r="Q743" s="655"/>
      <c r="R743" s="655"/>
      <c r="S743" s="655"/>
      <c r="T743" s="655"/>
      <c r="U743" s="655"/>
      <c r="V743" s="655"/>
      <c r="W743" s="655"/>
      <c r="X743" s="655"/>
      <c r="Y743" s="655"/>
      <c r="Z743" s="655"/>
      <c r="AA743" s="655"/>
      <c r="AB743" s="655"/>
      <c r="AC743" s="655"/>
      <c r="AD743" s="655"/>
    </row>
    <row r="744">
      <c r="B744" s="462"/>
      <c r="C744" s="462"/>
      <c r="D744" s="462"/>
      <c r="E744" s="462"/>
      <c r="F744" s="462"/>
      <c r="G744" s="462"/>
      <c r="H744" s="462"/>
      <c r="I744" s="654"/>
      <c r="J744" s="650"/>
      <c r="K744" s="654"/>
      <c r="L744" s="654"/>
      <c r="M744" s="650"/>
      <c r="N744" s="650"/>
      <c r="O744" s="655"/>
      <c r="P744" s="655"/>
      <c r="Q744" s="655"/>
      <c r="R744" s="655"/>
      <c r="S744" s="655"/>
      <c r="T744" s="655"/>
      <c r="U744" s="655"/>
      <c r="V744" s="655"/>
      <c r="W744" s="655"/>
      <c r="X744" s="655"/>
      <c r="Y744" s="655"/>
      <c r="Z744" s="655"/>
      <c r="AA744" s="655"/>
      <c r="AB744" s="655"/>
      <c r="AC744" s="655"/>
      <c r="AD744" s="655"/>
    </row>
    <row r="745">
      <c r="B745" s="462"/>
      <c r="C745" s="462"/>
      <c r="D745" s="462"/>
      <c r="E745" s="462"/>
      <c r="F745" s="462"/>
      <c r="G745" s="462"/>
      <c r="H745" s="462"/>
      <c r="I745" s="654"/>
      <c r="J745" s="650"/>
      <c r="K745" s="654"/>
      <c r="L745" s="654"/>
      <c r="M745" s="650"/>
      <c r="N745" s="650"/>
      <c r="O745" s="655"/>
      <c r="P745" s="655"/>
      <c r="Q745" s="655"/>
      <c r="R745" s="655"/>
      <c r="S745" s="655"/>
      <c r="T745" s="655"/>
      <c r="U745" s="655"/>
      <c r="V745" s="655"/>
      <c r="W745" s="655"/>
      <c r="X745" s="655"/>
      <c r="Y745" s="655"/>
      <c r="Z745" s="655"/>
      <c r="AA745" s="655"/>
      <c r="AB745" s="655"/>
      <c r="AC745" s="655"/>
      <c r="AD745" s="655"/>
    </row>
    <row r="746">
      <c r="B746" s="462"/>
      <c r="C746" s="462"/>
      <c r="D746" s="462"/>
      <c r="E746" s="462"/>
      <c r="F746" s="462"/>
      <c r="G746" s="462"/>
      <c r="H746" s="462"/>
      <c r="I746" s="654"/>
      <c r="J746" s="650"/>
      <c r="K746" s="654"/>
      <c r="L746" s="654"/>
      <c r="M746" s="650"/>
      <c r="N746" s="650"/>
      <c r="O746" s="655"/>
      <c r="P746" s="655"/>
      <c r="Q746" s="655"/>
      <c r="R746" s="655"/>
      <c r="S746" s="655"/>
      <c r="T746" s="655"/>
      <c r="U746" s="655"/>
      <c r="V746" s="655"/>
      <c r="W746" s="655"/>
      <c r="X746" s="655"/>
      <c r="Y746" s="655"/>
      <c r="Z746" s="655"/>
      <c r="AA746" s="655"/>
      <c r="AB746" s="655"/>
      <c r="AC746" s="655"/>
      <c r="AD746" s="655"/>
    </row>
    <row r="747">
      <c r="B747" s="462"/>
      <c r="C747" s="462"/>
      <c r="D747" s="462"/>
      <c r="E747" s="462"/>
      <c r="F747" s="462"/>
      <c r="G747" s="462"/>
      <c r="H747" s="462"/>
      <c r="I747" s="654"/>
      <c r="J747" s="650"/>
      <c r="K747" s="654"/>
      <c r="L747" s="654"/>
      <c r="M747" s="650"/>
      <c r="N747" s="650"/>
      <c r="O747" s="655"/>
      <c r="P747" s="655"/>
      <c r="Q747" s="655"/>
      <c r="R747" s="655"/>
      <c r="S747" s="655"/>
      <c r="T747" s="655"/>
      <c r="U747" s="655"/>
      <c r="V747" s="655"/>
      <c r="W747" s="655"/>
      <c r="X747" s="655"/>
      <c r="Y747" s="655"/>
      <c r="Z747" s="655"/>
      <c r="AA747" s="655"/>
      <c r="AB747" s="655"/>
      <c r="AC747" s="655"/>
      <c r="AD747" s="655"/>
    </row>
    <row r="748">
      <c r="B748" s="462"/>
      <c r="C748" s="462"/>
      <c r="D748" s="462"/>
      <c r="E748" s="462"/>
      <c r="F748" s="462"/>
      <c r="G748" s="462"/>
      <c r="H748" s="462"/>
      <c r="I748" s="654"/>
      <c r="J748" s="650"/>
      <c r="K748" s="654"/>
      <c r="L748" s="654"/>
      <c r="M748" s="650"/>
      <c r="N748" s="650"/>
      <c r="O748" s="655"/>
      <c r="P748" s="655"/>
      <c r="Q748" s="655"/>
      <c r="R748" s="655"/>
      <c r="S748" s="655"/>
      <c r="T748" s="655"/>
      <c r="U748" s="655"/>
      <c r="V748" s="655"/>
      <c r="W748" s="655"/>
      <c r="X748" s="655"/>
      <c r="Y748" s="655"/>
      <c r="Z748" s="655"/>
      <c r="AA748" s="655"/>
      <c r="AB748" s="655"/>
      <c r="AC748" s="655"/>
      <c r="AD748" s="655"/>
    </row>
    <row r="749">
      <c r="B749" s="462"/>
      <c r="C749" s="462"/>
      <c r="D749" s="462"/>
      <c r="E749" s="462"/>
      <c r="F749" s="462"/>
      <c r="G749" s="462"/>
      <c r="H749" s="462"/>
      <c r="I749" s="654"/>
      <c r="J749" s="650"/>
      <c r="K749" s="654"/>
      <c r="L749" s="654"/>
      <c r="M749" s="650"/>
      <c r="N749" s="650"/>
      <c r="O749" s="655"/>
      <c r="P749" s="655"/>
      <c r="Q749" s="655"/>
      <c r="R749" s="655"/>
      <c r="S749" s="655"/>
      <c r="T749" s="655"/>
      <c r="U749" s="655"/>
      <c r="V749" s="655"/>
      <c r="W749" s="655"/>
      <c r="X749" s="655"/>
      <c r="Y749" s="655"/>
      <c r="Z749" s="655"/>
      <c r="AA749" s="655"/>
      <c r="AB749" s="655"/>
      <c r="AC749" s="655"/>
      <c r="AD749" s="655"/>
    </row>
    <row r="750">
      <c r="B750" s="462"/>
      <c r="C750" s="462"/>
      <c r="D750" s="462"/>
      <c r="E750" s="462"/>
      <c r="F750" s="462"/>
      <c r="G750" s="462"/>
      <c r="H750" s="462"/>
      <c r="I750" s="654"/>
      <c r="J750" s="650"/>
      <c r="K750" s="654"/>
      <c r="L750" s="654"/>
      <c r="M750" s="650"/>
      <c r="N750" s="650"/>
      <c r="O750" s="655"/>
      <c r="P750" s="655"/>
      <c r="Q750" s="655"/>
      <c r="R750" s="655"/>
      <c r="S750" s="655"/>
      <c r="T750" s="655"/>
      <c r="U750" s="655"/>
      <c r="V750" s="655"/>
      <c r="W750" s="655"/>
      <c r="X750" s="655"/>
      <c r="Y750" s="655"/>
      <c r="Z750" s="655"/>
      <c r="AA750" s="655"/>
      <c r="AB750" s="655"/>
      <c r="AC750" s="655"/>
      <c r="AD750" s="655"/>
    </row>
    <row r="751">
      <c r="B751" s="462"/>
      <c r="C751" s="462"/>
      <c r="D751" s="462"/>
      <c r="E751" s="462"/>
      <c r="F751" s="462"/>
      <c r="G751" s="462"/>
      <c r="H751" s="462"/>
      <c r="I751" s="654"/>
      <c r="J751" s="650"/>
      <c r="K751" s="654"/>
      <c r="L751" s="654"/>
      <c r="M751" s="650"/>
      <c r="N751" s="650"/>
      <c r="O751" s="655"/>
      <c r="P751" s="655"/>
      <c r="Q751" s="655"/>
      <c r="R751" s="655"/>
      <c r="S751" s="655"/>
      <c r="T751" s="655"/>
      <c r="U751" s="655"/>
      <c r="V751" s="655"/>
      <c r="W751" s="655"/>
      <c r="X751" s="655"/>
      <c r="Y751" s="655"/>
      <c r="Z751" s="655"/>
      <c r="AA751" s="655"/>
      <c r="AB751" s="655"/>
      <c r="AC751" s="655"/>
      <c r="AD751" s="655"/>
    </row>
    <row r="752">
      <c r="B752" s="462"/>
      <c r="C752" s="462"/>
      <c r="D752" s="462"/>
      <c r="E752" s="462"/>
      <c r="F752" s="462"/>
      <c r="G752" s="462"/>
      <c r="H752" s="462"/>
      <c r="I752" s="654"/>
      <c r="J752" s="650"/>
      <c r="K752" s="654"/>
      <c r="L752" s="654"/>
      <c r="M752" s="650"/>
      <c r="N752" s="650"/>
      <c r="O752" s="655"/>
      <c r="P752" s="655"/>
      <c r="Q752" s="655"/>
      <c r="R752" s="655"/>
      <c r="S752" s="655"/>
      <c r="T752" s="655"/>
      <c r="U752" s="655"/>
      <c r="V752" s="655"/>
      <c r="W752" s="655"/>
      <c r="X752" s="655"/>
      <c r="Y752" s="655"/>
      <c r="Z752" s="655"/>
      <c r="AA752" s="655"/>
      <c r="AB752" s="655"/>
      <c r="AC752" s="655"/>
      <c r="AD752" s="655"/>
    </row>
    <row r="753">
      <c r="B753" s="462"/>
      <c r="C753" s="462"/>
      <c r="D753" s="462"/>
      <c r="E753" s="462"/>
      <c r="F753" s="462"/>
      <c r="G753" s="462"/>
      <c r="H753" s="462"/>
      <c r="I753" s="654"/>
      <c r="J753" s="650"/>
      <c r="K753" s="654"/>
      <c r="L753" s="654"/>
      <c r="M753" s="650"/>
      <c r="N753" s="650"/>
      <c r="O753" s="655"/>
      <c r="P753" s="655"/>
      <c r="Q753" s="655"/>
      <c r="R753" s="655"/>
      <c r="S753" s="655"/>
      <c r="T753" s="655"/>
      <c r="U753" s="655"/>
      <c r="V753" s="655"/>
      <c r="W753" s="655"/>
      <c r="X753" s="655"/>
      <c r="Y753" s="655"/>
      <c r="Z753" s="655"/>
      <c r="AA753" s="655"/>
      <c r="AB753" s="655"/>
      <c r="AC753" s="655"/>
      <c r="AD753" s="655"/>
    </row>
    <row r="754">
      <c r="B754" s="462"/>
      <c r="C754" s="462"/>
      <c r="D754" s="462"/>
      <c r="E754" s="462"/>
      <c r="F754" s="462"/>
      <c r="G754" s="462"/>
      <c r="H754" s="462"/>
      <c r="I754" s="654"/>
      <c r="J754" s="650"/>
      <c r="K754" s="654"/>
      <c r="L754" s="654"/>
      <c r="M754" s="650"/>
      <c r="N754" s="650"/>
      <c r="O754" s="655"/>
      <c r="P754" s="655"/>
      <c r="Q754" s="655"/>
      <c r="R754" s="655"/>
      <c r="S754" s="655"/>
      <c r="T754" s="655"/>
      <c r="U754" s="655"/>
      <c r="V754" s="655"/>
      <c r="W754" s="655"/>
      <c r="X754" s="655"/>
      <c r="Y754" s="655"/>
      <c r="Z754" s="655"/>
      <c r="AA754" s="655"/>
      <c r="AB754" s="655"/>
      <c r="AC754" s="655"/>
      <c r="AD754" s="655"/>
    </row>
    <row r="755">
      <c r="B755" s="462"/>
      <c r="C755" s="462"/>
      <c r="D755" s="462"/>
      <c r="E755" s="462"/>
      <c r="F755" s="462"/>
      <c r="G755" s="462"/>
      <c r="H755" s="462"/>
      <c r="I755" s="654"/>
      <c r="J755" s="650"/>
      <c r="K755" s="654"/>
      <c r="L755" s="654"/>
      <c r="M755" s="650"/>
      <c r="N755" s="650"/>
      <c r="O755" s="655"/>
      <c r="P755" s="655"/>
      <c r="Q755" s="655"/>
      <c r="R755" s="655"/>
      <c r="S755" s="655"/>
      <c r="T755" s="655"/>
      <c r="U755" s="655"/>
      <c r="V755" s="655"/>
      <c r="W755" s="655"/>
      <c r="X755" s="655"/>
      <c r="Y755" s="655"/>
      <c r="Z755" s="655"/>
      <c r="AA755" s="655"/>
      <c r="AB755" s="655"/>
      <c r="AC755" s="655"/>
      <c r="AD755" s="655"/>
    </row>
    <row r="756">
      <c r="B756" s="462"/>
      <c r="C756" s="462"/>
      <c r="D756" s="462"/>
      <c r="E756" s="462"/>
      <c r="F756" s="462"/>
      <c r="G756" s="462"/>
      <c r="H756" s="462"/>
      <c r="I756" s="654"/>
      <c r="J756" s="650"/>
      <c r="K756" s="654"/>
      <c r="L756" s="654"/>
      <c r="M756" s="650"/>
      <c r="N756" s="650"/>
      <c r="O756" s="655"/>
      <c r="P756" s="655"/>
      <c r="Q756" s="655"/>
      <c r="R756" s="655"/>
      <c r="S756" s="655"/>
      <c r="T756" s="655"/>
      <c r="U756" s="655"/>
      <c r="V756" s="655"/>
      <c r="W756" s="655"/>
      <c r="X756" s="655"/>
      <c r="Y756" s="655"/>
      <c r="Z756" s="655"/>
      <c r="AA756" s="655"/>
      <c r="AB756" s="655"/>
      <c r="AC756" s="655"/>
      <c r="AD756" s="655"/>
    </row>
    <row r="757">
      <c r="B757" s="462"/>
      <c r="C757" s="462"/>
      <c r="D757" s="462"/>
      <c r="E757" s="462"/>
      <c r="F757" s="462"/>
      <c r="G757" s="462"/>
      <c r="H757" s="462"/>
      <c r="I757" s="654"/>
      <c r="J757" s="650"/>
      <c r="K757" s="654"/>
      <c r="L757" s="654"/>
      <c r="M757" s="650"/>
      <c r="N757" s="650"/>
      <c r="O757" s="655"/>
      <c r="P757" s="655"/>
      <c r="Q757" s="655"/>
      <c r="R757" s="655"/>
      <c r="S757" s="655"/>
      <c r="T757" s="655"/>
      <c r="U757" s="655"/>
      <c r="V757" s="655"/>
      <c r="W757" s="655"/>
      <c r="X757" s="655"/>
      <c r="Y757" s="655"/>
      <c r="Z757" s="655"/>
      <c r="AA757" s="655"/>
      <c r="AB757" s="655"/>
      <c r="AC757" s="655"/>
      <c r="AD757" s="655"/>
    </row>
    <row r="758">
      <c r="B758" s="462"/>
      <c r="C758" s="462"/>
      <c r="D758" s="462"/>
      <c r="E758" s="462"/>
      <c r="F758" s="462"/>
      <c r="G758" s="462"/>
      <c r="H758" s="462"/>
      <c r="I758" s="654"/>
      <c r="J758" s="650"/>
      <c r="K758" s="654"/>
      <c r="L758" s="654"/>
      <c r="M758" s="650"/>
      <c r="N758" s="650"/>
      <c r="O758" s="655"/>
      <c r="P758" s="655"/>
      <c r="Q758" s="655"/>
      <c r="R758" s="655"/>
      <c r="S758" s="655"/>
      <c r="T758" s="655"/>
      <c r="U758" s="655"/>
      <c r="V758" s="655"/>
      <c r="W758" s="655"/>
      <c r="X758" s="655"/>
      <c r="Y758" s="655"/>
      <c r="Z758" s="655"/>
      <c r="AA758" s="655"/>
      <c r="AB758" s="655"/>
      <c r="AC758" s="655"/>
      <c r="AD758" s="655"/>
    </row>
    <row r="759">
      <c r="B759" s="462"/>
      <c r="C759" s="462"/>
      <c r="D759" s="462"/>
      <c r="E759" s="462"/>
      <c r="F759" s="462"/>
      <c r="G759" s="462"/>
      <c r="H759" s="462"/>
      <c r="I759" s="654"/>
      <c r="J759" s="650"/>
      <c r="K759" s="654"/>
      <c r="L759" s="654"/>
      <c r="M759" s="650"/>
      <c r="N759" s="650"/>
      <c r="O759" s="655"/>
      <c r="P759" s="655"/>
      <c r="Q759" s="655"/>
      <c r="R759" s="655"/>
      <c r="S759" s="655"/>
      <c r="T759" s="655"/>
      <c r="U759" s="655"/>
      <c r="V759" s="655"/>
      <c r="W759" s="655"/>
      <c r="X759" s="655"/>
      <c r="Y759" s="655"/>
      <c r="Z759" s="655"/>
      <c r="AA759" s="655"/>
      <c r="AB759" s="655"/>
      <c r="AC759" s="655"/>
      <c r="AD759" s="655"/>
    </row>
    <row r="760">
      <c r="B760" s="462"/>
      <c r="C760" s="462"/>
      <c r="D760" s="462"/>
      <c r="E760" s="462"/>
      <c r="F760" s="462"/>
      <c r="G760" s="462"/>
      <c r="H760" s="462"/>
      <c r="I760" s="654"/>
      <c r="J760" s="650"/>
      <c r="K760" s="654"/>
      <c r="L760" s="654"/>
      <c r="M760" s="650"/>
      <c r="N760" s="650"/>
      <c r="O760" s="655"/>
      <c r="P760" s="655"/>
      <c r="Q760" s="655"/>
      <c r="R760" s="655"/>
      <c r="S760" s="655"/>
      <c r="T760" s="655"/>
      <c r="U760" s="655"/>
      <c r="V760" s="655"/>
      <c r="W760" s="655"/>
      <c r="X760" s="655"/>
      <c r="Y760" s="655"/>
      <c r="Z760" s="655"/>
      <c r="AA760" s="655"/>
      <c r="AB760" s="655"/>
      <c r="AC760" s="655"/>
      <c r="AD760" s="655"/>
    </row>
    <row r="761">
      <c r="B761" s="462"/>
      <c r="C761" s="462"/>
      <c r="D761" s="462"/>
      <c r="E761" s="462"/>
      <c r="F761" s="462"/>
      <c r="G761" s="462"/>
      <c r="H761" s="462"/>
      <c r="I761" s="654"/>
      <c r="J761" s="650"/>
      <c r="K761" s="654"/>
      <c r="L761" s="654"/>
      <c r="M761" s="650"/>
      <c r="N761" s="650"/>
      <c r="O761" s="655"/>
      <c r="P761" s="655"/>
      <c r="Q761" s="655"/>
      <c r="R761" s="655"/>
      <c r="S761" s="655"/>
      <c r="T761" s="655"/>
      <c r="U761" s="655"/>
      <c r="V761" s="655"/>
      <c r="W761" s="655"/>
      <c r="X761" s="655"/>
      <c r="Y761" s="655"/>
      <c r="Z761" s="655"/>
      <c r="AA761" s="655"/>
      <c r="AB761" s="655"/>
      <c r="AC761" s="655"/>
      <c r="AD761" s="655"/>
    </row>
    <row r="762">
      <c r="B762" s="462"/>
      <c r="C762" s="462"/>
      <c r="D762" s="462"/>
      <c r="E762" s="462"/>
      <c r="F762" s="462"/>
      <c r="G762" s="462"/>
      <c r="H762" s="462"/>
      <c r="I762" s="654"/>
      <c r="J762" s="650"/>
      <c r="K762" s="654"/>
      <c r="L762" s="654"/>
      <c r="M762" s="650"/>
      <c r="N762" s="650"/>
      <c r="O762" s="655"/>
      <c r="P762" s="655"/>
      <c r="Q762" s="655"/>
      <c r="R762" s="655"/>
      <c r="S762" s="655"/>
      <c r="T762" s="655"/>
      <c r="U762" s="655"/>
      <c r="V762" s="655"/>
      <c r="W762" s="655"/>
      <c r="X762" s="655"/>
      <c r="Y762" s="655"/>
      <c r="Z762" s="655"/>
      <c r="AA762" s="655"/>
      <c r="AB762" s="655"/>
      <c r="AC762" s="655"/>
      <c r="AD762" s="655"/>
    </row>
    <row r="763">
      <c r="B763" s="462"/>
      <c r="C763" s="462"/>
      <c r="D763" s="462"/>
      <c r="E763" s="462"/>
      <c r="F763" s="462"/>
      <c r="G763" s="462"/>
      <c r="H763" s="462"/>
      <c r="I763" s="654"/>
      <c r="J763" s="650"/>
      <c r="K763" s="654"/>
      <c r="L763" s="654"/>
      <c r="M763" s="650"/>
      <c r="N763" s="650"/>
      <c r="O763" s="655"/>
      <c r="P763" s="655"/>
      <c r="Q763" s="655"/>
      <c r="R763" s="655"/>
      <c r="S763" s="655"/>
      <c r="T763" s="655"/>
      <c r="U763" s="655"/>
      <c r="V763" s="655"/>
      <c r="W763" s="655"/>
      <c r="X763" s="655"/>
      <c r="Y763" s="655"/>
      <c r="Z763" s="655"/>
      <c r="AA763" s="655"/>
      <c r="AB763" s="655"/>
      <c r="AC763" s="655"/>
      <c r="AD763" s="655"/>
    </row>
    <row r="764">
      <c r="B764" s="462"/>
      <c r="C764" s="462"/>
      <c r="D764" s="462"/>
      <c r="E764" s="462"/>
      <c r="F764" s="462"/>
      <c r="G764" s="462"/>
      <c r="H764" s="462"/>
      <c r="I764" s="654"/>
      <c r="J764" s="650"/>
      <c r="K764" s="654"/>
      <c r="L764" s="654"/>
      <c r="M764" s="650"/>
      <c r="N764" s="650"/>
      <c r="O764" s="655"/>
      <c r="P764" s="655"/>
      <c r="Q764" s="655"/>
      <c r="R764" s="655"/>
      <c r="S764" s="655"/>
      <c r="T764" s="655"/>
      <c r="U764" s="655"/>
      <c r="V764" s="655"/>
      <c r="W764" s="655"/>
      <c r="X764" s="655"/>
      <c r="Y764" s="655"/>
      <c r="Z764" s="655"/>
      <c r="AA764" s="655"/>
      <c r="AB764" s="655"/>
      <c r="AC764" s="655"/>
      <c r="AD764" s="655"/>
    </row>
    <row r="765">
      <c r="B765" s="462"/>
      <c r="C765" s="462"/>
      <c r="D765" s="462"/>
      <c r="E765" s="462"/>
      <c r="F765" s="462"/>
      <c r="G765" s="462"/>
      <c r="H765" s="462"/>
      <c r="I765" s="654"/>
      <c r="J765" s="650"/>
      <c r="K765" s="654"/>
      <c r="L765" s="654"/>
      <c r="M765" s="650"/>
      <c r="N765" s="650"/>
      <c r="O765" s="655"/>
      <c r="P765" s="655"/>
      <c r="Q765" s="655"/>
      <c r="R765" s="655"/>
      <c r="S765" s="655"/>
      <c r="T765" s="655"/>
      <c r="U765" s="655"/>
      <c r="V765" s="655"/>
      <c r="W765" s="655"/>
      <c r="X765" s="655"/>
      <c r="Y765" s="655"/>
      <c r="Z765" s="655"/>
      <c r="AA765" s="655"/>
      <c r="AB765" s="655"/>
      <c r="AC765" s="655"/>
      <c r="AD765" s="655"/>
    </row>
    <row r="766">
      <c r="B766" s="462"/>
      <c r="C766" s="462"/>
      <c r="D766" s="462"/>
      <c r="E766" s="462"/>
      <c r="F766" s="462"/>
      <c r="G766" s="462"/>
      <c r="H766" s="462"/>
      <c r="I766" s="654"/>
      <c r="J766" s="650"/>
      <c r="K766" s="654"/>
      <c r="L766" s="654"/>
      <c r="M766" s="650"/>
      <c r="N766" s="650"/>
      <c r="O766" s="655"/>
      <c r="P766" s="655"/>
      <c r="Q766" s="655"/>
      <c r="R766" s="655"/>
      <c r="S766" s="655"/>
      <c r="T766" s="655"/>
      <c r="U766" s="655"/>
      <c r="V766" s="655"/>
      <c r="W766" s="655"/>
      <c r="X766" s="655"/>
      <c r="Y766" s="655"/>
      <c r="Z766" s="655"/>
      <c r="AA766" s="655"/>
      <c r="AB766" s="655"/>
      <c r="AC766" s="655"/>
      <c r="AD766" s="655"/>
    </row>
    <row r="767">
      <c r="B767" s="462"/>
      <c r="C767" s="462"/>
      <c r="D767" s="462"/>
      <c r="E767" s="462"/>
      <c r="F767" s="462"/>
      <c r="G767" s="462"/>
      <c r="H767" s="462"/>
      <c r="I767" s="654"/>
      <c r="J767" s="650"/>
      <c r="K767" s="654"/>
      <c r="L767" s="654"/>
      <c r="M767" s="650"/>
      <c r="N767" s="650"/>
      <c r="O767" s="655"/>
      <c r="P767" s="655"/>
      <c r="Q767" s="655"/>
      <c r="R767" s="655"/>
      <c r="S767" s="655"/>
      <c r="T767" s="655"/>
      <c r="U767" s="655"/>
      <c r="V767" s="655"/>
      <c r="W767" s="655"/>
      <c r="X767" s="655"/>
      <c r="Y767" s="655"/>
      <c r="Z767" s="655"/>
      <c r="AA767" s="655"/>
      <c r="AB767" s="655"/>
      <c r="AC767" s="655"/>
      <c r="AD767" s="655"/>
    </row>
    <row r="768">
      <c r="B768" s="462"/>
      <c r="C768" s="462"/>
      <c r="D768" s="462"/>
      <c r="E768" s="462"/>
      <c r="F768" s="462"/>
      <c r="G768" s="462"/>
      <c r="H768" s="462"/>
      <c r="I768" s="654"/>
      <c r="J768" s="650"/>
      <c r="K768" s="654"/>
      <c r="L768" s="654"/>
      <c r="M768" s="650"/>
      <c r="N768" s="650"/>
      <c r="O768" s="655"/>
      <c r="P768" s="655"/>
      <c r="Q768" s="655"/>
      <c r="R768" s="655"/>
      <c r="S768" s="655"/>
      <c r="T768" s="655"/>
      <c r="U768" s="655"/>
      <c r="V768" s="655"/>
      <c r="W768" s="655"/>
      <c r="X768" s="655"/>
      <c r="Y768" s="655"/>
      <c r="Z768" s="655"/>
      <c r="AA768" s="655"/>
      <c r="AB768" s="655"/>
      <c r="AC768" s="655"/>
      <c r="AD768" s="655"/>
    </row>
    <row r="769">
      <c r="B769" s="462"/>
      <c r="C769" s="462"/>
      <c r="D769" s="462"/>
      <c r="E769" s="462"/>
      <c r="F769" s="462"/>
      <c r="G769" s="462"/>
      <c r="H769" s="462"/>
      <c r="I769" s="654"/>
      <c r="J769" s="650"/>
      <c r="K769" s="654"/>
      <c r="L769" s="654"/>
      <c r="M769" s="650"/>
      <c r="N769" s="650"/>
      <c r="O769" s="655"/>
      <c r="P769" s="655"/>
      <c r="Q769" s="655"/>
      <c r="R769" s="655"/>
      <c r="S769" s="655"/>
      <c r="T769" s="655"/>
      <c r="U769" s="655"/>
      <c r="V769" s="655"/>
      <c r="W769" s="655"/>
      <c r="X769" s="655"/>
      <c r="Y769" s="655"/>
      <c r="Z769" s="655"/>
      <c r="AA769" s="655"/>
      <c r="AB769" s="655"/>
      <c r="AC769" s="655"/>
      <c r="AD769" s="655"/>
    </row>
    <row r="770">
      <c r="B770" s="462"/>
      <c r="C770" s="462"/>
      <c r="D770" s="462"/>
      <c r="E770" s="462"/>
      <c r="F770" s="462"/>
      <c r="G770" s="462"/>
      <c r="H770" s="462"/>
      <c r="I770" s="654"/>
      <c r="J770" s="650"/>
      <c r="K770" s="654"/>
      <c r="L770" s="654"/>
      <c r="M770" s="650"/>
      <c r="N770" s="650"/>
      <c r="O770" s="655"/>
      <c r="P770" s="655"/>
      <c r="Q770" s="655"/>
      <c r="R770" s="655"/>
      <c r="S770" s="655"/>
      <c r="T770" s="655"/>
      <c r="U770" s="655"/>
      <c r="V770" s="655"/>
      <c r="W770" s="655"/>
      <c r="X770" s="655"/>
      <c r="Y770" s="655"/>
      <c r="Z770" s="655"/>
      <c r="AA770" s="655"/>
      <c r="AB770" s="655"/>
      <c r="AC770" s="655"/>
      <c r="AD770" s="655"/>
    </row>
    <row r="771">
      <c r="B771" s="462"/>
      <c r="C771" s="462"/>
      <c r="D771" s="462"/>
      <c r="E771" s="462"/>
      <c r="F771" s="462"/>
      <c r="G771" s="462"/>
      <c r="H771" s="462"/>
      <c r="I771" s="654"/>
      <c r="J771" s="650"/>
      <c r="K771" s="654"/>
      <c r="L771" s="654"/>
      <c r="M771" s="650"/>
      <c r="N771" s="650"/>
      <c r="O771" s="655"/>
      <c r="P771" s="655"/>
      <c r="Q771" s="655"/>
      <c r="R771" s="655"/>
      <c r="S771" s="655"/>
      <c r="T771" s="655"/>
      <c r="U771" s="655"/>
      <c r="V771" s="655"/>
      <c r="W771" s="655"/>
      <c r="X771" s="655"/>
      <c r="Y771" s="655"/>
      <c r="Z771" s="655"/>
      <c r="AA771" s="655"/>
      <c r="AB771" s="655"/>
      <c r="AC771" s="655"/>
      <c r="AD771" s="655"/>
    </row>
    <row r="772">
      <c r="B772" s="462"/>
      <c r="C772" s="462"/>
      <c r="D772" s="462"/>
      <c r="E772" s="462"/>
      <c r="F772" s="462"/>
      <c r="G772" s="462"/>
      <c r="H772" s="462"/>
      <c r="I772" s="654"/>
      <c r="J772" s="650"/>
      <c r="K772" s="654"/>
      <c r="L772" s="654"/>
      <c r="M772" s="650"/>
      <c r="N772" s="650"/>
      <c r="O772" s="655"/>
      <c r="P772" s="655"/>
      <c r="Q772" s="655"/>
      <c r="R772" s="655"/>
      <c r="S772" s="655"/>
      <c r="T772" s="655"/>
      <c r="U772" s="655"/>
      <c r="V772" s="655"/>
      <c r="W772" s="655"/>
      <c r="X772" s="655"/>
      <c r="Y772" s="655"/>
      <c r="Z772" s="655"/>
      <c r="AA772" s="655"/>
      <c r="AB772" s="655"/>
      <c r="AC772" s="655"/>
      <c r="AD772" s="655"/>
    </row>
    <row r="773">
      <c r="B773" s="462"/>
      <c r="C773" s="462"/>
      <c r="D773" s="462"/>
      <c r="E773" s="462"/>
      <c r="F773" s="462"/>
      <c r="G773" s="462"/>
      <c r="H773" s="462"/>
      <c r="I773" s="654"/>
      <c r="J773" s="650"/>
      <c r="K773" s="654"/>
      <c r="L773" s="654"/>
      <c r="M773" s="650"/>
      <c r="N773" s="650"/>
      <c r="O773" s="655"/>
      <c r="P773" s="655"/>
      <c r="Q773" s="655"/>
      <c r="R773" s="655"/>
      <c r="S773" s="655"/>
      <c r="T773" s="655"/>
      <c r="U773" s="655"/>
      <c r="V773" s="655"/>
      <c r="W773" s="655"/>
      <c r="X773" s="655"/>
      <c r="Y773" s="655"/>
      <c r="Z773" s="655"/>
      <c r="AA773" s="655"/>
      <c r="AB773" s="655"/>
      <c r="AC773" s="655"/>
      <c r="AD773" s="655"/>
    </row>
    <row r="774">
      <c r="B774" s="462"/>
      <c r="C774" s="462"/>
      <c r="D774" s="462"/>
      <c r="E774" s="462"/>
      <c r="F774" s="462"/>
      <c r="G774" s="462"/>
      <c r="H774" s="462"/>
      <c r="I774" s="654"/>
      <c r="J774" s="650"/>
      <c r="K774" s="654"/>
      <c r="L774" s="654"/>
      <c r="M774" s="650"/>
      <c r="N774" s="650"/>
      <c r="O774" s="655"/>
      <c r="P774" s="655"/>
      <c r="Q774" s="655"/>
      <c r="R774" s="655"/>
      <c r="S774" s="655"/>
      <c r="T774" s="655"/>
      <c r="U774" s="655"/>
      <c r="V774" s="655"/>
      <c r="W774" s="655"/>
      <c r="X774" s="655"/>
      <c r="Y774" s="655"/>
      <c r="Z774" s="655"/>
      <c r="AA774" s="655"/>
      <c r="AB774" s="655"/>
      <c r="AC774" s="655"/>
      <c r="AD774" s="655"/>
    </row>
    <row r="775">
      <c r="B775" s="462"/>
      <c r="C775" s="462"/>
      <c r="D775" s="462"/>
      <c r="E775" s="462"/>
      <c r="F775" s="462"/>
      <c r="G775" s="462"/>
      <c r="H775" s="462"/>
      <c r="I775" s="654"/>
      <c r="J775" s="650"/>
      <c r="K775" s="654"/>
      <c r="L775" s="654"/>
      <c r="M775" s="650"/>
      <c r="N775" s="650"/>
      <c r="O775" s="655"/>
      <c r="P775" s="655"/>
      <c r="Q775" s="655"/>
      <c r="R775" s="655"/>
      <c r="S775" s="655"/>
      <c r="T775" s="655"/>
      <c r="U775" s="655"/>
      <c r="V775" s="655"/>
      <c r="W775" s="655"/>
      <c r="X775" s="655"/>
      <c r="Y775" s="655"/>
      <c r="Z775" s="655"/>
      <c r="AA775" s="655"/>
      <c r="AB775" s="655"/>
      <c r="AC775" s="655"/>
      <c r="AD775" s="655"/>
    </row>
    <row r="776">
      <c r="B776" s="462"/>
      <c r="C776" s="462"/>
      <c r="D776" s="462"/>
      <c r="E776" s="462"/>
      <c r="F776" s="462"/>
      <c r="G776" s="462"/>
      <c r="H776" s="462"/>
      <c r="I776" s="654"/>
      <c r="J776" s="650"/>
      <c r="K776" s="654"/>
      <c r="L776" s="654"/>
      <c r="M776" s="650"/>
      <c r="N776" s="650"/>
      <c r="O776" s="655"/>
      <c r="P776" s="655"/>
      <c r="Q776" s="655"/>
      <c r="R776" s="655"/>
      <c r="S776" s="655"/>
      <c r="T776" s="655"/>
      <c r="U776" s="655"/>
      <c r="V776" s="655"/>
      <c r="W776" s="655"/>
      <c r="X776" s="655"/>
      <c r="Y776" s="655"/>
      <c r="Z776" s="655"/>
      <c r="AA776" s="655"/>
      <c r="AB776" s="655"/>
      <c r="AC776" s="655"/>
      <c r="AD776" s="655"/>
    </row>
    <row r="777">
      <c r="B777" s="462"/>
      <c r="C777" s="462"/>
      <c r="D777" s="462"/>
      <c r="E777" s="462"/>
      <c r="F777" s="462"/>
      <c r="G777" s="462"/>
      <c r="H777" s="462"/>
      <c r="I777" s="654"/>
      <c r="J777" s="650"/>
      <c r="K777" s="654"/>
      <c r="L777" s="654"/>
      <c r="M777" s="650"/>
      <c r="N777" s="650"/>
      <c r="O777" s="655"/>
      <c r="P777" s="655"/>
      <c r="Q777" s="655"/>
      <c r="R777" s="655"/>
      <c r="S777" s="655"/>
      <c r="T777" s="655"/>
      <c r="U777" s="655"/>
      <c r="V777" s="655"/>
      <c r="W777" s="655"/>
      <c r="X777" s="655"/>
      <c r="Y777" s="655"/>
      <c r="Z777" s="655"/>
      <c r="AA777" s="655"/>
      <c r="AB777" s="655"/>
      <c r="AC777" s="655"/>
      <c r="AD777" s="655"/>
    </row>
    <row r="778">
      <c r="B778" s="462"/>
      <c r="C778" s="462"/>
      <c r="D778" s="462"/>
      <c r="E778" s="462"/>
      <c r="F778" s="462"/>
      <c r="G778" s="462"/>
      <c r="H778" s="462"/>
      <c r="I778" s="654"/>
      <c r="J778" s="650"/>
      <c r="K778" s="654"/>
      <c r="L778" s="654"/>
      <c r="M778" s="650"/>
      <c r="N778" s="650"/>
      <c r="O778" s="655"/>
      <c r="P778" s="655"/>
      <c r="Q778" s="655"/>
      <c r="R778" s="655"/>
      <c r="S778" s="655"/>
      <c r="T778" s="655"/>
      <c r="U778" s="655"/>
      <c r="V778" s="655"/>
      <c r="W778" s="655"/>
      <c r="X778" s="655"/>
      <c r="Y778" s="655"/>
      <c r="Z778" s="655"/>
      <c r="AA778" s="655"/>
      <c r="AB778" s="655"/>
      <c r="AC778" s="655"/>
      <c r="AD778" s="655"/>
    </row>
    <row r="779">
      <c r="B779" s="462"/>
      <c r="C779" s="462"/>
      <c r="D779" s="462"/>
      <c r="E779" s="462"/>
      <c r="F779" s="462"/>
      <c r="G779" s="462"/>
      <c r="H779" s="462"/>
      <c r="I779" s="654"/>
      <c r="J779" s="650"/>
      <c r="K779" s="654"/>
      <c r="L779" s="654"/>
      <c r="M779" s="650"/>
      <c r="N779" s="650"/>
      <c r="O779" s="655"/>
      <c r="P779" s="655"/>
      <c r="Q779" s="655"/>
      <c r="R779" s="655"/>
      <c r="S779" s="655"/>
      <c r="T779" s="655"/>
      <c r="U779" s="655"/>
      <c r="V779" s="655"/>
      <c r="W779" s="655"/>
      <c r="X779" s="655"/>
      <c r="Y779" s="655"/>
      <c r="Z779" s="655"/>
      <c r="AA779" s="655"/>
      <c r="AB779" s="655"/>
      <c r="AC779" s="655"/>
      <c r="AD779" s="655"/>
    </row>
    <row r="780">
      <c r="B780" s="462"/>
      <c r="C780" s="462"/>
      <c r="D780" s="462"/>
      <c r="E780" s="462"/>
      <c r="F780" s="462"/>
      <c r="G780" s="462"/>
      <c r="H780" s="462"/>
      <c r="I780" s="654"/>
      <c r="J780" s="650"/>
      <c r="K780" s="654"/>
      <c r="L780" s="654"/>
      <c r="M780" s="650"/>
      <c r="N780" s="650"/>
      <c r="O780" s="655"/>
      <c r="P780" s="655"/>
      <c r="Q780" s="655"/>
      <c r="R780" s="655"/>
      <c r="S780" s="655"/>
      <c r="T780" s="655"/>
      <c r="U780" s="655"/>
      <c r="V780" s="655"/>
      <c r="W780" s="655"/>
      <c r="X780" s="655"/>
      <c r="Y780" s="655"/>
      <c r="Z780" s="655"/>
      <c r="AA780" s="655"/>
      <c r="AB780" s="655"/>
      <c r="AC780" s="655"/>
      <c r="AD780" s="655"/>
    </row>
    <row r="781">
      <c r="B781" s="462"/>
      <c r="C781" s="462"/>
      <c r="D781" s="462"/>
      <c r="E781" s="462"/>
      <c r="F781" s="462"/>
      <c r="G781" s="462"/>
      <c r="H781" s="462"/>
      <c r="I781" s="654"/>
      <c r="J781" s="650"/>
      <c r="K781" s="654"/>
      <c r="L781" s="654"/>
      <c r="M781" s="650"/>
      <c r="N781" s="650"/>
      <c r="O781" s="655"/>
      <c r="P781" s="655"/>
      <c r="Q781" s="655"/>
      <c r="R781" s="655"/>
      <c r="S781" s="655"/>
      <c r="T781" s="655"/>
      <c r="U781" s="655"/>
      <c r="V781" s="655"/>
      <c r="W781" s="655"/>
      <c r="X781" s="655"/>
      <c r="Y781" s="655"/>
      <c r="Z781" s="655"/>
      <c r="AA781" s="655"/>
      <c r="AB781" s="655"/>
      <c r="AC781" s="655"/>
      <c r="AD781" s="655"/>
    </row>
    <row r="782">
      <c r="B782" s="462"/>
      <c r="C782" s="462"/>
      <c r="D782" s="462"/>
      <c r="E782" s="462"/>
      <c r="F782" s="462"/>
      <c r="G782" s="462"/>
      <c r="H782" s="462"/>
      <c r="I782" s="654"/>
      <c r="J782" s="650"/>
      <c r="K782" s="654"/>
      <c r="L782" s="654"/>
      <c r="M782" s="650"/>
      <c r="N782" s="650"/>
      <c r="O782" s="655"/>
      <c r="P782" s="655"/>
      <c r="Q782" s="655"/>
      <c r="R782" s="655"/>
      <c r="S782" s="655"/>
      <c r="T782" s="655"/>
      <c r="U782" s="655"/>
      <c r="V782" s="655"/>
      <c r="W782" s="655"/>
      <c r="X782" s="655"/>
      <c r="Y782" s="655"/>
      <c r="Z782" s="655"/>
      <c r="AA782" s="655"/>
      <c r="AB782" s="655"/>
      <c r="AC782" s="655"/>
      <c r="AD782" s="655"/>
    </row>
    <row r="783">
      <c r="B783" s="462"/>
      <c r="C783" s="462"/>
      <c r="D783" s="462"/>
      <c r="E783" s="462"/>
      <c r="F783" s="462"/>
      <c r="G783" s="462"/>
      <c r="H783" s="462"/>
      <c r="I783" s="654"/>
      <c r="J783" s="650"/>
      <c r="K783" s="654"/>
      <c r="L783" s="654"/>
      <c r="M783" s="650"/>
      <c r="N783" s="650"/>
      <c r="O783" s="655"/>
      <c r="P783" s="655"/>
      <c r="Q783" s="655"/>
      <c r="R783" s="655"/>
      <c r="S783" s="655"/>
      <c r="T783" s="655"/>
      <c r="U783" s="655"/>
      <c r="V783" s="655"/>
      <c r="W783" s="655"/>
      <c r="X783" s="655"/>
      <c r="Y783" s="655"/>
      <c r="Z783" s="655"/>
      <c r="AA783" s="655"/>
      <c r="AB783" s="655"/>
      <c r="AC783" s="655"/>
      <c r="AD783" s="655"/>
    </row>
    <row r="784">
      <c r="B784" s="462"/>
      <c r="C784" s="462"/>
      <c r="D784" s="462"/>
      <c r="E784" s="462"/>
      <c r="F784" s="462"/>
      <c r="G784" s="462"/>
      <c r="H784" s="462"/>
      <c r="I784" s="654"/>
      <c r="J784" s="650"/>
      <c r="K784" s="654"/>
      <c r="L784" s="654"/>
      <c r="M784" s="650"/>
      <c r="N784" s="650"/>
      <c r="O784" s="655"/>
      <c r="P784" s="655"/>
      <c r="Q784" s="655"/>
      <c r="R784" s="655"/>
      <c r="S784" s="655"/>
      <c r="T784" s="655"/>
      <c r="U784" s="655"/>
      <c r="V784" s="655"/>
      <c r="W784" s="655"/>
      <c r="X784" s="655"/>
      <c r="Y784" s="655"/>
      <c r="Z784" s="655"/>
      <c r="AA784" s="655"/>
      <c r="AB784" s="655"/>
      <c r="AC784" s="655"/>
      <c r="AD784" s="655"/>
    </row>
    <row r="785">
      <c r="B785" s="462"/>
      <c r="C785" s="462"/>
      <c r="D785" s="462"/>
      <c r="E785" s="462"/>
      <c r="F785" s="462"/>
      <c r="G785" s="462"/>
      <c r="H785" s="462"/>
      <c r="I785" s="654"/>
      <c r="J785" s="650"/>
      <c r="K785" s="654"/>
      <c r="L785" s="654"/>
      <c r="M785" s="650"/>
      <c r="N785" s="650"/>
      <c r="O785" s="655"/>
      <c r="P785" s="655"/>
      <c r="Q785" s="655"/>
      <c r="R785" s="655"/>
      <c r="S785" s="655"/>
      <c r="T785" s="655"/>
      <c r="U785" s="655"/>
      <c r="V785" s="655"/>
      <c r="W785" s="655"/>
      <c r="X785" s="655"/>
      <c r="Y785" s="655"/>
      <c r="Z785" s="655"/>
      <c r="AA785" s="655"/>
      <c r="AB785" s="655"/>
      <c r="AC785" s="655"/>
      <c r="AD785" s="655"/>
    </row>
    <row r="786">
      <c r="B786" s="462"/>
      <c r="C786" s="462"/>
      <c r="D786" s="462"/>
      <c r="E786" s="462"/>
      <c r="F786" s="462"/>
      <c r="G786" s="462"/>
      <c r="H786" s="462"/>
      <c r="I786" s="654"/>
      <c r="J786" s="650"/>
      <c r="K786" s="654"/>
      <c r="L786" s="654"/>
      <c r="M786" s="650"/>
      <c r="N786" s="650"/>
      <c r="O786" s="655"/>
      <c r="P786" s="655"/>
      <c r="Q786" s="655"/>
      <c r="R786" s="655"/>
      <c r="S786" s="655"/>
      <c r="T786" s="655"/>
      <c r="U786" s="655"/>
      <c r="V786" s="655"/>
      <c r="W786" s="655"/>
      <c r="X786" s="655"/>
      <c r="Y786" s="655"/>
      <c r="Z786" s="655"/>
      <c r="AA786" s="655"/>
      <c r="AB786" s="655"/>
      <c r="AC786" s="655"/>
      <c r="AD786" s="655"/>
    </row>
    <row r="787">
      <c r="B787" s="462"/>
      <c r="C787" s="462"/>
      <c r="D787" s="462"/>
      <c r="E787" s="462"/>
      <c r="F787" s="462"/>
      <c r="G787" s="462"/>
      <c r="H787" s="462"/>
      <c r="I787" s="654"/>
      <c r="J787" s="650"/>
      <c r="K787" s="654"/>
      <c r="L787" s="654"/>
      <c r="M787" s="650"/>
      <c r="N787" s="650"/>
      <c r="O787" s="655"/>
      <c r="P787" s="655"/>
      <c r="Q787" s="655"/>
      <c r="R787" s="655"/>
      <c r="S787" s="655"/>
      <c r="T787" s="655"/>
      <c r="U787" s="655"/>
      <c r="V787" s="655"/>
      <c r="W787" s="655"/>
      <c r="X787" s="655"/>
      <c r="Y787" s="655"/>
      <c r="Z787" s="655"/>
      <c r="AA787" s="655"/>
      <c r="AB787" s="655"/>
      <c r="AC787" s="655"/>
      <c r="AD787" s="655"/>
    </row>
    <row r="788">
      <c r="B788" s="462"/>
      <c r="C788" s="462"/>
      <c r="D788" s="462"/>
      <c r="E788" s="462"/>
      <c r="F788" s="462"/>
      <c r="G788" s="462"/>
      <c r="H788" s="462"/>
      <c r="I788" s="654"/>
      <c r="J788" s="650"/>
      <c r="K788" s="654"/>
      <c r="L788" s="654"/>
      <c r="M788" s="650"/>
      <c r="N788" s="650"/>
      <c r="O788" s="655"/>
      <c r="P788" s="655"/>
      <c r="Q788" s="655"/>
      <c r="R788" s="655"/>
      <c r="S788" s="655"/>
      <c r="T788" s="655"/>
      <c r="U788" s="655"/>
      <c r="V788" s="655"/>
      <c r="W788" s="655"/>
      <c r="X788" s="655"/>
      <c r="Y788" s="655"/>
      <c r="Z788" s="655"/>
      <c r="AA788" s="655"/>
      <c r="AB788" s="655"/>
      <c r="AC788" s="655"/>
      <c r="AD788" s="655"/>
    </row>
    <row r="789">
      <c r="B789" s="462"/>
      <c r="C789" s="462"/>
      <c r="D789" s="462"/>
      <c r="E789" s="462"/>
      <c r="F789" s="462"/>
      <c r="G789" s="462"/>
      <c r="H789" s="462"/>
      <c r="I789" s="654"/>
      <c r="J789" s="650"/>
      <c r="K789" s="654"/>
      <c r="L789" s="654"/>
      <c r="M789" s="650"/>
      <c r="N789" s="650"/>
      <c r="O789" s="655"/>
      <c r="P789" s="655"/>
      <c r="Q789" s="655"/>
      <c r="R789" s="655"/>
      <c r="S789" s="655"/>
      <c r="T789" s="655"/>
      <c r="U789" s="655"/>
      <c r="V789" s="655"/>
      <c r="W789" s="655"/>
      <c r="X789" s="655"/>
      <c r="Y789" s="655"/>
      <c r="Z789" s="655"/>
      <c r="AA789" s="655"/>
      <c r="AB789" s="655"/>
      <c r="AC789" s="655"/>
      <c r="AD789" s="655"/>
    </row>
    <row r="790">
      <c r="B790" s="462"/>
      <c r="C790" s="462"/>
      <c r="D790" s="462"/>
      <c r="E790" s="462"/>
      <c r="F790" s="462"/>
      <c r="G790" s="462"/>
      <c r="H790" s="462"/>
      <c r="I790" s="654"/>
      <c r="J790" s="650"/>
      <c r="K790" s="654"/>
      <c r="L790" s="654"/>
      <c r="M790" s="650"/>
      <c r="N790" s="650"/>
      <c r="O790" s="655"/>
      <c r="P790" s="655"/>
      <c r="Q790" s="655"/>
      <c r="R790" s="655"/>
      <c r="S790" s="655"/>
      <c r="T790" s="655"/>
      <c r="U790" s="655"/>
      <c r="V790" s="655"/>
      <c r="W790" s="655"/>
      <c r="X790" s="655"/>
      <c r="Y790" s="655"/>
      <c r="Z790" s="655"/>
      <c r="AA790" s="655"/>
      <c r="AB790" s="655"/>
      <c r="AC790" s="655"/>
      <c r="AD790" s="655"/>
    </row>
    <row r="791">
      <c r="B791" s="462"/>
      <c r="C791" s="462"/>
      <c r="D791" s="462"/>
      <c r="E791" s="462"/>
      <c r="F791" s="462"/>
      <c r="G791" s="462"/>
      <c r="H791" s="462"/>
      <c r="I791" s="654"/>
      <c r="J791" s="650"/>
      <c r="K791" s="654"/>
      <c r="L791" s="654"/>
      <c r="M791" s="650"/>
      <c r="N791" s="650"/>
      <c r="O791" s="655"/>
      <c r="P791" s="655"/>
      <c r="Q791" s="655"/>
      <c r="R791" s="655"/>
      <c r="S791" s="655"/>
      <c r="T791" s="655"/>
      <c r="U791" s="655"/>
      <c r="V791" s="655"/>
      <c r="W791" s="655"/>
      <c r="X791" s="655"/>
      <c r="Y791" s="655"/>
      <c r="Z791" s="655"/>
      <c r="AA791" s="655"/>
      <c r="AB791" s="655"/>
      <c r="AC791" s="655"/>
      <c r="AD791" s="655"/>
    </row>
    <row r="792">
      <c r="B792" s="462"/>
      <c r="C792" s="462"/>
      <c r="D792" s="462"/>
      <c r="E792" s="462"/>
      <c r="F792" s="462"/>
      <c r="G792" s="462"/>
      <c r="H792" s="462"/>
      <c r="I792" s="654"/>
      <c r="J792" s="650"/>
      <c r="K792" s="654"/>
      <c r="L792" s="654"/>
      <c r="M792" s="650"/>
      <c r="N792" s="650"/>
      <c r="O792" s="655"/>
      <c r="P792" s="655"/>
      <c r="Q792" s="655"/>
      <c r="R792" s="655"/>
      <c r="S792" s="655"/>
      <c r="T792" s="655"/>
      <c r="U792" s="655"/>
      <c r="V792" s="655"/>
      <c r="W792" s="655"/>
      <c r="X792" s="655"/>
      <c r="Y792" s="655"/>
      <c r="Z792" s="655"/>
      <c r="AA792" s="655"/>
      <c r="AB792" s="655"/>
      <c r="AC792" s="655"/>
      <c r="AD792" s="655"/>
    </row>
    <row r="793">
      <c r="B793" s="462"/>
      <c r="C793" s="462"/>
      <c r="D793" s="462"/>
      <c r="E793" s="462"/>
      <c r="F793" s="462"/>
      <c r="G793" s="462"/>
      <c r="H793" s="462"/>
      <c r="I793" s="654"/>
      <c r="J793" s="650"/>
      <c r="K793" s="654"/>
      <c r="L793" s="654"/>
      <c r="M793" s="650"/>
      <c r="N793" s="650"/>
      <c r="O793" s="655"/>
      <c r="P793" s="655"/>
      <c r="Q793" s="655"/>
      <c r="R793" s="655"/>
      <c r="S793" s="655"/>
      <c r="T793" s="655"/>
      <c r="U793" s="655"/>
      <c r="V793" s="655"/>
      <c r="W793" s="655"/>
      <c r="X793" s="655"/>
      <c r="Y793" s="655"/>
      <c r="Z793" s="655"/>
      <c r="AA793" s="655"/>
      <c r="AB793" s="655"/>
      <c r="AC793" s="655"/>
      <c r="AD793" s="655"/>
    </row>
    <row r="794">
      <c r="B794" s="462"/>
      <c r="C794" s="462"/>
      <c r="D794" s="462"/>
      <c r="E794" s="462"/>
      <c r="F794" s="462"/>
      <c r="G794" s="462"/>
      <c r="H794" s="462"/>
      <c r="I794" s="654"/>
      <c r="J794" s="650"/>
      <c r="K794" s="654"/>
      <c r="L794" s="654"/>
      <c r="M794" s="650"/>
      <c r="N794" s="650"/>
      <c r="O794" s="655"/>
      <c r="P794" s="655"/>
      <c r="Q794" s="655"/>
      <c r="R794" s="655"/>
      <c r="S794" s="655"/>
      <c r="T794" s="655"/>
      <c r="U794" s="655"/>
      <c r="V794" s="655"/>
      <c r="W794" s="655"/>
      <c r="X794" s="655"/>
      <c r="Y794" s="655"/>
      <c r="Z794" s="655"/>
      <c r="AA794" s="655"/>
      <c r="AB794" s="655"/>
      <c r="AC794" s="655"/>
      <c r="AD794" s="655"/>
    </row>
    <row r="795">
      <c r="B795" s="462"/>
      <c r="C795" s="462"/>
      <c r="D795" s="462"/>
      <c r="E795" s="462"/>
      <c r="F795" s="462"/>
      <c r="G795" s="462"/>
      <c r="H795" s="462"/>
      <c r="I795" s="654"/>
      <c r="J795" s="650"/>
      <c r="K795" s="654"/>
      <c r="L795" s="654"/>
      <c r="M795" s="650"/>
      <c r="N795" s="650"/>
      <c r="O795" s="655"/>
      <c r="P795" s="655"/>
      <c r="Q795" s="655"/>
      <c r="R795" s="655"/>
      <c r="S795" s="655"/>
      <c r="T795" s="655"/>
      <c r="U795" s="655"/>
      <c r="V795" s="655"/>
      <c r="W795" s="655"/>
      <c r="X795" s="655"/>
      <c r="Y795" s="655"/>
      <c r="Z795" s="655"/>
      <c r="AA795" s="655"/>
      <c r="AB795" s="655"/>
      <c r="AC795" s="655"/>
      <c r="AD795" s="655"/>
    </row>
    <row r="796">
      <c r="B796" s="462"/>
      <c r="C796" s="462"/>
      <c r="D796" s="462"/>
      <c r="E796" s="462"/>
      <c r="F796" s="462"/>
      <c r="G796" s="462"/>
      <c r="H796" s="462"/>
      <c r="I796" s="654"/>
      <c r="J796" s="650"/>
      <c r="K796" s="654"/>
      <c r="L796" s="654"/>
      <c r="M796" s="650"/>
      <c r="N796" s="650"/>
      <c r="O796" s="655"/>
      <c r="P796" s="655"/>
      <c r="Q796" s="655"/>
      <c r="R796" s="655"/>
      <c r="S796" s="655"/>
      <c r="T796" s="655"/>
      <c r="U796" s="655"/>
      <c r="V796" s="655"/>
      <c r="W796" s="655"/>
      <c r="X796" s="655"/>
      <c r="Y796" s="655"/>
      <c r="Z796" s="655"/>
      <c r="AA796" s="655"/>
      <c r="AB796" s="655"/>
      <c r="AC796" s="655"/>
      <c r="AD796" s="655"/>
    </row>
    <row r="797">
      <c r="B797" s="462"/>
      <c r="C797" s="462"/>
      <c r="D797" s="462"/>
      <c r="E797" s="462"/>
      <c r="F797" s="462"/>
      <c r="G797" s="462"/>
      <c r="H797" s="462"/>
      <c r="I797" s="654"/>
      <c r="J797" s="650"/>
      <c r="K797" s="654"/>
      <c r="L797" s="654"/>
      <c r="M797" s="650"/>
      <c r="N797" s="650"/>
      <c r="O797" s="655"/>
      <c r="P797" s="655"/>
      <c r="Q797" s="655"/>
      <c r="R797" s="655"/>
      <c r="S797" s="655"/>
      <c r="T797" s="655"/>
      <c r="U797" s="655"/>
      <c r="V797" s="655"/>
      <c r="W797" s="655"/>
      <c r="X797" s="655"/>
      <c r="Y797" s="655"/>
      <c r="Z797" s="655"/>
      <c r="AA797" s="655"/>
      <c r="AB797" s="655"/>
      <c r="AC797" s="655"/>
      <c r="AD797" s="655"/>
    </row>
    <row r="798">
      <c r="B798" s="462"/>
      <c r="C798" s="462"/>
      <c r="D798" s="462"/>
      <c r="E798" s="462"/>
      <c r="F798" s="462"/>
      <c r="G798" s="462"/>
      <c r="H798" s="462"/>
      <c r="I798" s="654"/>
      <c r="J798" s="650"/>
      <c r="K798" s="654"/>
      <c r="L798" s="654"/>
      <c r="M798" s="650"/>
      <c r="N798" s="650"/>
      <c r="O798" s="655"/>
      <c r="P798" s="655"/>
      <c r="Q798" s="655"/>
      <c r="R798" s="655"/>
      <c r="S798" s="655"/>
      <c r="T798" s="655"/>
      <c r="U798" s="655"/>
      <c r="V798" s="655"/>
      <c r="W798" s="655"/>
      <c r="X798" s="655"/>
      <c r="Y798" s="655"/>
      <c r="Z798" s="655"/>
      <c r="AA798" s="655"/>
      <c r="AB798" s="655"/>
      <c r="AC798" s="655"/>
      <c r="AD798" s="655"/>
    </row>
    <row r="799">
      <c r="B799" s="462"/>
      <c r="C799" s="462"/>
      <c r="D799" s="462"/>
      <c r="E799" s="462"/>
      <c r="F799" s="462"/>
      <c r="G799" s="462"/>
      <c r="H799" s="462"/>
      <c r="I799" s="654"/>
      <c r="J799" s="650"/>
      <c r="K799" s="654"/>
      <c r="L799" s="654"/>
      <c r="M799" s="650"/>
      <c r="N799" s="650"/>
      <c r="O799" s="655"/>
      <c r="P799" s="655"/>
      <c r="Q799" s="655"/>
      <c r="R799" s="655"/>
      <c r="S799" s="655"/>
      <c r="T799" s="655"/>
      <c r="U799" s="655"/>
      <c r="V799" s="655"/>
      <c r="W799" s="655"/>
      <c r="X799" s="655"/>
      <c r="Y799" s="655"/>
      <c r="Z799" s="655"/>
      <c r="AA799" s="655"/>
      <c r="AB799" s="655"/>
      <c r="AC799" s="655"/>
      <c r="AD799" s="655"/>
    </row>
    <row r="800">
      <c r="B800" s="462"/>
      <c r="C800" s="462"/>
      <c r="D800" s="462"/>
      <c r="E800" s="462"/>
      <c r="F800" s="462"/>
      <c r="G800" s="462"/>
      <c r="H800" s="462"/>
      <c r="I800" s="654"/>
      <c r="J800" s="650"/>
      <c r="K800" s="654"/>
      <c r="L800" s="654"/>
      <c r="M800" s="650"/>
      <c r="N800" s="650"/>
      <c r="O800" s="655"/>
      <c r="P800" s="655"/>
      <c r="Q800" s="655"/>
      <c r="R800" s="655"/>
      <c r="S800" s="655"/>
      <c r="T800" s="655"/>
      <c r="U800" s="655"/>
      <c r="V800" s="655"/>
      <c r="W800" s="655"/>
      <c r="X800" s="655"/>
      <c r="Y800" s="655"/>
      <c r="Z800" s="655"/>
      <c r="AA800" s="655"/>
      <c r="AB800" s="655"/>
      <c r="AC800" s="655"/>
      <c r="AD800" s="655"/>
    </row>
    <row r="801">
      <c r="B801" s="462"/>
      <c r="C801" s="462"/>
      <c r="D801" s="462"/>
      <c r="E801" s="462"/>
      <c r="F801" s="462"/>
      <c r="G801" s="462"/>
      <c r="H801" s="462"/>
      <c r="I801" s="654"/>
      <c r="J801" s="650"/>
      <c r="K801" s="654"/>
      <c r="L801" s="654"/>
      <c r="M801" s="650"/>
      <c r="N801" s="650"/>
      <c r="O801" s="655"/>
      <c r="P801" s="655"/>
      <c r="Q801" s="655"/>
      <c r="R801" s="655"/>
      <c r="S801" s="655"/>
      <c r="T801" s="655"/>
      <c r="U801" s="655"/>
      <c r="V801" s="655"/>
      <c r="W801" s="655"/>
      <c r="X801" s="655"/>
      <c r="Y801" s="655"/>
      <c r="Z801" s="655"/>
      <c r="AA801" s="655"/>
      <c r="AB801" s="655"/>
      <c r="AC801" s="655"/>
      <c r="AD801" s="655"/>
    </row>
    <row r="802">
      <c r="B802" s="462"/>
      <c r="C802" s="462"/>
      <c r="D802" s="462"/>
      <c r="E802" s="462"/>
      <c r="F802" s="462"/>
      <c r="G802" s="462"/>
      <c r="H802" s="462"/>
      <c r="I802" s="654"/>
      <c r="J802" s="650"/>
      <c r="K802" s="654"/>
      <c r="L802" s="654"/>
      <c r="M802" s="650"/>
      <c r="N802" s="650"/>
      <c r="O802" s="655"/>
      <c r="P802" s="655"/>
      <c r="Q802" s="655"/>
      <c r="R802" s="655"/>
      <c r="S802" s="655"/>
      <c r="T802" s="655"/>
      <c r="U802" s="655"/>
      <c r="V802" s="655"/>
      <c r="W802" s="655"/>
      <c r="X802" s="655"/>
      <c r="Y802" s="655"/>
      <c r="Z802" s="655"/>
      <c r="AA802" s="655"/>
      <c r="AB802" s="655"/>
      <c r="AC802" s="655"/>
      <c r="AD802" s="655"/>
    </row>
    <row r="803">
      <c r="B803" s="462"/>
      <c r="C803" s="462"/>
      <c r="D803" s="462"/>
      <c r="E803" s="462"/>
      <c r="F803" s="462"/>
      <c r="G803" s="462"/>
      <c r="H803" s="462"/>
      <c r="I803" s="654"/>
      <c r="J803" s="650"/>
      <c r="K803" s="654"/>
      <c r="L803" s="654"/>
      <c r="M803" s="650"/>
      <c r="N803" s="650"/>
      <c r="O803" s="655"/>
      <c r="P803" s="655"/>
      <c r="Q803" s="655"/>
      <c r="R803" s="655"/>
      <c r="S803" s="655"/>
      <c r="T803" s="655"/>
      <c r="U803" s="655"/>
      <c r="V803" s="655"/>
      <c r="W803" s="655"/>
      <c r="X803" s="655"/>
      <c r="Y803" s="655"/>
      <c r="Z803" s="655"/>
      <c r="AA803" s="655"/>
      <c r="AB803" s="655"/>
      <c r="AC803" s="655"/>
      <c r="AD803" s="655"/>
    </row>
    <row r="804">
      <c r="B804" s="462"/>
      <c r="C804" s="462"/>
      <c r="D804" s="462"/>
      <c r="E804" s="462"/>
      <c r="F804" s="462"/>
      <c r="G804" s="462"/>
      <c r="H804" s="462"/>
      <c r="I804" s="654"/>
      <c r="J804" s="650"/>
      <c r="K804" s="654"/>
      <c r="L804" s="654"/>
      <c r="M804" s="650"/>
      <c r="N804" s="650"/>
      <c r="O804" s="655"/>
      <c r="P804" s="655"/>
      <c r="Q804" s="655"/>
      <c r="R804" s="655"/>
      <c r="S804" s="655"/>
      <c r="T804" s="655"/>
      <c r="U804" s="655"/>
      <c r="V804" s="655"/>
      <c r="W804" s="655"/>
      <c r="X804" s="655"/>
      <c r="Y804" s="655"/>
      <c r="Z804" s="655"/>
      <c r="AA804" s="655"/>
      <c r="AB804" s="655"/>
      <c r="AC804" s="655"/>
      <c r="AD804" s="655"/>
    </row>
    <row r="805">
      <c r="B805" s="462"/>
      <c r="C805" s="462"/>
      <c r="D805" s="462"/>
      <c r="E805" s="462"/>
      <c r="F805" s="462"/>
      <c r="G805" s="462"/>
      <c r="H805" s="462"/>
      <c r="I805" s="654"/>
      <c r="J805" s="650"/>
      <c r="K805" s="654"/>
      <c r="L805" s="654"/>
      <c r="M805" s="650"/>
      <c r="N805" s="650"/>
      <c r="O805" s="655"/>
      <c r="P805" s="655"/>
      <c r="Q805" s="655"/>
      <c r="R805" s="655"/>
      <c r="S805" s="655"/>
      <c r="T805" s="655"/>
      <c r="U805" s="655"/>
      <c r="V805" s="655"/>
      <c r="W805" s="655"/>
      <c r="X805" s="655"/>
      <c r="Y805" s="655"/>
      <c r="Z805" s="655"/>
      <c r="AA805" s="655"/>
      <c r="AB805" s="655"/>
      <c r="AC805" s="655"/>
      <c r="AD805" s="655"/>
    </row>
    <row r="806">
      <c r="B806" s="462"/>
      <c r="C806" s="462"/>
      <c r="D806" s="462"/>
      <c r="E806" s="462"/>
      <c r="F806" s="462"/>
      <c r="G806" s="462"/>
      <c r="H806" s="462"/>
      <c r="I806" s="654"/>
      <c r="J806" s="650"/>
      <c r="K806" s="654"/>
      <c r="L806" s="654"/>
      <c r="M806" s="650"/>
      <c r="N806" s="650"/>
      <c r="O806" s="655"/>
      <c r="P806" s="655"/>
      <c r="Q806" s="655"/>
      <c r="R806" s="655"/>
      <c r="S806" s="655"/>
      <c r="T806" s="655"/>
      <c r="U806" s="655"/>
      <c r="V806" s="655"/>
      <c r="W806" s="655"/>
      <c r="X806" s="655"/>
      <c r="Y806" s="655"/>
      <c r="Z806" s="655"/>
      <c r="AA806" s="655"/>
      <c r="AB806" s="655"/>
      <c r="AC806" s="655"/>
      <c r="AD806" s="655"/>
    </row>
    <row r="807">
      <c r="B807" s="462"/>
      <c r="C807" s="462"/>
      <c r="D807" s="462"/>
      <c r="E807" s="462"/>
      <c r="F807" s="462"/>
      <c r="G807" s="462"/>
      <c r="H807" s="462"/>
      <c r="I807" s="654"/>
      <c r="J807" s="650"/>
      <c r="K807" s="654"/>
      <c r="L807" s="654"/>
      <c r="M807" s="650"/>
      <c r="N807" s="650"/>
      <c r="O807" s="655"/>
      <c r="P807" s="655"/>
      <c r="Q807" s="655"/>
      <c r="R807" s="655"/>
      <c r="S807" s="655"/>
      <c r="T807" s="655"/>
      <c r="U807" s="655"/>
      <c r="V807" s="655"/>
      <c r="W807" s="655"/>
      <c r="X807" s="655"/>
      <c r="Y807" s="655"/>
      <c r="Z807" s="655"/>
      <c r="AA807" s="655"/>
      <c r="AB807" s="655"/>
      <c r="AC807" s="655"/>
      <c r="AD807" s="655"/>
    </row>
    <row r="808">
      <c r="B808" s="462"/>
      <c r="C808" s="462"/>
      <c r="D808" s="462"/>
      <c r="E808" s="462"/>
      <c r="F808" s="462"/>
      <c r="G808" s="462"/>
      <c r="H808" s="462"/>
      <c r="I808" s="654"/>
      <c r="J808" s="650"/>
      <c r="K808" s="654"/>
      <c r="L808" s="654"/>
      <c r="M808" s="650"/>
      <c r="N808" s="650"/>
      <c r="O808" s="655"/>
      <c r="P808" s="655"/>
      <c r="Q808" s="655"/>
      <c r="R808" s="655"/>
      <c r="S808" s="655"/>
      <c r="T808" s="655"/>
      <c r="U808" s="655"/>
      <c r="V808" s="655"/>
      <c r="W808" s="655"/>
      <c r="X808" s="655"/>
      <c r="Y808" s="655"/>
      <c r="Z808" s="655"/>
      <c r="AA808" s="655"/>
      <c r="AB808" s="655"/>
      <c r="AC808" s="655"/>
      <c r="AD808" s="655"/>
    </row>
    <row r="809">
      <c r="B809" s="462"/>
      <c r="C809" s="462"/>
      <c r="D809" s="462"/>
      <c r="E809" s="462"/>
      <c r="F809" s="462"/>
      <c r="G809" s="462"/>
      <c r="H809" s="462"/>
      <c r="I809" s="654"/>
      <c r="J809" s="650"/>
      <c r="K809" s="654"/>
      <c r="L809" s="654"/>
      <c r="M809" s="650"/>
      <c r="N809" s="650"/>
      <c r="O809" s="655"/>
      <c r="P809" s="655"/>
      <c r="Q809" s="655"/>
      <c r="R809" s="655"/>
      <c r="S809" s="655"/>
      <c r="T809" s="655"/>
      <c r="U809" s="655"/>
      <c r="V809" s="655"/>
      <c r="W809" s="655"/>
      <c r="X809" s="655"/>
      <c r="Y809" s="655"/>
      <c r="Z809" s="655"/>
      <c r="AA809" s="655"/>
      <c r="AB809" s="655"/>
      <c r="AC809" s="655"/>
      <c r="AD809" s="655"/>
    </row>
    <row r="810">
      <c r="B810" s="462"/>
      <c r="C810" s="462"/>
      <c r="D810" s="462"/>
      <c r="E810" s="462"/>
      <c r="F810" s="462"/>
      <c r="G810" s="462"/>
      <c r="H810" s="462"/>
      <c r="I810" s="654"/>
      <c r="J810" s="650"/>
      <c r="K810" s="654"/>
      <c r="L810" s="654"/>
      <c r="M810" s="650"/>
      <c r="N810" s="650"/>
      <c r="O810" s="655"/>
      <c r="P810" s="655"/>
      <c r="Q810" s="655"/>
      <c r="R810" s="655"/>
      <c r="S810" s="655"/>
      <c r="T810" s="655"/>
      <c r="U810" s="655"/>
      <c r="V810" s="655"/>
      <c r="W810" s="655"/>
      <c r="X810" s="655"/>
      <c r="Y810" s="655"/>
      <c r="Z810" s="655"/>
      <c r="AA810" s="655"/>
      <c r="AB810" s="655"/>
      <c r="AC810" s="655"/>
      <c r="AD810" s="655"/>
    </row>
    <row r="811">
      <c r="B811" s="462"/>
      <c r="C811" s="462"/>
      <c r="D811" s="462"/>
      <c r="E811" s="462"/>
      <c r="F811" s="462"/>
      <c r="G811" s="462"/>
      <c r="H811" s="462"/>
      <c r="I811" s="654"/>
      <c r="J811" s="650"/>
      <c r="K811" s="654"/>
      <c r="L811" s="654"/>
      <c r="M811" s="650"/>
      <c r="N811" s="650"/>
      <c r="O811" s="655"/>
      <c r="P811" s="655"/>
      <c r="Q811" s="655"/>
      <c r="R811" s="655"/>
      <c r="S811" s="655"/>
      <c r="T811" s="655"/>
      <c r="U811" s="655"/>
      <c r="V811" s="655"/>
      <c r="W811" s="655"/>
      <c r="X811" s="655"/>
      <c r="Y811" s="655"/>
      <c r="Z811" s="655"/>
      <c r="AA811" s="655"/>
      <c r="AB811" s="655"/>
      <c r="AC811" s="655"/>
      <c r="AD811" s="655"/>
    </row>
    <row r="812">
      <c r="B812" s="462"/>
      <c r="C812" s="462"/>
      <c r="D812" s="462"/>
      <c r="E812" s="462"/>
      <c r="F812" s="462"/>
      <c r="G812" s="462"/>
      <c r="H812" s="462"/>
      <c r="I812" s="654"/>
      <c r="J812" s="650"/>
      <c r="K812" s="654"/>
      <c r="L812" s="654"/>
      <c r="M812" s="650"/>
      <c r="N812" s="650"/>
      <c r="O812" s="655"/>
      <c r="P812" s="655"/>
      <c r="Q812" s="655"/>
      <c r="R812" s="655"/>
      <c r="S812" s="655"/>
      <c r="T812" s="655"/>
      <c r="U812" s="655"/>
      <c r="V812" s="655"/>
      <c r="W812" s="655"/>
      <c r="X812" s="655"/>
      <c r="Y812" s="655"/>
      <c r="Z812" s="655"/>
      <c r="AA812" s="655"/>
      <c r="AB812" s="655"/>
      <c r="AC812" s="655"/>
      <c r="AD812" s="655"/>
    </row>
    <row r="813">
      <c r="B813" s="462"/>
      <c r="C813" s="462"/>
      <c r="D813" s="462"/>
      <c r="E813" s="462"/>
      <c r="F813" s="462"/>
      <c r="G813" s="462"/>
      <c r="H813" s="462"/>
      <c r="I813" s="654"/>
      <c r="J813" s="650"/>
      <c r="K813" s="654"/>
      <c r="L813" s="654"/>
      <c r="M813" s="650"/>
      <c r="N813" s="650"/>
      <c r="O813" s="655"/>
      <c r="P813" s="655"/>
      <c r="Q813" s="655"/>
      <c r="R813" s="655"/>
      <c r="S813" s="655"/>
      <c r="T813" s="655"/>
      <c r="U813" s="655"/>
      <c r="V813" s="655"/>
      <c r="W813" s="655"/>
      <c r="X813" s="655"/>
      <c r="Y813" s="655"/>
      <c r="Z813" s="655"/>
      <c r="AA813" s="655"/>
      <c r="AB813" s="655"/>
      <c r="AC813" s="655"/>
      <c r="AD813" s="655"/>
    </row>
    <row r="814">
      <c r="B814" s="462"/>
      <c r="C814" s="462"/>
      <c r="D814" s="462"/>
      <c r="E814" s="462"/>
      <c r="F814" s="462"/>
      <c r="G814" s="462"/>
      <c r="H814" s="462"/>
      <c r="I814" s="654"/>
      <c r="J814" s="650"/>
      <c r="K814" s="654"/>
      <c r="L814" s="654"/>
      <c r="M814" s="650"/>
      <c r="N814" s="650"/>
      <c r="O814" s="655"/>
      <c r="P814" s="655"/>
      <c r="Q814" s="655"/>
      <c r="R814" s="655"/>
      <c r="S814" s="655"/>
      <c r="T814" s="655"/>
      <c r="U814" s="655"/>
      <c r="V814" s="655"/>
      <c r="W814" s="655"/>
      <c r="X814" s="655"/>
      <c r="Y814" s="655"/>
      <c r="Z814" s="655"/>
      <c r="AA814" s="655"/>
      <c r="AB814" s="655"/>
      <c r="AC814" s="655"/>
      <c r="AD814" s="655"/>
    </row>
    <row r="815">
      <c r="B815" s="462"/>
      <c r="C815" s="462"/>
      <c r="D815" s="462"/>
      <c r="E815" s="462"/>
      <c r="F815" s="462"/>
      <c r="G815" s="462"/>
      <c r="H815" s="462"/>
      <c r="I815" s="654"/>
      <c r="J815" s="650"/>
      <c r="K815" s="654"/>
      <c r="L815" s="654"/>
      <c r="M815" s="650"/>
      <c r="N815" s="650"/>
      <c r="O815" s="655"/>
      <c r="P815" s="655"/>
      <c r="Q815" s="655"/>
      <c r="R815" s="655"/>
      <c r="S815" s="655"/>
      <c r="T815" s="655"/>
      <c r="U815" s="655"/>
      <c r="V815" s="655"/>
      <c r="W815" s="655"/>
      <c r="X815" s="655"/>
      <c r="Y815" s="655"/>
      <c r="Z815" s="655"/>
      <c r="AA815" s="655"/>
      <c r="AB815" s="655"/>
      <c r="AC815" s="655"/>
      <c r="AD815" s="655"/>
    </row>
    <row r="816">
      <c r="B816" s="462"/>
      <c r="C816" s="462"/>
      <c r="D816" s="462"/>
      <c r="E816" s="462"/>
      <c r="F816" s="462"/>
      <c r="G816" s="462"/>
      <c r="H816" s="462"/>
      <c r="I816" s="654"/>
      <c r="J816" s="650"/>
      <c r="K816" s="654"/>
      <c r="L816" s="654"/>
      <c r="M816" s="650"/>
      <c r="N816" s="650"/>
      <c r="O816" s="655"/>
      <c r="P816" s="655"/>
      <c r="Q816" s="655"/>
      <c r="R816" s="655"/>
      <c r="S816" s="655"/>
      <c r="T816" s="655"/>
      <c r="U816" s="655"/>
      <c r="V816" s="655"/>
      <c r="W816" s="655"/>
      <c r="X816" s="655"/>
      <c r="Y816" s="655"/>
      <c r="Z816" s="655"/>
      <c r="AA816" s="655"/>
      <c r="AB816" s="655"/>
      <c r="AC816" s="655"/>
      <c r="AD816" s="655"/>
    </row>
    <row r="817">
      <c r="B817" s="462"/>
      <c r="C817" s="462"/>
      <c r="D817" s="462"/>
      <c r="E817" s="462"/>
      <c r="F817" s="462"/>
      <c r="G817" s="462"/>
      <c r="H817" s="462"/>
      <c r="I817" s="654"/>
      <c r="J817" s="650"/>
      <c r="K817" s="654"/>
      <c r="L817" s="654"/>
      <c r="M817" s="650"/>
      <c r="N817" s="650"/>
      <c r="O817" s="655"/>
      <c r="P817" s="655"/>
      <c r="Q817" s="655"/>
      <c r="R817" s="655"/>
      <c r="S817" s="655"/>
      <c r="T817" s="655"/>
      <c r="U817" s="655"/>
      <c r="V817" s="655"/>
      <c r="W817" s="655"/>
      <c r="X817" s="655"/>
      <c r="Y817" s="655"/>
      <c r="Z817" s="655"/>
      <c r="AA817" s="655"/>
      <c r="AB817" s="655"/>
      <c r="AC817" s="655"/>
      <c r="AD817" s="655"/>
    </row>
    <row r="818">
      <c r="B818" s="462"/>
      <c r="C818" s="462"/>
      <c r="D818" s="462"/>
      <c r="E818" s="462"/>
      <c r="F818" s="462"/>
      <c r="G818" s="462"/>
      <c r="H818" s="462"/>
      <c r="I818" s="654"/>
      <c r="J818" s="650"/>
      <c r="K818" s="654"/>
      <c r="L818" s="654"/>
      <c r="M818" s="650"/>
      <c r="N818" s="650"/>
      <c r="O818" s="655"/>
      <c r="P818" s="655"/>
      <c r="Q818" s="655"/>
      <c r="R818" s="655"/>
      <c r="S818" s="655"/>
      <c r="T818" s="655"/>
      <c r="U818" s="655"/>
      <c r="V818" s="655"/>
      <c r="W818" s="655"/>
      <c r="X818" s="655"/>
      <c r="Y818" s="655"/>
      <c r="Z818" s="655"/>
      <c r="AA818" s="655"/>
      <c r="AB818" s="655"/>
      <c r="AC818" s="655"/>
      <c r="AD818" s="655"/>
    </row>
    <row r="819">
      <c r="B819" s="462"/>
      <c r="C819" s="462"/>
      <c r="D819" s="462"/>
      <c r="E819" s="462"/>
      <c r="F819" s="462"/>
      <c r="G819" s="462"/>
      <c r="H819" s="462"/>
      <c r="I819" s="654"/>
      <c r="J819" s="650"/>
      <c r="K819" s="654"/>
      <c r="L819" s="654"/>
      <c r="M819" s="650"/>
      <c r="N819" s="650"/>
      <c r="O819" s="655"/>
      <c r="P819" s="655"/>
      <c r="Q819" s="655"/>
      <c r="R819" s="655"/>
      <c r="S819" s="655"/>
      <c r="T819" s="655"/>
      <c r="U819" s="655"/>
      <c r="V819" s="655"/>
      <c r="W819" s="655"/>
      <c r="X819" s="655"/>
      <c r="Y819" s="655"/>
      <c r="Z819" s="655"/>
      <c r="AA819" s="655"/>
      <c r="AB819" s="655"/>
      <c r="AC819" s="655"/>
      <c r="AD819" s="655"/>
    </row>
    <row r="820">
      <c r="B820" s="462"/>
      <c r="C820" s="462"/>
      <c r="D820" s="462"/>
      <c r="E820" s="462"/>
      <c r="F820" s="462"/>
      <c r="G820" s="462"/>
      <c r="H820" s="462"/>
      <c r="I820" s="654"/>
      <c r="J820" s="650"/>
      <c r="K820" s="654"/>
      <c r="L820" s="654"/>
      <c r="M820" s="650"/>
      <c r="N820" s="650"/>
      <c r="O820" s="655"/>
      <c r="P820" s="655"/>
      <c r="Q820" s="655"/>
      <c r="R820" s="655"/>
      <c r="S820" s="655"/>
      <c r="T820" s="655"/>
      <c r="U820" s="655"/>
      <c r="V820" s="655"/>
      <c r="W820" s="655"/>
      <c r="X820" s="655"/>
      <c r="Y820" s="655"/>
      <c r="Z820" s="655"/>
      <c r="AA820" s="655"/>
      <c r="AB820" s="655"/>
      <c r="AC820" s="655"/>
      <c r="AD820" s="655"/>
    </row>
    <row r="821">
      <c r="B821" s="462"/>
      <c r="C821" s="462"/>
      <c r="D821" s="462"/>
      <c r="E821" s="462"/>
      <c r="F821" s="462"/>
      <c r="G821" s="462"/>
      <c r="H821" s="462"/>
      <c r="I821" s="654"/>
      <c r="J821" s="650"/>
      <c r="K821" s="654"/>
      <c r="L821" s="654"/>
      <c r="M821" s="650"/>
      <c r="N821" s="650"/>
      <c r="O821" s="655"/>
      <c r="P821" s="655"/>
      <c r="Q821" s="655"/>
      <c r="R821" s="655"/>
      <c r="S821" s="655"/>
      <c r="T821" s="655"/>
      <c r="U821" s="655"/>
      <c r="V821" s="655"/>
      <c r="W821" s="655"/>
      <c r="X821" s="655"/>
      <c r="Y821" s="655"/>
      <c r="Z821" s="655"/>
      <c r="AA821" s="655"/>
      <c r="AB821" s="655"/>
      <c r="AC821" s="655"/>
      <c r="AD821" s="655"/>
    </row>
    <row r="822">
      <c r="B822" s="462"/>
      <c r="C822" s="462"/>
      <c r="D822" s="462"/>
      <c r="E822" s="462"/>
      <c r="F822" s="462"/>
      <c r="G822" s="462"/>
      <c r="H822" s="462"/>
      <c r="I822" s="654"/>
      <c r="J822" s="650"/>
      <c r="K822" s="654"/>
      <c r="L822" s="654"/>
      <c r="M822" s="650"/>
      <c r="N822" s="650"/>
      <c r="O822" s="655"/>
      <c r="P822" s="655"/>
      <c r="Q822" s="655"/>
      <c r="R822" s="655"/>
      <c r="S822" s="655"/>
      <c r="T822" s="655"/>
      <c r="U822" s="655"/>
      <c r="V822" s="655"/>
      <c r="W822" s="655"/>
      <c r="X822" s="655"/>
      <c r="Y822" s="655"/>
      <c r="Z822" s="655"/>
      <c r="AA822" s="655"/>
      <c r="AB822" s="655"/>
      <c r="AC822" s="655"/>
      <c r="AD822" s="655"/>
    </row>
    <row r="823">
      <c r="B823" s="462"/>
      <c r="C823" s="462"/>
      <c r="D823" s="462"/>
      <c r="E823" s="462"/>
      <c r="F823" s="462"/>
      <c r="G823" s="462"/>
      <c r="H823" s="462"/>
      <c r="I823" s="654"/>
      <c r="J823" s="650"/>
      <c r="K823" s="654"/>
      <c r="L823" s="654"/>
      <c r="M823" s="650"/>
      <c r="N823" s="650"/>
      <c r="O823" s="655"/>
      <c r="P823" s="655"/>
      <c r="Q823" s="655"/>
      <c r="R823" s="655"/>
      <c r="S823" s="655"/>
      <c r="T823" s="655"/>
      <c r="U823" s="655"/>
      <c r="V823" s="655"/>
      <c r="W823" s="655"/>
      <c r="X823" s="655"/>
      <c r="Y823" s="655"/>
      <c r="Z823" s="655"/>
      <c r="AA823" s="655"/>
      <c r="AB823" s="655"/>
      <c r="AC823" s="655"/>
      <c r="AD823" s="655"/>
    </row>
    <row r="824">
      <c r="B824" s="462"/>
      <c r="C824" s="462"/>
      <c r="D824" s="462"/>
      <c r="E824" s="462"/>
      <c r="F824" s="462"/>
      <c r="G824" s="462"/>
      <c r="H824" s="462"/>
      <c r="I824" s="654"/>
      <c r="J824" s="650"/>
      <c r="K824" s="654"/>
      <c r="L824" s="654"/>
      <c r="M824" s="650"/>
      <c r="N824" s="650"/>
      <c r="O824" s="655"/>
      <c r="P824" s="655"/>
      <c r="Q824" s="655"/>
      <c r="R824" s="655"/>
      <c r="S824" s="655"/>
      <c r="T824" s="655"/>
      <c r="U824" s="655"/>
      <c r="V824" s="655"/>
      <c r="W824" s="655"/>
      <c r="X824" s="655"/>
      <c r="Y824" s="655"/>
      <c r="Z824" s="655"/>
      <c r="AA824" s="655"/>
      <c r="AB824" s="655"/>
      <c r="AC824" s="655"/>
      <c r="AD824" s="655"/>
    </row>
    <row r="825">
      <c r="B825" s="462"/>
      <c r="C825" s="462"/>
      <c r="D825" s="462"/>
      <c r="E825" s="462"/>
      <c r="F825" s="462"/>
      <c r="G825" s="462"/>
      <c r="H825" s="462"/>
      <c r="I825" s="654"/>
      <c r="J825" s="650"/>
      <c r="K825" s="654"/>
      <c r="L825" s="654"/>
      <c r="M825" s="650"/>
      <c r="N825" s="650"/>
      <c r="O825" s="655"/>
      <c r="P825" s="655"/>
      <c r="Q825" s="655"/>
      <c r="R825" s="655"/>
      <c r="S825" s="655"/>
      <c r="T825" s="655"/>
      <c r="U825" s="655"/>
      <c r="V825" s="655"/>
      <c r="W825" s="655"/>
      <c r="X825" s="655"/>
      <c r="Y825" s="655"/>
      <c r="Z825" s="655"/>
      <c r="AA825" s="655"/>
      <c r="AB825" s="655"/>
      <c r="AC825" s="655"/>
      <c r="AD825" s="655"/>
    </row>
    <row r="826">
      <c r="B826" s="462"/>
      <c r="C826" s="462"/>
      <c r="D826" s="462"/>
      <c r="E826" s="462"/>
      <c r="F826" s="462"/>
      <c r="G826" s="462"/>
      <c r="H826" s="462"/>
      <c r="I826" s="654"/>
      <c r="J826" s="650"/>
      <c r="K826" s="654"/>
      <c r="L826" s="654"/>
      <c r="M826" s="650"/>
      <c r="N826" s="650"/>
      <c r="O826" s="655"/>
      <c r="P826" s="655"/>
      <c r="Q826" s="655"/>
      <c r="R826" s="655"/>
      <c r="S826" s="655"/>
      <c r="T826" s="655"/>
      <c r="U826" s="655"/>
      <c r="V826" s="655"/>
      <c r="W826" s="655"/>
      <c r="X826" s="655"/>
      <c r="Y826" s="655"/>
      <c r="Z826" s="655"/>
      <c r="AA826" s="655"/>
      <c r="AB826" s="655"/>
      <c r="AC826" s="655"/>
      <c r="AD826" s="655"/>
    </row>
    <row r="827">
      <c r="B827" s="462"/>
      <c r="C827" s="462"/>
      <c r="D827" s="462"/>
      <c r="E827" s="462"/>
      <c r="F827" s="462"/>
      <c r="G827" s="462"/>
      <c r="H827" s="462"/>
      <c r="I827" s="654"/>
      <c r="J827" s="650"/>
      <c r="K827" s="654"/>
      <c r="L827" s="654"/>
      <c r="M827" s="650"/>
      <c r="N827" s="650"/>
      <c r="O827" s="655"/>
      <c r="P827" s="655"/>
      <c r="Q827" s="655"/>
      <c r="R827" s="655"/>
      <c r="S827" s="655"/>
      <c r="T827" s="655"/>
      <c r="U827" s="655"/>
      <c r="V827" s="655"/>
      <c r="W827" s="655"/>
      <c r="X827" s="655"/>
      <c r="Y827" s="655"/>
      <c r="Z827" s="655"/>
      <c r="AA827" s="655"/>
      <c r="AB827" s="655"/>
      <c r="AC827" s="655"/>
      <c r="AD827" s="655"/>
    </row>
    <row r="828">
      <c r="B828" s="462"/>
      <c r="C828" s="462"/>
      <c r="D828" s="462"/>
      <c r="E828" s="462"/>
      <c r="F828" s="462"/>
      <c r="G828" s="462"/>
      <c r="H828" s="462"/>
      <c r="I828" s="654"/>
      <c r="J828" s="650"/>
      <c r="K828" s="654"/>
      <c r="L828" s="654"/>
      <c r="M828" s="650"/>
      <c r="N828" s="650"/>
      <c r="O828" s="655"/>
      <c r="P828" s="655"/>
      <c r="Q828" s="655"/>
      <c r="R828" s="655"/>
      <c r="S828" s="655"/>
      <c r="T828" s="655"/>
      <c r="U828" s="655"/>
      <c r="V828" s="655"/>
      <c r="W828" s="655"/>
      <c r="X828" s="655"/>
      <c r="Y828" s="655"/>
      <c r="Z828" s="655"/>
      <c r="AA828" s="655"/>
      <c r="AB828" s="655"/>
      <c r="AC828" s="655"/>
      <c r="AD828" s="655"/>
    </row>
    <row r="829">
      <c r="B829" s="462"/>
      <c r="C829" s="462"/>
      <c r="D829" s="462"/>
      <c r="E829" s="462"/>
      <c r="F829" s="462"/>
      <c r="G829" s="462"/>
      <c r="H829" s="462"/>
      <c r="I829" s="654"/>
      <c r="J829" s="650"/>
      <c r="K829" s="654"/>
      <c r="L829" s="654"/>
      <c r="M829" s="650"/>
      <c r="N829" s="650"/>
      <c r="O829" s="655"/>
      <c r="P829" s="655"/>
      <c r="Q829" s="655"/>
      <c r="R829" s="655"/>
      <c r="S829" s="655"/>
      <c r="T829" s="655"/>
      <c r="U829" s="655"/>
      <c r="V829" s="655"/>
      <c r="W829" s="655"/>
      <c r="X829" s="655"/>
      <c r="Y829" s="655"/>
      <c r="Z829" s="655"/>
      <c r="AA829" s="655"/>
      <c r="AB829" s="655"/>
      <c r="AC829" s="655"/>
      <c r="AD829" s="655"/>
    </row>
    <row r="830">
      <c r="B830" s="462"/>
      <c r="C830" s="462"/>
      <c r="D830" s="462"/>
      <c r="E830" s="462"/>
      <c r="F830" s="462"/>
      <c r="G830" s="462"/>
      <c r="H830" s="462"/>
      <c r="I830" s="654"/>
      <c r="J830" s="650"/>
      <c r="K830" s="654"/>
      <c r="L830" s="654"/>
      <c r="M830" s="650"/>
      <c r="N830" s="650"/>
      <c r="O830" s="655"/>
      <c r="P830" s="655"/>
      <c r="Q830" s="655"/>
      <c r="R830" s="655"/>
      <c r="S830" s="655"/>
      <c r="T830" s="655"/>
      <c r="U830" s="655"/>
      <c r="V830" s="655"/>
      <c r="W830" s="655"/>
      <c r="X830" s="655"/>
      <c r="Y830" s="655"/>
      <c r="Z830" s="655"/>
      <c r="AA830" s="655"/>
      <c r="AB830" s="655"/>
      <c r="AC830" s="655"/>
      <c r="AD830" s="655"/>
    </row>
    <row r="831">
      <c r="B831" s="462"/>
      <c r="C831" s="462"/>
      <c r="D831" s="462"/>
      <c r="E831" s="462"/>
      <c r="F831" s="462"/>
      <c r="G831" s="462"/>
      <c r="H831" s="462"/>
      <c r="I831" s="654"/>
      <c r="J831" s="650"/>
      <c r="K831" s="654"/>
      <c r="L831" s="654"/>
      <c r="M831" s="650"/>
      <c r="N831" s="650"/>
      <c r="O831" s="655"/>
      <c r="P831" s="655"/>
      <c r="Q831" s="655"/>
      <c r="R831" s="655"/>
      <c r="S831" s="655"/>
      <c r="T831" s="655"/>
      <c r="U831" s="655"/>
      <c r="V831" s="655"/>
      <c r="W831" s="655"/>
      <c r="X831" s="655"/>
      <c r="Y831" s="655"/>
      <c r="Z831" s="655"/>
      <c r="AA831" s="655"/>
      <c r="AB831" s="655"/>
      <c r="AC831" s="655"/>
      <c r="AD831" s="655"/>
    </row>
    <row r="832">
      <c r="B832" s="462"/>
      <c r="C832" s="462"/>
      <c r="D832" s="462"/>
      <c r="E832" s="462"/>
      <c r="F832" s="462"/>
      <c r="G832" s="462"/>
      <c r="H832" s="462"/>
      <c r="I832" s="654"/>
      <c r="J832" s="650"/>
      <c r="K832" s="654"/>
      <c r="L832" s="654"/>
      <c r="M832" s="650"/>
      <c r="N832" s="650"/>
      <c r="O832" s="655"/>
      <c r="P832" s="655"/>
      <c r="Q832" s="655"/>
      <c r="R832" s="655"/>
      <c r="S832" s="655"/>
      <c r="T832" s="655"/>
      <c r="U832" s="655"/>
      <c r="V832" s="655"/>
      <c r="W832" s="655"/>
      <c r="X832" s="655"/>
      <c r="Y832" s="655"/>
      <c r="Z832" s="655"/>
      <c r="AA832" s="655"/>
      <c r="AB832" s="655"/>
      <c r="AC832" s="655"/>
      <c r="AD832" s="655"/>
    </row>
    <row r="833">
      <c r="B833" s="462"/>
      <c r="C833" s="462"/>
      <c r="D833" s="462"/>
      <c r="E833" s="462"/>
      <c r="F833" s="462"/>
      <c r="G833" s="462"/>
      <c r="H833" s="462"/>
      <c r="I833" s="654"/>
      <c r="J833" s="650"/>
      <c r="K833" s="654"/>
      <c r="L833" s="654"/>
      <c r="M833" s="650"/>
      <c r="N833" s="650"/>
      <c r="O833" s="655"/>
      <c r="P833" s="655"/>
      <c r="Q833" s="655"/>
      <c r="R833" s="655"/>
      <c r="S833" s="655"/>
      <c r="T833" s="655"/>
      <c r="U833" s="655"/>
      <c r="V833" s="655"/>
      <c r="W833" s="655"/>
      <c r="X833" s="655"/>
      <c r="Y833" s="655"/>
      <c r="Z833" s="655"/>
      <c r="AA833" s="655"/>
      <c r="AB833" s="655"/>
      <c r="AC833" s="655"/>
      <c r="AD833" s="655"/>
    </row>
    <row r="834">
      <c r="B834" s="462"/>
      <c r="C834" s="462"/>
      <c r="D834" s="462"/>
      <c r="E834" s="462"/>
      <c r="F834" s="462"/>
      <c r="G834" s="462"/>
      <c r="H834" s="462"/>
      <c r="I834" s="654"/>
      <c r="J834" s="650"/>
      <c r="K834" s="654"/>
      <c r="L834" s="654"/>
      <c r="M834" s="650"/>
      <c r="N834" s="650"/>
      <c r="O834" s="655"/>
      <c r="P834" s="655"/>
      <c r="Q834" s="655"/>
      <c r="R834" s="655"/>
      <c r="S834" s="655"/>
      <c r="T834" s="655"/>
      <c r="U834" s="655"/>
      <c r="V834" s="655"/>
      <c r="W834" s="655"/>
      <c r="X834" s="655"/>
      <c r="Y834" s="655"/>
      <c r="Z834" s="655"/>
      <c r="AA834" s="655"/>
      <c r="AB834" s="655"/>
      <c r="AC834" s="655"/>
      <c r="AD834" s="655"/>
    </row>
    <row r="835">
      <c r="B835" s="462"/>
      <c r="C835" s="462"/>
      <c r="D835" s="462"/>
      <c r="E835" s="462"/>
      <c r="F835" s="462"/>
      <c r="G835" s="462"/>
      <c r="H835" s="462"/>
      <c r="I835" s="654"/>
      <c r="J835" s="650"/>
      <c r="K835" s="654"/>
      <c r="L835" s="654"/>
      <c r="M835" s="650"/>
      <c r="N835" s="650"/>
      <c r="O835" s="655"/>
      <c r="P835" s="655"/>
      <c r="Q835" s="655"/>
      <c r="R835" s="655"/>
      <c r="S835" s="655"/>
      <c r="T835" s="655"/>
      <c r="U835" s="655"/>
      <c r="V835" s="655"/>
      <c r="W835" s="655"/>
      <c r="X835" s="655"/>
      <c r="Y835" s="655"/>
      <c r="Z835" s="655"/>
      <c r="AA835" s="655"/>
      <c r="AB835" s="655"/>
      <c r="AC835" s="655"/>
      <c r="AD835" s="655"/>
    </row>
    <row r="836">
      <c r="B836" s="462"/>
      <c r="C836" s="462"/>
      <c r="D836" s="462"/>
      <c r="E836" s="462"/>
      <c r="F836" s="462"/>
      <c r="G836" s="462"/>
      <c r="H836" s="462"/>
      <c r="I836" s="654"/>
      <c r="J836" s="650"/>
      <c r="K836" s="654"/>
      <c r="L836" s="654"/>
      <c r="M836" s="650"/>
      <c r="N836" s="650"/>
      <c r="O836" s="655"/>
      <c r="P836" s="655"/>
      <c r="Q836" s="655"/>
      <c r="R836" s="655"/>
      <c r="S836" s="655"/>
      <c r="T836" s="655"/>
      <c r="U836" s="655"/>
      <c r="V836" s="655"/>
      <c r="W836" s="655"/>
      <c r="X836" s="655"/>
      <c r="Y836" s="655"/>
      <c r="Z836" s="655"/>
      <c r="AA836" s="655"/>
      <c r="AB836" s="655"/>
      <c r="AC836" s="655"/>
      <c r="AD836" s="655"/>
    </row>
    <row r="837">
      <c r="B837" s="462"/>
      <c r="C837" s="462"/>
      <c r="D837" s="462"/>
      <c r="E837" s="462"/>
      <c r="F837" s="462"/>
      <c r="G837" s="462"/>
      <c r="H837" s="462"/>
      <c r="I837" s="654"/>
      <c r="J837" s="650"/>
      <c r="K837" s="654"/>
      <c r="L837" s="654"/>
      <c r="M837" s="650"/>
      <c r="N837" s="650"/>
      <c r="O837" s="655"/>
      <c r="P837" s="655"/>
      <c r="Q837" s="655"/>
      <c r="R837" s="655"/>
      <c r="S837" s="655"/>
      <c r="T837" s="655"/>
      <c r="U837" s="655"/>
      <c r="V837" s="655"/>
      <c r="W837" s="655"/>
      <c r="X837" s="655"/>
      <c r="Y837" s="655"/>
      <c r="Z837" s="655"/>
      <c r="AA837" s="655"/>
      <c r="AB837" s="655"/>
      <c r="AC837" s="655"/>
      <c r="AD837" s="655"/>
    </row>
    <row r="838">
      <c r="B838" s="462"/>
      <c r="C838" s="462"/>
      <c r="D838" s="462"/>
      <c r="E838" s="462"/>
      <c r="F838" s="462"/>
      <c r="G838" s="462"/>
      <c r="H838" s="462"/>
      <c r="I838" s="654"/>
      <c r="J838" s="650"/>
      <c r="K838" s="654"/>
      <c r="L838" s="654"/>
      <c r="M838" s="650"/>
      <c r="N838" s="650"/>
      <c r="O838" s="655"/>
      <c r="P838" s="655"/>
      <c r="Q838" s="655"/>
      <c r="R838" s="655"/>
      <c r="S838" s="655"/>
      <c r="T838" s="655"/>
      <c r="U838" s="655"/>
      <c r="V838" s="655"/>
      <c r="W838" s="655"/>
      <c r="X838" s="655"/>
      <c r="Y838" s="655"/>
      <c r="Z838" s="655"/>
      <c r="AA838" s="655"/>
      <c r="AB838" s="655"/>
      <c r="AC838" s="655"/>
      <c r="AD838" s="655"/>
    </row>
    <row r="839">
      <c r="B839" s="462"/>
      <c r="C839" s="462"/>
      <c r="D839" s="462"/>
      <c r="E839" s="462"/>
      <c r="F839" s="462"/>
      <c r="G839" s="462"/>
      <c r="H839" s="462"/>
      <c r="I839" s="654"/>
      <c r="J839" s="650"/>
      <c r="K839" s="654"/>
      <c r="L839" s="654"/>
      <c r="M839" s="650"/>
      <c r="N839" s="650"/>
      <c r="O839" s="655"/>
      <c r="P839" s="655"/>
      <c r="Q839" s="655"/>
      <c r="R839" s="655"/>
      <c r="S839" s="655"/>
      <c r="T839" s="655"/>
      <c r="U839" s="655"/>
      <c r="V839" s="655"/>
      <c r="W839" s="655"/>
      <c r="X839" s="655"/>
      <c r="Y839" s="655"/>
      <c r="Z839" s="655"/>
      <c r="AA839" s="655"/>
      <c r="AB839" s="655"/>
      <c r="AC839" s="655"/>
      <c r="AD839" s="655"/>
    </row>
    <row r="840">
      <c r="B840" s="462"/>
      <c r="C840" s="462"/>
      <c r="D840" s="462"/>
      <c r="E840" s="462"/>
      <c r="F840" s="462"/>
      <c r="G840" s="462"/>
      <c r="H840" s="462"/>
      <c r="I840" s="654"/>
      <c r="J840" s="650"/>
      <c r="K840" s="654"/>
      <c r="L840" s="654"/>
      <c r="M840" s="650"/>
      <c r="N840" s="650"/>
      <c r="O840" s="655"/>
      <c r="P840" s="655"/>
      <c r="Q840" s="655"/>
      <c r="R840" s="655"/>
      <c r="S840" s="655"/>
      <c r="T840" s="655"/>
      <c r="U840" s="655"/>
      <c r="V840" s="655"/>
      <c r="W840" s="655"/>
      <c r="X840" s="655"/>
      <c r="Y840" s="655"/>
      <c r="Z840" s="655"/>
      <c r="AA840" s="655"/>
      <c r="AB840" s="655"/>
      <c r="AC840" s="655"/>
      <c r="AD840" s="655"/>
    </row>
    <row r="841">
      <c r="B841" s="462"/>
      <c r="C841" s="462"/>
      <c r="D841" s="462"/>
      <c r="E841" s="462"/>
      <c r="F841" s="462"/>
      <c r="G841" s="462"/>
      <c r="H841" s="462"/>
      <c r="I841" s="654"/>
      <c r="J841" s="650"/>
      <c r="K841" s="654"/>
      <c r="L841" s="654"/>
      <c r="M841" s="650"/>
      <c r="N841" s="650"/>
      <c r="O841" s="655"/>
      <c r="P841" s="655"/>
      <c r="Q841" s="655"/>
      <c r="R841" s="655"/>
      <c r="S841" s="655"/>
      <c r="T841" s="655"/>
      <c r="U841" s="655"/>
      <c r="V841" s="655"/>
      <c r="W841" s="655"/>
      <c r="X841" s="655"/>
      <c r="Y841" s="655"/>
      <c r="Z841" s="655"/>
      <c r="AA841" s="655"/>
      <c r="AB841" s="655"/>
      <c r="AC841" s="655"/>
      <c r="AD841" s="655"/>
    </row>
    <row r="842">
      <c r="B842" s="462"/>
      <c r="C842" s="462"/>
      <c r="D842" s="462"/>
      <c r="E842" s="462"/>
      <c r="F842" s="462"/>
      <c r="G842" s="462"/>
      <c r="H842" s="462"/>
      <c r="I842" s="654"/>
      <c r="J842" s="650"/>
      <c r="K842" s="654"/>
      <c r="L842" s="654"/>
      <c r="M842" s="650"/>
      <c r="N842" s="650"/>
      <c r="O842" s="655"/>
      <c r="P842" s="655"/>
      <c r="Q842" s="655"/>
      <c r="R842" s="655"/>
      <c r="S842" s="655"/>
      <c r="T842" s="655"/>
      <c r="U842" s="655"/>
      <c r="V842" s="655"/>
      <c r="W842" s="655"/>
      <c r="X842" s="655"/>
      <c r="Y842" s="655"/>
      <c r="Z842" s="655"/>
      <c r="AA842" s="655"/>
      <c r="AB842" s="655"/>
      <c r="AC842" s="655"/>
      <c r="AD842" s="655"/>
    </row>
    <row r="843">
      <c r="B843" s="462"/>
      <c r="C843" s="462"/>
      <c r="D843" s="462"/>
      <c r="E843" s="462"/>
      <c r="F843" s="462"/>
      <c r="G843" s="462"/>
      <c r="H843" s="462"/>
      <c r="I843" s="654"/>
      <c r="J843" s="650"/>
      <c r="K843" s="654"/>
      <c r="L843" s="654"/>
      <c r="M843" s="650"/>
      <c r="N843" s="650"/>
      <c r="O843" s="655"/>
      <c r="P843" s="655"/>
      <c r="Q843" s="655"/>
      <c r="R843" s="655"/>
      <c r="S843" s="655"/>
      <c r="T843" s="655"/>
      <c r="U843" s="655"/>
      <c r="V843" s="655"/>
      <c r="W843" s="655"/>
      <c r="X843" s="655"/>
      <c r="Y843" s="655"/>
      <c r="Z843" s="655"/>
      <c r="AA843" s="655"/>
      <c r="AB843" s="655"/>
      <c r="AC843" s="655"/>
      <c r="AD843" s="655"/>
    </row>
    <row r="844">
      <c r="B844" s="462"/>
      <c r="C844" s="462"/>
      <c r="D844" s="462"/>
      <c r="E844" s="462"/>
      <c r="F844" s="462"/>
      <c r="G844" s="462"/>
      <c r="H844" s="462"/>
      <c r="I844" s="654"/>
      <c r="J844" s="650"/>
      <c r="K844" s="654"/>
      <c r="L844" s="654"/>
      <c r="M844" s="650"/>
      <c r="N844" s="650"/>
      <c r="O844" s="655"/>
      <c r="P844" s="655"/>
      <c r="Q844" s="655"/>
      <c r="R844" s="655"/>
      <c r="S844" s="655"/>
      <c r="T844" s="655"/>
      <c r="U844" s="655"/>
      <c r="V844" s="655"/>
      <c r="W844" s="655"/>
      <c r="X844" s="655"/>
      <c r="Y844" s="655"/>
      <c r="Z844" s="655"/>
      <c r="AA844" s="655"/>
      <c r="AB844" s="655"/>
      <c r="AC844" s="655"/>
      <c r="AD844" s="655"/>
    </row>
    <row r="845">
      <c r="B845" s="462"/>
      <c r="C845" s="462"/>
      <c r="D845" s="462"/>
      <c r="E845" s="462"/>
      <c r="F845" s="462"/>
      <c r="G845" s="462"/>
      <c r="H845" s="462"/>
      <c r="I845" s="654"/>
      <c r="J845" s="650"/>
      <c r="K845" s="654"/>
      <c r="L845" s="654"/>
      <c r="M845" s="650"/>
      <c r="N845" s="650"/>
      <c r="O845" s="655"/>
      <c r="P845" s="655"/>
      <c r="Q845" s="655"/>
      <c r="R845" s="655"/>
      <c r="S845" s="655"/>
      <c r="T845" s="655"/>
      <c r="U845" s="655"/>
      <c r="V845" s="655"/>
      <c r="W845" s="655"/>
      <c r="X845" s="655"/>
      <c r="Y845" s="655"/>
      <c r="Z845" s="655"/>
      <c r="AA845" s="655"/>
      <c r="AB845" s="655"/>
      <c r="AC845" s="655"/>
      <c r="AD845" s="655"/>
    </row>
    <row r="846">
      <c r="B846" s="462"/>
      <c r="C846" s="462"/>
      <c r="D846" s="462"/>
      <c r="E846" s="462"/>
      <c r="F846" s="462"/>
      <c r="G846" s="462"/>
      <c r="H846" s="462"/>
      <c r="I846" s="654"/>
      <c r="J846" s="650"/>
      <c r="K846" s="654"/>
      <c r="L846" s="654"/>
      <c r="M846" s="650"/>
      <c r="N846" s="650"/>
      <c r="O846" s="655"/>
      <c r="P846" s="655"/>
      <c r="Q846" s="655"/>
      <c r="R846" s="655"/>
      <c r="S846" s="655"/>
      <c r="T846" s="655"/>
      <c r="U846" s="655"/>
      <c r="V846" s="655"/>
      <c r="W846" s="655"/>
      <c r="X846" s="655"/>
      <c r="Y846" s="655"/>
      <c r="Z846" s="655"/>
      <c r="AA846" s="655"/>
      <c r="AB846" s="655"/>
      <c r="AC846" s="655"/>
      <c r="AD846" s="655"/>
    </row>
    <row r="847">
      <c r="B847" s="462"/>
      <c r="C847" s="462"/>
      <c r="D847" s="462"/>
      <c r="E847" s="462"/>
      <c r="F847" s="462"/>
      <c r="G847" s="462"/>
      <c r="H847" s="462"/>
      <c r="I847" s="654"/>
      <c r="J847" s="650"/>
      <c r="K847" s="654"/>
      <c r="L847" s="654"/>
      <c r="M847" s="650"/>
      <c r="N847" s="650"/>
      <c r="O847" s="655"/>
      <c r="P847" s="655"/>
      <c r="Q847" s="655"/>
      <c r="R847" s="655"/>
      <c r="S847" s="655"/>
      <c r="T847" s="655"/>
      <c r="U847" s="655"/>
      <c r="V847" s="655"/>
      <c r="W847" s="655"/>
      <c r="X847" s="655"/>
      <c r="Y847" s="655"/>
      <c r="Z847" s="655"/>
      <c r="AA847" s="655"/>
      <c r="AB847" s="655"/>
      <c r="AC847" s="655"/>
      <c r="AD847" s="655"/>
    </row>
    <row r="848">
      <c r="B848" s="462"/>
      <c r="C848" s="462"/>
      <c r="D848" s="462"/>
      <c r="E848" s="462"/>
      <c r="F848" s="462"/>
      <c r="G848" s="462"/>
      <c r="H848" s="462"/>
      <c r="I848" s="654"/>
      <c r="J848" s="650"/>
      <c r="K848" s="654"/>
      <c r="L848" s="654"/>
      <c r="M848" s="650"/>
      <c r="N848" s="650"/>
      <c r="O848" s="655"/>
      <c r="P848" s="655"/>
      <c r="Q848" s="655"/>
      <c r="R848" s="655"/>
      <c r="S848" s="655"/>
      <c r="T848" s="655"/>
      <c r="U848" s="655"/>
      <c r="V848" s="655"/>
      <c r="W848" s="655"/>
      <c r="X848" s="655"/>
      <c r="Y848" s="655"/>
      <c r="Z848" s="655"/>
      <c r="AA848" s="655"/>
      <c r="AB848" s="655"/>
      <c r="AC848" s="655"/>
      <c r="AD848" s="655"/>
    </row>
    <row r="849">
      <c r="B849" s="462"/>
      <c r="C849" s="462"/>
      <c r="D849" s="462"/>
      <c r="E849" s="462"/>
      <c r="F849" s="462"/>
      <c r="G849" s="462"/>
      <c r="H849" s="462"/>
      <c r="I849" s="654"/>
      <c r="J849" s="650"/>
      <c r="K849" s="654"/>
      <c r="L849" s="654"/>
      <c r="M849" s="650"/>
      <c r="N849" s="650"/>
      <c r="O849" s="655"/>
      <c r="P849" s="655"/>
      <c r="Q849" s="655"/>
      <c r="R849" s="655"/>
      <c r="S849" s="655"/>
      <c r="T849" s="655"/>
      <c r="U849" s="655"/>
      <c r="V849" s="655"/>
      <c r="W849" s="655"/>
      <c r="X849" s="655"/>
      <c r="Y849" s="655"/>
      <c r="Z849" s="655"/>
      <c r="AA849" s="655"/>
      <c r="AB849" s="655"/>
      <c r="AC849" s="655"/>
      <c r="AD849" s="655"/>
    </row>
    <row r="850">
      <c r="B850" s="462"/>
      <c r="C850" s="462"/>
      <c r="D850" s="462"/>
      <c r="E850" s="462"/>
      <c r="F850" s="462"/>
      <c r="G850" s="462"/>
      <c r="H850" s="462"/>
      <c r="I850" s="654"/>
      <c r="J850" s="650"/>
      <c r="K850" s="654"/>
      <c r="L850" s="654"/>
      <c r="M850" s="650"/>
      <c r="N850" s="650"/>
      <c r="O850" s="655"/>
      <c r="P850" s="655"/>
      <c r="Q850" s="655"/>
      <c r="R850" s="655"/>
      <c r="S850" s="655"/>
      <c r="T850" s="655"/>
      <c r="U850" s="655"/>
      <c r="V850" s="655"/>
      <c r="W850" s="655"/>
      <c r="X850" s="655"/>
      <c r="Y850" s="655"/>
      <c r="Z850" s="655"/>
      <c r="AA850" s="655"/>
      <c r="AB850" s="655"/>
      <c r="AC850" s="655"/>
      <c r="AD850" s="655"/>
    </row>
    <row r="851">
      <c r="B851" s="462"/>
      <c r="C851" s="462"/>
      <c r="D851" s="462"/>
      <c r="E851" s="462"/>
      <c r="F851" s="462"/>
      <c r="G851" s="462"/>
      <c r="H851" s="462"/>
      <c r="I851" s="654"/>
      <c r="J851" s="650"/>
      <c r="K851" s="654"/>
      <c r="L851" s="654"/>
      <c r="M851" s="650"/>
      <c r="N851" s="650"/>
      <c r="O851" s="655"/>
      <c r="P851" s="655"/>
      <c r="Q851" s="655"/>
      <c r="R851" s="655"/>
      <c r="S851" s="655"/>
      <c r="T851" s="655"/>
      <c r="U851" s="655"/>
      <c r="V851" s="655"/>
      <c r="W851" s="655"/>
      <c r="X851" s="655"/>
      <c r="Y851" s="655"/>
      <c r="Z851" s="655"/>
      <c r="AA851" s="655"/>
      <c r="AB851" s="655"/>
      <c r="AC851" s="655"/>
      <c r="AD851" s="655"/>
    </row>
    <row r="852">
      <c r="B852" s="462"/>
      <c r="C852" s="462"/>
      <c r="D852" s="462"/>
      <c r="E852" s="462"/>
      <c r="F852" s="462"/>
      <c r="G852" s="462"/>
      <c r="H852" s="462"/>
      <c r="I852" s="654"/>
      <c r="J852" s="650"/>
      <c r="K852" s="654"/>
      <c r="L852" s="654"/>
      <c r="M852" s="650"/>
      <c r="N852" s="650"/>
      <c r="O852" s="655"/>
      <c r="P852" s="655"/>
      <c r="Q852" s="655"/>
      <c r="R852" s="655"/>
      <c r="S852" s="655"/>
      <c r="T852" s="655"/>
      <c r="U852" s="655"/>
      <c r="V852" s="655"/>
      <c r="W852" s="655"/>
      <c r="X852" s="655"/>
      <c r="Y852" s="655"/>
      <c r="Z852" s="655"/>
      <c r="AA852" s="655"/>
      <c r="AB852" s="655"/>
      <c r="AC852" s="655"/>
      <c r="AD852" s="655"/>
    </row>
    <row r="853">
      <c r="B853" s="462"/>
      <c r="C853" s="462"/>
      <c r="D853" s="462"/>
      <c r="E853" s="462"/>
      <c r="F853" s="462"/>
      <c r="G853" s="462"/>
      <c r="H853" s="462"/>
      <c r="I853" s="654"/>
      <c r="J853" s="650"/>
      <c r="K853" s="654"/>
      <c r="L853" s="654"/>
      <c r="M853" s="650"/>
      <c r="N853" s="650"/>
      <c r="O853" s="655"/>
      <c r="P853" s="655"/>
      <c r="Q853" s="655"/>
      <c r="R853" s="655"/>
      <c r="S853" s="655"/>
      <c r="T853" s="655"/>
      <c r="U853" s="655"/>
      <c r="V853" s="655"/>
      <c r="W853" s="655"/>
      <c r="X853" s="655"/>
      <c r="Y853" s="655"/>
      <c r="Z853" s="655"/>
      <c r="AA853" s="655"/>
      <c r="AB853" s="655"/>
      <c r="AC853" s="655"/>
      <c r="AD853" s="655"/>
    </row>
    <row r="854">
      <c r="B854" s="462"/>
      <c r="C854" s="462"/>
      <c r="D854" s="462"/>
      <c r="E854" s="462"/>
      <c r="F854" s="462"/>
      <c r="G854" s="462"/>
      <c r="H854" s="462"/>
      <c r="I854" s="654"/>
      <c r="J854" s="650"/>
      <c r="K854" s="654"/>
      <c r="L854" s="654"/>
      <c r="M854" s="650"/>
      <c r="N854" s="650"/>
      <c r="O854" s="655"/>
      <c r="P854" s="655"/>
      <c r="Q854" s="655"/>
      <c r="R854" s="655"/>
      <c r="S854" s="655"/>
      <c r="T854" s="655"/>
      <c r="U854" s="655"/>
      <c r="V854" s="655"/>
      <c r="W854" s="655"/>
      <c r="X854" s="655"/>
      <c r="Y854" s="655"/>
      <c r="Z854" s="655"/>
      <c r="AA854" s="655"/>
      <c r="AB854" s="655"/>
      <c r="AC854" s="655"/>
      <c r="AD854" s="655"/>
    </row>
    <row r="855">
      <c r="B855" s="462"/>
      <c r="C855" s="462"/>
      <c r="D855" s="462"/>
      <c r="E855" s="462"/>
      <c r="F855" s="462"/>
      <c r="G855" s="462"/>
      <c r="H855" s="462"/>
      <c r="I855" s="654"/>
      <c r="J855" s="650"/>
      <c r="K855" s="654"/>
      <c r="L855" s="654"/>
      <c r="M855" s="650"/>
      <c r="N855" s="650"/>
      <c r="O855" s="655"/>
      <c r="P855" s="655"/>
      <c r="Q855" s="655"/>
      <c r="R855" s="655"/>
      <c r="S855" s="655"/>
      <c r="T855" s="655"/>
      <c r="U855" s="655"/>
      <c r="V855" s="655"/>
      <c r="W855" s="655"/>
      <c r="X855" s="655"/>
      <c r="Y855" s="655"/>
      <c r="Z855" s="655"/>
      <c r="AA855" s="655"/>
      <c r="AB855" s="655"/>
      <c r="AC855" s="655"/>
      <c r="AD855" s="655"/>
    </row>
    <row r="856">
      <c r="B856" s="462"/>
      <c r="C856" s="462"/>
      <c r="D856" s="462"/>
      <c r="E856" s="462"/>
      <c r="F856" s="462"/>
      <c r="G856" s="462"/>
      <c r="H856" s="462"/>
      <c r="I856" s="654"/>
      <c r="J856" s="650"/>
      <c r="K856" s="654"/>
      <c r="L856" s="654"/>
      <c r="M856" s="650"/>
      <c r="N856" s="650"/>
      <c r="O856" s="655"/>
      <c r="P856" s="655"/>
      <c r="Q856" s="655"/>
      <c r="R856" s="655"/>
      <c r="S856" s="655"/>
      <c r="T856" s="655"/>
      <c r="U856" s="655"/>
      <c r="V856" s="655"/>
      <c r="W856" s="655"/>
      <c r="X856" s="655"/>
      <c r="Y856" s="655"/>
      <c r="Z856" s="655"/>
      <c r="AA856" s="655"/>
      <c r="AB856" s="655"/>
      <c r="AC856" s="655"/>
      <c r="AD856" s="655"/>
    </row>
    <row r="857">
      <c r="B857" s="462"/>
      <c r="C857" s="462"/>
      <c r="D857" s="462"/>
      <c r="E857" s="462"/>
      <c r="F857" s="462"/>
      <c r="G857" s="462"/>
      <c r="H857" s="462"/>
      <c r="I857" s="654"/>
      <c r="J857" s="650"/>
      <c r="K857" s="654"/>
      <c r="L857" s="654"/>
      <c r="M857" s="650"/>
      <c r="N857" s="650"/>
      <c r="O857" s="655"/>
      <c r="P857" s="655"/>
      <c r="Q857" s="655"/>
      <c r="R857" s="655"/>
      <c r="S857" s="655"/>
      <c r="T857" s="655"/>
      <c r="U857" s="655"/>
      <c r="V857" s="655"/>
      <c r="W857" s="655"/>
      <c r="X857" s="655"/>
      <c r="Y857" s="655"/>
      <c r="Z857" s="655"/>
      <c r="AA857" s="655"/>
      <c r="AB857" s="655"/>
      <c r="AC857" s="655"/>
      <c r="AD857" s="655"/>
    </row>
    <row r="858">
      <c r="B858" s="462"/>
      <c r="C858" s="462"/>
      <c r="D858" s="462"/>
      <c r="E858" s="462"/>
      <c r="F858" s="462"/>
      <c r="G858" s="462"/>
      <c r="H858" s="462"/>
      <c r="I858" s="654"/>
      <c r="J858" s="650"/>
      <c r="K858" s="654"/>
      <c r="L858" s="654"/>
      <c r="M858" s="650"/>
      <c r="N858" s="650"/>
      <c r="O858" s="655"/>
      <c r="P858" s="655"/>
      <c r="Q858" s="655"/>
      <c r="R858" s="655"/>
      <c r="S858" s="655"/>
      <c r="T858" s="655"/>
      <c r="U858" s="655"/>
      <c r="V858" s="655"/>
      <c r="W858" s="655"/>
      <c r="X858" s="655"/>
      <c r="Y858" s="655"/>
      <c r="Z858" s="655"/>
      <c r="AA858" s="655"/>
      <c r="AB858" s="655"/>
      <c r="AC858" s="655"/>
      <c r="AD858" s="655"/>
    </row>
    <row r="859">
      <c r="B859" s="462"/>
      <c r="C859" s="462"/>
      <c r="D859" s="462"/>
      <c r="E859" s="462"/>
      <c r="F859" s="462"/>
      <c r="G859" s="462"/>
      <c r="H859" s="462"/>
      <c r="I859" s="654"/>
      <c r="J859" s="650"/>
      <c r="K859" s="654"/>
      <c r="L859" s="654"/>
      <c r="M859" s="650"/>
      <c r="N859" s="650"/>
      <c r="O859" s="655"/>
      <c r="P859" s="655"/>
      <c r="Q859" s="655"/>
      <c r="R859" s="655"/>
      <c r="S859" s="655"/>
      <c r="T859" s="655"/>
      <c r="U859" s="655"/>
      <c r="V859" s="655"/>
      <c r="W859" s="655"/>
      <c r="X859" s="655"/>
      <c r="Y859" s="655"/>
      <c r="Z859" s="655"/>
      <c r="AA859" s="655"/>
      <c r="AB859" s="655"/>
      <c r="AC859" s="655"/>
      <c r="AD859" s="655"/>
    </row>
    <row r="860">
      <c r="B860" s="462"/>
      <c r="C860" s="462"/>
      <c r="D860" s="462"/>
      <c r="E860" s="462"/>
      <c r="F860" s="462"/>
      <c r="G860" s="462"/>
      <c r="H860" s="462"/>
      <c r="I860" s="654"/>
      <c r="J860" s="650"/>
      <c r="K860" s="654"/>
      <c r="L860" s="654"/>
      <c r="M860" s="650"/>
      <c r="N860" s="650"/>
      <c r="O860" s="655"/>
      <c r="P860" s="655"/>
      <c r="Q860" s="655"/>
      <c r="R860" s="655"/>
      <c r="S860" s="655"/>
      <c r="T860" s="655"/>
      <c r="U860" s="655"/>
      <c r="V860" s="655"/>
      <c r="W860" s="655"/>
      <c r="X860" s="655"/>
      <c r="Y860" s="655"/>
      <c r="Z860" s="655"/>
      <c r="AA860" s="655"/>
      <c r="AB860" s="655"/>
      <c r="AC860" s="655"/>
      <c r="AD860" s="655"/>
    </row>
    <row r="861">
      <c r="B861" s="462"/>
      <c r="C861" s="462"/>
      <c r="D861" s="462"/>
      <c r="E861" s="462"/>
      <c r="F861" s="462"/>
      <c r="G861" s="462"/>
      <c r="H861" s="462"/>
      <c r="I861" s="654"/>
      <c r="J861" s="650"/>
      <c r="K861" s="654"/>
      <c r="L861" s="654"/>
      <c r="M861" s="650"/>
      <c r="N861" s="650"/>
      <c r="O861" s="655"/>
      <c r="P861" s="655"/>
      <c r="Q861" s="655"/>
      <c r="R861" s="655"/>
      <c r="S861" s="655"/>
      <c r="T861" s="655"/>
      <c r="U861" s="655"/>
      <c r="V861" s="655"/>
      <c r="W861" s="655"/>
      <c r="X861" s="655"/>
      <c r="Y861" s="655"/>
      <c r="Z861" s="655"/>
      <c r="AA861" s="655"/>
      <c r="AB861" s="655"/>
      <c r="AC861" s="655"/>
      <c r="AD861" s="655"/>
    </row>
    <row r="862">
      <c r="B862" s="462"/>
      <c r="C862" s="462"/>
      <c r="D862" s="462"/>
      <c r="E862" s="462"/>
      <c r="F862" s="462"/>
      <c r="G862" s="462"/>
      <c r="H862" s="462"/>
      <c r="I862" s="654"/>
      <c r="J862" s="650"/>
      <c r="K862" s="654"/>
      <c r="L862" s="654"/>
      <c r="M862" s="650"/>
      <c r="N862" s="650"/>
      <c r="O862" s="655"/>
      <c r="P862" s="655"/>
      <c r="Q862" s="655"/>
      <c r="R862" s="655"/>
      <c r="S862" s="655"/>
      <c r="T862" s="655"/>
      <c r="U862" s="655"/>
      <c r="V862" s="655"/>
      <c r="W862" s="655"/>
      <c r="X862" s="655"/>
      <c r="Y862" s="655"/>
      <c r="Z862" s="655"/>
      <c r="AA862" s="655"/>
      <c r="AB862" s="655"/>
      <c r="AC862" s="655"/>
      <c r="AD862" s="655"/>
    </row>
    <row r="863">
      <c r="B863" s="462"/>
      <c r="C863" s="462"/>
      <c r="D863" s="462"/>
      <c r="E863" s="462"/>
      <c r="F863" s="462"/>
      <c r="G863" s="462"/>
      <c r="H863" s="462"/>
      <c r="I863" s="654"/>
      <c r="J863" s="650"/>
      <c r="K863" s="654"/>
      <c r="L863" s="654"/>
      <c r="M863" s="650"/>
      <c r="N863" s="650"/>
      <c r="O863" s="655"/>
      <c r="P863" s="655"/>
      <c r="Q863" s="655"/>
      <c r="R863" s="655"/>
      <c r="S863" s="655"/>
      <c r="T863" s="655"/>
      <c r="U863" s="655"/>
      <c r="V863" s="655"/>
      <c r="W863" s="655"/>
      <c r="X863" s="655"/>
      <c r="Y863" s="655"/>
      <c r="Z863" s="655"/>
      <c r="AA863" s="655"/>
      <c r="AB863" s="655"/>
      <c r="AC863" s="655"/>
      <c r="AD863" s="655"/>
    </row>
    <row r="864">
      <c r="B864" s="462"/>
      <c r="C864" s="462"/>
      <c r="D864" s="462"/>
      <c r="E864" s="462"/>
      <c r="F864" s="462"/>
      <c r="G864" s="462"/>
      <c r="H864" s="462"/>
      <c r="I864" s="654"/>
      <c r="J864" s="650"/>
      <c r="K864" s="654"/>
      <c r="L864" s="654"/>
      <c r="M864" s="650"/>
      <c r="N864" s="650"/>
      <c r="O864" s="655"/>
      <c r="P864" s="655"/>
      <c r="Q864" s="655"/>
      <c r="R864" s="655"/>
      <c r="S864" s="655"/>
      <c r="T864" s="655"/>
      <c r="U864" s="655"/>
      <c r="V864" s="655"/>
      <c r="W864" s="655"/>
      <c r="X864" s="655"/>
      <c r="Y864" s="655"/>
      <c r="Z864" s="655"/>
      <c r="AA864" s="655"/>
      <c r="AB864" s="655"/>
      <c r="AC864" s="655"/>
      <c r="AD864" s="655"/>
    </row>
    <row r="865">
      <c r="B865" s="462"/>
      <c r="C865" s="462"/>
      <c r="D865" s="462"/>
      <c r="E865" s="462"/>
      <c r="F865" s="462"/>
      <c r="G865" s="462"/>
      <c r="H865" s="462"/>
      <c r="I865" s="654"/>
      <c r="J865" s="650"/>
      <c r="K865" s="654"/>
      <c r="L865" s="654"/>
      <c r="M865" s="650"/>
      <c r="N865" s="650"/>
      <c r="O865" s="655"/>
      <c r="P865" s="655"/>
      <c r="Q865" s="655"/>
      <c r="R865" s="655"/>
      <c r="S865" s="655"/>
      <c r="T865" s="655"/>
      <c r="U865" s="655"/>
      <c r="V865" s="655"/>
      <c r="W865" s="655"/>
      <c r="X865" s="655"/>
      <c r="Y865" s="655"/>
      <c r="Z865" s="655"/>
      <c r="AA865" s="655"/>
      <c r="AB865" s="655"/>
      <c r="AC865" s="655"/>
      <c r="AD865" s="655"/>
    </row>
    <row r="866">
      <c r="B866" s="462"/>
      <c r="C866" s="462"/>
      <c r="D866" s="462"/>
      <c r="E866" s="462"/>
      <c r="F866" s="462"/>
      <c r="G866" s="462"/>
      <c r="H866" s="462"/>
      <c r="I866" s="654"/>
      <c r="J866" s="650"/>
      <c r="K866" s="654"/>
      <c r="L866" s="654"/>
      <c r="M866" s="650"/>
      <c r="N866" s="650"/>
      <c r="O866" s="655"/>
      <c r="P866" s="655"/>
      <c r="Q866" s="655"/>
      <c r="R866" s="655"/>
      <c r="S866" s="655"/>
      <c r="T866" s="655"/>
      <c r="U866" s="655"/>
      <c r="V866" s="655"/>
      <c r="W866" s="655"/>
      <c r="X866" s="655"/>
      <c r="Y866" s="655"/>
      <c r="Z866" s="655"/>
      <c r="AA866" s="655"/>
      <c r="AB866" s="655"/>
      <c r="AC866" s="655"/>
      <c r="AD866" s="655"/>
    </row>
    <row r="867">
      <c r="B867" s="462"/>
      <c r="C867" s="462"/>
      <c r="D867" s="462"/>
      <c r="E867" s="462"/>
      <c r="F867" s="462"/>
      <c r="G867" s="462"/>
      <c r="H867" s="462"/>
      <c r="I867" s="654"/>
      <c r="J867" s="650"/>
      <c r="K867" s="654"/>
      <c r="L867" s="654"/>
      <c r="M867" s="650"/>
      <c r="N867" s="650"/>
      <c r="O867" s="655"/>
      <c r="P867" s="655"/>
      <c r="Q867" s="655"/>
      <c r="R867" s="655"/>
      <c r="S867" s="655"/>
      <c r="T867" s="655"/>
      <c r="U867" s="655"/>
      <c r="V867" s="655"/>
      <c r="W867" s="655"/>
      <c r="X867" s="655"/>
      <c r="Y867" s="655"/>
      <c r="Z867" s="655"/>
      <c r="AA867" s="655"/>
      <c r="AB867" s="655"/>
      <c r="AC867" s="655"/>
      <c r="AD867" s="655"/>
    </row>
    <row r="868">
      <c r="B868" s="462"/>
      <c r="C868" s="462"/>
      <c r="D868" s="462"/>
      <c r="E868" s="462"/>
      <c r="F868" s="462"/>
      <c r="G868" s="462"/>
      <c r="H868" s="462"/>
      <c r="I868" s="654"/>
      <c r="J868" s="650"/>
      <c r="K868" s="654"/>
      <c r="L868" s="654"/>
      <c r="M868" s="650"/>
      <c r="N868" s="650"/>
      <c r="O868" s="655"/>
      <c r="P868" s="655"/>
      <c r="Q868" s="655"/>
      <c r="R868" s="655"/>
      <c r="S868" s="655"/>
      <c r="T868" s="655"/>
      <c r="U868" s="655"/>
      <c r="V868" s="655"/>
      <c r="W868" s="655"/>
      <c r="X868" s="655"/>
      <c r="Y868" s="655"/>
      <c r="Z868" s="655"/>
      <c r="AA868" s="655"/>
      <c r="AB868" s="655"/>
      <c r="AC868" s="655"/>
      <c r="AD868" s="655"/>
    </row>
    <row r="869">
      <c r="B869" s="462"/>
      <c r="C869" s="462"/>
      <c r="D869" s="462"/>
      <c r="E869" s="462"/>
      <c r="F869" s="462"/>
      <c r="G869" s="462"/>
      <c r="H869" s="462"/>
      <c r="I869" s="654"/>
      <c r="J869" s="650"/>
      <c r="K869" s="654"/>
      <c r="L869" s="654"/>
      <c r="M869" s="650"/>
      <c r="N869" s="650"/>
      <c r="O869" s="655"/>
      <c r="P869" s="655"/>
      <c r="Q869" s="655"/>
      <c r="R869" s="655"/>
      <c r="S869" s="655"/>
      <c r="T869" s="655"/>
      <c r="U869" s="655"/>
      <c r="V869" s="655"/>
      <c r="W869" s="655"/>
      <c r="X869" s="655"/>
      <c r="Y869" s="655"/>
      <c r="Z869" s="655"/>
      <c r="AA869" s="655"/>
      <c r="AB869" s="655"/>
      <c r="AC869" s="655"/>
      <c r="AD869" s="655"/>
    </row>
    <row r="870">
      <c r="B870" s="462"/>
      <c r="C870" s="462"/>
      <c r="D870" s="462"/>
      <c r="E870" s="462"/>
      <c r="F870" s="462"/>
      <c r="G870" s="462"/>
      <c r="H870" s="462"/>
      <c r="I870" s="654"/>
      <c r="J870" s="650"/>
      <c r="K870" s="654"/>
      <c r="L870" s="654"/>
      <c r="M870" s="650"/>
      <c r="N870" s="650"/>
      <c r="O870" s="655"/>
      <c r="P870" s="655"/>
      <c r="Q870" s="655"/>
      <c r="R870" s="655"/>
      <c r="S870" s="655"/>
      <c r="T870" s="655"/>
      <c r="U870" s="655"/>
      <c r="V870" s="655"/>
      <c r="W870" s="655"/>
      <c r="X870" s="655"/>
      <c r="Y870" s="655"/>
      <c r="Z870" s="655"/>
      <c r="AA870" s="655"/>
      <c r="AB870" s="655"/>
      <c r="AC870" s="655"/>
      <c r="AD870" s="655"/>
    </row>
    <row r="871">
      <c r="B871" s="462"/>
      <c r="C871" s="462"/>
      <c r="D871" s="462"/>
      <c r="E871" s="462"/>
      <c r="F871" s="462"/>
      <c r="G871" s="462"/>
      <c r="H871" s="462"/>
      <c r="I871" s="654"/>
      <c r="J871" s="650"/>
      <c r="K871" s="654"/>
      <c r="L871" s="654"/>
      <c r="M871" s="650"/>
      <c r="N871" s="650"/>
      <c r="O871" s="655"/>
      <c r="P871" s="655"/>
      <c r="Q871" s="655"/>
      <c r="R871" s="655"/>
      <c r="S871" s="655"/>
      <c r="T871" s="655"/>
      <c r="U871" s="655"/>
      <c r="V871" s="655"/>
      <c r="W871" s="655"/>
      <c r="X871" s="655"/>
      <c r="Y871" s="655"/>
      <c r="Z871" s="655"/>
      <c r="AA871" s="655"/>
      <c r="AB871" s="655"/>
      <c r="AC871" s="655"/>
      <c r="AD871" s="655"/>
    </row>
    <row r="872">
      <c r="B872" s="462"/>
      <c r="C872" s="462"/>
      <c r="D872" s="462"/>
      <c r="E872" s="462"/>
      <c r="F872" s="462"/>
      <c r="G872" s="462"/>
      <c r="H872" s="462"/>
      <c r="I872" s="654"/>
      <c r="J872" s="650"/>
      <c r="K872" s="654"/>
      <c r="L872" s="654"/>
      <c r="M872" s="650"/>
      <c r="N872" s="650"/>
      <c r="O872" s="655"/>
      <c r="P872" s="655"/>
      <c r="Q872" s="655"/>
      <c r="R872" s="655"/>
      <c r="S872" s="655"/>
      <c r="T872" s="655"/>
      <c r="U872" s="655"/>
      <c r="V872" s="655"/>
      <c r="W872" s="655"/>
      <c r="X872" s="655"/>
      <c r="Y872" s="655"/>
      <c r="Z872" s="655"/>
      <c r="AA872" s="655"/>
      <c r="AB872" s="655"/>
      <c r="AC872" s="655"/>
      <c r="AD872" s="655"/>
    </row>
    <row r="873">
      <c r="B873" s="462"/>
      <c r="C873" s="462"/>
      <c r="D873" s="462"/>
      <c r="E873" s="462"/>
      <c r="F873" s="462"/>
      <c r="G873" s="462"/>
      <c r="H873" s="462"/>
      <c r="I873" s="654"/>
      <c r="J873" s="650"/>
      <c r="K873" s="654"/>
      <c r="L873" s="654"/>
      <c r="M873" s="650"/>
      <c r="N873" s="650"/>
      <c r="O873" s="655"/>
      <c r="P873" s="655"/>
      <c r="Q873" s="655"/>
      <c r="R873" s="655"/>
      <c r="S873" s="655"/>
      <c r="T873" s="655"/>
      <c r="U873" s="655"/>
      <c r="V873" s="655"/>
      <c r="W873" s="655"/>
      <c r="X873" s="655"/>
      <c r="Y873" s="655"/>
      <c r="Z873" s="655"/>
      <c r="AA873" s="655"/>
      <c r="AB873" s="655"/>
      <c r="AC873" s="655"/>
      <c r="AD873" s="655"/>
    </row>
    <row r="874">
      <c r="B874" s="462"/>
      <c r="C874" s="462"/>
      <c r="D874" s="462"/>
      <c r="E874" s="462"/>
      <c r="F874" s="462"/>
      <c r="G874" s="462"/>
      <c r="H874" s="462"/>
      <c r="I874" s="654"/>
      <c r="J874" s="650"/>
      <c r="K874" s="654"/>
      <c r="L874" s="654"/>
      <c r="M874" s="650"/>
      <c r="N874" s="650"/>
      <c r="O874" s="655"/>
      <c r="P874" s="655"/>
      <c r="Q874" s="655"/>
      <c r="R874" s="655"/>
      <c r="S874" s="655"/>
      <c r="T874" s="655"/>
      <c r="U874" s="655"/>
      <c r="V874" s="655"/>
      <c r="W874" s="655"/>
      <c r="X874" s="655"/>
      <c r="Y874" s="655"/>
      <c r="Z874" s="655"/>
      <c r="AA874" s="655"/>
      <c r="AB874" s="655"/>
      <c r="AC874" s="655"/>
      <c r="AD874" s="655"/>
    </row>
    <row r="875">
      <c r="B875" s="462"/>
      <c r="C875" s="462"/>
      <c r="D875" s="462"/>
      <c r="E875" s="462"/>
      <c r="F875" s="462"/>
      <c r="G875" s="462"/>
      <c r="H875" s="462"/>
      <c r="I875" s="654"/>
      <c r="J875" s="650"/>
      <c r="K875" s="654"/>
      <c r="L875" s="654"/>
      <c r="M875" s="650"/>
      <c r="N875" s="650"/>
      <c r="O875" s="655"/>
      <c r="P875" s="655"/>
      <c r="Q875" s="655"/>
      <c r="R875" s="655"/>
      <c r="S875" s="655"/>
      <c r="T875" s="655"/>
      <c r="U875" s="655"/>
      <c r="V875" s="655"/>
      <c r="W875" s="655"/>
      <c r="X875" s="655"/>
      <c r="Y875" s="655"/>
      <c r="Z875" s="655"/>
      <c r="AA875" s="655"/>
      <c r="AB875" s="655"/>
      <c r="AC875" s="655"/>
      <c r="AD875" s="655"/>
    </row>
    <row r="876">
      <c r="B876" s="462"/>
      <c r="C876" s="462"/>
      <c r="D876" s="462"/>
      <c r="E876" s="462"/>
      <c r="F876" s="462"/>
      <c r="G876" s="462"/>
      <c r="H876" s="462"/>
      <c r="I876" s="654"/>
      <c r="J876" s="650"/>
      <c r="K876" s="654"/>
      <c r="L876" s="654"/>
      <c r="M876" s="650"/>
      <c r="N876" s="650"/>
      <c r="O876" s="655"/>
      <c r="P876" s="655"/>
      <c r="Q876" s="655"/>
      <c r="R876" s="655"/>
      <c r="S876" s="655"/>
      <c r="T876" s="655"/>
      <c r="U876" s="655"/>
      <c r="V876" s="655"/>
      <c r="W876" s="655"/>
      <c r="X876" s="655"/>
      <c r="Y876" s="655"/>
      <c r="Z876" s="655"/>
      <c r="AA876" s="655"/>
      <c r="AB876" s="655"/>
      <c r="AC876" s="655"/>
      <c r="AD876" s="655"/>
    </row>
    <row r="877">
      <c r="B877" s="462"/>
      <c r="C877" s="462"/>
      <c r="D877" s="462"/>
      <c r="E877" s="462"/>
      <c r="F877" s="462"/>
      <c r="G877" s="462"/>
      <c r="H877" s="462"/>
      <c r="I877" s="654"/>
      <c r="J877" s="650"/>
      <c r="K877" s="654"/>
      <c r="L877" s="654"/>
      <c r="M877" s="650"/>
      <c r="N877" s="650"/>
      <c r="O877" s="655"/>
      <c r="P877" s="655"/>
      <c r="Q877" s="655"/>
      <c r="R877" s="655"/>
      <c r="S877" s="655"/>
      <c r="T877" s="655"/>
      <c r="U877" s="655"/>
      <c r="V877" s="655"/>
      <c r="W877" s="655"/>
      <c r="X877" s="655"/>
      <c r="Y877" s="655"/>
      <c r="Z877" s="655"/>
      <c r="AA877" s="655"/>
      <c r="AB877" s="655"/>
      <c r="AC877" s="655"/>
      <c r="AD877" s="655"/>
    </row>
    <row r="878">
      <c r="B878" s="462"/>
      <c r="C878" s="462"/>
      <c r="D878" s="462"/>
      <c r="E878" s="462"/>
      <c r="F878" s="462"/>
      <c r="G878" s="462"/>
      <c r="H878" s="462"/>
      <c r="I878" s="654"/>
      <c r="J878" s="650"/>
      <c r="K878" s="654"/>
      <c r="L878" s="654"/>
      <c r="M878" s="650"/>
      <c r="N878" s="650"/>
      <c r="O878" s="655"/>
      <c r="P878" s="655"/>
      <c r="Q878" s="655"/>
      <c r="R878" s="655"/>
      <c r="S878" s="655"/>
      <c r="T878" s="655"/>
      <c r="U878" s="655"/>
      <c r="V878" s="655"/>
      <c r="W878" s="655"/>
      <c r="X878" s="655"/>
      <c r="Y878" s="655"/>
      <c r="Z878" s="655"/>
      <c r="AA878" s="655"/>
      <c r="AB878" s="655"/>
      <c r="AC878" s="655"/>
      <c r="AD878" s="655"/>
    </row>
    <row r="879">
      <c r="B879" s="462"/>
      <c r="C879" s="462"/>
      <c r="D879" s="462"/>
      <c r="E879" s="462"/>
      <c r="F879" s="462"/>
      <c r="G879" s="462"/>
      <c r="H879" s="462"/>
      <c r="I879" s="654"/>
      <c r="J879" s="650"/>
      <c r="K879" s="654"/>
      <c r="L879" s="654"/>
      <c r="M879" s="650"/>
      <c r="N879" s="650"/>
      <c r="O879" s="655"/>
      <c r="P879" s="655"/>
      <c r="Q879" s="655"/>
      <c r="R879" s="655"/>
      <c r="S879" s="655"/>
      <c r="T879" s="655"/>
      <c r="U879" s="655"/>
      <c r="V879" s="655"/>
      <c r="W879" s="655"/>
      <c r="X879" s="655"/>
      <c r="Y879" s="655"/>
      <c r="Z879" s="655"/>
      <c r="AA879" s="655"/>
      <c r="AB879" s="655"/>
      <c r="AC879" s="655"/>
      <c r="AD879" s="655"/>
    </row>
    <row r="880">
      <c r="B880" s="462"/>
      <c r="C880" s="462"/>
      <c r="D880" s="462"/>
      <c r="E880" s="462"/>
      <c r="F880" s="462"/>
      <c r="G880" s="462"/>
      <c r="H880" s="462"/>
      <c r="I880" s="654"/>
      <c r="J880" s="650"/>
      <c r="K880" s="654"/>
      <c r="L880" s="654"/>
      <c r="M880" s="650"/>
      <c r="N880" s="650"/>
      <c r="O880" s="655"/>
      <c r="P880" s="655"/>
      <c r="Q880" s="655"/>
      <c r="R880" s="655"/>
      <c r="S880" s="655"/>
      <c r="T880" s="655"/>
      <c r="U880" s="655"/>
      <c r="V880" s="655"/>
      <c r="W880" s="655"/>
      <c r="X880" s="655"/>
      <c r="Y880" s="655"/>
      <c r="Z880" s="655"/>
      <c r="AA880" s="655"/>
      <c r="AB880" s="655"/>
      <c r="AC880" s="655"/>
      <c r="AD880" s="655"/>
    </row>
    <row r="881">
      <c r="B881" s="462"/>
      <c r="C881" s="462"/>
      <c r="D881" s="462"/>
      <c r="E881" s="462"/>
      <c r="F881" s="462"/>
      <c r="G881" s="462"/>
      <c r="H881" s="462"/>
      <c r="I881" s="654"/>
      <c r="J881" s="650"/>
      <c r="K881" s="654"/>
      <c r="L881" s="654"/>
      <c r="M881" s="650"/>
      <c r="N881" s="650"/>
      <c r="O881" s="655"/>
      <c r="P881" s="655"/>
      <c r="Q881" s="655"/>
      <c r="R881" s="655"/>
      <c r="S881" s="655"/>
      <c r="T881" s="655"/>
      <c r="U881" s="655"/>
      <c r="V881" s="655"/>
      <c r="W881" s="655"/>
      <c r="X881" s="655"/>
      <c r="Y881" s="655"/>
      <c r="Z881" s="655"/>
      <c r="AA881" s="655"/>
      <c r="AB881" s="655"/>
      <c r="AC881" s="655"/>
      <c r="AD881" s="655"/>
    </row>
    <row r="882">
      <c r="B882" s="462"/>
      <c r="C882" s="462"/>
      <c r="D882" s="462"/>
      <c r="E882" s="462"/>
      <c r="F882" s="462"/>
      <c r="G882" s="462"/>
      <c r="H882" s="462"/>
      <c r="I882" s="654"/>
      <c r="J882" s="650"/>
      <c r="K882" s="654"/>
      <c r="L882" s="654"/>
      <c r="M882" s="650"/>
      <c r="N882" s="650"/>
      <c r="O882" s="655"/>
      <c r="P882" s="655"/>
      <c r="Q882" s="655"/>
      <c r="R882" s="655"/>
      <c r="S882" s="655"/>
      <c r="T882" s="655"/>
      <c r="U882" s="655"/>
      <c r="V882" s="655"/>
      <c r="W882" s="655"/>
      <c r="X882" s="655"/>
      <c r="Y882" s="655"/>
      <c r="Z882" s="655"/>
      <c r="AA882" s="655"/>
      <c r="AB882" s="655"/>
      <c r="AC882" s="655"/>
      <c r="AD882" s="655"/>
    </row>
    <row r="883">
      <c r="B883" s="462"/>
      <c r="C883" s="462"/>
      <c r="D883" s="462"/>
      <c r="E883" s="462"/>
      <c r="F883" s="462"/>
      <c r="G883" s="462"/>
      <c r="H883" s="462"/>
      <c r="I883" s="654"/>
      <c r="J883" s="650"/>
      <c r="K883" s="654"/>
      <c r="L883" s="654"/>
      <c r="M883" s="650"/>
      <c r="N883" s="650"/>
      <c r="O883" s="655"/>
      <c r="P883" s="655"/>
      <c r="Q883" s="655"/>
      <c r="R883" s="655"/>
      <c r="S883" s="655"/>
      <c r="T883" s="655"/>
      <c r="U883" s="655"/>
      <c r="V883" s="655"/>
      <c r="W883" s="655"/>
      <c r="X883" s="655"/>
      <c r="Y883" s="655"/>
      <c r="Z883" s="655"/>
      <c r="AA883" s="655"/>
      <c r="AB883" s="655"/>
      <c r="AC883" s="655"/>
      <c r="AD883" s="655"/>
    </row>
    <row r="884">
      <c r="B884" s="462"/>
      <c r="C884" s="462"/>
      <c r="D884" s="462"/>
      <c r="E884" s="462"/>
      <c r="F884" s="462"/>
      <c r="G884" s="462"/>
      <c r="H884" s="462"/>
      <c r="I884" s="654"/>
      <c r="J884" s="650"/>
      <c r="K884" s="654"/>
      <c r="L884" s="654"/>
      <c r="M884" s="650"/>
      <c r="N884" s="650"/>
      <c r="O884" s="655"/>
      <c r="P884" s="655"/>
      <c r="Q884" s="655"/>
      <c r="R884" s="655"/>
      <c r="S884" s="655"/>
      <c r="T884" s="655"/>
      <c r="U884" s="655"/>
      <c r="V884" s="655"/>
      <c r="W884" s="655"/>
      <c r="X884" s="655"/>
      <c r="Y884" s="655"/>
      <c r="Z884" s="655"/>
      <c r="AA884" s="655"/>
      <c r="AB884" s="655"/>
      <c r="AC884" s="655"/>
      <c r="AD884" s="655"/>
    </row>
    <row r="885">
      <c r="B885" s="462"/>
      <c r="C885" s="462"/>
      <c r="D885" s="462"/>
      <c r="E885" s="462"/>
      <c r="F885" s="462"/>
      <c r="G885" s="462"/>
      <c r="H885" s="462"/>
      <c r="I885" s="654"/>
      <c r="J885" s="650"/>
      <c r="K885" s="654"/>
      <c r="L885" s="654"/>
      <c r="M885" s="650"/>
      <c r="N885" s="650"/>
      <c r="O885" s="655"/>
      <c r="P885" s="655"/>
      <c r="Q885" s="655"/>
      <c r="R885" s="655"/>
      <c r="S885" s="655"/>
      <c r="T885" s="655"/>
      <c r="U885" s="655"/>
      <c r="V885" s="655"/>
      <c r="W885" s="655"/>
      <c r="X885" s="655"/>
      <c r="Y885" s="655"/>
      <c r="Z885" s="655"/>
      <c r="AA885" s="655"/>
      <c r="AB885" s="655"/>
      <c r="AC885" s="655"/>
      <c r="AD885" s="655"/>
    </row>
    <row r="886">
      <c r="B886" s="462"/>
      <c r="C886" s="462"/>
      <c r="D886" s="462"/>
      <c r="E886" s="462"/>
      <c r="F886" s="462"/>
      <c r="G886" s="462"/>
      <c r="H886" s="462"/>
      <c r="I886" s="654"/>
      <c r="J886" s="650"/>
      <c r="K886" s="654"/>
      <c r="L886" s="654"/>
      <c r="M886" s="650"/>
      <c r="N886" s="650"/>
      <c r="O886" s="655"/>
      <c r="P886" s="655"/>
      <c r="Q886" s="655"/>
      <c r="R886" s="655"/>
      <c r="S886" s="655"/>
      <c r="T886" s="655"/>
      <c r="U886" s="655"/>
      <c r="V886" s="655"/>
      <c r="W886" s="655"/>
      <c r="X886" s="655"/>
      <c r="Y886" s="655"/>
      <c r="Z886" s="655"/>
      <c r="AA886" s="655"/>
      <c r="AB886" s="655"/>
      <c r="AC886" s="655"/>
      <c r="AD886" s="655"/>
    </row>
    <row r="887">
      <c r="B887" s="462"/>
      <c r="C887" s="462"/>
      <c r="D887" s="462"/>
      <c r="E887" s="462"/>
      <c r="F887" s="462"/>
      <c r="G887" s="462"/>
      <c r="H887" s="462"/>
      <c r="I887" s="654"/>
      <c r="J887" s="650"/>
      <c r="K887" s="654"/>
      <c r="L887" s="654"/>
      <c r="M887" s="650"/>
      <c r="N887" s="650"/>
      <c r="O887" s="655"/>
      <c r="P887" s="655"/>
      <c r="Q887" s="655"/>
      <c r="R887" s="655"/>
      <c r="S887" s="655"/>
      <c r="T887" s="655"/>
      <c r="U887" s="655"/>
      <c r="V887" s="655"/>
      <c r="W887" s="655"/>
      <c r="X887" s="655"/>
      <c r="Y887" s="655"/>
      <c r="Z887" s="655"/>
      <c r="AA887" s="655"/>
      <c r="AB887" s="655"/>
      <c r="AC887" s="655"/>
      <c r="AD887" s="655"/>
    </row>
    <row r="888">
      <c r="B888" s="462"/>
      <c r="C888" s="462"/>
      <c r="D888" s="462"/>
      <c r="E888" s="462"/>
      <c r="F888" s="462"/>
      <c r="G888" s="462"/>
      <c r="H888" s="462"/>
      <c r="I888" s="654"/>
      <c r="J888" s="650"/>
      <c r="K888" s="654"/>
      <c r="L888" s="654"/>
      <c r="M888" s="650"/>
      <c r="N888" s="650"/>
      <c r="O888" s="655"/>
      <c r="P888" s="655"/>
      <c r="Q888" s="655"/>
      <c r="R888" s="655"/>
      <c r="S888" s="655"/>
      <c r="T888" s="655"/>
      <c r="U888" s="655"/>
      <c r="V888" s="655"/>
      <c r="W888" s="655"/>
      <c r="X888" s="655"/>
      <c r="Y888" s="655"/>
      <c r="Z888" s="655"/>
      <c r="AA888" s="655"/>
      <c r="AB888" s="655"/>
      <c r="AC888" s="655"/>
      <c r="AD888" s="655"/>
    </row>
    <row r="889">
      <c r="B889" s="462"/>
      <c r="C889" s="462"/>
      <c r="D889" s="462"/>
      <c r="E889" s="462"/>
      <c r="F889" s="462"/>
      <c r="G889" s="462"/>
      <c r="H889" s="462"/>
      <c r="I889" s="654"/>
      <c r="J889" s="650"/>
      <c r="K889" s="654"/>
      <c r="L889" s="654"/>
      <c r="M889" s="650"/>
      <c r="N889" s="650"/>
      <c r="O889" s="655"/>
      <c r="P889" s="655"/>
      <c r="Q889" s="655"/>
      <c r="R889" s="655"/>
      <c r="S889" s="655"/>
      <c r="T889" s="655"/>
      <c r="U889" s="655"/>
      <c r="V889" s="655"/>
      <c r="W889" s="655"/>
      <c r="X889" s="655"/>
      <c r="Y889" s="655"/>
      <c r="Z889" s="655"/>
      <c r="AA889" s="655"/>
      <c r="AB889" s="655"/>
      <c r="AC889" s="655"/>
      <c r="AD889" s="655"/>
    </row>
    <row r="890">
      <c r="B890" s="462"/>
      <c r="C890" s="462"/>
      <c r="D890" s="462"/>
      <c r="E890" s="462"/>
      <c r="F890" s="462"/>
      <c r="G890" s="462"/>
      <c r="H890" s="462"/>
      <c r="I890" s="654"/>
      <c r="J890" s="650"/>
      <c r="K890" s="654"/>
      <c r="L890" s="654"/>
      <c r="M890" s="650"/>
      <c r="N890" s="650"/>
      <c r="O890" s="655"/>
      <c r="P890" s="655"/>
      <c r="Q890" s="655"/>
      <c r="R890" s="655"/>
      <c r="S890" s="655"/>
      <c r="T890" s="655"/>
      <c r="U890" s="655"/>
      <c r="V890" s="655"/>
      <c r="W890" s="655"/>
      <c r="X890" s="655"/>
      <c r="Y890" s="655"/>
      <c r="Z890" s="655"/>
      <c r="AA890" s="655"/>
      <c r="AB890" s="655"/>
      <c r="AC890" s="655"/>
      <c r="AD890" s="655"/>
    </row>
    <row r="891">
      <c r="B891" s="462"/>
      <c r="C891" s="462"/>
      <c r="D891" s="462"/>
      <c r="E891" s="462"/>
      <c r="F891" s="462"/>
      <c r="G891" s="462"/>
      <c r="H891" s="462"/>
      <c r="I891" s="654"/>
      <c r="J891" s="650"/>
      <c r="K891" s="654"/>
      <c r="L891" s="654"/>
      <c r="M891" s="650"/>
      <c r="N891" s="650"/>
      <c r="O891" s="655"/>
      <c r="P891" s="655"/>
      <c r="Q891" s="655"/>
      <c r="R891" s="655"/>
      <c r="S891" s="655"/>
      <c r="T891" s="655"/>
      <c r="U891" s="655"/>
      <c r="V891" s="655"/>
      <c r="W891" s="655"/>
      <c r="X891" s="655"/>
      <c r="Y891" s="655"/>
      <c r="Z891" s="655"/>
      <c r="AA891" s="655"/>
      <c r="AB891" s="655"/>
      <c r="AC891" s="655"/>
      <c r="AD891" s="655"/>
    </row>
    <row r="892">
      <c r="B892" s="462"/>
      <c r="C892" s="462"/>
      <c r="D892" s="462"/>
      <c r="E892" s="462"/>
      <c r="F892" s="462"/>
      <c r="G892" s="462"/>
      <c r="H892" s="462"/>
      <c r="I892" s="654"/>
      <c r="J892" s="650"/>
      <c r="K892" s="654"/>
      <c r="L892" s="654"/>
      <c r="M892" s="650"/>
      <c r="N892" s="650"/>
      <c r="O892" s="655"/>
      <c r="P892" s="655"/>
      <c r="Q892" s="655"/>
      <c r="R892" s="655"/>
      <c r="S892" s="655"/>
      <c r="T892" s="655"/>
      <c r="U892" s="655"/>
      <c r="V892" s="655"/>
      <c r="W892" s="655"/>
      <c r="X892" s="655"/>
      <c r="Y892" s="655"/>
      <c r="Z892" s="655"/>
      <c r="AA892" s="655"/>
      <c r="AB892" s="655"/>
      <c r="AC892" s="655"/>
      <c r="AD892" s="655"/>
    </row>
    <row r="893">
      <c r="B893" s="462"/>
      <c r="C893" s="462"/>
      <c r="D893" s="462"/>
      <c r="E893" s="462"/>
      <c r="F893" s="462"/>
      <c r="G893" s="462"/>
      <c r="H893" s="462"/>
      <c r="I893" s="654"/>
      <c r="J893" s="650"/>
      <c r="K893" s="654"/>
      <c r="L893" s="654"/>
      <c r="M893" s="650"/>
      <c r="N893" s="650"/>
      <c r="O893" s="655"/>
      <c r="P893" s="655"/>
      <c r="Q893" s="655"/>
      <c r="R893" s="655"/>
      <c r="S893" s="655"/>
      <c r="T893" s="655"/>
      <c r="U893" s="655"/>
      <c r="V893" s="655"/>
      <c r="W893" s="655"/>
      <c r="X893" s="655"/>
      <c r="Y893" s="655"/>
      <c r="Z893" s="655"/>
      <c r="AA893" s="655"/>
      <c r="AB893" s="655"/>
      <c r="AC893" s="655"/>
      <c r="AD893" s="655"/>
    </row>
    <row r="894">
      <c r="B894" s="462"/>
      <c r="C894" s="462"/>
      <c r="D894" s="462"/>
      <c r="E894" s="462"/>
      <c r="F894" s="462"/>
      <c r="G894" s="462"/>
      <c r="H894" s="462"/>
      <c r="I894" s="654"/>
      <c r="J894" s="650"/>
      <c r="K894" s="654"/>
      <c r="L894" s="654"/>
      <c r="M894" s="650"/>
      <c r="N894" s="650"/>
      <c r="O894" s="655"/>
      <c r="P894" s="655"/>
      <c r="Q894" s="655"/>
      <c r="R894" s="655"/>
      <c r="S894" s="655"/>
      <c r="T894" s="655"/>
      <c r="U894" s="655"/>
      <c r="V894" s="655"/>
      <c r="W894" s="655"/>
      <c r="X894" s="655"/>
      <c r="Y894" s="655"/>
      <c r="Z894" s="655"/>
      <c r="AA894" s="655"/>
      <c r="AB894" s="655"/>
      <c r="AC894" s="655"/>
      <c r="AD894" s="655"/>
    </row>
    <row r="895">
      <c r="B895" s="462"/>
      <c r="C895" s="462"/>
      <c r="D895" s="462"/>
      <c r="E895" s="462"/>
      <c r="F895" s="462"/>
      <c r="G895" s="462"/>
      <c r="H895" s="462"/>
      <c r="I895" s="654"/>
      <c r="J895" s="650"/>
      <c r="K895" s="654"/>
      <c r="L895" s="654"/>
      <c r="M895" s="650"/>
      <c r="N895" s="650"/>
      <c r="O895" s="655"/>
      <c r="P895" s="655"/>
      <c r="Q895" s="655"/>
      <c r="R895" s="655"/>
      <c r="S895" s="655"/>
      <c r="T895" s="655"/>
      <c r="U895" s="655"/>
      <c r="V895" s="655"/>
      <c r="W895" s="655"/>
      <c r="X895" s="655"/>
      <c r="Y895" s="655"/>
      <c r="Z895" s="655"/>
      <c r="AA895" s="655"/>
      <c r="AB895" s="655"/>
      <c r="AC895" s="655"/>
      <c r="AD895" s="655"/>
    </row>
    <row r="896">
      <c r="B896" s="462"/>
      <c r="C896" s="462"/>
      <c r="D896" s="462"/>
      <c r="E896" s="462"/>
      <c r="F896" s="462"/>
      <c r="G896" s="462"/>
      <c r="H896" s="462"/>
      <c r="I896" s="654"/>
      <c r="J896" s="650"/>
      <c r="K896" s="654"/>
      <c r="L896" s="654"/>
      <c r="M896" s="650"/>
      <c r="N896" s="650"/>
      <c r="O896" s="655"/>
      <c r="P896" s="655"/>
      <c r="Q896" s="655"/>
      <c r="R896" s="655"/>
      <c r="S896" s="655"/>
      <c r="T896" s="655"/>
      <c r="U896" s="655"/>
      <c r="V896" s="655"/>
      <c r="W896" s="655"/>
      <c r="X896" s="655"/>
      <c r="Y896" s="655"/>
      <c r="Z896" s="655"/>
      <c r="AA896" s="655"/>
      <c r="AB896" s="655"/>
      <c r="AC896" s="655"/>
      <c r="AD896" s="655"/>
    </row>
    <row r="897">
      <c r="B897" s="462"/>
      <c r="C897" s="462"/>
      <c r="D897" s="462"/>
      <c r="E897" s="462"/>
      <c r="F897" s="462"/>
      <c r="G897" s="462"/>
      <c r="H897" s="462"/>
      <c r="I897" s="654"/>
      <c r="J897" s="650"/>
      <c r="K897" s="654"/>
      <c r="L897" s="654"/>
      <c r="M897" s="650"/>
      <c r="N897" s="650"/>
      <c r="O897" s="655"/>
      <c r="P897" s="655"/>
      <c r="Q897" s="655"/>
      <c r="R897" s="655"/>
      <c r="S897" s="655"/>
      <c r="T897" s="655"/>
      <c r="U897" s="655"/>
      <c r="V897" s="655"/>
      <c r="W897" s="655"/>
      <c r="X897" s="655"/>
      <c r="Y897" s="655"/>
      <c r="Z897" s="655"/>
      <c r="AA897" s="655"/>
      <c r="AB897" s="655"/>
      <c r="AC897" s="655"/>
      <c r="AD897" s="655"/>
    </row>
    <row r="898">
      <c r="B898" s="462"/>
      <c r="C898" s="462"/>
      <c r="D898" s="462"/>
      <c r="E898" s="462"/>
      <c r="F898" s="462"/>
      <c r="G898" s="462"/>
      <c r="H898" s="462"/>
      <c r="I898" s="654"/>
      <c r="J898" s="650"/>
      <c r="K898" s="654"/>
      <c r="L898" s="654"/>
      <c r="M898" s="650"/>
      <c r="N898" s="650"/>
      <c r="O898" s="655"/>
      <c r="P898" s="655"/>
      <c r="Q898" s="655"/>
      <c r="R898" s="655"/>
      <c r="S898" s="655"/>
      <c r="T898" s="655"/>
      <c r="U898" s="655"/>
      <c r="V898" s="655"/>
      <c r="W898" s="655"/>
      <c r="X898" s="655"/>
      <c r="Y898" s="655"/>
      <c r="Z898" s="655"/>
      <c r="AA898" s="655"/>
      <c r="AB898" s="655"/>
      <c r="AC898" s="655"/>
      <c r="AD898" s="655"/>
    </row>
    <row r="899">
      <c r="B899" s="462"/>
      <c r="C899" s="462"/>
      <c r="D899" s="462"/>
      <c r="E899" s="462"/>
      <c r="F899" s="462"/>
      <c r="G899" s="462"/>
      <c r="H899" s="462"/>
      <c r="I899" s="654"/>
      <c r="J899" s="650"/>
      <c r="K899" s="654"/>
      <c r="L899" s="654"/>
      <c r="M899" s="650"/>
      <c r="N899" s="650"/>
      <c r="O899" s="655"/>
      <c r="P899" s="655"/>
      <c r="Q899" s="655"/>
      <c r="R899" s="655"/>
      <c r="S899" s="655"/>
      <c r="T899" s="655"/>
      <c r="U899" s="655"/>
      <c r="V899" s="655"/>
      <c r="W899" s="655"/>
      <c r="X899" s="655"/>
      <c r="Y899" s="655"/>
      <c r="Z899" s="655"/>
      <c r="AA899" s="655"/>
      <c r="AB899" s="655"/>
      <c r="AC899" s="655"/>
      <c r="AD899" s="655"/>
    </row>
    <row r="900">
      <c r="B900" s="462"/>
      <c r="C900" s="462"/>
      <c r="D900" s="462"/>
      <c r="E900" s="462"/>
      <c r="F900" s="462"/>
      <c r="G900" s="462"/>
      <c r="H900" s="462"/>
      <c r="I900" s="654"/>
      <c r="J900" s="650"/>
      <c r="K900" s="654"/>
      <c r="L900" s="654"/>
      <c r="M900" s="650"/>
      <c r="N900" s="650"/>
      <c r="O900" s="655"/>
      <c r="P900" s="655"/>
      <c r="Q900" s="655"/>
      <c r="R900" s="655"/>
      <c r="S900" s="655"/>
      <c r="T900" s="655"/>
      <c r="U900" s="655"/>
      <c r="V900" s="655"/>
      <c r="W900" s="655"/>
      <c r="X900" s="655"/>
      <c r="Y900" s="655"/>
      <c r="Z900" s="655"/>
      <c r="AA900" s="655"/>
      <c r="AB900" s="655"/>
      <c r="AC900" s="655"/>
      <c r="AD900" s="655"/>
    </row>
    <row r="901">
      <c r="B901" s="462"/>
      <c r="C901" s="462"/>
      <c r="D901" s="462"/>
      <c r="E901" s="462"/>
      <c r="F901" s="462"/>
      <c r="G901" s="462"/>
      <c r="H901" s="462"/>
      <c r="I901" s="654"/>
      <c r="J901" s="650"/>
      <c r="K901" s="654"/>
      <c r="L901" s="654"/>
      <c r="M901" s="650"/>
      <c r="N901" s="650"/>
      <c r="O901" s="655"/>
      <c r="P901" s="655"/>
      <c r="Q901" s="655"/>
      <c r="R901" s="655"/>
      <c r="S901" s="655"/>
      <c r="T901" s="655"/>
      <c r="U901" s="655"/>
      <c r="V901" s="655"/>
      <c r="W901" s="655"/>
      <c r="X901" s="655"/>
      <c r="Y901" s="655"/>
      <c r="Z901" s="655"/>
      <c r="AA901" s="655"/>
      <c r="AB901" s="655"/>
      <c r="AC901" s="655"/>
      <c r="AD901" s="655"/>
    </row>
    <row r="902">
      <c r="B902" s="462"/>
      <c r="C902" s="462"/>
      <c r="D902" s="462"/>
      <c r="E902" s="462"/>
      <c r="F902" s="462"/>
      <c r="G902" s="462"/>
      <c r="H902" s="462"/>
      <c r="I902" s="654"/>
      <c r="J902" s="650"/>
      <c r="K902" s="654"/>
      <c r="L902" s="654"/>
      <c r="M902" s="650"/>
      <c r="N902" s="650"/>
      <c r="O902" s="655"/>
      <c r="P902" s="655"/>
      <c r="Q902" s="655"/>
      <c r="R902" s="655"/>
      <c r="S902" s="655"/>
      <c r="T902" s="655"/>
      <c r="U902" s="655"/>
      <c r="V902" s="655"/>
      <c r="W902" s="655"/>
      <c r="X902" s="655"/>
      <c r="Y902" s="655"/>
      <c r="Z902" s="655"/>
      <c r="AA902" s="655"/>
      <c r="AB902" s="655"/>
      <c r="AC902" s="655"/>
      <c r="AD902" s="655"/>
    </row>
    <row r="903">
      <c r="B903" s="462"/>
      <c r="C903" s="462"/>
      <c r="D903" s="462"/>
      <c r="E903" s="462"/>
      <c r="F903" s="462"/>
      <c r="G903" s="462"/>
      <c r="H903" s="462"/>
      <c r="I903" s="654"/>
      <c r="J903" s="650"/>
      <c r="K903" s="654"/>
      <c r="L903" s="654"/>
      <c r="M903" s="650"/>
      <c r="N903" s="650"/>
      <c r="O903" s="655"/>
      <c r="P903" s="655"/>
      <c r="Q903" s="655"/>
      <c r="R903" s="655"/>
      <c r="S903" s="655"/>
      <c r="T903" s="655"/>
      <c r="U903" s="655"/>
      <c r="V903" s="655"/>
      <c r="W903" s="655"/>
      <c r="X903" s="655"/>
      <c r="Y903" s="655"/>
      <c r="Z903" s="655"/>
      <c r="AA903" s="655"/>
      <c r="AB903" s="655"/>
      <c r="AC903" s="655"/>
      <c r="AD903" s="655"/>
    </row>
    <row r="904">
      <c r="B904" s="462"/>
      <c r="C904" s="462"/>
      <c r="D904" s="462"/>
      <c r="E904" s="462"/>
      <c r="F904" s="462"/>
      <c r="G904" s="462"/>
      <c r="H904" s="462"/>
      <c r="I904" s="654"/>
      <c r="J904" s="650"/>
      <c r="K904" s="654"/>
      <c r="L904" s="654"/>
      <c r="M904" s="650"/>
      <c r="N904" s="650"/>
      <c r="O904" s="655"/>
      <c r="P904" s="655"/>
      <c r="Q904" s="655"/>
      <c r="R904" s="655"/>
      <c r="S904" s="655"/>
      <c r="T904" s="655"/>
      <c r="U904" s="655"/>
      <c r="V904" s="655"/>
      <c r="W904" s="655"/>
      <c r="X904" s="655"/>
      <c r="Y904" s="655"/>
      <c r="Z904" s="655"/>
      <c r="AA904" s="655"/>
      <c r="AB904" s="655"/>
      <c r="AC904" s="655"/>
      <c r="AD904" s="655"/>
    </row>
    <row r="905">
      <c r="B905" s="462"/>
      <c r="C905" s="462"/>
      <c r="D905" s="462"/>
      <c r="E905" s="462"/>
      <c r="F905" s="462"/>
      <c r="G905" s="462"/>
      <c r="H905" s="462"/>
      <c r="I905" s="654"/>
      <c r="J905" s="650"/>
      <c r="K905" s="654"/>
      <c r="L905" s="654"/>
      <c r="M905" s="650"/>
      <c r="N905" s="650"/>
      <c r="O905" s="655"/>
      <c r="P905" s="655"/>
      <c r="Q905" s="655"/>
      <c r="R905" s="655"/>
      <c r="S905" s="655"/>
      <c r="T905" s="655"/>
      <c r="U905" s="655"/>
      <c r="V905" s="655"/>
      <c r="W905" s="655"/>
      <c r="X905" s="655"/>
      <c r="Y905" s="655"/>
      <c r="Z905" s="655"/>
      <c r="AA905" s="655"/>
      <c r="AB905" s="655"/>
      <c r="AC905" s="655"/>
      <c r="AD905" s="655"/>
    </row>
    <row r="906">
      <c r="B906" s="462"/>
      <c r="C906" s="462"/>
      <c r="D906" s="462"/>
      <c r="E906" s="462"/>
      <c r="F906" s="462"/>
      <c r="G906" s="462"/>
      <c r="H906" s="462"/>
      <c r="I906" s="654"/>
      <c r="J906" s="650"/>
      <c r="K906" s="654"/>
      <c r="L906" s="654"/>
      <c r="M906" s="650"/>
      <c r="N906" s="650"/>
      <c r="O906" s="655"/>
      <c r="P906" s="655"/>
      <c r="Q906" s="655"/>
      <c r="R906" s="655"/>
      <c r="S906" s="655"/>
      <c r="T906" s="655"/>
      <c r="U906" s="655"/>
      <c r="V906" s="655"/>
      <c r="W906" s="655"/>
      <c r="X906" s="655"/>
      <c r="Y906" s="655"/>
      <c r="Z906" s="655"/>
      <c r="AA906" s="655"/>
      <c r="AB906" s="655"/>
      <c r="AC906" s="655"/>
      <c r="AD906" s="655"/>
    </row>
    <row r="907">
      <c r="B907" s="462"/>
      <c r="C907" s="462"/>
      <c r="D907" s="462"/>
      <c r="E907" s="462"/>
      <c r="F907" s="462"/>
      <c r="G907" s="462"/>
      <c r="H907" s="462"/>
      <c r="I907" s="654"/>
      <c r="J907" s="650"/>
      <c r="K907" s="654"/>
      <c r="L907" s="654"/>
      <c r="M907" s="650"/>
      <c r="N907" s="650"/>
      <c r="O907" s="655"/>
      <c r="P907" s="655"/>
      <c r="Q907" s="655"/>
      <c r="R907" s="655"/>
      <c r="S907" s="655"/>
      <c r="T907" s="655"/>
      <c r="U907" s="655"/>
      <c r="V907" s="655"/>
      <c r="W907" s="655"/>
      <c r="X907" s="655"/>
      <c r="Y907" s="655"/>
      <c r="Z907" s="655"/>
      <c r="AA907" s="655"/>
      <c r="AB907" s="655"/>
      <c r="AC907" s="655"/>
      <c r="AD907" s="655"/>
    </row>
    <row r="908">
      <c r="B908" s="462"/>
      <c r="C908" s="462"/>
      <c r="D908" s="462"/>
      <c r="E908" s="462"/>
      <c r="F908" s="462"/>
      <c r="G908" s="462"/>
      <c r="H908" s="462"/>
      <c r="I908" s="654"/>
      <c r="J908" s="650"/>
      <c r="K908" s="654"/>
      <c r="L908" s="654"/>
      <c r="M908" s="650"/>
      <c r="N908" s="650"/>
      <c r="O908" s="655"/>
      <c r="P908" s="655"/>
      <c r="Q908" s="655"/>
      <c r="R908" s="655"/>
      <c r="S908" s="655"/>
      <c r="T908" s="655"/>
      <c r="U908" s="655"/>
      <c r="V908" s="655"/>
      <c r="W908" s="655"/>
      <c r="X908" s="655"/>
      <c r="Y908" s="655"/>
      <c r="Z908" s="655"/>
      <c r="AA908" s="655"/>
      <c r="AB908" s="655"/>
      <c r="AC908" s="655"/>
      <c r="AD908" s="655"/>
    </row>
    <row r="909">
      <c r="B909" s="462"/>
      <c r="C909" s="462"/>
      <c r="D909" s="462"/>
      <c r="E909" s="462"/>
      <c r="F909" s="462"/>
      <c r="G909" s="462"/>
      <c r="H909" s="462"/>
      <c r="I909" s="654"/>
      <c r="J909" s="650"/>
      <c r="K909" s="654"/>
      <c r="L909" s="654"/>
      <c r="M909" s="650"/>
      <c r="N909" s="650"/>
      <c r="O909" s="655"/>
      <c r="P909" s="655"/>
      <c r="Q909" s="655"/>
      <c r="R909" s="655"/>
      <c r="S909" s="655"/>
      <c r="T909" s="655"/>
      <c r="U909" s="655"/>
      <c r="V909" s="655"/>
      <c r="W909" s="655"/>
      <c r="X909" s="655"/>
      <c r="Y909" s="655"/>
      <c r="Z909" s="655"/>
      <c r="AA909" s="655"/>
      <c r="AB909" s="655"/>
      <c r="AC909" s="655"/>
      <c r="AD909" s="655"/>
    </row>
    <row r="910">
      <c r="B910" s="462"/>
      <c r="C910" s="462"/>
      <c r="D910" s="462"/>
      <c r="E910" s="462"/>
      <c r="F910" s="462"/>
      <c r="G910" s="462"/>
      <c r="H910" s="462"/>
      <c r="I910" s="654"/>
      <c r="J910" s="650"/>
      <c r="K910" s="654"/>
      <c r="L910" s="654"/>
      <c r="M910" s="650"/>
      <c r="N910" s="650"/>
      <c r="O910" s="655"/>
      <c r="P910" s="655"/>
      <c r="Q910" s="655"/>
      <c r="R910" s="655"/>
      <c r="S910" s="655"/>
      <c r="T910" s="655"/>
      <c r="U910" s="655"/>
      <c r="V910" s="655"/>
      <c r="W910" s="655"/>
      <c r="X910" s="655"/>
      <c r="Y910" s="655"/>
      <c r="Z910" s="655"/>
      <c r="AA910" s="655"/>
      <c r="AB910" s="655"/>
      <c r="AC910" s="655"/>
      <c r="AD910" s="655"/>
    </row>
    <row r="911">
      <c r="B911" s="462"/>
      <c r="C911" s="462"/>
      <c r="D911" s="462"/>
      <c r="E911" s="462"/>
      <c r="F911" s="462"/>
      <c r="G911" s="462"/>
      <c r="H911" s="462"/>
      <c r="I911" s="654"/>
      <c r="J911" s="650"/>
      <c r="K911" s="654"/>
      <c r="L911" s="654"/>
      <c r="M911" s="650"/>
      <c r="N911" s="650"/>
      <c r="O911" s="655"/>
      <c r="P911" s="655"/>
      <c r="Q911" s="655"/>
      <c r="R911" s="655"/>
      <c r="S911" s="655"/>
      <c r="T911" s="655"/>
      <c r="U911" s="655"/>
      <c r="V911" s="655"/>
      <c r="W911" s="655"/>
      <c r="X911" s="655"/>
      <c r="Y911" s="655"/>
      <c r="Z911" s="655"/>
      <c r="AA911" s="655"/>
      <c r="AB911" s="655"/>
      <c r="AC911" s="655"/>
      <c r="AD911" s="655"/>
    </row>
    <row r="912">
      <c r="B912" s="462"/>
      <c r="C912" s="462"/>
      <c r="D912" s="462"/>
      <c r="E912" s="462"/>
      <c r="F912" s="462"/>
      <c r="G912" s="462"/>
      <c r="H912" s="462"/>
      <c r="I912" s="654"/>
      <c r="J912" s="650"/>
      <c r="K912" s="654"/>
      <c r="L912" s="654"/>
      <c r="M912" s="650"/>
      <c r="N912" s="650"/>
      <c r="O912" s="655"/>
      <c r="P912" s="655"/>
      <c r="Q912" s="655"/>
      <c r="R912" s="655"/>
      <c r="S912" s="655"/>
      <c r="T912" s="655"/>
      <c r="U912" s="655"/>
      <c r="V912" s="655"/>
      <c r="W912" s="655"/>
      <c r="X912" s="655"/>
      <c r="Y912" s="655"/>
      <c r="Z912" s="655"/>
      <c r="AA912" s="655"/>
      <c r="AB912" s="655"/>
      <c r="AC912" s="655"/>
      <c r="AD912" s="655"/>
    </row>
    <row r="913">
      <c r="B913" s="462"/>
      <c r="C913" s="462"/>
      <c r="D913" s="462"/>
      <c r="E913" s="462"/>
      <c r="F913" s="462"/>
      <c r="G913" s="462"/>
      <c r="H913" s="462"/>
      <c r="I913" s="654"/>
      <c r="J913" s="650"/>
      <c r="K913" s="654"/>
      <c r="L913" s="654"/>
      <c r="M913" s="650"/>
      <c r="N913" s="650"/>
      <c r="O913" s="655"/>
      <c r="P913" s="655"/>
      <c r="Q913" s="655"/>
      <c r="R913" s="655"/>
      <c r="S913" s="655"/>
      <c r="T913" s="655"/>
      <c r="U913" s="655"/>
      <c r="V913" s="655"/>
      <c r="W913" s="655"/>
      <c r="X913" s="655"/>
      <c r="Y913" s="655"/>
      <c r="Z913" s="655"/>
      <c r="AA913" s="655"/>
      <c r="AB913" s="655"/>
      <c r="AC913" s="655"/>
      <c r="AD913" s="655"/>
    </row>
    <row r="914">
      <c r="B914" s="462"/>
      <c r="C914" s="462"/>
      <c r="D914" s="462"/>
      <c r="E914" s="462"/>
      <c r="F914" s="462"/>
      <c r="G914" s="462"/>
      <c r="H914" s="462"/>
      <c r="I914" s="654"/>
      <c r="J914" s="650"/>
      <c r="K914" s="654"/>
      <c r="L914" s="654"/>
      <c r="M914" s="650"/>
      <c r="N914" s="650"/>
      <c r="O914" s="655"/>
      <c r="P914" s="655"/>
      <c r="Q914" s="655"/>
      <c r="R914" s="655"/>
      <c r="S914" s="655"/>
      <c r="T914" s="655"/>
      <c r="U914" s="655"/>
      <c r="V914" s="655"/>
      <c r="W914" s="655"/>
      <c r="X914" s="655"/>
      <c r="Y914" s="655"/>
      <c r="Z914" s="655"/>
      <c r="AA914" s="655"/>
      <c r="AB914" s="655"/>
      <c r="AC914" s="655"/>
      <c r="AD914" s="655"/>
    </row>
    <row r="915">
      <c r="B915" s="462"/>
      <c r="C915" s="462"/>
      <c r="D915" s="462"/>
      <c r="E915" s="462"/>
      <c r="F915" s="462"/>
      <c r="G915" s="462"/>
      <c r="H915" s="462"/>
      <c r="I915" s="654"/>
      <c r="J915" s="650"/>
      <c r="K915" s="654"/>
      <c r="L915" s="654"/>
      <c r="M915" s="650"/>
      <c r="N915" s="650"/>
      <c r="O915" s="655"/>
      <c r="P915" s="655"/>
      <c r="Q915" s="655"/>
      <c r="R915" s="655"/>
      <c r="S915" s="655"/>
      <c r="T915" s="655"/>
      <c r="U915" s="655"/>
      <c r="V915" s="655"/>
      <c r="W915" s="655"/>
      <c r="X915" s="655"/>
      <c r="Y915" s="655"/>
      <c r="Z915" s="655"/>
      <c r="AA915" s="655"/>
      <c r="AB915" s="655"/>
      <c r="AC915" s="655"/>
      <c r="AD915" s="655"/>
    </row>
    <row r="916">
      <c r="B916" s="462"/>
      <c r="C916" s="462"/>
      <c r="D916" s="462"/>
      <c r="E916" s="462"/>
      <c r="F916" s="462"/>
      <c r="G916" s="462"/>
      <c r="H916" s="462"/>
      <c r="I916" s="654"/>
      <c r="J916" s="650"/>
      <c r="K916" s="654"/>
      <c r="L916" s="654"/>
      <c r="M916" s="650"/>
      <c r="N916" s="650"/>
      <c r="O916" s="655"/>
      <c r="P916" s="655"/>
      <c r="Q916" s="655"/>
      <c r="R916" s="655"/>
      <c r="S916" s="655"/>
      <c r="T916" s="655"/>
      <c r="U916" s="655"/>
      <c r="V916" s="655"/>
      <c r="W916" s="655"/>
      <c r="X916" s="655"/>
      <c r="Y916" s="655"/>
      <c r="Z916" s="655"/>
      <c r="AA916" s="655"/>
      <c r="AB916" s="655"/>
      <c r="AC916" s="655"/>
      <c r="AD916" s="655"/>
    </row>
    <row r="917">
      <c r="B917" s="462"/>
      <c r="C917" s="462"/>
      <c r="D917" s="462"/>
      <c r="E917" s="462"/>
      <c r="F917" s="462"/>
      <c r="G917" s="462"/>
      <c r="H917" s="462"/>
      <c r="I917" s="654"/>
      <c r="J917" s="650"/>
      <c r="K917" s="654"/>
      <c r="L917" s="654"/>
      <c r="M917" s="650"/>
      <c r="N917" s="650"/>
      <c r="O917" s="655"/>
      <c r="P917" s="655"/>
      <c r="Q917" s="655"/>
      <c r="R917" s="655"/>
      <c r="S917" s="655"/>
      <c r="T917" s="655"/>
      <c r="U917" s="655"/>
      <c r="V917" s="655"/>
      <c r="W917" s="655"/>
      <c r="X917" s="655"/>
      <c r="Y917" s="655"/>
      <c r="Z917" s="655"/>
      <c r="AA917" s="655"/>
      <c r="AB917" s="655"/>
      <c r="AC917" s="655"/>
      <c r="AD917" s="655"/>
    </row>
    <row r="918">
      <c r="B918" s="462"/>
      <c r="C918" s="462"/>
      <c r="D918" s="462"/>
      <c r="E918" s="462"/>
      <c r="F918" s="462"/>
      <c r="G918" s="462"/>
      <c r="H918" s="462"/>
      <c r="I918" s="654"/>
      <c r="J918" s="650"/>
      <c r="K918" s="654"/>
      <c r="L918" s="654"/>
      <c r="M918" s="650"/>
      <c r="N918" s="650"/>
      <c r="O918" s="655"/>
      <c r="P918" s="655"/>
      <c r="Q918" s="655"/>
      <c r="R918" s="655"/>
      <c r="S918" s="655"/>
      <c r="T918" s="655"/>
      <c r="U918" s="655"/>
      <c r="V918" s="655"/>
      <c r="W918" s="655"/>
      <c r="X918" s="655"/>
      <c r="Y918" s="655"/>
      <c r="Z918" s="655"/>
      <c r="AA918" s="655"/>
      <c r="AB918" s="655"/>
      <c r="AC918" s="655"/>
      <c r="AD918" s="655"/>
    </row>
    <row r="919">
      <c r="B919" s="462"/>
      <c r="C919" s="462"/>
      <c r="D919" s="462"/>
      <c r="E919" s="462"/>
      <c r="F919" s="462"/>
      <c r="G919" s="462"/>
      <c r="H919" s="462"/>
      <c r="I919" s="654"/>
      <c r="J919" s="650"/>
      <c r="K919" s="654"/>
      <c r="L919" s="654"/>
      <c r="M919" s="650"/>
      <c r="N919" s="650"/>
      <c r="O919" s="655"/>
      <c r="P919" s="655"/>
      <c r="Q919" s="655"/>
      <c r="R919" s="655"/>
      <c r="S919" s="655"/>
      <c r="T919" s="655"/>
      <c r="U919" s="655"/>
      <c r="V919" s="655"/>
      <c r="W919" s="655"/>
      <c r="X919" s="655"/>
      <c r="Y919" s="655"/>
      <c r="Z919" s="655"/>
      <c r="AA919" s="655"/>
      <c r="AB919" s="655"/>
      <c r="AC919" s="655"/>
      <c r="AD919" s="655"/>
    </row>
    <row r="920">
      <c r="B920" s="462"/>
      <c r="C920" s="462"/>
      <c r="D920" s="462"/>
      <c r="E920" s="462"/>
      <c r="F920" s="462"/>
      <c r="G920" s="462"/>
      <c r="H920" s="462"/>
      <c r="I920" s="654"/>
      <c r="J920" s="650"/>
      <c r="K920" s="654"/>
      <c r="L920" s="654"/>
      <c r="M920" s="650"/>
      <c r="N920" s="650"/>
      <c r="O920" s="655"/>
      <c r="P920" s="655"/>
      <c r="Q920" s="655"/>
      <c r="R920" s="655"/>
      <c r="S920" s="655"/>
      <c r="T920" s="655"/>
      <c r="U920" s="655"/>
      <c r="V920" s="655"/>
      <c r="W920" s="655"/>
      <c r="X920" s="655"/>
      <c r="Y920" s="655"/>
      <c r="Z920" s="655"/>
      <c r="AA920" s="655"/>
      <c r="AB920" s="655"/>
      <c r="AC920" s="655"/>
      <c r="AD920" s="655"/>
    </row>
    <row r="921">
      <c r="B921" s="462"/>
      <c r="C921" s="462"/>
      <c r="D921" s="462"/>
      <c r="E921" s="462"/>
      <c r="F921" s="462"/>
      <c r="G921" s="462"/>
      <c r="H921" s="462"/>
      <c r="I921" s="654"/>
      <c r="J921" s="650"/>
      <c r="K921" s="654"/>
      <c r="L921" s="654"/>
      <c r="M921" s="650"/>
      <c r="N921" s="650"/>
      <c r="O921" s="655"/>
      <c r="P921" s="655"/>
      <c r="Q921" s="655"/>
      <c r="R921" s="655"/>
      <c r="S921" s="655"/>
      <c r="T921" s="655"/>
      <c r="U921" s="655"/>
      <c r="V921" s="655"/>
      <c r="W921" s="655"/>
      <c r="X921" s="655"/>
      <c r="Y921" s="655"/>
      <c r="Z921" s="655"/>
      <c r="AA921" s="655"/>
      <c r="AB921" s="655"/>
      <c r="AC921" s="655"/>
      <c r="AD921" s="655"/>
    </row>
    <row r="922">
      <c r="B922" s="462"/>
      <c r="C922" s="462"/>
      <c r="D922" s="462"/>
      <c r="E922" s="462"/>
      <c r="F922" s="462"/>
      <c r="G922" s="462"/>
      <c r="H922" s="462"/>
      <c r="I922" s="654"/>
      <c r="J922" s="650"/>
      <c r="K922" s="654"/>
      <c r="L922" s="654"/>
      <c r="M922" s="650"/>
      <c r="N922" s="650"/>
      <c r="O922" s="655"/>
      <c r="P922" s="655"/>
      <c r="Q922" s="655"/>
      <c r="R922" s="655"/>
      <c r="S922" s="655"/>
      <c r="T922" s="655"/>
      <c r="U922" s="655"/>
      <c r="V922" s="655"/>
      <c r="W922" s="655"/>
      <c r="X922" s="655"/>
      <c r="Y922" s="655"/>
      <c r="Z922" s="655"/>
      <c r="AA922" s="655"/>
      <c r="AB922" s="655"/>
      <c r="AC922" s="655"/>
      <c r="AD922" s="655"/>
    </row>
    <row r="923">
      <c r="B923" s="462"/>
      <c r="C923" s="462"/>
      <c r="D923" s="462"/>
      <c r="E923" s="462"/>
      <c r="F923" s="462"/>
      <c r="G923" s="462"/>
      <c r="H923" s="462"/>
      <c r="I923" s="654"/>
      <c r="J923" s="650"/>
      <c r="K923" s="654"/>
      <c r="L923" s="654"/>
      <c r="M923" s="650"/>
      <c r="N923" s="650"/>
      <c r="O923" s="655"/>
      <c r="P923" s="655"/>
      <c r="Q923" s="655"/>
      <c r="R923" s="655"/>
      <c r="S923" s="655"/>
      <c r="T923" s="655"/>
      <c r="U923" s="655"/>
      <c r="V923" s="655"/>
      <c r="W923" s="655"/>
      <c r="X923" s="655"/>
      <c r="Y923" s="655"/>
      <c r="Z923" s="655"/>
      <c r="AA923" s="655"/>
      <c r="AB923" s="655"/>
      <c r="AC923" s="655"/>
      <c r="AD923" s="655"/>
    </row>
    <row r="924">
      <c r="B924" s="462"/>
      <c r="C924" s="462"/>
      <c r="D924" s="462"/>
      <c r="E924" s="462"/>
      <c r="F924" s="462"/>
      <c r="G924" s="462"/>
      <c r="H924" s="462"/>
      <c r="I924" s="654"/>
      <c r="J924" s="650"/>
      <c r="K924" s="654"/>
      <c r="L924" s="654"/>
      <c r="M924" s="650"/>
      <c r="N924" s="650"/>
      <c r="O924" s="655"/>
      <c r="P924" s="655"/>
      <c r="Q924" s="655"/>
      <c r="R924" s="655"/>
      <c r="S924" s="655"/>
      <c r="T924" s="655"/>
      <c r="U924" s="655"/>
      <c r="V924" s="655"/>
      <c r="W924" s="655"/>
      <c r="X924" s="655"/>
      <c r="Y924" s="655"/>
      <c r="Z924" s="655"/>
      <c r="AA924" s="655"/>
      <c r="AB924" s="655"/>
      <c r="AC924" s="655"/>
      <c r="AD924" s="655"/>
    </row>
    <row r="925">
      <c r="B925" s="462"/>
      <c r="C925" s="462"/>
      <c r="D925" s="462"/>
      <c r="E925" s="462"/>
      <c r="F925" s="462"/>
      <c r="G925" s="462"/>
      <c r="H925" s="462"/>
      <c r="I925" s="654"/>
      <c r="J925" s="650"/>
      <c r="K925" s="654"/>
      <c r="L925" s="654"/>
      <c r="M925" s="650"/>
      <c r="N925" s="650"/>
      <c r="O925" s="655"/>
      <c r="P925" s="655"/>
      <c r="Q925" s="655"/>
      <c r="R925" s="655"/>
      <c r="S925" s="655"/>
      <c r="T925" s="655"/>
      <c r="U925" s="655"/>
      <c r="V925" s="655"/>
      <c r="W925" s="655"/>
      <c r="X925" s="655"/>
      <c r="Y925" s="655"/>
      <c r="Z925" s="655"/>
      <c r="AA925" s="655"/>
      <c r="AB925" s="655"/>
      <c r="AC925" s="655"/>
      <c r="AD925" s="655"/>
    </row>
    <row r="926">
      <c r="B926" s="462"/>
      <c r="C926" s="462"/>
      <c r="D926" s="462"/>
      <c r="E926" s="462"/>
      <c r="F926" s="462"/>
      <c r="G926" s="462"/>
      <c r="H926" s="462"/>
      <c r="I926" s="654"/>
      <c r="J926" s="650"/>
      <c r="K926" s="654"/>
      <c r="L926" s="654"/>
      <c r="M926" s="650"/>
      <c r="N926" s="650"/>
      <c r="O926" s="655"/>
      <c r="P926" s="655"/>
      <c r="Q926" s="655"/>
      <c r="R926" s="655"/>
      <c r="S926" s="655"/>
      <c r="T926" s="655"/>
      <c r="U926" s="655"/>
      <c r="V926" s="655"/>
      <c r="W926" s="655"/>
      <c r="X926" s="655"/>
      <c r="Y926" s="655"/>
      <c r="Z926" s="655"/>
      <c r="AA926" s="655"/>
      <c r="AB926" s="655"/>
      <c r="AC926" s="655"/>
      <c r="AD926" s="655"/>
    </row>
    <row r="927">
      <c r="B927" s="462"/>
      <c r="C927" s="462"/>
      <c r="D927" s="462"/>
      <c r="E927" s="462"/>
      <c r="F927" s="462"/>
      <c r="G927" s="462"/>
      <c r="H927" s="462"/>
      <c r="I927" s="654"/>
      <c r="J927" s="650"/>
      <c r="K927" s="654"/>
      <c r="L927" s="654"/>
      <c r="M927" s="650"/>
      <c r="N927" s="650"/>
      <c r="O927" s="655"/>
      <c r="P927" s="655"/>
      <c r="Q927" s="655"/>
      <c r="R927" s="655"/>
      <c r="S927" s="655"/>
      <c r="T927" s="655"/>
      <c r="U927" s="655"/>
      <c r="V927" s="655"/>
      <c r="W927" s="655"/>
      <c r="X927" s="655"/>
      <c r="Y927" s="655"/>
      <c r="Z927" s="655"/>
      <c r="AA927" s="655"/>
      <c r="AB927" s="655"/>
      <c r="AC927" s="655"/>
      <c r="AD927" s="655"/>
    </row>
    <row r="928">
      <c r="B928" s="462"/>
      <c r="C928" s="462"/>
      <c r="D928" s="462"/>
      <c r="E928" s="462"/>
      <c r="F928" s="462"/>
      <c r="G928" s="462"/>
      <c r="H928" s="462"/>
      <c r="I928" s="654"/>
      <c r="J928" s="650"/>
      <c r="K928" s="654"/>
      <c r="L928" s="654"/>
      <c r="M928" s="650"/>
      <c r="N928" s="650"/>
      <c r="O928" s="655"/>
      <c r="P928" s="655"/>
      <c r="Q928" s="655"/>
      <c r="R928" s="655"/>
      <c r="S928" s="655"/>
      <c r="T928" s="655"/>
      <c r="U928" s="655"/>
      <c r="V928" s="655"/>
      <c r="W928" s="655"/>
      <c r="X928" s="655"/>
      <c r="Y928" s="655"/>
      <c r="Z928" s="655"/>
      <c r="AA928" s="655"/>
      <c r="AB928" s="655"/>
      <c r="AC928" s="655"/>
      <c r="AD928" s="655"/>
    </row>
    <row r="929">
      <c r="B929" s="462"/>
      <c r="C929" s="462"/>
      <c r="D929" s="462"/>
      <c r="E929" s="462"/>
      <c r="F929" s="462"/>
      <c r="G929" s="462"/>
      <c r="H929" s="462"/>
      <c r="I929" s="654"/>
      <c r="J929" s="650"/>
      <c r="K929" s="654"/>
      <c r="L929" s="654"/>
      <c r="M929" s="650"/>
      <c r="N929" s="650"/>
      <c r="O929" s="655"/>
      <c r="P929" s="655"/>
      <c r="Q929" s="655"/>
      <c r="R929" s="655"/>
      <c r="S929" s="655"/>
      <c r="T929" s="655"/>
      <c r="U929" s="655"/>
      <c r="V929" s="655"/>
      <c r="W929" s="655"/>
      <c r="X929" s="655"/>
      <c r="Y929" s="655"/>
      <c r="Z929" s="655"/>
      <c r="AA929" s="655"/>
      <c r="AB929" s="655"/>
      <c r="AC929" s="655"/>
      <c r="AD929" s="655"/>
    </row>
    <row r="930">
      <c r="B930" s="462"/>
      <c r="C930" s="462"/>
      <c r="D930" s="462"/>
      <c r="E930" s="462"/>
      <c r="F930" s="462"/>
      <c r="G930" s="462"/>
      <c r="H930" s="462"/>
      <c r="I930" s="654"/>
      <c r="J930" s="650"/>
      <c r="K930" s="654"/>
      <c r="L930" s="654"/>
      <c r="M930" s="650"/>
      <c r="N930" s="650"/>
      <c r="O930" s="655"/>
      <c r="P930" s="655"/>
      <c r="Q930" s="655"/>
      <c r="R930" s="655"/>
      <c r="S930" s="655"/>
      <c r="T930" s="655"/>
      <c r="U930" s="655"/>
      <c r="V930" s="655"/>
      <c r="W930" s="655"/>
      <c r="X930" s="655"/>
      <c r="Y930" s="655"/>
      <c r="Z930" s="655"/>
      <c r="AA930" s="655"/>
      <c r="AB930" s="655"/>
      <c r="AC930" s="655"/>
      <c r="AD930" s="655"/>
    </row>
    <row r="931">
      <c r="B931" s="462"/>
      <c r="C931" s="462"/>
      <c r="D931" s="462"/>
      <c r="E931" s="462"/>
      <c r="F931" s="462"/>
      <c r="G931" s="462"/>
      <c r="H931" s="462"/>
      <c r="I931" s="654"/>
      <c r="J931" s="650"/>
      <c r="K931" s="654"/>
      <c r="L931" s="654"/>
      <c r="M931" s="650"/>
      <c r="N931" s="650"/>
      <c r="O931" s="655"/>
      <c r="P931" s="655"/>
      <c r="Q931" s="655"/>
      <c r="R931" s="655"/>
      <c r="S931" s="655"/>
      <c r="T931" s="655"/>
      <c r="U931" s="655"/>
      <c r="V931" s="655"/>
      <c r="W931" s="655"/>
      <c r="X931" s="655"/>
      <c r="Y931" s="655"/>
      <c r="Z931" s="655"/>
      <c r="AA931" s="655"/>
      <c r="AB931" s="655"/>
      <c r="AC931" s="655"/>
      <c r="AD931" s="655"/>
    </row>
    <row r="932">
      <c r="B932" s="462"/>
      <c r="C932" s="462"/>
      <c r="D932" s="462"/>
      <c r="E932" s="462"/>
      <c r="F932" s="462"/>
      <c r="G932" s="462"/>
      <c r="H932" s="462"/>
      <c r="I932" s="654"/>
      <c r="J932" s="650"/>
      <c r="K932" s="654"/>
      <c r="L932" s="654"/>
      <c r="M932" s="650"/>
      <c r="N932" s="650"/>
      <c r="O932" s="655"/>
      <c r="P932" s="655"/>
      <c r="Q932" s="655"/>
      <c r="R932" s="655"/>
      <c r="S932" s="655"/>
      <c r="T932" s="655"/>
      <c r="U932" s="655"/>
      <c r="V932" s="655"/>
      <c r="W932" s="655"/>
      <c r="X932" s="655"/>
      <c r="Y932" s="655"/>
      <c r="Z932" s="655"/>
      <c r="AA932" s="655"/>
      <c r="AB932" s="655"/>
      <c r="AC932" s="655"/>
      <c r="AD932" s="655"/>
    </row>
    <row r="933">
      <c r="B933" s="462"/>
      <c r="C933" s="462"/>
      <c r="D933" s="462"/>
      <c r="E933" s="462"/>
      <c r="F933" s="462"/>
      <c r="G933" s="462"/>
      <c r="H933" s="462"/>
      <c r="I933" s="654"/>
      <c r="J933" s="650"/>
      <c r="K933" s="654"/>
      <c r="L933" s="654"/>
      <c r="M933" s="650"/>
      <c r="N933" s="650"/>
      <c r="O933" s="655"/>
      <c r="P933" s="655"/>
      <c r="Q933" s="655"/>
      <c r="R933" s="655"/>
      <c r="S933" s="655"/>
      <c r="T933" s="655"/>
      <c r="U933" s="655"/>
      <c r="V933" s="655"/>
      <c r="W933" s="655"/>
      <c r="X933" s="655"/>
      <c r="Y933" s="655"/>
      <c r="Z933" s="655"/>
      <c r="AA933" s="655"/>
      <c r="AB933" s="655"/>
      <c r="AC933" s="655"/>
      <c r="AD933" s="655"/>
    </row>
    <row r="934">
      <c r="B934" s="462"/>
      <c r="C934" s="462"/>
      <c r="D934" s="462"/>
      <c r="E934" s="462"/>
      <c r="F934" s="462"/>
      <c r="G934" s="462"/>
      <c r="H934" s="462"/>
      <c r="I934" s="654"/>
      <c r="J934" s="650"/>
      <c r="K934" s="654"/>
      <c r="L934" s="654"/>
      <c r="M934" s="650"/>
      <c r="N934" s="650"/>
      <c r="O934" s="655"/>
      <c r="P934" s="655"/>
      <c r="Q934" s="655"/>
      <c r="R934" s="655"/>
      <c r="S934" s="655"/>
      <c r="T934" s="655"/>
      <c r="U934" s="655"/>
      <c r="V934" s="655"/>
      <c r="W934" s="655"/>
      <c r="X934" s="655"/>
      <c r="Y934" s="655"/>
      <c r="Z934" s="655"/>
      <c r="AA934" s="655"/>
      <c r="AB934" s="655"/>
      <c r="AC934" s="655"/>
      <c r="AD934" s="655"/>
    </row>
    <row r="935">
      <c r="B935" s="462"/>
      <c r="C935" s="462"/>
      <c r="D935" s="462"/>
      <c r="E935" s="462"/>
      <c r="F935" s="462"/>
      <c r="G935" s="462"/>
      <c r="H935" s="462"/>
      <c r="I935" s="654"/>
      <c r="J935" s="650"/>
      <c r="K935" s="654"/>
      <c r="L935" s="654"/>
      <c r="M935" s="650"/>
      <c r="N935" s="650"/>
      <c r="O935" s="655"/>
      <c r="P935" s="655"/>
      <c r="Q935" s="655"/>
      <c r="R935" s="655"/>
      <c r="S935" s="655"/>
      <c r="T935" s="655"/>
      <c r="U935" s="655"/>
      <c r="V935" s="655"/>
      <c r="W935" s="655"/>
      <c r="X935" s="655"/>
      <c r="Y935" s="655"/>
      <c r="Z935" s="655"/>
      <c r="AA935" s="655"/>
      <c r="AB935" s="655"/>
      <c r="AC935" s="655"/>
      <c r="AD935" s="655"/>
    </row>
    <row r="936">
      <c r="B936" s="462"/>
      <c r="C936" s="462"/>
      <c r="D936" s="462"/>
      <c r="E936" s="462"/>
      <c r="F936" s="462"/>
      <c r="G936" s="462"/>
      <c r="H936" s="462"/>
      <c r="I936" s="654"/>
      <c r="J936" s="650"/>
      <c r="K936" s="654"/>
      <c r="L936" s="654"/>
      <c r="M936" s="650"/>
      <c r="N936" s="650"/>
      <c r="O936" s="655"/>
      <c r="P936" s="655"/>
      <c r="Q936" s="655"/>
      <c r="R936" s="655"/>
      <c r="S936" s="655"/>
      <c r="T936" s="655"/>
      <c r="U936" s="655"/>
      <c r="V936" s="655"/>
      <c r="W936" s="655"/>
      <c r="X936" s="655"/>
      <c r="Y936" s="655"/>
      <c r="Z936" s="655"/>
      <c r="AA936" s="655"/>
      <c r="AB936" s="655"/>
      <c r="AC936" s="655"/>
      <c r="AD936" s="655"/>
    </row>
    <row r="937">
      <c r="B937" s="462"/>
      <c r="C937" s="462"/>
      <c r="D937" s="462"/>
      <c r="E937" s="462"/>
      <c r="F937" s="462"/>
      <c r="G937" s="462"/>
      <c r="H937" s="462"/>
      <c r="I937" s="654"/>
      <c r="J937" s="650"/>
      <c r="K937" s="654"/>
      <c r="L937" s="654"/>
      <c r="M937" s="650"/>
      <c r="N937" s="650"/>
      <c r="O937" s="655"/>
      <c r="P937" s="655"/>
      <c r="Q937" s="655"/>
      <c r="R937" s="655"/>
      <c r="S937" s="655"/>
      <c r="T937" s="655"/>
      <c r="U937" s="655"/>
      <c r="V937" s="655"/>
      <c r="W937" s="655"/>
      <c r="X937" s="655"/>
      <c r="Y937" s="655"/>
      <c r="Z937" s="655"/>
      <c r="AA937" s="655"/>
      <c r="AB937" s="655"/>
      <c r="AC937" s="655"/>
      <c r="AD937" s="655"/>
    </row>
    <row r="938">
      <c r="B938" s="462"/>
      <c r="C938" s="462"/>
      <c r="D938" s="462"/>
      <c r="E938" s="462"/>
      <c r="F938" s="462"/>
      <c r="G938" s="462"/>
      <c r="H938" s="462"/>
      <c r="I938" s="654"/>
      <c r="J938" s="650"/>
      <c r="K938" s="654"/>
      <c r="L938" s="654"/>
      <c r="M938" s="650"/>
      <c r="N938" s="650"/>
      <c r="O938" s="655"/>
      <c r="P938" s="655"/>
      <c r="Q938" s="655"/>
      <c r="R938" s="655"/>
      <c r="S938" s="655"/>
      <c r="T938" s="655"/>
      <c r="U938" s="655"/>
      <c r="V938" s="655"/>
      <c r="W938" s="655"/>
      <c r="X938" s="655"/>
      <c r="Y938" s="655"/>
      <c r="Z938" s="655"/>
      <c r="AA938" s="655"/>
      <c r="AB938" s="655"/>
      <c r="AC938" s="655"/>
      <c r="AD938" s="655"/>
    </row>
    <row r="939">
      <c r="B939" s="462"/>
      <c r="C939" s="462"/>
      <c r="D939" s="462"/>
      <c r="E939" s="462"/>
      <c r="F939" s="462"/>
      <c r="G939" s="462"/>
      <c r="H939" s="462"/>
      <c r="I939" s="654"/>
      <c r="J939" s="650"/>
      <c r="K939" s="654"/>
      <c r="L939" s="654"/>
      <c r="M939" s="650"/>
      <c r="N939" s="650"/>
      <c r="O939" s="655"/>
      <c r="P939" s="655"/>
      <c r="Q939" s="655"/>
      <c r="R939" s="655"/>
      <c r="S939" s="655"/>
      <c r="T939" s="655"/>
      <c r="U939" s="655"/>
      <c r="V939" s="655"/>
      <c r="W939" s="655"/>
      <c r="X939" s="655"/>
      <c r="Y939" s="655"/>
      <c r="Z939" s="655"/>
      <c r="AA939" s="655"/>
      <c r="AB939" s="655"/>
      <c r="AC939" s="655"/>
      <c r="AD939" s="655"/>
    </row>
    <row r="940">
      <c r="B940" s="462"/>
      <c r="C940" s="462"/>
      <c r="D940" s="462"/>
      <c r="E940" s="462"/>
      <c r="F940" s="462"/>
      <c r="G940" s="462"/>
      <c r="H940" s="462"/>
      <c r="I940" s="654"/>
      <c r="J940" s="650"/>
      <c r="K940" s="654"/>
      <c r="L940" s="654"/>
      <c r="M940" s="650"/>
      <c r="N940" s="650"/>
      <c r="O940" s="655"/>
      <c r="P940" s="655"/>
      <c r="Q940" s="655"/>
      <c r="R940" s="655"/>
      <c r="S940" s="655"/>
      <c r="T940" s="655"/>
      <c r="U940" s="655"/>
      <c r="V940" s="655"/>
      <c r="W940" s="655"/>
      <c r="X940" s="655"/>
      <c r="Y940" s="655"/>
      <c r="Z940" s="655"/>
      <c r="AA940" s="655"/>
      <c r="AB940" s="655"/>
      <c r="AC940" s="655"/>
      <c r="AD940" s="655"/>
    </row>
    <row r="941">
      <c r="B941" s="462"/>
      <c r="C941" s="462"/>
      <c r="D941" s="462"/>
      <c r="E941" s="462"/>
      <c r="F941" s="462"/>
      <c r="G941" s="462"/>
      <c r="H941" s="462"/>
      <c r="I941" s="654"/>
      <c r="J941" s="650"/>
      <c r="K941" s="654"/>
      <c r="L941" s="654"/>
      <c r="M941" s="650"/>
      <c r="N941" s="650"/>
      <c r="O941" s="655"/>
      <c r="P941" s="655"/>
      <c r="Q941" s="655"/>
      <c r="R941" s="655"/>
      <c r="S941" s="655"/>
      <c r="T941" s="655"/>
      <c r="U941" s="655"/>
      <c r="V941" s="655"/>
      <c r="W941" s="655"/>
      <c r="X941" s="655"/>
      <c r="Y941" s="655"/>
      <c r="Z941" s="655"/>
      <c r="AA941" s="655"/>
      <c r="AB941" s="655"/>
      <c r="AC941" s="655"/>
      <c r="AD941" s="655"/>
    </row>
    <row r="942">
      <c r="B942" s="462"/>
      <c r="C942" s="462"/>
      <c r="D942" s="462"/>
      <c r="E942" s="462"/>
      <c r="F942" s="462"/>
      <c r="G942" s="462"/>
      <c r="H942" s="462"/>
      <c r="I942" s="654"/>
      <c r="J942" s="650"/>
      <c r="K942" s="654"/>
      <c r="L942" s="654"/>
      <c r="M942" s="650"/>
      <c r="N942" s="650"/>
      <c r="O942" s="655"/>
      <c r="P942" s="655"/>
      <c r="Q942" s="655"/>
      <c r="R942" s="655"/>
      <c r="S942" s="655"/>
      <c r="T942" s="655"/>
      <c r="U942" s="655"/>
      <c r="V942" s="655"/>
      <c r="W942" s="655"/>
      <c r="X942" s="655"/>
      <c r="Y942" s="655"/>
      <c r="Z942" s="655"/>
      <c r="AA942" s="655"/>
      <c r="AB942" s="655"/>
      <c r="AC942" s="655"/>
      <c r="AD942" s="655"/>
    </row>
    <row r="943">
      <c r="B943" s="462"/>
      <c r="C943" s="462"/>
      <c r="D943" s="462"/>
      <c r="E943" s="462"/>
      <c r="F943" s="462"/>
      <c r="G943" s="462"/>
      <c r="H943" s="462"/>
      <c r="I943" s="654"/>
      <c r="J943" s="650"/>
      <c r="K943" s="654"/>
      <c r="L943" s="654"/>
      <c r="M943" s="650"/>
      <c r="N943" s="650"/>
      <c r="O943" s="655"/>
      <c r="P943" s="655"/>
      <c r="Q943" s="655"/>
      <c r="R943" s="655"/>
      <c r="S943" s="655"/>
      <c r="T943" s="655"/>
      <c r="U943" s="655"/>
      <c r="V943" s="655"/>
      <c r="W943" s="655"/>
      <c r="X943" s="655"/>
      <c r="Y943" s="655"/>
      <c r="Z943" s="655"/>
      <c r="AA943" s="655"/>
      <c r="AB943" s="655"/>
      <c r="AC943" s="655"/>
      <c r="AD943" s="655"/>
    </row>
    <row r="944">
      <c r="B944" s="462"/>
      <c r="C944" s="462"/>
      <c r="D944" s="462"/>
      <c r="E944" s="462"/>
      <c r="F944" s="462"/>
      <c r="G944" s="462"/>
      <c r="H944" s="462"/>
      <c r="I944" s="654"/>
      <c r="J944" s="650"/>
      <c r="K944" s="654"/>
      <c r="L944" s="654"/>
      <c r="M944" s="650"/>
      <c r="N944" s="650"/>
      <c r="O944" s="655"/>
      <c r="P944" s="655"/>
      <c r="Q944" s="655"/>
      <c r="R944" s="655"/>
      <c r="S944" s="655"/>
      <c r="T944" s="655"/>
      <c r="U944" s="655"/>
      <c r="V944" s="655"/>
      <c r="W944" s="655"/>
      <c r="X944" s="655"/>
      <c r="Y944" s="655"/>
      <c r="Z944" s="655"/>
      <c r="AA944" s="655"/>
      <c r="AB944" s="655"/>
      <c r="AC944" s="655"/>
      <c r="AD944" s="655"/>
    </row>
    <row r="945">
      <c r="B945" s="462"/>
      <c r="C945" s="462"/>
      <c r="D945" s="462"/>
      <c r="E945" s="462"/>
      <c r="F945" s="462"/>
      <c r="G945" s="462"/>
      <c r="H945" s="462"/>
      <c r="I945" s="654"/>
      <c r="J945" s="650"/>
      <c r="K945" s="654"/>
      <c r="L945" s="654"/>
      <c r="M945" s="650"/>
      <c r="N945" s="650"/>
      <c r="O945" s="655"/>
      <c r="P945" s="655"/>
      <c r="Q945" s="655"/>
      <c r="R945" s="655"/>
      <c r="S945" s="655"/>
      <c r="T945" s="655"/>
      <c r="U945" s="655"/>
      <c r="V945" s="655"/>
      <c r="W945" s="655"/>
      <c r="X945" s="655"/>
      <c r="Y945" s="655"/>
      <c r="Z945" s="655"/>
      <c r="AA945" s="655"/>
      <c r="AB945" s="655"/>
      <c r="AC945" s="655"/>
      <c r="AD945" s="655"/>
    </row>
    <row r="946">
      <c r="B946" s="462"/>
      <c r="C946" s="462"/>
      <c r="D946" s="462"/>
      <c r="E946" s="462"/>
      <c r="F946" s="462"/>
      <c r="G946" s="462"/>
      <c r="H946" s="462"/>
      <c r="I946" s="654"/>
      <c r="J946" s="650"/>
      <c r="K946" s="654"/>
      <c r="L946" s="654"/>
      <c r="M946" s="650"/>
      <c r="N946" s="650"/>
      <c r="O946" s="655"/>
      <c r="P946" s="655"/>
      <c r="Q946" s="655"/>
      <c r="R946" s="655"/>
      <c r="S946" s="655"/>
      <c r="T946" s="655"/>
      <c r="U946" s="655"/>
      <c r="V946" s="655"/>
      <c r="W946" s="655"/>
      <c r="X946" s="655"/>
      <c r="Y946" s="655"/>
      <c r="Z946" s="655"/>
      <c r="AA946" s="655"/>
      <c r="AB946" s="655"/>
      <c r="AC946" s="655"/>
      <c r="AD946" s="655"/>
    </row>
    <row r="947">
      <c r="B947" s="462"/>
      <c r="C947" s="462"/>
      <c r="D947" s="462"/>
      <c r="E947" s="462"/>
      <c r="F947" s="462"/>
      <c r="G947" s="462"/>
      <c r="H947" s="462"/>
      <c r="I947" s="654"/>
      <c r="J947" s="650"/>
      <c r="K947" s="654"/>
      <c r="L947" s="654"/>
      <c r="M947" s="650"/>
      <c r="N947" s="650"/>
      <c r="O947" s="655"/>
      <c r="P947" s="655"/>
      <c r="Q947" s="655"/>
      <c r="R947" s="655"/>
      <c r="S947" s="655"/>
      <c r="T947" s="655"/>
      <c r="U947" s="655"/>
      <c r="V947" s="655"/>
      <c r="W947" s="655"/>
      <c r="X947" s="655"/>
      <c r="Y947" s="655"/>
      <c r="Z947" s="655"/>
      <c r="AA947" s="655"/>
      <c r="AB947" s="655"/>
      <c r="AC947" s="655"/>
      <c r="AD947" s="655"/>
    </row>
    <row r="948">
      <c r="B948" s="462"/>
      <c r="C948" s="462"/>
      <c r="D948" s="462"/>
      <c r="E948" s="462"/>
      <c r="F948" s="462"/>
      <c r="G948" s="462"/>
      <c r="H948" s="462"/>
      <c r="I948" s="654"/>
      <c r="J948" s="650"/>
      <c r="K948" s="654"/>
      <c r="L948" s="654"/>
      <c r="M948" s="650"/>
      <c r="N948" s="650"/>
      <c r="O948" s="655"/>
      <c r="P948" s="655"/>
      <c r="Q948" s="655"/>
      <c r="R948" s="655"/>
      <c r="S948" s="655"/>
      <c r="T948" s="655"/>
      <c r="U948" s="655"/>
      <c r="V948" s="655"/>
      <c r="W948" s="655"/>
      <c r="X948" s="655"/>
      <c r="Y948" s="655"/>
      <c r="Z948" s="655"/>
      <c r="AA948" s="655"/>
      <c r="AB948" s="655"/>
      <c r="AC948" s="655"/>
      <c r="AD948" s="655"/>
    </row>
    <row r="949">
      <c r="B949" s="462"/>
      <c r="C949" s="462"/>
      <c r="D949" s="462"/>
      <c r="E949" s="462"/>
      <c r="F949" s="462"/>
      <c r="G949" s="462"/>
      <c r="H949" s="462"/>
      <c r="I949" s="654"/>
      <c r="J949" s="650"/>
      <c r="K949" s="654"/>
      <c r="L949" s="654"/>
      <c r="M949" s="650"/>
      <c r="N949" s="650"/>
      <c r="O949" s="655"/>
      <c r="P949" s="655"/>
      <c r="Q949" s="655"/>
      <c r="R949" s="655"/>
      <c r="S949" s="655"/>
      <c r="T949" s="655"/>
      <c r="U949" s="655"/>
      <c r="V949" s="655"/>
      <c r="W949" s="655"/>
      <c r="X949" s="655"/>
      <c r="Y949" s="655"/>
      <c r="Z949" s="655"/>
      <c r="AA949" s="655"/>
      <c r="AB949" s="655"/>
      <c r="AC949" s="655"/>
      <c r="AD949" s="655"/>
    </row>
    <row r="950">
      <c r="B950" s="462"/>
      <c r="C950" s="462"/>
      <c r="D950" s="462"/>
      <c r="E950" s="462"/>
      <c r="F950" s="462"/>
      <c r="G950" s="462"/>
      <c r="H950" s="462"/>
      <c r="I950" s="654"/>
      <c r="J950" s="650"/>
      <c r="K950" s="654"/>
      <c r="L950" s="654"/>
      <c r="M950" s="650"/>
      <c r="N950" s="650"/>
      <c r="O950" s="655"/>
      <c r="P950" s="655"/>
      <c r="Q950" s="655"/>
      <c r="R950" s="655"/>
      <c r="S950" s="655"/>
      <c r="T950" s="655"/>
      <c r="U950" s="655"/>
      <c r="V950" s="655"/>
      <c r="W950" s="655"/>
      <c r="X950" s="655"/>
      <c r="Y950" s="655"/>
      <c r="Z950" s="655"/>
      <c r="AA950" s="655"/>
      <c r="AB950" s="655"/>
      <c r="AC950" s="655"/>
      <c r="AD950" s="655"/>
    </row>
    <row r="951">
      <c r="B951" s="462"/>
      <c r="C951" s="462"/>
      <c r="D951" s="462"/>
      <c r="E951" s="462"/>
      <c r="F951" s="462"/>
      <c r="G951" s="462"/>
      <c r="H951" s="462"/>
      <c r="I951" s="654"/>
      <c r="J951" s="650"/>
      <c r="K951" s="654"/>
      <c r="L951" s="654"/>
      <c r="M951" s="650"/>
      <c r="N951" s="650"/>
      <c r="O951" s="655"/>
      <c r="P951" s="655"/>
      <c r="Q951" s="655"/>
      <c r="R951" s="655"/>
      <c r="S951" s="655"/>
      <c r="T951" s="655"/>
      <c r="U951" s="655"/>
      <c r="V951" s="655"/>
      <c r="W951" s="655"/>
      <c r="X951" s="655"/>
      <c r="Y951" s="655"/>
      <c r="Z951" s="655"/>
      <c r="AA951" s="655"/>
      <c r="AB951" s="655"/>
      <c r="AC951" s="655"/>
      <c r="AD951" s="655"/>
    </row>
    <row r="952">
      <c r="B952" s="462"/>
      <c r="C952" s="462"/>
      <c r="D952" s="462"/>
      <c r="E952" s="462"/>
      <c r="F952" s="462"/>
      <c r="G952" s="462"/>
      <c r="H952" s="462"/>
      <c r="I952" s="654"/>
      <c r="J952" s="650"/>
      <c r="K952" s="654"/>
      <c r="L952" s="654"/>
      <c r="M952" s="650"/>
      <c r="N952" s="650"/>
      <c r="O952" s="655"/>
      <c r="P952" s="655"/>
      <c r="Q952" s="655"/>
      <c r="R952" s="655"/>
      <c r="S952" s="655"/>
      <c r="T952" s="655"/>
      <c r="U952" s="655"/>
      <c r="V952" s="655"/>
      <c r="W952" s="655"/>
      <c r="X952" s="655"/>
      <c r="Y952" s="655"/>
      <c r="Z952" s="655"/>
      <c r="AA952" s="655"/>
      <c r="AB952" s="655"/>
      <c r="AC952" s="655"/>
      <c r="AD952" s="655"/>
    </row>
    <row r="953">
      <c r="B953" s="462"/>
      <c r="C953" s="462"/>
      <c r="D953" s="462"/>
      <c r="E953" s="462"/>
      <c r="F953" s="462"/>
      <c r="G953" s="462"/>
      <c r="H953" s="462"/>
      <c r="I953" s="654"/>
      <c r="J953" s="650"/>
      <c r="K953" s="654"/>
      <c r="L953" s="654"/>
      <c r="M953" s="650"/>
      <c r="N953" s="650"/>
      <c r="O953" s="655"/>
      <c r="P953" s="655"/>
      <c r="Q953" s="655"/>
      <c r="R953" s="655"/>
      <c r="S953" s="655"/>
      <c r="T953" s="655"/>
      <c r="U953" s="655"/>
      <c r="V953" s="655"/>
      <c r="W953" s="655"/>
      <c r="X953" s="655"/>
      <c r="Y953" s="655"/>
      <c r="Z953" s="655"/>
      <c r="AA953" s="655"/>
      <c r="AB953" s="655"/>
      <c r="AC953" s="655"/>
      <c r="AD953" s="655"/>
    </row>
    <row r="954">
      <c r="B954" s="462"/>
      <c r="C954" s="462"/>
      <c r="D954" s="462"/>
      <c r="E954" s="462"/>
      <c r="F954" s="462"/>
      <c r="G954" s="462"/>
      <c r="H954" s="462"/>
      <c r="I954" s="654"/>
      <c r="J954" s="650"/>
      <c r="K954" s="654"/>
      <c r="L954" s="654"/>
      <c r="M954" s="650"/>
      <c r="N954" s="650"/>
      <c r="O954" s="655"/>
      <c r="P954" s="655"/>
      <c r="Q954" s="655"/>
      <c r="R954" s="655"/>
      <c r="S954" s="655"/>
      <c r="T954" s="655"/>
      <c r="U954" s="655"/>
      <c r="V954" s="655"/>
      <c r="W954" s="655"/>
      <c r="X954" s="655"/>
      <c r="Y954" s="655"/>
      <c r="Z954" s="655"/>
      <c r="AA954" s="655"/>
      <c r="AB954" s="655"/>
      <c r="AC954" s="655"/>
      <c r="AD954" s="655"/>
    </row>
    <row r="955">
      <c r="B955" s="462"/>
      <c r="C955" s="462"/>
      <c r="D955" s="462"/>
      <c r="E955" s="462"/>
      <c r="F955" s="462"/>
      <c r="G955" s="462"/>
      <c r="H955" s="462"/>
      <c r="I955" s="654"/>
      <c r="J955" s="650"/>
      <c r="K955" s="654"/>
      <c r="L955" s="654"/>
      <c r="M955" s="650"/>
      <c r="N955" s="650"/>
      <c r="O955" s="655"/>
      <c r="P955" s="655"/>
      <c r="Q955" s="655"/>
      <c r="R955" s="655"/>
      <c r="S955" s="655"/>
      <c r="T955" s="655"/>
      <c r="U955" s="655"/>
      <c r="V955" s="655"/>
      <c r="W955" s="655"/>
      <c r="X955" s="655"/>
      <c r="Y955" s="655"/>
      <c r="Z955" s="655"/>
      <c r="AA955" s="655"/>
      <c r="AB955" s="655"/>
      <c r="AC955" s="655"/>
      <c r="AD955" s="655"/>
    </row>
    <row r="956">
      <c r="B956" s="462"/>
      <c r="C956" s="462"/>
      <c r="D956" s="462"/>
      <c r="E956" s="462"/>
      <c r="F956" s="462"/>
      <c r="G956" s="462"/>
      <c r="H956" s="462"/>
      <c r="I956" s="654"/>
      <c r="J956" s="650"/>
      <c r="K956" s="654"/>
      <c r="L956" s="654"/>
      <c r="M956" s="650"/>
      <c r="N956" s="650"/>
      <c r="O956" s="655"/>
      <c r="P956" s="655"/>
      <c r="Q956" s="655"/>
      <c r="R956" s="655"/>
      <c r="S956" s="655"/>
      <c r="T956" s="655"/>
      <c r="U956" s="655"/>
      <c r="V956" s="655"/>
      <c r="W956" s="655"/>
      <c r="X956" s="655"/>
      <c r="Y956" s="655"/>
      <c r="Z956" s="655"/>
      <c r="AA956" s="655"/>
      <c r="AB956" s="655"/>
      <c r="AC956" s="655"/>
      <c r="AD956" s="655"/>
    </row>
    <row r="957">
      <c r="B957" s="462"/>
      <c r="C957" s="462"/>
      <c r="D957" s="462"/>
      <c r="E957" s="462"/>
      <c r="F957" s="462"/>
      <c r="G957" s="462"/>
      <c r="H957" s="462"/>
      <c r="I957" s="654"/>
      <c r="J957" s="650"/>
      <c r="K957" s="654"/>
      <c r="L957" s="654"/>
      <c r="M957" s="650"/>
      <c r="N957" s="650"/>
      <c r="O957" s="655"/>
      <c r="P957" s="655"/>
      <c r="Q957" s="655"/>
      <c r="R957" s="655"/>
      <c r="S957" s="655"/>
      <c r="T957" s="655"/>
      <c r="U957" s="655"/>
      <c r="V957" s="655"/>
      <c r="W957" s="655"/>
      <c r="X957" s="655"/>
      <c r="Y957" s="655"/>
      <c r="Z957" s="655"/>
      <c r="AA957" s="655"/>
      <c r="AB957" s="655"/>
      <c r="AC957" s="655"/>
      <c r="AD957" s="655"/>
    </row>
    <row r="958">
      <c r="B958" s="462"/>
      <c r="C958" s="462"/>
      <c r="D958" s="462"/>
      <c r="E958" s="462"/>
      <c r="F958" s="462"/>
      <c r="G958" s="462"/>
      <c r="H958" s="462"/>
      <c r="I958" s="654"/>
      <c r="J958" s="650"/>
      <c r="K958" s="654"/>
      <c r="L958" s="654"/>
      <c r="M958" s="650"/>
      <c r="N958" s="650"/>
      <c r="O958" s="655"/>
      <c r="P958" s="655"/>
      <c r="Q958" s="655"/>
      <c r="R958" s="655"/>
      <c r="S958" s="655"/>
      <c r="T958" s="655"/>
      <c r="U958" s="655"/>
      <c r="V958" s="655"/>
      <c r="W958" s="655"/>
      <c r="X958" s="655"/>
      <c r="Y958" s="655"/>
      <c r="Z958" s="655"/>
      <c r="AA958" s="655"/>
      <c r="AB958" s="655"/>
      <c r="AC958" s="655"/>
      <c r="AD958" s="655"/>
    </row>
    <row r="959">
      <c r="B959" s="462"/>
      <c r="C959" s="462"/>
      <c r="D959" s="462"/>
      <c r="E959" s="462"/>
      <c r="F959" s="462"/>
      <c r="G959" s="462"/>
      <c r="H959" s="462"/>
      <c r="I959" s="654"/>
      <c r="J959" s="650"/>
      <c r="K959" s="654"/>
      <c r="L959" s="654"/>
      <c r="M959" s="650"/>
      <c r="N959" s="650"/>
      <c r="O959" s="655"/>
      <c r="P959" s="655"/>
      <c r="Q959" s="655"/>
      <c r="R959" s="655"/>
      <c r="S959" s="655"/>
      <c r="T959" s="655"/>
      <c r="U959" s="655"/>
      <c r="V959" s="655"/>
      <c r="W959" s="655"/>
      <c r="X959" s="655"/>
      <c r="Y959" s="655"/>
      <c r="Z959" s="655"/>
      <c r="AA959" s="655"/>
      <c r="AB959" s="655"/>
      <c r="AC959" s="655"/>
      <c r="AD959" s="655"/>
    </row>
    <row r="960">
      <c r="B960" s="462"/>
      <c r="C960" s="462"/>
      <c r="D960" s="462"/>
      <c r="E960" s="462"/>
      <c r="F960" s="462"/>
      <c r="G960" s="462"/>
      <c r="H960" s="462"/>
      <c r="I960" s="654"/>
      <c r="J960" s="650"/>
      <c r="K960" s="654"/>
      <c r="L960" s="654"/>
      <c r="M960" s="650"/>
      <c r="N960" s="650"/>
      <c r="O960" s="655"/>
      <c r="P960" s="655"/>
      <c r="Q960" s="655"/>
      <c r="R960" s="655"/>
      <c r="S960" s="655"/>
      <c r="T960" s="655"/>
      <c r="U960" s="655"/>
      <c r="V960" s="655"/>
      <c r="W960" s="655"/>
      <c r="X960" s="655"/>
      <c r="Y960" s="655"/>
      <c r="Z960" s="655"/>
      <c r="AA960" s="655"/>
      <c r="AB960" s="655"/>
      <c r="AC960" s="655"/>
      <c r="AD960" s="655"/>
    </row>
    <row r="961">
      <c r="B961" s="462"/>
      <c r="C961" s="462"/>
      <c r="D961" s="462"/>
      <c r="E961" s="462"/>
      <c r="F961" s="462"/>
      <c r="G961" s="462"/>
      <c r="H961" s="462"/>
      <c r="I961" s="654"/>
      <c r="J961" s="650"/>
      <c r="K961" s="654"/>
      <c r="L961" s="654"/>
      <c r="M961" s="650"/>
      <c r="N961" s="650"/>
      <c r="O961" s="655"/>
      <c r="P961" s="655"/>
      <c r="Q961" s="655"/>
      <c r="R961" s="655"/>
      <c r="S961" s="655"/>
      <c r="T961" s="655"/>
      <c r="U961" s="655"/>
      <c r="V961" s="655"/>
      <c r="W961" s="655"/>
      <c r="X961" s="655"/>
      <c r="Y961" s="655"/>
      <c r="Z961" s="655"/>
      <c r="AA961" s="655"/>
      <c r="AB961" s="655"/>
      <c r="AC961" s="655"/>
      <c r="AD961" s="655"/>
    </row>
    <row r="962">
      <c r="B962" s="462"/>
      <c r="C962" s="462"/>
      <c r="D962" s="462"/>
      <c r="E962" s="462"/>
      <c r="F962" s="462"/>
      <c r="G962" s="462"/>
      <c r="H962" s="462"/>
      <c r="I962" s="654"/>
      <c r="J962" s="650"/>
      <c r="K962" s="654"/>
      <c r="L962" s="654"/>
      <c r="M962" s="650"/>
      <c r="N962" s="650"/>
      <c r="O962" s="655"/>
      <c r="P962" s="655"/>
      <c r="Q962" s="655"/>
      <c r="R962" s="655"/>
      <c r="S962" s="655"/>
      <c r="T962" s="655"/>
      <c r="U962" s="655"/>
      <c r="V962" s="655"/>
      <c r="W962" s="655"/>
      <c r="X962" s="655"/>
      <c r="Y962" s="655"/>
      <c r="Z962" s="655"/>
      <c r="AA962" s="655"/>
      <c r="AB962" s="655"/>
      <c r="AC962" s="655"/>
      <c r="AD962" s="655"/>
    </row>
    <row r="963">
      <c r="B963" s="462"/>
      <c r="C963" s="462"/>
      <c r="D963" s="462"/>
      <c r="E963" s="462"/>
      <c r="F963" s="462"/>
      <c r="G963" s="462"/>
      <c r="H963" s="462"/>
      <c r="I963" s="654"/>
      <c r="J963" s="650"/>
      <c r="K963" s="654"/>
      <c r="L963" s="654"/>
      <c r="M963" s="650"/>
      <c r="N963" s="650"/>
      <c r="O963" s="655"/>
      <c r="P963" s="655"/>
      <c r="Q963" s="655"/>
      <c r="R963" s="655"/>
      <c r="S963" s="655"/>
      <c r="T963" s="655"/>
      <c r="U963" s="655"/>
      <c r="V963" s="655"/>
      <c r="W963" s="655"/>
      <c r="X963" s="655"/>
      <c r="Y963" s="655"/>
      <c r="Z963" s="655"/>
      <c r="AA963" s="655"/>
      <c r="AB963" s="655"/>
      <c r="AC963" s="655"/>
      <c r="AD963" s="655"/>
    </row>
    <row r="964">
      <c r="B964" s="462"/>
      <c r="C964" s="462"/>
      <c r="D964" s="462"/>
      <c r="E964" s="462"/>
      <c r="F964" s="462"/>
      <c r="G964" s="462"/>
      <c r="H964" s="462"/>
      <c r="I964" s="654"/>
      <c r="J964" s="650"/>
      <c r="K964" s="654"/>
      <c r="L964" s="654"/>
      <c r="M964" s="650"/>
      <c r="N964" s="650"/>
      <c r="O964" s="655"/>
      <c r="P964" s="655"/>
      <c r="Q964" s="655"/>
      <c r="R964" s="655"/>
      <c r="S964" s="655"/>
      <c r="T964" s="655"/>
      <c r="U964" s="655"/>
      <c r="V964" s="655"/>
      <c r="W964" s="655"/>
      <c r="X964" s="655"/>
      <c r="Y964" s="655"/>
      <c r="Z964" s="655"/>
      <c r="AA964" s="655"/>
      <c r="AB964" s="655"/>
      <c r="AC964" s="655"/>
      <c r="AD964" s="655"/>
    </row>
    <row r="965">
      <c r="B965" s="462"/>
      <c r="C965" s="462"/>
      <c r="D965" s="462"/>
      <c r="E965" s="462"/>
      <c r="F965" s="462"/>
      <c r="G965" s="462"/>
      <c r="H965" s="462"/>
      <c r="I965" s="654"/>
      <c r="J965" s="650"/>
      <c r="K965" s="654"/>
      <c r="L965" s="654"/>
      <c r="M965" s="650"/>
      <c r="N965" s="650"/>
      <c r="O965" s="655"/>
      <c r="P965" s="655"/>
      <c r="Q965" s="655"/>
      <c r="R965" s="655"/>
      <c r="S965" s="655"/>
      <c r="T965" s="655"/>
      <c r="U965" s="655"/>
      <c r="V965" s="655"/>
      <c r="W965" s="655"/>
      <c r="X965" s="655"/>
      <c r="Y965" s="655"/>
      <c r="Z965" s="655"/>
      <c r="AA965" s="655"/>
      <c r="AB965" s="655"/>
      <c r="AC965" s="655"/>
      <c r="AD965" s="655"/>
    </row>
    <row r="966">
      <c r="B966" s="462"/>
      <c r="C966" s="462"/>
      <c r="D966" s="462"/>
      <c r="E966" s="462"/>
      <c r="F966" s="462"/>
      <c r="G966" s="462"/>
      <c r="H966" s="462"/>
      <c r="I966" s="654"/>
      <c r="J966" s="650"/>
      <c r="K966" s="654"/>
      <c r="L966" s="654"/>
      <c r="M966" s="650"/>
      <c r="N966" s="650"/>
      <c r="O966" s="655"/>
      <c r="P966" s="655"/>
      <c r="Q966" s="655"/>
      <c r="R966" s="655"/>
      <c r="S966" s="655"/>
      <c r="T966" s="655"/>
      <c r="U966" s="655"/>
      <c r="V966" s="655"/>
      <c r="W966" s="655"/>
      <c r="X966" s="655"/>
      <c r="Y966" s="655"/>
      <c r="Z966" s="655"/>
      <c r="AA966" s="655"/>
      <c r="AB966" s="655"/>
      <c r="AC966" s="655"/>
      <c r="AD966" s="655"/>
    </row>
    <row r="967">
      <c r="B967" s="462"/>
      <c r="C967" s="462"/>
      <c r="D967" s="462"/>
      <c r="E967" s="462"/>
      <c r="F967" s="462"/>
      <c r="G967" s="462"/>
      <c r="H967" s="462"/>
      <c r="I967" s="654"/>
      <c r="J967" s="650"/>
      <c r="K967" s="654"/>
      <c r="L967" s="654"/>
      <c r="M967" s="650"/>
      <c r="N967" s="650"/>
      <c r="O967" s="655"/>
      <c r="P967" s="655"/>
      <c r="Q967" s="655"/>
      <c r="R967" s="655"/>
      <c r="S967" s="655"/>
      <c r="T967" s="655"/>
      <c r="U967" s="655"/>
      <c r="V967" s="655"/>
      <c r="W967" s="655"/>
      <c r="X967" s="655"/>
      <c r="Y967" s="655"/>
      <c r="Z967" s="655"/>
      <c r="AA967" s="655"/>
      <c r="AB967" s="655"/>
      <c r="AC967" s="655"/>
      <c r="AD967" s="655"/>
    </row>
    <row r="968">
      <c r="B968" s="462"/>
      <c r="C968" s="462"/>
      <c r="D968" s="462"/>
      <c r="E968" s="462"/>
      <c r="F968" s="462"/>
      <c r="G968" s="462"/>
      <c r="H968" s="462"/>
      <c r="I968" s="654"/>
      <c r="J968" s="650"/>
      <c r="K968" s="654"/>
      <c r="L968" s="654"/>
      <c r="M968" s="650"/>
      <c r="N968" s="650"/>
      <c r="O968" s="655"/>
      <c r="P968" s="655"/>
      <c r="Q968" s="655"/>
      <c r="R968" s="655"/>
      <c r="S968" s="655"/>
      <c r="T968" s="655"/>
      <c r="U968" s="655"/>
      <c r="V968" s="655"/>
      <c r="W968" s="655"/>
      <c r="X968" s="655"/>
      <c r="Y968" s="655"/>
      <c r="Z968" s="655"/>
      <c r="AA968" s="655"/>
      <c r="AB968" s="655"/>
      <c r="AC968" s="655"/>
      <c r="AD968" s="655"/>
    </row>
    <row r="969">
      <c r="B969" s="462"/>
      <c r="C969" s="462"/>
      <c r="D969" s="462"/>
      <c r="E969" s="462"/>
      <c r="F969" s="462"/>
      <c r="G969" s="462"/>
      <c r="H969" s="462"/>
      <c r="I969" s="654"/>
      <c r="J969" s="650"/>
      <c r="K969" s="654"/>
      <c r="L969" s="654"/>
      <c r="M969" s="650"/>
      <c r="N969" s="650"/>
      <c r="O969" s="655"/>
      <c r="P969" s="655"/>
      <c r="Q969" s="655"/>
      <c r="R969" s="655"/>
      <c r="S969" s="655"/>
      <c r="T969" s="655"/>
      <c r="U969" s="655"/>
      <c r="V969" s="655"/>
      <c r="W969" s="655"/>
      <c r="X969" s="655"/>
      <c r="Y969" s="655"/>
      <c r="Z969" s="655"/>
      <c r="AA969" s="655"/>
      <c r="AB969" s="655"/>
      <c r="AC969" s="655"/>
      <c r="AD969" s="655"/>
    </row>
    <row r="970">
      <c r="B970" s="462"/>
      <c r="C970" s="462"/>
      <c r="D970" s="462"/>
      <c r="E970" s="462"/>
      <c r="F970" s="462"/>
      <c r="G970" s="462"/>
      <c r="H970" s="462"/>
      <c r="I970" s="654"/>
      <c r="J970" s="650"/>
      <c r="K970" s="654"/>
      <c r="L970" s="654"/>
      <c r="M970" s="650"/>
      <c r="N970" s="650"/>
      <c r="O970" s="655"/>
      <c r="P970" s="655"/>
      <c r="Q970" s="655"/>
      <c r="R970" s="655"/>
      <c r="S970" s="655"/>
      <c r="T970" s="655"/>
      <c r="U970" s="655"/>
      <c r="V970" s="655"/>
      <c r="W970" s="655"/>
      <c r="X970" s="655"/>
      <c r="Y970" s="655"/>
      <c r="Z970" s="655"/>
      <c r="AA970" s="655"/>
      <c r="AB970" s="655"/>
      <c r="AC970" s="655"/>
      <c r="AD970" s="655"/>
    </row>
    <row r="971">
      <c r="B971" s="462"/>
      <c r="C971" s="462"/>
      <c r="D971" s="462"/>
      <c r="E971" s="462"/>
      <c r="F971" s="462"/>
      <c r="G971" s="462"/>
      <c r="H971" s="462"/>
      <c r="I971" s="654"/>
      <c r="J971" s="650"/>
      <c r="K971" s="654"/>
      <c r="L971" s="654"/>
      <c r="M971" s="650"/>
      <c r="N971" s="650"/>
      <c r="O971" s="655"/>
      <c r="P971" s="655"/>
      <c r="Q971" s="655"/>
      <c r="R971" s="655"/>
      <c r="S971" s="655"/>
      <c r="T971" s="655"/>
      <c r="U971" s="655"/>
      <c r="V971" s="655"/>
      <c r="W971" s="655"/>
      <c r="X971" s="655"/>
      <c r="Y971" s="655"/>
      <c r="Z971" s="655"/>
      <c r="AA971" s="655"/>
      <c r="AB971" s="655"/>
      <c r="AC971" s="655"/>
      <c r="AD971" s="655"/>
    </row>
    <row r="972">
      <c r="B972" s="462"/>
      <c r="C972" s="462"/>
      <c r="D972" s="462"/>
      <c r="E972" s="462"/>
      <c r="F972" s="462"/>
      <c r="G972" s="462"/>
      <c r="H972" s="462"/>
      <c r="I972" s="654"/>
      <c r="J972" s="650"/>
      <c r="K972" s="654"/>
      <c r="L972" s="654"/>
      <c r="M972" s="650"/>
      <c r="N972" s="650"/>
      <c r="O972" s="655"/>
      <c r="P972" s="655"/>
      <c r="Q972" s="655"/>
      <c r="R972" s="655"/>
      <c r="S972" s="655"/>
      <c r="T972" s="655"/>
      <c r="U972" s="655"/>
      <c r="V972" s="655"/>
      <c r="W972" s="655"/>
      <c r="X972" s="655"/>
      <c r="Y972" s="655"/>
      <c r="Z972" s="655"/>
      <c r="AA972" s="655"/>
      <c r="AB972" s="655"/>
      <c r="AC972" s="655"/>
      <c r="AD972" s="655"/>
    </row>
    <row r="973">
      <c r="B973" s="462"/>
      <c r="C973" s="462"/>
      <c r="D973" s="462"/>
      <c r="E973" s="462"/>
      <c r="F973" s="462"/>
      <c r="G973" s="462"/>
      <c r="H973" s="462"/>
      <c r="I973" s="654"/>
      <c r="J973" s="650"/>
      <c r="K973" s="654"/>
      <c r="L973" s="654"/>
      <c r="M973" s="650"/>
      <c r="N973" s="650"/>
      <c r="O973" s="655"/>
      <c r="P973" s="655"/>
      <c r="Q973" s="655"/>
      <c r="R973" s="655"/>
      <c r="S973" s="655"/>
      <c r="T973" s="655"/>
      <c r="U973" s="655"/>
      <c r="V973" s="655"/>
      <c r="W973" s="655"/>
      <c r="X973" s="655"/>
      <c r="Y973" s="655"/>
      <c r="Z973" s="655"/>
      <c r="AA973" s="655"/>
      <c r="AB973" s="655"/>
      <c r="AC973" s="655"/>
      <c r="AD973" s="655"/>
    </row>
    <row r="974">
      <c r="B974" s="462"/>
      <c r="C974" s="462"/>
      <c r="D974" s="462"/>
      <c r="E974" s="462"/>
      <c r="F974" s="462"/>
      <c r="G974" s="462"/>
      <c r="H974" s="462"/>
      <c r="I974" s="654"/>
      <c r="J974" s="650"/>
      <c r="K974" s="654"/>
      <c r="L974" s="654"/>
      <c r="M974" s="650"/>
      <c r="N974" s="650"/>
      <c r="O974" s="655"/>
      <c r="P974" s="655"/>
      <c r="Q974" s="655"/>
      <c r="R974" s="655"/>
      <c r="S974" s="655"/>
      <c r="T974" s="655"/>
      <c r="U974" s="655"/>
      <c r="V974" s="655"/>
      <c r="W974" s="655"/>
      <c r="X974" s="655"/>
      <c r="Y974" s="655"/>
      <c r="Z974" s="655"/>
      <c r="AA974" s="655"/>
      <c r="AB974" s="655"/>
      <c r="AC974" s="655"/>
      <c r="AD974" s="655"/>
    </row>
    <row r="975">
      <c r="B975" s="462"/>
      <c r="C975" s="462"/>
      <c r="D975" s="462"/>
      <c r="E975" s="462"/>
      <c r="F975" s="462"/>
      <c r="G975" s="462"/>
      <c r="H975" s="462"/>
      <c r="I975" s="654"/>
      <c r="J975" s="650"/>
      <c r="K975" s="654"/>
      <c r="L975" s="654"/>
      <c r="M975" s="650"/>
      <c r="N975" s="650"/>
      <c r="O975" s="655"/>
      <c r="P975" s="655"/>
      <c r="Q975" s="655"/>
      <c r="R975" s="655"/>
      <c r="S975" s="655"/>
      <c r="T975" s="655"/>
      <c r="U975" s="655"/>
      <c r="V975" s="655"/>
      <c r="W975" s="655"/>
      <c r="X975" s="655"/>
      <c r="Y975" s="655"/>
      <c r="Z975" s="655"/>
      <c r="AA975" s="655"/>
      <c r="AB975" s="655"/>
      <c r="AC975" s="655"/>
      <c r="AD975" s="655"/>
    </row>
    <row r="976">
      <c r="B976" s="462"/>
      <c r="C976" s="462"/>
      <c r="D976" s="462"/>
      <c r="E976" s="462"/>
      <c r="F976" s="462"/>
      <c r="G976" s="462"/>
      <c r="H976" s="462"/>
      <c r="I976" s="654"/>
      <c r="J976" s="650"/>
      <c r="K976" s="654"/>
      <c r="L976" s="654"/>
      <c r="M976" s="650"/>
      <c r="N976" s="650"/>
      <c r="O976" s="655"/>
      <c r="P976" s="655"/>
      <c r="Q976" s="655"/>
      <c r="R976" s="655"/>
      <c r="S976" s="655"/>
      <c r="T976" s="655"/>
      <c r="U976" s="655"/>
      <c r="V976" s="655"/>
      <c r="W976" s="655"/>
      <c r="X976" s="655"/>
      <c r="Y976" s="655"/>
      <c r="Z976" s="655"/>
      <c r="AA976" s="655"/>
      <c r="AB976" s="655"/>
      <c r="AC976" s="655"/>
      <c r="AD976" s="655"/>
    </row>
    <row r="977">
      <c r="B977" s="462"/>
      <c r="C977" s="462"/>
      <c r="D977" s="462"/>
      <c r="E977" s="462"/>
      <c r="F977" s="462"/>
      <c r="G977" s="462"/>
      <c r="H977" s="462"/>
      <c r="I977" s="654"/>
      <c r="J977" s="650"/>
      <c r="K977" s="654"/>
      <c r="L977" s="654"/>
      <c r="M977" s="650"/>
      <c r="N977" s="650"/>
      <c r="O977" s="655"/>
      <c r="P977" s="655"/>
      <c r="Q977" s="655"/>
      <c r="R977" s="655"/>
      <c r="S977" s="655"/>
      <c r="T977" s="655"/>
      <c r="U977" s="655"/>
      <c r="V977" s="655"/>
      <c r="W977" s="655"/>
      <c r="X977" s="655"/>
      <c r="Y977" s="655"/>
      <c r="Z977" s="655"/>
      <c r="AA977" s="655"/>
      <c r="AB977" s="655"/>
      <c r="AC977" s="655"/>
      <c r="AD977" s="655"/>
    </row>
    <row r="978">
      <c r="B978" s="462"/>
      <c r="C978" s="462"/>
      <c r="D978" s="462"/>
      <c r="E978" s="462"/>
      <c r="F978" s="462"/>
      <c r="G978" s="462"/>
      <c r="H978" s="462"/>
      <c r="I978" s="654"/>
      <c r="J978" s="650"/>
      <c r="K978" s="654"/>
      <c r="L978" s="654"/>
      <c r="M978" s="650"/>
      <c r="N978" s="650"/>
      <c r="O978" s="655"/>
      <c r="P978" s="655"/>
      <c r="Q978" s="655"/>
      <c r="R978" s="655"/>
      <c r="S978" s="655"/>
      <c r="T978" s="655"/>
      <c r="U978" s="655"/>
      <c r="V978" s="655"/>
      <c r="W978" s="655"/>
      <c r="X978" s="655"/>
      <c r="Y978" s="655"/>
      <c r="Z978" s="655"/>
      <c r="AA978" s="655"/>
      <c r="AB978" s="655"/>
      <c r="AC978" s="655"/>
      <c r="AD978" s="655"/>
    </row>
    <row r="979">
      <c r="B979" s="462"/>
      <c r="C979" s="462"/>
      <c r="D979" s="462"/>
      <c r="E979" s="462"/>
      <c r="F979" s="462"/>
      <c r="G979" s="462"/>
      <c r="H979" s="462"/>
      <c r="I979" s="654"/>
      <c r="J979" s="650"/>
      <c r="K979" s="654"/>
      <c r="L979" s="654"/>
      <c r="M979" s="650"/>
      <c r="N979" s="650"/>
      <c r="O979" s="655"/>
      <c r="P979" s="655"/>
      <c r="Q979" s="655"/>
      <c r="R979" s="655"/>
      <c r="S979" s="655"/>
      <c r="T979" s="655"/>
      <c r="U979" s="655"/>
      <c r="V979" s="655"/>
      <c r="W979" s="655"/>
      <c r="X979" s="655"/>
      <c r="Y979" s="655"/>
      <c r="Z979" s="655"/>
      <c r="AA979" s="655"/>
      <c r="AB979" s="655"/>
      <c r="AC979" s="655"/>
      <c r="AD979" s="655"/>
    </row>
    <row r="980">
      <c r="B980" s="462"/>
      <c r="C980" s="462"/>
      <c r="D980" s="462"/>
      <c r="E980" s="462"/>
      <c r="F980" s="462"/>
      <c r="G980" s="462"/>
      <c r="H980" s="462"/>
      <c r="I980" s="654"/>
      <c r="J980" s="650"/>
      <c r="K980" s="654"/>
      <c r="L980" s="654"/>
      <c r="M980" s="650"/>
      <c r="N980" s="650"/>
      <c r="O980" s="655"/>
      <c r="P980" s="655"/>
      <c r="Q980" s="655"/>
      <c r="R980" s="655"/>
      <c r="S980" s="655"/>
      <c r="T980" s="655"/>
      <c r="U980" s="655"/>
      <c r="V980" s="655"/>
      <c r="W980" s="655"/>
      <c r="X980" s="655"/>
      <c r="Y980" s="655"/>
      <c r="Z980" s="655"/>
      <c r="AA980" s="655"/>
      <c r="AB980" s="655"/>
      <c r="AC980" s="655"/>
      <c r="AD980" s="655"/>
    </row>
    <row r="981">
      <c r="B981" s="462"/>
      <c r="C981" s="462"/>
      <c r="D981" s="462"/>
      <c r="E981" s="462"/>
      <c r="F981" s="462"/>
      <c r="G981" s="462"/>
      <c r="H981" s="462"/>
      <c r="I981" s="654"/>
      <c r="J981" s="650"/>
      <c r="K981" s="654"/>
      <c r="L981" s="654"/>
      <c r="M981" s="650"/>
      <c r="N981" s="650"/>
      <c r="O981" s="655"/>
      <c r="P981" s="655"/>
      <c r="Q981" s="655"/>
      <c r="R981" s="655"/>
      <c r="S981" s="655"/>
      <c r="T981" s="655"/>
      <c r="U981" s="655"/>
      <c r="V981" s="655"/>
      <c r="W981" s="655"/>
      <c r="X981" s="655"/>
      <c r="Y981" s="655"/>
      <c r="Z981" s="655"/>
      <c r="AA981" s="655"/>
      <c r="AB981" s="655"/>
      <c r="AC981" s="655"/>
      <c r="AD981" s="655"/>
    </row>
    <row r="982">
      <c r="B982" s="462"/>
      <c r="C982" s="462"/>
      <c r="D982" s="462"/>
      <c r="E982" s="462"/>
      <c r="F982" s="462"/>
      <c r="G982" s="462"/>
      <c r="H982" s="462"/>
      <c r="I982" s="654"/>
      <c r="J982" s="650"/>
      <c r="K982" s="654"/>
      <c r="L982" s="654"/>
      <c r="M982" s="650"/>
      <c r="N982" s="650"/>
      <c r="O982" s="655"/>
      <c r="P982" s="655"/>
      <c r="Q982" s="655"/>
      <c r="R982" s="655"/>
      <c r="S982" s="655"/>
      <c r="T982" s="655"/>
      <c r="U982" s="655"/>
      <c r="V982" s="655"/>
      <c r="W982" s="655"/>
      <c r="X982" s="655"/>
      <c r="Y982" s="655"/>
      <c r="Z982" s="655"/>
      <c r="AA982" s="655"/>
      <c r="AB982" s="655"/>
      <c r="AC982" s="655"/>
      <c r="AD982" s="655"/>
    </row>
    <row r="983">
      <c r="B983" s="462"/>
      <c r="C983" s="462"/>
      <c r="D983" s="462"/>
      <c r="E983" s="462"/>
      <c r="F983" s="462"/>
      <c r="G983" s="462"/>
      <c r="H983" s="462"/>
      <c r="I983" s="654"/>
      <c r="J983" s="650"/>
      <c r="K983" s="654"/>
      <c r="L983" s="654"/>
      <c r="M983" s="650"/>
      <c r="N983" s="650"/>
      <c r="O983" s="655"/>
      <c r="P983" s="655"/>
      <c r="Q983" s="655"/>
      <c r="R983" s="655"/>
      <c r="S983" s="655"/>
      <c r="T983" s="655"/>
      <c r="U983" s="655"/>
      <c r="V983" s="655"/>
      <c r="W983" s="655"/>
      <c r="X983" s="655"/>
      <c r="Y983" s="655"/>
      <c r="Z983" s="655"/>
      <c r="AA983" s="655"/>
      <c r="AB983" s="655"/>
      <c r="AC983" s="655"/>
      <c r="AD983" s="655"/>
    </row>
    <row r="984">
      <c r="B984" s="462"/>
      <c r="C984" s="462"/>
      <c r="D984" s="462"/>
      <c r="E984" s="462"/>
      <c r="F984" s="462"/>
      <c r="G984" s="462"/>
      <c r="H984" s="462"/>
      <c r="I984" s="654"/>
      <c r="J984" s="650"/>
      <c r="K984" s="654"/>
      <c r="L984" s="654"/>
      <c r="M984" s="650"/>
      <c r="N984" s="650"/>
      <c r="O984" s="655"/>
      <c r="P984" s="655"/>
      <c r="Q984" s="655"/>
      <c r="R984" s="655"/>
      <c r="S984" s="655"/>
      <c r="T984" s="655"/>
      <c r="U984" s="655"/>
      <c r="V984" s="655"/>
      <c r="W984" s="655"/>
      <c r="X984" s="655"/>
      <c r="Y984" s="655"/>
      <c r="Z984" s="655"/>
      <c r="AA984" s="655"/>
      <c r="AB984" s="655"/>
      <c r="AC984" s="655"/>
      <c r="AD984" s="655"/>
    </row>
    <row r="985">
      <c r="B985" s="462"/>
      <c r="C985" s="462"/>
      <c r="D985" s="462"/>
      <c r="E985" s="462"/>
      <c r="F985" s="462"/>
      <c r="G985" s="462"/>
      <c r="H985" s="462"/>
      <c r="I985" s="654"/>
      <c r="J985" s="650"/>
      <c r="K985" s="654"/>
      <c r="L985" s="654"/>
      <c r="M985" s="650"/>
      <c r="N985" s="650"/>
      <c r="O985" s="655"/>
      <c r="P985" s="655"/>
      <c r="Q985" s="655"/>
      <c r="R985" s="655"/>
      <c r="S985" s="655"/>
      <c r="T985" s="655"/>
      <c r="U985" s="655"/>
      <c r="V985" s="655"/>
      <c r="W985" s="655"/>
      <c r="X985" s="655"/>
      <c r="Y985" s="655"/>
      <c r="Z985" s="655"/>
      <c r="AA985" s="655"/>
      <c r="AB985" s="655"/>
      <c r="AC985" s="655"/>
      <c r="AD985" s="655"/>
    </row>
    <row r="986">
      <c r="B986" s="462"/>
      <c r="C986" s="462"/>
      <c r="D986" s="462"/>
      <c r="E986" s="462"/>
      <c r="F986" s="462"/>
      <c r="G986" s="462"/>
      <c r="H986" s="462"/>
      <c r="I986" s="654"/>
      <c r="J986" s="650"/>
      <c r="K986" s="654"/>
      <c r="L986" s="654"/>
      <c r="M986" s="650"/>
      <c r="N986" s="650"/>
      <c r="O986" s="655"/>
      <c r="P986" s="655"/>
      <c r="Q986" s="655"/>
      <c r="R986" s="655"/>
      <c r="S986" s="655"/>
      <c r="T986" s="655"/>
      <c r="U986" s="655"/>
      <c r="V986" s="655"/>
      <c r="W986" s="655"/>
      <c r="X986" s="655"/>
      <c r="Y986" s="655"/>
      <c r="Z986" s="655"/>
      <c r="AA986" s="655"/>
      <c r="AB986" s="655"/>
      <c r="AC986" s="655"/>
      <c r="AD986" s="655"/>
    </row>
    <row r="987">
      <c r="B987" s="462"/>
      <c r="C987" s="462"/>
      <c r="D987" s="462"/>
      <c r="E987" s="462"/>
      <c r="F987" s="462"/>
      <c r="G987" s="462"/>
      <c r="H987" s="462"/>
      <c r="I987" s="654"/>
      <c r="J987" s="650"/>
      <c r="K987" s="654"/>
      <c r="L987" s="654"/>
      <c r="M987" s="650"/>
      <c r="N987" s="650"/>
      <c r="O987" s="655"/>
      <c r="P987" s="655"/>
      <c r="Q987" s="655"/>
      <c r="R987" s="655"/>
      <c r="S987" s="655"/>
      <c r="T987" s="655"/>
      <c r="U987" s="655"/>
      <c r="V987" s="655"/>
      <c r="W987" s="655"/>
      <c r="X987" s="655"/>
      <c r="Y987" s="655"/>
      <c r="Z987" s="655"/>
      <c r="AA987" s="655"/>
      <c r="AB987" s="655"/>
      <c r="AC987" s="655"/>
      <c r="AD987" s="655"/>
    </row>
    <row r="988">
      <c r="B988" s="462"/>
      <c r="C988" s="462"/>
      <c r="D988" s="462"/>
      <c r="E988" s="462"/>
      <c r="F988" s="462"/>
      <c r="G988" s="462"/>
      <c r="H988" s="462"/>
      <c r="I988" s="654"/>
      <c r="J988" s="650"/>
      <c r="K988" s="654"/>
      <c r="L988" s="654"/>
      <c r="M988" s="650"/>
      <c r="N988" s="650"/>
      <c r="O988" s="655"/>
      <c r="P988" s="655"/>
      <c r="Q988" s="655"/>
      <c r="R988" s="655"/>
      <c r="S988" s="655"/>
      <c r="T988" s="655"/>
      <c r="U988" s="655"/>
      <c r="V988" s="655"/>
      <c r="W988" s="655"/>
      <c r="X988" s="655"/>
      <c r="Y988" s="655"/>
      <c r="Z988" s="655"/>
      <c r="AA988" s="655"/>
      <c r="AB988" s="655"/>
      <c r="AC988" s="655"/>
      <c r="AD988" s="655"/>
    </row>
    <row r="989">
      <c r="B989" s="462"/>
      <c r="C989" s="462"/>
      <c r="D989" s="462"/>
      <c r="E989" s="462"/>
      <c r="F989" s="462"/>
      <c r="G989" s="462"/>
      <c r="H989" s="462"/>
      <c r="I989" s="654"/>
      <c r="J989" s="650"/>
      <c r="K989" s="654"/>
      <c r="L989" s="654"/>
      <c r="M989" s="650"/>
      <c r="N989" s="650"/>
      <c r="O989" s="655"/>
      <c r="P989" s="655"/>
      <c r="Q989" s="655"/>
      <c r="R989" s="655"/>
      <c r="S989" s="655"/>
      <c r="T989" s="655"/>
      <c r="U989" s="655"/>
      <c r="V989" s="655"/>
      <c r="W989" s="655"/>
      <c r="X989" s="655"/>
      <c r="Y989" s="655"/>
      <c r="Z989" s="655"/>
      <c r="AA989" s="655"/>
      <c r="AB989" s="655"/>
      <c r="AC989" s="655"/>
      <c r="AD989" s="655"/>
    </row>
    <row r="990">
      <c r="B990" s="462"/>
      <c r="C990" s="462"/>
      <c r="D990" s="462"/>
      <c r="E990" s="462"/>
      <c r="F990" s="462"/>
      <c r="G990" s="462"/>
      <c r="H990" s="462"/>
      <c r="I990" s="654"/>
      <c r="J990" s="650"/>
      <c r="K990" s="654"/>
      <c r="L990" s="654"/>
      <c r="M990" s="650"/>
      <c r="N990" s="650"/>
      <c r="O990" s="655"/>
      <c r="P990" s="655"/>
      <c r="Q990" s="655"/>
      <c r="R990" s="655"/>
      <c r="S990" s="655"/>
      <c r="T990" s="655"/>
      <c r="U990" s="655"/>
      <c r="V990" s="655"/>
      <c r="W990" s="655"/>
      <c r="X990" s="655"/>
      <c r="Y990" s="655"/>
      <c r="Z990" s="655"/>
      <c r="AA990" s="655"/>
      <c r="AB990" s="655"/>
      <c r="AC990" s="655"/>
      <c r="AD990" s="655"/>
    </row>
    <row r="991">
      <c r="B991" s="462"/>
      <c r="C991" s="462"/>
      <c r="D991" s="462"/>
      <c r="E991" s="462"/>
      <c r="F991" s="462"/>
      <c r="G991" s="462"/>
      <c r="H991" s="462"/>
      <c r="I991" s="654"/>
      <c r="J991" s="650"/>
      <c r="K991" s="654"/>
      <c r="L991" s="654"/>
      <c r="M991" s="650"/>
      <c r="N991" s="650"/>
      <c r="O991" s="655"/>
      <c r="P991" s="655"/>
      <c r="Q991" s="655"/>
      <c r="R991" s="655"/>
      <c r="S991" s="655"/>
      <c r="T991" s="655"/>
      <c r="U991" s="655"/>
      <c r="V991" s="655"/>
      <c r="W991" s="655"/>
      <c r="X991" s="655"/>
      <c r="Y991" s="655"/>
      <c r="Z991" s="655"/>
      <c r="AA991" s="655"/>
      <c r="AB991" s="655"/>
      <c r="AC991" s="655"/>
      <c r="AD991" s="655"/>
    </row>
    <row r="992">
      <c r="B992" s="462"/>
      <c r="C992" s="462"/>
      <c r="D992" s="462"/>
      <c r="E992" s="462"/>
      <c r="F992" s="462"/>
      <c r="G992" s="462"/>
      <c r="H992" s="462"/>
      <c r="I992" s="654"/>
      <c r="J992" s="650"/>
      <c r="K992" s="654"/>
      <c r="L992" s="654"/>
      <c r="M992" s="650"/>
      <c r="N992" s="650"/>
      <c r="O992" s="655"/>
      <c r="P992" s="655"/>
      <c r="Q992" s="655"/>
      <c r="R992" s="655"/>
      <c r="S992" s="655"/>
      <c r="T992" s="655"/>
      <c r="U992" s="655"/>
      <c r="V992" s="655"/>
      <c r="W992" s="655"/>
      <c r="X992" s="655"/>
      <c r="Y992" s="655"/>
      <c r="Z992" s="655"/>
      <c r="AA992" s="655"/>
      <c r="AB992" s="655"/>
      <c r="AC992" s="655"/>
      <c r="AD992" s="655"/>
    </row>
    <row r="993">
      <c r="B993" s="462"/>
      <c r="C993" s="462"/>
      <c r="D993" s="462"/>
      <c r="E993" s="462"/>
      <c r="F993" s="462"/>
      <c r="G993" s="462"/>
      <c r="H993" s="462"/>
      <c r="I993" s="654"/>
      <c r="J993" s="650"/>
      <c r="K993" s="654"/>
      <c r="L993" s="654"/>
      <c r="M993" s="650"/>
      <c r="N993" s="650"/>
      <c r="O993" s="655"/>
      <c r="P993" s="655"/>
      <c r="Q993" s="655"/>
      <c r="R993" s="655"/>
      <c r="S993" s="655"/>
      <c r="T993" s="655"/>
      <c r="U993" s="655"/>
      <c r="V993" s="655"/>
      <c r="W993" s="655"/>
      <c r="X993" s="655"/>
      <c r="Y993" s="655"/>
      <c r="Z993" s="655"/>
      <c r="AA993" s="655"/>
      <c r="AB993" s="655"/>
      <c r="AC993" s="655"/>
      <c r="AD993" s="655"/>
    </row>
    <row r="994">
      <c r="B994" s="462"/>
      <c r="C994" s="462"/>
      <c r="D994" s="462"/>
      <c r="E994" s="462"/>
      <c r="F994" s="462"/>
      <c r="G994" s="462"/>
      <c r="H994" s="462"/>
      <c r="I994" s="654"/>
      <c r="J994" s="650"/>
      <c r="K994" s="654"/>
      <c r="L994" s="654"/>
      <c r="M994" s="650"/>
      <c r="N994" s="650"/>
      <c r="O994" s="655"/>
      <c r="P994" s="655"/>
      <c r="Q994" s="655"/>
      <c r="R994" s="655"/>
      <c r="S994" s="655"/>
      <c r="T994" s="655"/>
      <c r="U994" s="655"/>
      <c r="V994" s="655"/>
      <c r="W994" s="655"/>
      <c r="X994" s="655"/>
      <c r="Y994" s="655"/>
      <c r="Z994" s="655"/>
      <c r="AA994" s="655"/>
      <c r="AB994" s="655"/>
      <c r="AC994" s="655"/>
      <c r="AD994" s="655"/>
    </row>
    <row r="995">
      <c r="B995" s="462"/>
      <c r="C995" s="462"/>
      <c r="D995" s="462"/>
      <c r="E995" s="462"/>
      <c r="F995" s="462"/>
      <c r="G995" s="462"/>
      <c r="H995" s="462"/>
      <c r="I995" s="654"/>
      <c r="J995" s="650"/>
      <c r="K995" s="654"/>
      <c r="L995" s="654"/>
      <c r="M995" s="650"/>
      <c r="N995" s="650"/>
      <c r="O995" s="655"/>
      <c r="P995" s="655"/>
      <c r="Q995" s="655"/>
      <c r="R995" s="655"/>
      <c r="S995" s="655"/>
      <c r="T995" s="655"/>
      <c r="U995" s="655"/>
      <c r="V995" s="655"/>
      <c r="W995" s="655"/>
      <c r="X995" s="655"/>
      <c r="Y995" s="655"/>
      <c r="Z995" s="655"/>
      <c r="AA995" s="655"/>
      <c r="AB995" s="655"/>
      <c r="AC995" s="655"/>
      <c r="AD995" s="655"/>
    </row>
    <row r="996">
      <c r="B996" s="462"/>
      <c r="C996" s="462"/>
      <c r="D996" s="462"/>
      <c r="E996" s="462"/>
      <c r="F996" s="462"/>
      <c r="G996" s="462"/>
      <c r="H996" s="462"/>
      <c r="I996" s="654"/>
      <c r="J996" s="650"/>
      <c r="K996" s="654"/>
      <c r="L996" s="654"/>
      <c r="M996" s="650"/>
      <c r="N996" s="650"/>
      <c r="O996" s="655"/>
      <c r="P996" s="655"/>
      <c r="Q996" s="655"/>
      <c r="R996" s="655"/>
      <c r="S996" s="655"/>
      <c r="T996" s="655"/>
      <c r="U996" s="655"/>
      <c r="V996" s="655"/>
      <c r="W996" s="655"/>
      <c r="X996" s="655"/>
      <c r="Y996" s="655"/>
      <c r="Z996" s="655"/>
      <c r="AA996" s="655"/>
      <c r="AB996" s="655"/>
      <c r="AC996" s="655"/>
      <c r="AD996" s="655"/>
    </row>
    <row r="997">
      <c r="B997" s="462"/>
      <c r="C997" s="462"/>
      <c r="D997" s="462"/>
      <c r="E997" s="462"/>
      <c r="F997" s="462"/>
      <c r="G997" s="462"/>
      <c r="H997" s="462"/>
      <c r="I997" s="654"/>
      <c r="J997" s="650"/>
      <c r="K997" s="654"/>
      <c r="L997" s="654"/>
      <c r="M997" s="650"/>
      <c r="N997" s="650"/>
      <c r="O997" s="655"/>
      <c r="P997" s="655"/>
      <c r="Q997" s="655"/>
      <c r="R997" s="655"/>
      <c r="S997" s="655"/>
      <c r="T997" s="655"/>
      <c r="U997" s="655"/>
      <c r="V997" s="655"/>
      <c r="W997" s="655"/>
      <c r="X997" s="655"/>
      <c r="Y997" s="655"/>
      <c r="Z997" s="655"/>
      <c r="AA997" s="655"/>
      <c r="AB997" s="655"/>
      <c r="AC997" s="655"/>
      <c r="AD997" s="655"/>
    </row>
    <row r="998">
      <c r="B998" s="462"/>
      <c r="C998" s="462"/>
      <c r="D998" s="462"/>
      <c r="E998" s="462"/>
      <c r="F998" s="462"/>
      <c r="G998" s="462"/>
      <c r="H998" s="462"/>
      <c r="I998" s="654"/>
      <c r="J998" s="650"/>
      <c r="K998" s="654"/>
      <c r="L998" s="654"/>
      <c r="M998" s="650"/>
      <c r="N998" s="650"/>
      <c r="O998" s="655"/>
      <c r="P998" s="655"/>
      <c r="Q998" s="655"/>
      <c r="R998" s="655"/>
      <c r="S998" s="655"/>
      <c r="T998" s="655"/>
      <c r="U998" s="655"/>
      <c r="V998" s="655"/>
      <c r="W998" s="655"/>
      <c r="X998" s="655"/>
      <c r="Y998" s="655"/>
      <c r="Z998" s="655"/>
      <c r="AA998" s="655"/>
      <c r="AB998" s="655"/>
      <c r="AC998" s="655"/>
      <c r="AD998" s="655"/>
    </row>
    <row r="999">
      <c r="B999" s="462"/>
      <c r="C999" s="462"/>
      <c r="D999" s="462"/>
      <c r="E999" s="462"/>
      <c r="F999" s="462"/>
      <c r="G999" s="462"/>
      <c r="H999" s="462"/>
      <c r="I999" s="654"/>
      <c r="J999" s="650"/>
      <c r="K999" s="654"/>
      <c r="L999" s="654"/>
      <c r="M999" s="650"/>
      <c r="N999" s="650"/>
      <c r="O999" s="655"/>
      <c r="P999" s="655"/>
      <c r="Q999" s="655"/>
      <c r="R999" s="655"/>
      <c r="S999" s="655"/>
      <c r="T999" s="655"/>
      <c r="U999" s="655"/>
      <c r="V999" s="655"/>
      <c r="W999" s="655"/>
      <c r="X999" s="655"/>
      <c r="Y999" s="655"/>
      <c r="Z999" s="655"/>
      <c r="AA999" s="655"/>
      <c r="AB999" s="655"/>
      <c r="AC999" s="655"/>
      <c r="AD999" s="655"/>
    </row>
    <row r="1000">
      <c r="B1000" s="462"/>
      <c r="C1000" s="462"/>
      <c r="D1000" s="462"/>
      <c r="E1000" s="462"/>
      <c r="F1000" s="462"/>
      <c r="G1000" s="462"/>
      <c r="H1000" s="462"/>
      <c r="I1000" s="654"/>
      <c r="J1000" s="650"/>
      <c r="K1000" s="654"/>
      <c r="L1000" s="654"/>
      <c r="M1000" s="650"/>
      <c r="N1000" s="650"/>
      <c r="O1000" s="655"/>
      <c r="P1000" s="655"/>
      <c r="Q1000" s="655"/>
      <c r="R1000" s="655"/>
      <c r="S1000" s="655"/>
      <c r="T1000" s="655"/>
      <c r="U1000" s="655"/>
      <c r="V1000" s="655"/>
      <c r="W1000" s="655"/>
      <c r="X1000" s="655"/>
      <c r="Y1000" s="655"/>
      <c r="Z1000" s="655"/>
      <c r="AA1000" s="655"/>
      <c r="AB1000" s="655"/>
      <c r="AC1000" s="655"/>
      <c r="AD1000" s="655"/>
    </row>
    <row r="1001">
      <c r="B1001" s="462"/>
      <c r="C1001" s="462"/>
      <c r="D1001" s="462"/>
      <c r="E1001" s="462"/>
      <c r="F1001" s="462"/>
      <c r="G1001" s="462"/>
      <c r="H1001" s="462"/>
      <c r="I1001" s="654"/>
      <c r="J1001" s="650"/>
      <c r="K1001" s="654"/>
      <c r="L1001" s="654"/>
      <c r="M1001" s="650"/>
      <c r="N1001" s="650"/>
      <c r="O1001" s="655"/>
      <c r="P1001" s="655"/>
      <c r="Q1001" s="655"/>
      <c r="R1001" s="655"/>
      <c r="S1001" s="655"/>
      <c r="T1001" s="655"/>
      <c r="U1001" s="655"/>
      <c r="V1001" s="655"/>
      <c r="W1001" s="655"/>
      <c r="X1001" s="655"/>
      <c r="Y1001" s="655"/>
      <c r="Z1001" s="655"/>
      <c r="AA1001" s="655"/>
      <c r="AB1001" s="655"/>
      <c r="AC1001" s="655"/>
      <c r="AD1001" s="655"/>
    </row>
    <row r="1002">
      <c r="B1002" s="462"/>
      <c r="C1002" s="462"/>
      <c r="D1002" s="462"/>
      <c r="E1002" s="462"/>
      <c r="F1002" s="462"/>
      <c r="G1002" s="462"/>
      <c r="H1002" s="462"/>
      <c r="I1002" s="654"/>
      <c r="J1002" s="650"/>
      <c r="K1002" s="654"/>
      <c r="L1002" s="654"/>
      <c r="M1002" s="650"/>
      <c r="N1002" s="650"/>
      <c r="O1002" s="655"/>
      <c r="P1002" s="655"/>
      <c r="Q1002" s="655"/>
      <c r="R1002" s="655"/>
      <c r="S1002" s="655"/>
      <c r="T1002" s="655"/>
      <c r="U1002" s="655"/>
      <c r="V1002" s="655"/>
      <c r="W1002" s="655"/>
      <c r="X1002" s="655"/>
      <c r="Y1002" s="655"/>
      <c r="Z1002" s="655"/>
      <c r="AA1002" s="655"/>
      <c r="AB1002" s="655"/>
      <c r="AC1002" s="655"/>
      <c r="AD1002" s="655"/>
    </row>
    <row r="1003">
      <c r="B1003" s="462"/>
      <c r="C1003" s="462"/>
      <c r="D1003" s="462"/>
      <c r="E1003" s="462"/>
      <c r="F1003" s="462"/>
      <c r="G1003" s="462"/>
      <c r="H1003" s="462"/>
      <c r="I1003" s="654"/>
      <c r="J1003" s="650"/>
      <c r="K1003" s="654"/>
      <c r="L1003" s="654"/>
      <c r="M1003" s="650"/>
      <c r="N1003" s="650"/>
      <c r="O1003" s="655"/>
      <c r="P1003" s="655"/>
      <c r="Q1003" s="655"/>
      <c r="R1003" s="655"/>
      <c r="S1003" s="655"/>
      <c r="T1003" s="655"/>
      <c r="U1003" s="655"/>
      <c r="V1003" s="655"/>
      <c r="W1003" s="655"/>
      <c r="X1003" s="655"/>
      <c r="Y1003" s="655"/>
      <c r="Z1003" s="655"/>
      <c r="AA1003" s="655"/>
      <c r="AB1003" s="655"/>
      <c r="AC1003" s="655"/>
      <c r="AD1003" s="655"/>
    </row>
    <row r="1004">
      <c r="B1004" s="462"/>
      <c r="C1004" s="462"/>
      <c r="D1004" s="462"/>
      <c r="E1004" s="462"/>
      <c r="F1004" s="462"/>
      <c r="G1004" s="462"/>
      <c r="H1004" s="462"/>
      <c r="I1004" s="654"/>
      <c r="J1004" s="650"/>
      <c r="K1004" s="654"/>
      <c r="L1004" s="654"/>
      <c r="M1004" s="650"/>
      <c r="N1004" s="650"/>
      <c r="O1004" s="655"/>
      <c r="P1004" s="655"/>
      <c r="Q1004" s="655"/>
      <c r="R1004" s="655"/>
      <c r="S1004" s="655"/>
      <c r="T1004" s="655"/>
      <c r="U1004" s="655"/>
      <c r="V1004" s="655"/>
      <c r="W1004" s="655"/>
      <c r="X1004" s="655"/>
      <c r="Y1004" s="655"/>
      <c r="Z1004" s="655"/>
      <c r="AA1004" s="655"/>
      <c r="AB1004" s="655"/>
      <c r="AC1004" s="655"/>
      <c r="AD1004" s="655"/>
    </row>
    <row r="1005">
      <c r="B1005" s="462"/>
      <c r="C1005" s="462"/>
      <c r="D1005" s="462"/>
      <c r="E1005" s="462"/>
      <c r="F1005" s="462"/>
      <c r="G1005" s="462"/>
      <c r="H1005" s="462"/>
      <c r="I1005" s="654"/>
      <c r="J1005" s="650"/>
      <c r="K1005" s="654"/>
      <c r="L1005" s="654"/>
      <c r="M1005" s="650"/>
      <c r="N1005" s="650"/>
      <c r="O1005" s="655"/>
      <c r="P1005" s="655"/>
      <c r="Q1005" s="655"/>
      <c r="R1005" s="655"/>
      <c r="S1005" s="655"/>
      <c r="T1005" s="655"/>
      <c r="U1005" s="655"/>
      <c r="V1005" s="655"/>
      <c r="W1005" s="655"/>
      <c r="X1005" s="655"/>
      <c r="Y1005" s="655"/>
      <c r="Z1005" s="655"/>
      <c r="AA1005" s="655"/>
      <c r="AB1005" s="655"/>
      <c r="AC1005" s="655"/>
      <c r="AD1005" s="655"/>
    </row>
    <row r="1006">
      <c r="B1006" s="462"/>
      <c r="C1006" s="462"/>
      <c r="D1006" s="462"/>
      <c r="E1006" s="462"/>
      <c r="F1006" s="462"/>
      <c r="G1006" s="462"/>
      <c r="H1006" s="462"/>
      <c r="I1006" s="654"/>
      <c r="J1006" s="650"/>
      <c r="K1006" s="654"/>
      <c r="L1006" s="654"/>
      <c r="M1006" s="650"/>
      <c r="N1006" s="650"/>
      <c r="O1006" s="655"/>
      <c r="P1006" s="655"/>
      <c r="Q1006" s="655"/>
      <c r="R1006" s="655"/>
      <c r="S1006" s="655"/>
      <c r="T1006" s="655"/>
      <c r="U1006" s="655"/>
      <c r="V1006" s="655"/>
      <c r="W1006" s="655"/>
      <c r="X1006" s="655"/>
      <c r="Y1006" s="655"/>
      <c r="Z1006" s="655"/>
      <c r="AA1006" s="655"/>
      <c r="AB1006" s="655"/>
      <c r="AC1006" s="655"/>
      <c r="AD1006" s="655"/>
    </row>
    <row r="1007">
      <c r="B1007" s="462"/>
      <c r="C1007" s="462"/>
      <c r="D1007" s="462"/>
      <c r="E1007" s="462"/>
      <c r="F1007" s="462"/>
      <c r="G1007" s="462"/>
      <c r="H1007" s="462"/>
      <c r="I1007" s="654"/>
      <c r="J1007" s="650"/>
      <c r="K1007" s="654"/>
      <c r="L1007" s="654"/>
      <c r="M1007" s="650"/>
      <c r="N1007" s="650"/>
      <c r="O1007" s="655"/>
      <c r="P1007" s="655"/>
      <c r="Q1007" s="655"/>
      <c r="R1007" s="655"/>
      <c r="S1007" s="655"/>
      <c r="T1007" s="655"/>
      <c r="U1007" s="655"/>
      <c r="V1007" s="655"/>
      <c r="W1007" s="655"/>
      <c r="X1007" s="655"/>
      <c r="Y1007" s="655"/>
      <c r="Z1007" s="655"/>
      <c r="AA1007" s="655"/>
      <c r="AB1007" s="655"/>
      <c r="AC1007" s="655"/>
      <c r="AD1007" s="655"/>
    </row>
    <row r="1008">
      <c r="B1008" s="462"/>
      <c r="C1008" s="462"/>
      <c r="D1008" s="462"/>
      <c r="E1008" s="462"/>
      <c r="F1008" s="462"/>
      <c r="G1008" s="462"/>
      <c r="H1008" s="462"/>
      <c r="I1008" s="654"/>
      <c r="J1008" s="650"/>
      <c r="K1008" s="654"/>
      <c r="L1008" s="654"/>
      <c r="M1008" s="650"/>
      <c r="N1008" s="650"/>
      <c r="O1008" s="655"/>
      <c r="P1008" s="655"/>
      <c r="Q1008" s="655"/>
      <c r="R1008" s="655"/>
      <c r="S1008" s="655"/>
      <c r="T1008" s="655"/>
      <c r="U1008" s="655"/>
      <c r="V1008" s="655"/>
      <c r="W1008" s="655"/>
      <c r="X1008" s="655"/>
      <c r="Y1008" s="655"/>
      <c r="Z1008" s="655"/>
      <c r="AA1008" s="655"/>
      <c r="AB1008" s="655"/>
      <c r="AC1008" s="655"/>
      <c r="AD1008" s="655"/>
    </row>
    <row r="1009">
      <c r="B1009" s="462"/>
      <c r="C1009" s="462"/>
      <c r="D1009" s="462"/>
      <c r="E1009" s="462"/>
      <c r="F1009" s="462"/>
      <c r="G1009" s="462"/>
      <c r="H1009" s="462"/>
      <c r="I1009" s="654"/>
      <c r="J1009" s="650"/>
      <c r="K1009" s="654"/>
      <c r="L1009" s="654"/>
      <c r="M1009" s="650"/>
      <c r="N1009" s="650"/>
      <c r="O1009" s="655"/>
      <c r="P1009" s="655"/>
      <c r="Q1009" s="655"/>
      <c r="R1009" s="655"/>
      <c r="S1009" s="655"/>
      <c r="T1009" s="655"/>
      <c r="U1009" s="655"/>
      <c r="V1009" s="655"/>
      <c r="W1009" s="655"/>
      <c r="X1009" s="655"/>
      <c r="Y1009" s="655"/>
      <c r="Z1009" s="655"/>
      <c r="AA1009" s="655"/>
      <c r="AB1009" s="655"/>
      <c r="AC1009" s="655"/>
      <c r="AD1009" s="655"/>
    </row>
    <row r="1010">
      <c r="B1010" s="462"/>
      <c r="C1010" s="462"/>
      <c r="D1010" s="462"/>
      <c r="E1010" s="462"/>
      <c r="F1010" s="462"/>
      <c r="G1010" s="462"/>
      <c r="H1010" s="462"/>
      <c r="I1010" s="654"/>
      <c r="J1010" s="650"/>
      <c r="K1010" s="654"/>
      <c r="L1010" s="654"/>
      <c r="M1010" s="650"/>
      <c r="N1010" s="650"/>
      <c r="O1010" s="655"/>
      <c r="P1010" s="655"/>
      <c r="Q1010" s="655"/>
      <c r="R1010" s="655"/>
      <c r="S1010" s="655"/>
      <c r="T1010" s="655"/>
      <c r="U1010" s="655"/>
      <c r="V1010" s="655"/>
      <c r="W1010" s="655"/>
      <c r="X1010" s="655"/>
      <c r="Y1010" s="655"/>
      <c r="Z1010" s="655"/>
      <c r="AA1010" s="655"/>
      <c r="AB1010" s="655"/>
      <c r="AC1010" s="655"/>
      <c r="AD1010" s="655"/>
    </row>
    <row r="1011">
      <c r="B1011" s="462"/>
      <c r="C1011" s="462"/>
      <c r="D1011" s="462"/>
      <c r="E1011" s="462"/>
      <c r="F1011" s="462"/>
      <c r="G1011" s="462"/>
      <c r="H1011" s="462"/>
      <c r="I1011" s="654"/>
      <c r="J1011" s="650"/>
      <c r="K1011" s="654"/>
      <c r="L1011" s="654"/>
      <c r="M1011" s="650"/>
      <c r="N1011" s="650"/>
      <c r="O1011" s="655"/>
      <c r="P1011" s="655"/>
      <c r="Q1011" s="655"/>
      <c r="R1011" s="655"/>
      <c r="S1011" s="655"/>
      <c r="T1011" s="655"/>
      <c r="U1011" s="655"/>
      <c r="V1011" s="655"/>
      <c r="W1011" s="655"/>
      <c r="X1011" s="655"/>
      <c r="Y1011" s="655"/>
      <c r="Z1011" s="655"/>
      <c r="AA1011" s="655"/>
      <c r="AB1011" s="655"/>
      <c r="AC1011" s="655"/>
      <c r="AD1011" s="655"/>
    </row>
    <row r="1012">
      <c r="B1012" s="462"/>
      <c r="C1012" s="462"/>
      <c r="D1012" s="462"/>
      <c r="E1012" s="462"/>
      <c r="F1012" s="462"/>
      <c r="G1012" s="462"/>
      <c r="H1012" s="462"/>
      <c r="I1012" s="654"/>
      <c r="J1012" s="650"/>
      <c r="K1012" s="654"/>
      <c r="L1012" s="654"/>
      <c r="M1012" s="650"/>
      <c r="N1012" s="650"/>
      <c r="O1012" s="655"/>
      <c r="P1012" s="655"/>
      <c r="Q1012" s="655"/>
      <c r="R1012" s="655"/>
      <c r="S1012" s="655"/>
      <c r="T1012" s="655"/>
      <c r="U1012" s="655"/>
      <c r="V1012" s="655"/>
      <c r="W1012" s="655"/>
      <c r="X1012" s="655"/>
      <c r="Y1012" s="655"/>
      <c r="Z1012" s="655"/>
      <c r="AA1012" s="655"/>
      <c r="AB1012" s="655"/>
      <c r="AC1012" s="655"/>
      <c r="AD1012" s="655"/>
    </row>
    <row r="1013">
      <c r="B1013" s="462"/>
      <c r="C1013" s="462"/>
      <c r="D1013" s="462"/>
      <c r="E1013" s="462"/>
      <c r="F1013" s="462"/>
      <c r="G1013" s="462"/>
      <c r="H1013" s="462"/>
      <c r="I1013" s="654"/>
      <c r="J1013" s="650"/>
      <c r="K1013" s="654"/>
      <c r="L1013" s="654"/>
      <c r="M1013" s="650"/>
      <c r="N1013" s="650"/>
      <c r="O1013" s="655"/>
      <c r="P1013" s="655"/>
      <c r="Q1013" s="655"/>
      <c r="R1013" s="655"/>
      <c r="S1013" s="655"/>
      <c r="T1013" s="655"/>
      <c r="U1013" s="655"/>
      <c r="V1013" s="655"/>
      <c r="W1013" s="655"/>
      <c r="X1013" s="655"/>
      <c r="Y1013" s="655"/>
      <c r="Z1013" s="655"/>
      <c r="AA1013" s="655"/>
      <c r="AB1013" s="655"/>
      <c r="AC1013" s="655"/>
      <c r="AD1013" s="655"/>
    </row>
    <row r="1014">
      <c r="B1014" s="462"/>
      <c r="C1014" s="462"/>
      <c r="D1014" s="462"/>
      <c r="E1014" s="462"/>
      <c r="F1014" s="462"/>
      <c r="G1014" s="462"/>
      <c r="H1014" s="462"/>
      <c r="I1014" s="654"/>
      <c r="J1014" s="650"/>
      <c r="K1014" s="654"/>
      <c r="L1014" s="654"/>
      <c r="M1014" s="650"/>
      <c r="N1014" s="650"/>
      <c r="O1014" s="655"/>
      <c r="P1014" s="655"/>
      <c r="Q1014" s="655"/>
      <c r="R1014" s="655"/>
      <c r="S1014" s="655"/>
      <c r="T1014" s="655"/>
      <c r="U1014" s="655"/>
      <c r="V1014" s="655"/>
      <c r="W1014" s="655"/>
      <c r="X1014" s="655"/>
      <c r="Y1014" s="655"/>
      <c r="Z1014" s="655"/>
      <c r="AA1014" s="655"/>
      <c r="AB1014" s="655"/>
      <c r="AC1014" s="655"/>
      <c r="AD1014" s="655"/>
    </row>
    <row r="1015">
      <c r="B1015" s="462"/>
      <c r="C1015" s="462"/>
      <c r="D1015" s="462"/>
      <c r="E1015" s="462"/>
      <c r="F1015" s="462"/>
      <c r="G1015" s="462"/>
      <c r="H1015" s="462"/>
      <c r="I1015" s="654"/>
      <c r="J1015" s="650"/>
      <c r="K1015" s="654"/>
      <c r="L1015" s="654"/>
      <c r="M1015" s="650"/>
      <c r="N1015" s="650"/>
      <c r="O1015" s="655"/>
      <c r="P1015" s="655"/>
      <c r="Q1015" s="655"/>
      <c r="R1015" s="655"/>
      <c r="S1015" s="655"/>
      <c r="T1015" s="655"/>
      <c r="U1015" s="655"/>
      <c r="V1015" s="655"/>
      <c r="W1015" s="655"/>
      <c r="X1015" s="655"/>
      <c r="Y1015" s="655"/>
      <c r="Z1015" s="655"/>
      <c r="AA1015" s="655"/>
      <c r="AB1015" s="655"/>
      <c r="AC1015" s="655"/>
      <c r="AD1015" s="655"/>
    </row>
    <row r="1016">
      <c r="B1016" s="462"/>
      <c r="C1016" s="462"/>
      <c r="D1016" s="462"/>
      <c r="E1016" s="462"/>
      <c r="F1016" s="462"/>
      <c r="G1016" s="462"/>
      <c r="H1016" s="462"/>
      <c r="I1016" s="654"/>
      <c r="J1016" s="650"/>
      <c r="K1016" s="654"/>
      <c r="L1016" s="654"/>
      <c r="M1016" s="650"/>
      <c r="N1016" s="650"/>
      <c r="O1016" s="655"/>
      <c r="P1016" s="655"/>
      <c r="Q1016" s="655"/>
      <c r="R1016" s="655"/>
      <c r="S1016" s="655"/>
      <c r="T1016" s="655"/>
      <c r="U1016" s="655"/>
      <c r="V1016" s="655"/>
      <c r="W1016" s="655"/>
      <c r="X1016" s="655"/>
      <c r="Y1016" s="655"/>
      <c r="Z1016" s="655"/>
      <c r="AA1016" s="655"/>
      <c r="AB1016" s="655"/>
      <c r="AC1016" s="655"/>
      <c r="AD1016" s="655"/>
    </row>
    <row r="1017">
      <c r="B1017" s="462"/>
      <c r="C1017" s="462"/>
      <c r="D1017" s="462"/>
      <c r="E1017" s="462"/>
      <c r="F1017" s="462"/>
      <c r="G1017" s="462"/>
      <c r="H1017" s="462"/>
      <c r="I1017" s="654"/>
      <c r="J1017" s="650"/>
      <c r="K1017" s="654"/>
      <c r="L1017" s="654"/>
      <c r="M1017" s="650"/>
      <c r="N1017" s="650"/>
      <c r="O1017" s="655"/>
      <c r="P1017" s="655"/>
      <c r="Q1017" s="655"/>
      <c r="R1017" s="655"/>
      <c r="S1017" s="655"/>
      <c r="T1017" s="655"/>
      <c r="U1017" s="655"/>
      <c r="V1017" s="655"/>
      <c r="W1017" s="655"/>
      <c r="X1017" s="655"/>
      <c r="Y1017" s="655"/>
      <c r="Z1017" s="655"/>
      <c r="AA1017" s="655"/>
      <c r="AB1017" s="655"/>
      <c r="AC1017" s="655"/>
      <c r="AD1017" s="655"/>
    </row>
    <row r="1018">
      <c r="B1018" s="462"/>
      <c r="C1018" s="462"/>
      <c r="D1018" s="462"/>
      <c r="E1018" s="462"/>
      <c r="F1018" s="462"/>
      <c r="G1018" s="462"/>
      <c r="H1018" s="462"/>
      <c r="I1018" s="654"/>
      <c r="J1018" s="650"/>
      <c r="K1018" s="654"/>
      <c r="L1018" s="654"/>
      <c r="M1018" s="650"/>
      <c r="N1018" s="650"/>
      <c r="O1018" s="655"/>
      <c r="P1018" s="655"/>
      <c r="Q1018" s="655"/>
      <c r="R1018" s="655"/>
      <c r="S1018" s="655"/>
      <c r="T1018" s="655"/>
      <c r="U1018" s="655"/>
      <c r="V1018" s="655"/>
      <c r="W1018" s="655"/>
      <c r="X1018" s="655"/>
      <c r="Y1018" s="655"/>
      <c r="Z1018" s="655"/>
      <c r="AA1018" s="655"/>
      <c r="AB1018" s="655"/>
      <c r="AC1018" s="655"/>
      <c r="AD1018" s="655"/>
    </row>
    <row r="1019">
      <c r="B1019" s="462"/>
      <c r="C1019" s="462"/>
      <c r="D1019" s="462"/>
      <c r="E1019" s="462"/>
      <c r="F1019" s="462"/>
      <c r="G1019" s="462"/>
      <c r="H1019" s="462"/>
      <c r="I1019" s="654"/>
      <c r="J1019" s="650"/>
      <c r="K1019" s="654"/>
      <c r="L1019" s="654"/>
      <c r="M1019" s="650"/>
      <c r="N1019" s="650"/>
      <c r="O1019" s="655"/>
      <c r="P1019" s="655"/>
      <c r="Q1019" s="655"/>
      <c r="R1019" s="655"/>
      <c r="S1019" s="655"/>
      <c r="T1019" s="655"/>
      <c r="U1019" s="655"/>
      <c r="V1019" s="655"/>
      <c r="W1019" s="655"/>
      <c r="X1019" s="655"/>
      <c r="Y1019" s="655"/>
      <c r="Z1019" s="655"/>
      <c r="AA1019" s="655"/>
      <c r="AB1019" s="655"/>
      <c r="AC1019" s="655"/>
      <c r="AD1019" s="655"/>
    </row>
    <row r="1020">
      <c r="B1020" s="462"/>
      <c r="C1020" s="462"/>
      <c r="D1020" s="462"/>
      <c r="E1020" s="462"/>
      <c r="F1020" s="462"/>
      <c r="G1020" s="462"/>
      <c r="H1020" s="462"/>
      <c r="I1020" s="654"/>
      <c r="J1020" s="650"/>
      <c r="K1020" s="654"/>
      <c r="L1020" s="654"/>
      <c r="M1020" s="650"/>
      <c r="N1020" s="650"/>
      <c r="O1020" s="655"/>
      <c r="P1020" s="655"/>
      <c r="Q1020" s="655"/>
      <c r="R1020" s="655"/>
      <c r="S1020" s="655"/>
      <c r="T1020" s="655"/>
      <c r="U1020" s="655"/>
      <c r="V1020" s="655"/>
      <c r="W1020" s="655"/>
      <c r="X1020" s="655"/>
      <c r="Y1020" s="655"/>
      <c r="Z1020" s="655"/>
      <c r="AA1020" s="655"/>
      <c r="AB1020" s="655"/>
      <c r="AC1020" s="655"/>
      <c r="AD1020" s="655"/>
    </row>
    <row r="1021">
      <c r="B1021" s="462"/>
      <c r="C1021" s="462"/>
      <c r="D1021" s="462"/>
      <c r="E1021" s="462"/>
      <c r="F1021" s="462"/>
      <c r="G1021" s="462"/>
      <c r="H1021" s="462"/>
      <c r="I1021" s="654"/>
      <c r="J1021" s="650"/>
      <c r="K1021" s="654"/>
      <c r="L1021" s="654"/>
      <c r="M1021" s="650"/>
      <c r="N1021" s="650"/>
      <c r="O1021" s="655"/>
      <c r="P1021" s="655"/>
      <c r="Q1021" s="655"/>
      <c r="R1021" s="655"/>
      <c r="S1021" s="655"/>
      <c r="T1021" s="655"/>
      <c r="U1021" s="655"/>
      <c r="V1021" s="655"/>
      <c r="W1021" s="655"/>
      <c r="X1021" s="655"/>
      <c r="Y1021" s="655"/>
      <c r="Z1021" s="655"/>
      <c r="AA1021" s="655"/>
      <c r="AB1021" s="655"/>
      <c r="AC1021" s="655"/>
      <c r="AD1021" s="655"/>
    </row>
    <row r="1022">
      <c r="B1022" s="462"/>
      <c r="C1022" s="462"/>
      <c r="D1022" s="462"/>
      <c r="E1022" s="462"/>
      <c r="F1022" s="462"/>
      <c r="G1022" s="462"/>
      <c r="H1022" s="462"/>
      <c r="I1022" s="654"/>
      <c r="J1022" s="650"/>
      <c r="K1022" s="654"/>
      <c r="L1022" s="654"/>
      <c r="M1022" s="650"/>
      <c r="N1022" s="650"/>
      <c r="O1022" s="655"/>
      <c r="P1022" s="655"/>
      <c r="Q1022" s="655"/>
      <c r="R1022" s="655"/>
      <c r="S1022" s="655"/>
      <c r="T1022" s="655"/>
      <c r="U1022" s="655"/>
      <c r="V1022" s="655"/>
      <c r="W1022" s="655"/>
      <c r="X1022" s="655"/>
      <c r="Y1022" s="655"/>
      <c r="Z1022" s="655"/>
      <c r="AA1022" s="655"/>
      <c r="AB1022" s="655"/>
      <c r="AC1022" s="655"/>
      <c r="AD1022" s="655"/>
    </row>
    <row r="1023">
      <c r="B1023" s="462"/>
      <c r="C1023" s="462"/>
      <c r="D1023" s="462"/>
      <c r="E1023" s="462"/>
      <c r="F1023" s="462"/>
      <c r="G1023" s="462"/>
      <c r="H1023" s="462"/>
      <c r="I1023" s="654"/>
      <c r="J1023" s="650"/>
      <c r="K1023" s="654"/>
      <c r="L1023" s="654"/>
      <c r="M1023" s="650"/>
      <c r="N1023" s="650"/>
      <c r="O1023" s="655"/>
      <c r="P1023" s="655"/>
      <c r="Q1023" s="655"/>
      <c r="R1023" s="655"/>
      <c r="S1023" s="655"/>
      <c r="T1023" s="655"/>
      <c r="U1023" s="655"/>
      <c r="V1023" s="655"/>
      <c r="W1023" s="655"/>
      <c r="X1023" s="655"/>
      <c r="Y1023" s="655"/>
      <c r="Z1023" s="655"/>
      <c r="AA1023" s="655"/>
      <c r="AB1023" s="655"/>
      <c r="AC1023" s="655"/>
      <c r="AD1023" s="655"/>
    </row>
    <row r="1024">
      <c r="B1024" s="462"/>
      <c r="C1024" s="462"/>
      <c r="D1024" s="462"/>
      <c r="E1024" s="462"/>
      <c r="F1024" s="462"/>
      <c r="G1024" s="462"/>
      <c r="H1024" s="462"/>
      <c r="I1024" s="654"/>
      <c r="J1024" s="650"/>
      <c r="K1024" s="654"/>
      <c r="L1024" s="654"/>
      <c r="M1024" s="650"/>
      <c r="N1024" s="650"/>
      <c r="O1024" s="655"/>
      <c r="P1024" s="655"/>
      <c r="Q1024" s="655"/>
      <c r="R1024" s="655"/>
      <c r="S1024" s="655"/>
      <c r="T1024" s="655"/>
      <c r="U1024" s="655"/>
      <c r="V1024" s="655"/>
      <c r="W1024" s="655"/>
      <c r="X1024" s="655"/>
      <c r="Y1024" s="655"/>
      <c r="Z1024" s="655"/>
      <c r="AA1024" s="655"/>
      <c r="AB1024" s="655"/>
      <c r="AC1024" s="655"/>
      <c r="AD1024" s="655"/>
    </row>
    <row r="1025">
      <c r="B1025" s="462"/>
      <c r="C1025" s="462"/>
      <c r="D1025" s="462"/>
      <c r="E1025" s="462"/>
      <c r="F1025" s="462"/>
      <c r="G1025" s="462"/>
      <c r="H1025" s="462"/>
      <c r="I1025" s="654"/>
      <c r="J1025" s="650"/>
      <c r="K1025" s="654"/>
      <c r="L1025" s="654"/>
      <c r="M1025" s="650"/>
      <c r="N1025" s="650"/>
      <c r="O1025" s="655"/>
      <c r="P1025" s="655"/>
      <c r="Q1025" s="655"/>
      <c r="R1025" s="655"/>
      <c r="S1025" s="655"/>
      <c r="T1025" s="655"/>
      <c r="U1025" s="655"/>
      <c r="V1025" s="655"/>
      <c r="W1025" s="655"/>
      <c r="X1025" s="655"/>
      <c r="Y1025" s="655"/>
      <c r="Z1025" s="655"/>
      <c r="AA1025" s="655"/>
      <c r="AB1025" s="655"/>
      <c r="AC1025" s="655"/>
      <c r="AD1025" s="655"/>
    </row>
    <row r="1026">
      <c r="B1026" s="462"/>
      <c r="C1026" s="462"/>
      <c r="D1026" s="462"/>
      <c r="E1026" s="462"/>
      <c r="F1026" s="462"/>
      <c r="G1026" s="462"/>
      <c r="H1026" s="462"/>
      <c r="I1026" s="654"/>
      <c r="J1026" s="650"/>
      <c r="K1026" s="654"/>
      <c r="L1026" s="654"/>
      <c r="M1026" s="650"/>
      <c r="N1026" s="650"/>
      <c r="O1026" s="655"/>
      <c r="P1026" s="655"/>
      <c r="Q1026" s="655"/>
      <c r="R1026" s="655"/>
      <c r="S1026" s="655"/>
      <c r="T1026" s="655"/>
      <c r="U1026" s="655"/>
      <c r="V1026" s="655"/>
      <c r="W1026" s="655"/>
      <c r="X1026" s="655"/>
      <c r="Y1026" s="655"/>
      <c r="Z1026" s="655"/>
      <c r="AA1026" s="655"/>
      <c r="AB1026" s="655"/>
      <c r="AC1026" s="655"/>
      <c r="AD1026" s="655"/>
    </row>
    <row r="1027">
      <c r="B1027" s="462"/>
      <c r="C1027" s="462"/>
      <c r="D1027" s="462"/>
      <c r="E1027" s="462"/>
      <c r="F1027" s="462"/>
      <c r="G1027" s="462"/>
      <c r="H1027" s="462"/>
      <c r="I1027" s="654"/>
      <c r="J1027" s="650"/>
      <c r="K1027" s="654"/>
      <c r="L1027" s="654"/>
      <c r="M1027" s="650"/>
      <c r="N1027" s="650"/>
      <c r="O1027" s="655"/>
      <c r="P1027" s="655"/>
      <c r="Q1027" s="655"/>
      <c r="R1027" s="655"/>
      <c r="S1027" s="655"/>
      <c r="T1027" s="655"/>
      <c r="U1027" s="655"/>
      <c r="V1027" s="655"/>
      <c r="W1027" s="655"/>
      <c r="X1027" s="655"/>
      <c r="Y1027" s="655"/>
      <c r="Z1027" s="655"/>
      <c r="AA1027" s="655"/>
      <c r="AB1027" s="655"/>
      <c r="AC1027" s="655"/>
      <c r="AD1027" s="655"/>
    </row>
    <row r="1028">
      <c r="B1028" s="462"/>
      <c r="C1028" s="462"/>
      <c r="D1028" s="462"/>
      <c r="E1028" s="462"/>
      <c r="F1028" s="462"/>
      <c r="G1028" s="462"/>
      <c r="H1028" s="462"/>
      <c r="I1028" s="654"/>
      <c r="J1028" s="650"/>
      <c r="K1028" s="654"/>
      <c r="L1028" s="654"/>
      <c r="M1028" s="650"/>
      <c r="N1028" s="650"/>
      <c r="O1028" s="655"/>
      <c r="P1028" s="655"/>
      <c r="Q1028" s="655"/>
      <c r="R1028" s="655"/>
      <c r="S1028" s="655"/>
      <c r="T1028" s="655"/>
      <c r="U1028" s="655"/>
      <c r="V1028" s="655"/>
      <c r="W1028" s="655"/>
      <c r="X1028" s="655"/>
      <c r="Y1028" s="655"/>
      <c r="Z1028" s="655"/>
      <c r="AA1028" s="655"/>
      <c r="AB1028" s="655"/>
      <c r="AC1028" s="655"/>
      <c r="AD1028" s="655"/>
    </row>
    <row r="1029">
      <c r="B1029" s="462"/>
      <c r="C1029" s="462"/>
      <c r="D1029" s="462"/>
      <c r="E1029" s="462"/>
      <c r="F1029" s="462"/>
      <c r="G1029" s="462"/>
      <c r="H1029" s="462"/>
      <c r="I1029" s="654"/>
      <c r="J1029" s="650"/>
      <c r="K1029" s="654"/>
      <c r="L1029" s="654"/>
      <c r="M1029" s="650"/>
      <c r="N1029" s="650"/>
      <c r="O1029" s="655"/>
      <c r="P1029" s="655"/>
      <c r="Q1029" s="655"/>
      <c r="R1029" s="655"/>
      <c r="S1029" s="655"/>
      <c r="T1029" s="655"/>
      <c r="U1029" s="655"/>
      <c r="V1029" s="655"/>
      <c r="W1029" s="655"/>
      <c r="X1029" s="655"/>
      <c r="Y1029" s="655"/>
      <c r="Z1029" s="655"/>
      <c r="AA1029" s="655"/>
      <c r="AB1029" s="655"/>
      <c r="AC1029" s="655"/>
      <c r="AD1029" s="655"/>
    </row>
    <row r="1030">
      <c r="B1030" s="462"/>
      <c r="C1030" s="462"/>
      <c r="D1030" s="462"/>
      <c r="E1030" s="462"/>
      <c r="F1030" s="462"/>
      <c r="G1030" s="462"/>
      <c r="H1030" s="462"/>
      <c r="I1030" s="654"/>
      <c r="J1030" s="650"/>
      <c r="K1030" s="654"/>
      <c r="L1030" s="654"/>
      <c r="M1030" s="650"/>
      <c r="N1030" s="650"/>
      <c r="O1030" s="655"/>
      <c r="P1030" s="655"/>
      <c r="Q1030" s="655"/>
      <c r="R1030" s="655"/>
      <c r="S1030" s="655"/>
      <c r="T1030" s="655"/>
      <c r="U1030" s="655"/>
      <c r="V1030" s="655"/>
      <c r="W1030" s="655"/>
      <c r="X1030" s="655"/>
      <c r="Y1030" s="655"/>
      <c r="Z1030" s="655"/>
      <c r="AA1030" s="655"/>
      <c r="AB1030" s="655"/>
      <c r="AC1030" s="655"/>
      <c r="AD1030" s="655"/>
    </row>
    <row r="1031">
      <c r="B1031" s="462"/>
      <c r="C1031" s="462"/>
      <c r="D1031" s="462"/>
      <c r="E1031" s="462"/>
      <c r="F1031" s="462"/>
      <c r="G1031" s="462"/>
      <c r="H1031" s="462"/>
      <c r="I1031" s="654"/>
      <c r="J1031" s="650"/>
      <c r="K1031" s="654"/>
      <c r="L1031" s="654"/>
      <c r="M1031" s="650"/>
      <c r="N1031" s="650"/>
      <c r="O1031" s="655"/>
      <c r="P1031" s="655"/>
      <c r="Q1031" s="655"/>
      <c r="R1031" s="655"/>
      <c r="S1031" s="655"/>
      <c r="T1031" s="655"/>
      <c r="U1031" s="655"/>
      <c r="V1031" s="655"/>
      <c r="W1031" s="655"/>
      <c r="X1031" s="655"/>
      <c r="Y1031" s="655"/>
      <c r="Z1031" s="655"/>
      <c r="AA1031" s="655"/>
      <c r="AB1031" s="655"/>
      <c r="AC1031" s="655"/>
      <c r="AD1031" s="655"/>
    </row>
    <row r="1032">
      <c r="B1032" s="462"/>
      <c r="C1032" s="462"/>
      <c r="D1032" s="462"/>
      <c r="E1032" s="462"/>
      <c r="F1032" s="462"/>
      <c r="G1032" s="462"/>
      <c r="H1032" s="462"/>
      <c r="I1032" s="654"/>
      <c r="J1032" s="650"/>
      <c r="K1032" s="654"/>
      <c r="L1032" s="654"/>
      <c r="M1032" s="650"/>
      <c r="N1032" s="650"/>
      <c r="O1032" s="655"/>
      <c r="P1032" s="655"/>
      <c r="Q1032" s="655"/>
      <c r="R1032" s="655"/>
      <c r="S1032" s="655"/>
      <c r="T1032" s="655"/>
      <c r="U1032" s="655"/>
      <c r="V1032" s="655"/>
      <c r="W1032" s="655"/>
      <c r="X1032" s="655"/>
      <c r="Y1032" s="655"/>
      <c r="Z1032" s="655"/>
      <c r="AA1032" s="655"/>
      <c r="AB1032" s="655"/>
      <c r="AC1032" s="655"/>
      <c r="AD1032" s="655"/>
    </row>
    <row r="1033">
      <c r="B1033" s="462"/>
      <c r="C1033" s="462"/>
      <c r="D1033" s="462"/>
      <c r="E1033" s="462"/>
      <c r="F1033" s="462"/>
      <c r="G1033" s="462"/>
      <c r="H1033" s="462"/>
      <c r="I1033" s="654"/>
      <c r="J1033" s="650"/>
      <c r="K1033" s="654"/>
      <c r="L1033" s="654"/>
      <c r="M1033" s="650"/>
      <c r="N1033" s="650"/>
      <c r="O1033" s="655"/>
      <c r="P1033" s="655"/>
      <c r="Q1033" s="655"/>
      <c r="R1033" s="655"/>
      <c r="S1033" s="655"/>
      <c r="T1033" s="655"/>
      <c r="U1033" s="655"/>
      <c r="V1033" s="655"/>
      <c r="W1033" s="655"/>
      <c r="X1033" s="655"/>
      <c r="Y1033" s="655"/>
      <c r="Z1033" s="655"/>
      <c r="AA1033" s="655"/>
      <c r="AB1033" s="655"/>
      <c r="AC1033" s="655"/>
      <c r="AD1033" s="655"/>
    </row>
    <row r="1034">
      <c r="B1034" s="462"/>
      <c r="C1034" s="462"/>
      <c r="D1034" s="462"/>
      <c r="E1034" s="462"/>
      <c r="F1034" s="462"/>
      <c r="G1034" s="462"/>
      <c r="H1034" s="462"/>
      <c r="I1034" s="654"/>
      <c r="J1034" s="650"/>
      <c r="K1034" s="654"/>
      <c r="L1034" s="654"/>
      <c r="M1034" s="650"/>
      <c r="N1034" s="650"/>
      <c r="O1034" s="655"/>
      <c r="P1034" s="655"/>
      <c r="Q1034" s="655"/>
      <c r="R1034" s="655"/>
      <c r="S1034" s="655"/>
      <c r="T1034" s="655"/>
      <c r="U1034" s="655"/>
      <c r="V1034" s="655"/>
      <c r="W1034" s="655"/>
      <c r="X1034" s="655"/>
      <c r="Y1034" s="655"/>
      <c r="Z1034" s="655"/>
      <c r="AA1034" s="655"/>
      <c r="AB1034" s="655"/>
      <c r="AC1034" s="655"/>
      <c r="AD1034" s="655"/>
    </row>
    <row r="1035">
      <c r="B1035" s="462"/>
      <c r="C1035" s="462"/>
      <c r="D1035" s="462"/>
      <c r="E1035" s="462"/>
      <c r="F1035" s="462"/>
      <c r="G1035" s="462"/>
      <c r="H1035" s="462"/>
      <c r="I1035" s="654"/>
      <c r="J1035" s="650"/>
      <c r="K1035" s="654"/>
      <c r="L1035" s="654"/>
      <c r="M1035" s="650"/>
      <c r="N1035" s="650"/>
      <c r="O1035" s="655"/>
      <c r="P1035" s="655"/>
      <c r="Q1035" s="655"/>
      <c r="R1035" s="655"/>
      <c r="S1035" s="655"/>
      <c r="T1035" s="655"/>
      <c r="U1035" s="655"/>
      <c r="V1035" s="655"/>
      <c r="W1035" s="655"/>
      <c r="X1035" s="655"/>
      <c r="Y1035" s="655"/>
      <c r="Z1035" s="655"/>
      <c r="AA1035" s="655"/>
      <c r="AB1035" s="655"/>
      <c r="AC1035" s="655"/>
      <c r="AD1035" s="655"/>
    </row>
    <row r="1036">
      <c r="B1036" s="462"/>
      <c r="C1036" s="462"/>
      <c r="D1036" s="462"/>
      <c r="E1036" s="462"/>
      <c r="F1036" s="462"/>
      <c r="G1036" s="462"/>
      <c r="H1036" s="462"/>
      <c r="I1036" s="654"/>
      <c r="J1036" s="650"/>
      <c r="K1036" s="654"/>
      <c r="L1036" s="654"/>
      <c r="M1036" s="650"/>
      <c r="N1036" s="650"/>
      <c r="O1036" s="655"/>
      <c r="P1036" s="655"/>
      <c r="Q1036" s="655"/>
      <c r="R1036" s="655"/>
      <c r="S1036" s="655"/>
      <c r="T1036" s="655"/>
      <c r="U1036" s="655"/>
      <c r="V1036" s="655"/>
      <c r="W1036" s="655"/>
      <c r="X1036" s="655"/>
      <c r="Y1036" s="655"/>
      <c r="Z1036" s="655"/>
      <c r="AA1036" s="655"/>
      <c r="AB1036" s="655"/>
      <c r="AC1036" s="655"/>
      <c r="AD1036" s="655"/>
    </row>
    <row r="1037">
      <c r="B1037" s="462"/>
      <c r="C1037" s="462"/>
      <c r="D1037" s="462"/>
      <c r="E1037" s="462"/>
      <c r="F1037" s="462"/>
      <c r="G1037" s="462"/>
      <c r="H1037" s="462"/>
      <c r="I1037" s="654"/>
      <c r="J1037" s="650"/>
      <c r="K1037" s="654"/>
      <c r="L1037" s="654"/>
      <c r="M1037" s="650"/>
      <c r="N1037" s="650"/>
      <c r="O1037" s="655"/>
      <c r="P1037" s="655"/>
      <c r="Q1037" s="655"/>
      <c r="R1037" s="655"/>
      <c r="S1037" s="655"/>
      <c r="T1037" s="655"/>
      <c r="U1037" s="655"/>
      <c r="V1037" s="655"/>
      <c r="W1037" s="655"/>
      <c r="X1037" s="655"/>
      <c r="Y1037" s="655"/>
      <c r="Z1037" s="655"/>
      <c r="AA1037" s="655"/>
      <c r="AB1037" s="655"/>
      <c r="AC1037" s="655"/>
      <c r="AD1037" s="655"/>
    </row>
    <row r="1038">
      <c r="B1038" s="462"/>
      <c r="C1038" s="462"/>
      <c r="D1038" s="462"/>
      <c r="E1038" s="462"/>
      <c r="F1038" s="462"/>
      <c r="G1038" s="462"/>
      <c r="H1038" s="462"/>
      <c r="I1038" s="654"/>
      <c r="J1038" s="650"/>
      <c r="K1038" s="654"/>
      <c r="L1038" s="654"/>
      <c r="M1038" s="650"/>
      <c r="N1038" s="650"/>
      <c r="O1038" s="655"/>
      <c r="P1038" s="655"/>
      <c r="Q1038" s="655"/>
      <c r="R1038" s="655"/>
      <c r="S1038" s="655"/>
      <c r="T1038" s="655"/>
      <c r="U1038" s="655"/>
      <c r="V1038" s="655"/>
      <c r="W1038" s="655"/>
      <c r="X1038" s="655"/>
      <c r="Y1038" s="655"/>
      <c r="Z1038" s="655"/>
      <c r="AA1038" s="655"/>
      <c r="AB1038" s="655"/>
      <c r="AC1038" s="655"/>
      <c r="AD1038" s="655"/>
    </row>
    <row r="1039">
      <c r="B1039" s="462"/>
      <c r="C1039" s="462"/>
      <c r="D1039" s="462"/>
      <c r="E1039" s="462"/>
      <c r="F1039" s="462"/>
      <c r="G1039" s="462"/>
      <c r="H1039" s="462"/>
      <c r="I1039" s="654"/>
      <c r="J1039" s="650"/>
      <c r="K1039" s="654"/>
      <c r="L1039" s="654"/>
      <c r="M1039" s="650"/>
      <c r="N1039" s="650"/>
      <c r="O1039" s="655"/>
      <c r="P1039" s="655"/>
      <c r="Q1039" s="655"/>
      <c r="R1039" s="655"/>
      <c r="S1039" s="655"/>
      <c r="T1039" s="655"/>
      <c r="U1039" s="655"/>
      <c r="V1039" s="655"/>
      <c r="W1039" s="655"/>
      <c r="X1039" s="655"/>
      <c r="Y1039" s="655"/>
      <c r="Z1039" s="655"/>
      <c r="AA1039" s="655"/>
      <c r="AB1039" s="655"/>
      <c r="AC1039" s="655"/>
      <c r="AD1039" s="655"/>
    </row>
    <row r="1040">
      <c r="B1040" s="462"/>
      <c r="C1040" s="462"/>
      <c r="D1040" s="462"/>
      <c r="E1040" s="462"/>
      <c r="F1040" s="462"/>
      <c r="G1040" s="462"/>
      <c r="H1040" s="462"/>
      <c r="I1040" s="654"/>
      <c r="J1040" s="650"/>
      <c r="K1040" s="654"/>
      <c r="L1040" s="654"/>
      <c r="M1040" s="650"/>
      <c r="N1040" s="650"/>
      <c r="O1040" s="655"/>
      <c r="P1040" s="655"/>
      <c r="Q1040" s="655"/>
      <c r="R1040" s="655"/>
      <c r="S1040" s="655"/>
      <c r="T1040" s="655"/>
      <c r="U1040" s="655"/>
      <c r="V1040" s="655"/>
      <c r="W1040" s="655"/>
      <c r="X1040" s="655"/>
      <c r="Y1040" s="655"/>
      <c r="Z1040" s="655"/>
      <c r="AA1040" s="655"/>
      <c r="AB1040" s="655"/>
      <c r="AC1040" s="655"/>
      <c r="AD1040" s="655"/>
    </row>
    <row r="1041">
      <c r="B1041" s="462"/>
      <c r="C1041" s="462"/>
      <c r="D1041" s="462"/>
      <c r="E1041" s="462"/>
      <c r="F1041" s="462"/>
      <c r="G1041" s="462"/>
      <c r="H1041" s="462"/>
      <c r="I1041" s="654"/>
      <c r="J1041" s="650"/>
      <c r="K1041" s="654"/>
      <c r="L1041" s="654"/>
      <c r="M1041" s="650"/>
      <c r="N1041" s="650"/>
      <c r="O1041" s="655"/>
      <c r="P1041" s="655"/>
      <c r="Q1041" s="655"/>
      <c r="R1041" s="655"/>
      <c r="S1041" s="655"/>
      <c r="T1041" s="655"/>
      <c r="U1041" s="655"/>
      <c r="V1041" s="655"/>
      <c r="W1041" s="655"/>
      <c r="X1041" s="655"/>
      <c r="Y1041" s="655"/>
      <c r="Z1041" s="655"/>
      <c r="AA1041" s="655"/>
      <c r="AB1041" s="655"/>
      <c r="AC1041" s="655"/>
      <c r="AD1041" s="655"/>
    </row>
    <row r="1042">
      <c r="B1042" s="462"/>
      <c r="C1042" s="462"/>
      <c r="D1042" s="462"/>
      <c r="E1042" s="462"/>
      <c r="F1042" s="462"/>
      <c r="G1042" s="462"/>
      <c r="H1042" s="462"/>
      <c r="I1042" s="654"/>
      <c r="J1042" s="650"/>
      <c r="K1042" s="654"/>
      <c r="L1042" s="654"/>
      <c r="M1042" s="650"/>
      <c r="N1042" s="650"/>
      <c r="O1042" s="655"/>
      <c r="P1042" s="655"/>
      <c r="Q1042" s="655"/>
      <c r="R1042" s="655"/>
      <c r="S1042" s="655"/>
      <c r="T1042" s="655"/>
      <c r="U1042" s="655"/>
      <c r="V1042" s="655"/>
      <c r="W1042" s="655"/>
      <c r="X1042" s="655"/>
      <c r="Y1042" s="655"/>
      <c r="Z1042" s="655"/>
      <c r="AA1042" s="655"/>
      <c r="AB1042" s="655"/>
      <c r="AC1042" s="655"/>
      <c r="AD1042" s="655"/>
    </row>
    <row r="1043">
      <c r="B1043" s="462"/>
      <c r="C1043" s="462"/>
      <c r="D1043" s="462"/>
      <c r="E1043" s="462"/>
      <c r="F1043" s="462"/>
      <c r="G1043" s="462"/>
      <c r="H1043" s="462"/>
      <c r="I1043" s="654"/>
      <c r="J1043" s="650"/>
      <c r="K1043" s="654"/>
      <c r="L1043" s="654"/>
      <c r="M1043" s="650"/>
      <c r="N1043" s="650"/>
      <c r="O1043" s="655"/>
      <c r="P1043" s="655"/>
      <c r="Q1043" s="655"/>
      <c r="R1043" s="655"/>
      <c r="S1043" s="655"/>
      <c r="T1043" s="655"/>
      <c r="U1043" s="655"/>
      <c r="V1043" s="655"/>
      <c r="W1043" s="655"/>
      <c r="X1043" s="655"/>
      <c r="Y1043" s="655"/>
      <c r="Z1043" s="655"/>
      <c r="AA1043" s="655"/>
      <c r="AB1043" s="655"/>
      <c r="AC1043" s="655"/>
      <c r="AD1043" s="655"/>
    </row>
    <row r="1044">
      <c r="B1044" s="462"/>
      <c r="C1044" s="462"/>
      <c r="D1044" s="462"/>
      <c r="E1044" s="462"/>
      <c r="F1044" s="462"/>
      <c r="G1044" s="462"/>
      <c r="H1044" s="462"/>
      <c r="I1044" s="654"/>
      <c r="J1044" s="650"/>
      <c r="K1044" s="654"/>
      <c r="L1044" s="654"/>
      <c r="M1044" s="650"/>
      <c r="N1044" s="650"/>
      <c r="O1044" s="655"/>
      <c r="P1044" s="655"/>
      <c r="Q1044" s="655"/>
      <c r="R1044" s="655"/>
      <c r="S1044" s="655"/>
      <c r="T1044" s="655"/>
      <c r="U1044" s="655"/>
      <c r="V1044" s="655"/>
      <c r="W1044" s="655"/>
      <c r="X1044" s="655"/>
      <c r="Y1044" s="655"/>
      <c r="Z1044" s="655"/>
      <c r="AA1044" s="655"/>
      <c r="AB1044" s="655"/>
      <c r="AC1044" s="655"/>
      <c r="AD1044" s="655"/>
    </row>
    <row r="1045">
      <c r="B1045" s="462"/>
      <c r="C1045" s="462"/>
      <c r="D1045" s="462"/>
      <c r="E1045" s="462"/>
      <c r="F1045" s="462"/>
      <c r="G1045" s="462"/>
      <c r="H1045" s="462"/>
      <c r="I1045" s="654"/>
      <c r="J1045" s="650"/>
      <c r="K1045" s="654"/>
      <c r="L1045" s="654"/>
      <c r="M1045" s="650"/>
      <c r="N1045" s="650"/>
      <c r="O1045" s="655"/>
      <c r="P1045" s="655"/>
      <c r="Q1045" s="655"/>
      <c r="R1045" s="655"/>
      <c r="S1045" s="655"/>
      <c r="T1045" s="655"/>
      <c r="U1045" s="655"/>
      <c r="V1045" s="655"/>
      <c r="W1045" s="655"/>
      <c r="X1045" s="655"/>
      <c r="Y1045" s="655"/>
      <c r="Z1045" s="655"/>
      <c r="AA1045" s="655"/>
      <c r="AB1045" s="655"/>
      <c r="AC1045" s="655"/>
      <c r="AD1045" s="655"/>
    </row>
    <row r="1046">
      <c r="B1046" s="462"/>
      <c r="C1046" s="462"/>
      <c r="D1046" s="462"/>
      <c r="E1046" s="462"/>
      <c r="F1046" s="462"/>
      <c r="G1046" s="462"/>
      <c r="H1046" s="462"/>
      <c r="I1046" s="654"/>
      <c r="J1046" s="650"/>
      <c r="K1046" s="654"/>
      <c r="L1046" s="654"/>
      <c r="M1046" s="650"/>
      <c r="N1046" s="650"/>
      <c r="O1046" s="655"/>
      <c r="P1046" s="655"/>
      <c r="Q1046" s="655"/>
      <c r="R1046" s="655"/>
      <c r="S1046" s="655"/>
      <c r="T1046" s="655"/>
      <c r="U1046" s="655"/>
      <c r="V1046" s="655"/>
      <c r="W1046" s="655"/>
      <c r="X1046" s="655"/>
      <c r="Y1046" s="655"/>
      <c r="Z1046" s="655"/>
      <c r="AA1046" s="655"/>
      <c r="AB1046" s="655"/>
      <c r="AC1046" s="655"/>
      <c r="AD1046" s="655"/>
    </row>
    <row r="1047">
      <c r="B1047" s="462"/>
      <c r="C1047" s="462"/>
      <c r="D1047" s="462"/>
      <c r="E1047" s="462"/>
      <c r="F1047" s="462"/>
      <c r="G1047" s="462"/>
      <c r="H1047" s="462"/>
      <c r="I1047" s="654"/>
      <c r="J1047" s="650"/>
      <c r="K1047" s="654"/>
      <c r="L1047" s="654"/>
      <c r="M1047" s="650"/>
      <c r="N1047" s="650"/>
      <c r="O1047" s="655"/>
      <c r="P1047" s="655"/>
      <c r="Q1047" s="655"/>
      <c r="R1047" s="655"/>
      <c r="S1047" s="655"/>
      <c r="T1047" s="655"/>
      <c r="U1047" s="655"/>
      <c r="V1047" s="655"/>
      <c r="W1047" s="655"/>
      <c r="X1047" s="655"/>
      <c r="Y1047" s="655"/>
      <c r="Z1047" s="655"/>
      <c r="AA1047" s="655"/>
      <c r="AB1047" s="655"/>
      <c r="AC1047" s="655"/>
      <c r="AD1047" s="655"/>
    </row>
    <row r="1048">
      <c r="B1048" s="462"/>
      <c r="C1048" s="462"/>
      <c r="D1048" s="462"/>
      <c r="E1048" s="462"/>
      <c r="F1048" s="462"/>
      <c r="G1048" s="462"/>
      <c r="H1048" s="462"/>
      <c r="I1048" s="654"/>
      <c r="J1048" s="650"/>
      <c r="K1048" s="654"/>
      <c r="L1048" s="654"/>
      <c r="M1048" s="650"/>
      <c r="N1048" s="650"/>
      <c r="O1048" s="655"/>
      <c r="P1048" s="655"/>
      <c r="Q1048" s="655"/>
      <c r="R1048" s="655"/>
      <c r="S1048" s="655"/>
      <c r="T1048" s="655"/>
      <c r="U1048" s="655"/>
      <c r="V1048" s="655"/>
      <c r="W1048" s="655"/>
      <c r="X1048" s="655"/>
      <c r="Y1048" s="655"/>
      <c r="Z1048" s="655"/>
      <c r="AA1048" s="655"/>
      <c r="AB1048" s="655"/>
      <c r="AC1048" s="655"/>
      <c r="AD1048" s="655"/>
    </row>
    <row r="1049">
      <c r="B1049" s="462"/>
      <c r="C1049" s="462"/>
      <c r="D1049" s="462"/>
      <c r="E1049" s="462"/>
      <c r="F1049" s="462"/>
      <c r="G1049" s="462"/>
      <c r="H1049" s="462"/>
      <c r="I1049" s="654"/>
      <c r="J1049" s="650"/>
      <c r="K1049" s="654"/>
      <c r="L1049" s="654"/>
      <c r="M1049" s="650"/>
      <c r="N1049" s="650"/>
      <c r="O1049" s="655"/>
      <c r="P1049" s="655"/>
      <c r="Q1049" s="655"/>
      <c r="R1049" s="655"/>
      <c r="S1049" s="655"/>
      <c r="T1049" s="655"/>
      <c r="U1049" s="655"/>
      <c r="V1049" s="655"/>
      <c r="W1049" s="655"/>
      <c r="X1049" s="655"/>
      <c r="Y1049" s="655"/>
      <c r="Z1049" s="655"/>
      <c r="AA1049" s="655"/>
      <c r="AB1049" s="655"/>
      <c r="AC1049" s="655"/>
      <c r="AD1049" s="655"/>
    </row>
    <row r="1050">
      <c r="B1050" s="462"/>
      <c r="C1050" s="462"/>
      <c r="D1050" s="462"/>
      <c r="E1050" s="462"/>
      <c r="F1050" s="462"/>
      <c r="G1050" s="462"/>
      <c r="H1050" s="462"/>
      <c r="I1050" s="654"/>
      <c r="J1050" s="650"/>
      <c r="K1050" s="654"/>
      <c r="L1050" s="654"/>
      <c r="M1050" s="650"/>
      <c r="N1050" s="650"/>
      <c r="O1050" s="655"/>
      <c r="P1050" s="655"/>
      <c r="Q1050" s="655"/>
      <c r="R1050" s="655"/>
      <c r="S1050" s="655"/>
      <c r="T1050" s="655"/>
      <c r="U1050" s="655"/>
      <c r="V1050" s="655"/>
      <c r="W1050" s="655"/>
      <c r="X1050" s="655"/>
      <c r="Y1050" s="655"/>
      <c r="Z1050" s="655"/>
      <c r="AA1050" s="655"/>
      <c r="AB1050" s="655"/>
      <c r="AC1050" s="655"/>
      <c r="AD1050" s="655"/>
    </row>
    <row r="1051">
      <c r="B1051" s="462"/>
      <c r="C1051" s="462"/>
      <c r="D1051" s="462"/>
      <c r="E1051" s="462"/>
      <c r="F1051" s="462"/>
      <c r="G1051" s="462"/>
      <c r="H1051" s="462"/>
      <c r="I1051" s="654"/>
      <c r="J1051" s="650"/>
      <c r="K1051" s="654"/>
      <c r="L1051" s="654"/>
      <c r="M1051" s="650"/>
      <c r="N1051" s="650"/>
      <c r="O1051" s="655"/>
      <c r="P1051" s="655"/>
      <c r="Q1051" s="655"/>
      <c r="R1051" s="655"/>
      <c r="S1051" s="655"/>
      <c r="T1051" s="655"/>
      <c r="U1051" s="655"/>
      <c r="V1051" s="655"/>
      <c r="W1051" s="655"/>
      <c r="X1051" s="655"/>
      <c r="Y1051" s="655"/>
      <c r="Z1051" s="655"/>
      <c r="AA1051" s="655"/>
      <c r="AB1051" s="655"/>
      <c r="AC1051" s="655"/>
      <c r="AD1051" s="655"/>
    </row>
    <row r="1052">
      <c r="B1052" s="462"/>
      <c r="C1052" s="462"/>
      <c r="D1052" s="462"/>
      <c r="E1052" s="462"/>
      <c r="F1052" s="462"/>
      <c r="G1052" s="462"/>
      <c r="H1052" s="462"/>
      <c r="I1052" s="654"/>
      <c r="J1052" s="650"/>
      <c r="K1052" s="654"/>
      <c r="L1052" s="654"/>
      <c r="M1052" s="650"/>
      <c r="N1052" s="650"/>
      <c r="O1052" s="655"/>
      <c r="P1052" s="655"/>
      <c r="Q1052" s="655"/>
      <c r="R1052" s="655"/>
      <c r="S1052" s="655"/>
      <c r="T1052" s="655"/>
      <c r="U1052" s="655"/>
      <c r="V1052" s="655"/>
      <c r="W1052" s="655"/>
      <c r="X1052" s="655"/>
      <c r="Y1052" s="655"/>
      <c r="Z1052" s="655"/>
      <c r="AA1052" s="655"/>
      <c r="AB1052" s="655"/>
      <c r="AC1052" s="655"/>
      <c r="AD1052" s="655"/>
    </row>
    <row r="1053">
      <c r="B1053" s="462"/>
      <c r="C1053" s="462"/>
      <c r="D1053" s="462"/>
      <c r="E1053" s="462"/>
      <c r="F1053" s="462"/>
      <c r="G1053" s="462"/>
      <c r="H1053" s="462"/>
      <c r="I1053" s="654"/>
      <c r="J1053" s="650"/>
      <c r="K1053" s="654"/>
      <c r="L1053" s="654"/>
      <c r="M1053" s="650"/>
      <c r="N1053" s="650"/>
      <c r="O1053" s="655"/>
      <c r="P1053" s="655"/>
      <c r="Q1053" s="655"/>
      <c r="R1053" s="655"/>
      <c r="S1053" s="655"/>
      <c r="T1053" s="655"/>
      <c r="U1053" s="655"/>
      <c r="V1053" s="655"/>
      <c r="W1053" s="655"/>
      <c r="X1053" s="655"/>
      <c r="Y1053" s="655"/>
      <c r="Z1053" s="655"/>
      <c r="AA1053" s="655"/>
      <c r="AB1053" s="655"/>
      <c r="AC1053" s="655"/>
      <c r="AD1053" s="655"/>
    </row>
    <row r="1054">
      <c r="B1054" s="462"/>
      <c r="C1054" s="462"/>
      <c r="D1054" s="462"/>
      <c r="E1054" s="462"/>
      <c r="F1054" s="462"/>
      <c r="G1054" s="462"/>
      <c r="H1054" s="462"/>
      <c r="I1054" s="654"/>
      <c r="J1054" s="650"/>
      <c r="K1054" s="654"/>
      <c r="L1054" s="654"/>
      <c r="M1054" s="650"/>
      <c r="N1054" s="650"/>
      <c r="O1054" s="655"/>
      <c r="P1054" s="655"/>
      <c r="Q1054" s="655"/>
      <c r="R1054" s="655"/>
      <c r="S1054" s="655"/>
      <c r="T1054" s="655"/>
      <c r="U1054" s="655"/>
      <c r="V1054" s="655"/>
      <c r="W1054" s="655"/>
      <c r="X1054" s="655"/>
      <c r="Y1054" s="655"/>
      <c r="Z1054" s="655"/>
      <c r="AA1054" s="655"/>
      <c r="AB1054" s="655"/>
      <c r="AC1054" s="655"/>
      <c r="AD1054" s="655"/>
    </row>
    <row r="1055">
      <c r="B1055" s="462"/>
      <c r="C1055" s="462"/>
      <c r="D1055" s="462"/>
      <c r="E1055" s="462"/>
      <c r="F1055" s="462"/>
      <c r="G1055" s="462"/>
      <c r="H1055" s="462"/>
      <c r="I1055" s="654"/>
      <c r="J1055" s="650"/>
      <c r="K1055" s="654"/>
      <c r="L1055" s="654"/>
      <c r="M1055" s="650"/>
      <c r="N1055" s="650"/>
      <c r="O1055" s="655"/>
      <c r="P1055" s="655"/>
      <c r="Q1055" s="655"/>
      <c r="R1055" s="655"/>
      <c r="S1055" s="655"/>
      <c r="T1055" s="655"/>
      <c r="U1055" s="655"/>
      <c r="V1055" s="655"/>
      <c r="W1055" s="655"/>
      <c r="X1055" s="655"/>
      <c r="Y1055" s="655"/>
      <c r="Z1055" s="655"/>
      <c r="AA1055" s="655"/>
      <c r="AB1055" s="655"/>
      <c r="AC1055" s="655"/>
      <c r="AD1055" s="655"/>
    </row>
    <row r="1056">
      <c r="B1056" s="462"/>
      <c r="C1056" s="462"/>
      <c r="D1056" s="462"/>
      <c r="E1056" s="462"/>
      <c r="F1056" s="462"/>
      <c r="G1056" s="462"/>
      <c r="H1056" s="462"/>
      <c r="I1056" s="654"/>
      <c r="J1056" s="650"/>
      <c r="K1056" s="654"/>
      <c r="L1056" s="654"/>
      <c r="M1056" s="650"/>
      <c r="N1056" s="650"/>
      <c r="O1056" s="655"/>
      <c r="P1056" s="655"/>
      <c r="Q1056" s="655"/>
      <c r="R1056" s="655"/>
      <c r="S1056" s="655"/>
      <c r="T1056" s="655"/>
      <c r="U1056" s="655"/>
      <c r="V1056" s="655"/>
      <c r="W1056" s="655"/>
      <c r="X1056" s="655"/>
      <c r="Y1056" s="655"/>
      <c r="Z1056" s="655"/>
      <c r="AA1056" s="655"/>
      <c r="AB1056" s="655"/>
      <c r="AC1056" s="655"/>
      <c r="AD1056" s="655"/>
    </row>
    <row r="1057">
      <c r="B1057" s="462"/>
      <c r="C1057" s="462"/>
      <c r="D1057" s="462"/>
      <c r="E1057" s="462"/>
      <c r="F1057" s="462"/>
      <c r="G1057" s="462"/>
      <c r="H1057" s="462"/>
      <c r="I1057" s="654"/>
      <c r="J1057" s="650"/>
      <c r="K1057" s="654"/>
      <c r="L1057" s="654"/>
      <c r="M1057" s="650"/>
      <c r="N1057" s="650"/>
      <c r="O1057" s="655"/>
      <c r="P1057" s="655"/>
      <c r="Q1057" s="655"/>
      <c r="R1057" s="655"/>
      <c r="S1057" s="655"/>
      <c r="T1057" s="655"/>
      <c r="U1057" s="655"/>
      <c r="V1057" s="655"/>
      <c r="W1057" s="655"/>
      <c r="X1057" s="655"/>
      <c r="Y1057" s="655"/>
      <c r="Z1057" s="655"/>
      <c r="AA1057" s="655"/>
      <c r="AB1057" s="655"/>
      <c r="AC1057" s="655"/>
      <c r="AD1057" s="655"/>
    </row>
    <row r="1058">
      <c r="B1058" s="462"/>
      <c r="C1058" s="462"/>
      <c r="D1058" s="462"/>
      <c r="E1058" s="462"/>
      <c r="F1058" s="462"/>
      <c r="G1058" s="462"/>
      <c r="H1058" s="462"/>
      <c r="I1058" s="654"/>
      <c r="J1058" s="650"/>
      <c r="K1058" s="654"/>
      <c r="L1058" s="654"/>
      <c r="M1058" s="650"/>
      <c r="N1058" s="650"/>
      <c r="O1058" s="655"/>
      <c r="P1058" s="655"/>
      <c r="Q1058" s="655"/>
      <c r="R1058" s="655"/>
      <c r="S1058" s="655"/>
      <c r="T1058" s="655"/>
      <c r="U1058" s="655"/>
      <c r="V1058" s="655"/>
      <c r="W1058" s="655"/>
      <c r="X1058" s="655"/>
      <c r="Y1058" s="655"/>
      <c r="Z1058" s="655"/>
      <c r="AA1058" s="655"/>
      <c r="AB1058" s="655"/>
      <c r="AC1058" s="655"/>
      <c r="AD1058" s="655"/>
    </row>
    <row r="1059">
      <c r="B1059" s="462"/>
      <c r="C1059" s="462"/>
      <c r="D1059" s="462"/>
      <c r="E1059" s="462"/>
      <c r="F1059" s="462"/>
      <c r="G1059" s="462"/>
      <c r="H1059" s="462"/>
      <c r="I1059" s="654"/>
      <c r="J1059" s="650"/>
      <c r="K1059" s="654"/>
      <c r="L1059" s="654"/>
      <c r="M1059" s="650"/>
      <c r="N1059" s="650"/>
      <c r="O1059" s="655"/>
      <c r="P1059" s="655"/>
      <c r="Q1059" s="655"/>
      <c r="R1059" s="655"/>
      <c r="S1059" s="655"/>
      <c r="T1059" s="655"/>
      <c r="U1059" s="655"/>
      <c r="V1059" s="655"/>
      <c r="W1059" s="655"/>
      <c r="X1059" s="655"/>
      <c r="Y1059" s="655"/>
      <c r="Z1059" s="655"/>
      <c r="AA1059" s="655"/>
      <c r="AB1059" s="655"/>
      <c r="AC1059" s="655"/>
      <c r="AD1059" s="655"/>
    </row>
    <row r="1060">
      <c r="B1060" s="462"/>
      <c r="C1060" s="462"/>
      <c r="D1060" s="462"/>
      <c r="E1060" s="462"/>
      <c r="F1060" s="462"/>
      <c r="G1060" s="462"/>
      <c r="H1060" s="462"/>
      <c r="I1060" s="654"/>
      <c r="J1060" s="650"/>
      <c r="K1060" s="654"/>
      <c r="L1060" s="654"/>
      <c r="M1060" s="650"/>
      <c r="N1060" s="650"/>
      <c r="O1060" s="655"/>
      <c r="P1060" s="655"/>
      <c r="Q1060" s="655"/>
      <c r="R1060" s="655"/>
      <c r="S1060" s="655"/>
      <c r="T1060" s="655"/>
      <c r="U1060" s="655"/>
      <c r="V1060" s="655"/>
      <c r="W1060" s="655"/>
      <c r="X1060" s="655"/>
      <c r="Y1060" s="655"/>
      <c r="Z1060" s="655"/>
      <c r="AA1060" s="655"/>
      <c r="AB1060" s="655"/>
      <c r="AC1060" s="655"/>
      <c r="AD1060" s="655"/>
    </row>
    <row r="1061">
      <c r="B1061" s="462"/>
      <c r="C1061" s="462"/>
      <c r="D1061" s="462"/>
      <c r="E1061" s="462"/>
      <c r="F1061" s="462"/>
      <c r="G1061" s="462"/>
      <c r="H1061" s="462"/>
      <c r="I1061" s="654"/>
      <c r="J1061" s="650"/>
      <c r="K1061" s="654"/>
      <c r="L1061" s="654"/>
      <c r="M1061" s="650"/>
      <c r="N1061" s="650"/>
      <c r="O1061" s="655"/>
      <c r="P1061" s="655"/>
      <c r="Q1061" s="655"/>
      <c r="R1061" s="655"/>
      <c r="S1061" s="655"/>
      <c r="T1061" s="655"/>
      <c r="U1061" s="655"/>
      <c r="V1061" s="655"/>
      <c r="W1061" s="655"/>
      <c r="X1061" s="655"/>
      <c r="Y1061" s="655"/>
      <c r="Z1061" s="655"/>
      <c r="AA1061" s="655"/>
      <c r="AB1061" s="655"/>
      <c r="AC1061" s="655"/>
      <c r="AD1061" s="655"/>
    </row>
    <row r="1062">
      <c r="B1062" s="462"/>
      <c r="C1062" s="462"/>
      <c r="D1062" s="462"/>
      <c r="E1062" s="462"/>
      <c r="F1062" s="462"/>
      <c r="G1062" s="462"/>
      <c r="H1062" s="462"/>
      <c r="I1062" s="654"/>
      <c r="J1062" s="650"/>
      <c r="K1062" s="654"/>
      <c r="L1062" s="654"/>
      <c r="M1062" s="650"/>
      <c r="N1062" s="650"/>
      <c r="O1062" s="655"/>
      <c r="P1062" s="655"/>
      <c r="Q1062" s="655"/>
      <c r="R1062" s="655"/>
      <c r="S1062" s="655"/>
      <c r="T1062" s="655"/>
      <c r="U1062" s="655"/>
      <c r="V1062" s="655"/>
      <c r="W1062" s="655"/>
      <c r="X1062" s="655"/>
      <c r="Y1062" s="655"/>
      <c r="Z1062" s="655"/>
      <c r="AA1062" s="655"/>
      <c r="AB1062" s="655"/>
      <c r="AC1062" s="655"/>
      <c r="AD1062" s="655"/>
    </row>
    <row r="1063">
      <c r="B1063" s="462"/>
      <c r="C1063" s="462"/>
      <c r="D1063" s="462"/>
      <c r="E1063" s="462"/>
      <c r="F1063" s="462"/>
      <c r="G1063" s="462"/>
      <c r="H1063" s="462"/>
      <c r="I1063" s="654"/>
      <c r="J1063" s="650"/>
      <c r="K1063" s="654"/>
      <c r="L1063" s="654"/>
      <c r="M1063" s="650"/>
      <c r="N1063" s="650"/>
      <c r="O1063" s="655"/>
      <c r="P1063" s="655"/>
      <c r="Q1063" s="655"/>
      <c r="R1063" s="655"/>
      <c r="S1063" s="655"/>
      <c r="T1063" s="655"/>
      <c r="U1063" s="655"/>
      <c r="V1063" s="655"/>
      <c r="W1063" s="655"/>
      <c r="X1063" s="655"/>
      <c r="Y1063" s="655"/>
      <c r="Z1063" s="655"/>
      <c r="AA1063" s="655"/>
      <c r="AB1063" s="655"/>
      <c r="AC1063" s="655"/>
      <c r="AD1063" s="655"/>
    </row>
    <row r="1064">
      <c r="B1064" s="462"/>
      <c r="C1064" s="462"/>
      <c r="D1064" s="462"/>
      <c r="E1064" s="462"/>
      <c r="F1064" s="462"/>
      <c r="G1064" s="462"/>
      <c r="H1064" s="462"/>
      <c r="I1064" s="654"/>
      <c r="J1064" s="650"/>
      <c r="K1064" s="654"/>
      <c r="L1064" s="654"/>
      <c r="M1064" s="650"/>
      <c r="N1064" s="650"/>
      <c r="O1064" s="655"/>
      <c r="P1064" s="655"/>
      <c r="Q1064" s="655"/>
      <c r="R1064" s="655"/>
      <c r="S1064" s="655"/>
      <c r="T1064" s="655"/>
      <c r="U1064" s="655"/>
      <c r="V1064" s="655"/>
      <c r="W1064" s="655"/>
      <c r="X1064" s="655"/>
      <c r="Y1064" s="655"/>
      <c r="Z1064" s="655"/>
      <c r="AA1064" s="655"/>
      <c r="AB1064" s="655"/>
      <c r="AC1064" s="655"/>
      <c r="AD1064" s="655"/>
    </row>
    <row r="1065">
      <c r="B1065" s="462"/>
      <c r="C1065" s="462"/>
      <c r="D1065" s="462"/>
      <c r="E1065" s="462"/>
      <c r="F1065" s="462"/>
      <c r="G1065" s="462"/>
      <c r="H1065" s="462"/>
      <c r="I1065" s="654"/>
      <c r="J1065" s="650"/>
      <c r="K1065" s="654"/>
      <c r="L1065" s="654"/>
      <c r="M1065" s="650"/>
      <c r="N1065" s="650"/>
      <c r="O1065" s="655"/>
      <c r="P1065" s="655"/>
      <c r="Q1065" s="655"/>
      <c r="R1065" s="655"/>
      <c r="S1065" s="655"/>
      <c r="T1065" s="655"/>
      <c r="U1065" s="655"/>
      <c r="V1065" s="655"/>
      <c r="W1065" s="655"/>
      <c r="X1065" s="655"/>
      <c r="Y1065" s="655"/>
      <c r="Z1065" s="655"/>
      <c r="AA1065" s="655"/>
      <c r="AB1065" s="655"/>
      <c r="AC1065" s="655"/>
      <c r="AD1065" s="655"/>
    </row>
    <row r="1066">
      <c r="B1066" s="462"/>
      <c r="C1066" s="462"/>
      <c r="D1066" s="462"/>
      <c r="E1066" s="462"/>
      <c r="F1066" s="462"/>
      <c r="G1066" s="462"/>
      <c r="H1066" s="462"/>
      <c r="I1066" s="654"/>
      <c r="J1066" s="650"/>
      <c r="K1066" s="654"/>
      <c r="L1066" s="654"/>
      <c r="M1066" s="650"/>
      <c r="N1066" s="650"/>
      <c r="O1066" s="655"/>
      <c r="P1066" s="655"/>
      <c r="Q1066" s="655"/>
      <c r="R1066" s="655"/>
      <c r="S1066" s="655"/>
      <c r="T1066" s="655"/>
      <c r="U1066" s="655"/>
      <c r="V1066" s="655"/>
      <c r="W1066" s="655"/>
      <c r="X1066" s="655"/>
      <c r="Y1066" s="655"/>
      <c r="Z1066" s="655"/>
      <c r="AA1066" s="655"/>
      <c r="AB1066" s="655"/>
      <c r="AC1066" s="655"/>
      <c r="AD1066" s="655"/>
    </row>
    <row r="1067">
      <c r="B1067" s="462"/>
      <c r="C1067" s="462"/>
      <c r="D1067" s="462"/>
      <c r="E1067" s="462"/>
      <c r="F1067" s="462"/>
      <c r="G1067" s="462"/>
      <c r="H1067" s="462"/>
      <c r="I1067" s="654"/>
      <c r="J1067" s="650"/>
      <c r="K1067" s="654"/>
      <c r="L1067" s="654"/>
      <c r="M1067" s="650"/>
      <c r="N1067" s="650"/>
      <c r="O1067" s="655"/>
      <c r="P1067" s="655"/>
      <c r="Q1067" s="655"/>
      <c r="R1067" s="655"/>
      <c r="S1067" s="655"/>
      <c r="T1067" s="655"/>
      <c r="U1067" s="655"/>
      <c r="V1067" s="655"/>
      <c r="W1067" s="655"/>
      <c r="X1067" s="655"/>
      <c r="Y1067" s="655"/>
      <c r="Z1067" s="655"/>
      <c r="AA1067" s="655"/>
      <c r="AB1067" s="655"/>
      <c r="AC1067" s="655"/>
      <c r="AD1067" s="655"/>
    </row>
    <row r="1068">
      <c r="B1068" s="462"/>
      <c r="C1068" s="462"/>
      <c r="D1068" s="462"/>
      <c r="E1068" s="462"/>
      <c r="F1068" s="462"/>
      <c r="G1068" s="462"/>
      <c r="H1068" s="462"/>
      <c r="I1068" s="654"/>
      <c r="J1068" s="650"/>
      <c r="K1068" s="654"/>
      <c r="L1068" s="654"/>
      <c r="M1068" s="650"/>
      <c r="N1068" s="650"/>
      <c r="O1068" s="655"/>
      <c r="P1068" s="655"/>
      <c r="Q1068" s="655"/>
      <c r="R1068" s="655"/>
      <c r="S1068" s="655"/>
      <c r="T1068" s="655"/>
      <c r="U1068" s="655"/>
      <c r="V1068" s="655"/>
      <c r="W1068" s="655"/>
      <c r="X1068" s="655"/>
      <c r="Y1068" s="655"/>
      <c r="Z1068" s="655"/>
      <c r="AA1068" s="655"/>
      <c r="AB1068" s="655"/>
      <c r="AC1068" s="655"/>
      <c r="AD1068" s="655"/>
    </row>
    <row r="1069">
      <c r="B1069" s="462"/>
      <c r="C1069" s="462"/>
      <c r="D1069" s="462"/>
      <c r="E1069" s="462"/>
      <c r="F1069" s="462"/>
      <c r="G1069" s="462"/>
      <c r="H1069" s="462"/>
      <c r="I1069" s="654"/>
      <c r="J1069" s="650"/>
      <c r="K1069" s="654"/>
      <c r="L1069" s="654"/>
      <c r="M1069" s="650"/>
      <c r="N1069" s="650"/>
      <c r="O1069" s="655"/>
      <c r="P1069" s="655"/>
      <c r="Q1069" s="655"/>
      <c r="R1069" s="655"/>
      <c r="S1069" s="655"/>
      <c r="T1069" s="655"/>
      <c r="U1069" s="655"/>
      <c r="V1069" s="655"/>
      <c r="W1069" s="655"/>
      <c r="X1069" s="655"/>
      <c r="Y1069" s="655"/>
      <c r="Z1069" s="655"/>
      <c r="AA1069" s="655"/>
      <c r="AB1069" s="655"/>
      <c r="AC1069" s="655"/>
      <c r="AD1069" s="655"/>
    </row>
    <row r="1070">
      <c r="B1070" s="462"/>
      <c r="C1070" s="462"/>
      <c r="D1070" s="462"/>
      <c r="E1070" s="462"/>
      <c r="F1070" s="462"/>
      <c r="G1070" s="462"/>
      <c r="H1070" s="462"/>
      <c r="I1070" s="654"/>
      <c r="J1070" s="650"/>
      <c r="K1070" s="654"/>
      <c r="L1070" s="654"/>
      <c r="M1070" s="650"/>
      <c r="N1070" s="650"/>
      <c r="O1070" s="655"/>
      <c r="P1070" s="655"/>
      <c r="Q1070" s="655"/>
      <c r="R1070" s="655"/>
      <c r="S1070" s="655"/>
      <c r="T1070" s="655"/>
      <c r="U1070" s="655"/>
      <c r="V1070" s="655"/>
      <c r="W1070" s="655"/>
      <c r="X1070" s="655"/>
      <c r="Y1070" s="655"/>
      <c r="Z1070" s="655"/>
      <c r="AA1070" s="655"/>
      <c r="AB1070" s="655"/>
      <c r="AC1070" s="655"/>
      <c r="AD1070" s="655"/>
    </row>
    <row r="1071">
      <c r="B1071" s="462"/>
      <c r="C1071" s="462"/>
      <c r="D1071" s="462"/>
      <c r="E1071" s="462"/>
      <c r="F1071" s="462"/>
      <c r="G1071" s="462"/>
      <c r="H1071" s="462"/>
      <c r="I1071" s="654"/>
      <c r="J1071" s="650"/>
      <c r="K1071" s="654"/>
      <c r="L1071" s="654"/>
      <c r="M1071" s="650"/>
      <c r="N1071" s="650"/>
      <c r="O1071" s="655"/>
      <c r="P1071" s="655"/>
      <c r="Q1071" s="655"/>
      <c r="R1071" s="655"/>
      <c r="S1071" s="655"/>
      <c r="T1071" s="655"/>
      <c r="U1071" s="655"/>
      <c r="V1071" s="655"/>
      <c r="W1071" s="655"/>
      <c r="X1071" s="655"/>
      <c r="Y1071" s="655"/>
      <c r="Z1071" s="655"/>
      <c r="AA1071" s="655"/>
      <c r="AB1071" s="655"/>
      <c r="AC1071" s="655"/>
      <c r="AD1071" s="655"/>
    </row>
    <row r="1072">
      <c r="B1072" s="462"/>
      <c r="C1072" s="462"/>
      <c r="D1072" s="462"/>
      <c r="E1072" s="462"/>
      <c r="F1072" s="462"/>
      <c r="G1072" s="462"/>
      <c r="H1072" s="462"/>
      <c r="I1072" s="654"/>
      <c r="J1072" s="650"/>
      <c r="K1072" s="654"/>
      <c r="L1072" s="654"/>
      <c r="M1072" s="650"/>
      <c r="N1072" s="650"/>
      <c r="O1072" s="655"/>
      <c r="P1072" s="655"/>
      <c r="Q1072" s="655"/>
      <c r="R1072" s="655"/>
      <c r="S1072" s="655"/>
      <c r="T1072" s="655"/>
      <c r="U1072" s="655"/>
      <c r="V1072" s="655"/>
      <c r="W1072" s="655"/>
      <c r="X1072" s="655"/>
      <c r="Y1072" s="655"/>
      <c r="Z1072" s="655"/>
      <c r="AA1072" s="655"/>
      <c r="AB1072" s="655"/>
      <c r="AC1072" s="655"/>
      <c r="AD1072" s="655"/>
    </row>
    <row r="1073">
      <c r="B1073" s="462"/>
      <c r="C1073" s="462"/>
      <c r="D1073" s="462"/>
      <c r="E1073" s="462"/>
      <c r="F1073" s="462"/>
      <c r="G1073" s="462"/>
      <c r="H1073" s="462"/>
      <c r="I1073" s="654"/>
      <c r="J1073" s="650"/>
      <c r="K1073" s="654"/>
      <c r="L1073" s="654"/>
      <c r="M1073" s="650"/>
      <c r="N1073" s="650"/>
      <c r="O1073" s="655"/>
      <c r="P1073" s="655"/>
      <c r="Q1073" s="655"/>
      <c r="R1073" s="655"/>
      <c r="S1073" s="655"/>
      <c r="T1073" s="655"/>
      <c r="U1073" s="655"/>
      <c r="V1073" s="655"/>
      <c r="W1073" s="655"/>
      <c r="X1073" s="655"/>
      <c r="Y1073" s="655"/>
      <c r="Z1073" s="655"/>
      <c r="AA1073" s="655"/>
      <c r="AB1073" s="655"/>
      <c r="AC1073" s="655"/>
      <c r="AD1073" s="655"/>
    </row>
    <row r="1074">
      <c r="B1074" s="462"/>
      <c r="C1074" s="462"/>
      <c r="D1074" s="462"/>
      <c r="E1074" s="462"/>
      <c r="F1074" s="462"/>
      <c r="G1074" s="462"/>
      <c r="H1074" s="462"/>
      <c r="I1074" s="654"/>
      <c r="J1074" s="650"/>
      <c r="K1074" s="654"/>
      <c r="L1074" s="654"/>
      <c r="M1074" s="650"/>
      <c r="N1074" s="650"/>
      <c r="O1074" s="655"/>
      <c r="P1074" s="655"/>
      <c r="Q1074" s="655"/>
      <c r="R1074" s="655"/>
      <c r="S1074" s="655"/>
      <c r="T1074" s="655"/>
      <c r="U1074" s="655"/>
      <c r="V1074" s="655"/>
      <c r="W1074" s="655"/>
      <c r="X1074" s="655"/>
      <c r="Y1074" s="655"/>
      <c r="Z1074" s="655"/>
      <c r="AA1074" s="655"/>
      <c r="AB1074" s="655"/>
      <c r="AC1074" s="655"/>
      <c r="AD1074" s="655"/>
    </row>
    <row r="1075">
      <c r="B1075" s="462"/>
      <c r="C1075" s="462"/>
      <c r="D1075" s="462"/>
      <c r="E1075" s="462"/>
      <c r="F1075" s="462"/>
      <c r="G1075" s="462"/>
      <c r="H1075" s="462"/>
      <c r="I1075" s="654"/>
      <c r="J1075" s="650"/>
      <c r="K1075" s="654"/>
      <c r="L1075" s="654"/>
      <c r="M1075" s="650"/>
      <c r="N1075" s="650"/>
      <c r="O1075" s="655"/>
      <c r="P1075" s="655"/>
      <c r="Q1075" s="655"/>
      <c r="R1075" s="655"/>
      <c r="S1075" s="655"/>
      <c r="T1075" s="655"/>
      <c r="U1075" s="655"/>
      <c r="V1075" s="655"/>
      <c r="W1075" s="655"/>
      <c r="X1075" s="655"/>
      <c r="Y1075" s="655"/>
      <c r="Z1075" s="655"/>
      <c r="AA1075" s="655"/>
      <c r="AB1075" s="655"/>
      <c r="AC1075" s="655"/>
      <c r="AD1075" s="655"/>
    </row>
    <row r="1076">
      <c r="B1076" s="462"/>
      <c r="C1076" s="462"/>
      <c r="D1076" s="462"/>
      <c r="E1076" s="462"/>
      <c r="F1076" s="462"/>
      <c r="G1076" s="462"/>
      <c r="H1076" s="462"/>
      <c r="I1076" s="654"/>
      <c r="J1076" s="650"/>
      <c r="K1076" s="654"/>
      <c r="L1076" s="654"/>
      <c r="M1076" s="650"/>
      <c r="N1076" s="650"/>
      <c r="O1076" s="655"/>
      <c r="P1076" s="655"/>
      <c r="Q1076" s="655"/>
      <c r="R1076" s="655"/>
      <c r="S1076" s="655"/>
      <c r="T1076" s="655"/>
      <c r="U1076" s="655"/>
      <c r="V1076" s="655"/>
      <c r="W1076" s="655"/>
      <c r="X1076" s="655"/>
      <c r="Y1076" s="655"/>
      <c r="Z1076" s="655"/>
      <c r="AA1076" s="655"/>
      <c r="AB1076" s="655"/>
      <c r="AC1076" s="655"/>
      <c r="AD1076" s="655"/>
    </row>
    <row r="1077">
      <c r="B1077" s="462"/>
      <c r="C1077" s="462"/>
      <c r="D1077" s="462"/>
      <c r="E1077" s="462"/>
      <c r="F1077" s="462"/>
      <c r="G1077" s="462"/>
      <c r="H1077" s="462"/>
      <c r="I1077" s="654"/>
      <c r="J1077" s="650"/>
      <c r="K1077" s="654"/>
      <c r="L1077" s="654"/>
      <c r="M1077" s="650"/>
      <c r="N1077" s="650"/>
      <c r="O1077" s="655"/>
      <c r="P1077" s="655"/>
      <c r="Q1077" s="655"/>
      <c r="R1077" s="655"/>
      <c r="S1077" s="655"/>
      <c r="T1077" s="655"/>
      <c r="U1077" s="655"/>
      <c r="V1077" s="655"/>
      <c r="W1077" s="655"/>
      <c r="X1077" s="655"/>
      <c r="Y1077" s="655"/>
      <c r="Z1077" s="655"/>
      <c r="AA1077" s="655"/>
      <c r="AB1077" s="655"/>
      <c r="AC1077" s="655"/>
      <c r="AD1077" s="655"/>
    </row>
    <row r="1078">
      <c r="B1078" s="462"/>
      <c r="C1078" s="462"/>
      <c r="D1078" s="462"/>
      <c r="E1078" s="462"/>
      <c r="F1078" s="462"/>
      <c r="G1078" s="462"/>
      <c r="H1078" s="462"/>
      <c r="I1078" s="654"/>
      <c r="J1078" s="650"/>
      <c r="K1078" s="654"/>
      <c r="L1078" s="654"/>
      <c r="M1078" s="650"/>
      <c r="N1078" s="650"/>
      <c r="O1078" s="655"/>
      <c r="P1078" s="655"/>
      <c r="Q1078" s="655"/>
      <c r="R1078" s="655"/>
      <c r="S1078" s="655"/>
      <c r="T1078" s="655"/>
      <c r="U1078" s="655"/>
      <c r="V1078" s="655"/>
      <c r="W1078" s="655"/>
      <c r="X1078" s="655"/>
      <c r="Y1078" s="655"/>
      <c r="Z1078" s="655"/>
      <c r="AA1078" s="655"/>
      <c r="AB1078" s="655"/>
      <c r="AC1078" s="655"/>
      <c r="AD1078" s="655"/>
    </row>
    <row r="1079">
      <c r="B1079" s="462"/>
      <c r="C1079" s="462"/>
      <c r="D1079" s="462"/>
      <c r="E1079" s="462"/>
      <c r="F1079" s="462"/>
      <c r="G1079" s="462"/>
      <c r="H1079" s="462"/>
      <c r="I1079" s="654"/>
      <c r="J1079" s="650"/>
      <c r="K1079" s="654"/>
      <c r="L1079" s="654"/>
      <c r="M1079" s="650"/>
      <c r="N1079" s="650"/>
      <c r="O1079" s="655"/>
      <c r="P1079" s="655"/>
      <c r="Q1079" s="655"/>
      <c r="R1079" s="655"/>
      <c r="S1079" s="655"/>
      <c r="T1079" s="655"/>
      <c r="U1079" s="655"/>
      <c r="V1079" s="655"/>
      <c r="W1079" s="655"/>
      <c r="X1079" s="655"/>
      <c r="Y1079" s="655"/>
      <c r="Z1079" s="655"/>
      <c r="AA1079" s="655"/>
      <c r="AB1079" s="655"/>
      <c r="AC1079" s="655"/>
      <c r="AD1079" s="655"/>
    </row>
    <row r="1080">
      <c r="B1080" s="462"/>
      <c r="C1080" s="462"/>
      <c r="D1080" s="462"/>
      <c r="E1080" s="462"/>
      <c r="F1080" s="462"/>
      <c r="G1080" s="462"/>
      <c r="H1080" s="462"/>
      <c r="I1080" s="654"/>
      <c r="J1080" s="650"/>
      <c r="K1080" s="654"/>
      <c r="L1080" s="654"/>
      <c r="M1080" s="650"/>
      <c r="N1080" s="650"/>
      <c r="O1080" s="655"/>
      <c r="P1080" s="655"/>
      <c r="Q1080" s="655"/>
      <c r="R1080" s="655"/>
      <c r="S1080" s="655"/>
      <c r="T1080" s="655"/>
      <c r="U1080" s="655"/>
      <c r="V1080" s="655"/>
      <c r="W1080" s="655"/>
      <c r="X1080" s="655"/>
      <c r="Y1080" s="655"/>
      <c r="Z1080" s="655"/>
      <c r="AA1080" s="655"/>
      <c r="AB1080" s="655"/>
      <c r="AC1080" s="655"/>
      <c r="AD1080" s="655"/>
    </row>
    <row r="1081">
      <c r="B1081" s="462"/>
      <c r="C1081" s="462"/>
      <c r="D1081" s="462"/>
      <c r="E1081" s="462"/>
      <c r="F1081" s="462"/>
      <c r="G1081" s="462"/>
      <c r="H1081" s="462"/>
      <c r="I1081" s="654"/>
      <c r="J1081" s="650"/>
      <c r="K1081" s="654"/>
      <c r="L1081" s="654"/>
      <c r="M1081" s="650"/>
      <c r="N1081" s="650"/>
      <c r="O1081" s="655"/>
      <c r="P1081" s="655"/>
      <c r="Q1081" s="655"/>
      <c r="R1081" s="655"/>
      <c r="S1081" s="655"/>
      <c r="T1081" s="655"/>
      <c r="U1081" s="655"/>
      <c r="V1081" s="655"/>
      <c r="W1081" s="655"/>
      <c r="X1081" s="655"/>
      <c r="Y1081" s="655"/>
      <c r="Z1081" s="655"/>
      <c r="AA1081" s="655"/>
      <c r="AB1081" s="655"/>
      <c r="AC1081" s="655"/>
      <c r="AD1081" s="655"/>
    </row>
    <row r="1082">
      <c r="B1082" s="462"/>
      <c r="C1082" s="462"/>
      <c r="D1082" s="462"/>
      <c r="E1082" s="462"/>
      <c r="F1082" s="462"/>
      <c r="G1082" s="462"/>
      <c r="H1082" s="462"/>
      <c r="I1082" s="654"/>
      <c r="J1082" s="650"/>
      <c r="K1082" s="654"/>
      <c r="L1082" s="654"/>
      <c r="M1082" s="650"/>
      <c r="N1082" s="650"/>
      <c r="O1082" s="655"/>
      <c r="P1082" s="655"/>
      <c r="Q1082" s="655"/>
      <c r="R1082" s="655"/>
      <c r="S1082" s="655"/>
      <c r="T1082" s="655"/>
      <c r="U1082" s="655"/>
      <c r="V1082" s="655"/>
      <c r="W1082" s="655"/>
      <c r="X1082" s="655"/>
      <c r="Y1082" s="655"/>
      <c r="Z1082" s="655"/>
      <c r="AA1082" s="655"/>
      <c r="AB1082" s="655"/>
      <c r="AC1082" s="655"/>
      <c r="AD1082" s="655"/>
    </row>
    <row r="1083">
      <c r="B1083" s="462"/>
      <c r="C1083" s="462"/>
      <c r="D1083" s="462"/>
      <c r="E1083" s="462"/>
      <c r="F1083" s="462"/>
      <c r="G1083" s="462"/>
      <c r="H1083" s="462"/>
      <c r="I1083" s="654"/>
      <c r="J1083" s="650"/>
      <c r="K1083" s="654"/>
      <c r="L1083" s="654"/>
      <c r="M1083" s="650"/>
      <c r="N1083" s="650"/>
      <c r="O1083" s="655"/>
      <c r="P1083" s="655"/>
      <c r="Q1083" s="655"/>
      <c r="R1083" s="655"/>
      <c r="S1083" s="655"/>
      <c r="T1083" s="655"/>
      <c r="U1083" s="655"/>
      <c r="V1083" s="655"/>
      <c r="W1083" s="655"/>
      <c r="X1083" s="655"/>
      <c r="Y1083" s="655"/>
      <c r="Z1083" s="655"/>
      <c r="AA1083" s="655"/>
      <c r="AB1083" s="655"/>
      <c r="AC1083" s="655"/>
      <c r="AD1083" s="655"/>
    </row>
    <row r="1084">
      <c r="B1084" s="462"/>
      <c r="C1084" s="462"/>
      <c r="D1084" s="462"/>
      <c r="E1084" s="462"/>
      <c r="F1084" s="462"/>
      <c r="G1084" s="462"/>
      <c r="H1084" s="462"/>
      <c r="I1084" s="654"/>
      <c r="J1084" s="650"/>
      <c r="K1084" s="654"/>
      <c r="L1084" s="654"/>
      <c r="M1084" s="650"/>
      <c r="N1084" s="650"/>
      <c r="O1084" s="655"/>
      <c r="P1084" s="655"/>
      <c r="Q1084" s="655"/>
      <c r="R1084" s="655"/>
      <c r="S1084" s="655"/>
      <c r="T1084" s="655"/>
      <c r="U1084" s="655"/>
      <c r="V1084" s="655"/>
      <c r="W1084" s="655"/>
      <c r="X1084" s="655"/>
      <c r="Y1084" s="655"/>
      <c r="Z1084" s="655"/>
      <c r="AA1084" s="655"/>
      <c r="AB1084" s="655"/>
      <c r="AC1084" s="655"/>
      <c r="AD1084" s="655"/>
    </row>
    <row r="1085">
      <c r="B1085" s="462"/>
      <c r="C1085" s="462"/>
      <c r="D1085" s="462"/>
      <c r="E1085" s="462"/>
      <c r="F1085" s="462"/>
      <c r="G1085" s="462"/>
      <c r="H1085" s="462"/>
      <c r="I1085" s="654"/>
      <c r="J1085" s="650"/>
      <c r="K1085" s="654"/>
      <c r="L1085" s="654"/>
      <c r="M1085" s="650"/>
      <c r="N1085" s="650"/>
      <c r="O1085" s="655"/>
      <c r="P1085" s="655"/>
      <c r="Q1085" s="655"/>
      <c r="R1085" s="655"/>
      <c r="S1085" s="655"/>
      <c r="T1085" s="655"/>
      <c r="U1085" s="655"/>
      <c r="V1085" s="655"/>
      <c r="W1085" s="655"/>
      <c r="X1085" s="655"/>
      <c r="Y1085" s="655"/>
      <c r="Z1085" s="655"/>
      <c r="AA1085" s="655"/>
      <c r="AB1085" s="655"/>
      <c r="AC1085" s="655"/>
      <c r="AD1085" s="655"/>
    </row>
  </sheetData>
  <autoFilter ref="$A$1:$AD$108"/>
  <hyperlinks>
    <hyperlink r:id="rId2" location="gid=1607319145" ref="A101"/>
  </hyperlinks>
  <drawing r:id="rId3"/>
  <legacy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17.75"/>
    <col customWidth="1" min="6" max="6" width="17.75"/>
    <col customWidth="1" min="7" max="7" width="46.38"/>
    <col customWidth="1" min="8" max="8" width="17.13"/>
  </cols>
  <sheetData>
    <row r="1">
      <c r="G1" s="1057"/>
    </row>
    <row r="2">
      <c r="B2" s="113">
        <v>400000.0</v>
      </c>
      <c r="F2" s="111" t="s">
        <v>73</v>
      </c>
      <c r="G2" s="1057"/>
    </row>
    <row r="3">
      <c r="G3" s="1057"/>
    </row>
    <row r="4">
      <c r="B4" s="348" t="s">
        <v>310</v>
      </c>
      <c r="C4" s="351">
        <f>sum(-5257,300)</f>
        <v>-4957</v>
      </c>
      <c r="F4" s="110" t="s">
        <v>809</v>
      </c>
      <c r="G4" s="1057"/>
      <c r="H4" s="110" t="s">
        <v>810</v>
      </c>
    </row>
    <row r="5">
      <c r="B5" s="337" t="s">
        <v>60</v>
      </c>
      <c r="C5" s="351">
        <v>-6267.0</v>
      </c>
      <c r="F5" s="110" t="s">
        <v>811</v>
      </c>
      <c r="G5" s="1057"/>
      <c r="H5" s="110" t="s">
        <v>812</v>
      </c>
    </row>
    <row r="6">
      <c r="B6" s="337" t="s">
        <v>318</v>
      </c>
      <c r="C6" s="351">
        <v>-3000.0</v>
      </c>
      <c r="F6" s="110" t="s">
        <v>813</v>
      </c>
      <c r="G6" s="1057"/>
      <c r="H6" s="110" t="s">
        <v>812</v>
      </c>
    </row>
    <row r="7">
      <c r="B7" s="337" t="s">
        <v>312</v>
      </c>
      <c r="C7" s="351">
        <f>sum(-20000,1000,1000)</f>
        <v>-18000</v>
      </c>
    </row>
    <row r="8">
      <c r="B8" s="337" t="s">
        <v>311</v>
      </c>
      <c r="C8" s="351">
        <v>-27775.0</v>
      </c>
      <c r="F8" s="110" t="s">
        <v>814</v>
      </c>
      <c r="G8" s="1057"/>
      <c r="H8" s="110" t="s">
        <v>810</v>
      </c>
    </row>
    <row r="9">
      <c r="B9" s="348" t="s">
        <v>317</v>
      </c>
      <c r="C9" s="351">
        <v>-4000.0</v>
      </c>
      <c r="G9" s="1057"/>
    </row>
    <row r="10">
      <c r="B10" s="348" t="s">
        <v>313</v>
      </c>
      <c r="C10" s="351">
        <f>sum(-10000)</f>
        <v>-10000</v>
      </c>
      <c r="G10" s="1057"/>
    </row>
    <row r="11">
      <c r="B11" s="348" t="s">
        <v>316</v>
      </c>
      <c r="C11" s="351">
        <v>-756.0</v>
      </c>
      <c r="F11" s="110" t="s">
        <v>815</v>
      </c>
      <c r="G11" s="1058" t="s">
        <v>816</v>
      </c>
      <c r="H11" s="110" t="s">
        <v>810</v>
      </c>
    </row>
    <row r="12">
      <c r="B12" s="348" t="s">
        <v>321</v>
      </c>
      <c r="C12" s="351">
        <v>-2116.0</v>
      </c>
      <c r="G12" s="1057"/>
    </row>
    <row r="13">
      <c r="B13" s="471" t="s">
        <v>381</v>
      </c>
      <c r="C13" s="477">
        <v>-5000.0</v>
      </c>
      <c r="G13" s="1057"/>
    </row>
    <row r="14">
      <c r="B14" s="471" t="s">
        <v>383</v>
      </c>
      <c r="C14" s="477">
        <f>-sum(16584,15000)</f>
        <v>-31584</v>
      </c>
      <c r="F14" s="110" t="s">
        <v>713</v>
      </c>
      <c r="G14" s="1058" t="s">
        <v>817</v>
      </c>
      <c r="H14" s="110" t="s">
        <v>810</v>
      </c>
    </row>
    <row r="15">
      <c r="B15" s="471" t="s">
        <v>804</v>
      </c>
      <c r="C15" s="477">
        <v>-10000.0</v>
      </c>
      <c r="G15" s="1057"/>
    </row>
    <row r="16">
      <c r="B16" s="471" t="s">
        <v>385</v>
      </c>
      <c r="C16" s="477">
        <f>-sum(2500,2000)</f>
        <v>-4500</v>
      </c>
      <c r="G16" s="1057"/>
    </row>
    <row r="17">
      <c r="B17" s="1059" t="s">
        <v>807</v>
      </c>
      <c r="C17" s="1060"/>
      <c r="F17" s="1061" t="s">
        <v>195</v>
      </c>
      <c r="G17" s="1057"/>
    </row>
    <row r="18">
      <c r="B18" s="1059" t="s">
        <v>808</v>
      </c>
      <c r="C18" s="1062"/>
      <c r="F18" s="110" t="s">
        <v>414</v>
      </c>
      <c r="G18" s="1057"/>
    </row>
    <row r="19">
      <c r="B19" s="471" t="s">
        <v>387</v>
      </c>
      <c r="C19" s="477">
        <v>-13576.0</v>
      </c>
      <c r="F19" s="110" t="s">
        <v>814</v>
      </c>
      <c r="G19" s="1057"/>
    </row>
    <row r="20">
      <c r="B20" s="471" t="s">
        <v>388</v>
      </c>
      <c r="C20" s="649">
        <v>-7789.0</v>
      </c>
      <c r="G20" s="1057"/>
    </row>
    <row r="21">
      <c r="B21" s="1063" t="s">
        <v>390</v>
      </c>
      <c r="C21" s="1064">
        <v>-20000.0</v>
      </c>
      <c r="F21" s="1061" t="s">
        <v>716</v>
      </c>
      <c r="G21" s="1057"/>
    </row>
    <row r="22">
      <c r="F22" s="110" t="s">
        <v>414</v>
      </c>
      <c r="G22" s="1057"/>
    </row>
    <row r="23">
      <c r="B23" s="1022">
        <f>sum(C4:C21)</f>
        <v>-169320</v>
      </c>
      <c r="F23" s="110" t="s">
        <v>814</v>
      </c>
      <c r="G23" s="1057"/>
    </row>
    <row r="24">
      <c r="F24" s="110" t="s">
        <v>818</v>
      </c>
      <c r="G24" s="1057"/>
    </row>
    <row r="25">
      <c r="F25" s="110" t="s">
        <v>819</v>
      </c>
    </row>
    <row r="26">
      <c r="G26" s="1057"/>
    </row>
    <row r="27">
      <c r="B27" s="110" t="s">
        <v>820</v>
      </c>
      <c r="G27" s="1057"/>
    </row>
    <row r="28">
      <c r="B28" s="110" t="s">
        <v>821</v>
      </c>
      <c r="G28" s="1057"/>
    </row>
    <row r="29">
      <c r="B29" s="110" t="s">
        <v>822</v>
      </c>
      <c r="C29" s="1061"/>
      <c r="E29" s="1053">
        <f>sum(4500,10000,31584,25000,13576,7789,20000)</f>
        <v>112449</v>
      </c>
      <c r="F29" s="110" t="s">
        <v>823</v>
      </c>
      <c r="G29" s="1057"/>
    </row>
    <row r="30">
      <c r="B30" s="110" t="s">
        <v>824</v>
      </c>
      <c r="E30" s="113">
        <v>90000.0</v>
      </c>
      <c r="F30" s="110" t="s">
        <v>825</v>
      </c>
      <c r="G30" s="1057"/>
    </row>
    <row r="31">
      <c r="B31" s="110" t="s">
        <v>826</v>
      </c>
      <c r="E31" s="113">
        <v>100000.0</v>
      </c>
      <c r="F31" s="110" t="s">
        <v>827</v>
      </c>
      <c r="G31" s="1057"/>
    </row>
    <row r="32">
      <c r="B32" s="110" t="s">
        <v>828</v>
      </c>
      <c r="E32" s="113">
        <v>60000.0</v>
      </c>
      <c r="F32" s="110" t="s">
        <v>93</v>
      </c>
      <c r="G32" s="1057"/>
    </row>
    <row r="33">
      <c r="E33" s="113">
        <v>20000.0</v>
      </c>
      <c r="F33" s="110" t="s">
        <v>488</v>
      </c>
      <c r="G33" s="1057"/>
    </row>
    <row r="34">
      <c r="E34" s="113">
        <v>10000.0</v>
      </c>
      <c r="F34" s="110" t="s">
        <v>562</v>
      </c>
      <c r="G34" s="1057"/>
    </row>
    <row r="35">
      <c r="E35" s="113">
        <v>10000.0</v>
      </c>
      <c r="F35" s="110" t="s">
        <v>829</v>
      </c>
      <c r="G35" s="1057"/>
    </row>
    <row r="36">
      <c r="G36" s="1057"/>
    </row>
    <row r="37">
      <c r="G37" s="1057"/>
    </row>
    <row r="38">
      <c r="B38" s="108" t="s">
        <v>195</v>
      </c>
      <c r="C38" s="1065">
        <v>500000.0</v>
      </c>
      <c r="G38" s="1057"/>
    </row>
    <row r="39">
      <c r="B39" s="110" t="s">
        <v>488</v>
      </c>
      <c r="C39" s="113">
        <v>5000.0</v>
      </c>
      <c r="G39" s="1057"/>
    </row>
    <row r="40">
      <c r="B40" s="110" t="s">
        <v>414</v>
      </c>
      <c r="C40" s="113">
        <v>10000.0</v>
      </c>
      <c r="F40" s="113">
        <v>300000.0</v>
      </c>
      <c r="G40" s="1057"/>
    </row>
    <row r="41">
      <c r="B41" s="110" t="s">
        <v>830</v>
      </c>
      <c r="C41" s="113">
        <v>15000.0</v>
      </c>
      <c r="G41" s="1057"/>
    </row>
    <row r="42">
      <c r="G42" s="1057"/>
    </row>
    <row r="43">
      <c r="B43" s="108" t="s">
        <v>510</v>
      </c>
      <c r="C43" s="1066">
        <f>sum(C44:C48)</f>
        <v>6100000</v>
      </c>
      <c r="F43" s="108" t="s">
        <v>831</v>
      </c>
      <c r="G43" s="1057"/>
    </row>
    <row r="44">
      <c r="B44" s="110" t="s">
        <v>414</v>
      </c>
      <c r="C44" s="113">
        <v>5000000.0</v>
      </c>
      <c r="G44" s="1057"/>
    </row>
    <row r="45">
      <c r="B45" s="110" t="s">
        <v>830</v>
      </c>
      <c r="C45" s="113">
        <v>500000.0</v>
      </c>
      <c r="G45" s="1057"/>
    </row>
    <row r="46">
      <c r="B46" s="110" t="s">
        <v>562</v>
      </c>
      <c r="C46" s="113">
        <v>200000.0</v>
      </c>
      <c r="G46" s="1057"/>
    </row>
    <row r="47">
      <c r="B47" s="110" t="s">
        <v>488</v>
      </c>
      <c r="C47" s="113">
        <v>200000.0</v>
      </c>
      <c r="G47" s="1057"/>
    </row>
    <row r="48">
      <c r="B48" s="110" t="s">
        <v>503</v>
      </c>
      <c r="C48" s="113">
        <v>200000.0</v>
      </c>
      <c r="G48" s="1057"/>
    </row>
    <row r="49">
      <c r="G49" s="1057"/>
    </row>
    <row r="50">
      <c r="G50" s="1057"/>
    </row>
    <row r="51">
      <c r="G51" s="1057"/>
    </row>
    <row r="52">
      <c r="G52" s="1057"/>
    </row>
    <row r="53">
      <c r="G53" s="1057"/>
    </row>
    <row r="54">
      <c r="G54" s="1057"/>
    </row>
    <row r="55">
      <c r="G55" s="1057"/>
    </row>
    <row r="56">
      <c r="G56" s="1057"/>
    </row>
    <row r="57">
      <c r="G57" s="1057"/>
    </row>
    <row r="58">
      <c r="G58" s="1057"/>
    </row>
    <row r="59">
      <c r="G59" s="1057"/>
    </row>
    <row r="60">
      <c r="G60" s="1057"/>
    </row>
    <row r="61">
      <c r="G61" s="1057"/>
    </row>
    <row r="62">
      <c r="G62" s="1057"/>
    </row>
    <row r="63">
      <c r="G63" s="1057"/>
    </row>
    <row r="64">
      <c r="G64" s="1057"/>
    </row>
    <row r="65">
      <c r="G65" s="1057"/>
    </row>
    <row r="66">
      <c r="G66" s="1057"/>
    </row>
    <row r="67">
      <c r="G67" s="1057"/>
    </row>
    <row r="68">
      <c r="G68" s="1057"/>
    </row>
    <row r="69">
      <c r="G69" s="1057"/>
    </row>
    <row r="70">
      <c r="G70" s="1057"/>
    </row>
    <row r="71">
      <c r="G71" s="1057"/>
    </row>
    <row r="72">
      <c r="G72" s="1057"/>
    </row>
    <row r="73">
      <c r="G73" s="1057"/>
    </row>
    <row r="74">
      <c r="G74" s="1057"/>
    </row>
    <row r="75">
      <c r="G75" s="1057"/>
    </row>
    <row r="76">
      <c r="G76" s="1057"/>
    </row>
    <row r="77">
      <c r="G77" s="1057"/>
    </row>
    <row r="78">
      <c r="G78" s="1057"/>
    </row>
    <row r="79">
      <c r="G79" s="1057"/>
    </row>
    <row r="80">
      <c r="G80" s="1057"/>
    </row>
    <row r="81">
      <c r="G81" s="1057"/>
    </row>
    <row r="82">
      <c r="G82" s="1057"/>
    </row>
    <row r="83">
      <c r="G83" s="1057"/>
    </row>
    <row r="84">
      <c r="G84" s="1057"/>
    </row>
    <row r="85">
      <c r="G85" s="1057"/>
    </row>
    <row r="86">
      <c r="G86" s="1057"/>
    </row>
    <row r="87">
      <c r="G87" s="1057"/>
    </row>
    <row r="88">
      <c r="G88" s="1057"/>
    </row>
    <row r="89">
      <c r="G89" s="1057"/>
    </row>
    <row r="90">
      <c r="G90" s="1057"/>
    </row>
    <row r="91">
      <c r="G91" s="1057"/>
    </row>
    <row r="92">
      <c r="G92" s="1057"/>
    </row>
    <row r="93">
      <c r="G93" s="1057"/>
    </row>
    <row r="94">
      <c r="G94" s="1057"/>
    </row>
    <row r="95">
      <c r="G95" s="1057"/>
    </row>
    <row r="96">
      <c r="G96" s="1057"/>
    </row>
    <row r="97">
      <c r="G97" s="1057"/>
    </row>
    <row r="98">
      <c r="G98" s="1057"/>
    </row>
    <row r="99">
      <c r="G99" s="1057"/>
    </row>
    <row r="100">
      <c r="G100" s="1057"/>
    </row>
    <row r="101">
      <c r="G101" s="1057"/>
    </row>
    <row r="102">
      <c r="G102" s="1057"/>
    </row>
    <row r="103">
      <c r="G103" s="1057"/>
    </row>
    <row r="104">
      <c r="G104" s="1057"/>
    </row>
    <row r="105">
      <c r="G105" s="1057"/>
    </row>
    <row r="106">
      <c r="G106" s="1057"/>
    </row>
    <row r="107">
      <c r="G107" s="1057"/>
    </row>
    <row r="108">
      <c r="G108" s="1057"/>
    </row>
    <row r="109">
      <c r="G109" s="1057"/>
    </row>
    <row r="110">
      <c r="G110" s="1057"/>
    </row>
    <row r="111">
      <c r="G111" s="1057"/>
    </row>
    <row r="112">
      <c r="G112" s="1057"/>
    </row>
    <row r="113">
      <c r="G113" s="1057"/>
    </row>
    <row r="114">
      <c r="G114" s="1057"/>
    </row>
    <row r="115">
      <c r="G115" s="1057"/>
    </row>
    <row r="116">
      <c r="G116" s="1057"/>
    </row>
    <row r="117">
      <c r="G117" s="1057"/>
    </row>
    <row r="118">
      <c r="G118" s="1057"/>
    </row>
    <row r="119">
      <c r="G119" s="1057"/>
    </row>
    <row r="120">
      <c r="G120" s="1057"/>
    </row>
    <row r="121">
      <c r="G121" s="1057"/>
    </row>
    <row r="122">
      <c r="G122" s="1057"/>
    </row>
    <row r="123">
      <c r="G123" s="1057"/>
    </row>
    <row r="124">
      <c r="G124" s="1057"/>
    </row>
    <row r="125">
      <c r="G125" s="1057"/>
    </row>
    <row r="126">
      <c r="G126" s="1057"/>
    </row>
    <row r="127">
      <c r="G127" s="1057"/>
    </row>
    <row r="128">
      <c r="G128" s="1057"/>
    </row>
    <row r="129">
      <c r="G129" s="1057"/>
    </row>
    <row r="130">
      <c r="G130" s="1057"/>
    </row>
    <row r="131">
      <c r="G131" s="1057"/>
    </row>
    <row r="132">
      <c r="G132" s="1057"/>
    </row>
    <row r="133">
      <c r="G133" s="1057"/>
    </row>
    <row r="134">
      <c r="G134" s="1057"/>
    </row>
    <row r="135">
      <c r="G135" s="1057"/>
    </row>
    <row r="136">
      <c r="G136" s="1057"/>
    </row>
    <row r="137">
      <c r="G137" s="1057"/>
    </row>
    <row r="138">
      <c r="G138" s="1057"/>
    </row>
    <row r="139">
      <c r="G139" s="1057"/>
    </row>
    <row r="140">
      <c r="G140" s="1057"/>
    </row>
    <row r="141">
      <c r="G141" s="1057"/>
    </row>
    <row r="142">
      <c r="G142" s="1057"/>
    </row>
    <row r="143">
      <c r="G143" s="1057"/>
    </row>
    <row r="144">
      <c r="G144" s="1057"/>
    </row>
    <row r="145">
      <c r="G145" s="1057"/>
    </row>
    <row r="146">
      <c r="G146" s="1057"/>
    </row>
    <row r="147">
      <c r="G147" s="1057"/>
    </row>
    <row r="148">
      <c r="G148" s="1057"/>
    </row>
    <row r="149">
      <c r="G149" s="1057"/>
    </row>
    <row r="150">
      <c r="G150" s="1057"/>
    </row>
    <row r="151">
      <c r="G151" s="1057"/>
    </row>
    <row r="152">
      <c r="G152" s="1057"/>
    </row>
    <row r="153">
      <c r="G153" s="1057"/>
    </row>
    <row r="154">
      <c r="G154" s="1057"/>
    </row>
    <row r="155">
      <c r="G155" s="1057"/>
    </row>
    <row r="156">
      <c r="G156" s="1057"/>
    </row>
    <row r="157">
      <c r="G157" s="1057"/>
    </row>
    <row r="158">
      <c r="G158" s="1057"/>
    </row>
    <row r="159">
      <c r="G159" s="1057"/>
    </row>
    <row r="160">
      <c r="G160" s="1057"/>
    </row>
    <row r="161">
      <c r="G161" s="1057"/>
    </row>
    <row r="162">
      <c r="G162" s="1057"/>
    </row>
    <row r="163">
      <c r="G163" s="1057"/>
    </row>
    <row r="164">
      <c r="G164" s="1057"/>
    </row>
    <row r="165">
      <c r="G165" s="1057"/>
    </row>
    <row r="166">
      <c r="G166" s="1057"/>
    </row>
    <row r="167">
      <c r="G167" s="1057"/>
    </row>
    <row r="168">
      <c r="G168" s="1057"/>
    </row>
    <row r="169">
      <c r="G169" s="1057"/>
    </row>
    <row r="170">
      <c r="G170" s="1057"/>
    </row>
    <row r="171">
      <c r="G171" s="1057"/>
    </row>
    <row r="172">
      <c r="G172" s="1057"/>
    </row>
    <row r="173">
      <c r="G173" s="1057"/>
    </row>
    <row r="174">
      <c r="G174" s="1057"/>
    </row>
    <row r="175">
      <c r="G175" s="1057"/>
    </row>
    <row r="176">
      <c r="G176" s="1057"/>
    </row>
    <row r="177">
      <c r="G177" s="1057"/>
    </row>
    <row r="178">
      <c r="G178" s="1057"/>
    </row>
    <row r="179">
      <c r="G179" s="1057"/>
    </row>
    <row r="180">
      <c r="G180" s="1057"/>
    </row>
    <row r="181">
      <c r="G181" s="1057"/>
    </row>
    <row r="182">
      <c r="G182" s="1057"/>
    </row>
    <row r="183">
      <c r="G183" s="1057"/>
    </row>
    <row r="184">
      <c r="G184" s="1057"/>
    </row>
    <row r="185">
      <c r="G185" s="1057"/>
    </row>
    <row r="186">
      <c r="G186" s="1057"/>
    </row>
    <row r="187">
      <c r="G187" s="1057"/>
    </row>
    <row r="188">
      <c r="G188" s="1057"/>
    </row>
    <row r="189">
      <c r="G189" s="1057"/>
    </row>
    <row r="190">
      <c r="G190" s="1057"/>
    </row>
    <row r="191">
      <c r="G191" s="1057"/>
    </row>
    <row r="192">
      <c r="G192" s="1057"/>
    </row>
    <row r="193">
      <c r="G193" s="1057"/>
    </row>
    <row r="194">
      <c r="G194" s="1057"/>
    </row>
    <row r="195">
      <c r="G195" s="1057"/>
    </row>
    <row r="196">
      <c r="G196" s="1057"/>
    </row>
    <row r="197">
      <c r="G197" s="1057"/>
    </row>
    <row r="198">
      <c r="G198" s="1057"/>
    </row>
    <row r="199">
      <c r="G199" s="1057"/>
    </row>
    <row r="200">
      <c r="G200" s="1057"/>
    </row>
    <row r="201">
      <c r="G201" s="1057"/>
    </row>
    <row r="202">
      <c r="G202" s="1057"/>
    </row>
    <row r="203">
      <c r="G203" s="1057"/>
    </row>
    <row r="204">
      <c r="G204" s="1057"/>
    </row>
    <row r="205">
      <c r="G205" s="1057"/>
    </row>
    <row r="206">
      <c r="G206" s="1057"/>
    </row>
    <row r="207">
      <c r="G207" s="1057"/>
    </row>
    <row r="208">
      <c r="G208" s="1057"/>
    </row>
    <row r="209">
      <c r="G209" s="1057"/>
    </row>
    <row r="210">
      <c r="G210" s="1057"/>
    </row>
    <row r="211">
      <c r="G211" s="1057"/>
    </row>
    <row r="212">
      <c r="G212" s="1057"/>
    </row>
    <row r="213">
      <c r="G213" s="1057"/>
    </row>
    <row r="214">
      <c r="G214" s="1057"/>
    </row>
    <row r="215">
      <c r="G215" s="1057"/>
    </row>
    <row r="216">
      <c r="G216" s="1057"/>
    </row>
    <row r="217">
      <c r="G217" s="1057"/>
    </row>
    <row r="218">
      <c r="G218" s="1057"/>
    </row>
    <row r="219">
      <c r="G219" s="1057"/>
    </row>
    <row r="220">
      <c r="G220" s="1057"/>
    </row>
    <row r="221">
      <c r="G221" s="1057"/>
    </row>
    <row r="222">
      <c r="G222" s="1057"/>
    </row>
    <row r="223">
      <c r="G223" s="1057"/>
    </row>
    <row r="224">
      <c r="G224" s="1057"/>
    </row>
    <row r="225">
      <c r="G225" s="1057"/>
    </row>
    <row r="226">
      <c r="G226" s="1057"/>
    </row>
    <row r="227">
      <c r="G227" s="1057"/>
    </row>
    <row r="228">
      <c r="G228" s="1057"/>
    </row>
    <row r="229">
      <c r="G229" s="1057"/>
    </row>
    <row r="230">
      <c r="G230" s="1057"/>
    </row>
    <row r="231">
      <c r="G231" s="1057"/>
    </row>
    <row r="232">
      <c r="G232" s="1057"/>
    </row>
    <row r="233">
      <c r="G233" s="1057"/>
    </row>
    <row r="234">
      <c r="G234" s="1057"/>
    </row>
    <row r="235">
      <c r="G235" s="1057"/>
    </row>
    <row r="236">
      <c r="G236" s="1057"/>
    </row>
    <row r="237">
      <c r="G237" s="1057"/>
    </row>
    <row r="238">
      <c r="G238" s="1057"/>
    </row>
    <row r="239">
      <c r="G239" s="1057"/>
    </row>
    <row r="240">
      <c r="G240" s="1057"/>
    </row>
    <row r="241">
      <c r="G241" s="1057"/>
    </row>
    <row r="242">
      <c r="G242" s="1057"/>
    </row>
    <row r="243">
      <c r="G243" s="1057"/>
    </row>
    <row r="244">
      <c r="G244" s="1057"/>
    </row>
    <row r="245">
      <c r="G245" s="1057"/>
    </row>
    <row r="246">
      <c r="G246" s="1057"/>
    </row>
    <row r="247">
      <c r="G247" s="1057"/>
    </row>
    <row r="248">
      <c r="G248" s="1057"/>
    </row>
    <row r="249">
      <c r="G249" s="1057"/>
    </row>
    <row r="250">
      <c r="G250" s="1057"/>
    </row>
    <row r="251">
      <c r="G251" s="1057"/>
    </row>
    <row r="252">
      <c r="G252" s="1057"/>
    </row>
    <row r="253">
      <c r="G253" s="1057"/>
    </row>
    <row r="254">
      <c r="G254" s="1057"/>
    </row>
    <row r="255">
      <c r="G255" s="1057"/>
    </row>
    <row r="256">
      <c r="G256" s="1057"/>
    </row>
    <row r="257">
      <c r="G257" s="1057"/>
    </row>
    <row r="258">
      <c r="G258" s="1057"/>
    </row>
    <row r="259">
      <c r="G259" s="1057"/>
    </row>
    <row r="260">
      <c r="G260" s="1057"/>
    </row>
    <row r="261">
      <c r="G261" s="1057"/>
    </row>
    <row r="262">
      <c r="G262" s="1057"/>
    </row>
    <row r="263">
      <c r="G263" s="1057"/>
    </row>
    <row r="264">
      <c r="G264" s="1057"/>
    </row>
    <row r="265">
      <c r="G265" s="1057"/>
    </row>
    <row r="266">
      <c r="G266" s="1057"/>
    </row>
    <row r="267">
      <c r="G267" s="1057"/>
    </row>
    <row r="268">
      <c r="G268" s="1057"/>
    </row>
    <row r="269">
      <c r="G269" s="1057"/>
    </row>
    <row r="270">
      <c r="G270" s="1057"/>
    </row>
    <row r="271">
      <c r="G271" s="1057"/>
    </row>
    <row r="272">
      <c r="G272" s="1057"/>
    </row>
    <row r="273">
      <c r="G273" s="1057"/>
    </row>
    <row r="274">
      <c r="G274" s="1057"/>
    </row>
    <row r="275">
      <c r="G275" s="1057"/>
    </row>
    <row r="276">
      <c r="G276" s="1057"/>
    </row>
    <row r="277">
      <c r="G277" s="1057"/>
    </row>
    <row r="278">
      <c r="G278" s="1057"/>
    </row>
    <row r="279">
      <c r="G279" s="1057"/>
    </row>
    <row r="280">
      <c r="G280" s="1057"/>
    </row>
    <row r="281">
      <c r="G281" s="1057"/>
    </row>
    <row r="282">
      <c r="G282" s="1057"/>
    </row>
    <row r="283">
      <c r="G283" s="1057"/>
    </row>
    <row r="284">
      <c r="G284" s="1057"/>
    </row>
    <row r="285">
      <c r="G285" s="1057"/>
    </row>
    <row r="286">
      <c r="G286" s="1057"/>
    </row>
    <row r="287">
      <c r="G287" s="1057"/>
    </row>
    <row r="288">
      <c r="G288" s="1057"/>
    </row>
    <row r="289">
      <c r="G289" s="1057"/>
    </row>
    <row r="290">
      <c r="G290" s="1057"/>
    </row>
    <row r="291">
      <c r="G291" s="1057"/>
    </row>
    <row r="292">
      <c r="G292" s="1057"/>
    </row>
    <row r="293">
      <c r="G293" s="1057"/>
    </row>
    <row r="294">
      <c r="G294" s="1057"/>
    </row>
    <row r="295">
      <c r="G295" s="1057"/>
    </row>
    <row r="296">
      <c r="G296" s="1057"/>
    </row>
    <row r="297">
      <c r="G297" s="1057"/>
    </row>
    <row r="298">
      <c r="G298" s="1057"/>
    </row>
    <row r="299">
      <c r="G299" s="1057"/>
    </row>
    <row r="300">
      <c r="G300" s="1057"/>
    </row>
    <row r="301">
      <c r="G301" s="1057"/>
    </row>
    <row r="302">
      <c r="G302" s="1057"/>
    </row>
    <row r="303">
      <c r="G303" s="1057"/>
    </row>
    <row r="304">
      <c r="G304" s="1057"/>
    </row>
    <row r="305">
      <c r="G305" s="1057"/>
    </row>
    <row r="306">
      <c r="G306" s="1057"/>
    </row>
    <row r="307">
      <c r="G307" s="1057"/>
    </row>
    <row r="308">
      <c r="G308" s="1057"/>
    </row>
    <row r="309">
      <c r="G309" s="1057"/>
    </row>
    <row r="310">
      <c r="G310" s="1057"/>
    </row>
    <row r="311">
      <c r="G311" s="1057"/>
    </row>
    <row r="312">
      <c r="G312" s="1057"/>
    </row>
    <row r="313">
      <c r="G313" s="1057"/>
    </row>
    <row r="314">
      <c r="G314" s="1057"/>
    </row>
    <row r="315">
      <c r="G315" s="1057"/>
    </row>
    <row r="316">
      <c r="G316" s="1057"/>
    </row>
    <row r="317">
      <c r="G317" s="1057"/>
    </row>
    <row r="318">
      <c r="G318" s="1057"/>
    </row>
    <row r="319">
      <c r="G319" s="1057"/>
    </row>
    <row r="320">
      <c r="G320" s="1057"/>
    </row>
    <row r="321">
      <c r="G321" s="1057"/>
    </row>
    <row r="322">
      <c r="G322" s="1057"/>
    </row>
    <row r="323">
      <c r="G323" s="1057"/>
    </row>
    <row r="324">
      <c r="G324" s="1057"/>
    </row>
    <row r="325">
      <c r="G325" s="1057"/>
    </row>
    <row r="326">
      <c r="G326" s="1057"/>
    </row>
    <row r="327">
      <c r="G327" s="1057"/>
    </row>
    <row r="328">
      <c r="G328" s="1057"/>
    </row>
    <row r="329">
      <c r="G329" s="1057"/>
    </row>
    <row r="330">
      <c r="G330" s="1057"/>
    </row>
    <row r="331">
      <c r="G331" s="1057"/>
    </row>
    <row r="332">
      <c r="G332" s="1057"/>
    </row>
    <row r="333">
      <c r="G333" s="1057"/>
    </row>
    <row r="334">
      <c r="G334" s="1057"/>
    </row>
    <row r="335">
      <c r="G335" s="1057"/>
    </row>
    <row r="336">
      <c r="G336" s="1057"/>
    </row>
    <row r="337">
      <c r="G337" s="1057"/>
    </row>
    <row r="338">
      <c r="G338" s="1057"/>
    </row>
    <row r="339">
      <c r="G339" s="1057"/>
    </row>
    <row r="340">
      <c r="G340" s="1057"/>
    </row>
    <row r="341">
      <c r="G341" s="1057"/>
    </row>
    <row r="342">
      <c r="G342" s="1057"/>
    </row>
    <row r="343">
      <c r="G343" s="1057"/>
    </row>
    <row r="344">
      <c r="G344" s="1057"/>
    </row>
    <row r="345">
      <c r="G345" s="1057"/>
    </row>
    <row r="346">
      <c r="G346" s="1057"/>
    </row>
    <row r="347">
      <c r="G347" s="1057"/>
    </row>
    <row r="348">
      <c r="G348" s="1057"/>
    </row>
    <row r="349">
      <c r="G349" s="1057"/>
    </row>
    <row r="350">
      <c r="G350" s="1057"/>
    </row>
    <row r="351">
      <c r="G351" s="1057"/>
    </row>
    <row r="352">
      <c r="G352" s="1057"/>
    </row>
    <row r="353">
      <c r="G353" s="1057"/>
    </row>
    <row r="354">
      <c r="G354" s="1057"/>
    </row>
    <row r="355">
      <c r="G355" s="1057"/>
    </row>
    <row r="356">
      <c r="G356" s="1057"/>
    </row>
    <row r="357">
      <c r="G357" s="1057"/>
    </row>
    <row r="358">
      <c r="G358" s="1057"/>
    </row>
    <row r="359">
      <c r="G359" s="1057"/>
    </row>
    <row r="360">
      <c r="G360" s="1057"/>
    </row>
    <row r="361">
      <c r="G361" s="1057"/>
    </row>
    <row r="362">
      <c r="G362" s="1057"/>
    </row>
    <row r="363">
      <c r="G363" s="1057"/>
    </row>
    <row r="364">
      <c r="G364" s="1057"/>
    </row>
    <row r="365">
      <c r="G365" s="1057"/>
    </row>
    <row r="366">
      <c r="G366" s="1057"/>
    </row>
    <row r="367">
      <c r="G367" s="1057"/>
    </row>
    <row r="368">
      <c r="G368" s="1057"/>
    </row>
    <row r="369">
      <c r="G369" s="1057"/>
    </row>
    <row r="370">
      <c r="G370" s="1057"/>
    </row>
    <row r="371">
      <c r="G371" s="1057"/>
    </row>
    <row r="372">
      <c r="G372" s="1057"/>
    </row>
    <row r="373">
      <c r="G373" s="1057"/>
    </row>
    <row r="374">
      <c r="G374" s="1057"/>
    </row>
    <row r="375">
      <c r="G375" s="1057"/>
    </row>
    <row r="376">
      <c r="G376" s="1057"/>
    </row>
    <row r="377">
      <c r="G377" s="1057"/>
    </row>
    <row r="378">
      <c r="G378" s="1057"/>
    </row>
    <row r="379">
      <c r="G379" s="1057"/>
    </row>
    <row r="380">
      <c r="G380" s="1057"/>
    </row>
    <row r="381">
      <c r="G381" s="1057"/>
    </row>
    <row r="382">
      <c r="G382" s="1057"/>
    </row>
    <row r="383">
      <c r="G383" s="1057"/>
    </row>
    <row r="384">
      <c r="G384" s="1057"/>
    </row>
    <row r="385">
      <c r="G385" s="1057"/>
    </row>
    <row r="386">
      <c r="G386" s="1057"/>
    </row>
    <row r="387">
      <c r="G387" s="1057"/>
    </row>
    <row r="388">
      <c r="G388" s="1057"/>
    </row>
    <row r="389">
      <c r="G389" s="1057"/>
    </row>
    <row r="390">
      <c r="G390" s="1057"/>
    </row>
    <row r="391">
      <c r="G391" s="1057"/>
    </row>
    <row r="392">
      <c r="G392" s="1057"/>
    </row>
    <row r="393">
      <c r="G393" s="1057"/>
    </row>
    <row r="394">
      <c r="G394" s="1057"/>
    </row>
    <row r="395">
      <c r="G395" s="1057"/>
    </row>
    <row r="396">
      <c r="G396" s="1057"/>
    </row>
    <row r="397">
      <c r="G397" s="1057"/>
    </row>
    <row r="398">
      <c r="G398" s="1057"/>
    </row>
    <row r="399">
      <c r="G399" s="1057"/>
    </row>
    <row r="400">
      <c r="G400" s="1057"/>
    </row>
    <row r="401">
      <c r="G401" s="1057"/>
    </row>
    <row r="402">
      <c r="G402" s="1057"/>
    </row>
    <row r="403">
      <c r="G403" s="1057"/>
    </row>
    <row r="404">
      <c r="G404" s="1057"/>
    </row>
    <row r="405">
      <c r="G405" s="1057"/>
    </row>
    <row r="406">
      <c r="G406" s="1057"/>
    </row>
    <row r="407">
      <c r="G407" s="1057"/>
    </row>
    <row r="408">
      <c r="G408" s="1057"/>
    </row>
    <row r="409">
      <c r="G409" s="1057"/>
    </row>
    <row r="410">
      <c r="G410" s="1057"/>
    </row>
    <row r="411">
      <c r="G411" s="1057"/>
    </row>
    <row r="412">
      <c r="G412" s="1057"/>
    </row>
    <row r="413">
      <c r="G413" s="1057"/>
    </row>
    <row r="414">
      <c r="G414" s="1057"/>
    </row>
    <row r="415">
      <c r="G415" s="1057"/>
    </row>
    <row r="416">
      <c r="G416" s="1057"/>
    </row>
    <row r="417">
      <c r="G417" s="1057"/>
    </row>
    <row r="418">
      <c r="G418" s="1057"/>
    </row>
    <row r="419">
      <c r="G419" s="1057"/>
    </row>
    <row r="420">
      <c r="G420" s="1057"/>
    </row>
    <row r="421">
      <c r="G421" s="1057"/>
    </row>
    <row r="422">
      <c r="G422" s="1057"/>
    </row>
    <row r="423">
      <c r="G423" s="1057"/>
    </row>
    <row r="424">
      <c r="G424" s="1057"/>
    </row>
    <row r="425">
      <c r="G425" s="1057"/>
    </row>
    <row r="426">
      <c r="G426" s="1057"/>
    </row>
    <row r="427">
      <c r="G427" s="1057"/>
    </row>
    <row r="428">
      <c r="G428" s="1057"/>
    </row>
    <row r="429">
      <c r="G429" s="1057"/>
    </row>
    <row r="430">
      <c r="G430" s="1057"/>
    </row>
    <row r="431">
      <c r="G431" s="1057"/>
    </row>
    <row r="432">
      <c r="G432" s="1057"/>
    </row>
    <row r="433">
      <c r="G433" s="1057"/>
    </row>
    <row r="434">
      <c r="G434" s="1057"/>
    </row>
    <row r="435">
      <c r="G435" s="1057"/>
    </row>
    <row r="436">
      <c r="G436" s="1057"/>
    </row>
    <row r="437">
      <c r="G437" s="1057"/>
    </row>
    <row r="438">
      <c r="G438" s="1057"/>
    </row>
    <row r="439">
      <c r="G439" s="1057"/>
    </row>
    <row r="440">
      <c r="G440" s="1057"/>
    </row>
    <row r="441">
      <c r="G441" s="1057"/>
    </row>
    <row r="442">
      <c r="G442" s="1057"/>
    </row>
    <row r="443">
      <c r="G443" s="1057"/>
    </row>
    <row r="444">
      <c r="G444" s="1057"/>
    </row>
    <row r="445">
      <c r="G445" s="1057"/>
    </row>
    <row r="446">
      <c r="G446" s="1057"/>
    </row>
    <row r="447">
      <c r="G447" s="1057"/>
    </row>
    <row r="448">
      <c r="G448" s="1057"/>
    </row>
    <row r="449">
      <c r="G449" s="1057"/>
    </row>
    <row r="450">
      <c r="G450" s="1057"/>
    </row>
    <row r="451">
      <c r="G451" s="1057"/>
    </row>
    <row r="452">
      <c r="G452" s="1057"/>
    </row>
    <row r="453">
      <c r="G453" s="1057"/>
    </row>
    <row r="454">
      <c r="G454" s="1057"/>
    </row>
    <row r="455">
      <c r="G455" s="1057"/>
    </row>
    <row r="456">
      <c r="G456" s="1057"/>
    </row>
    <row r="457">
      <c r="G457" s="1057"/>
    </row>
    <row r="458">
      <c r="G458" s="1057"/>
    </row>
    <row r="459">
      <c r="G459" s="1057"/>
    </row>
    <row r="460">
      <c r="G460" s="1057"/>
    </row>
    <row r="461">
      <c r="G461" s="1057"/>
    </row>
    <row r="462">
      <c r="G462" s="1057"/>
    </row>
    <row r="463">
      <c r="G463" s="1057"/>
    </row>
    <row r="464">
      <c r="G464" s="1057"/>
    </row>
    <row r="465">
      <c r="G465" s="1057"/>
    </row>
    <row r="466">
      <c r="G466" s="1057"/>
    </row>
    <row r="467">
      <c r="G467" s="1057"/>
    </row>
    <row r="468">
      <c r="G468" s="1057"/>
    </row>
    <row r="469">
      <c r="G469" s="1057"/>
    </row>
    <row r="470">
      <c r="G470" s="1057"/>
    </row>
    <row r="471">
      <c r="G471" s="1057"/>
    </row>
    <row r="472">
      <c r="G472" s="1057"/>
    </row>
    <row r="473">
      <c r="G473" s="1057"/>
    </row>
    <row r="474">
      <c r="G474" s="1057"/>
    </row>
    <row r="475">
      <c r="G475" s="1057"/>
    </row>
    <row r="476">
      <c r="G476" s="1057"/>
    </row>
    <row r="477">
      <c r="G477" s="1057"/>
    </row>
    <row r="478">
      <c r="G478" s="1057"/>
    </row>
    <row r="479">
      <c r="G479" s="1057"/>
    </row>
    <row r="480">
      <c r="G480" s="1057"/>
    </row>
    <row r="481">
      <c r="G481" s="1057"/>
    </row>
    <row r="482">
      <c r="G482" s="1057"/>
    </row>
    <row r="483">
      <c r="G483" s="1057"/>
    </row>
    <row r="484">
      <c r="G484" s="1057"/>
    </row>
    <row r="485">
      <c r="G485" s="1057"/>
    </row>
    <row r="486">
      <c r="G486" s="1057"/>
    </row>
    <row r="487">
      <c r="G487" s="1057"/>
    </row>
    <row r="488">
      <c r="G488" s="1057"/>
    </row>
    <row r="489">
      <c r="G489" s="1057"/>
    </row>
    <row r="490">
      <c r="G490" s="1057"/>
    </row>
    <row r="491">
      <c r="G491" s="1057"/>
    </row>
    <row r="492">
      <c r="G492" s="1057"/>
    </row>
    <row r="493">
      <c r="G493" s="1057"/>
    </row>
    <row r="494">
      <c r="G494" s="1057"/>
    </row>
    <row r="495">
      <c r="G495" s="1057"/>
    </row>
    <row r="496">
      <c r="G496" s="1057"/>
    </row>
    <row r="497">
      <c r="G497" s="1057"/>
    </row>
    <row r="498">
      <c r="G498" s="1057"/>
    </row>
    <row r="499">
      <c r="G499" s="1057"/>
    </row>
    <row r="500">
      <c r="G500" s="1057"/>
    </row>
    <row r="501">
      <c r="G501" s="1057"/>
    </row>
    <row r="502">
      <c r="G502" s="1057"/>
    </row>
    <row r="503">
      <c r="G503" s="1057"/>
    </row>
    <row r="504">
      <c r="G504" s="1057"/>
    </row>
    <row r="505">
      <c r="G505" s="1057"/>
    </row>
    <row r="506">
      <c r="G506" s="1057"/>
    </row>
    <row r="507">
      <c r="G507" s="1057"/>
    </row>
    <row r="508">
      <c r="G508" s="1057"/>
    </row>
    <row r="509">
      <c r="G509" s="1057"/>
    </row>
    <row r="510">
      <c r="G510" s="1057"/>
    </row>
    <row r="511">
      <c r="G511" s="1057"/>
    </row>
    <row r="512">
      <c r="G512" s="1057"/>
    </row>
    <row r="513">
      <c r="G513" s="1057"/>
    </row>
    <row r="514">
      <c r="G514" s="1057"/>
    </row>
    <row r="515">
      <c r="G515" s="1057"/>
    </row>
    <row r="516">
      <c r="G516" s="1057"/>
    </row>
    <row r="517">
      <c r="G517" s="1057"/>
    </row>
    <row r="518">
      <c r="G518" s="1057"/>
    </row>
    <row r="519">
      <c r="G519" s="1057"/>
    </row>
    <row r="520">
      <c r="G520" s="1057"/>
    </row>
    <row r="521">
      <c r="G521" s="1057"/>
    </row>
    <row r="522">
      <c r="G522" s="1057"/>
    </row>
    <row r="523">
      <c r="G523" s="1057"/>
    </row>
    <row r="524">
      <c r="G524" s="1057"/>
    </row>
    <row r="525">
      <c r="G525" s="1057"/>
    </row>
    <row r="526">
      <c r="G526" s="1057"/>
    </row>
    <row r="527">
      <c r="G527" s="1057"/>
    </row>
    <row r="528">
      <c r="G528" s="1057"/>
    </row>
    <row r="529">
      <c r="G529" s="1057"/>
    </row>
    <row r="530">
      <c r="G530" s="1057"/>
    </row>
    <row r="531">
      <c r="G531" s="1057"/>
    </row>
    <row r="532">
      <c r="G532" s="1057"/>
    </row>
    <row r="533">
      <c r="G533" s="1057"/>
    </row>
    <row r="534">
      <c r="G534" s="1057"/>
    </row>
    <row r="535">
      <c r="G535" s="1057"/>
    </row>
    <row r="536">
      <c r="G536" s="1057"/>
    </row>
    <row r="537">
      <c r="G537" s="1057"/>
    </row>
    <row r="538">
      <c r="G538" s="1057"/>
    </row>
    <row r="539">
      <c r="G539" s="1057"/>
    </row>
    <row r="540">
      <c r="G540" s="1057"/>
    </row>
    <row r="541">
      <c r="G541" s="1057"/>
    </row>
    <row r="542">
      <c r="G542" s="1057"/>
    </row>
    <row r="543">
      <c r="G543" s="1057"/>
    </row>
    <row r="544">
      <c r="G544" s="1057"/>
    </row>
    <row r="545">
      <c r="G545" s="1057"/>
    </row>
    <row r="546">
      <c r="G546" s="1057"/>
    </row>
    <row r="547">
      <c r="G547" s="1057"/>
    </row>
    <row r="548">
      <c r="G548" s="1057"/>
    </row>
    <row r="549">
      <c r="G549" s="1057"/>
    </row>
    <row r="550">
      <c r="G550" s="1057"/>
    </row>
    <row r="551">
      <c r="G551" s="1057"/>
    </row>
    <row r="552">
      <c r="G552" s="1057"/>
    </row>
    <row r="553">
      <c r="G553" s="1057"/>
    </row>
    <row r="554">
      <c r="G554" s="1057"/>
    </row>
    <row r="555">
      <c r="G555" s="1057"/>
    </row>
    <row r="556">
      <c r="G556" s="1057"/>
    </row>
    <row r="557">
      <c r="G557" s="1057"/>
    </row>
    <row r="558">
      <c r="G558" s="1057"/>
    </row>
    <row r="559">
      <c r="G559" s="1057"/>
    </row>
    <row r="560">
      <c r="G560" s="1057"/>
    </row>
    <row r="561">
      <c r="G561" s="1057"/>
    </row>
    <row r="562">
      <c r="G562" s="1057"/>
    </row>
    <row r="563">
      <c r="G563" s="1057"/>
    </row>
    <row r="564">
      <c r="G564" s="1057"/>
    </row>
    <row r="565">
      <c r="G565" s="1057"/>
    </row>
    <row r="566">
      <c r="G566" s="1057"/>
    </row>
    <row r="567">
      <c r="G567" s="1057"/>
    </row>
    <row r="568">
      <c r="G568" s="1057"/>
    </row>
    <row r="569">
      <c r="G569" s="1057"/>
    </row>
    <row r="570">
      <c r="G570" s="1057"/>
    </row>
    <row r="571">
      <c r="G571" s="1057"/>
    </row>
    <row r="572">
      <c r="G572" s="1057"/>
    </row>
    <row r="573">
      <c r="G573" s="1057"/>
    </row>
    <row r="574">
      <c r="G574" s="1057"/>
    </row>
    <row r="575">
      <c r="G575" s="1057"/>
    </row>
    <row r="576">
      <c r="G576" s="1057"/>
    </row>
    <row r="577">
      <c r="G577" s="1057"/>
    </row>
    <row r="578">
      <c r="G578" s="1057"/>
    </row>
    <row r="579">
      <c r="G579" s="1057"/>
    </row>
    <row r="580">
      <c r="G580" s="1057"/>
    </row>
    <row r="581">
      <c r="G581" s="1057"/>
    </row>
    <row r="582">
      <c r="G582" s="1057"/>
    </row>
    <row r="583">
      <c r="G583" s="1057"/>
    </row>
    <row r="584">
      <c r="G584" s="1057"/>
    </row>
    <row r="585">
      <c r="G585" s="1057"/>
    </row>
    <row r="586">
      <c r="G586" s="1057"/>
    </row>
    <row r="587">
      <c r="G587" s="1057"/>
    </row>
    <row r="588">
      <c r="G588" s="1057"/>
    </row>
    <row r="589">
      <c r="G589" s="1057"/>
    </row>
    <row r="590">
      <c r="G590" s="1057"/>
    </row>
    <row r="591">
      <c r="G591" s="1057"/>
    </row>
    <row r="592">
      <c r="G592" s="1057"/>
    </row>
    <row r="593">
      <c r="G593" s="1057"/>
    </row>
    <row r="594">
      <c r="G594" s="1057"/>
    </row>
    <row r="595">
      <c r="G595" s="1057"/>
    </row>
    <row r="596">
      <c r="G596" s="1057"/>
    </row>
    <row r="597">
      <c r="G597" s="1057"/>
    </row>
    <row r="598">
      <c r="G598" s="1057"/>
    </row>
    <row r="599">
      <c r="G599" s="1057"/>
    </row>
    <row r="600">
      <c r="G600" s="1057"/>
    </row>
    <row r="601">
      <c r="G601" s="1057"/>
    </row>
    <row r="602">
      <c r="G602" s="1057"/>
    </row>
    <row r="603">
      <c r="G603" s="1057"/>
    </row>
    <row r="604">
      <c r="G604" s="1057"/>
    </row>
    <row r="605">
      <c r="G605" s="1057"/>
    </row>
    <row r="606">
      <c r="G606" s="1057"/>
    </row>
    <row r="607">
      <c r="G607" s="1057"/>
    </row>
    <row r="608">
      <c r="G608" s="1057"/>
    </row>
    <row r="609">
      <c r="G609" s="1057"/>
    </row>
    <row r="610">
      <c r="G610" s="1057"/>
    </row>
    <row r="611">
      <c r="G611" s="1057"/>
    </row>
    <row r="612">
      <c r="G612" s="1057"/>
    </row>
    <row r="613">
      <c r="G613" s="1057"/>
    </row>
    <row r="614">
      <c r="G614" s="1057"/>
    </row>
    <row r="615">
      <c r="G615" s="1057"/>
    </row>
    <row r="616">
      <c r="G616" s="1057"/>
    </row>
    <row r="617">
      <c r="G617" s="1057"/>
    </row>
    <row r="618">
      <c r="G618" s="1057"/>
    </row>
    <row r="619">
      <c r="G619" s="1057"/>
    </row>
    <row r="620">
      <c r="G620" s="1057"/>
    </row>
    <row r="621">
      <c r="G621" s="1057"/>
    </row>
    <row r="622">
      <c r="G622" s="1057"/>
    </row>
    <row r="623">
      <c r="G623" s="1057"/>
    </row>
    <row r="624">
      <c r="G624" s="1057"/>
    </row>
    <row r="625">
      <c r="G625" s="1057"/>
    </row>
    <row r="626">
      <c r="G626" s="1057"/>
    </row>
    <row r="627">
      <c r="G627" s="1057"/>
    </row>
    <row r="628">
      <c r="G628" s="1057"/>
    </row>
    <row r="629">
      <c r="G629" s="1057"/>
    </row>
    <row r="630">
      <c r="G630" s="1057"/>
    </row>
    <row r="631">
      <c r="G631" s="1057"/>
    </row>
    <row r="632">
      <c r="G632" s="1057"/>
    </row>
    <row r="633">
      <c r="G633" s="1057"/>
    </row>
    <row r="634">
      <c r="G634" s="1057"/>
    </row>
    <row r="635">
      <c r="G635" s="1057"/>
    </row>
    <row r="636">
      <c r="G636" s="1057"/>
    </row>
    <row r="637">
      <c r="G637" s="1057"/>
    </row>
    <row r="638">
      <c r="G638" s="1057"/>
    </row>
    <row r="639">
      <c r="G639" s="1057"/>
    </row>
    <row r="640">
      <c r="G640" s="1057"/>
    </row>
    <row r="641">
      <c r="G641" s="1057"/>
    </row>
    <row r="642">
      <c r="G642" s="1057"/>
    </row>
    <row r="643">
      <c r="G643" s="1057"/>
    </row>
    <row r="644">
      <c r="G644" s="1057"/>
    </row>
    <row r="645">
      <c r="G645" s="1057"/>
    </row>
    <row r="646">
      <c r="G646" s="1057"/>
    </row>
    <row r="647">
      <c r="G647" s="1057"/>
    </row>
    <row r="648">
      <c r="G648" s="1057"/>
    </row>
    <row r="649">
      <c r="G649" s="1057"/>
    </row>
    <row r="650">
      <c r="G650" s="1057"/>
    </row>
    <row r="651">
      <c r="G651" s="1057"/>
    </row>
    <row r="652">
      <c r="G652" s="1057"/>
    </row>
    <row r="653">
      <c r="G653" s="1057"/>
    </row>
    <row r="654">
      <c r="G654" s="1057"/>
    </row>
    <row r="655">
      <c r="G655" s="1057"/>
    </row>
    <row r="656">
      <c r="G656" s="1057"/>
    </row>
    <row r="657">
      <c r="G657" s="1057"/>
    </row>
    <row r="658">
      <c r="G658" s="1057"/>
    </row>
    <row r="659">
      <c r="G659" s="1057"/>
    </row>
    <row r="660">
      <c r="G660" s="1057"/>
    </row>
    <row r="661">
      <c r="G661" s="1057"/>
    </row>
    <row r="662">
      <c r="G662" s="1057"/>
    </row>
    <row r="663">
      <c r="G663" s="1057"/>
    </row>
    <row r="664">
      <c r="G664" s="1057"/>
    </row>
    <row r="665">
      <c r="G665" s="1057"/>
    </row>
    <row r="666">
      <c r="G666" s="1057"/>
    </row>
    <row r="667">
      <c r="G667" s="1057"/>
    </row>
    <row r="668">
      <c r="G668" s="1057"/>
    </row>
    <row r="669">
      <c r="G669" s="1057"/>
    </row>
    <row r="670">
      <c r="G670" s="1057"/>
    </row>
    <row r="671">
      <c r="G671" s="1057"/>
    </row>
    <row r="672">
      <c r="G672" s="1057"/>
    </row>
    <row r="673">
      <c r="G673" s="1057"/>
    </row>
    <row r="674">
      <c r="G674" s="1057"/>
    </row>
    <row r="675">
      <c r="G675" s="1057"/>
    </row>
    <row r="676">
      <c r="G676" s="1057"/>
    </row>
    <row r="677">
      <c r="G677" s="1057"/>
    </row>
    <row r="678">
      <c r="G678" s="1057"/>
    </row>
    <row r="679">
      <c r="G679" s="1057"/>
    </row>
    <row r="680">
      <c r="G680" s="1057"/>
    </row>
    <row r="681">
      <c r="G681" s="1057"/>
    </row>
    <row r="682">
      <c r="G682" s="1057"/>
    </row>
    <row r="683">
      <c r="G683" s="1057"/>
    </row>
    <row r="684">
      <c r="G684" s="1057"/>
    </row>
    <row r="685">
      <c r="G685" s="1057"/>
    </row>
    <row r="686">
      <c r="G686" s="1057"/>
    </row>
    <row r="687">
      <c r="G687" s="1057"/>
    </row>
    <row r="688">
      <c r="G688" s="1057"/>
    </row>
    <row r="689">
      <c r="G689" s="1057"/>
    </row>
    <row r="690">
      <c r="G690" s="1057"/>
    </row>
    <row r="691">
      <c r="G691" s="1057"/>
    </row>
    <row r="692">
      <c r="G692" s="1057"/>
    </row>
    <row r="693">
      <c r="G693" s="1057"/>
    </row>
    <row r="694">
      <c r="G694" s="1057"/>
    </row>
    <row r="695">
      <c r="G695" s="1057"/>
    </row>
    <row r="696">
      <c r="G696" s="1057"/>
    </row>
    <row r="697">
      <c r="G697" s="1057"/>
    </row>
    <row r="698">
      <c r="G698" s="1057"/>
    </row>
    <row r="699">
      <c r="G699" s="1057"/>
    </row>
    <row r="700">
      <c r="G700" s="1057"/>
    </row>
    <row r="701">
      <c r="G701" s="1057"/>
    </row>
    <row r="702">
      <c r="G702" s="1057"/>
    </row>
    <row r="703">
      <c r="G703" s="1057"/>
    </row>
    <row r="704">
      <c r="G704" s="1057"/>
    </row>
    <row r="705">
      <c r="G705" s="1057"/>
    </row>
    <row r="706">
      <c r="G706" s="1057"/>
    </row>
    <row r="707">
      <c r="G707" s="1057"/>
    </row>
    <row r="708">
      <c r="G708" s="1057"/>
    </row>
    <row r="709">
      <c r="G709" s="1057"/>
    </row>
    <row r="710">
      <c r="G710" s="1057"/>
    </row>
    <row r="711">
      <c r="G711" s="1057"/>
    </row>
    <row r="712">
      <c r="G712" s="1057"/>
    </row>
    <row r="713">
      <c r="G713" s="1057"/>
    </row>
    <row r="714">
      <c r="G714" s="1057"/>
    </row>
    <row r="715">
      <c r="G715" s="1057"/>
    </row>
    <row r="716">
      <c r="G716" s="1057"/>
    </row>
    <row r="717">
      <c r="G717" s="1057"/>
    </row>
    <row r="718">
      <c r="G718" s="1057"/>
    </row>
    <row r="719">
      <c r="G719" s="1057"/>
    </row>
    <row r="720">
      <c r="G720" s="1057"/>
    </row>
    <row r="721">
      <c r="G721" s="1057"/>
    </row>
    <row r="722">
      <c r="G722" s="1057"/>
    </row>
    <row r="723">
      <c r="G723" s="1057"/>
    </row>
    <row r="724">
      <c r="G724" s="1057"/>
    </row>
    <row r="725">
      <c r="G725" s="1057"/>
    </row>
    <row r="726">
      <c r="G726" s="1057"/>
    </row>
    <row r="727">
      <c r="G727" s="1057"/>
    </row>
    <row r="728">
      <c r="G728" s="1057"/>
    </row>
    <row r="729">
      <c r="G729" s="1057"/>
    </row>
    <row r="730">
      <c r="G730" s="1057"/>
    </row>
    <row r="731">
      <c r="G731" s="1057"/>
    </row>
    <row r="732">
      <c r="G732" s="1057"/>
    </row>
    <row r="733">
      <c r="G733" s="1057"/>
    </row>
    <row r="734">
      <c r="G734" s="1057"/>
    </row>
    <row r="735">
      <c r="G735" s="1057"/>
    </row>
    <row r="736">
      <c r="G736" s="1057"/>
    </row>
    <row r="737">
      <c r="G737" s="1057"/>
    </row>
    <row r="738">
      <c r="G738" s="1057"/>
    </row>
    <row r="739">
      <c r="G739" s="1057"/>
    </row>
    <row r="740">
      <c r="G740" s="1057"/>
    </row>
    <row r="741">
      <c r="G741" s="1057"/>
    </row>
    <row r="742">
      <c r="G742" s="1057"/>
    </row>
    <row r="743">
      <c r="G743" s="1057"/>
    </row>
    <row r="744">
      <c r="G744" s="1057"/>
    </row>
    <row r="745">
      <c r="G745" s="1057"/>
    </row>
    <row r="746">
      <c r="G746" s="1057"/>
    </row>
    <row r="747">
      <c r="G747" s="1057"/>
    </row>
    <row r="748">
      <c r="G748" s="1057"/>
    </row>
    <row r="749">
      <c r="G749" s="1057"/>
    </row>
    <row r="750">
      <c r="G750" s="1057"/>
    </row>
    <row r="751">
      <c r="G751" s="1057"/>
    </row>
    <row r="752">
      <c r="G752" s="1057"/>
    </row>
    <row r="753">
      <c r="G753" s="1057"/>
    </row>
    <row r="754">
      <c r="G754" s="1057"/>
    </row>
    <row r="755">
      <c r="G755" s="1057"/>
    </row>
    <row r="756">
      <c r="G756" s="1057"/>
    </row>
    <row r="757">
      <c r="G757" s="1057"/>
    </row>
    <row r="758">
      <c r="G758" s="1057"/>
    </row>
    <row r="759">
      <c r="G759" s="1057"/>
    </row>
    <row r="760">
      <c r="G760" s="1057"/>
    </row>
    <row r="761">
      <c r="G761" s="1057"/>
    </row>
    <row r="762">
      <c r="G762" s="1057"/>
    </row>
    <row r="763">
      <c r="G763" s="1057"/>
    </row>
    <row r="764">
      <c r="G764" s="1057"/>
    </row>
    <row r="765">
      <c r="G765" s="1057"/>
    </row>
    <row r="766">
      <c r="G766" s="1057"/>
    </row>
    <row r="767">
      <c r="G767" s="1057"/>
    </row>
    <row r="768">
      <c r="G768" s="1057"/>
    </row>
    <row r="769">
      <c r="G769" s="1057"/>
    </row>
    <row r="770">
      <c r="G770" s="1057"/>
    </row>
    <row r="771">
      <c r="G771" s="1057"/>
    </row>
    <row r="772">
      <c r="G772" s="1057"/>
    </row>
    <row r="773">
      <c r="G773" s="1057"/>
    </row>
    <row r="774">
      <c r="G774" s="1057"/>
    </row>
    <row r="775">
      <c r="G775" s="1057"/>
    </row>
    <row r="776">
      <c r="G776" s="1057"/>
    </row>
    <row r="777">
      <c r="G777" s="1057"/>
    </row>
    <row r="778">
      <c r="G778" s="1057"/>
    </row>
    <row r="779">
      <c r="G779" s="1057"/>
    </row>
    <row r="780">
      <c r="G780" s="1057"/>
    </row>
    <row r="781">
      <c r="G781" s="1057"/>
    </row>
    <row r="782">
      <c r="G782" s="1057"/>
    </row>
    <row r="783">
      <c r="G783" s="1057"/>
    </row>
    <row r="784">
      <c r="G784" s="1057"/>
    </row>
    <row r="785">
      <c r="G785" s="1057"/>
    </row>
    <row r="786">
      <c r="G786" s="1057"/>
    </row>
    <row r="787">
      <c r="G787" s="1057"/>
    </row>
    <row r="788">
      <c r="G788" s="1057"/>
    </row>
    <row r="789">
      <c r="G789" s="1057"/>
    </row>
    <row r="790">
      <c r="G790" s="1057"/>
    </row>
    <row r="791">
      <c r="G791" s="1057"/>
    </row>
    <row r="792">
      <c r="G792" s="1057"/>
    </row>
    <row r="793">
      <c r="G793" s="1057"/>
    </row>
    <row r="794">
      <c r="G794" s="1057"/>
    </row>
    <row r="795">
      <c r="G795" s="1057"/>
    </row>
    <row r="796">
      <c r="G796" s="1057"/>
    </row>
    <row r="797">
      <c r="G797" s="1057"/>
    </row>
    <row r="798">
      <c r="G798" s="1057"/>
    </row>
    <row r="799">
      <c r="G799" s="1057"/>
    </row>
    <row r="800">
      <c r="G800" s="1057"/>
    </row>
    <row r="801">
      <c r="G801" s="1057"/>
    </row>
    <row r="802">
      <c r="G802" s="1057"/>
    </row>
    <row r="803">
      <c r="G803" s="1057"/>
    </row>
    <row r="804">
      <c r="G804" s="1057"/>
    </row>
    <row r="805">
      <c r="G805" s="1057"/>
    </row>
    <row r="806">
      <c r="G806" s="1057"/>
    </row>
    <row r="807">
      <c r="G807" s="1057"/>
    </row>
    <row r="808">
      <c r="G808" s="1057"/>
    </row>
    <row r="809">
      <c r="G809" s="1057"/>
    </row>
    <row r="810">
      <c r="G810" s="1057"/>
    </row>
    <row r="811">
      <c r="G811" s="1057"/>
    </row>
    <row r="812">
      <c r="G812" s="1057"/>
    </row>
    <row r="813">
      <c r="G813" s="1057"/>
    </row>
    <row r="814">
      <c r="G814" s="1057"/>
    </row>
    <row r="815">
      <c r="G815" s="1057"/>
    </row>
    <row r="816">
      <c r="G816" s="1057"/>
    </row>
    <row r="817">
      <c r="G817" s="1057"/>
    </row>
    <row r="818">
      <c r="G818" s="1057"/>
    </row>
    <row r="819">
      <c r="G819" s="1057"/>
    </row>
    <row r="820">
      <c r="G820" s="1057"/>
    </row>
    <row r="821">
      <c r="G821" s="1057"/>
    </row>
    <row r="822">
      <c r="G822" s="1057"/>
    </row>
    <row r="823">
      <c r="G823" s="1057"/>
    </row>
    <row r="824">
      <c r="G824" s="1057"/>
    </row>
    <row r="825">
      <c r="G825" s="1057"/>
    </row>
    <row r="826">
      <c r="G826" s="1057"/>
    </row>
    <row r="827">
      <c r="G827" s="1057"/>
    </row>
    <row r="828">
      <c r="G828" s="1057"/>
    </row>
    <row r="829">
      <c r="G829" s="1057"/>
    </row>
    <row r="830">
      <c r="G830" s="1057"/>
    </row>
    <row r="831">
      <c r="G831" s="1057"/>
    </row>
    <row r="832">
      <c r="G832" s="1057"/>
    </row>
    <row r="833">
      <c r="G833" s="1057"/>
    </row>
    <row r="834">
      <c r="G834" s="1057"/>
    </row>
    <row r="835">
      <c r="G835" s="1057"/>
    </row>
    <row r="836">
      <c r="G836" s="1057"/>
    </row>
    <row r="837">
      <c r="G837" s="1057"/>
    </row>
    <row r="838">
      <c r="G838" s="1057"/>
    </row>
    <row r="839">
      <c r="G839" s="1057"/>
    </row>
    <row r="840">
      <c r="G840" s="1057"/>
    </row>
    <row r="841">
      <c r="G841" s="1057"/>
    </row>
    <row r="842">
      <c r="G842" s="1057"/>
    </row>
    <row r="843">
      <c r="G843" s="1057"/>
    </row>
    <row r="844">
      <c r="G844" s="1057"/>
    </row>
    <row r="845">
      <c r="G845" s="1057"/>
    </row>
    <row r="846">
      <c r="G846" s="1057"/>
    </row>
    <row r="847">
      <c r="G847" s="1057"/>
    </row>
    <row r="848">
      <c r="G848" s="1057"/>
    </row>
    <row r="849">
      <c r="G849" s="1057"/>
    </row>
    <row r="850">
      <c r="G850" s="1057"/>
    </row>
    <row r="851">
      <c r="G851" s="1057"/>
    </row>
    <row r="852">
      <c r="G852" s="1057"/>
    </row>
    <row r="853">
      <c r="G853" s="1057"/>
    </row>
    <row r="854">
      <c r="G854" s="1057"/>
    </row>
    <row r="855">
      <c r="G855" s="1057"/>
    </row>
    <row r="856">
      <c r="G856" s="1057"/>
    </row>
    <row r="857">
      <c r="G857" s="1057"/>
    </row>
    <row r="858">
      <c r="G858" s="1057"/>
    </row>
    <row r="859">
      <c r="G859" s="1057"/>
    </row>
    <row r="860">
      <c r="G860" s="1057"/>
    </row>
    <row r="861">
      <c r="G861" s="1057"/>
    </row>
    <row r="862">
      <c r="G862" s="1057"/>
    </row>
    <row r="863">
      <c r="G863" s="1057"/>
    </row>
    <row r="864">
      <c r="G864" s="1057"/>
    </row>
    <row r="865">
      <c r="G865" s="1057"/>
    </row>
    <row r="866">
      <c r="G866" s="1057"/>
    </row>
    <row r="867">
      <c r="G867" s="1057"/>
    </row>
    <row r="868">
      <c r="G868" s="1057"/>
    </row>
    <row r="869">
      <c r="G869" s="1057"/>
    </row>
    <row r="870">
      <c r="G870" s="1057"/>
    </row>
    <row r="871">
      <c r="G871" s="1057"/>
    </row>
    <row r="872">
      <c r="G872" s="1057"/>
    </row>
    <row r="873">
      <c r="G873" s="1057"/>
    </row>
    <row r="874">
      <c r="G874" s="1057"/>
    </row>
    <row r="875">
      <c r="G875" s="1057"/>
    </row>
    <row r="876">
      <c r="G876" s="1057"/>
    </row>
    <row r="877">
      <c r="G877" s="1057"/>
    </row>
    <row r="878">
      <c r="G878" s="1057"/>
    </row>
    <row r="879">
      <c r="G879" s="1057"/>
    </row>
    <row r="880">
      <c r="G880" s="1057"/>
    </row>
    <row r="881">
      <c r="G881" s="1057"/>
    </row>
    <row r="882">
      <c r="G882" s="1057"/>
    </row>
    <row r="883">
      <c r="G883" s="1057"/>
    </row>
    <row r="884">
      <c r="G884" s="1057"/>
    </row>
    <row r="885">
      <c r="G885" s="1057"/>
    </row>
    <row r="886">
      <c r="G886" s="1057"/>
    </row>
    <row r="887">
      <c r="G887" s="1057"/>
    </row>
    <row r="888">
      <c r="G888" s="1057"/>
    </row>
    <row r="889">
      <c r="G889" s="1057"/>
    </row>
    <row r="890">
      <c r="G890" s="1057"/>
    </row>
    <row r="891">
      <c r="G891" s="1057"/>
    </row>
    <row r="892">
      <c r="G892" s="1057"/>
    </row>
    <row r="893">
      <c r="G893" s="1057"/>
    </row>
    <row r="894">
      <c r="G894" s="1057"/>
    </row>
    <row r="895">
      <c r="G895" s="1057"/>
    </row>
    <row r="896">
      <c r="G896" s="1057"/>
    </row>
    <row r="897">
      <c r="G897" s="1057"/>
    </row>
    <row r="898">
      <c r="G898" s="1057"/>
    </row>
    <row r="899">
      <c r="G899" s="1057"/>
    </row>
    <row r="900">
      <c r="G900" s="1057"/>
    </row>
    <row r="901">
      <c r="G901" s="1057"/>
    </row>
    <row r="902">
      <c r="G902" s="1057"/>
    </row>
    <row r="903">
      <c r="G903" s="1057"/>
    </row>
    <row r="904">
      <c r="G904" s="1057"/>
    </row>
    <row r="905">
      <c r="G905" s="1057"/>
    </row>
    <row r="906">
      <c r="G906" s="1057"/>
    </row>
    <row r="907">
      <c r="G907" s="1057"/>
    </row>
    <row r="908">
      <c r="G908" s="1057"/>
    </row>
    <row r="909">
      <c r="G909" s="1057"/>
    </row>
    <row r="910">
      <c r="G910" s="1057"/>
    </row>
    <row r="911">
      <c r="G911" s="1057"/>
    </row>
    <row r="912">
      <c r="G912" s="1057"/>
    </row>
    <row r="913">
      <c r="G913" s="1057"/>
    </row>
    <row r="914">
      <c r="G914" s="1057"/>
    </row>
    <row r="915">
      <c r="G915" s="1057"/>
    </row>
    <row r="916">
      <c r="G916" s="1057"/>
    </row>
    <row r="917">
      <c r="G917" s="1057"/>
    </row>
    <row r="918">
      <c r="G918" s="1057"/>
    </row>
    <row r="919">
      <c r="G919" s="1057"/>
    </row>
    <row r="920">
      <c r="G920" s="1057"/>
    </row>
    <row r="921">
      <c r="G921" s="1057"/>
    </row>
    <row r="922">
      <c r="G922" s="1057"/>
    </row>
    <row r="923">
      <c r="G923" s="1057"/>
    </row>
    <row r="924">
      <c r="G924" s="1057"/>
    </row>
    <row r="925">
      <c r="G925" s="1057"/>
    </row>
    <row r="926">
      <c r="G926" s="1057"/>
    </row>
    <row r="927">
      <c r="G927" s="1057"/>
    </row>
    <row r="928">
      <c r="G928" s="1057"/>
    </row>
    <row r="929">
      <c r="G929" s="1057"/>
    </row>
    <row r="930">
      <c r="G930" s="1057"/>
    </row>
    <row r="931">
      <c r="G931" s="1057"/>
    </row>
    <row r="932">
      <c r="G932" s="1057"/>
    </row>
    <row r="933">
      <c r="G933" s="1057"/>
    </row>
    <row r="934">
      <c r="G934" s="1057"/>
    </row>
    <row r="935">
      <c r="G935" s="1057"/>
    </row>
    <row r="936">
      <c r="G936" s="1057"/>
    </row>
    <row r="937">
      <c r="G937" s="1057"/>
    </row>
    <row r="938">
      <c r="G938" s="1057"/>
    </row>
    <row r="939">
      <c r="G939" s="1057"/>
    </row>
    <row r="940">
      <c r="G940" s="1057"/>
    </row>
    <row r="941">
      <c r="G941" s="1057"/>
    </row>
    <row r="942">
      <c r="G942" s="1057"/>
    </row>
    <row r="943">
      <c r="G943" s="1057"/>
    </row>
    <row r="944">
      <c r="G944" s="1057"/>
    </row>
    <row r="945">
      <c r="G945" s="1057"/>
    </row>
    <row r="946">
      <c r="G946" s="1057"/>
    </row>
    <row r="947">
      <c r="G947" s="1057"/>
    </row>
    <row r="948">
      <c r="G948" s="1057"/>
    </row>
    <row r="949">
      <c r="G949" s="1057"/>
    </row>
    <row r="950">
      <c r="G950" s="1057"/>
    </row>
    <row r="951">
      <c r="G951" s="1057"/>
    </row>
    <row r="952">
      <c r="G952" s="1057"/>
    </row>
    <row r="953">
      <c r="G953" s="1057"/>
    </row>
    <row r="954">
      <c r="G954" s="1057"/>
    </row>
    <row r="955">
      <c r="G955" s="1057"/>
    </row>
    <row r="956">
      <c r="G956" s="1057"/>
    </row>
    <row r="957">
      <c r="G957" s="1057"/>
    </row>
    <row r="958">
      <c r="G958" s="1057"/>
    </row>
    <row r="959">
      <c r="G959" s="1057"/>
    </row>
    <row r="960">
      <c r="G960" s="1057"/>
    </row>
    <row r="961">
      <c r="G961" s="1057"/>
    </row>
    <row r="962">
      <c r="G962" s="1057"/>
    </row>
    <row r="963">
      <c r="G963" s="1057"/>
    </row>
    <row r="964">
      <c r="G964" s="1057"/>
    </row>
    <row r="965">
      <c r="G965" s="1057"/>
    </row>
    <row r="966">
      <c r="G966" s="1057"/>
    </row>
    <row r="967">
      <c r="G967" s="1057"/>
    </row>
    <row r="968">
      <c r="G968" s="1057"/>
    </row>
    <row r="969">
      <c r="G969" s="1057"/>
    </row>
    <row r="970">
      <c r="G970" s="1057"/>
    </row>
    <row r="971">
      <c r="G971" s="1057"/>
    </row>
    <row r="972">
      <c r="G972" s="1057"/>
    </row>
    <row r="973">
      <c r="G973" s="1057"/>
    </row>
    <row r="974">
      <c r="G974" s="1057"/>
    </row>
    <row r="975">
      <c r="G975" s="1057"/>
    </row>
    <row r="976">
      <c r="G976" s="1057"/>
    </row>
    <row r="977">
      <c r="G977" s="1057"/>
    </row>
    <row r="978">
      <c r="G978" s="1057"/>
    </row>
    <row r="979">
      <c r="G979" s="1057"/>
    </row>
    <row r="980">
      <c r="G980" s="1057"/>
    </row>
    <row r="981">
      <c r="G981" s="1057"/>
    </row>
    <row r="982">
      <c r="G982" s="1057"/>
    </row>
    <row r="983">
      <c r="G983" s="1057"/>
    </row>
    <row r="984">
      <c r="G984" s="1057"/>
    </row>
    <row r="985">
      <c r="G985" s="1057"/>
    </row>
    <row r="986">
      <c r="G986" s="1057"/>
    </row>
    <row r="987">
      <c r="G987" s="1057"/>
    </row>
    <row r="988">
      <c r="G988" s="1057"/>
    </row>
    <row r="989">
      <c r="G989" s="1057"/>
    </row>
    <row r="990">
      <c r="G990" s="1057"/>
    </row>
    <row r="991">
      <c r="G991" s="1057"/>
    </row>
    <row r="992">
      <c r="G992" s="1057"/>
    </row>
    <row r="993">
      <c r="G993" s="1057"/>
    </row>
    <row r="994">
      <c r="G994" s="1057"/>
    </row>
    <row r="995">
      <c r="G995" s="1057"/>
    </row>
    <row r="996">
      <c r="G996" s="1057"/>
    </row>
    <row r="997">
      <c r="G997" s="1057"/>
    </row>
    <row r="998">
      <c r="G998" s="1057"/>
    </row>
    <row r="999">
      <c r="G999" s="1057"/>
    </row>
    <row r="1000">
      <c r="G1000" s="1057"/>
    </row>
  </sheetData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</cols>
  <sheetData>
    <row r="1">
      <c r="F1" s="110" t="s">
        <v>552</v>
      </c>
    </row>
    <row r="2">
      <c r="B2" s="110" t="s">
        <v>832</v>
      </c>
      <c r="C2" s="1049" t="s">
        <v>361</v>
      </c>
      <c r="D2" s="673">
        <f>173/2</f>
        <v>86.5</v>
      </c>
      <c r="E2" s="110" t="s">
        <v>833</v>
      </c>
    </row>
    <row r="3">
      <c r="B3" s="110" t="s">
        <v>834</v>
      </c>
      <c r="C3" s="1049" t="s">
        <v>361</v>
      </c>
      <c r="D3" s="1067">
        <v>109.95</v>
      </c>
      <c r="E3" s="110" t="s">
        <v>833</v>
      </c>
    </row>
    <row r="4">
      <c r="B4" s="110" t="s">
        <v>835</v>
      </c>
      <c r="C4" s="1049" t="s">
        <v>361</v>
      </c>
      <c r="D4" s="673">
        <f>300/2</f>
        <v>150</v>
      </c>
      <c r="E4" s="110" t="s">
        <v>836</v>
      </c>
    </row>
    <row r="5">
      <c r="B5" s="110" t="s">
        <v>412</v>
      </c>
      <c r="C5" s="1049" t="s">
        <v>361</v>
      </c>
      <c r="D5" s="113">
        <v>182.0</v>
      </c>
      <c r="E5" s="110" t="s">
        <v>837</v>
      </c>
    </row>
    <row r="6">
      <c r="A6" s="541"/>
      <c r="B6" s="1068" t="s">
        <v>838</v>
      </c>
      <c r="C6" s="1069" t="s">
        <v>839</v>
      </c>
      <c r="D6" s="1067">
        <v>261.0</v>
      </c>
      <c r="E6" s="1070" t="s">
        <v>836</v>
      </c>
      <c r="F6" s="1070"/>
    </row>
    <row r="7">
      <c r="A7" s="541"/>
      <c r="B7" s="1071" t="s">
        <v>840</v>
      </c>
      <c r="C7" s="1069" t="s">
        <v>841</v>
      </c>
      <c r="D7" s="1072">
        <v>1600.0</v>
      </c>
      <c r="E7" s="1073" t="s">
        <v>842</v>
      </c>
      <c r="F7" s="1070"/>
    </row>
    <row r="8">
      <c r="A8" s="541"/>
      <c r="B8" s="1071"/>
      <c r="C8" s="1069"/>
      <c r="D8" s="1072"/>
      <c r="E8" s="1073"/>
      <c r="F8" s="1070"/>
    </row>
    <row r="9">
      <c r="A9" s="541"/>
      <c r="B9" s="1074" t="s">
        <v>376</v>
      </c>
      <c r="C9" s="1069" t="s">
        <v>839</v>
      </c>
      <c r="D9" s="1067">
        <v>550.0</v>
      </c>
      <c r="E9" s="1070" t="s">
        <v>843</v>
      </c>
      <c r="F9" s="1073" t="s">
        <v>844</v>
      </c>
    </row>
    <row r="10">
      <c r="A10" s="541"/>
      <c r="B10" s="1074" t="s">
        <v>845</v>
      </c>
      <c r="C10" s="1075" t="s">
        <v>846</v>
      </c>
      <c r="D10" s="1067">
        <v>5.45</v>
      </c>
      <c r="E10" s="1070" t="s">
        <v>59</v>
      </c>
      <c r="F10" s="1070"/>
    </row>
    <row r="11">
      <c r="A11" s="541"/>
      <c r="B11" s="1076" t="s">
        <v>847</v>
      </c>
      <c r="C11" s="1075" t="s">
        <v>846</v>
      </c>
      <c r="D11" s="1067">
        <v>14.99</v>
      </c>
      <c r="E11" s="1070" t="s">
        <v>848</v>
      </c>
      <c r="F11" s="1070"/>
    </row>
    <row r="12">
      <c r="A12" s="541"/>
      <c r="B12" s="1074" t="s">
        <v>849</v>
      </c>
      <c r="C12" s="1075" t="s">
        <v>846</v>
      </c>
      <c r="D12" s="1067">
        <v>32.66</v>
      </c>
      <c r="E12" s="1070" t="s">
        <v>850</v>
      </c>
      <c r="F12" s="1070"/>
    </row>
    <row r="13">
      <c r="A13" s="541"/>
      <c r="B13" s="461" t="s">
        <v>851</v>
      </c>
      <c r="C13" s="1075" t="s">
        <v>846</v>
      </c>
      <c r="D13" s="498">
        <v>13.99</v>
      </c>
      <c r="E13" s="461" t="s">
        <v>852</v>
      </c>
      <c r="F13" s="541"/>
    </row>
    <row r="14">
      <c r="A14" s="541"/>
      <c r="B14" s="1068" t="s">
        <v>853</v>
      </c>
      <c r="C14" s="1075" t="s">
        <v>846</v>
      </c>
      <c r="D14" s="1067">
        <v>9.99</v>
      </c>
      <c r="E14" s="1070" t="s">
        <v>854</v>
      </c>
      <c r="F14" s="1070"/>
    </row>
    <row r="15">
      <c r="B15" s="110" t="s">
        <v>855</v>
      </c>
      <c r="C15" s="1075" t="s">
        <v>846</v>
      </c>
      <c r="D15" s="113">
        <v>60.0</v>
      </c>
    </row>
    <row r="16">
      <c r="A16" s="1077"/>
      <c r="B16" s="1078" t="s">
        <v>856</v>
      </c>
      <c r="C16" s="1079" t="s">
        <v>846</v>
      </c>
      <c r="D16" s="1080"/>
      <c r="E16" s="1077"/>
      <c r="F16" s="1077"/>
      <c r="G16" s="1077"/>
      <c r="H16" s="1077"/>
      <c r="I16" s="1077"/>
      <c r="J16" s="1077"/>
      <c r="K16" s="1077"/>
      <c r="L16" s="1077"/>
      <c r="M16" s="1077"/>
      <c r="N16" s="1077"/>
      <c r="O16" s="1077"/>
      <c r="P16" s="1077"/>
      <c r="Q16" s="1077"/>
      <c r="R16" s="1077"/>
      <c r="S16" s="1077"/>
      <c r="T16" s="1077"/>
      <c r="U16" s="1077"/>
      <c r="V16" s="1077"/>
      <c r="W16" s="1077"/>
      <c r="X16" s="1077"/>
      <c r="Y16" s="1077"/>
      <c r="Z16" s="1077"/>
      <c r="AA16" s="1077"/>
    </row>
    <row r="17">
      <c r="A17" s="541"/>
      <c r="B17" s="461" t="s">
        <v>857</v>
      </c>
      <c r="C17" s="1049" t="s">
        <v>839</v>
      </c>
      <c r="D17" s="1081">
        <v>15.0</v>
      </c>
      <c r="E17" s="541"/>
      <c r="F17" s="461" t="s">
        <v>858</v>
      </c>
    </row>
    <row r="18">
      <c r="B18" s="110" t="s">
        <v>859</v>
      </c>
      <c r="D18" s="1082">
        <v>19.6</v>
      </c>
      <c r="E18" s="1070" t="s">
        <v>57</v>
      </c>
      <c r="F18" s="1070" t="s">
        <v>860</v>
      </c>
    </row>
    <row r="19">
      <c r="B19" s="110" t="s">
        <v>861</v>
      </c>
      <c r="D19" s="1082">
        <v>19.6</v>
      </c>
      <c r="E19" s="1070" t="s">
        <v>57</v>
      </c>
      <c r="F19" s="1070" t="s">
        <v>860</v>
      </c>
    </row>
    <row r="23">
      <c r="A23" s="541"/>
      <c r="B23" s="461"/>
      <c r="C23" s="541"/>
      <c r="D23" s="541"/>
      <c r="E23" s="461"/>
      <c r="F23" s="541"/>
    </row>
    <row r="24">
      <c r="A24" s="541"/>
      <c r="B24" s="461"/>
      <c r="C24" s="541"/>
      <c r="D24" s="541"/>
      <c r="E24" s="541"/>
      <c r="F24" s="541"/>
    </row>
    <row r="25">
      <c r="A25" s="541"/>
      <c r="B25" s="1083"/>
      <c r="C25" s="1075"/>
      <c r="D25" s="1084"/>
      <c r="E25" s="1070"/>
      <c r="F25" s="1070"/>
    </row>
    <row r="26">
      <c r="A26" s="541"/>
      <c r="B26" s="1083"/>
      <c r="C26" s="1085"/>
      <c r="D26" s="1084"/>
      <c r="E26" s="1070"/>
      <c r="F26" s="1070"/>
    </row>
    <row r="27">
      <c r="A27" s="541"/>
      <c r="B27" s="1083"/>
      <c r="C27" s="1085"/>
      <c r="D27" s="1084"/>
      <c r="E27" s="1070"/>
      <c r="F27" s="1070"/>
    </row>
    <row r="28">
      <c r="A28" s="541"/>
      <c r="B28" s="1083"/>
      <c r="C28" s="1085"/>
      <c r="D28" s="1084"/>
      <c r="E28" s="1070"/>
      <c r="F28" s="1070"/>
    </row>
    <row r="29">
      <c r="A29" s="541"/>
      <c r="B29" s="1086"/>
      <c r="C29" s="1075"/>
      <c r="D29" s="1084"/>
      <c r="E29" s="1070"/>
      <c r="F29" s="1070"/>
    </row>
    <row r="30">
      <c r="A30" s="541"/>
      <c r="B30" s="1083"/>
      <c r="C30" s="1075"/>
      <c r="D30" s="1082"/>
      <c r="E30" s="1070"/>
      <c r="F30" s="1070"/>
    </row>
    <row r="31">
      <c r="A31" s="541"/>
      <c r="B31" s="1083"/>
      <c r="C31" s="1075"/>
      <c r="D31" s="1082"/>
      <c r="E31" s="1070"/>
      <c r="F31" s="1070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88"/>
    <col customWidth="1" min="3" max="3" width="18.25"/>
    <col customWidth="1" min="4" max="4" width="19.13"/>
    <col customWidth="1" min="5" max="5" width="36.25"/>
    <col customWidth="1" min="6" max="6" width="34.0"/>
  </cols>
  <sheetData>
    <row r="1">
      <c r="B1" s="1087"/>
      <c r="D1" s="1057"/>
      <c r="F1" s="1057"/>
    </row>
    <row r="2">
      <c r="B2" s="1088" t="s">
        <v>37</v>
      </c>
      <c r="D2" s="1057"/>
      <c r="F2" s="1057"/>
    </row>
    <row r="3">
      <c r="B3" s="1089" t="s">
        <v>862</v>
      </c>
      <c r="C3" s="110" t="s">
        <v>863</v>
      </c>
      <c r="D3" s="1058" t="s">
        <v>864</v>
      </c>
      <c r="E3" s="110" t="s">
        <v>865</v>
      </c>
      <c r="F3" s="1057"/>
    </row>
    <row r="4">
      <c r="B4" s="1089" t="s">
        <v>459</v>
      </c>
      <c r="C4" s="110" t="s">
        <v>866</v>
      </c>
      <c r="D4" s="1058" t="s">
        <v>864</v>
      </c>
      <c r="F4" s="1057"/>
    </row>
    <row r="5">
      <c r="B5" s="1089" t="s">
        <v>867</v>
      </c>
      <c r="C5" s="110" t="s">
        <v>868</v>
      </c>
      <c r="D5" s="1058" t="s">
        <v>864</v>
      </c>
      <c r="F5" s="1057"/>
    </row>
    <row r="6">
      <c r="B6" s="1089" t="s">
        <v>869</v>
      </c>
      <c r="C6" s="110" t="s">
        <v>868</v>
      </c>
      <c r="D6" s="1058" t="s">
        <v>864</v>
      </c>
      <c r="F6" s="1057"/>
    </row>
    <row r="7">
      <c r="B7" s="1089" t="s">
        <v>870</v>
      </c>
      <c r="C7" s="110" t="s">
        <v>871</v>
      </c>
      <c r="D7" s="1058" t="s">
        <v>872</v>
      </c>
      <c r="F7" s="1057"/>
    </row>
    <row r="8">
      <c r="B8" s="1087"/>
      <c r="D8" s="1057"/>
      <c r="F8" s="1057"/>
    </row>
    <row r="9">
      <c r="B9" s="1087"/>
      <c r="D9" s="1057"/>
      <c r="F9" s="1057"/>
    </row>
    <row r="10">
      <c r="B10" s="1088" t="s">
        <v>873</v>
      </c>
      <c r="D10" s="1057"/>
      <c r="F10" s="1057"/>
    </row>
    <row r="11">
      <c r="B11" s="1089" t="s">
        <v>874</v>
      </c>
      <c r="C11" s="110" t="s">
        <v>875</v>
      </c>
      <c r="D11" s="1058" t="s">
        <v>876</v>
      </c>
      <c r="E11" s="110" t="s">
        <v>877</v>
      </c>
      <c r="F11" s="1057"/>
    </row>
    <row r="12">
      <c r="B12" s="1089" t="s">
        <v>878</v>
      </c>
      <c r="C12" s="110" t="s">
        <v>875</v>
      </c>
      <c r="D12" s="1058" t="s">
        <v>876</v>
      </c>
      <c r="E12" s="110" t="s">
        <v>879</v>
      </c>
      <c r="F12" s="1057"/>
    </row>
    <row r="13">
      <c r="B13" s="1090" t="s">
        <v>880</v>
      </c>
      <c r="C13" s="110" t="s">
        <v>875</v>
      </c>
      <c r="D13" s="1058" t="s">
        <v>881</v>
      </c>
      <c r="E13" s="110" t="s">
        <v>882</v>
      </c>
      <c r="F13" s="1057"/>
    </row>
    <row r="14">
      <c r="B14" s="1087"/>
      <c r="D14" s="1057"/>
      <c r="F14" s="1057"/>
    </row>
    <row r="15">
      <c r="B15" s="1087"/>
      <c r="D15" s="1057"/>
      <c r="F15" s="1057"/>
    </row>
    <row r="16">
      <c r="B16" s="1087"/>
      <c r="D16" s="1057"/>
      <c r="F16" s="1057"/>
    </row>
    <row r="17">
      <c r="B17" s="1088" t="s">
        <v>883</v>
      </c>
      <c r="D17" s="1057"/>
      <c r="F17" s="1057"/>
    </row>
    <row r="18">
      <c r="B18" s="1091" t="s">
        <v>884</v>
      </c>
      <c r="C18" s="110" t="s">
        <v>562</v>
      </c>
      <c r="D18" s="1057"/>
      <c r="E18" s="110" t="s">
        <v>885</v>
      </c>
      <c r="F18" s="1058" t="s">
        <v>886</v>
      </c>
    </row>
    <row r="19">
      <c r="B19" s="1091" t="s">
        <v>887</v>
      </c>
      <c r="C19" s="110" t="s">
        <v>888</v>
      </c>
      <c r="D19" s="1057"/>
      <c r="E19" s="110" t="s">
        <v>889</v>
      </c>
      <c r="F19" s="1057"/>
    </row>
    <row r="20">
      <c r="B20" s="1091" t="s">
        <v>890</v>
      </c>
      <c r="C20" s="110" t="s">
        <v>891</v>
      </c>
      <c r="D20" s="1057"/>
      <c r="E20" s="110" t="s">
        <v>892</v>
      </c>
      <c r="F20" s="1057"/>
    </row>
    <row r="21">
      <c r="B21" s="1091" t="s">
        <v>893</v>
      </c>
      <c r="C21" s="110" t="s">
        <v>894</v>
      </c>
      <c r="D21" s="1057"/>
      <c r="E21" s="110" t="s">
        <v>895</v>
      </c>
      <c r="F21" s="1058" t="s">
        <v>896</v>
      </c>
    </row>
    <row r="22">
      <c r="B22" s="1091" t="s">
        <v>897</v>
      </c>
      <c r="C22" s="110" t="s">
        <v>891</v>
      </c>
      <c r="D22" s="1057"/>
      <c r="E22" s="110" t="s">
        <v>892</v>
      </c>
      <c r="F22" s="1058" t="s">
        <v>898</v>
      </c>
    </row>
    <row r="23">
      <c r="B23" s="1092" t="s">
        <v>899</v>
      </c>
      <c r="C23" s="110" t="s">
        <v>900</v>
      </c>
      <c r="D23" s="1058" t="s">
        <v>901</v>
      </c>
      <c r="E23" s="110" t="s">
        <v>902</v>
      </c>
      <c r="F23" s="1057"/>
    </row>
    <row r="24">
      <c r="B24" s="1091" t="s">
        <v>903</v>
      </c>
      <c r="C24" s="110" t="s">
        <v>418</v>
      </c>
      <c r="D24" s="1057"/>
      <c r="E24" s="110" t="s">
        <v>904</v>
      </c>
      <c r="F24" s="1058" t="s">
        <v>905</v>
      </c>
    </row>
    <row r="25">
      <c r="B25" s="1091" t="s">
        <v>906</v>
      </c>
      <c r="C25" s="110" t="s">
        <v>907</v>
      </c>
      <c r="D25" s="1057"/>
      <c r="F25" s="1057"/>
    </row>
    <row r="26">
      <c r="B26" s="1092" t="s">
        <v>908</v>
      </c>
      <c r="C26" s="110" t="s">
        <v>909</v>
      </c>
      <c r="D26" s="1057"/>
      <c r="F26" s="1057"/>
    </row>
    <row r="27">
      <c r="B27" s="1092" t="s">
        <v>910</v>
      </c>
      <c r="C27" s="110" t="s">
        <v>911</v>
      </c>
      <c r="D27" s="1057"/>
      <c r="F27" s="1057"/>
    </row>
    <row r="28">
      <c r="B28" s="1092" t="s">
        <v>912</v>
      </c>
      <c r="C28" s="110" t="s">
        <v>913</v>
      </c>
      <c r="D28" s="1057"/>
      <c r="F28" s="1057"/>
    </row>
    <row r="29">
      <c r="B29" s="1087"/>
      <c r="D29" s="1057"/>
      <c r="F29" s="1057"/>
    </row>
    <row r="30">
      <c r="B30" s="1092" t="s">
        <v>914</v>
      </c>
      <c r="C30" s="110" t="s">
        <v>915</v>
      </c>
      <c r="D30" s="1057"/>
      <c r="E30" s="110" t="s">
        <v>916</v>
      </c>
      <c r="F30" s="1057"/>
    </row>
    <row r="31">
      <c r="B31" s="1092" t="s">
        <v>917</v>
      </c>
      <c r="C31" s="110" t="s">
        <v>918</v>
      </c>
      <c r="D31" s="1057"/>
      <c r="E31" s="110" t="s">
        <v>919</v>
      </c>
      <c r="F31" s="1058" t="s">
        <v>920</v>
      </c>
    </row>
    <row r="32">
      <c r="B32" s="1087"/>
      <c r="D32" s="1057"/>
      <c r="F32" s="1057"/>
    </row>
    <row r="33">
      <c r="B33" s="1087"/>
      <c r="D33" s="1057"/>
      <c r="F33" s="1057"/>
    </row>
    <row r="34">
      <c r="B34" s="1087"/>
      <c r="D34" s="1057"/>
      <c r="F34" s="1057"/>
    </row>
    <row r="35">
      <c r="B35" s="1088" t="s">
        <v>433</v>
      </c>
      <c r="D35" s="1057"/>
      <c r="F35" s="1057"/>
    </row>
    <row r="36">
      <c r="B36" s="1089" t="s">
        <v>921</v>
      </c>
      <c r="D36" s="1058" t="s">
        <v>876</v>
      </c>
      <c r="E36" s="110" t="s">
        <v>922</v>
      </c>
      <c r="F36" s="1057"/>
    </row>
    <row r="37">
      <c r="B37" s="1087"/>
      <c r="D37" s="1057"/>
      <c r="F37" s="1057"/>
    </row>
    <row r="38">
      <c r="B38" s="1087"/>
      <c r="D38" s="1057"/>
      <c r="F38" s="1057"/>
    </row>
    <row r="39">
      <c r="B39" s="1088" t="s">
        <v>38</v>
      </c>
      <c r="D39" s="1057"/>
      <c r="F39" s="1057"/>
    </row>
    <row r="40">
      <c r="B40" s="1087"/>
      <c r="D40" s="1057"/>
      <c r="F40" s="1057"/>
    </row>
    <row r="41">
      <c r="B41" s="1087"/>
      <c r="D41" s="1057"/>
      <c r="F41" s="1057"/>
    </row>
    <row r="42">
      <c r="B42" s="1087"/>
      <c r="D42" s="1057"/>
      <c r="F42" s="1057"/>
    </row>
    <row r="43">
      <c r="B43" s="1087"/>
      <c r="D43" s="1057"/>
      <c r="F43" s="1057"/>
    </row>
    <row r="44">
      <c r="B44" s="1088" t="s">
        <v>923</v>
      </c>
      <c r="D44" s="1057"/>
      <c r="F44" s="1057"/>
    </row>
    <row r="45">
      <c r="B45" s="1089" t="s">
        <v>924</v>
      </c>
      <c r="D45" s="1057"/>
      <c r="F45" s="1057"/>
    </row>
    <row r="46">
      <c r="B46" s="1089" t="s">
        <v>925</v>
      </c>
      <c r="D46" s="1057"/>
      <c r="F46" s="1057"/>
    </row>
    <row r="47">
      <c r="B47" s="1089" t="s">
        <v>926</v>
      </c>
      <c r="D47" s="1057"/>
      <c r="F47" s="1057"/>
    </row>
    <row r="48">
      <c r="B48" s="1087"/>
      <c r="D48" s="1057"/>
      <c r="F48" s="1057"/>
    </row>
    <row r="49">
      <c r="B49" s="1087"/>
      <c r="D49" s="1057"/>
      <c r="F49" s="1057"/>
    </row>
    <row r="50">
      <c r="B50" s="1087"/>
      <c r="D50" s="1057"/>
      <c r="F50" s="1057"/>
    </row>
    <row r="51">
      <c r="B51" s="1087"/>
      <c r="D51" s="1057"/>
      <c r="F51" s="1057"/>
    </row>
    <row r="52">
      <c r="B52" s="1087"/>
      <c r="D52" s="1057"/>
      <c r="F52" s="1057"/>
    </row>
    <row r="53">
      <c r="B53" s="1087"/>
      <c r="D53" s="1057"/>
      <c r="F53" s="1057"/>
    </row>
    <row r="54">
      <c r="B54" s="1087"/>
      <c r="D54" s="1057"/>
      <c r="F54" s="1057"/>
    </row>
    <row r="55">
      <c r="B55" s="1087"/>
      <c r="D55" s="1057"/>
      <c r="F55" s="1057"/>
    </row>
    <row r="56">
      <c r="B56" s="1087"/>
      <c r="D56" s="1057"/>
      <c r="F56" s="1057"/>
    </row>
    <row r="57">
      <c r="B57" s="1087"/>
      <c r="D57" s="1057"/>
      <c r="F57" s="1057"/>
    </row>
    <row r="58">
      <c r="B58" s="1087"/>
      <c r="D58" s="1057"/>
      <c r="F58" s="1057"/>
    </row>
    <row r="59">
      <c r="B59" s="1087"/>
      <c r="D59" s="1057"/>
      <c r="F59" s="1057"/>
    </row>
    <row r="60">
      <c r="B60" s="1087"/>
      <c r="D60" s="1057"/>
      <c r="F60" s="1057"/>
    </row>
    <row r="61">
      <c r="B61" s="1087"/>
      <c r="D61" s="1057"/>
      <c r="F61" s="1057"/>
    </row>
    <row r="62">
      <c r="B62" s="1087"/>
      <c r="D62" s="1057"/>
      <c r="F62" s="1057"/>
    </row>
    <row r="63">
      <c r="B63" s="1087"/>
      <c r="D63" s="1057"/>
      <c r="F63" s="1057"/>
    </row>
    <row r="64">
      <c r="B64" s="1087"/>
      <c r="D64" s="1057"/>
      <c r="F64" s="1057"/>
    </row>
    <row r="65">
      <c r="B65" s="1087"/>
      <c r="D65" s="1057"/>
      <c r="F65" s="1057"/>
    </row>
    <row r="66">
      <c r="B66" s="1087"/>
      <c r="D66" s="1057"/>
      <c r="F66" s="1057"/>
    </row>
    <row r="67">
      <c r="B67" s="1087"/>
      <c r="D67" s="1057"/>
      <c r="F67" s="1057"/>
    </row>
    <row r="68">
      <c r="B68" s="1087"/>
      <c r="D68" s="1057"/>
      <c r="F68" s="1057"/>
    </row>
    <row r="69">
      <c r="B69" s="1087"/>
      <c r="D69" s="1057"/>
      <c r="F69" s="1057"/>
    </row>
    <row r="70">
      <c r="B70" s="1087"/>
      <c r="D70" s="1057"/>
      <c r="F70" s="1057"/>
    </row>
    <row r="71">
      <c r="B71" s="1087"/>
      <c r="D71" s="1057"/>
      <c r="F71" s="1057"/>
    </row>
    <row r="72">
      <c r="B72" s="1087"/>
      <c r="D72" s="1057"/>
      <c r="F72" s="1057"/>
    </row>
    <row r="73">
      <c r="B73" s="1087"/>
      <c r="D73" s="1057"/>
      <c r="F73" s="1057"/>
    </row>
    <row r="74">
      <c r="B74" s="1087"/>
      <c r="D74" s="1057"/>
      <c r="F74" s="1057"/>
    </row>
    <row r="75">
      <c r="B75" s="1087"/>
      <c r="D75" s="1057"/>
      <c r="F75" s="1057"/>
    </row>
    <row r="76">
      <c r="B76" s="1087"/>
      <c r="D76" s="1057"/>
      <c r="F76" s="1057"/>
    </row>
    <row r="77">
      <c r="B77" s="1087"/>
      <c r="D77" s="1057"/>
      <c r="F77" s="1057"/>
    </row>
    <row r="78">
      <c r="B78" s="1087"/>
      <c r="D78" s="1057"/>
      <c r="F78" s="1057"/>
    </row>
    <row r="79">
      <c r="B79" s="1087"/>
      <c r="D79" s="1057"/>
      <c r="F79" s="1057"/>
    </row>
    <row r="80">
      <c r="B80" s="1087"/>
      <c r="D80" s="1057"/>
      <c r="F80" s="1057"/>
    </row>
    <row r="81">
      <c r="B81" s="1087"/>
      <c r="D81" s="1057"/>
      <c r="F81" s="1057"/>
    </row>
    <row r="82">
      <c r="B82" s="1087"/>
      <c r="D82" s="1057"/>
      <c r="F82" s="1057"/>
    </row>
    <row r="83">
      <c r="B83" s="1087"/>
      <c r="D83" s="1057"/>
      <c r="F83" s="1057"/>
    </row>
    <row r="84">
      <c r="B84" s="1087"/>
      <c r="D84" s="1057"/>
      <c r="F84" s="1057"/>
    </row>
    <row r="85">
      <c r="B85" s="1087"/>
      <c r="D85" s="1057"/>
      <c r="F85" s="1057"/>
    </row>
    <row r="86">
      <c r="B86" s="1087"/>
      <c r="D86" s="1057"/>
      <c r="F86" s="1057"/>
    </row>
    <row r="87">
      <c r="B87" s="1087"/>
      <c r="D87" s="1057"/>
      <c r="F87" s="1057"/>
    </row>
    <row r="88">
      <c r="B88" s="1087"/>
      <c r="D88" s="1057"/>
      <c r="F88" s="1057"/>
    </row>
    <row r="89">
      <c r="B89" s="1087"/>
      <c r="D89" s="1057"/>
      <c r="F89" s="1057"/>
    </row>
    <row r="90">
      <c r="B90" s="1087"/>
      <c r="D90" s="1057"/>
      <c r="F90" s="1057"/>
    </row>
    <row r="91">
      <c r="B91" s="1087"/>
      <c r="D91" s="1057"/>
      <c r="F91" s="1057"/>
    </row>
    <row r="92">
      <c r="B92" s="1087"/>
      <c r="D92" s="1057"/>
      <c r="F92" s="1057"/>
    </row>
    <row r="93">
      <c r="B93" s="1087"/>
      <c r="D93" s="1057"/>
      <c r="F93" s="1057"/>
    </row>
    <row r="94">
      <c r="B94" s="1087"/>
      <c r="D94" s="1057"/>
      <c r="F94" s="1057"/>
    </row>
    <row r="95">
      <c r="B95" s="1087"/>
      <c r="D95" s="1057"/>
      <c r="F95" s="1057"/>
    </row>
    <row r="96">
      <c r="B96" s="1087"/>
      <c r="D96" s="1057"/>
      <c r="F96" s="1057"/>
    </row>
    <row r="97">
      <c r="B97" s="1087"/>
      <c r="D97" s="1057"/>
      <c r="F97" s="1057"/>
    </row>
    <row r="98">
      <c r="B98" s="1087"/>
      <c r="D98" s="1057"/>
      <c r="F98" s="1057"/>
    </row>
    <row r="99">
      <c r="B99" s="1087"/>
      <c r="D99" s="1057"/>
      <c r="F99" s="1057"/>
    </row>
    <row r="100">
      <c r="B100" s="1087"/>
      <c r="D100" s="1057"/>
      <c r="F100" s="1057"/>
    </row>
    <row r="101">
      <c r="B101" s="1087"/>
      <c r="D101" s="1057"/>
      <c r="F101" s="1057"/>
    </row>
    <row r="102">
      <c r="B102" s="1087"/>
      <c r="D102" s="1057"/>
      <c r="F102" s="1057"/>
    </row>
    <row r="103">
      <c r="B103" s="1087"/>
      <c r="D103" s="1057"/>
      <c r="F103" s="1057"/>
    </row>
    <row r="104">
      <c r="B104" s="1087"/>
      <c r="D104" s="1057"/>
      <c r="F104" s="1057"/>
    </row>
    <row r="105">
      <c r="B105" s="1087"/>
      <c r="D105" s="1057"/>
      <c r="F105" s="1057"/>
    </row>
    <row r="106">
      <c r="B106" s="1087"/>
      <c r="D106" s="1057"/>
      <c r="F106" s="1057"/>
    </row>
    <row r="107">
      <c r="B107" s="1087"/>
      <c r="D107" s="1057"/>
      <c r="F107" s="1057"/>
    </row>
    <row r="108">
      <c r="B108" s="1087"/>
      <c r="D108" s="1057"/>
      <c r="F108" s="1057"/>
    </row>
    <row r="109">
      <c r="B109" s="1087"/>
      <c r="D109" s="1057"/>
      <c r="F109" s="1057"/>
    </row>
    <row r="110">
      <c r="B110" s="1087"/>
      <c r="D110" s="1057"/>
      <c r="F110" s="1057"/>
    </row>
    <row r="111">
      <c r="B111" s="1087"/>
      <c r="D111" s="1057"/>
      <c r="F111" s="1057"/>
    </row>
    <row r="112">
      <c r="B112" s="1087"/>
      <c r="D112" s="1057"/>
      <c r="F112" s="1057"/>
    </row>
    <row r="113">
      <c r="B113" s="1087"/>
      <c r="D113" s="1057"/>
      <c r="F113" s="1057"/>
    </row>
    <row r="114">
      <c r="B114" s="1087"/>
      <c r="D114" s="1057"/>
      <c r="F114" s="1057"/>
    </row>
    <row r="115">
      <c r="B115" s="1087"/>
      <c r="D115" s="1057"/>
      <c r="F115" s="1057"/>
    </row>
    <row r="116">
      <c r="B116" s="1087"/>
      <c r="D116" s="1057"/>
      <c r="F116" s="1057"/>
    </row>
    <row r="117">
      <c r="B117" s="1087"/>
      <c r="D117" s="1057"/>
      <c r="F117" s="1057"/>
    </row>
    <row r="118">
      <c r="B118" s="1087"/>
      <c r="D118" s="1057"/>
      <c r="F118" s="1057"/>
    </row>
    <row r="119">
      <c r="B119" s="1087"/>
      <c r="D119" s="1057"/>
      <c r="F119" s="1057"/>
    </row>
    <row r="120">
      <c r="B120" s="1087"/>
      <c r="D120" s="1057"/>
      <c r="F120" s="1057"/>
    </row>
    <row r="121">
      <c r="B121" s="1087"/>
      <c r="D121" s="1057"/>
      <c r="F121" s="1057"/>
    </row>
    <row r="122">
      <c r="B122" s="1087"/>
      <c r="D122" s="1057"/>
      <c r="F122" s="1057"/>
    </row>
    <row r="123">
      <c r="B123" s="1087"/>
      <c r="D123" s="1057"/>
      <c r="F123" s="1057"/>
    </row>
    <row r="124">
      <c r="B124" s="1087"/>
      <c r="D124" s="1057"/>
      <c r="F124" s="1057"/>
    </row>
    <row r="125">
      <c r="B125" s="1087"/>
      <c r="D125" s="1057"/>
      <c r="F125" s="1057"/>
    </row>
    <row r="126">
      <c r="B126" s="1087"/>
      <c r="D126" s="1057"/>
      <c r="F126" s="1057"/>
    </row>
    <row r="127">
      <c r="B127" s="1087"/>
      <c r="D127" s="1057"/>
      <c r="F127" s="1057"/>
    </row>
    <row r="128">
      <c r="B128" s="1087"/>
      <c r="D128" s="1057"/>
      <c r="F128" s="1057"/>
    </row>
    <row r="129">
      <c r="B129" s="1087"/>
      <c r="D129" s="1057"/>
      <c r="F129" s="1057"/>
    </row>
    <row r="130">
      <c r="B130" s="1087"/>
      <c r="D130" s="1057"/>
      <c r="F130" s="1057"/>
    </row>
    <row r="131">
      <c r="B131" s="1087"/>
      <c r="D131" s="1057"/>
      <c r="F131" s="1057"/>
    </row>
    <row r="132">
      <c r="B132" s="1087"/>
      <c r="D132" s="1057"/>
      <c r="F132" s="1057"/>
    </row>
    <row r="133">
      <c r="B133" s="1087"/>
      <c r="D133" s="1057"/>
      <c r="F133" s="1057"/>
    </row>
    <row r="134">
      <c r="B134" s="1087"/>
      <c r="D134" s="1057"/>
      <c r="F134" s="1057"/>
    </row>
    <row r="135">
      <c r="B135" s="1087"/>
      <c r="D135" s="1057"/>
      <c r="F135" s="1057"/>
    </row>
    <row r="136">
      <c r="B136" s="1087"/>
      <c r="D136" s="1057"/>
      <c r="F136" s="1057"/>
    </row>
    <row r="137">
      <c r="B137" s="1087"/>
      <c r="D137" s="1057"/>
      <c r="F137" s="1057"/>
    </row>
    <row r="138">
      <c r="B138" s="1087"/>
      <c r="D138" s="1057"/>
      <c r="F138" s="1057"/>
    </row>
    <row r="139">
      <c r="B139" s="1087"/>
      <c r="D139" s="1057"/>
      <c r="F139" s="1057"/>
    </row>
    <row r="140">
      <c r="B140" s="1087"/>
      <c r="D140" s="1057"/>
      <c r="F140" s="1057"/>
    </row>
    <row r="141">
      <c r="B141" s="1087"/>
      <c r="D141" s="1057"/>
      <c r="F141" s="1057"/>
    </row>
    <row r="142">
      <c r="B142" s="1087"/>
      <c r="D142" s="1057"/>
      <c r="F142" s="1057"/>
    </row>
    <row r="143">
      <c r="B143" s="1087"/>
      <c r="D143" s="1057"/>
      <c r="F143" s="1057"/>
    </row>
    <row r="144">
      <c r="B144" s="1087"/>
      <c r="D144" s="1057"/>
      <c r="F144" s="1057"/>
    </row>
    <row r="145">
      <c r="B145" s="1087"/>
      <c r="D145" s="1057"/>
      <c r="F145" s="1057"/>
    </row>
    <row r="146">
      <c r="B146" s="1087"/>
      <c r="D146" s="1057"/>
      <c r="F146" s="1057"/>
    </row>
    <row r="147">
      <c r="B147" s="1087"/>
      <c r="D147" s="1057"/>
      <c r="F147" s="1057"/>
    </row>
    <row r="148">
      <c r="B148" s="1087"/>
      <c r="D148" s="1057"/>
      <c r="F148" s="1057"/>
    </row>
    <row r="149">
      <c r="B149" s="1087"/>
      <c r="D149" s="1057"/>
      <c r="F149" s="1057"/>
    </row>
    <row r="150">
      <c r="B150" s="1087"/>
      <c r="D150" s="1057"/>
      <c r="F150" s="1057"/>
    </row>
    <row r="151">
      <c r="B151" s="1087"/>
      <c r="D151" s="1057"/>
      <c r="F151" s="1057"/>
    </row>
    <row r="152">
      <c r="B152" s="1087"/>
      <c r="D152" s="1057"/>
      <c r="F152" s="1057"/>
    </row>
    <row r="153">
      <c r="B153" s="1087"/>
      <c r="D153" s="1057"/>
      <c r="F153" s="1057"/>
    </row>
    <row r="154">
      <c r="B154" s="1087"/>
      <c r="D154" s="1057"/>
      <c r="F154" s="1057"/>
    </row>
    <row r="155">
      <c r="B155" s="1087"/>
      <c r="D155" s="1057"/>
      <c r="F155" s="1057"/>
    </row>
    <row r="156">
      <c r="B156" s="1087"/>
      <c r="D156" s="1057"/>
      <c r="F156" s="1057"/>
    </row>
    <row r="157">
      <c r="B157" s="1087"/>
      <c r="D157" s="1057"/>
      <c r="F157" s="1057"/>
    </row>
    <row r="158">
      <c r="B158" s="1087"/>
      <c r="D158" s="1057"/>
      <c r="F158" s="1057"/>
    </row>
    <row r="159">
      <c r="B159" s="1087"/>
      <c r="D159" s="1057"/>
      <c r="F159" s="1057"/>
    </row>
    <row r="160">
      <c r="B160" s="1087"/>
      <c r="D160" s="1057"/>
      <c r="F160" s="1057"/>
    </row>
    <row r="161">
      <c r="B161" s="1087"/>
      <c r="D161" s="1057"/>
      <c r="F161" s="1057"/>
    </row>
    <row r="162">
      <c r="B162" s="1087"/>
      <c r="D162" s="1057"/>
      <c r="F162" s="1057"/>
    </row>
    <row r="163">
      <c r="B163" s="1087"/>
      <c r="D163" s="1057"/>
      <c r="F163" s="1057"/>
    </row>
    <row r="164">
      <c r="B164" s="1087"/>
      <c r="D164" s="1057"/>
      <c r="F164" s="1057"/>
    </row>
    <row r="165">
      <c r="B165" s="1087"/>
      <c r="D165" s="1057"/>
      <c r="F165" s="1057"/>
    </row>
    <row r="166">
      <c r="B166" s="1087"/>
      <c r="D166" s="1057"/>
      <c r="F166" s="1057"/>
    </row>
    <row r="167">
      <c r="B167" s="1087"/>
      <c r="D167" s="1057"/>
      <c r="F167" s="1057"/>
    </row>
    <row r="168">
      <c r="B168" s="1087"/>
      <c r="D168" s="1057"/>
      <c r="F168" s="1057"/>
    </row>
    <row r="169">
      <c r="B169" s="1087"/>
      <c r="D169" s="1057"/>
      <c r="F169" s="1057"/>
    </row>
    <row r="170">
      <c r="B170" s="1087"/>
      <c r="D170" s="1057"/>
      <c r="F170" s="1057"/>
    </row>
    <row r="171">
      <c r="B171" s="1087"/>
      <c r="D171" s="1057"/>
      <c r="F171" s="1057"/>
    </row>
    <row r="172">
      <c r="B172" s="1087"/>
      <c r="D172" s="1057"/>
      <c r="F172" s="1057"/>
    </row>
    <row r="173">
      <c r="B173" s="1087"/>
      <c r="D173" s="1057"/>
      <c r="F173" s="1057"/>
    </row>
    <row r="174">
      <c r="B174" s="1087"/>
      <c r="D174" s="1057"/>
      <c r="F174" s="1057"/>
    </row>
    <row r="175">
      <c r="B175" s="1087"/>
      <c r="D175" s="1057"/>
      <c r="F175" s="1057"/>
    </row>
    <row r="176">
      <c r="B176" s="1087"/>
      <c r="D176" s="1057"/>
      <c r="F176" s="1057"/>
    </row>
    <row r="177">
      <c r="B177" s="1087"/>
      <c r="D177" s="1057"/>
      <c r="F177" s="1057"/>
    </row>
    <row r="178">
      <c r="B178" s="1087"/>
      <c r="D178" s="1057"/>
      <c r="F178" s="1057"/>
    </row>
    <row r="179">
      <c r="B179" s="1087"/>
      <c r="D179" s="1057"/>
      <c r="F179" s="1057"/>
    </row>
    <row r="180">
      <c r="B180" s="1087"/>
      <c r="D180" s="1057"/>
      <c r="F180" s="1057"/>
    </row>
    <row r="181">
      <c r="B181" s="1087"/>
      <c r="D181" s="1057"/>
      <c r="F181" s="1057"/>
    </row>
    <row r="182">
      <c r="B182" s="1087"/>
      <c r="D182" s="1057"/>
      <c r="F182" s="1057"/>
    </row>
    <row r="183">
      <c r="B183" s="1087"/>
      <c r="D183" s="1057"/>
      <c r="F183" s="1057"/>
    </row>
    <row r="184">
      <c r="B184" s="1087"/>
      <c r="D184" s="1057"/>
      <c r="F184" s="1057"/>
    </row>
    <row r="185">
      <c r="B185" s="1087"/>
      <c r="D185" s="1057"/>
      <c r="F185" s="1057"/>
    </row>
    <row r="186">
      <c r="B186" s="1087"/>
      <c r="D186" s="1057"/>
      <c r="F186" s="1057"/>
    </row>
    <row r="187">
      <c r="B187" s="1087"/>
      <c r="D187" s="1057"/>
      <c r="F187" s="1057"/>
    </row>
    <row r="188">
      <c r="B188" s="1087"/>
      <c r="D188" s="1057"/>
      <c r="F188" s="1057"/>
    </row>
    <row r="189">
      <c r="B189" s="1087"/>
      <c r="D189" s="1057"/>
      <c r="F189" s="1057"/>
    </row>
    <row r="190">
      <c r="B190" s="1087"/>
      <c r="D190" s="1057"/>
      <c r="F190" s="1057"/>
    </row>
    <row r="191">
      <c r="B191" s="1087"/>
      <c r="D191" s="1057"/>
      <c r="F191" s="1057"/>
    </row>
    <row r="192">
      <c r="B192" s="1087"/>
      <c r="D192" s="1057"/>
      <c r="F192" s="1057"/>
    </row>
    <row r="193">
      <c r="B193" s="1087"/>
      <c r="D193" s="1057"/>
      <c r="F193" s="1057"/>
    </row>
    <row r="194">
      <c r="B194" s="1087"/>
      <c r="D194" s="1057"/>
      <c r="F194" s="1057"/>
    </row>
    <row r="195">
      <c r="B195" s="1087"/>
      <c r="D195" s="1057"/>
      <c r="F195" s="1057"/>
    </row>
    <row r="196">
      <c r="B196" s="1087"/>
      <c r="D196" s="1057"/>
      <c r="F196" s="1057"/>
    </row>
    <row r="197">
      <c r="B197" s="1087"/>
      <c r="D197" s="1057"/>
      <c r="F197" s="1057"/>
    </row>
    <row r="198">
      <c r="B198" s="1087"/>
      <c r="D198" s="1057"/>
      <c r="F198" s="1057"/>
    </row>
    <row r="199">
      <c r="B199" s="1087"/>
      <c r="D199" s="1057"/>
      <c r="F199" s="1057"/>
    </row>
    <row r="200">
      <c r="B200" s="1087"/>
      <c r="D200" s="1057"/>
      <c r="F200" s="1057"/>
    </row>
    <row r="201">
      <c r="B201" s="1087"/>
      <c r="D201" s="1057"/>
      <c r="F201" s="1057"/>
    </row>
    <row r="202">
      <c r="B202" s="1087"/>
      <c r="D202" s="1057"/>
      <c r="F202" s="1057"/>
    </row>
    <row r="203">
      <c r="B203" s="1087"/>
      <c r="D203" s="1057"/>
      <c r="F203" s="1057"/>
    </row>
    <row r="204">
      <c r="B204" s="1087"/>
      <c r="D204" s="1057"/>
      <c r="F204" s="1057"/>
    </row>
    <row r="205">
      <c r="B205" s="1087"/>
      <c r="D205" s="1057"/>
      <c r="F205" s="1057"/>
    </row>
    <row r="206">
      <c r="B206" s="1087"/>
      <c r="D206" s="1057"/>
      <c r="F206" s="1057"/>
    </row>
    <row r="207">
      <c r="B207" s="1087"/>
      <c r="D207" s="1057"/>
      <c r="F207" s="1057"/>
    </row>
    <row r="208">
      <c r="B208" s="1087"/>
      <c r="D208" s="1057"/>
      <c r="F208" s="1057"/>
    </row>
    <row r="209">
      <c r="B209" s="1087"/>
      <c r="D209" s="1057"/>
      <c r="F209" s="1057"/>
    </row>
    <row r="210">
      <c r="B210" s="1087"/>
      <c r="D210" s="1057"/>
      <c r="F210" s="1057"/>
    </row>
    <row r="211">
      <c r="B211" s="1087"/>
      <c r="D211" s="1057"/>
      <c r="F211" s="1057"/>
    </row>
    <row r="212">
      <c r="B212" s="1087"/>
      <c r="D212" s="1057"/>
      <c r="F212" s="1057"/>
    </row>
    <row r="213">
      <c r="B213" s="1087"/>
      <c r="D213" s="1057"/>
      <c r="F213" s="1057"/>
    </row>
    <row r="214">
      <c r="B214" s="1087"/>
      <c r="D214" s="1057"/>
      <c r="F214" s="1057"/>
    </row>
    <row r="215">
      <c r="B215" s="1087"/>
      <c r="D215" s="1057"/>
      <c r="F215" s="1057"/>
    </row>
    <row r="216">
      <c r="B216" s="1087"/>
      <c r="D216" s="1057"/>
      <c r="F216" s="1057"/>
    </row>
    <row r="217">
      <c r="B217" s="1087"/>
      <c r="D217" s="1057"/>
      <c r="F217" s="1057"/>
    </row>
    <row r="218">
      <c r="B218" s="1087"/>
      <c r="D218" s="1057"/>
      <c r="F218" s="1057"/>
    </row>
    <row r="219">
      <c r="B219" s="1087"/>
      <c r="D219" s="1057"/>
      <c r="F219" s="1057"/>
    </row>
    <row r="220">
      <c r="B220" s="1087"/>
      <c r="D220" s="1057"/>
      <c r="F220" s="1057"/>
    </row>
    <row r="221">
      <c r="B221" s="1087"/>
      <c r="D221" s="1057"/>
      <c r="F221" s="1057"/>
    </row>
    <row r="222">
      <c r="B222" s="1087"/>
      <c r="D222" s="1057"/>
      <c r="F222" s="1057"/>
    </row>
    <row r="223">
      <c r="B223" s="1087"/>
      <c r="D223" s="1057"/>
      <c r="F223" s="1057"/>
    </row>
    <row r="224">
      <c r="B224" s="1087"/>
      <c r="D224" s="1057"/>
      <c r="F224" s="1057"/>
    </row>
    <row r="225">
      <c r="B225" s="1087"/>
      <c r="D225" s="1057"/>
      <c r="F225" s="1057"/>
    </row>
    <row r="226">
      <c r="B226" s="1087"/>
      <c r="D226" s="1057"/>
      <c r="F226" s="1057"/>
    </row>
    <row r="227">
      <c r="B227" s="1087"/>
      <c r="D227" s="1057"/>
      <c r="F227" s="1057"/>
    </row>
    <row r="228">
      <c r="B228" s="1087"/>
      <c r="D228" s="1057"/>
      <c r="F228" s="1057"/>
    </row>
    <row r="229">
      <c r="B229" s="1087"/>
      <c r="D229" s="1057"/>
      <c r="F229" s="1057"/>
    </row>
    <row r="230">
      <c r="B230" s="1087"/>
      <c r="D230" s="1057"/>
      <c r="F230" s="1057"/>
    </row>
    <row r="231">
      <c r="B231" s="1087"/>
      <c r="D231" s="1057"/>
      <c r="F231" s="1057"/>
    </row>
    <row r="232">
      <c r="B232" s="1087"/>
      <c r="D232" s="1057"/>
      <c r="F232" s="1057"/>
    </row>
    <row r="233">
      <c r="B233" s="1087"/>
      <c r="D233" s="1057"/>
      <c r="F233" s="1057"/>
    </row>
    <row r="234">
      <c r="B234" s="1087"/>
      <c r="D234" s="1057"/>
      <c r="F234" s="1057"/>
    </row>
    <row r="235">
      <c r="B235" s="1087"/>
      <c r="D235" s="1057"/>
      <c r="F235" s="1057"/>
    </row>
    <row r="236">
      <c r="B236" s="1087"/>
      <c r="D236" s="1057"/>
      <c r="F236" s="1057"/>
    </row>
    <row r="237">
      <c r="B237" s="1087"/>
      <c r="D237" s="1057"/>
      <c r="F237" s="1057"/>
    </row>
    <row r="238">
      <c r="B238" s="1087"/>
      <c r="D238" s="1057"/>
      <c r="F238" s="1057"/>
    </row>
    <row r="239">
      <c r="B239" s="1087"/>
      <c r="D239" s="1057"/>
      <c r="F239" s="1057"/>
    </row>
    <row r="240">
      <c r="B240" s="1087"/>
      <c r="D240" s="1057"/>
      <c r="F240" s="1057"/>
    </row>
    <row r="241">
      <c r="B241" s="1087"/>
      <c r="D241" s="1057"/>
      <c r="F241" s="1057"/>
    </row>
    <row r="242">
      <c r="B242" s="1087"/>
      <c r="D242" s="1057"/>
      <c r="F242" s="1057"/>
    </row>
    <row r="243">
      <c r="B243" s="1087"/>
      <c r="D243" s="1057"/>
      <c r="F243" s="1057"/>
    </row>
    <row r="244">
      <c r="B244" s="1087"/>
      <c r="D244" s="1057"/>
      <c r="F244" s="1057"/>
    </row>
    <row r="245">
      <c r="B245" s="1087"/>
      <c r="D245" s="1057"/>
      <c r="F245" s="1057"/>
    </row>
    <row r="246">
      <c r="B246" s="1087"/>
      <c r="D246" s="1057"/>
      <c r="F246" s="1057"/>
    </row>
    <row r="247">
      <c r="B247" s="1087"/>
      <c r="D247" s="1057"/>
      <c r="F247" s="1057"/>
    </row>
    <row r="248">
      <c r="B248" s="1087"/>
      <c r="D248" s="1057"/>
      <c r="F248" s="1057"/>
    </row>
    <row r="249">
      <c r="B249" s="1087"/>
      <c r="D249" s="1057"/>
      <c r="F249" s="1057"/>
    </row>
    <row r="250">
      <c r="B250" s="1087"/>
      <c r="D250" s="1057"/>
      <c r="F250" s="1057"/>
    </row>
    <row r="251">
      <c r="B251" s="1087"/>
      <c r="D251" s="1057"/>
      <c r="F251" s="1057"/>
    </row>
    <row r="252">
      <c r="B252" s="1087"/>
      <c r="D252" s="1057"/>
      <c r="F252" s="1057"/>
    </row>
    <row r="253">
      <c r="B253" s="1087"/>
      <c r="D253" s="1057"/>
      <c r="F253" s="1057"/>
    </row>
    <row r="254">
      <c r="B254" s="1087"/>
      <c r="D254" s="1057"/>
      <c r="F254" s="1057"/>
    </row>
    <row r="255">
      <c r="B255" s="1087"/>
      <c r="D255" s="1057"/>
      <c r="F255" s="1057"/>
    </row>
    <row r="256">
      <c r="B256" s="1087"/>
      <c r="D256" s="1057"/>
      <c r="F256" s="1057"/>
    </row>
    <row r="257">
      <c r="B257" s="1087"/>
      <c r="D257" s="1057"/>
      <c r="F257" s="1057"/>
    </row>
    <row r="258">
      <c r="B258" s="1087"/>
      <c r="D258" s="1057"/>
      <c r="F258" s="1057"/>
    </row>
    <row r="259">
      <c r="B259" s="1087"/>
      <c r="D259" s="1057"/>
      <c r="F259" s="1057"/>
    </row>
    <row r="260">
      <c r="B260" s="1087"/>
      <c r="D260" s="1057"/>
      <c r="F260" s="1057"/>
    </row>
    <row r="261">
      <c r="B261" s="1087"/>
      <c r="D261" s="1057"/>
      <c r="F261" s="1057"/>
    </row>
    <row r="262">
      <c r="B262" s="1087"/>
      <c r="D262" s="1057"/>
      <c r="F262" s="1057"/>
    </row>
    <row r="263">
      <c r="B263" s="1087"/>
      <c r="D263" s="1057"/>
      <c r="F263" s="1057"/>
    </row>
    <row r="264">
      <c r="B264" s="1087"/>
      <c r="D264" s="1057"/>
      <c r="F264" s="1057"/>
    </row>
    <row r="265">
      <c r="B265" s="1087"/>
      <c r="D265" s="1057"/>
      <c r="F265" s="1057"/>
    </row>
    <row r="266">
      <c r="B266" s="1087"/>
      <c r="D266" s="1057"/>
      <c r="F266" s="1057"/>
    </row>
    <row r="267">
      <c r="B267" s="1087"/>
      <c r="D267" s="1057"/>
      <c r="F267" s="1057"/>
    </row>
    <row r="268">
      <c r="B268" s="1087"/>
      <c r="D268" s="1057"/>
      <c r="F268" s="1057"/>
    </row>
    <row r="269">
      <c r="B269" s="1087"/>
      <c r="D269" s="1057"/>
      <c r="F269" s="1057"/>
    </row>
    <row r="270">
      <c r="B270" s="1087"/>
      <c r="D270" s="1057"/>
      <c r="F270" s="1057"/>
    </row>
    <row r="271">
      <c r="B271" s="1087"/>
      <c r="D271" s="1057"/>
      <c r="F271" s="1057"/>
    </row>
    <row r="272">
      <c r="B272" s="1087"/>
      <c r="D272" s="1057"/>
      <c r="F272" s="1057"/>
    </row>
    <row r="273">
      <c r="B273" s="1087"/>
      <c r="D273" s="1057"/>
      <c r="F273" s="1057"/>
    </row>
    <row r="274">
      <c r="B274" s="1087"/>
      <c r="D274" s="1057"/>
      <c r="F274" s="1057"/>
    </row>
    <row r="275">
      <c r="B275" s="1087"/>
      <c r="D275" s="1057"/>
      <c r="F275" s="1057"/>
    </row>
    <row r="276">
      <c r="B276" s="1087"/>
      <c r="D276" s="1057"/>
      <c r="F276" s="1057"/>
    </row>
    <row r="277">
      <c r="B277" s="1087"/>
      <c r="D277" s="1057"/>
      <c r="F277" s="1057"/>
    </row>
    <row r="278">
      <c r="B278" s="1087"/>
      <c r="D278" s="1057"/>
      <c r="F278" s="1057"/>
    </row>
    <row r="279">
      <c r="B279" s="1087"/>
      <c r="D279" s="1057"/>
      <c r="F279" s="1057"/>
    </row>
    <row r="280">
      <c r="B280" s="1087"/>
      <c r="D280" s="1057"/>
      <c r="F280" s="1057"/>
    </row>
    <row r="281">
      <c r="B281" s="1087"/>
      <c r="D281" s="1057"/>
      <c r="F281" s="1057"/>
    </row>
    <row r="282">
      <c r="B282" s="1087"/>
      <c r="D282" s="1057"/>
      <c r="F282" s="1057"/>
    </row>
    <row r="283">
      <c r="B283" s="1087"/>
      <c r="D283" s="1057"/>
      <c r="F283" s="1057"/>
    </row>
    <row r="284">
      <c r="B284" s="1087"/>
      <c r="D284" s="1057"/>
      <c r="F284" s="1057"/>
    </row>
    <row r="285">
      <c r="B285" s="1087"/>
      <c r="D285" s="1057"/>
      <c r="F285" s="1057"/>
    </row>
    <row r="286">
      <c r="B286" s="1087"/>
      <c r="D286" s="1057"/>
      <c r="F286" s="1057"/>
    </row>
    <row r="287">
      <c r="B287" s="1087"/>
      <c r="D287" s="1057"/>
      <c r="F287" s="1057"/>
    </row>
    <row r="288">
      <c r="B288" s="1087"/>
      <c r="D288" s="1057"/>
      <c r="F288" s="1057"/>
    </row>
    <row r="289">
      <c r="B289" s="1087"/>
      <c r="D289" s="1057"/>
      <c r="F289" s="1057"/>
    </row>
    <row r="290">
      <c r="B290" s="1087"/>
      <c r="D290" s="1057"/>
      <c r="F290" s="1057"/>
    </row>
    <row r="291">
      <c r="B291" s="1087"/>
      <c r="D291" s="1057"/>
      <c r="F291" s="1057"/>
    </row>
    <row r="292">
      <c r="B292" s="1087"/>
      <c r="D292" s="1057"/>
      <c r="F292" s="1057"/>
    </row>
    <row r="293">
      <c r="B293" s="1087"/>
      <c r="D293" s="1057"/>
      <c r="F293" s="1057"/>
    </row>
    <row r="294">
      <c r="B294" s="1087"/>
      <c r="D294" s="1057"/>
      <c r="F294" s="1057"/>
    </row>
    <row r="295">
      <c r="B295" s="1087"/>
      <c r="D295" s="1057"/>
      <c r="F295" s="1057"/>
    </row>
    <row r="296">
      <c r="B296" s="1087"/>
      <c r="D296" s="1057"/>
      <c r="F296" s="1057"/>
    </row>
    <row r="297">
      <c r="B297" s="1087"/>
      <c r="D297" s="1057"/>
      <c r="F297" s="1057"/>
    </row>
    <row r="298">
      <c r="B298" s="1087"/>
      <c r="D298" s="1057"/>
      <c r="F298" s="1057"/>
    </row>
    <row r="299">
      <c r="B299" s="1087"/>
      <c r="D299" s="1057"/>
      <c r="F299" s="1057"/>
    </row>
    <row r="300">
      <c r="B300" s="1087"/>
      <c r="D300" s="1057"/>
      <c r="F300" s="1057"/>
    </row>
    <row r="301">
      <c r="B301" s="1087"/>
      <c r="D301" s="1057"/>
      <c r="F301" s="1057"/>
    </row>
    <row r="302">
      <c r="B302" s="1087"/>
      <c r="D302" s="1057"/>
      <c r="F302" s="1057"/>
    </row>
    <row r="303">
      <c r="B303" s="1087"/>
      <c r="D303" s="1057"/>
      <c r="F303" s="1057"/>
    </row>
    <row r="304">
      <c r="B304" s="1087"/>
      <c r="D304" s="1057"/>
      <c r="F304" s="1057"/>
    </row>
    <row r="305">
      <c r="B305" s="1087"/>
      <c r="D305" s="1057"/>
      <c r="F305" s="1057"/>
    </row>
    <row r="306">
      <c r="B306" s="1087"/>
      <c r="D306" s="1057"/>
      <c r="F306" s="1057"/>
    </row>
    <row r="307">
      <c r="B307" s="1087"/>
      <c r="D307" s="1057"/>
      <c r="F307" s="1057"/>
    </row>
    <row r="308">
      <c r="B308" s="1087"/>
      <c r="D308" s="1057"/>
      <c r="F308" s="1057"/>
    </row>
    <row r="309">
      <c r="B309" s="1087"/>
      <c r="D309" s="1057"/>
      <c r="F309" s="1057"/>
    </row>
    <row r="310">
      <c r="B310" s="1087"/>
      <c r="D310" s="1057"/>
      <c r="F310" s="1057"/>
    </row>
    <row r="311">
      <c r="B311" s="1087"/>
      <c r="D311" s="1057"/>
      <c r="F311" s="1057"/>
    </row>
    <row r="312">
      <c r="B312" s="1087"/>
      <c r="D312" s="1057"/>
      <c r="F312" s="1057"/>
    </row>
    <row r="313">
      <c r="B313" s="1087"/>
      <c r="D313" s="1057"/>
      <c r="F313" s="1057"/>
    </row>
    <row r="314">
      <c r="B314" s="1087"/>
      <c r="D314" s="1057"/>
      <c r="F314" s="1057"/>
    </row>
    <row r="315">
      <c r="B315" s="1087"/>
      <c r="D315" s="1057"/>
      <c r="F315" s="1057"/>
    </row>
    <row r="316">
      <c r="B316" s="1087"/>
      <c r="D316" s="1057"/>
      <c r="F316" s="1057"/>
    </row>
    <row r="317">
      <c r="B317" s="1087"/>
      <c r="D317" s="1057"/>
      <c r="F317" s="1057"/>
    </row>
    <row r="318">
      <c r="B318" s="1087"/>
      <c r="D318" s="1057"/>
      <c r="F318" s="1057"/>
    </row>
    <row r="319">
      <c r="B319" s="1087"/>
      <c r="D319" s="1057"/>
      <c r="F319" s="1057"/>
    </row>
    <row r="320">
      <c r="B320" s="1087"/>
      <c r="D320" s="1057"/>
      <c r="F320" s="1057"/>
    </row>
    <row r="321">
      <c r="B321" s="1087"/>
      <c r="D321" s="1057"/>
      <c r="F321" s="1057"/>
    </row>
    <row r="322">
      <c r="B322" s="1087"/>
      <c r="D322" s="1057"/>
      <c r="F322" s="1057"/>
    </row>
    <row r="323">
      <c r="B323" s="1087"/>
      <c r="D323" s="1057"/>
      <c r="F323" s="1057"/>
    </row>
    <row r="324">
      <c r="B324" s="1087"/>
      <c r="D324" s="1057"/>
      <c r="F324" s="1057"/>
    </row>
    <row r="325">
      <c r="B325" s="1087"/>
      <c r="D325" s="1057"/>
      <c r="F325" s="1057"/>
    </row>
    <row r="326">
      <c r="B326" s="1087"/>
      <c r="D326" s="1057"/>
      <c r="F326" s="1057"/>
    </row>
    <row r="327">
      <c r="B327" s="1087"/>
      <c r="D327" s="1057"/>
      <c r="F327" s="1057"/>
    </row>
    <row r="328">
      <c r="B328" s="1087"/>
      <c r="D328" s="1057"/>
      <c r="F328" s="1057"/>
    </row>
    <row r="329">
      <c r="B329" s="1087"/>
      <c r="D329" s="1057"/>
      <c r="F329" s="1057"/>
    </row>
    <row r="330">
      <c r="B330" s="1087"/>
      <c r="D330" s="1057"/>
      <c r="F330" s="1057"/>
    </row>
    <row r="331">
      <c r="B331" s="1087"/>
      <c r="D331" s="1057"/>
      <c r="F331" s="1057"/>
    </row>
    <row r="332">
      <c r="B332" s="1087"/>
      <c r="D332" s="1057"/>
      <c r="F332" s="1057"/>
    </row>
    <row r="333">
      <c r="B333" s="1087"/>
      <c r="D333" s="1057"/>
      <c r="F333" s="1057"/>
    </row>
    <row r="334">
      <c r="B334" s="1087"/>
      <c r="D334" s="1057"/>
      <c r="F334" s="1057"/>
    </row>
    <row r="335">
      <c r="B335" s="1087"/>
      <c r="D335" s="1057"/>
      <c r="F335" s="1057"/>
    </row>
    <row r="336">
      <c r="B336" s="1087"/>
      <c r="D336" s="1057"/>
      <c r="F336" s="1057"/>
    </row>
    <row r="337">
      <c r="B337" s="1087"/>
      <c r="D337" s="1057"/>
      <c r="F337" s="1057"/>
    </row>
    <row r="338">
      <c r="B338" s="1087"/>
      <c r="D338" s="1057"/>
      <c r="F338" s="1057"/>
    </row>
    <row r="339">
      <c r="B339" s="1087"/>
      <c r="D339" s="1057"/>
      <c r="F339" s="1057"/>
    </row>
    <row r="340">
      <c r="B340" s="1087"/>
      <c r="D340" s="1057"/>
      <c r="F340" s="1057"/>
    </row>
    <row r="341">
      <c r="B341" s="1087"/>
      <c r="D341" s="1057"/>
      <c r="F341" s="1057"/>
    </row>
    <row r="342">
      <c r="B342" s="1087"/>
      <c r="D342" s="1057"/>
      <c r="F342" s="1057"/>
    </row>
    <row r="343">
      <c r="B343" s="1087"/>
      <c r="D343" s="1057"/>
      <c r="F343" s="1057"/>
    </row>
    <row r="344">
      <c r="B344" s="1087"/>
      <c r="D344" s="1057"/>
      <c r="F344" s="1057"/>
    </row>
    <row r="345">
      <c r="B345" s="1087"/>
      <c r="D345" s="1057"/>
      <c r="F345" s="1057"/>
    </row>
    <row r="346">
      <c r="B346" s="1087"/>
      <c r="D346" s="1057"/>
      <c r="F346" s="1057"/>
    </row>
    <row r="347">
      <c r="B347" s="1087"/>
      <c r="D347" s="1057"/>
      <c r="F347" s="1057"/>
    </row>
    <row r="348">
      <c r="B348" s="1087"/>
      <c r="D348" s="1057"/>
      <c r="F348" s="1057"/>
    </row>
    <row r="349">
      <c r="B349" s="1087"/>
      <c r="D349" s="1057"/>
      <c r="F349" s="1057"/>
    </row>
    <row r="350">
      <c r="B350" s="1087"/>
      <c r="D350" s="1057"/>
      <c r="F350" s="1057"/>
    </row>
    <row r="351">
      <c r="B351" s="1087"/>
      <c r="D351" s="1057"/>
      <c r="F351" s="1057"/>
    </row>
    <row r="352">
      <c r="B352" s="1087"/>
      <c r="D352" s="1057"/>
      <c r="F352" s="1057"/>
    </row>
    <row r="353">
      <c r="B353" s="1087"/>
      <c r="D353" s="1057"/>
      <c r="F353" s="1057"/>
    </row>
    <row r="354">
      <c r="B354" s="1087"/>
      <c r="D354" s="1057"/>
      <c r="F354" s="1057"/>
    </row>
    <row r="355">
      <c r="B355" s="1087"/>
      <c r="D355" s="1057"/>
      <c r="F355" s="1057"/>
    </row>
    <row r="356">
      <c r="B356" s="1087"/>
      <c r="D356" s="1057"/>
      <c r="F356" s="1057"/>
    </row>
    <row r="357">
      <c r="B357" s="1087"/>
      <c r="D357" s="1057"/>
      <c r="F357" s="1057"/>
    </row>
    <row r="358">
      <c r="B358" s="1087"/>
      <c r="D358" s="1057"/>
      <c r="F358" s="1057"/>
    </row>
    <row r="359">
      <c r="B359" s="1087"/>
      <c r="D359" s="1057"/>
      <c r="F359" s="1057"/>
    </row>
    <row r="360">
      <c r="B360" s="1087"/>
      <c r="D360" s="1057"/>
      <c r="F360" s="1057"/>
    </row>
    <row r="361">
      <c r="B361" s="1087"/>
      <c r="D361" s="1057"/>
      <c r="F361" s="1057"/>
    </row>
    <row r="362">
      <c r="B362" s="1087"/>
      <c r="D362" s="1057"/>
      <c r="F362" s="1057"/>
    </row>
    <row r="363">
      <c r="B363" s="1087"/>
      <c r="D363" s="1057"/>
      <c r="F363" s="1057"/>
    </row>
    <row r="364">
      <c r="B364" s="1087"/>
      <c r="D364" s="1057"/>
      <c r="F364" s="1057"/>
    </row>
    <row r="365">
      <c r="B365" s="1087"/>
      <c r="D365" s="1057"/>
      <c r="F365" s="1057"/>
    </row>
    <row r="366">
      <c r="B366" s="1087"/>
      <c r="D366" s="1057"/>
      <c r="F366" s="1057"/>
    </row>
    <row r="367">
      <c r="B367" s="1087"/>
      <c r="D367" s="1057"/>
      <c r="F367" s="1057"/>
    </row>
    <row r="368">
      <c r="B368" s="1087"/>
      <c r="D368" s="1057"/>
      <c r="F368" s="1057"/>
    </row>
    <row r="369">
      <c r="B369" s="1087"/>
      <c r="D369" s="1057"/>
      <c r="F369" s="1057"/>
    </row>
    <row r="370">
      <c r="B370" s="1087"/>
      <c r="D370" s="1057"/>
      <c r="F370" s="1057"/>
    </row>
    <row r="371">
      <c r="B371" s="1087"/>
      <c r="D371" s="1057"/>
      <c r="F371" s="1057"/>
    </row>
    <row r="372">
      <c r="B372" s="1087"/>
      <c r="D372" s="1057"/>
      <c r="F372" s="1057"/>
    </row>
    <row r="373">
      <c r="B373" s="1087"/>
      <c r="D373" s="1057"/>
      <c r="F373" s="1057"/>
    </row>
    <row r="374">
      <c r="B374" s="1087"/>
      <c r="D374" s="1057"/>
      <c r="F374" s="1057"/>
    </row>
    <row r="375">
      <c r="B375" s="1087"/>
      <c r="D375" s="1057"/>
      <c r="F375" s="1057"/>
    </row>
    <row r="376">
      <c r="B376" s="1087"/>
      <c r="D376" s="1057"/>
      <c r="F376" s="1057"/>
    </row>
    <row r="377">
      <c r="B377" s="1087"/>
      <c r="D377" s="1057"/>
      <c r="F377" s="1057"/>
    </row>
    <row r="378">
      <c r="B378" s="1087"/>
      <c r="D378" s="1057"/>
      <c r="F378" s="1057"/>
    </row>
    <row r="379">
      <c r="B379" s="1087"/>
      <c r="D379" s="1057"/>
      <c r="F379" s="1057"/>
    </row>
    <row r="380">
      <c r="B380" s="1087"/>
      <c r="D380" s="1057"/>
      <c r="F380" s="1057"/>
    </row>
    <row r="381">
      <c r="B381" s="1087"/>
      <c r="D381" s="1057"/>
      <c r="F381" s="1057"/>
    </row>
    <row r="382">
      <c r="B382" s="1087"/>
      <c r="D382" s="1057"/>
      <c r="F382" s="1057"/>
    </row>
    <row r="383">
      <c r="B383" s="1087"/>
      <c r="D383" s="1057"/>
      <c r="F383" s="1057"/>
    </row>
    <row r="384">
      <c r="B384" s="1087"/>
      <c r="D384" s="1057"/>
      <c r="F384" s="1057"/>
    </row>
    <row r="385">
      <c r="B385" s="1087"/>
      <c r="D385" s="1057"/>
      <c r="F385" s="1057"/>
    </row>
    <row r="386">
      <c r="B386" s="1087"/>
      <c r="D386" s="1057"/>
      <c r="F386" s="1057"/>
    </row>
    <row r="387">
      <c r="B387" s="1087"/>
      <c r="D387" s="1057"/>
      <c r="F387" s="1057"/>
    </row>
    <row r="388">
      <c r="B388" s="1087"/>
      <c r="D388" s="1057"/>
      <c r="F388" s="1057"/>
    </row>
    <row r="389">
      <c r="B389" s="1087"/>
      <c r="D389" s="1057"/>
      <c r="F389" s="1057"/>
    </row>
    <row r="390">
      <c r="B390" s="1087"/>
      <c r="D390" s="1057"/>
      <c r="F390" s="1057"/>
    </row>
    <row r="391">
      <c r="B391" s="1087"/>
      <c r="D391" s="1057"/>
      <c r="F391" s="1057"/>
    </row>
    <row r="392">
      <c r="B392" s="1087"/>
      <c r="D392" s="1057"/>
      <c r="F392" s="1057"/>
    </row>
    <row r="393">
      <c r="B393" s="1087"/>
      <c r="D393" s="1057"/>
      <c r="F393" s="1057"/>
    </row>
    <row r="394">
      <c r="B394" s="1087"/>
      <c r="D394" s="1057"/>
      <c r="F394" s="1057"/>
    </row>
    <row r="395">
      <c r="B395" s="1087"/>
      <c r="D395" s="1057"/>
      <c r="F395" s="1057"/>
    </row>
    <row r="396">
      <c r="B396" s="1087"/>
      <c r="D396" s="1057"/>
      <c r="F396" s="1057"/>
    </row>
    <row r="397">
      <c r="B397" s="1087"/>
      <c r="D397" s="1057"/>
      <c r="F397" s="1057"/>
    </row>
    <row r="398">
      <c r="B398" s="1087"/>
      <c r="D398" s="1057"/>
      <c r="F398" s="1057"/>
    </row>
    <row r="399">
      <c r="B399" s="1087"/>
      <c r="D399" s="1057"/>
      <c r="F399" s="1057"/>
    </row>
    <row r="400">
      <c r="B400" s="1087"/>
      <c r="D400" s="1057"/>
      <c r="F400" s="1057"/>
    </row>
    <row r="401">
      <c r="B401" s="1087"/>
      <c r="D401" s="1057"/>
      <c r="F401" s="1057"/>
    </row>
    <row r="402">
      <c r="B402" s="1087"/>
      <c r="D402" s="1057"/>
      <c r="F402" s="1057"/>
    </row>
    <row r="403">
      <c r="B403" s="1087"/>
      <c r="D403" s="1057"/>
      <c r="F403" s="1057"/>
    </row>
    <row r="404">
      <c r="B404" s="1087"/>
      <c r="D404" s="1057"/>
      <c r="F404" s="1057"/>
    </row>
    <row r="405">
      <c r="B405" s="1087"/>
      <c r="D405" s="1057"/>
      <c r="F405" s="1057"/>
    </row>
    <row r="406">
      <c r="B406" s="1087"/>
      <c r="D406" s="1057"/>
      <c r="F406" s="1057"/>
    </row>
    <row r="407">
      <c r="B407" s="1087"/>
      <c r="D407" s="1057"/>
      <c r="F407" s="1057"/>
    </row>
    <row r="408">
      <c r="B408" s="1087"/>
      <c r="D408" s="1057"/>
      <c r="F408" s="1057"/>
    </row>
    <row r="409">
      <c r="B409" s="1087"/>
      <c r="D409" s="1057"/>
      <c r="F409" s="1057"/>
    </row>
    <row r="410">
      <c r="B410" s="1087"/>
      <c r="D410" s="1057"/>
      <c r="F410" s="1057"/>
    </row>
    <row r="411">
      <c r="B411" s="1087"/>
      <c r="D411" s="1057"/>
      <c r="F411" s="1057"/>
    </row>
    <row r="412">
      <c r="B412" s="1087"/>
      <c r="D412" s="1057"/>
      <c r="F412" s="1057"/>
    </row>
    <row r="413">
      <c r="B413" s="1087"/>
      <c r="D413" s="1057"/>
      <c r="F413" s="1057"/>
    </row>
    <row r="414">
      <c r="B414" s="1087"/>
      <c r="D414" s="1057"/>
      <c r="F414" s="1057"/>
    </row>
    <row r="415">
      <c r="B415" s="1087"/>
      <c r="D415" s="1057"/>
      <c r="F415" s="1057"/>
    </row>
    <row r="416">
      <c r="B416" s="1087"/>
      <c r="D416" s="1057"/>
      <c r="F416" s="1057"/>
    </row>
    <row r="417">
      <c r="B417" s="1087"/>
      <c r="D417" s="1057"/>
      <c r="F417" s="1057"/>
    </row>
    <row r="418">
      <c r="B418" s="1087"/>
      <c r="D418" s="1057"/>
      <c r="F418" s="1057"/>
    </row>
    <row r="419">
      <c r="B419" s="1087"/>
      <c r="D419" s="1057"/>
      <c r="F419" s="1057"/>
    </row>
    <row r="420">
      <c r="B420" s="1087"/>
      <c r="D420" s="1057"/>
      <c r="F420" s="1057"/>
    </row>
    <row r="421">
      <c r="B421" s="1087"/>
      <c r="D421" s="1057"/>
      <c r="F421" s="1057"/>
    </row>
    <row r="422">
      <c r="B422" s="1087"/>
      <c r="D422" s="1057"/>
      <c r="F422" s="1057"/>
    </row>
    <row r="423">
      <c r="B423" s="1087"/>
      <c r="D423" s="1057"/>
      <c r="F423" s="1057"/>
    </row>
    <row r="424">
      <c r="B424" s="1087"/>
      <c r="D424" s="1057"/>
      <c r="F424" s="1057"/>
    </row>
    <row r="425">
      <c r="B425" s="1087"/>
      <c r="D425" s="1057"/>
      <c r="F425" s="1057"/>
    </row>
    <row r="426">
      <c r="B426" s="1087"/>
      <c r="D426" s="1057"/>
      <c r="F426" s="1057"/>
    </row>
    <row r="427">
      <c r="B427" s="1087"/>
      <c r="D427" s="1057"/>
      <c r="F427" s="1057"/>
    </row>
    <row r="428">
      <c r="B428" s="1087"/>
      <c r="D428" s="1057"/>
      <c r="F428" s="1057"/>
    </row>
    <row r="429">
      <c r="B429" s="1087"/>
      <c r="D429" s="1057"/>
      <c r="F429" s="1057"/>
    </row>
    <row r="430">
      <c r="B430" s="1087"/>
      <c r="D430" s="1057"/>
      <c r="F430" s="1057"/>
    </row>
    <row r="431">
      <c r="B431" s="1087"/>
      <c r="D431" s="1057"/>
      <c r="F431" s="1057"/>
    </row>
    <row r="432">
      <c r="B432" s="1087"/>
      <c r="D432" s="1057"/>
      <c r="F432" s="1057"/>
    </row>
    <row r="433">
      <c r="B433" s="1087"/>
      <c r="D433" s="1057"/>
      <c r="F433" s="1057"/>
    </row>
    <row r="434">
      <c r="B434" s="1087"/>
      <c r="D434" s="1057"/>
      <c r="F434" s="1057"/>
    </row>
    <row r="435">
      <c r="B435" s="1087"/>
      <c r="D435" s="1057"/>
      <c r="F435" s="1057"/>
    </row>
    <row r="436">
      <c r="B436" s="1087"/>
      <c r="D436" s="1057"/>
      <c r="F436" s="1057"/>
    </row>
    <row r="437">
      <c r="B437" s="1087"/>
      <c r="D437" s="1057"/>
      <c r="F437" s="1057"/>
    </row>
    <row r="438">
      <c r="B438" s="1087"/>
      <c r="D438" s="1057"/>
      <c r="F438" s="1057"/>
    </row>
    <row r="439">
      <c r="B439" s="1087"/>
      <c r="D439" s="1057"/>
      <c r="F439" s="1057"/>
    </row>
    <row r="440">
      <c r="B440" s="1087"/>
      <c r="D440" s="1057"/>
      <c r="F440" s="1057"/>
    </row>
    <row r="441">
      <c r="B441" s="1087"/>
      <c r="D441" s="1057"/>
      <c r="F441" s="1057"/>
    </row>
    <row r="442">
      <c r="B442" s="1087"/>
      <c r="D442" s="1057"/>
      <c r="F442" s="1057"/>
    </row>
    <row r="443">
      <c r="B443" s="1087"/>
      <c r="D443" s="1057"/>
      <c r="F443" s="1057"/>
    </row>
    <row r="444">
      <c r="B444" s="1087"/>
      <c r="D444" s="1057"/>
      <c r="F444" s="1057"/>
    </row>
    <row r="445">
      <c r="B445" s="1087"/>
      <c r="D445" s="1057"/>
      <c r="F445" s="1057"/>
    </row>
    <row r="446">
      <c r="B446" s="1087"/>
      <c r="D446" s="1057"/>
      <c r="F446" s="1057"/>
    </row>
    <row r="447">
      <c r="B447" s="1087"/>
      <c r="D447" s="1057"/>
      <c r="F447" s="1057"/>
    </row>
    <row r="448">
      <c r="B448" s="1087"/>
      <c r="D448" s="1057"/>
      <c r="F448" s="1057"/>
    </row>
    <row r="449">
      <c r="B449" s="1087"/>
      <c r="D449" s="1057"/>
      <c r="F449" s="1057"/>
    </row>
    <row r="450">
      <c r="B450" s="1087"/>
      <c r="D450" s="1057"/>
      <c r="F450" s="1057"/>
    </row>
    <row r="451">
      <c r="B451" s="1087"/>
      <c r="D451" s="1057"/>
      <c r="F451" s="1057"/>
    </row>
    <row r="452">
      <c r="B452" s="1087"/>
      <c r="D452" s="1057"/>
      <c r="F452" s="1057"/>
    </row>
    <row r="453">
      <c r="B453" s="1087"/>
      <c r="D453" s="1057"/>
      <c r="F453" s="1057"/>
    </row>
    <row r="454">
      <c r="B454" s="1087"/>
      <c r="D454" s="1057"/>
      <c r="F454" s="1057"/>
    </row>
    <row r="455">
      <c r="B455" s="1087"/>
      <c r="D455" s="1057"/>
      <c r="F455" s="1057"/>
    </row>
    <row r="456">
      <c r="B456" s="1087"/>
      <c r="D456" s="1057"/>
      <c r="F456" s="1057"/>
    </row>
    <row r="457">
      <c r="B457" s="1087"/>
      <c r="D457" s="1057"/>
      <c r="F457" s="1057"/>
    </row>
    <row r="458">
      <c r="B458" s="1087"/>
      <c r="D458" s="1057"/>
      <c r="F458" s="1057"/>
    </row>
    <row r="459">
      <c r="B459" s="1087"/>
      <c r="D459" s="1057"/>
      <c r="F459" s="1057"/>
    </row>
    <row r="460">
      <c r="B460" s="1087"/>
      <c r="D460" s="1057"/>
      <c r="F460" s="1057"/>
    </row>
    <row r="461">
      <c r="B461" s="1087"/>
      <c r="D461" s="1057"/>
      <c r="F461" s="1057"/>
    </row>
    <row r="462">
      <c r="B462" s="1087"/>
      <c r="D462" s="1057"/>
      <c r="F462" s="1057"/>
    </row>
    <row r="463">
      <c r="B463" s="1087"/>
      <c r="D463" s="1057"/>
      <c r="F463" s="1057"/>
    </row>
    <row r="464">
      <c r="B464" s="1087"/>
      <c r="D464" s="1057"/>
      <c r="F464" s="1057"/>
    </row>
    <row r="465">
      <c r="B465" s="1087"/>
      <c r="D465" s="1057"/>
      <c r="F465" s="1057"/>
    </row>
    <row r="466">
      <c r="B466" s="1087"/>
      <c r="D466" s="1057"/>
      <c r="F466" s="1057"/>
    </row>
    <row r="467">
      <c r="B467" s="1087"/>
      <c r="D467" s="1057"/>
      <c r="F467" s="1057"/>
    </row>
    <row r="468">
      <c r="B468" s="1087"/>
      <c r="D468" s="1057"/>
      <c r="F468" s="1057"/>
    </row>
    <row r="469">
      <c r="B469" s="1087"/>
      <c r="D469" s="1057"/>
      <c r="F469" s="1057"/>
    </row>
    <row r="470">
      <c r="B470" s="1087"/>
      <c r="D470" s="1057"/>
      <c r="F470" s="1057"/>
    </row>
    <row r="471">
      <c r="B471" s="1087"/>
      <c r="D471" s="1057"/>
      <c r="F471" s="1057"/>
    </row>
    <row r="472">
      <c r="B472" s="1087"/>
      <c r="D472" s="1057"/>
      <c r="F472" s="1057"/>
    </row>
    <row r="473">
      <c r="B473" s="1087"/>
      <c r="D473" s="1057"/>
      <c r="F473" s="1057"/>
    </row>
    <row r="474">
      <c r="B474" s="1087"/>
      <c r="D474" s="1057"/>
      <c r="F474" s="1057"/>
    </row>
    <row r="475">
      <c r="B475" s="1087"/>
      <c r="D475" s="1057"/>
      <c r="F475" s="1057"/>
    </row>
    <row r="476">
      <c r="B476" s="1087"/>
      <c r="D476" s="1057"/>
      <c r="F476" s="1057"/>
    </row>
    <row r="477">
      <c r="B477" s="1087"/>
      <c r="D477" s="1057"/>
      <c r="F477" s="1057"/>
    </row>
    <row r="478">
      <c r="B478" s="1087"/>
      <c r="D478" s="1057"/>
      <c r="F478" s="1057"/>
    </row>
    <row r="479">
      <c r="B479" s="1087"/>
      <c r="D479" s="1057"/>
      <c r="F479" s="1057"/>
    </row>
    <row r="480">
      <c r="B480" s="1087"/>
      <c r="D480" s="1057"/>
      <c r="F480" s="1057"/>
    </row>
    <row r="481">
      <c r="B481" s="1087"/>
      <c r="D481" s="1057"/>
      <c r="F481" s="1057"/>
    </row>
    <row r="482">
      <c r="B482" s="1087"/>
      <c r="D482" s="1057"/>
      <c r="F482" s="1057"/>
    </row>
    <row r="483">
      <c r="B483" s="1087"/>
      <c r="D483" s="1057"/>
      <c r="F483" s="1057"/>
    </row>
    <row r="484">
      <c r="B484" s="1087"/>
      <c r="D484" s="1057"/>
      <c r="F484" s="1057"/>
    </row>
    <row r="485">
      <c r="B485" s="1087"/>
      <c r="D485" s="1057"/>
      <c r="F485" s="1057"/>
    </row>
    <row r="486">
      <c r="B486" s="1087"/>
      <c r="D486" s="1057"/>
      <c r="F486" s="1057"/>
    </row>
    <row r="487">
      <c r="B487" s="1087"/>
      <c r="D487" s="1057"/>
      <c r="F487" s="1057"/>
    </row>
    <row r="488">
      <c r="B488" s="1087"/>
      <c r="D488" s="1057"/>
      <c r="F488" s="1057"/>
    </row>
    <row r="489">
      <c r="B489" s="1087"/>
      <c r="D489" s="1057"/>
      <c r="F489" s="1057"/>
    </row>
    <row r="490">
      <c r="B490" s="1087"/>
      <c r="D490" s="1057"/>
      <c r="F490" s="1057"/>
    </row>
    <row r="491">
      <c r="B491" s="1087"/>
      <c r="D491" s="1057"/>
      <c r="F491" s="1057"/>
    </row>
    <row r="492">
      <c r="B492" s="1087"/>
      <c r="D492" s="1057"/>
      <c r="F492" s="1057"/>
    </row>
    <row r="493">
      <c r="B493" s="1087"/>
      <c r="D493" s="1057"/>
      <c r="F493" s="1057"/>
    </row>
    <row r="494">
      <c r="B494" s="1087"/>
      <c r="D494" s="1057"/>
      <c r="F494" s="1057"/>
    </row>
    <row r="495">
      <c r="B495" s="1087"/>
      <c r="D495" s="1057"/>
      <c r="F495" s="1057"/>
    </row>
    <row r="496">
      <c r="B496" s="1087"/>
      <c r="D496" s="1057"/>
      <c r="F496" s="1057"/>
    </row>
    <row r="497">
      <c r="B497" s="1087"/>
      <c r="D497" s="1057"/>
      <c r="F497" s="1057"/>
    </row>
    <row r="498">
      <c r="B498" s="1087"/>
      <c r="D498" s="1057"/>
      <c r="F498" s="1057"/>
    </row>
    <row r="499">
      <c r="B499" s="1087"/>
      <c r="D499" s="1057"/>
      <c r="F499" s="1057"/>
    </row>
    <row r="500">
      <c r="B500" s="1087"/>
      <c r="D500" s="1057"/>
      <c r="F500" s="1057"/>
    </row>
    <row r="501">
      <c r="B501" s="1087"/>
      <c r="D501" s="1057"/>
      <c r="F501" s="1057"/>
    </row>
    <row r="502">
      <c r="B502" s="1087"/>
      <c r="D502" s="1057"/>
      <c r="F502" s="1057"/>
    </row>
    <row r="503">
      <c r="B503" s="1087"/>
      <c r="D503" s="1057"/>
      <c r="F503" s="1057"/>
    </row>
    <row r="504">
      <c r="B504" s="1087"/>
      <c r="D504" s="1057"/>
      <c r="F504" s="1057"/>
    </row>
    <row r="505">
      <c r="B505" s="1087"/>
      <c r="D505" s="1057"/>
      <c r="F505" s="1057"/>
    </row>
    <row r="506">
      <c r="B506" s="1087"/>
      <c r="D506" s="1057"/>
      <c r="F506" s="1057"/>
    </row>
    <row r="507">
      <c r="B507" s="1087"/>
      <c r="D507" s="1057"/>
      <c r="F507" s="1057"/>
    </row>
    <row r="508">
      <c r="B508" s="1087"/>
      <c r="D508" s="1057"/>
      <c r="F508" s="1057"/>
    </row>
    <row r="509">
      <c r="B509" s="1087"/>
      <c r="D509" s="1057"/>
      <c r="F509" s="1057"/>
    </row>
    <row r="510">
      <c r="B510" s="1087"/>
      <c r="D510" s="1057"/>
      <c r="F510" s="1057"/>
    </row>
    <row r="511">
      <c r="B511" s="1087"/>
      <c r="D511" s="1057"/>
      <c r="F511" s="1057"/>
    </row>
    <row r="512">
      <c r="B512" s="1087"/>
      <c r="D512" s="1057"/>
      <c r="F512" s="1057"/>
    </row>
    <row r="513">
      <c r="B513" s="1087"/>
      <c r="D513" s="1057"/>
      <c r="F513" s="1057"/>
    </row>
    <row r="514">
      <c r="B514" s="1087"/>
      <c r="D514" s="1057"/>
      <c r="F514" s="1057"/>
    </row>
    <row r="515">
      <c r="B515" s="1087"/>
      <c r="D515" s="1057"/>
      <c r="F515" s="1057"/>
    </row>
    <row r="516">
      <c r="B516" s="1087"/>
      <c r="D516" s="1057"/>
      <c r="F516" s="1057"/>
    </row>
    <row r="517">
      <c r="B517" s="1087"/>
      <c r="D517" s="1057"/>
      <c r="F517" s="1057"/>
    </row>
    <row r="518">
      <c r="B518" s="1087"/>
      <c r="D518" s="1057"/>
      <c r="F518" s="1057"/>
    </row>
    <row r="519">
      <c r="B519" s="1087"/>
      <c r="D519" s="1057"/>
      <c r="F519" s="1057"/>
    </row>
    <row r="520">
      <c r="B520" s="1087"/>
      <c r="D520" s="1057"/>
      <c r="F520" s="1057"/>
    </row>
    <row r="521">
      <c r="B521" s="1087"/>
      <c r="D521" s="1057"/>
      <c r="F521" s="1057"/>
    </row>
    <row r="522">
      <c r="B522" s="1087"/>
      <c r="D522" s="1057"/>
      <c r="F522" s="1057"/>
    </row>
    <row r="523">
      <c r="B523" s="1087"/>
      <c r="D523" s="1057"/>
      <c r="F523" s="1057"/>
    </row>
    <row r="524">
      <c r="B524" s="1087"/>
      <c r="D524" s="1057"/>
      <c r="F524" s="1057"/>
    </row>
    <row r="525">
      <c r="B525" s="1087"/>
      <c r="D525" s="1057"/>
      <c r="F525" s="1057"/>
    </row>
    <row r="526">
      <c r="B526" s="1087"/>
      <c r="D526" s="1057"/>
      <c r="F526" s="1057"/>
    </row>
    <row r="527">
      <c r="B527" s="1087"/>
      <c r="D527" s="1057"/>
      <c r="F527" s="1057"/>
    </row>
    <row r="528">
      <c r="B528" s="1087"/>
      <c r="D528" s="1057"/>
      <c r="F528" s="1057"/>
    </row>
    <row r="529">
      <c r="B529" s="1087"/>
      <c r="D529" s="1057"/>
      <c r="F529" s="1057"/>
    </row>
    <row r="530">
      <c r="B530" s="1087"/>
      <c r="D530" s="1057"/>
      <c r="F530" s="1057"/>
    </row>
    <row r="531">
      <c r="B531" s="1087"/>
      <c r="D531" s="1057"/>
      <c r="F531" s="1057"/>
    </row>
    <row r="532">
      <c r="B532" s="1087"/>
      <c r="D532" s="1057"/>
      <c r="F532" s="1057"/>
    </row>
    <row r="533">
      <c r="B533" s="1087"/>
      <c r="D533" s="1057"/>
      <c r="F533" s="1057"/>
    </row>
    <row r="534">
      <c r="B534" s="1087"/>
      <c r="D534" s="1057"/>
      <c r="F534" s="1057"/>
    </row>
    <row r="535">
      <c r="B535" s="1087"/>
      <c r="D535" s="1057"/>
      <c r="F535" s="1057"/>
    </row>
    <row r="536">
      <c r="B536" s="1087"/>
      <c r="D536" s="1057"/>
      <c r="F536" s="1057"/>
    </row>
    <row r="537">
      <c r="B537" s="1087"/>
      <c r="D537" s="1057"/>
      <c r="F537" s="1057"/>
    </row>
    <row r="538">
      <c r="B538" s="1087"/>
      <c r="D538" s="1057"/>
      <c r="F538" s="1057"/>
    </row>
    <row r="539">
      <c r="B539" s="1087"/>
      <c r="D539" s="1057"/>
      <c r="F539" s="1057"/>
    </row>
    <row r="540">
      <c r="B540" s="1087"/>
      <c r="D540" s="1057"/>
      <c r="F540" s="1057"/>
    </row>
    <row r="541">
      <c r="B541" s="1087"/>
      <c r="D541" s="1057"/>
      <c r="F541" s="1057"/>
    </row>
    <row r="542">
      <c r="B542" s="1087"/>
      <c r="D542" s="1057"/>
      <c r="F542" s="1057"/>
    </row>
    <row r="543">
      <c r="B543" s="1087"/>
      <c r="D543" s="1057"/>
      <c r="F543" s="1057"/>
    </row>
    <row r="544">
      <c r="B544" s="1087"/>
      <c r="D544" s="1057"/>
      <c r="F544" s="1057"/>
    </row>
    <row r="545">
      <c r="B545" s="1087"/>
      <c r="D545" s="1057"/>
      <c r="F545" s="1057"/>
    </row>
    <row r="546">
      <c r="B546" s="1087"/>
      <c r="D546" s="1057"/>
      <c r="F546" s="1057"/>
    </row>
    <row r="547">
      <c r="B547" s="1087"/>
      <c r="D547" s="1057"/>
      <c r="F547" s="1057"/>
    </row>
    <row r="548">
      <c r="B548" s="1087"/>
      <c r="D548" s="1057"/>
      <c r="F548" s="1057"/>
    </row>
    <row r="549">
      <c r="B549" s="1087"/>
      <c r="D549" s="1057"/>
      <c r="F549" s="1057"/>
    </row>
    <row r="550">
      <c r="B550" s="1087"/>
      <c r="D550" s="1057"/>
      <c r="F550" s="1057"/>
    </row>
    <row r="551">
      <c r="B551" s="1087"/>
      <c r="D551" s="1057"/>
      <c r="F551" s="1057"/>
    </row>
    <row r="552">
      <c r="B552" s="1087"/>
      <c r="D552" s="1057"/>
      <c r="F552" s="1057"/>
    </row>
    <row r="553">
      <c r="B553" s="1087"/>
      <c r="D553" s="1057"/>
      <c r="F553" s="1057"/>
    </row>
    <row r="554">
      <c r="B554" s="1087"/>
      <c r="D554" s="1057"/>
      <c r="F554" s="1057"/>
    </row>
    <row r="555">
      <c r="B555" s="1087"/>
      <c r="D555" s="1057"/>
      <c r="F555" s="1057"/>
    </row>
    <row r="556">
      <c r="B556" s="1087"/>
      <c r="D556" s="1057"/>
      <c r="F556" s="1057"/>
    </row>
    <row r="557">
      <c r="B557" s="1087"/>
      <c r="D557" s="1057"/>
      <c r="F557" s="1057"/>
    </row>
    <row r="558">
      <c r="B558" s="1087"/>
      <c r="D558" s="1057"/>
      <c r="F558" s="1057"/>
    </row>
    <row r="559">
      <c r="B559" s="1087"/>
      <c r="D559" s="1057"/>
      <c r="F559" s="1057"/>
    </row>
    <row r="560">
      <c r="B560" s="1087"/>
      <c r="D560" s="1057"/>
      <c r="F560" s="1057"/>
    </row>
    <row r="561">
      <c r="B561" s="1087"/>
      <c r="D561" s="1057"/>
      <c r="F561" s="1057"/>
    </row>
    <row r="562">
      <c r="B562" s="1087"/>
      <c r="D562" s="1057"/>
      <c r="F562" s="1057"/>
    </row>
    <row r="563">
      <c r="B563" s="1087"/>
      <c r="D563" s="1057"/>
      <c r="F563" s="1057"/>
    </row>
    <row r="564">
      <c r="B564" s="1087"/>
      <c r="D564" s="1057"/>
      <c r="F564" s="1057"/>
    </row>
    <row r="565">
      <c r="B565" s="1087"/>
      <c r="D565" s="1057"/>
      <c r="F565" s="1057"/>
    </row>
    <row r="566">
      <c r="B566" s="1087"/>
      <c r="D566" s="1057"/>
      <c r="F566" s="1057"/>
    </row>
    <row r="567">
      <c r="B567" s="1087"/>
      <c r="D567" s="1057"/>
      <c r="F567" s="1057"/>
    </row>
    <row r="568">
      <c r="B568" s="1087"/>
      <c r="D568" s="1057"/>
      <c r="F568" s="1057"/>
    </row>
    <row r="569">
      <c r="B569" s="1087"/>
      <c r="D569" s="1057"/>
      <c r="F569" s="1057"/>
    </row>
    <row r="570">
      <c r="B570" s="1087"/>
      <c r="D570" s="1057"/>
      <c r="F570" s="1057"/>
    </row>
    <row r="571">
      <c r="B571" s="1087"/>
      <c r="D571" s="1057"/>
      <c r="F571" s="1057"/>
    </row>
    <row r="572">
      <c r="B572" s="1087"/>
      <c r="D572" s="1057"/>
      <c r="F572" s="1057"/>
    </row>
    <row r="573">
      <c r="B573" s="1087"/>
      <c r="D573" s="1057"/>
      <c r="F573" s="1057"/>
    </row>
    <row r="574">
      <c r="B574" s="1087"/>
      <c r="D574" s="1057"/>
      <c r="F574" s="1057"/>
    </row>
    <row r="575">
      <c r="B575" s="1087"/>
      <c r="D575" s="1057"/>
      <c r="F575" s="1057"/>
    </row>
    <row r="576">
      <c r="B576" s="1087"/>
      <c r="D576" s="1057"/>
      <c r="F576" s="1057"/>
    </row>
    <row r="577">
      <c r="B577" s="1087"/>
      <c r="D577" s="1057"/>
      <c r="F577" s="1057"/>
    </row>
    <row r="578">
      <c r="B578" s="1087"/>
      <c r="D578" s="1057"/>
      <c r="F578" s="1057"/>
    </row>
    <row r="579">
      <c r="B579" s="1087"/>
      <c r="D579" s="1057"/>
      <c r="F579" s="1057"/>
    </row>
    <row r="580">
      <c r="B580" s="1087"/>
      <c r="D580" s="1057"/>
      <c r="F580" s="1057"/>
    </row>
    <row r="581">
      <c r="B581" s="1087"/>
      <c r="D581" s="1057"/>
      <c r="F581" s="1057"/>
    </row>
    <row r="582">
      <c r="B582" s="1087"/>
      <c r="D582" s="1057"/>
      <c r="F582" s="1057"/>
    </row>
    <row r="583">
      <c r="B583" s="1087"/>
      <c r="D583" s="1057"/>
      <c r="F583" s="1057"/>
    </row>
    <row r="584">
      <c r="B584" s="1087"/>
      <c r="D584" s="1057"/>
      <c r="F584" s="1057"/>
    </row>
    <row r="585">
      <c r="B585" s="1087"/>
      <c r="D585" s="1057"/>
      <c r="F585" s="1057"/>
    </row>
    <row r="586">
      <c r="B586" s="1087"/>
      <c r="D586" s="1057"/>
      <c r="F586" s="1057"/>
    </row>
    <row r="587">
      <c r="B587" s="1087"/>
      <c r="D587" s="1057"/>
      <c r="F587" s="1057"/>
    </row>
    <row r="588">
      <c r="B588" s="1087"/>
      <c r="D588" s="1057"/>
      <c r="F588" s="1057"/>
    </row>
    <row r="589">
      <c r="B589" s="1087"/>
      <c r="D589" s="1057"/>
      <c r="F589" s="1057"/>
    </row>
    <row r="590">
      <c r="B590" s="1087"/>
      <c r="D590" s="1057"/>
      <c r="F590" s="1057"/>
    </row>
    <row r="591">
      <c r="B591" s="1087"/>
      <c r="D591" s="1057"/>
      <c r="F591" s="1057"/>
    </row>
    <row r="592">
      <c r="B592" s="1087"/>
      <c r="D592" s="1057"/>
      <c r="F592" s="1057"/>
    </row>
    <row r="593">
      <c r="B593" s="1087"/>
      <c r="D593" s="1057"/>
      <c r="F593" s="1057"/>
    </row>
    <row r="594">
      <c r="B594" s="1087"/>
      <c r="D594" s="1057"/>
      <c r="F594" s="1057"/>
    </row>
    <row r="595">
      <c r="B595" s="1087"/>
      <c r="D595" s="1057"/>
      <c r="F595" s="1057"/>
    </row>
    <row r="596">
      <c r="B596" s="1087"/>
      <c r="D596" s="1057"/>
      <c r="F596" s="1057"/>
    </row>
    <row r="597">
      <c r="B597" s="1087"/>
      <c r="D597" s="1057"/>
      <c r="F597" s="1057"/>
    </row>
    <row r="598">
      <c r="B598" s="1087"/>
      <c r="D598" s="1057"/>
      <c r="F598" s="1057"/>
    </row>
    <row r="599">
      <c r="B599" s="1087"/>
      <c r="D599" s="1057"/>
      <c r="F599" s="1057"/>
    </row>
    <row r="600">
      <c r="B600" s="1087"/>
      <c r="D600" s="1057"/>
      <c r="F600" s="1057"/>
    </row>
    <row r="601">
      <c r="B601" s="1087"/>
      <c r="D601" s="1057"/>
      <c r="F601" s="1057"/>
    </row>
    <row r="602">
      <c r="B602" s="1087"/>
      <c r="D602" s="1057"/>
      <c r="F602" s="1057"/>
    </row>
    <row r="603">
      <c r="B603" s="1087"/>
      <c r="D603" s="1057"/>
      <c r="F603" s="1057"/>
    </row>
    <row r="604">
      <c r="B604" s="1087"/>
      <c r="D604" s="1057"/>
      <c r="F604" s="1057"/>
    </row>
    <row r="605">
      <c r="B605" s="1087"/>
      <c r="D605" s="1057"/>
      <c r="F605" s="1057"/>
    </row>
    <row r="606">
      <c r="B606" s="1087"/>
      <c r="D606" s="1057"/>
      <c r="F606" s="1057"/>
    </row>
    <row r="607">
      <c r="B607" s="1087"/>
      <c r="D607" s="1057"/>
      <c r="F607" s="1057"/>
    </row>
    <row r="608">
      <c r="B608" s="1087"/>
      <c r="D608" s="1057"/>
      <c r="F608" s="1057"/>
    </row>
    <row r="609">
      <c r="B609" s="1087"/>
      <c r="D609" s="1057"/>
      <c r="F609" s="1057"/>
    </row>
    <row r="610">
      <c r="B610" s="1087"/>
      <c r="D610" s="1057"/>
      <c r="F610" s="1057"/>
    </row>
    <row r="611">
      <c r="B611" s="1087"/>
      <c r="D611" s="1057"/>
      <c r="F611" s="1057"/>
    </row>
    <row r="612">
      <c r="B612" s="1087"/>
      <c r="D612" s="1057"/>
      <c r="F612" s="1057"/>
    </row>
    <row r="613">
      <c r="B613" s="1087"/>
      <c r="D613" s="1057"/>
      <c r="F613" s="1057"/>
    </row>
    <row r="614">
      <c r="B614" s="1087"/>
      <c r="D614" s="1057"/>
      <c r="F614" s="1057"/>
    </row>
    <row r="615">
      <c r="B615" s="1087"/>
      <c r="D615" s="1057"/>
      <c r="F615" s="1057"/>
    </row>
    <row r="616">
      <c r="B616" s="1087"/>
      <c r="D616" s="1057"/>
      <c r="F616" s="1057"/>
    </row>
    <row r="617">
      <c r="B617" s="1087"/>
      <c r="D617" s="1057"/>
      <c r="F617" s="1057"/>
    </row>
    <row r="618">
      <c r="B618" s="1087"/>
      <c r="D618" s="1057"/>
      <c r="F618" s="1057"/>
    </row>
    <row r="619">
      <c r="B619" s="1087"/>
      <c r="D619" s="1057"/>
      <c r="F619" s="1057"/>
    </row>
    <row r="620">
      <c r="B620" s="1087"/>
      <c r="D620" s="1057"/>
      <c r="F620" s="1057"/>
    </row>
    <row r="621">
      <c r="B621" s="1087"/>
      <c r="D621" s="1057"/>
      <c r="F621" s="1057"/>
    </row>
    <row r="622">
      <c r="B622" s="1087"/>
      <c r="D622" s="1057"/>
      <c r="F622" s="1057"/>
    </row>
    <row r="623">
      <c r="B623" s="1087"/>
      <c r="D623" s="1057"/>
      <c r="F623" s="1057"/>
    </row>
    <row r="624">
      <c r="B624" s="1087"/>
      <c r="D624" s="1057"/>
      <c r="F624" s="1057"/>
    </row>
    <row r="625">
      <c r="B625" s="1087"/>
      <c r="D625" s="1057"/>
      <c r="F625" s="1057"/>
    </row>
    <row r="626">
      <c r="B626" s="1087"/>
      <c r="D626" s="1057"/>
      <c r="F626" s="1057"/>
    </row>
    <row r="627">
      <c r="B627" s="1087"/>
      <c r="D627" s="1057"/>
      <c r="F627" s="1057"/>
    </row>
    <row r="628">
      <c r="B628" s="1087"/>
      <c r="D628" s="1057"/>
      <c r="F628" s="1057"/>
    </row>
    <row r="629">
      <c r="B629" s="1087"/>
      <c r="D629" s="1057"/>
      <c r="F629" s="1057"/>
    </row>
    <row r="630">
      <c r="B630" s="1087"/>
      <c r="D630" s="1057"/>
      <c r="F630" s="1057"/>
    </row>
    <row r="631">
      <c r="B631" s="1087"/>
      <c r="D631" s="1057"/>
      <c r="F631" s="1057"/>
    </row>
    <row r="632">
      <c r="B632" s="1087"/>
      <c r="D632" s="1057"/>
      <c r="F632" s="1057"/>
    </row>
    <row r="633">
      <c r="B633" s="1087"/>
      <c r="D633" s="1057"/>
      <c r="F633" s="1057"/>
    </row>
    <row r="634">
      <c r="B634" s="1087"/>
      <c r="D634" s="1057"/>
      <c r="F634" s="1057"/>
    </row>
    <row r="635">
      <c r="B635" s="1087"/>
      <c r="D635" s="1057"/>
      <c r="F635" s="1057"/>
    </row>
    <row r="636">
      <c r="B636" s="1087"/>
      <c r="D636" s="1057"/>
      <c r="F636" s="1057"/>
    </row>
    <row r="637">
      <c r="B637" s="1087"/>
      <c r="D637" s="1057"/>
      <c r="F637" s="1057"/>
    </row>
    <row r="638">
      <c r="B638" s="1087"/>
      <c r="D638" s="1057"/>
      <c r="F638" s="1057"/>
    </row>
    <row r="639">
      <c r="B639" s="1087"/>
      <c r="D639" s="1057"/>
      <c r="F639" s="1057"/>
    </row>
    <row r="640">
      <c r="B640" s="1087"/>
      <c r="D640" s="1057"/>
      <c r="F640" s="1057"/>
    </row>
    <row r="641">
      <c r="B641" s="1087"/>
      <c r="D641" s="1057"/>
      <c r="F641" s="1057"/>
    </row>
    <row r="642">
      <c r="B642" s="1087"/>
      <c r="D642" s="1057"/>
      <c r="F642" s="1057"/>
    </row>
    <row r="643">
      <c r="B643" s="1087"/>
      <c r="D643" s="1057"/>
      <c r="F643" s="1057"/>
    </row>
    <row r="644">
      <c r="B644" s="1087"/>
      <c r="D644" s="1057"/>
      <c r="F644" s="1057"/>
    </row>
    <row r="645">
      <c r="B645" s="1087"/>
      <c r="D645" s="1057"/>
      <c r="F645" s="1057"/>
    </row>
    <row r="646">
      <c r="B646" s="1087"/>
      <c r="D646" s="1057"/>
      <c r="F646" s="1057"/>
    </row>
    <row r="647">
      <c r="B647" s="1087"/>
      <c r="D647" s="1057"/>
      <c r="F647" s="1057"/>
    </row>
    <row r="648">
      <c r="B648" s="1087"/>
      <c r="D648" s="1057"/>
      <c r="F648" s="1057"/>
    </row>
    <row r="649">
      <c r="B649" s="1087"/>
      <c r="D649" s="1057"/>
      <c r="F649" s="1057"/>
    </row>
    <row r="650">
      <c r="B650" s="1087"/>
      <c r="D650" s="1057"/>
      <c r="F650" s="1057"/>
    </row>
    <row r="651">
      <c r="B651" s="1087"/>
      <c r="D651" s="1057"/>
      <c r="F651" s="1057"/>
    </row>
    <row r="652">
      <c r="B652" s="1087"/>
      <c r="D652" s="1057"/>
      <c r="F652" s="1057"/>
    </row>
    <row r="653">
      <c r="B653" s="1087"/>
      <c r="D653" s="1057"/>
      <c r="F653" s="1057"/>
    </row>
    <row r="654">
      <c r="B654" s="1087"/>
      <c r="D654" s="1057"/>
      <c r="F654" s="1057"/>
    </row>
    <row r="655">
      <c r="B655" s="1087"/>
      <c r="D655" s="1057"/>
      <c r="F655" s="1057"/>
    </row>
    <row r="656">
      <c r="B656" s="1087"/>
      <c r="D656" s="1057"/>
      <c r="F656" s="1057"/>
    </row>
    <row r="657">
      <c r="B657" s="1087"/>
      <c r="D657" s="1057"/>
      <c r="F657" s="1057"/>
    </row>
    <row r="658">
      <c r="B658" s="1087"/>
      <c r="D658" s="1057"/>
      <c r="F658" s="1057"/>
    </row>
    <row r="659">
      <c r="B659" s="1087"/>
      <c r="D659" s="1057"/>
      <c r="F659" s="1057"/>
    </row>
    <row r="660">
      <c r="B660" s="1087"/>
      <c r="D660" s="1057"/>
      <c r="F660" s="1057"/>
    </row>
    <row r="661">
      <c r="B661" s="1087"/>
      <c r="D661" s="1057"/>
      <c r="F661" s="1057"/>
    </row>
    <row r="662">
      <c r="B662" s="1087"/>
      <c r="D662" s="1057"/>
      <c r="F662" s="1057"/>
    </row>
    <row r="663">
      <c r="B663" s="1087"/>
      <c r="D663" s="1057"/>
      <c r="F663" s="1057"/>
    </row>
    <row r="664">
      <c r="B664" s="1087"/>
      <c r="D664" s="1057"/>
      <c r="F664" s="1057"/>
    </row>
    <row r="665">
      <c r="B665" s="1087"/>
      <c r="D665" s="1057"/>
      <c r="F665" s="1057"/>
    </row>
    <row r="666">
      <c r="B666" s="1087"/>
      <c r="D666" s="1057"/>
      <c r="F666" s="1057"/>
    </row>
    <row r="667">
      <c r="B667" s="1087"/>
      <c r="D667" s="1057"/>
      <c r="F667" s="1057"/>
    </row>
    <row r="668">
      <c r="B668" s="1087"/>
      <c r="D668" s="1057"/>
      <c r="F668" s="1057"/>
    </row>
    <row r="669">
      <c r="B669" s="1087"/>
      <c r="D669" s="1057"/>
      <c r="F669" s="1057"/>
    </row>
    <row r="670">
      <c r="B670" s="1087"/>
      <c r="D670" s="1057"/>
      <c r="F670" s="1057"/>
    </row>
    <row r="671">
      <c r="B671" s="1087"/>
      <c r="D671" s="1057"/>
      <c r="F671" s="1057"/>
    </row>
    <row r="672">
      <c r="B672" s="1087"/>
      <c r="D672" s="1057"/>
      <c r="F672" s="1057"/>
    </row>
    <row r="673">
      <c r="B673" s="1087"/>
      <c r="D673" s="1057"/>
      <c r="F673" s="1057"/>
    </row>
    <row r="674">
      <c r="B674" s="1087"/>
      <c r="D674" s="1057"/>
      <c r="F674" s="1057"/>
    </row>
    <row r="675">
      <c r="B675" s="1087"/>
      <c r="D675" s="1057"/>
      <c r="F675" s="1057"/>
    </row>
    <row r="676">
      <c r="B676" s="1087"/>
      <c r="D676" s="1057"/>
      <c r="F676" s="1057"/>
    </row>
    <row r="677">
      <c r="B677" s="1087"/>
      <c r="D677" s="1057"/>
      <c r="F677" s="1057"/>
    </row>
    <row r="678">
      <c r="B678" s="1087"/>
      <c r="D678" s="1057"/>
      <c r="F678" s="1057"/>
    </row>
    <row r="679">
      <c r="B679" s="1087"/>
      <c r="D679" s="1057"/>
      <c r="F679" s="1057"/>
    </row>
    <row r="680">
      <c r="B680" s="1087"/>
      <c r="D680" s="1057"/>
      <c r="F680" s="1057"/>
    </row>
    <row r="681">
      <c r="B681" s="1087"/>
      <c r="D681" s="1057"/>
      <c r="F681" s="1057"/>
    </row>
    <row r="682">
      <c r="B682" s="1087"/>
      <c r="D682" s="1057"/>
      <c r="F682" s="1057"/>
    </row>
    <row r="683">
      <c r="B683" s="1087"/>
      <c r="D683" s="1057"/>
      <c r="F683" s="1057"/>
    </row>
    <row r="684">
      <c r="B684" s="1087"/>
      <c r="D684" s="1057"/>
      <c r="F684" s="1057"/>
    </row>
    <row r="685">
      <c r="B685" s="1087"/>
      <c r="D685" s="1057"/>
      <c r="F685" s="1057"/>
    </row>
    <row r="686">
      <c r="B686" s="1087"/>
      <c r="D686" s="1057"/>
      <c r="F686" s="1057"/>
    </row>
    <row r="687">
      <c r="B687" s="1087"/>
      <c r="D687" s="1057"/>
      <c r="F687" s="1057"/>
    </row>
    <row r="688">
      <c r="B688" s="1087"/>
      <c r="D688" s="1057"/>
      <c r="F688" s="1057"/>
    </row>
    <row r="689">
      <c r="B689" s="1087"/>
      <c r="D689" s="1057"/>
      <c r="F689" s="1057"/>
    </row>
    <row r="690">
      <c r="B690" s="1087"/>
      <c r="D690" s="1057"/>
      <c r="F690" s="1057"/>
    </row>
    <row r="691">
      <c r="B691" s="1087"/>
      <c r="D691" s="1057"/>
      <c r="F691" s="1057"/>
    </row>
    <row r="692">
      <c r="B692" s="1087"/>
      <c r="D692" s="1057"/>
      <c r="F692" s="1057"/>
    </row>
    <row r="693">
      <c r="B693" s="1087"/>
      <c r="D693" s="1057"/>
      <c r="F693" s="1057"/>
    </row>
    <row r="694">
      <c r="B694" s="1087"/>
      <c r="D694" s="1057"/>
      <c r="F694" s="1057"/>
    </row>
    <row r="695">
      <c r="B695" s="1087"/>
      <c r="D695" s="1057"/>
      <c r="F695" s="1057"/>
    </row>
    <row r="696">
      <c r="B696" s="1087"/>
      <c r="D696" s="1057"/>
      <c r="F696" s="1057"/>
    </row>
    <row r="697">
      <c r="B697" s="1087"/>
      <c r="D697" s="1057"/>
      <c r="F697" s="1057"/>
    </row>
    <row r="698">
      <c r="B698" s="1087"/>
      <c r="D698" s="1057"/>
      <c r="F698" s="1057"/>
    </row>
    <row r="699">
      <c r="B699" s="1087"/>
      <c r="D699" s="1057"/>
      <c r="F699" s="1057"/>
    </row>
    <row r="700">
      <c r="B700" s="1087"/>
      <c r="D700" s="1057"/>
      <c r="F700" s="1057"/>
    </row>
    <row r="701">
      <c r="B701" s="1087"/>
      <c r="D701" s="1057"/>
      <c r="F701" s="1057"/>
    </row>
    <row r="702">
      <c r="B702" s="1087"/>
      <c r="D702" s="1057"/>
      <c r="F702" s="1057"/>
    </row>
    <row r="703">
      <c r="B703" s="1087"/>
      <c r="D703" s="1057"/>
      <c r="F703" s="1057"/>
    </row>
    <row r="704">
      <c r="B704" s="1087"/>
      <c r="D704" s="1057"/>
      <c r="F704" s="1057"/>
    </row>
    <row r="705">
      <c r="B705" s="1087"/>
      <c r="D705" s="1057"/>
      <c r="F705" s="1057"/>
    </row>
    <row r="706">
      <c r="B706" s="1087"/>
      <c r="D706" s="1057"/>
      <c r="F706" s="1057"/>
    </row>
    <row r="707">
      <c r="B707" s="1087"/>
      <c r="D707" s="1057"/>
      <c r="F707" s="1057"/>
    </row>
    <row r="708">
      <c r="B708" s="1087"/>
      <c r="D708" s="1057"/>
      <c r="F708" s="1057"/>
    </row>
    <row r="709">
      <c r="B709" s="1087"/>
      <c r="D709" s="1057"/>
      <c r="F709" s="1057"/>
    </row>
    <row r="710">
      <c r="B710" s="1087"/>
      <c r="D710" s="1057"/>
      <c r="F710" s="1057"/>
    </row>
    <row r="711">
      <c r="B711" s="1087"/>
      <c r="D711" s="1057"/>
      <c r="F711" s="1057"/>
    </row>
    <row r="712">
      <c r="B712" s="1087"/>
      <c r="D712" s="1057"/>
      <c r="F712" s="1057"/>
    </row>
    <row r="713">
      <c r="B713" s="1087"/>
      <c r="D713" s="1057"/>
      <c r="F713" s="1057"/>
    </row>
    <row r="714">
      <c r="B714" s="1087"/>
      <c r="D714" s="1057"/>
      <c r="F714" s="1057"/>
    </row>
    <row r="715">
      <c r="B715" s="1087"/>
      <c r="D715" s="1057"/>
      <c r="F715" s="1057"/>
    </row>
    <row r="716">
      <c r="B716" s="1087"/>
      <c r="D716" s="1057"/>
      <c r="F716" s="1057"/>
    </row>
    <row r="717">
      <c r="B717" s="1087"/>
      <c r="D717" s="1057"/>
      <c r="F717" s="1057"/>
    </row>
    <row r="718">
      <c r="B718" s="1087"/>
      <c r="D718" s="1057"/>
      <c r="F718" s="1057"/>
    </row>
    <row r="719">
      <c r="B719" s="1087"/>
      <c r="D719" s="1057"/>
      <c r="F719" s="1057"/>
    </row>
    <row r="720">
      <c r="B720" s="1087"/>
      <c r="D720" s="1057"/>
      <c r="F720" s="1057"/>
    </row>
    <row r="721">
      <c r="B721" s="1087"/>
      <c r="D721" s="1057"/>
      <c r="F721" s="1057"/>
    </row>
    <row r="722">
      <c r="B722" s="1087"/>
      <c r="D722" s="1057"/>
      <c r="F722" s="1057"/>
    </row>
    <row r="723">
      <c r="B723" s="1087"/>
      <c r="D723" s="1057"/>
      <c r="F723" s="1057"/>
    </row>
    <row r="724">
      <c r="B724" s="1087"/>
      <c r="D724" s="1057"/>
      <c r="F724" s="1057"/>
    </row>
    <row r="725">
      <c r="B725" s="1087"/>
      <c r="D725" s="1057"/>
      <c r="F725" s="1057"/>
    </row>
    <row r="726">
      <c r="B726" s="1087"/>
      <c r="D726" s="1057"/>
      <c r="F726" s="1057"/>
    </row>
    <row r="727">
      <c r="B727" s="1087"/>
      <c r="D727" s="1057"/>
      <c r="F727" s="1057"/>
    </row>
    <row r="728">
      <c r="B728" s="1087"/>
      <c r="D728" s="1057"/>
      <c r="F728" s="1057"/>
    </row>
    <row r="729">
      <c r="B729" s="1087"/>
      <c r="D729" s="1057"/>
      <c r="F729" s="1057"/>
    </row>
    <row r="730">
      <c r="B730" s="1087"/>
      <c r="D730" s="1057"/>
      <c r="F730" s="1057"/>
    </row>
    <row r="731">
      <c r="B731" s="1087"/>
      <c r="D731" s="1057"/>
      <c r="F731" s="1057"/>
    </row>
    <row r="732">
      <c r="B732" s="1087"/>
      <c r="D732" s="1057"/>
      <c r="F732" s="1057"/>
    </row>
    <row r="733">
      <c r="B733" s="1087"/>
      <c r="D733" s="1057"/>
      <c r="F733" s="1057"/>
    </row>
    <row r="734">
      <c r="B734" s="1087"/>
      <c r="D734" s="1057"/>
      <c r="F734" s="1057"/>
    </row>
    <row r="735">
      <c r="B735" s="1087"/>
      <c r="D735" s="1057"/>
      <c r="F735" s="1057"/>
    </row>
    <row r="736">
      <c r="B736" s="1087"/>
      <c r="D736" s="1057"/>
      <c r="F736" s="1057"/>
    </row>
    <row r="737">
      <c r="B737" s="1087"/>
      <c r="D737" s="1057"/>
      <c r="F737" s="1057"/>
    </row>
    <row r="738">
      <c r="B738" s="1087"/>
      <c r="D738" s="1057"/>
      <c r="F738" s="1057"/>
    </row>
    <row r="739">
      <c r="B739" s="1087"/>
      <c r="D739" s="1057"/>
      <c r="F739" s="1057"/>
    </row>
    <row r="740">
      <c r="B740" s="1087"/>
      <c r="D740" s="1057"/>
      <c r="F740" s="1057"/>
    </row>
    <row r="741">
      <c r="B741" s="1087"/>
      <c r="D741" s="1057"/>
      <c r="F741" s="1057"/>
    </row>
    <row r="742">
      <c r="B742" s="1087"/>
      <c r="D742" s="1057"/>
      <c r="F742" s="1057"/>
    </row>
    <row r="743">
      <c r="B743" s="1087"/>
      <c r="D743" s="1057"/>
      <c r="F743" s="1057"/>
    </row>
    <row r="744">
      <c r="B744" s="1087"/>
      <c r="D744" s="1057"/>
      <c r="F744" s="1057"/>
    </row>
    <row r="745">
      <c r="B745" s="1087"/>
      <c r="D745" s="1057"/>
      <c r="F745" s="1057"/>
    </row>
    <row r="746">
      <c r="B746" s="1087"/>
      <c r="D746" s="1057"/>
      <c r="F746" s="1057"/>
    </row>
    <row r="747">
      <c r="B747" s="1087"/>
      <c r="D747" s="1057"/>
      <c r="F747" s="1057"/>
    </row>
    <row r="748">
      <c r="B748" s="1087"/>
      <c r="D748" s="1057"/>
      <c r="F748" s="1057"/>
    </row>
    <row r="749">
      <c r="B749" s="1087"/>
      <c r="D749" s="1057"/>
      <c r="F749" s="1057"/>
    </row>
    <row r="750">
      <c r="B750" s="1087"/>
      <c r="D750" s="1057"/>
      <c r="F750" s="1057"/>
    </row>
    <row r="751">
      <c r="B751" s="1087"/>
      <c r="D751" s="1057"/>
      <c r="F751" s="1057"/>
    </row>
    <row r="752">
      <c r="B752" s="1087"/>
      <c r="D752" s="1057"/>
      <c r="F752" s="1057"/>
    </row>
    <row r="753">
      <c r="B753" s="1087"/>
      <c r="D753" s="1057"/>
      <c r="F753" s="1057"/>
    </row>
    <row r="754">
      <c r="B754" s="1087"/>
      <c r="D754" s="1057"/>
      <c r="F754" s="1057"/>
    </row>
    <row r="755">
      <c r="B755" s="1087"/>
      <c r="D755" s="1057"/>
      <c r="F755" s="1057"/>
    </row>
    <row r="756">
      <c r="B756" s="1087"/>
      <c r="D756" s="1057"/>
      <c r="F756" s="1057"/>
    </row>
    <row r="757">
      <c r="B757" s="1087"/>
      <c r="D757" s="1057"/>
      <c r="F757" s="1057"/>
    </row>
    <row r="758">
      <c r="B758" s="1087"/>
      <c r="D758" s="1057"/>
      <c r="F758" s="1057"/>
    </row>
    <row r="759">
      <c r="B759" s="1087"/>
      <c r="D759" s="1057"/>
      <c r="F759" s="1057"/>
    </row>
    <row r="760">
      <c r="B760" s="1087"/>
      <c r="D760" s="1057"/>
      <c r="F760" s="1057"/>
    </row>
    <row r="761">
      <c r="B761" s="1087"/>
      <c r="D761" s="1057"/>
      <c r="F761" s="1057"/>
    </row>
    <row r="762">
      <c r="B762" s="1087"/>
      <c r="D762" s="1057"/>
      <c r="F762" s="1057"/>
    </row>
    <row r="763">
      <c r="B763" s="1087"/>
      <c r="D763" s="1057"/>
      <c r="F763" s="1057"/>
    </row>
    <row r="764">
      <c r="B764" s="1087"/>
      <c r="D764" s="1057"/>
      <c r="F764" s="1057"/>
    </row>
    <row r="765">
      <c r="B765" s="1087"/>
      <c r="D765" s="1057"/>
      <c r="F765" s="1057"/>
    </row>
    <row r="766">
      <c r="B766" s="1087"/>
      <c r="D766" s="1057"/>
      <c r="F766" s="1057"/>
    </row>
    <row r="767">
      <c r="B767" s="1087"/>
      <c r="D767" s="1057"/>
      <c r="F767" s="1057"/>
    </row>
    <row r="768">
      <c r="B768" s="1087"/>
      <c r="D768" s="1057"/>
      <c r="F768" s="1057"/>
    </row>
    <row r="769">
      <c r="B769" s="1087"/>
      <c r="D769" s="1057"/>
      <c r="F769" s="1057"/>
    </row>
    <row r="770">
      <c r="B770" s="1087"/>
      <c r="D770" s="1057"/>
      <c r="F770" s="1057"/>
    </row>
    <row r="771">
      <c r="B771" s="1087"/>
      <c r="D771" s="1057"/>
      <c r="F771" s="1057"/>
    </row>
    <row r="772">
      <c r="B772" s="1087"/>
      <c r="D772" s="1057"/>
      <c r="F772" s="1057"/>
    </row>
    <row r="773">
      <c r="B773" s="1087"/>
      <c r="D773" s="1057"/>
      <c r="F773" s="1057"/>
    </row>
    <row r="774">
      <c r="B774" s="1087"/>
      <c r="D774" s="1057"/>
      <c r="F774" s="1057"/>
    </row>
    <row r="775">
      <c r="B775" s="1087"/>
      <c r="D775" s="1057"/>
      <c r="F775" s="1057"/>
    </row>
    <row r="776">
      <c r="B776" s="1087"/>
      <c r="D776" s="1057"/>
      <c r="F776" s="1057"/>
    </row>
    <row r="777">
      <c r="B777" s="1087"/>
      <c r="D777" s="1057"/>
      <c r="F777" s="1057"/>
    </row>
    <row r="778">
      <c r="B778" s="1087"/>
      <c r="D778" s="1057"/>
      <c r="F778" s="1057"/>
    </row>
    <row r="779">
      <c r="B779" s="1087"/>
      <c r="D779" s="1057"/>
      <c r="F779" s="1057"/>
    </row>
    <row r="780">
      <c r="B780" s="1087"/>
      <c r="D780" s="1057"/>
      <c r="F780" s="1057"/>
    </row>
    <row r="781">
      <c r="B781" s="1087"/>
      <c r="D781" s="1057"/>
      <c r="F781" s="1057"/>
    </row>
    <row r="782">
      <c r="B782" s="1087"/>
      <c r="D782" s="1057"/>
      <c r="F782" s="1057"/>
    </row>
    <row r="783">
      <c r="B783" s="1087"/>
      <c r="D783" s="1057"/>
      <c r="F783" s="1057"/>
    </row>
    <row r="784">
      <c r="B784" s="1087"/>
      <c r="D784" s="1057"/>
      <c r="F784" s="1057"/>
    </row>
    <row r="785">
      <c r="B785" s="1087"/>
      <c r="D785" s="1057"/>
      <c r="F785" s="1057"/>
    </row>
    <row r="786">
      <c r="B786" s="1087"/>
      <c r="D786" s="1057"/>
      <c r="F786" s="1057"/>
    </row>
    <row r="787">
      <c r="B787" s="1087"/>
      <c r="D787" s="1057"/>
      <c r="F787" s="1057"/>
    </row>
    <row r="788">
      <c r="B788" s="1087"/>
      <c r="D788" s="1057"/>
      <c r="F788" s="1057"/>
    </row>
    <row r="789">
      <c r="B789" s="1087"/>
      <c r="D789" s="1057"/>
      <c r="F789" s="1057"/>
    </row>
    <row r="790">
      <c r="B790" s="1087"/>
      <c r="D790" s="1057"/>
      <c r="F790" s="1057"/>
    </row>
    <row r="791">
      <c r="B791" s="1087"/>
      <c r="D791" s="1057"/>
      <c r="F791" s="1057"/>
    </row>
    <row r="792">
      <c r="B792" s="1087"/>
      <c r="D792" s="1057"/>
      <c r="F792" s="1057"/>
    </row>
    <row r="793">
      <c r="B793" s="1087"/>
      <c r="D793" s="1057"/>
      <c r="F793" s="1057"/>
    </row>
    <row r="794">
      <c r="B794" s="1087"/>
      <c r="D794" s="1057"/>
      <c r="F794" s="1057"/>
    </row>
    <row r="795">
      <c r="B795" s="1087"/>
      <c r="D795" s="1057"/>
      <c r="F795" s="1057"/>
    </row>
    <row r="796">
      <c r="B796" s="1087"/>
      <c r="D796" s="1057"/>
      <c r="F796" s="1057"/>
    </row>
    <row r="797">
      <c r="B797" s="1087"/>
      <c r="D797" s="1057"/>
      <c r="F797" s="1057"/>
    </row>
    <row r="798">
      <c r="B798" s="1087"/>
      <c r="D798" s="1057"/>
      <c r="F798" s="1057"/>
    </row>
    <row r="799">
      <c r="B799" s="1087"/>
      <c r="D799" s="1057"/>
      <c r="F799" s="1057"/>
    </row>
    <row r="800">
      <c r="B800" s="1087"/>
      <c r="D800" s="1057"/>
      <c r="F800" s="1057"/>
    </row>
    <row r="801">
      <c r="B801" s="1087"/>
      <c r="D801" s="1057"/>
      <c r="F801" s="1057"/>
    </row>
    <row r="802">
      <c r="B802" s="1087"/>
      <c r="D802" s="1057"/>
      <c r="F802" s="1057"/>
    </row>
    <row r="803">
      <c r="B803" s="1087"/>
      <c r="D803" s="1057"/>
      <c r="F803" s="1057"/>
    </row>
    <row r="804">
      <c r="B804" s="1087"/>
      <c r="D804" s="1057"/>
      <c r="F804" s="1057"/>
    </row>
    <row r="805">
      <c r="B805" s="1087"/>
      <c r="D805" s="1057"/>
      <c r="F805" s="1057"/>
    </row>
    <row r="806">
      <c r="B806" s="1087"/>
      <c r="D806" s="1057"/>
      <c r="F806" s="1057"/>
    </row>
    <row r="807">
      <c r="B807" s="1087"/>
      <c r="D807" s="1057"/>
      <c r="F807" s="1057"/>
    </row>
    <row r="808">
      <c r="B808" s="1087"/>
      <c r="D808" s="1057"/>
      <c r="F808" s="1057"/>
    </row>
    <row r="809">
      <c r="B809" s="1087"/>
      <c r="D809" s="1057"/>
      <c r="F809" s="1057"/>
    </row>
    <row r="810">
      <c r="B810" s="1087"/>
      <c r="D810" s="1057"/>
      <c r="F810" s="1057"/>
    </row>
    <row r="811">
      <c r="B811" s="1087"/>
      <c r="D811" s="1057"/>
      <c r="F811" s="1057"/>
    </row>
    <row r="812">
      <c r="B812" s="1087"/>
      <c r="D812" s="1057"/>
      <c r="F812" s="1057"/>
    </row>
    <row r="813">
      <c r="B813" s="1087"/>
      <c r="D813" s="1057"/>
      <c r="F813" s="1057"/>
    </row>
    <row r="814">
      <c r="B814" s="1087"/>
      <c r="D814" s="1057"/>
      <c r="F814" s="1057"/>
    </row>
    <row r="815">
      <c r="B815" s="1087"/>
      <c r="D815" s="1057"/>
      <c r="F815" s="1057"/>
    </row>
    <row r="816">
      <c r="B816" s="1087"/>
      <c r="D816" s="1057"/>
      <c r="F816" s="1057"/>
    </row>
    <row r="817">
      <c r="B817" s="1087"/>
      <c r="D817" s="1057"/>
      <c r="F817" s="1057"/>
    </row>
    <row r="818">
      <c r="B818" s="1087"/>
      <c r="D818" s="1057"/>
      <c r="F818" s="1057"/>
    </row>
    <row r="819">
      <c r="B819" s="1087"/>
      <c r="D819" s="1057"/>
      <c r="F819" s="1057"/>
    </row>
    <row r="820">
      <c r="B820" s="1087"/>
      <c r="D820" s="1057"/>
      <c r="F820" s="1057"/>
    </row>
    <row r="821">
      <c r="B821" s="1087"/>
      <c r="D821" s="1057"/>
      <c r="F821" s="1057"/>
    </row>
    <row r="822">
      <c r="B822" s="1087"/>
      <c r="D822" s="1057"/>
      <c r="F822" s="1057"/>
    </row>
    <row r="823">
      <c r="B823" s="1087"/>
      <c r="D823" s="1057"/>
      <c r="F823" s="1057"/>
    </row>
    <row r="824">
      <c r="B824" s="1087"/>
      <c r="D824" s="1057"/>
      <c r="F824" s="1057"/>
    </row>
    <row r="825">
      <c r="B825" s="1087"/>
      <c r="D825" s="1057"/>
      <c r="F825" s="1057"/>
    </row>
    <row r="826">
      <c r="B826" s="1087"/>
      <c r="D826" s="1057"/>
      <c r="F826" s="1057"/>
    </row>
    <row r="827">
      <c r="B827" s="1087"/>
      <c r="D827" s="1057"/>
      <c r="F827" s="1057"/>
    </row>
    <row r="828">
      <c r="B828" s="1087"/>
      <c r="D828" s="1057"/>
      <c r="F828" s="1057"/>
    </row>
    <row r="829">
      <c r="B829" s="1087"/>
      <c r="D829" s="1057"/>
      <c r="F829" s="1057"/>
    </row>
    <row r="830">
      <c r="B830" s="1087"/>
      <c r="D830" s="1057"/>
      <c r="F830" s="1057"/>
    </row>
    <row r="831">
      <c r="B831" s="1087"/>
      <c r="D831" s="1057"/>
      <c r="F831" s="1057"/>
    </row>
    <row r="832">
      <c r="B832" s="1087"/>
      <c r="D832" s="1057"/>
      <c r="F832" s="1057"/>
    </row>
    <row r="833">
      <c r="B833" s="1087"/>
      <c r="D833" s="1057"/>
      <c r="F833" s="1057"/>
    </row>
    <row r="834">
      <c r="B834" s="1087"/>
      <c r="D834" s="1057"/>
      <c r="F834" s="1057"/>
    </row>
    <row r="835">
      <c r="B835" s="1087"/>
      <c r="D835" s="1057"/>
      <c r="F835" s="1057"/>
    </row>
    <row r="836">
      <c r="B836" s="1087"/>
      <c r="D836" s="1057"/>
      <c r="F836" s="1057"/>
    </row>
    <row r="837">
      <c r="B837" s="1087"/>
      <c r="D837" s="1057"/>
      <c r="F837" s="1057"/>
    </row>
    <row r="838">
      <c r="B838" s="1087"/>
      <c r="D838" s="1057"/>
      <c r="F838" s="1057"/>
    </row>
    <row r="839">
      <c r="B839" s="1087"/>
      <c r="D839" s="1057"/>
      <c r="F839" s="1057"/>
    </row>
    <row r="840">
      <c r="B840" s="1087"/>
      <c r="D840" s="1057"/>
      <c r="F840" s="1057"/>
    </row>
    <row r="841">
      <c r="B841" s="1087"/>
      <c r="D841" s="1057"/>
      <c r="F841" s="1057"/>
    </row>
    <row r="842">
      <c r="B842" s="1087"/>
      <c r="D842" s="1057"/>
      <c r="F842" s="1057"/>
    </row>
    <row r="843">
      <c r="B843" s="1087"/>
      <c r="D843" s="1057"/>
      <c r="F843" s="1057"/>
    </row>
    <row r="844">
      <c r="B844" s="1087"/>
      <c r="D844" s="1057"/>
      <c r="F844" s="1057"/>
    </row>
    <row r="845">
      <c r="B845" s="1087"/>
      <c r="D845" s="1057"/>
      <c r="F845" s="1057"/>
    </row>
    <row r="846">
      <c r="B846" s="1087"/>
      <c r="D846" s="1057"/>
      <c r="F846" s="1057"/>
    </row>
    <row r="847">
      <c r="B847" s="1087"/>
      <c r="D847" s="1057"/>
      <c r="F847" s="1057"/>
    </row>
    <row r="848">
      <c r="B848" s="1087"/>
      <c r="D848" s="1057"/>
      <c r="F848" s="1057"/>
    </row>
    <row r="849">
      <c r="B849" s="1087"/>
      <c r="D849" s="1057"/>
      <c r="F849" s="1057"/>
    </row>
    <row r="850">
      <c r="B850" s="1087"/>
      <c r="D850" s="1057"/>
      <c r="F850" s="1057"/>
    </row>
    <row r="851">
      <c r="B851" s="1087"/>
      <c r="D851" s="1057"/>
      <c r="F851" s="1057"/>
    </row>
    <row r="852">
      <c r="B852" s="1087"/>
      <c r="D852" s="1057"/>
      <c r="F852" s="1057"/>
    </row>
    <row r="853">
      <c r="B853" s="1087"/>
      <c r="D853" s="1057"/>
      <c r="F853" s="1057"/>
    </row>
    <row r="854">
      <c r="B854" s="1087"/>
      <c r="D854" s="1057"/>
      <c r="F854" s="1057"/>
    </row>
    <row r="855">
      <c r="B855" s="1087"/>
      <c r="D855" s="1057"/>
      <c r="F855" s="1057"/>
    </row>
    <row r="856">
      <c r="B856" s="1087"/>
      <c r="D856" s="1057"/>
      <c r="F856" s="1057"/>
    </row>
    <row r="857">
      <c r="B857" s="1087"/>
      <c r="D857" s="1057"/>
      <c r="F857" s="1057"/>
    </row>
    <row r="858">
      <c r="B858" s="1087"/>
      <c r="D858" s="1057"/>
      <c r="F858" s="1057"/>
    </row>
    <row r="859">
      <c r="B859" s="1087"/>
      <c r="D859" s="1057"/>
      <c r="F859" s="1057"/>
    </row>
    <row r="860">
      <c r="B860" s="1087"/>
      <c r="D860" s="1057"/>
      <c r="F860" s="1057"/>
    </row>
    <row r="861">
      <c r="B861" s="1087"/>
      <c r="D861" s="1057"/>
      <c r="F861" s="1057"/>
    </row>
    <row r="862">
      <c r="B862" s="1087"/>
      <c r="D862" s="1057"/>
      <c r="F862" s="1057"/>
    </row>
    <row r="863">
      <c r="B863" s="1087"/>
      <c r="D863" s="1057"/>
      <c r="F863" s="1057"/>
    </row>
    <row r="864">
      <c r="B864" s="1087"/>
      <c r="D864" s="1057"/>
      <c r="F864" s="1057"/>
    </row>
    <row r="865">
      <c r="B865" s="1087"/>
      <c r="D865" s="1057"/>
      <c r="F865" s="1057"/>
    </row>
    <row r="866">
      <c r="B866" s="1087"/>
      <c r="D866" s="1057"/>
      <c r="F866" s="1057"/>
    </row>
    <row r="867">
      <c r="B867" s="1087"/>
      <c r="D867" s="1057"/>
      <c r="F867" s="1057"/>
    </row>
    <row r="868">
      <c r="B868" s="1087"/>
      <c r="D868" s="1057"/>
      <c r="F868" s="1057"/>
    </row>
    <row r="869">
      <c r="B869" s="1087"/>
      <c r="D869" s="1057"/>
      <c r="F869" s="1057"/>
    </row>
    <row r="870">
      <c r="B870" s="1087"/>
      <c r="D870" s="1057"/>
      <c r="F870" s="1057"/>
    </row>
    <row r="871">
      <c r="B871" s="1087"/>
      <c r="D871" s="1057"/>
      <c r="F871" s="1057"/>
    </row>
    <row r="872">
      <c r="B872" s="1087"/>
      <c r="D872" s="1057"/>
      <c r="F872" s="1057"/>
    </row>
    <row r="873">
      <c r="B873" s="1087"/>
      <c r="D873" s="1057"/>
      <c r="F873" s="1057"/>
    </row>
    <row r="874">
      <c r="B874" s="1087"/>
      <c r="D874" s="1057"/>
      <c r="F874" s="1057"/>
    </row>
    <row r="875">
      <c r="B875" s="1087"/>
      <c r="D875" s="1057"/>
      <c r="F875" s="1057"/>
    </row>
    <row r="876">
      <c r="B876" s="1087"/>
      <c r="D876" s="1057"/>
      <c r="F876" s="1057"/>
    </row>
    <row r="877">
      <c r="B877" s="1087"/>
      <c r="D877" s="1057"/>
      <c r="F877" s="1057"/>
    </row>
    <row r="878">
      <c r="B878" s="1087"/>
      <c r="D878" s="1057"/>
      <c r="F878" s="1057"/>
    </row>
    <row r="879">
      <c r="B879" s="1087"/>
      <c r="D879" s="1057"/>
      <c r="F879" s="1057"/>
    </row>
    <row r="880">
      <c r="B880" s="1087"/>
      <c r="D880" s="1057"/>
      <c r="F880" s="1057"/>
    </row>
    <row r="881">
      <c r="B881" s="1087"/>
      <c r="D881" s="1057"/>
      <c r="F881" s="1057"/>
    </row>
    <row r="882">
      <c r="B882" s="1087"/>
      <c r="D882" s="1057"/>
      <c r="F882" s="1057"/>
    </row>
    <row r="883">
      <c r="B883" s="1087"/>
      <c r="D883" s="1057"/>
      <c r="F883" s="1057"/>
    </row>
    <row r="884">
      <c r="B884" s="1087"/>
      <c r="D884" s="1057"/>
      <c r="F884" s="1057"/>
    </row>
    <row r="885">
      <c r="B885" s="1087"/>
      <c r="D885" s="1057"/>
      <c r="F885" s="1057"/>
    </row>
    <row r="886">
      <c r="B886" s="1087"/>
      <c r="D886" s="1057"/>
      <c r="F886" s="1057"/>
    </row>
    <row r="887">
      <c r="B887" s="1087"/>
      <c r="D887" s="1057"/>
      <c r="F887" s="1057"/>
    </row>
    <row r="888">
      <c r="B888" s="1087"/>
      <c r="D888" s="1057"/>
      <c r="F888" s="1057"/>
    </row>
    <row r="889">
      <c r="B889" s="1087"/>
      <c r="D889" s="1057"/>
      <c r="F889" s="1057"/>
    </row>
    <row r="890">
      <c r="B890" s="1087"/>
      <c r="D890" s="1057"/>
      <c r="F890" s="1057"/>
    </row>
    <row r="891">
      <c r="B891" s="1087"/>
      <c r="D891" s="1057"/>
      <c r="F891" s="1057"/>
    </row>
    <row r="892">
      <c r="B892" s="1087"/>
      <c r="D892" s="1057"/>
      <c r="F892" s="1057"/>
    </row>
    <row r="893">
      <c r="B893" s="1087"/>
      <c r="D893" s="1057"/>
      <c r="F893" s="1057"/>
    </row>
    <row r="894">
      <c r="B894" s="1087"/>
      <c r="D894" s="1057"/>
      <c r="F894" s="1057"/>
    </row>
    <row r="895">
      <c r="B895" s="1087"/>
      <c r="D895" s="1057"/>
      <c r="F895" s="1057"/>
    </row>
    <row r="896">
      <c r="B896" s="1087"/>
      <c r="D896" s="1057"/>
      <c r="F896" s="1057"/>
    </row>
    <row r="897">
      <c r="B897" s="1087"/>
      <c r="D897" s="1057"/>
      <c r="F897" s="1057"/>
    </row>
    <row r="898">
      <c r="B898" s="1087"/>
      <c r="D898" s="1057"/>
      <c r="F898" s="1057"/>
    </row>
    <row r="899">
      <c r="B899" s="1087"/>
      <c r="D899" s="1057"/>
      <c r="F899" s="1057"/>
    </row>
    <row r="900">
      <c r="B900" s="1087"/>
      <c r="D900" s="1057"/>
      <c r="F900" s="1057"/>
    </row>
    <row r="901">
      <c r="B901" s="1087"/>
      <c r="D901" s="1057"/>
      <c r="F901" s="1057"/>
    </row>
    <row r="902">
      <c r="B902" s="1087"/>
      <c r="D902" s="1057"/>
      <c r="F902" s="1057"/>
    </row>
    <row r="903">
      <c r="B903" s="1087"/>
      <c r="D903" s="1057"/>
      <c r="F903" s="1057"/>
    </row>
    <row r="904">
      <c r="B904" s="1087"/>
      <c r="D904" s="1057"/>
      <c r="F904" s="1057"/>
    </row>
    <row r="905">
      <c r="B905" s="1087"/>
      <c r="D905" s="1057"/>
      <c r="F905" s="1057"/>
    </row>
    <row r="906">
      <c r="B906" s="1087"/>
      <c r="D906" s="1057"/>
      <c r="F906" s="1057"/>
    </row>
    <row r="907">
      <c r="B907" s="1087"/>
      <c r="D907" s="1057"/>
      <c r="F907" s="1057"/>
    </row>
    <row r="908">
      <c r="B908" s="1087"/>
      <c r="D908" s="1057"/>
      <c r="F908" s="1057"/>
    </row>
    <row r="909">
      <c r="B909" s="1087"/>
      <c r="D909" s="1057"/>
      <c r="F909" s="1057"/>
    </row>
    <row r="910">
      <c r="B910" s="1087"/>
      <c r="D910" s="1057"/>
      <c r="F910" s="1057"/>
    </row>
    <row r="911">
      <c r="B911" s="1087"/>
      <c r="D911" s="1057"/>
      <c r="F911" s="1057"/>
    </row>
    <row r="912">
      <c r="B912" s="1087"/>
      <c r="D912" s="1057"/>
      <c r="F912" s="1057"/>
    </row>
    <row r="913">
      <c r="B913" s="1087"/>
      <c r="D913" s="1057"/>
      <c r="F913" s="1057"/>
    </row>
    <row r="914">
      <c r="B914" s="1087"/>
      <c r="D914" s="1057"/>
      <c r="F914" s="1057"/>
    </row>
    <row r="915">
      <c r="B915" s="1087"/>
      <c r="D915" s="1057"/>
      <c r="F915" s="1057"/>
    </row>
    <row r="916">
      <c r="B916" s="1087"/>
      <c r="D916" s="1057"/>
      <c r="F916" s="1057"/>
    </row>
    <row r="917">
      <c r="B917" s="1087"/>
      <c r="D917" s="1057"/>
      <c r="F917" s="1057"/>
    </row>
    <row r="918">
      <c r="B918" s="1087"/>
      <c r="D918" s="1057"/>
      <c r="F918" s="1057"/>
    </row>
    <row r="919">
      <c r="B919" s="1087"/>
      <c r="D919" s="1057"/>
      <c r="F919" s="1057"/>
    </row>
    <row r="920">
      <c r="B920" s="1087"/>
      <c r="D920" s="1057"/>
      <c r="F920" s="1057"/>
    </row>
    <row r="921">
      <c r="B921" s="1087"/>
      <c r="D921" s="1057"/>
      <c r="F921" s="1057"/>
    </row>
    <row r="922">
      <c r="B922" s="1087"/>
      <c r="D922" s="1057"/>
      <c r="F922" s="1057"/>
    </row>
    <row r="923">
      <c r="B923" s="1087"/>
      <c r="D923" s="1057"/>
      <c r="F923" s="1057"/>
    </row>
    <row r="924">
      <c r="B924" s="1087"/>
      <c r="D924" s="1057"/>
      <c r="F924" s="1057"/>
    </row>
    <row r="925">
      <c r="B925" s="1087"/>
      <c r="D925" s="1057"/>
      <c r="F925" s="1057"/>
    </row>
    <row r="926">
      <c r="B926" s="1087"/>
      <c r="D926" s="1057"/>
      <c r="F926" s="1057"/>
    </row>
    <row r="927">
      <c r="B927" s="1087"/>
      <c r="D927" s="1057"/>
      <c r="F927" s="1057"/>
    </row>
    <row r="928">
      <c r="B928" s="1087"/>
      <c r="D928" s="1057"/>
      <c r="F928" s="1057"/>
    </row>
    <row r="929">
      <c r="B929" s="1087"/>
      <c r="D929" s="1057"/>
      <c r="F929" s="1057"/>
    </row>
    <row r="930">
      <c r="B930" s="1087"/>
      <c r="D930" s="1057"/>
      <c r="F930" s="1057"/>
    </row>
    <row r="931">
      <c r="B931" s="1087"/>
      <c r="D931" s="1057"/>
      <c r="F931" s="1057"/>
    </row>
    <row r="932">
      <c r="B932" s="1087"/>
      <c r="D932" s="1057"/>
      <c r="F932" s="1057"/>
    </row>
    <row r="933">
      <c r="B933" s="1087"/>
      <c r="D933" s="1057"/>
      <c r="F933" s="1057"/>
    </row>
    <row r="934">
      <c r="B934" s="1087"/>
      <c r="D934" s="1057"/>
      <c r="F934" s="1057"/>
    </row>
    <row r="935">
      <c r="B935" s="1087"/>
      <c r="D935" s="1057"/>
      <c r="F935" s="1057"/>
    </row>
    <row r="936">
      <c r="B936" s="1087"/>
      <c r="D936" s="1057"/>
      <c r="F936" s="1057"/>
    </row>
    <row r="937">
      <c r="B937" s="1087"/>
      <c r="D937" s="1057"/>
      <c r="F937" s="1057"/>
    </row>
    <row r="938">
      <c r="B938" s="1087"/>
      <c r="D938" s="1057"/>
      <c r="F938" s="1057"/>
    </row>
    <row r="939">
      <c r="B939" s="1087"/>
      <c r="D939" s="1057"/>
      <c r="F939" s="1057"/>
    </row>
    <row r="940">
      <c r="B940" s="1087"/>
      <c r="D940" s="1057"/>
      <c r="F940" s="1057"/>
    </row>
    <row r="941">
      <c r="B941" s="1087"/>
      <c r="D941" s="1057"/>
      <c r="F941" s="1057"/>
    </row>
    <row r="942">
      <c r="B942" s="1087"/>
      <c r="D942" s="1057"/>
      <c r="F942" s="1057"/>
    </row>
    <row r="943">
      <c r="B943" s="1087"/>
      <c r="D943" s="1057"/>
      <c r="F943" s="1057"/>
    </row>
    <row r="944">
      <c r="B944" s="1087"/>
      <c r="D944" s="1057"/>
      <c r="F944" s="1057"/>
    </row>
    <row r="945">
      <c r="B945" s="1087"/>
      <c r="D945" s="1057"/>
      <c r="F945" s="1057"/>
    </row>
    <row r="946">
      <c r="B946" s="1087"/>
      <c r="D946" s="1057"/>
      <c r="F946" s="1057"/>
    </row>
    <row r="947">
      <c r="B947" s="1087"/>
      <c r="D947" s="1057"/>
      <c r="F947" s="1057"/>
    </row>
    <row r="948">
      <c r="B948" s="1087"/>
      <c r="D948" s="1057"/>
      <c r="F948" s="1057"/>
    </row>
    <row r="949">
      <c r="B949" s="1087"/>
      <c r="D949" s="1057"/>
      <c r="F949" s="1057"/>
    </row>
    <row r="950">
      <c r="B950" s="1087"/>
      <c r="D950" s="1057"/>
      <c r="F950" s="1057"/>
    </row>
    <row r="951">
      <c r="B951" s="1087"/>
      <c r="D951" s="1057"/>
      <c r="F951" s="1057"/>
    </row>
    <row r="952">
      <c r="B952" s="1087"/>
      <c r="D952" s="1057"/>
      <c r="F952" s="1057"/>
    </row>
    <row r="953">
      <c r="B953" s="1087"/>
      <c r="D953" s="1057"/>
      <c r="F953" s="1057"/>
    </row>
    <row r="954">
      <c r="B954" s="1087"/>
      <c r="D954" s="1057"/>
      <c r="F954" s="1057"/>
    </row>
    <row r="955">
      <c r="B955" s="1087"/>
      <c r="D955" s="1057"/>
      <c r="F955" s="1057"/>
    </row>
    <row r="956">
      <c r="B956" s="1087"/>
      <c r="D956" s="1057"/>
      <c r="F956" s="1057"/>
    </row>
    <row r="957">
      <c r="B957" s="1087"/>
      <c r="D957" s="1057"/>
      <c r="F957" s="1057"/>
    </row>
    <row r="958">
      <c r="B958" s="1087"/>
      <c r="D958" s="1057"/>
      <c r="F958" s="1057"/>
    </row>
    <row r="959">
      <c r="B959" s="1087"/>
      <c r="D959" s="1057"/>
      <c r="F959" s="1057"/>
    </row>
    <row r="960">
      <c r="B960" s="1087"/>
      <c r="D960" s="1057"/>
      <c r="F960" s="1057"/>
    </row>
    <row r="961">
      <c r="B961" s="1087"/>
      <c r="D961" s="1057"/>
      <c r="F961" s="1057"/>
    </row>
    <row r="962">
      <c r="B962" s="1087"/>
      <c r="D962" s="1057"/>
      <c r="F962" s="1057"/>
    </row>
    <row r="963">
      <c r="B963" s="1087"/>
      <c r="D963" s="1057"/>
      <c r="F963" s="1057"/>
    </row>
    <row r="964">
      <c r="B964" s="1087"/>
      <c r="D964" s="1057"/>
      <c r="F964" s="1057"/>
    </row>
    <row r="965">
      <c r="B965" s="1087"/>
      <c r="D965" s="1057"/>
      <c r="F965" s="1057"/>
    </row>
    <row r="966">
      <c r="B966" s="1087"/>
      <c r="D966" s="1057"/>
      <c r="F966" s="1057"/>
    </row>
    <row r="967">
      <c r="B967" s="1087"/>
      <c r="D967" s="1057"/>
      <c r="F967" s="1057"/>
    </row>
    <row r="968">
      <c r="B968" s="1087"/>
      <c r="D968" s="1057"/>
      <c r="F968" s="1057"/>
    </row>
    <row r="969">
      <c r="B969" s="1087"/>
      <c r="D969" s="1057"/>
      <c r="F969" s="1057"/>
    </row>
    <row r="970">
      <c r="B970" s="1087"/>
      <c r="D970" s="1057"/>
      <c r="F970" s="1057"/>
    </row>
    <row r="971">
      <c r="B971" s="1087"/>
      <c r="D971" s="1057"/>
      <c r="F971" s="1057"/>
    </row>
    <row r="972">
      <c r="B972" s="1087"/>
      <c r="D972" s="1057"/>
      <c r="F972" s="1057"/>
    </row>
    <row r="973">
      <c r="B973" s="1087"/>
      <c r="D973" s="1057"/>
      <c r="F973" s="1057"/>
    </row>
    <row r="974">
      <c r="B974" s="1087"/>
      <c r="D974" s="1057"/>
      <c r="F974" s="1057"/>
    </row>
    <row r="975">
      <c r="B975" s="1087"/>
      <c r="D975" s="1057"/>
      <c r="F975" s="1057"/>
    </row>
    <row r="976">
      <c r="B976" s="1087"/>
      <c r="D976" s="1057"/>
      <c r="F976" s="1057"/>
    </row>
    <row r="977">
      <c r="B977" s="1087"/>
      <c r="D977" s="1057"/>
      <c r="F977" s="1057"/>
    </row>
    <row r="978">
      <c r="B978" s="1087"/>
      <c r="D978" s="1057"/>
      <c r="F978" s="1057"/>
    </row>
    <row r="979">
      <c r="B979" s="1087"/>
      <c r="D979" s="1057"/>
      <c r="F979" s="1057"/>
    </row>
    <row r="980">
      <c r="B980" s="1087"/>
      <c r="D980" s="1057"/>
      <c r="F980" s="1057"/>
    </row>
    <row r="981">
      <c r="B981" s="1087"/>
      <c r="D981" s="1057"/>
      <c r="F981" s="1057"/>
    </row>
    <row r="982">
      <c r="B982" s="1087"/>
      <c r="D982" s="1057"/>
      <c r="F982" s="1057"/>
    </row>
    <row r="983">
      <c r="B983" s="1087"/>
      <c r="D983" s="1057"/>
      <c r="F983" s="1057"/>
    </row>
    <row r="984">
      <c r="B984" s="1087"/>
      <c r="D984" s="1057"/>
      <c r="F984" s="1057"/>
    </row>
    <row r="985">
      <c r="B985" s="1087"/>
      <c r="D985" s="1057"/>
      <c r="F985" s="1057"/>
    </row>
    <row r="986">
      <c r="B986" s="1087"/>
      <c r="D986" s="1057"/>
      <c r="F986" s="1057"/>
    </row>
    <row r="987">
      <c r="B987" s="1087"/>
      <c r="D987" s="1057"/>
      <c r="F987" s="1057"/>
    </row>
    <row r="988">
      <c r="B988" s="1087"/>
      <c r="D988" s="1057"/>
      <c r="F988" s="1057"/>
    </row>
    <row r="989">
      <c r="B989" s="1087"/>
      <c r="D989" s="1057"/>
      <c r="F989" s="1057"/>
    </row>
    <row r="990">
      <c r="B990" s="1087"/>
      <c r="D990" s="1057"/>
      <c r="F990" s="1057"/>
    </row>
    <row r="991">
      <c r="B991" s="1087"/>
      <c r="D991" s="1057"/>
      <c r="F991" s="1057"/>
    </row>
    <row r="992">
      <c r="B992" s="1087"/>
      <c r="D992" s="1057"/>
      <c r="F992" s="1057"/>
    </row>
    <row r="993">
      <c r="B993" s="1087"/>
      <c r="D993" s="1057"/>
      <c r="F993" s="1057"/>
    </row>
    <row r="994">
      <c r="B994" s="1087"/>
      <c r="D994" s="1057"/>
      <c r="F994" s="1057"/>
    </row>
  </sheetData>
  <hyperlinks>
    <hyperlink r:id="rId1" ref="B18"/>
    <hyperlink r:id="rId2" ref="B19"/>
    <hyperlink r:id="rId3" ref="B20"/>
    <hyperlink r:id="rId4" ref="B21"/>
    <hyperlink r:id="rId5" ref="B22"/>
    <hyperlink r:id="rId6" ref="B23"/>
    <hyperlink r:id="rId7" ref="B24"/>
    <hyperlink r:id="rId8" ref="B25"/>
    <hyperlink r:id="rId9" ref="B26"/>
    <hyperlink r:id="rId10" ref="B27"/>
    <hyperlink r:id="rId11" ref="B28"/>
    <hyperlink r:id="rId12" ref="B30"/>
    <hyperlink r:id="rId13" ref="B31"/>
  </hyperlinks>
  <drawing r:id="rId14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88"/>
    <col customWidth="1" min="2" max="2" width="16.13"/>
    <col customWidth="1" min="3" max="4" width="19.88"/>
    <col customWidth="1" min="5" max="5" width="16.25"/>
    <col customWidth="1" min="6" max="6" width="17.13"/>
    <col customWidth="1" min="7" max="7" width="19.63"/>
    <col customWidth="1" min="8" max="8" width="15.88"/>
    <col customWidth="1" min="9" max="9" width="13.88"/>
    <col customWidth="1" min="10" max="10" width="24.0"/>
    <col customWidth="1" min="11" max="11" width="22.0"/>
    <col customWidth="1" min="12" max="27" width="34.88"/>
  </cols>
  <sheetData>
    <row r="1" ht="12.75" customHeight="1">
      <c r="A1" s="318" t="s">
        <v>394</v>
      </c>
      <c r="B1" s="566"/>
      <c r="C1" s="318"/>
      <c r="D1" s="318"/>
      <c r="E1" s="318"/>
      <c r="F1" s="318"/>
      <c r="G1" s="567"/>
      <c r="H1" s="568"/>
      <c r="I1" s="568"/>
      <c r="J1" s="568"/>
      <c r="K1" s="568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</row>
    <row r="2">
      <c r="A2" s="569" t="s">
        <v>395</v>
      </c>
      <c r="B2" s="569" t="s">
        <v>355</v>
      </c>
      <c r="C2" s="569" t="s">
        <v>395</v>
      </c>
      <c r="D2" s="569" t="s">
        <v>396</v>
      </c>
      <c r="E2" s="569" t="s">
        <v>397</v>
      </c>
      <c r="F2" s="569" t="s">
        <v>398</v>
      </c>
      <c r="G2" s="569" t="s">
        <v>399</v>
      </c>
      <c r="H2" s="569" t="s">
        <v>400</v>
      </c>
      <c r="I2" s="569" t="s">
        <v>403</v>
      </c>
      <c r="J2" s="569" t="s">
        <v>451</v>
      </c>
      <c r="K2" s="569" t="s">
        <v>452</v>
      </c>
      <c r="L2" s="569" t="s">
        <v>404</v>
      </c>
      <c r="M2" s="570"/>
      <c r="N2" s="570"/>
      <c r="O2" s="570"/>
      <c r="P2" s="570"/>
      <c r="Q2" s="570"/>
      <c r="R2" s="570"/>
      <c r="S2" s="570"/>
      <c r="T2" s="570"/>
      <c r="U2" s="570"/>
      <c r="V2" s="570"/>
      <c r="W2" s="570"/>
      <c r="X2" s="570"/>
      <c r="Y2" s="570"/>
      <c r="Z2" s="570"/>
      <c r="AA2" s="570"/>
    </row>
    <row r="3" ht="16.5" customHeight="1">
      <c r="A3" s="571" t="s">
        <v>405</v>
      </c>
      <c r="B3" s="572"/>
      <c r="C3" s="573"/>
      <c r="D3" s="573"/>
      <c r="E3" s="572"/>
      <c r="F3" s="574"/>
      <c r="G3" s="575"/>
      <c r="H3" s="576"/>
      <c r="I3" s="576"/>
      <c r="J3" s="575"/>
      <c r="K3" s="575"/>
      <c r="L3" s="577"/>
      <c r="M3" s="578"/>
      <c r="N3" s="578"/>
      <c r="O3" s="578"/>
      <c r="P3" s="578"/>
      <c r="Q3" s="578"/>
      <c r="R3" s="578"/>
      <c r="S3" s="578"/>
      <c r="T3" s="578"/>
      <c r="U3" s="578"/>
      <c r="V3" s="578"/>
      <c r="W3" s="578"/>
      <c r="X3" s="578"/>
      <c r="Y3" s="578"/>
      <c r="Z3" s="578"/>
      <c r="AA3" s="578"/>
    </row>
    <row r="4">
      <c r="A4" s="115" t="s">
        <v>406</v>
      </c>
      <c r="B4" s="109"/>
      <c r="C4" s="109" t="s">
        <v>407</v>
      </c>
      <c r="D4" s="109" t="s">
        <v>408</v>
      </c>
      <c r="E4" s="579" t="s">
        <v>359</v>
      </c>
      <c r="F4" s="580">
        <v>10000.0</v>
      </c>
      <c r="G4" s="580">
        <v>10000.0</v>
      </c>
      <c r="H4" s="582">
        <f t="shared" ref="H4:H6" si="1">IF(G4&gt;0,G4/SUM($G$4:$G$6), "")</f>
        <v>0.2</v>
      </c>
      <c r="I4" s="583"/>
      <c r="J4" s="584"/>
      <c r="K4" s="584"/>
      <c r="L4" s="578"/>
      <c r="M4" s="578"/>
      <c r="N4" s="578"/>
      <c r="O4" s="578"/>
      <c r="P4" s="578"/>
      <c r="Q4" s="578"/>
      <c r="R4" s="578"/>
      <c r="S4" s="578"/>
      <c r="T4" s="578"/>
      <c r="U4" s="578"/>
      <c r="V4" s="578"/>
      <c r="W4" s="578"/>
      <c r="X4" s="578"/>
      <c r="Y4" s="578"/>
      <c r="Z4" s="578"/>
      <c r="AA4" s="578"/>
    </row>
    <row r="5">
      <c r="A5" s="115" t="s">
        <v>453</v>
      </c>
      <c r="B5" s="109"/>
      <c r="C5" s="109" t="s">
        <v>410</v>
      </c>
      <c r="D5" s="109" t="s">
        <v>408</v>
      </c>
      <c r="E5" s="579" t="s">
        <v>359</v>
      </c>
      <c r="F5" s="580">
        <v>20000.0</v>
      </c>
      <c r="G5" s="580">
        <v>20000.0</v>
      </c>
      <c r="H5" s="582">
        <f t="shared" si="1"/>
        <v>0.4</v>
      </c>
      <c r="I5" s="583"/>
      <c r="J5" s="584"/>
      <c r="K5" s="584"/>
      <c r="L5" s="578"/>
      <c r="M5" s="578"/>
      <c r="N5" s="578"/>
      <c r="O5" s="578"/>
      <c r="P5" s="578"/>
      <c r="Q5" s="578"/>
      <c r="R5" s="578"/>
      <c r="S5" s="578"/>
      <c r="T5" s="578"/>
      <c r="U5" s="578"/>
      <c r="V5" s="578"/>
      <c r="W5" s="578"/>
      <c r="X5" s="578"/>
      <c r="Y5" s="578"/>
      <c r="Z5" s="578"/>
      <c r="AA5" s="578"/>
    </row>
    <row r="6">
      <c r="A6" s="115" t="s">
        <v>454</v>
      </c>
      <c r="B6" s="579"/>
      <c r="C6" s="585" t="s">
        <v>412</v>
      </c>
      <c r="D6" s="109" t="s">
        <v>408</v>
      </c>
      <c r="E6" s="579" t="s">
        <v>359</v>
      </c>
      <c r="F6" s="580">
        <v>20000.0</v>
      </c>
      <c r="G6" s="580">
        <v>20000.0</v>
      </c>
      <c r="H6" s="582">
        <f t="shared" si="1"/>
        <v>0.4</v>
      </c>
      <c r="I6" s="583"/>
      <c r="J6" s="584"/>
      <c r="K6" s="584"/>
      <c r="L6" s="578"/>
      <c r="M6" s="578"/>
      <c r="N6" s="578"/>
      <c r="O6" s="578"/>
      <c r="P6" s="578"/>
      <c r="Q6" s="578"/>
      <c r="R6" s="578"/>
      <c r="S6" s="578"/>
      <c r="T6" s="578"/>
      <c r="U6" s="578"/>
      <c r="V6" s="578"/>
      <c r="W6" s="578"/>
      <c r="X6" s="578"/>
      <c r="Y6" s="578"/>
      <c r="Z6" s="578"/>
      <c r="AA6" s="578"/>
    </row>
    <row r="7">
      <c r="A7" s="586"/>
      <c r="B7" s="587"/>
      <c r="C7" s="587"/>
      <c r="D7" s="587"/>
      <c r="E7" s="587"/>
      <c r="F7" s="588">
        <f t="shared" ref="F7:G7" si="2">SUM(F4:F6)</f>
        <v>50000</v>
      </c>
      <c r="G7" s="588">
        <f t="shared" si="2"/>
        <v>50000</v>
      </c>
      <c r="H7" s="589">
        <f>SUBTOTAL(109,H$4:H$6)</f>
        <v>1</v>
      </c>
      <c r="I7" s="590"/>
      <c r="J7" s="591"/>
      <c r="K7" s="591"/>
      <c r="L7" s="592"/>
      <c r="M7" s="592"/>
      <c r="N7" s="592"/>
      <c r="O7" s="592"/>
      <c r="P7" s="592"/>
      <c r="Q7" s="592"/>
      <c r="R7" s="592"/>
      <c r="S7" s="592"/>
      <c r="T7" s="592"/>
      <c r="U7" s="592"/>
      <c r="V7" s="592"/>
      <c r="W7" s="592"/>
      <c r="X7" s="592"/>
      <c r="Y7" s="592"/>
      <c r="Z7" s="592"/>
      <c r="AA7" s="592"/>
    </row>
    <row r="8">
      <c r="A8" s="354"/>
      <c r="B8" s="593"/>
      <c r="C8" s="593"/>
      <c r="D8" s="593"/>
      <c r="E8" s="593"/>
      <c r="F8" s="594"/>
      <c r="G8" s="594"/>
      <c r="H8" s="595"/>
      <c r="I8" s="582"/>
      <c r="J8" s="340"/>
      <c r="K8" s="340"/>
      <c r="L8" s="596"/>
      <c r="M8" s="596"/>
      <c r="N8" s="596"/>
      <c r="O8" s="596"/>
      <c r="P8" s="596"/>
      <c r="Q8" s="596"/>
      <c r="R8" s="596"/>
      <c r="S8" s="596"/>
      <c r="T8" s="596"/>
      <c r="U8" s="596"/>
      <c r="V8" s="596"/>
      <c r="W8" s="596"/>
      <c r="X8" s="596"/>
      <c r="Y8" s="596"/>
      <c r="Z8" s="596"/>
      <c r="AA8" s="596"/>
    </row>
    <row r="9" ht="15.0" customHeight="1">
      <c r="A9" s="597" t="s">
        <v>413</v>
      </c>
      <c r="B9" s="598"/>
      <c r="C9" s="598"/>
      <c r="D9" s="598"/>
      <c r="E9" s="598"/>
      <c r="F9" s="628"/>
      <c r="G9" s="599"/>
      <c r="H9" s="629"/>
      <c r="I9" s="629"/>
      <c r="J9" s="599"/>
      <c r="K9" s="599"/>
      <c r="L9" s="601"/>
      <c r="M9" s="596"/>
      <c r="N9" s="596"/>
      <c r="O9" s="596"/>
      <c r="P9" s="596"/>
      <c r="Q9" s="596"/>
      <c r="R9" s="596"/>
      <c r="S9" s="596"/>
      <c r="T9" s="596"/>
      <c r="U9" s="596"/>
      <c r="V9" s="596"/>
      <c r="W9" s="596"/>
      <c r="X9" s="596"/>
      <c r="Y9" s="596"/>
      <c r="Z9" s="596"/>
      <c r="AA9" s="596"/>
    </row>
    <row r="10" ht="15.0" customHeight="1">
      <c r="A10" s="642" t="s">
        <v>927</v>
      </c>
      <c r="B10" s="1093" t="s">
        <v>415</v>
      </c>
      <c r="C10" s="593"/>
      <c r="D10" s="593"/>
      <c r="E10" s="593"/>
      <c r="F10" s="1094">
        <v>2500000.0</v>
      </c>
      <c r="G10" s="1094">
        <v>2500000.0</v>
      </c>
      <c r="H10" s="630"/>
      <c r="I10" s="582"/>
      <c r="J10" s="340"/>
      <c r="K10" s="340"/>
      <c r="L10" s="596"/>
      <c r="M10" s="596"/>
      <c r="N10" s="596"/>
      <c r="O10" s="596"/>
      <c r="P10" s="596"/>
      <c r="Q10" s="596"/>
      <c r="R10" s="596"/>
      <c r="S10" s="596"/>
      <c r="T10" s="596"/>
      <c r="U10" s="596"/>
      <c r="V10" s="596"/>
      <c r="W10" s="596"/>
      <c r="X10" s="596"/>
      <c r="Y10" s="596"/>
      <c r="Z10" s="596"/>
      <c r="AA10" s="596"/>
    </row>
    <row r="11" ht="15.0" customHeight="1">
      <c r="A11" s="642" t="s">
        <v>414</v>
      </c>
      <c r="B11" s="1095" t="s">
        <v>415</v>
      </c>
      <c r="C11" s="593"/>
      <c r="D11" s="593"/>
      <c r="E11" s="593"/>
      <c r="F11" s="1094">
        <v>2.0E7</v>
      </c>
      <c r="G11" s="1094">
        <v>2.0E7</v>
      </c>
      <c r="H11" s="630">
        <f t="shared" ref="H11:H15" si="3">if(G11&gt;0,G11/sum($G$11:$G$15),"")</f>
        <v>0.8839583656</v>
      </c>
      <c r="I11" s="582"/>
      <c r="J11" s="340"/>
      <c r="K11" s="340"/>
      <c r="L11" s="596"/>
      <c r="M11" s="596"/>
      <c r="N11" s="596"/>
      <c r="O11" s="596"/>
      <c r="P11" s="596"/>
      <c r="Q11" s="596"/>
      <c r="R11" s="596"/>
      <c r="S11" s="596"/>
      <c r="T11" s="596"/>
      <c r="U11" s="596"/>
      <c r="V11" s="596"/>
      <c r="W11" s="596"/>
      <c r="X11" s="596"/>
      <c r="Y11" s="596"/>
      <c r="Z11" s="596"/>
      <c r="AA11" s="596"/>
    </row>
    <row r="12" ht="15.0" customHeight="1">
      <c r="A12" s="642" t="s">
        <v>417</v>
      </c>
      <c r="B12" s="1096" t="s">
        <v>415</v>
      </c>
      <c r="C12" s="593"/>
      <c r="D12" s="593"/>
      <c r="E12" s="593"/>
      <c r="F12" s="1097">
        <v>2000000.0</v>
      </c>
      <c r="G12" s="1097">
        <v>2000000.0</v>
      </c>
      <c r="H12" s="630">
        <f t="shared" si="3"/>
        <v>0.08839583656</v>
      </c>
      <c r="I12" s="582"/>
      <c r="J12" s="340"/>
      <c r="K12" s="340"/>
      <c r="L12" s="596"/>
      <c r="M12" s="596"/>
      <c r="N12" s="596"/>
      <c r="O12" s="596"/>
      <c r="P12" s="596"/>
      <c r="Q12" s="596"/>
      <c r="R12" s="596"/>
      <c r="S12" s="596"/>
      <c r="T12" s="596"/>
      <c r="U12" s="596"/>
      <c r="V12" s="596"/>
      <c r="W12" s="596"/>
      <c r="X12" s="596"/>
      <c r="Y12" s="596"/>
      <c r="Z12" s="596"/>
      <c r="AA12" s="596"/>
    </row>
    <row r="13" ht="15.0" customHeight="1">
      <c r="A13" s="644" t="s">
        <v>418</v>
      </c>
      <c r="B13" s="1096" t="s">
        <v>415</v>
      </c>
      <c r="C13" s="593"/>
      <c r="D13" s="593"/>
      <c r="E13" s="593"/>
      <c r="F13" s="1097">
        <v>500000.0</v>
      </c>
      <c r="G13" s="1097">
        <v>500000.0</v>
      </c>
      <c r="H13" s="630">
        <f t="shared" si="3"/>
        <v>0.02209895914</v>
      </c>
      <c r="I13" s="582"/>
      <c r="J13" s="340"/>
      <c r="K13" s="340"/>
      <c r="L13" s="596"/>
      <c r="M13" s="596"/>
      <c r="N13" s="596"/>
      <c r="O13" s="596"/>
      <c r="P13" s="596"/>
      <c r="Q13" s="596"/>
      <c r="R13" s="596"/>
      <c r="S13" s="596"/>
      <c r="T13" s="596"/>
      <c r="U13" s="596"/>
      <c r="V13" s="596"/>
      <c r="W13" s="596"/>
      <c r="X13" s="596"/>
      <c r="Y13" s="596"/>
      <c r="Z13" s="596"/>
      <c r="AA13" s="596"/>
    </row>
    <row r="14">
      <c r="A14" s="349" t="s">
        <v>420</v>
      </c>
      <c r="B14" s="1096" t="s">
        <v>421</v>
      </c>
      <c r="C14" s="593"/>
      <c r="D14" s="593"/>
      <c r="E14" s="612"/>
      <c r="F14" s="472">
        <v>100000.0</v>
      </c>
      <c r="G14" s="472">
        <v>100000.0</v>
      </c>
      <c r="H14" s="630">
        <f t="shared" si="3"/>
        <v>0.004419791828</v>
      </c>
      <c r="I14" s="616"/>
      <c r="J14" s="617"/>
      <c r="K14" s="614"/>
      <c r="L14" s="618"/>
      <c r="M14" s="618"/>
      <c r="N14" s="618"/>
      <c r="O14" s="618"/>
      <c r="P14" s="618"/>
      <c r="Q14" s="618"/>
      <c r="R14" s="618"/>
      <c r="S14" s="618"/>
      <c r="T14" s="618"/>
      <c r="U14" s="618"/>
      <c r="V14" s="618"/>
      <c r="W14" s="618"/>
      <c r="X14" s="618"/>
      <c r="Y14" s="618"/>
      <c r="Z14" s="618"/>
      <c r="AA14" s="618"/>
    </row>
    <row r="15" ht="15.0" customHeight="1">
      <c r="A15" s="642" t="s">
        <v>422</v>
      </c>
      <c r="B15" s="1096" t="s">
        <v>415</v>
      </c>
      <c r="C15" s="593"/>
      <c r="D15" s="593"/>
      <c r="E15" s="593"/>
      <c r="F15" s="1097">
        <f t="shared" ref="F15:G15" si="4">sum(10000,10000,5000,500)</f>
        <v>25500</v>
      </c>
      <c r="G15" s="1097">
        <f t="shared" si="4"/>
        <v>25500</v>
      </c>
      <c r="H15" s="630">
        <f t="shared" si="3"/>
        <v>0.001127046916</v>
      </c>
      <c r="I15" s="582"/>
      <c r="J15" s="340"/>
      <c r="K15" s="340"/>
      <c r="L15" s="596"/>
      <c r="M15" s="596"/>
      <c r="N15" s="596"/>
      <c r="O15" s="596"/>
      <c r="P15" s="596"/>
      <c r="Q15" s="596"/>
      <c r="R15" s="596"/>
      <c r="S15" s="596"/>
      <c r="T15" s="596"/>
      <c r="U15" s="596"/>
      <c r="V15" s="596"/>
      <c r="W15" s="596"/>
      <c r="X15" s="596"/>
      <c r="Y15" s="596"/>
      <c r="Z15" s="596"/>
      <c r="AA15" s="596"/>
    </row>
    <row r="16">
      <c r="A16" s="354"/>
      <c r="B16" s="593"/>
      <c r="C16" s="593"/>
      <c r="D16" s="593"/>
      <c r="E16" s="593"/>
      <c r="F16" s="594"/>
      <c r="G16" s="594"/>
      <c r="H16" s="595"/>
      <c r="I16" s="582"/>
      <c r="J16" s="340"/>
      <c r="K16" s="340"/>
      <c r="L16" s="596"/>
      <c r="M16" s="596"/>
      <c r="N16" s="596"/>
      <c r="O16" s="596"/>
      <c r="P16" s="596"/>
      <c r="Q16" s="596"/>
      <c r="R16" s="596"/>
      <c r="S16" s="596"/>
      <c r="T16" s="596"/>
      <c r="U16" s="596"/>
      <c r="V16" s="596"/>
      <c r="W16" s="596"/>
      <c r="X16" s="596"/>
      <c r="Y16" s="596"/>
      <c r="Z16" s="596"/>
      <c r="AA16" s="596"/>
    </row>
    <row r="17">
      <c r="A17" s="597" t="s">
        <v>928</v>
      </c>
      <c r="B17" s="598"/>
      <c r="C17" s="598"/>
      <c r="D17" s="598"/>
      <c r="E17" s="598"/>
      <c r="F17" s="599"/>
      <c r="G17" s="599"/>
      <c r="H17" s="600"/>
      <c r="I17" s="600"/>
      <c r="J17" s="599"/>
      <c r="K17" s="599"/>
      <c r="L17" s="601"/>
      <c r="M17" s="596"/>
      <c r="N17" s="596"/>
      <c r="O17" s="596"/>
      <c r="P17" s="596"/>
      <c r="Q17" s="596"/>
      <c r="R17" s="596"/>
      <c r="S17" s="596"/>
      <c r="T17" s="596"/>
      <c r="U17" s="596"/>
      <c r="V17" s="596"/>
      <c r="W17" s="596"/>
      <c r="X17" s="596"/>
      <c r="Y17" s="596"/>
      <c r="Z17" s="596"/>
      <c r="AA17" s="596"/>
    </row>
    <row r="18">
      <c r="A18" s="354" t="s">
        <v>929</v>
      </c>
      <c r="B18" s="593"/>
      <c r="C18" s="593"/>
      <c r="D18" s="593"/>
      <c r="E18" s="593"/>
      <c r="F18" s="594"/>
      <c r="G18" s="594"/>
      <c r="H18" s="595"/>
      <c r="I18" s="582"/>
      <c r="J18" s="340"/>
      <c r="K18" s="340"/>
      <c r="L18" s="596"/>
      <c r="M18" s="596"/>
      <c r="N18" s="596"/>
      <c r="O18" s="596"/>
      <c r="P18" s="596"/>
      <c r="Q18" s="596"/>
      <c r="R18" s="596"/>
      <c r="S18" s="596"/>
      <c r="T18" s="596"/>
      <c r="U18" s="596"/>
      <c r="V18" s="596"/>
      <c r="W18" s="596"/>
      <c r="X18" s="596"/>
      <c r="Y18" s="596"/>
      <c r="Z18" s="596"/>
      <c r="AA18" s="596"/>
    </row>
    <row r="19">
      <c r="A19" s="354" t="s">
        <v>930</v>
      </c>
      <c r="B19" s="593"/>
      <c r="C19" s="593"/>
      <c r="D19" s="593"/>
      <c r="E19" s="593"/>
      <c r="F19" s="594"/>
      <c r="G19" s="594"/>
      <c r="H19" s="595"/>
      <c r="I19" s="582"/>
      <c r="J19" s="340"/>
      <c r="K19" s="340"/>
      <c r="L19" s="596"/>
      <c r="M19" s="596"/>
      <c r="N19" s="596"/>
      <c r="O19" s="596"/>
      <c r="P19" s="596"/>
      <c r="Q19" s="596"/>
      <c r="R19" s="596"/>
      <c r="S19" s="596"/>
      <c r="T19" s="596"/>
      <c r="U19" s="596"/>
      <c r="V19" s="596"/>
      <c r="W19" s="596"/>
      <c r="X19" s="596"/>
      <c r="Y19" s="596"/>
      <c r="Z19" s="596"/>
      <c r="AA19" s="596"/>
    </row>
    <row r="20">
      <c r="A20" s="354" t="s">
        <v>931</v>
      </c>
      <c r="B20" s="593"/>
      <c r="C20" s="593"/>
      <c r="D20" s="593"/>
      <c r="E20" s="593"/>
      <c r="F20" s="594"/>
      <c r="G20" s="594"/>
      <c r="H20" s="595"/>
      <c r="I20" s="582"/>
      <c r="J20" s="340"/>
      <c r="K20" s="340"/>
      <c r="L20" s="596"/>
      <c r="M20" s="596"/>
      <c r="N20" s="596"/>
      <c r="O20" s="596"/>
      <c r="P20" s="596"/>
      <c r="Q20" s="596"/>
      <c r="R20" s="596"/>
      <c r="S20" s="596"/>
      <c r="T20" s="596"/>
      <c r="U20" s="596"/>
      <c r="V20" s="596"/>
      <c r="W20" s="596"/>
      <c r="X20" s="596"/>
      <c r="Y20" s="596"/>
      <c r="Z20" s="596"/>
      <c r="AA20" s="596"/>
    </row>
    <row r="21">
      <c r="A21" s="354" t="s">
        <v>932</v>
      </c>
      <c r="B21" s="593"/>
      <c r="C21" s="593"/>
      <c r="D21" s="593"/>
      <c r="E21" s="593"/>
      <c r="F21" s="594"/>
      <c r="G21" s="594"/>
      <c r="H21" s="595"/>
      <c r="I21" s="582"/>
      <c r="J21" s="340"/>
      <c r="K21" s="340"/>
      <c r="L21" s="596"/>
      <c r="M21" s="596"/>
      <c r="N21" s="596"/>
      <c r="O21" s="596"/>
      <c r="P21" s="596"/>
      <c r="Q21" s="596"/>
      <c r="R21" s="596"/>
      <c r="S21" s="596"/>
      <c r="T21" s="596"/>
      <c r="U21" s="596"/>
      <c r="V21" s="596"/>
      <c r="W21" s="596"/>
      <c r="X21" s="596"/>
      <c r="Y21" s="596"/>
      <c r="Z21" s="596"/>
      <c r="AA21" s="596"/>
    </row>
    <row r="22">
      <c r="A22" s="354" t="s">
        <v>933</v>
      </c>
      <c r="B22" s="593"/>
      <c r="C22" s="593"/>
      <c r="D22" s="593"/>
      <c r="E22" s="593"/>
      <c r="F22" s="594"/>
      <c r="G22" s="594"/>
      <c r="H22" s="595"/>
      <c r="I22" s="582"/>
      <c r="J22" s="340"/>
      <c r="K22" s="340"/>
      <c r="L22" s="596"/>
      <c r="M22" s="596"/>
      <c r="N22" s="596"/>
      <c r="O22" s="596"/>
      <c r="P22" s="596"/>
      <c r="Q22" s="596"/>
      <c r="R22" s="596"/>
      <c r="S22" s="596"/>
      <c r="T22" s="596"/>
      <c r="U22" s="596"/>
      <c r="V22" s="596"/>
      <c r="W22" s="596"/>
      <c r="X22" s="596"/>
      <c r="Y22" s="596"/>
      <c r="Z22" s="596"/>
      <c r="AA22" s="596"/>
    </row>
    <row r="23">
      <c r="A23" s="354" t="s">
        <v>934</v>
      </c>
      <c r="B23" s="593"/>
      <c r="C23" s="593"/>
      <c r="D23" s="593"/>
      <c r="E23" s="593"/>
      <c r="F23" s="594"/>
      <c r="G23" s="594"/>
      <c r="H23" s="595"/>
      <c r="I23" s="582"/>
      <c r="J23" s="340"/>
      <c r="K23" s="340"/>
      <c r="L23" s="596"/>
      <c r="M23" s="596"/>
      <c r="N23" s="596"/>
      <c r="O23" s="596"/>
      <c r="P23" s="596"/>
      <c r="Q23" s="596"/>
      <c r="R23" s="596"/>
      <c r="S23" s="596"/>
      <c r="T23" s="596"/>
      <c r="U23" s="596"/>
      <c r="V23" s="596"/>
      <c r="W23" s="596"/>
      <c r="X23" s="596"/>
      <c r="Y23" s="596"/>
      <c r="Z23" s="596"/>
      <c r="AA23" s="596"/>
    </row>
    <row r="24">
      <c r="A24" s="354" t="s">
        <v>935</v>
      </c>
      <c r="B24" s="593"/>
      <c r="C24" s="593"/>
      <c r="D24" s="593"/>
      <c r="E24" s="593"/>
      <c r="F24" s="594"/>
      <c r="G24" s="594"/>
      <c r="H24" s="595"/>
      <c r="I24" s="582"/>
      <c r="J24" s="340"/>
      <c r="K24" s="340"/>
      <c r="L24" s="596"/>
      <c r="M24" s="596"/>
      <c r="N24" s="596"/>
      <c r="O24" s="596"/>
      <c r="P24" s="596"/>
      <c r="Q24" s="596"/>
      <c r="R24" s="596"/>
      <c r="S24" s="596"/>
      <c r="T24" s="596"/>
      <c r="U24" s="596"/>
      <c r="V24" s="596"/>
      <c r="W24" s="596"/>
      <c r="X24" s="596"/>
      <c r="Y24" s="596"/>
      <c r="Z24" s="596"/>
      <c r="AA24" s="596"/>
    </row>
    <row r="25">
      <c r="A25" s="622"/>
      <c r="B25" s="623"/>
      <c r="C25" s="623"/>
      <c r="D25" s="623"/>
      <c r="E25" s="623"/>
      <c r="F25" s="624">
        <v>0.0</v>
      </c>
      <c r="G25" s="624">
        <v>0.0</v>
      </c>
      <c r="H25" s="625" t="str">
        <f>sum(#REF! )</f>
        <v>#REF!</v>
      </c>
      <c r="I25" s="625"/>
      <c r="J25" s="624" t="str">
        <f t="shared" ref="J25:K25" si="5">sum(#REF! )</f>
        <v>#REF!</v>
      </c>
      <c r="K25" s="624" t="str">
        <f t="shared" si="5"/>
        <v>#REF!</v>
      </c>
      <c r="L25" s="592"/>
      <c r="M25" s="592"/>
      <c r="N25" s="592"/>
      <c r="O25" s="592"/>
      <c r="P25" s="592"/>
      <c r="Q25" s="592"/>
      <c r="R25" s="592"/>
      <c r="S25" s="592"/>
      <c r="T25" s="592"/>
      <c r="U25" s="592"/>
      <c r="V25" s="592"/>
      <c r="W25" s="592"/>
      <c r="X25" s="592"/>
      <c r="Y25" s="592"/>
      <c r="Z25" s="592"/>
      <c r="AA25" s="592"/>
    </row>
    <row r="26">
      <c r="A26" s="626"/>
      <c r="B26" s="620"/>
      <c r="C26" s="620"/>
      <c r="D26" s="620"/>
      <c r="E26" s="620"/>
      <c r="F26" s="594"/>
      <c r="G26" s="340"/>
      <c r="H26" s="582"/>
      <c r="I26" s="582"/>
      <c r="J26" s="594"/>
      <c r="K26" s="340"/>
      <c r="L26" s="627"/>
      <c r="M26" s="627"/>
      <c r="N26" s="627"/>
      <c r="O26" s="627"/>
      <c r="P26" s="627"/>
      <c r="Q26" s="627"/>
      <c r="R26" s="627"/>
      <c r="S26" s="627"/>
      <c r="T26" s="627"/>
      <c r="U26" s="627"/>
      <c r="V26" s="627"/>
      <c r="W26" s="627"/>
      <c r="X26" s="627"/>
      <c r="Y26" s="627"/>
      <c r="Z26" s="627"/>
      <c r="AA26" s="627"/>
    </row>
    <row r="27">
      <c r="A27" s="597" t="s">
        <v>434</v>
      </c>
      <c r="B27" s="598"/>
      <c r="C27" s="598"/>
      <c r="D27" s="598"/>
      <c r="E27" s="598"/>
      <c r="F27" s="628"/>
      <c r="G27" s="599"/>
      <c r="H27" s="629"/>
      <c r="I27" s="629"/>
      <c r="J27" s="599"/>
      <c r="K27" s="599"/>
      <c r="L27" s="601"/>
      <c r="M27" s="596"/>
      <c r="N27" s="596"/>
      <c r="O27" s="596"/>
      <c r="P27" s="596"/>
      <c r="Q27" s="596"/>
      <c r="R27" s="596"/>
      <c r="S27" s="596"/>
      <c r="T27" s="596"/>
      <c r="U27" s="596"/>
      <c r="V27" s="596"/>
      <c r="W27" s="596"/>
      <c r="X27" s="596"/>
      <c r="Y27" s="596"/>
      <c r="Z27" s="596"/>
      <c r="AA27" s="596"/>
    </row>
    <row r="28">
      <c r="A28" s="110" t="s">
        <v>435</v>
      </c>
      <c r="B28" s="593"/>
      <c r="C28" s="593"/>
      <c r="D28" s="593"/>
      <c r="E28" s="610"/>
      <c r="F28" s="594"/>
      <c r="G28" s="340"/>
      <c r="H28" s="630"/>
      <c r="I28" s="582"/>
      <c r="J28" s="594"/>
      <c r="K28" s="594"/>
      <c r="L28" s="631"/>
      <c r="M28" s="631"/>
      <c r="N28" s="631"/>
      <c r="O28" s="631"/>
      <c r="P28" s="631"/>
      <c r="Q28" s="631"/>
      <c r="R28" s="631"/>
      <c r="S28" s="631"/>
      <c r="T28" s="631"/>
      <c r="U28" s="631"/>
      <c r="V28" s="631"/>
      <c r="W28" s="631"/>
      <c r="X28" s="631"/>
      <c r="Y28" s="631"/>
      <c r="Z28" s="631"/>
      <c r="AA28" s="631"/>
    </row>
    <row r="29">
      <c r="A29" s="471" t="s">
        <v>436</v>
      </c>
      <c r="B29" s="593"/>
      <c r="C29" s="593"/>
      <c r="D29" s="593"/>
      <c r="E29" s="610"/>
      <c r="F29" s="594"/>
      <c r="G29" s="594"/>
      <c r="H29" s="630"/>
      <c r="I29" s="582"/>
      <c r="J29" s="594"/>
      <c r="K29" s="594"/>
      <c r="L29" s="631"/>
      <c r="M29" s="631"/>
      <c r="N29" s="631"/>
      <c r="O29" s="631"/>
      <c r="P29" s="631"/>
      <c r="Q29" s="631"/>
      <c r="R29" s="631"/>
      <c r="S29" s="631"/>
      <c r="T29" s="631"/>
      <c r="U29" s="631"/>
      <c r="V29" s="631"/>
      <c r="W29" s="631"/>
      <c r="X29" s="631"/>
      <c r="Y29" s="631"/>
      <c r="Z29" s="631"/>
      <c r="AA29" s="631"/>
    </row>
    <row r="30">
      <c r="B30" s="593"/>
      <c r="C30" s="593"/>
      <c r="D30" s="593"/>
      <c r="E30" s="610"/>
      <c r="F30" s="594"/>
      <c r="G30" s="340"/>
      <c r="H30" s="630"/>
      <c r="I30" s="582"/>
      <c r="J30" s="594"/>
      <c r="K30" s="594"/>
      <c r="L30" s="631"/>
      <c r="M30" s="631"/>
      <c r="N30" s="631"/>
      <c r="O30" s="631"/>
      <c r="P30" s="631"/>
      <c r="Q30" s="631"/>
      <c r="R30" s="631"/>
      <c r="S30" s="631"/>
      <c r="T30" s="631"/>
      <c r="U30" s="631"/>
      <c r="V30" s="631"/>
      <c r="W30" s="631"/>
      <c r="X30" s="631"/>
      <c r="Y30" s="631"/>
      <c r="Z30" s="631"/>
      <c r="AA30" s="631"/>
    </row>
    <row r="31">
      <c r="A31" s="586"/>
      <c r="B31" s="587"/>
      <c r="C31" s="587"/>
      <c r="D31" s="587"/>
      <c r="E31" s="587"/>
      <c r="F31" s="624">
        <f t="shared" ref="F31:G31" si="6">sum(F28:F30 )</f>
        <v>0</v>
      </c>
      <c r="G31" s="624">
        <f t="shared" si="6"/>
        <v>0</v>
      </c>
      <c r="H31" s="640">
        <f>SUBTOTAL(109,H$28:H$30)</f>
        <v>0</v>
      </c>
      <c r="I31" s="590"/>
      <c r="J31" s="591"/>
      <c r="K31" s="591"/>
      <c r="L31" s="592"/>
      <c r="M31" s="592"/>
      <c r="N31" s="592"/>
      <c r="O31" s="592"/>
      <c r="P31" s="592"/>
      <c r="Q31" s="592"/>
      <c r="R31" s="592"/>
      <c r="S31" s="592"/>
      <c r="T31" s="592"/>
      <c r="U31" s="592"/>
      <c r="V31" s="592"/>
      <c r="W31" s="592"/>
      <c r="X31" s="592"/>
      <c r="Y31" s="592"/>
      <c r="Z31" s="592"/>
      <c r="AA31" s="592"/>
    </row>
    <row r="32">
      <c r="A32" s="354"/>
      <c r="B32" s="593"/>
      <c r="C32" s="593"/>
      <c r="D32" s="593"/>
      <c r="E32" s="593"/>
      <c r="F32" s="594"/>
      <c r="G32" s="641"/>
      <c r="H32" s="582"/>
      <c r="I32" s="582"/>
      <c r="J32" s="340"/>
      <c r="K32" s="340"/>
      <c r="L32" s="596"/>
      <c r="M32" s="596"/>
      <c r="N32" s="596"/>
      <c r="O32" s="596"/>
      <c r="P32" s="596"/>
      <c r="Q32" s="596"/>
      <c r="R32" s="596"/>
      <c r="S32" s="596"/>
      <c r="T32" s="596"/>
      <c r="U32" s="596"/>
      <c r="V32" s="596"/>
      <c r="W32" s="596"/>
      <c r="X32" s="596"/>
      <c r="Y32" s="596"/>
      <c r="Z32" s="596"/>
      <c r="AA32" s="596"/>
    </row>
    <row r="33">
      <c r="A33" s="586"/>
      <c r="B33" s="587"/>
      <c r="C33" s="587"/>
      <c r="D33" s="587"/>
      <c r="E33" s="587"/>
      <c r="F33" s="624">
        <f t="shared" ref="F33:G33" si="7">sum(F11:F15 )</f>
        <v>22625500</v>
      </c>
      <c r="G33" s="624">
        <f t="shared" si="7"/>
        <v>22625500</v>
      </c>
      <c r="H33" s="589">
        <f>SUBTOTAL(109,H11:H15)</f>
        <v>1</v>
      </c>
      <c r="I33" s="590"/>
      <c r="J33" s="591"/>
      <c r="K33" s="591"/>
      <c r="L33" s="592"/>
      <c r="M33" s="592"/>
      <c r="N33" s="592"/>
      <c r="O33" s="592"/>
      <c r="P33" s="592"/>
      <c r="Q33" s="592"/>
      <c r="R33" s="592"/>
      <c r="S33" s="592"/>
      <c r="T33" s="592"/>
      <c r="U33" s="592"/>
      <c r="V33" s="592"/>
      <c r="W33" s="592"/>
      <c r="X33" s="592"/>
      <c r="Y33" s="592"/>
      <c r="Z33" s="592"/>
      <c r="AA33" s="592"/>
    </row>
    <row r="34">
      <c r="A34" s="349"/>
      <c r="B34" s="620"/>
      <c r="C34" s="620"/>
      <c r="D34" s="620"/>
      <c r="E34" s="593"/>
      <c r="F34" s="594"/>
      <c r="G34" s="340"/>
      <c r="H34" s="582"/>
      <c r="I34" s="582"/>
      <c r="J34" s="584"/>
      <c r="K34" s="584"/>
      <c r="L34" s="596"/>
      <c r="M34" s="596"/>
      <c r="N34" s="596"/>
      <c r="O34" s="596"/>
      <c r="P34" s="596"/>
      <c r="Q34" s="596"/>
      <c r="R34" s="596"/>
      <c r="S34" s="596"/>
      <c r="T34" s="596"/>
      <c r="U34" s="596"/>
      <c r="V34" s="596"/>
      <c r="W34" s="596"/>
      <c r="X34" s="596"/>
      <c r="Y34" s="596"/>
      <c r="Z34" s="596"/>
      <c r="AA34" s="596"/>
    </row>
    <row r="35">
      <c r="A35" s="597" t="s">
        <v>936</v>
      </c>
      <c r="B35" s="598"/>
      <c r="C35" s="598"/>
      <c r="D35" s="598"/>
      <c r="E35" s="598"/>
      <c r="F35" s="628"/>
      <c r="G35" s="599"/>
      <c r="H35" s="629"/>
      <c r="I35" s="629"/>
      <c r="J35" s="599"/>
      <c r="K35" s="599"/>
      <c r="L35" s="601"/>
      <c r="M35" s="596"/>
      <c r="N35" s="596"/>
      <c r="O35" s="596"/>
      <c r="P35" s="596"/>
      <c r="Q35" s="596"/>
      <c r="R35" s="596"/>
      <c r="S35" s="596"/>
      <c r="T35" s="596"/>
      <c r="U35" s="596"/>
      <c r="V35" s="596"/>
      <c r="W35" s="596"/>
      <c r="X35" s="596"/>
      <c r="Y35" s="596"/>
      <c r="Z35" s="596"/>
      <c r="AA35" s="596"/>
    </row>
    <row r="36">
      <c r="A36" s="354" t="s">
        <v>438</v>
      </c>
      <c r="B36" s="593" t="s">
        <v>439</v>
      </c>
      <c r="C36" s="593" t="s">
        <v>436</v>
      </c>
      <c r="D36" s="593"/>
      <c r="E36" s="593">
        <v>0.0</v>
      </c>
      <c r="F36" s="594">
        <v>50000.0</v>
      </c>
      <c r="G36" s="340">
        <v>1200.0</v>
      </c>
      <c r="H36" s="582">
        <f t="shared" ref="H36:H37" si="8">IF(G36&gt;0,G36/SUM($G$36:$G$37), "")</f>
        <v>1</v>
      </c>
      <c r="I36" s="582"/>
      <c r="J36" s="340">
        <v>10000.0</v>
      </c>
      <c r="K36" s="340">
        <f>J36*2</f>
        <v>20000</v>
      </c>
      <c r="L36" s="596"/>
      <c r="M36" s="596"/>
      <c r="N36" s="596"/>
      <c r="O36" s="596"/>
      <c r="P36" s="596"/>
      <c r="Q36" s="596"/>
      <c r="R36" s="596"/>
      <c r="S36" s="596"/>
      <c r="T36" s="596"/>
      <c r="U36" s="596"/>
      <c r="V36" s="596"/>
      <c r="W36" s="596"/>
      <c r="X36" s="596"/>
      <c r="Y36" s="596"/>
      <c r="Z36" s="596"/>
      <c r="AA36" s="596"/>
    </row>
    <row r="37">
      <c r="A37" s="354" t="s">
        <v>36</v>
      </c>
      <c r="B37" s="593" t="s">
        <v>439</v>
      </c>
      <c r="C37" s="593" t="s">
        <v>436</v>
      </c>
      <c r="D37" s="593"/>
      <c r="E37" s="593">
        <v>0.0</v>
      </c>
      <c r="F37" s="594">
        <v>0.0</v>
      </c>
      <c r="G37" s="340">
        <v>0.0</v>
      </c>
      <c r="H37" s="582" t="str">
        <f t="shared" si="8"/>
        <v/>
      </c>
      <c r="I37" s="582"/>
      <c r="J37" s="340">
        <v>5000.0</v>
      </c>
      <c r="K37" s="340">
        <v>0.0</v>
      </c>
      <c r="L37" s="596"/>
      <c r="M37" s="596"/>
      <c r="N37" s="596"/>
      <c r="O37" s="596"/>
      <c r="P37" s="596"/>
      <c r="Q37" s="596"/>
      <c r="R37" s="596"/>
      <c r="S37" s="596"/>
      <c r="T37" s="596"/>
      <c r="U37" s="596"/>
      <c r="V37" s="596"/>
      <c r="W37" s="596"/>
      <c r="X37" s="596"/>
      <c r="Y37" s="596"/>
      <c r="Z37" s="596"/>
      <c r="AA37" s="596"/>
    </row>
    <row r="38">
      <c r="A38" s="586"/>
      <c r="B38" s="587"/>
      <c r="C38" s="587"/>
      <c r="D38" s="587"/>
      <c r="E38" s="587"/>
      <c r="F38" s="588">
        <f t="shared" ref="F38:G38" si="9">sum(F36:F37 )</f>
        <v>50000</v>
      </c>
      <c r="G38" s="624">
        <f t="shared" si="9"/>
        <v>1200</v>
      </c>
      <c r="H38" s="589">
        <f>SUBTOTAL(109,H$36:H$37)</f>
        <v>1</v>
      </c>
      <c r="I38" s="590"/>
      <c r="J38" s="591"/>
      <c r="K38" s="591"/>
      <c r="L38" s="592"/>
      <c r="M38" s="592"/>
      <c r="N38" s="592"/>
      <c r="O38" s="592"/>
      <c r="P38" s="592"/>
      <c r="Q38" s="592"/>
      <c r="R38" s="592"/>
      <c r="S38" s="592"/>
      <c r="T38" s="592"/>
      <c r="U38" s="592"/>
      <c r="V38" s="592"/>
      <c r="W38" s="592"/>
      <c r="X38" s="592"/>
      <c r="Y38" s="592"/>
      <c r="Z38" s="592"/>
      <c r="AA38" s="592"/>
    </row>
    <row r="39">
      <c r="A39" s="115"/>
      <c r="B39" s="645"/>
      <c r="C39" s="646"/>
      <c r="D39" s="646"/>
      <c r="E39" s="645"/>
      <c r="F39" s="647"/>
      <c r="G39" s="648"/>
      <c r="H39" s="583"/>
      <c r="I39" s="583"/>
      <c r="J39" s="648"/>
      <c r="K39" s="648"/>
      <c r="L39" s="578"/>
      <c r="M39" s="578"/>
      <c r="N39" s="578"/>
      <c r="O39" s="578"/>
      <c r="P39" s="578"/>
      <c r="Q39" s="578"/>
      <c r="R39" s="578"/>
      <c r="S39" s="578"/>
      <c r="T39" s="578"/>
      <c r="U39" s="578"/>
      <c r="V39" s="578"/>
      <c r="W39" s="578"/>
      <c r="X39" s="578"/>
      <c r="Y39" s="578"/>
      <c r="Z39" s="578"/>
      <c r="AA39" s="578"/>
    </row>
    <row r="40">
      <c r="A40" s="571" t="s">
        <v>249</v>
      </c>
      <c r="B40" s="572"/>
      <c r="C40" s="573"/>
      <c r="D40" s="573"/>
      <c r="E40" s="572"/>
      <c r="F40" s="574"/>
      <c r="G40" s="575"/>
      <c r="H40" s="576"/>
      <c r="I40" s="576"/>
      <c r="J40" s="575"/>
      <c r="K40" s="575"/>
      <c r="L40" s="577"/>
      <c r="M40" s="578"/>
      <c r="N40" s="578"/>
      <c r="O40" s="578"/>
      <c r="P40" s="578"/>
      <c r="Q40" s="578"/>
      <c r="R40" s="578"/>
      <c r="S40" s="578"/>
      <c r="T40" s="578"/>
      <c r="U40" s="578"/>
      <c r="V40" s="578"/>
      <c r="W40" s="578"/>
      <c r="X40" s="578"/>
      <c r="Y40" s="578"/>
      <c r="Z40" s="578"/>
      <c r="AA40" s="578"/>
    </row>
    <row r="41">
      <c r="A41" s="115" t="s">
        <v>545</v>
      </c>
      <c r="B41" s="109"/>
      <c r="C41" s="109"/>
      <c r="D41" s="109"/>
      <c r="E41" s="579"/>
      <c r="F41" s="580">
        <v>0.0</v>
      </c>
      <c r="G41" s="581">
        <f>F41</f>
        <v>0</v>
      </c>
      <c r="H41" s="582" t="str">
        <f>IF(G41&gt;0,G41/SUM($G$4:$G$6), "")</f>
        <v/>
      </c>
      <c r="I41" s="583"/>
      <c r="J41" s="584"/>
      <c r="K41" s="584"/>
      <c r="L41" s="578"/>
      <c r="M41" s="578"/>
      <c r="N41" s="578"/>
      <c r="O41" s="578"/>
      <c r="P41" s="578"/>
      <c r="Q41" s="578"/>
      <c r="R41" s="578"/>
      <c r="S41" s="578"/>
      <c r="T41" s="578"/>
      <c r="U41" s="578"/>
      <c r="V41" s="578"/>
      <c r="W41" s="578"/>
      <c r="X41" s="578"/>
      <c r="Y41" s="578"/>
      <c r="Z41" s="578"/>
      <c r="AA41" s="578"/>
    </row>
    <row r="42">
      <c r="A42" s="108"/>
      <c r="B42" s="645"/>
      <c r="C42" s="646"/>
      <c r="D42" s="646"/>
      <c r="E42" s="645"/>
      <c r="F42" s="647"/>
      <c r="G42" s="648"/>
      <c r="H42" s="583"/>
      <c r="I42" s="583"/>
      <c r="J42" s="648"/>
      <c r="K42" s="648"/>
      <c r="L42" s="578"/>
      <c r="M42" s="578"/>
      <c r="N42" s="578"/>
      <c r="O42" s="578"/>
      <c r="P42" s="578"/>
      <c r="Q42" s="578"/>
      <c r="R42" s="578"/>
      <c r="S42" s="578"/>
      <c r="T42" s="578"/>
      <c r="U42" s="578"/>
      <c r="V42" s="578"/>
      <c r="W42" s="578"/>
      <c r="X42" s="578"/>
      <c r="Y42" s="578"/>
      <c r="Z42" s="578"/>
      <c r="AA42" s="578"/>
    </row>
    <row r="43">
      <c r="A43" s="571" t="s">
        <v>441</v>
      </c>
      <c r="B43" s="572"/>
      <c r="C43" s="573"/>
      <c r="D43" s="573"/>
      <c r="E43" s="572"/>
      <c r="F43" s="574"/>
      <c r="G43" s="575"/>
      <c r="H43" s="576"/>
      <c r="I43" s="576"/>
      <c r="J43" s="575"/>
      <c r="K43" s="575"/>
      <c r="L43" s="577"/>
      <c r="M43" s="578"/>
      <c r="N43" s="578"/>
      <c r="O43" s="578"/>
      <c r="P43" s="578"/>
      <c r="Q43" s="578"/>
      <c r="R43" s="578"/>
      <c r="S43" s="578"/>
      <c r="T43" s="578"/>
      <c r="U43" s="578"/>
      <c r="V43" s="578"/>
      <c r="W43" s="578"/>
      <c r="X43" s="578"/>
      <c r="Y43" s="578"/>
      <c r="Z43" s="578"/>
      <c r="AA43" s="578"/>
    </row>
    <row r="44">
      <c r="A44" s="115" t="s">
        <v>442</v>
      </c>
      <c r="B44" s="579"/>
      <c r="C44" s="585" t="s">
        <v>443</v>
      </c>
      <c r="D44" s="585"/>
      <c r="E44" s="579" t="s">
        <v>359</v>
      </c>
      <c r="F44" s="649">
        <v>1300.0</v>
      </c>
      <c r="G44" s="649">
        <f>1500-200</f>
        <v>1300</v>
      </c>
      <c r="H44" s="630">
        <f t="shared" ref="H44:H46" si="10">if(G44&gt;0,G44/sum($G$44:$G$46),"")</f>
        <v>0.1930215293</v>
      </c>
      <c r="I44" s="583"/>
      <c r="J44" s="650"/>
      <c r="K44" s="650"/>
      <c r="L44" s="578"/>
      <c r="M44" s="578"/>
      <c r="N44" s="578"/>
      <c r="O44" s="578"/>
      <c r="P44" s="578"/>
      <c r="Q44" s="578"/>
      <c r="R44" s="578"/>
      <c r="S44" s="578"/>
      <c r="T44" s="578"/>
      <c r="U44" s="578"/>
      <c r="V44" s="578"/>
      <c r="W44" s="578"/>
      <c r="X44" s="578"/>
      <c r="Y44" s="578"/>
      <c r="Z44" s="578"/>
      <c r="AA44" s="578"/>
    </row>
    <row r="45">
      <c r="A45" s="115" t="s">
        <v>444</v>
      </c>
      <c r="B45" s="579"/>
      <c r="C45" s="585" t="s">
        <v>445</v>
      </c>
      <c r="D45" s="585"/>
      <c r="E45" s="579"/>
      <c r="F45" s="651">
        <f>sum(1025,2400,1500,6515,1500,2095)-10300</f>
        <v>4735</v>
      </c>
      <c r="G45" s="649">
        <v>4735.0</v>
      </c>
      <c r="H45" s="630">
        <f t="shared" si="10"/>
        <v>0.703043801</v>
      </c>
      <c r="I45" s="583"/>
      <c r="J45" s="650"/>
      <c r="K45" s="650"/>
      <c r="L45" s="578"/>
      <c r="M45" s="578"/>
      <c r="N45" s="578"/>
      <c r="O45" s="578"/>
      <c r="P45" s="578"/>
      <c r="Q45" s="578"/>
      <c r="R45" s="578"/>
      <c r="S45" s="578"/>
      <c r="T45" s="578"/>
      <c r="U45" s="578"/>
      <c r="V45" s="578"/>
      <c r="W45" s="578"/>
      <c r="X45" s="578"/>
      <c r="Y45" s="578"/>
      <c r="Z45" s="578"/>
      <c r="AA45" s="578"/>
    </row>
    <row r="46">
      <c r="A46" s="115" t="s">
        <v>446</v>
      </c>
      <c r="B46" s="579"/>
      <c r="C46" s="585"/>
      <c r="D46" s="585"/>
      <c r="E46" s="579"/>
      <c r="F46" s="651">
        <v>700.0</v>
      </c>
      <c r="G46" s="651">
        <f>F46</f>
        <v>700</v>
      </c>
      <c r="H46" s="630">
        <f t="shared" si="10"/>
        <v>0.1039346696</v>
      </c>
      <c r="I46" s="583"/>
      <c r="J46" s="650"/>
      <c r="K46" s="650"/>
      <c r="L46" s="578"/>
      <c r="M46" s="578"/>
      <c r="N46" s="578"/>
      <c r="O46" s="578"/>
      <c r="P46" s="578"/>
      <c r="Q46" s="578"/>
      <c r="R46" s="578"/>
      <c r="S46" s="578"/>
      <c r="T46" s="578"/>
      <c r="U46" s="578"/>
      <c r="V46" s="578"/>
      <c r="W46" s="578"/>
      <c r="X46" s="578"/>
      <c r="Y46" s="578"/>
      <c r="Z46" s="578"/>
      <c r="AA46" s="578"/>
    </row>
    <row r="47">
      <c r="A47" s="586"/>
      <c r="B47" s="587"/>
      <c r="C47" s="587"/>
      <c r="D47" s="587"/>
      <c r="E47" s="587"/>
      <c r="F47" s="588">
        <f t="shared" ref="F47:G47" si="11">sum(F44:F46 )</f>
        <v>6735</v>
      </c>
      <c r="G47" s="588">
        <f t="shared" si="11"/>
        <v>6735</v>
      </c>
      <c r="H47" s="589">
        <f>SUBTOTAL(109,H44:H46)</f>
        <v>1</v>
      </c>
      <c r="I47" s="590"/>
      <c r="J47" s="624" t="str">
        <f>sum(J17:J44 )</f>
        <v>#REF!</v>
      </c>
      <c r="K47" s="624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Y47" s="592"/>
      <c r="Z47" s="592"/>
      <c r="AA47" s="592"/>
    </row>
    <row r="48">
      <c r="B48" s="462"/>
      <c r="C48" s="652"/>
      <c r="D48" s="652"/>
      <c r="E48" s="462"/>
      <c r="F48" s="653"/>
      <c r="G48" s="650"/>
      <c r="H48" s="654"/>
      <c r="I48" s="654"/>
      <c r="J48" s="650"/>
      <c r="K48" s="650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655"/>
    </row>
    <row r="49">
      <c r="A49" s="656" t="s">
        <v>354</v>
      </c>
      <c r="B49" s="656"/>
      <c r="C49" s="656" t="s">
        <v>447</v>
      </c>
      <c r="D49" s="656"/>
      <c r="E49" s="657" t="s">
        <v>448</v>
      </c>
      <c r="F49" s="658" t="s">
        <v>450</v>
      </c>
      <c r="G49" s="650"/>
      <c r="H49" s="654"/>
      <c r="I49" s="654"/>
      <c r="J49" s="650"/>
      <c r="K49" s="650"/>
      <c r="L49" s="659"/>
      <c r="M49" s="659"/>
      <c r="N49" s="659"/>
      <c r="O49" s="659"/>
      <c r="P49" s="659"/>
      <c r="Q49" s="659"/>
      <c r="R49" s="659"/>
      <c r="S49" s="659"/>
      <c r="T49" s="659"/>
      <c r="U49" s="659"/>
      <c r="V49" s="659"/>
      <c r="W49" s="659"/>
      <c r="X49" s="659"/>
      <c r="Y49" s="659"/>
      <c r="Z49" s="659"/>
      <c r="AA49" s="659"/>
    </row>
    <row r="50">
      <c r="A50" s="462" t="str">
        <f>A3</f>
        <v>Cash, Savings</v>
      </c>
      <c r="B50" s="652"/>
      <c r="C50" s="660">
        <f>G7</f>
        <v>50000</v>
      </c>
      <c r="D50" s="652"/>
      <c r="E50" s="661">
        <f>F7</f>
        <v>50000</v>
      </c>
      <c r="F50" s="662">
        <f t="shared" ref="F50:F56" si="12">IF(C50&gt;0,C50/SUM($C$50:$C$56), "")</f>
        <v>0.002204251596</v>
      </c>
      <c r="G50" s="650"/>
      <c r="H50" s="654"/>
      <c r="J50" s="650"/>
      <c r="K50" s="650"/>
      <c r="L50" s="655"/>
      <c r="M50" s="655"/>
      <c r="N50" s="655"/>
      <c r="O50" s="655"/>
      <c r="P50" s="655"/>
      <c r="Q50" s="655"/>
      <c r="R50" s="655"/>
      <c r="S50" s="655"/>
      <c r="T50" s="655"/>
      <c r="U50" s="655"/>
      <c r="V50" s="655"/>
      <c r="W50" s="655"/>
      <c r="X50" s="655"/>
      <c r="Y50" s="655"/>
      <c r="Z50" s="655"/>
      <c r="AA50" s="655"/>
    </row>
    <row r="51">
      <c r="A51" s="462" t="str">
        <f>A35</f>
        <v>Retirement Accts (5%)</v>
      </c>
      <c r="B51" s="652"/>
      <c r="C51" s="663">
        <f>G38</f>
        <v>1200</v>
      </c>
      <c r="D51" s="674"/>
      <c r="E51" s="661">
        <f>F38</f>
        <v>50000</v>
      </c>
      <c r="F51" s="662">
        <f t="shared" si="12"/>
        <v>0.0000529020383</v>
      </c>
      <c r="G51" s="648"/>
      <c r="H51" s="583"/>
      <c r="I51" s="583"/>
      <c r="J51" s="648"/>
      <c r="K51" s="648"/>
      <c r="L51" s="664"/>
      <c r="M51" s="664"/>
      <c r="N51" s="664"/>
      <c r="O51" s="664"/>
      <c r="P51" s="664"/>
      <c r="Q51" s="664"/>
      <c r="R51" s="664"/>
      <c r="S51" s="664"/>
      <c r="T51" s="664"/>
      <c r="U51" s="664"/>
      <c r="V51" s="664"/>
      <c r="W51" s="664"/>
      <c r="X51" s="664"/>
      <c r="Y51" s="664"/>
      <c r="Z51" s="664"/>
      <c r="AA51" s="664"/>
    </row>
    <row r="52">
      <c r="A52" s="462" t="str">
        <f>A17</f>
        <v>Crypto Assets (10%)</v>
      </c>
      <c r="B52" s="652"/>
      <c r="C52" s="660">
        <f>G25</f>
        <v>0</v>
      </c>
      <c r="D52" s="652"/>
      <c r="E52" s="661">
        <f>F25</f>
        <v>0</v>
      </c>
      <c r="F52" s="662" t="str">
        <f t="shared" si="12"/>
        <v/>
      </c>
      <c r="G52" s="650"/>
      <c r="H52" s="654"/>
      <c r="I52" s="654"/>
      <c r="J52" s="650"/>
      <c r="K52" s="650"/>
      <c r="L52" s="665"/>
      <c r="M52" s="665"/>
      <c r="N52" s="665"/>
      <c r="O52" s="665"/>
      <c r="P52" s="665"/>
      <c r="Q52" s="665"/>
      <c r="R52" s="665"/>
      <c r="S52" s="665"/>
      <c r="T52" s="665"/>
      <c r="U52" s="665"/>
      <c r="V52" s="665"/>
      <c r="W52" s="665"/>
      <c r="X52" s="665"/>
      <c r="Y52" s="665"/>
      <c r="Z52" s="665"/>
      <c r="AA52" s="665"/>
    </row>
    <row r="53">
      <c r="A53" s="462" t="str">
        <f>A27</f>
        <v>Stocks, Bonds, ETFS, CDs</v>
      </c>
      <c r="B53" s="652"/>
      <c r="C53" s="660">
        <f>G31</f>
        <v>0</v>
      </c>
      <c r="D53" s="652"/>
      <c r="E53" s="661">
        <f>F31</f>
        <v>0</v>
      </c>
      <c r="F53" s="662" t="str">
        <f t="shared" si="12"/>
        <v/>
      </c>
      <c r="G53" s="650"/>
      <c r="H53" s="654"/>
      <c r="I53" s="654"/>
      <c r="J53" s="650"/>
      <c r="K53" s="650"/>
      <c r="L53" s="655"/>
      <c r="M53" s="655"/>
      <c r="N53" s="655"/>
      <c r="O53" s="655"/>
      <c r="P53" s="655"/>
      <c r="Q53" s="655"/>
      <c r="R53" s="655"/>
      <c r="S53" s="655"/>
      <c r="T53" s="655"/>
      <c r="U53" s="655"/>
      <c r="V53" s="655"/>
      <c r="W53" s="655"/>
      <c r="X53" s="655"/>
      <c r="Y53" s="655"/>
      <c r="Z53" s="655"/>
      <c r="AA53" s="655"/>
    </row>
    <row r="54">
      <c r="A54" s="462" t="str">
        <f>A40</f>
        <v>Real Estate</v>
      </c>
      <c r="B54" s="652"/>
      <c r="C54" s="663">
        <v>1.0</v>
      </c>
      <c r="D54" s="663"/>
      <c r="E54" s="649">
        <v>1.0</v>
      </c>
      <c r="F54" s="662">
        <f t="shared" si="12"/>
        <v>0.00000004408503191</v>
      </c>
      <c r="G54" s="650"/>
      <c r="H54" s="654"/>
      <c r="I54" s="654"/>
      <c r="J54" s="650"/>
      <c r="K54" s="650"/>
      <c r="L54" s="655"/>
      <c r="M54" s="655"/>
      <c r="N54" s="655"/>
      <c r="O54" s="655"/>
      <c r="P54" s="655"/>
      <c r="Q54" s="655"/>
      <c r="R54" s="655"/>
      <c r="S54" s="655"/>
      <c r="T54" s="655"/>
      <c r="U54" s="655"/>
      <c r="V54" s="655"/>
      <c r="W54" s="655"/>
      <c r="X54" s="655"/>
      <c r="Y54" s="655"/>
      <c r="Z54" s="655"/>
      <c r="AA54" s="655"/>
    </row>
    <row r="55">
      <c r="A55" s="462" t="str">
        <f>A9</f>
        <v>Private Equity</v>
      </c>
      <c r="B55" s="652"/>
      <c r="C55" s="660">
        <f>G33</f>
        <v>22625500</v>
      </c>
      <c r="D55" s="652"/>
      <c r="E55" s="661">
        <f>F33</f>
        <v>22625500</v>
      </c>
      <c r="F55" s="662">
        <f t="shared" si="12"/>
        <v>0.9974458896</v>
      </c>
      <c r="G55" s="650"/>
      <c r="H55" s="654"/>
      <c r="I55" s="654"/>
      <c r="J55" s="650"/>
      <c r="K55" s="650"/>
      <c r="L55" s="655"/>
      <c r="M55" s="655"/>
      <c r="N55" s="655"/>
      <c r="O55" s="655"/>
      <c r="P55" s="655"/>
      <c r="Q55" s="655"/>
      <c r="R55" s="655"/>
      <c r="S55" s="655"/>
      <c r="T55" s="655"/>
      <c r="U55" s="655"/>
      <c r="V55" s="655"/>
      <c r="W55" s="655"/>
      <c r="X55" s="655"/>
      <c r="Y55" s="655"/>
      <c r="Z55" s="655"/>
      <c r="AA55" s="655"/>
    </row>
    <row r="56">
      <c r="A56" s="462" t="str">
        <f>A43</f>
        <v>Loans Distributed</v>
      </c>
      <c r="B56" s="652"/>
      <c r="C56" s="660">
        <f>G47</f>
        <v>6735</v>
      </c>
      <c r="D56" s="652"/>
      <c r="E56" s="661">
        <f>F47</f>
        <v>6735</v>
      </c>
      <c r="F56" s="662">
        <f t="shared" si="12"/>
        <v>0.0002969126899</v>
      </c>
      <c r="G56" s="650"/>
      <c r="H56" s="654"/>
      <c r="I56" s="654"/>
      <c r="J56" s="650"/>
      <c r="K56" s="650"/>
      <c r="L56" s="655"/>
      <c r="M56" s="655"/>
      <c r="N56" s="655"/>
      <c r="O56" s="655"/>
      <c r="P56" s="655"/>
      <c r="Q56" s="655"/>
      <c r="R56" s="655"/>
      <c r="S56" s="655"/>
      <c r="T56" s="655"/>
      <c r="U56" s="655"/>
      <c r="V56" s="655"/>
      <c r="W56" s="655"/>
      <c r="X56" s="655"/>
      <c r="Y56" s="655"/>
      <c r="Z56" s="655"/>
      <c r="AA56" s="655"/>
    </row>
    <row r="57">
      <c r="A57" s="666" t="s">
        <v>322</v>
      </c>
      <c r="B57" s="667"/>
      <c r="C57" s="668">
        <f>sum(C50:C56 )</f>
        <v>22683436</v>
      </c>
      <c r="D57" s="667"/>
      <c r="E57" s="668">
        <f t="shared" ref="E57:F57" si="13">sum(E50:E56 )</f>
        <v>22732236</v>
      </c>
      <c r="F57" s="669">
        <f t="shared" si="13"/>
        <v>1</v>
      </c>
      <c r="G57" s="648"/>
      <c r="H57" s="583"/>
      <c r="I57" s="583"/>
      <c r="J57" s="112"/>
      <c r="K57" s="648"/>
      <c r="L57" s="664"/>
      <c r="M57" s="664"/>
      <c r="N57" s="664"/>
      <c r="O57" s="664"/>
      <c r="P57" s="664"/>
      <c r="Q57" s="664"/>
      <c r="R57" s="664"/>
      <c r="S57" s="664"/>
      <c r="T57" s="664"/>
      <c r="U57" s="664"/>
      <c r="V57" s="664"/>
      <c r="W57" s="664"/>
      <c r="X57" s="664"/>
      <c r="Y57" s="664"/>
      <c r="Z57" s="664"/>
      <c r="AA57" s="664"/>
    </row>
    <row r="58">
      <c r="A58" s="670"/>
      <c r="B58" s="462"/>
      <c r="C58" s="652"/>
      <c r="D58" s="652"/>
      <c r="F58" s="650"/>
      <c r="G58" s="650"/>
      <c r="H58" s="654"/>
      <c r="I58" s="654"/>
      <c r="J58" s="650"/>
      <c r="K58" s="650"/>
      <c r="L58" s="655"/>
      <c r="M58" s="655"/>
      <c r="N58" s="655"/>
      <c r="O58" s="655"/>
      <c r="P58" s="655"/>
      <c r="Q58" s="655"/>
      <c r="R58" s="655"/>
      <c r="S58" s="655"/>
      <c r="T58" s="655"/>
      <c r="U58" s="655"/>
      <c r="V58" s="655"/>
      <c r="W58" s="655"/>
      <c r="X58" s="655"/>
      <c r="Y58" s="655"/>
      <c r="Z58" s="655"/>
      <c r="AA58" s="655"/>
    </row>
    <row r="59">
      <c r="B59" s="462"/>
      <c r="C59" s="671"/>
      <c r="D59" s="671"/>
      <c r="F59" s="650"/>
      <c r="G59" s="650"/>
      <c r="H59" s="654"/>
      <c r="I59" s="654"/>
      <c r="J59" s="650"/>
      <c r="K59" s="650"/>
      <c r="L59" s="655"/>
      <c r="M59" s="655"/>
      <c r="N59" s="655"/>
      <c r="O59" s="655"/>
      <c r="P59" s="655"/>
      <c r="Q59" s="655"/>
      <c r="R59" s="655"/>
      <c r="S59" s="655"/>
      <c r="T59" s="655"/>
      <c r="U59" s="655"/>
      <c r="V59" s="655"/>
      <c r="W59" s="655"/>
      <c r="X59" s="655"/>
      <c r="Y59" s="655"/>
      <c r="Z59" s="655"/>
      <c r="AA59" s="655"/>
    </row>
    <row r="60">
      <c r="A60" s="102"/>
      <c r="B60" s="462"/>
      <c r="C60" s="671"/>
      <c r="D60" s="671"/>
      <c r="E60" s="462"/>
      <c r="F60" s="672"/>
      <c r="G60" s="650"/>
      <c r="H60" s="654"/>
      <c r="I60" s="654"/>
      <c r="J60" s="650"/>
      <c r="K60" s="650"/>
      <c r="L60" s="655"/>
      <c r="M60" s="655"/>
      <c r="N60" s="655"/>
      <c r="O60" s="655"/>
      <c r="P60" s="655"/>
      <c r="Q60" s="655"/>
      <c r="R60" s="655"/>
      <c r="S60" s="655"/>
      <c r="T60" s="655"/>
      <c r="U60" s="655"/>
      <c r="V60" s="655"/>
      <c r="W60" s="655"/>
      <c r="X60" s="655"/>
      <c r="Y60" s="655"/>
      <c r="Z60" s="655"/>
      <c r="AA60" s="655"/>
    </row>
    <row r="61">
      <c r="A61" s="102"/>
      <c r="B61" s="462"/>
      <c r="C61" s="671"/>
      <c r="D61" s="671"/>
      <c r="E61" s="462"/>
      <c r="F61" s="673"/>
      <c r="G61" s="650"/>
      <c r="H61" s="654"/>
      <c r="I61" s="654"/>
      <c r="J61" s="650"/>
      <c r="K61" s="650"/>
      <c r="L61" s="655"/>
      <c r="M61" s="655"/>
      <c r="N61" s="655"/>
      <c r="O61" s="655"/>
      <c r="P61" s="655"/>
      <c r="Q61" s="655"/>
      <c r="R61" s="655"/>
      <c r="S61" s="655"/>
      <c r="T61" s="655"/>
      <c r="U61" s="655"/>
      <c r="V61" s="655"/>
      <c r="W61" s="655"/>
      <c r="X61" s="655"/>
      <c r="Y61" s="655"/>
      <c r="Z61" s="655"/>
      <c r="AA61" s="655"/>
    </row>
    <row r="62">
      <c r="A62" s="102"/>
      <c r="B62" s="674"/>
      <c r="C62" s="671"/>
      <c r="D62" s="671"/>
      <c r="E62" s="471"/>
      <c r="F62" s="654"/>
      <c r="H62" s="654"/>
      <c r="I62" s="654"/>
      <c r="J62" s="650"/>
      <c r="K62" s="650"/>
      <c r="L62" s="655"/>
      <c r="M62" s="655"/>
      <c r="N62" s="655"/>
      <c r="O62" s="655"/>
      <c r="P62" s="655"/>
      <c r="Q62" s="655"/>
      <c r="R62" s="655"/>
      <c r="S62" s="655"/>
      <c r="T62" s="655"/>
      <c r="U62" s="655"/>
      <c r="V62" s="655"/>
      <c r="W62" s="655"/>
      <c r="X62" s="655"/>
      <c r="Y62" s="655"/>
      <c r="Z62" s="655"/>
      <c r="AA62" s="655"/>
    </row>
    <row r="63">
      <c r="A63" s="102"/>
      <c r="B63" s="674"/>
      <c r="C63" s="671"/>
      <c r="D63" s="671"/>
      <c r="E63" s="462"/>
      <c r="F63" s="654"/>
      <c r="G63" s="650"/>
      <c r="H63" s="654"/>
      <c r="I63" s="672"/>
      <c r="J63" s="650"/>
      <c r="K63" s="650"/>
      <c r="L63" s="655"/>
      <c r="M63" s="655"/>
      <c r="N63" s="655"/>
      <c r="O63" s="655"/>
      <c r="P63" s="655"/>
      <c r="Q63" s="655"/>
      <c r="R63" s="655"/>
      <c r="S63" s="655"/>
      <c r="T63" s="655"/>
      <c r="U63" s="655"/>
      <c r="V63" s="655"/>
      <c r="W63" s="655"/>
      <c r="X63" s="655"/>
      <c r="Y63" s="655"/>
      <c r="Z63" s="655"/>
      <c r="AA63" s="655"/>
    </row>
    <row r="64">
      <c r="A64" s="102"/>
      <c r="B64" s="652"/>
      <c r="C64" s="671"/>
      <c r="D64" s="671"/>
      <c r="E64" s="462"/>
      <c r="F64" s="654"/>
      <c r="G64" s="650"/>
      <c r="H64" s="654"/>
      <c r="I64" s="654"/>
      <c r="J64" s="650"/>
      <c r="K64" s="650"/>
      <c r="L64" s="655"/>
      <c r="M64" s="655"/>
      <c r="N64" s="655"/>
      <c r="O64" s="655"/>
      <c r="P64" s="655"/>
      <c r="Q64" s="655"/>
      <c r="R64" s="655"/>
      <c r="S64" s="655"/>
      <c r="T64" s="655"/>
      <c r="U64" s="655"/>
      <c r="V64" s="655"/>
      <c r="W64" s="655"/>
      <c r="X64" s="655"/>
      <c r="Y64" s="655"/>
      <c r="Z64" s="655"/>
      <c r="AA64" s="655"/>
    </row>
    <row r="65">
      <c r="A65" s="104"/>
      <c r="B65" s="675"/>
      <c r="C65" s="676"/>
      <c r="D65" s="676"/>
      <c r="E65" s="675"/>
      <c r="F65" s="677"/>
      <c r="G65" s="678"/>
      <c r="H65" s="677"/>
      <c r="I65" s="654"/>
      <c r="J65" s="650"/>
      <c r="K65" s="650"/>
      <c r="L65" s="655"/>
      <c r="M65" s="655"/>
      <c r="N65" s="655"/>
      <c r="O65" s="655"/>
      <c r="P65" s="655"/>
      <c r="Q65" s="655"/>
      <c r="R65" s="655"/>
      <c r="S65" s="655"/>
      <c r="T65" s="655"/>
      <c r="U65" s="655"/>
      <c r="V65" s="655"/>
      <c r="W65" s="655"/>
      <c r="X65" s="655"/>
      <c r="Y65" s="655"/>
      <c r="Z65" s="655"/>
      <c r="AA65" s="655"/>
    </row>
    <row r="66">
      <c r="B66" s="462"/>
      <c r="C66" s="671"/>
      <c r="D66" s="671"/>
      <c r="E66" s="462"/>
      <c r="F66" s="654"/>
      <c r="G66" s="650"/>
      <c r="H66" s="654"/>
      <c r="I66" s="654"/>
      <c r="J66" s="650"/>
      <c r="K66" s="650"/>
      <c r="L66" s="655"/>
      <c r="M66" s="655"/>
      <c r="N66" s="655"/>
      <c r="O66" s="655"/>
      <c r="P66" s="655"/>
      <c r="Q66" s="655"/>
      <c r="R66" s="655"/>
      <c r="S66" s="655"/>
      <c r="T66" s="655"/>
      <c r="U66" s="655"/>
      <c r="V66" s="655"/>
      <c r="W66" s="655"/>
      <c r="X66" s="655"/>
      <c r="Y66" s="655"/>
      <c r="Z66" s="655"/>
      <c r="AA66" s="655"/>
    </row>
    <row r="67">
      <c r="B67" s="462"/>
      <c r="C67" s="671"/>
      <c r="D67" s="671"/>
      <c r="E67" s="462"/>
      <c r="F67" s="654"/>
      <c r="G67" s="650"/>
      <c r="H67" s="654"/>
      <c r="I67" s="654"/>
      <c r="J67" s="650"/>
      <c r="K67" s="650"/>
      <c r="L67" s="655"/>
      <c r="M67" s="655"/>
      <c r="N67" s="655"/>
      <c r="O67" s="655"/>
      <c r="P67" s="655"/>
      <c r="Q67" s="655"/>
      <c r="R67" s="655"/>
      <c r="S67" s="655"/>
      <c r="T67" s="655"/>
      <c r="U67" s="655"/>
      <c r="V67" s="655"/>
      <c r="W67" s="655"/>
      <c r="X67" s="655"/>
      <c r="Y67" s="655"/>
      <c r="Z67" s="655"/>
      <c r="AA67" s="655"/>
    </row>
    <row r="68">
      <c r="B68" s="462"/>
      <c r="C68" s="671"/>
      <c r="D68" s="671"/>
      <c r="E68" s="462"/>
      <c r="F68" s="654"/>
      <c r="G68" s="679"/>
      <c r="H68" s="654"/>
      <c r="I68" s="654"/>
      <c r="J68" s="650"/>
      <c r="K68" s="650"/>
      <c r="L68" s="655"/>
      <c r="M68" s="655"/>
      <c r="N68" s="655"/>
      <c r="O68" s="655"/>
      <c r="P68" s="655"/>
      <c r="Q68" s="655"/>
      <c r="R68" s="655"/>
      <c r="S68" s="655"/>
      <c r="T68" s="655"/>
      <c r="U68" s="655"/>
      <c r="V68" s="655"/>
      <c r="W68" s="655"/>
      <c r="X68" s="655"/>
      <c r="Y68" s="655"/>
      <c r="Z68" s="655"/>
      <c r="AA68" s="655"/>
    </row>
    <row r="69">
      <c r="B69" s="462"/>
      <c r="C69" s="671"/>
      <c r="D69" s="671"/>
      <c r="E69" s="462"/>
      <c r="F69" s="680"/>
      <c r="G69" s="109"/>
      <c r="H69" s="654"/>
      <c r="I69" s="654"/>
      <c r="J69" s="650"/>
      <c r="K69" s="650"/>
      <c r="L69" s="655"/>
      <c r="M69" s="655"/>
      <c r="N69" s="655"/>
      <c r="O69" s="655"/>
      <c r="P69" s="655"/>
      <c r="Q69" s="655"/>
      <c r="R69" s="655"/>
      <c r="S69" s="655"/>
      <c r="T69" s="655"/>
      <c r="U69" s="655"/>
      <c r="V69" s="655"/>
      <c r="W69" s="655"/>
      <c r="X69" s="655"/>
      <c r="Y69" s="655"/>
      <c r="Z69" s="655"/>
      <c r="AA69" s="655"/>
    </row>
    <row r="70">
      <c r="A70" s="110" t="s">
        <v>546</v>
      </c>
      <c r="B70" s="681" t="s">
        <v>547</v>
      </c>
      <c r="C70" s="671"/>
      <c r="D70" s="671"/>
      <c r="E70" s="462"/>
      <c r="F70" s="654"/>
      <c r="G70" s="109"/>
      <c r="H70" s="654"/>
      <c r="I70" s="654"/>
      <c r="J70" s="650"/>
      <c r="K70" s="650"/>
      <c r="L70" s="655"/>
      <c r="M70" s="655"/>
      <c r="N70" s="655"/>
      <c r="O70" s="655"/>
      <c r="P70" s="655"/>
      <c r="Q70" s="655"/>
      <c r="R70" s="655"/>
      <c r="S70" s="655"/>
      <c r="T70" s="655"/>
      <c r="U70" s="655"/>
      <c r="V70" s="655"/>
      <c r="W70" s="655"/>
      <c r="X70" s="655"/>
      <c r="Y70" s="655"/>
      <c r="Z70" s="655"/>
      <c r="AA70" s="655"/>
    </row>
    <row r="71">
      <c r="B71" s="462"/>
      <c r="C71" s="671"/>
      <c r="D71" s="671"/>
      <c r="E71" s="462"/>
      <c r="F71" s="654"/>
      <c r="G71" s="679"/>
      <c r="H71" s="654"/>
      <c r="I71" s="654"/>
      <c r="J71" s="650"/>
      <c r="K71" s="650"/>
      <c r="L71" s="655"/>
      <c r="M71" s="655"/>
      <c r="N71" s="655"/>
      <c r="O71" s="655"/>
      <c r="P71" s="655"/>
      <c r="Q71" s="655"/>
      <c r="R71" s="655"/>
      <c r="S71" s="655"/>
      <c r="T71" s="655"/>
      <c r="U71" s="655"/>
      <c r="V71" s="655"/>
      <c r="W71" s="655"/>
      <c r="X71" s="655"/>
      <c r="Y71" s="655"/>
      <c r="Z71" s="655"/>
      <c r="AA71" s="655"/>
    </row>
    <row r="72">
      <c r="B72" s="462"/>
      <c r="C72" s="671"/>
      <c r="D72" s="671"/>
      <c r="E72" s="462"/>
      <c r="F72" s="654"/>
      <c r="G72" s="671"/>
      <c r="H72" s="654"/>
      <c r="I72" s="654"/>
      <c r="J72" s="650"/>
      <c r="K72" s="650"/>
      <c r="L72" s="655"/>
      <c r="M72" s="655"/>
      <c r="N72" s="655"/>
      <c r="O72" s="655"/>
      <c r="P72" s="655"/>
      <c r="Q72" s="655"/>
      <c r="R72" s="655"/>
      <c r="S72" s="655"/>
      <c r="T72" s="655"/>
      <c r="U72" s="655"/>
      <c r="V72" s="655"/>
      <c r="W72" s="655"/>
      <c r="X72" s="655"/>
      <c r="Y72" s="655"/>
      <c r="Z72" s="655"/>
      <c r="AA72" s="655"/>
    </row>
    <row r="73">
      <c r="B73" s="462"/>
      <c r="C73" s="671"/>
      <c r="D73" s="671"/>
      <c r="E73" s="462"/>
      <c r="F73" s="654"/>
      <c r="G73" s="650"/>
      <c r="H73" s="654"/>
      <c r="I73" s="654"/>
      <c r="J73" s="650"/>
      <c r="K73" s="650"/>
      <c r="L73" s="655"/>
      <c r="M73" s="655"/>
      <c r="N73" s="655"/>
      <c r="O73" s="655"/>
      <c r="P73" s="655"/>
      <c r="Q73" s="655"/>
      <c r="R73" s="655"/>
      <c r="S73" s="655"/>
      <c r="T73" s="655"/>
      <c r="U73" s="655"/>
      <c r="V73" s="655"/>
      <c r="W73" s="655"/>
      <c r="X73" s="655"/>
      <c r="Y73" s="655"/>
      <c r="Z73" s="655"/>
      <c r="AA73" s="655"/>
    </row>
    <row r="74">
      <c r="B74" s="462"/>
      <c r="C74" s="671"/>
      <c r="D74" s="671"/>
      <c r="E74" s="462"/>
      <c r="F74" s="654"/>
      <c r="G74" s="650"/>
      <c r="H74" s="654"/>
      <c r="I74" s="654"/>
      <c r="J74" s="650"/>
      <c r="K74" s="650"/>
      <c r="L74" s="655"/>
      <c r="M74" s="655"/>
      <c r="N74" s="655"/>
      <c r="O74" s="655"/>
      <c r="P74" s="655"/>
      <c r="Q74" s="655"/>
      <c r="R74" s="655"/>
      <c r="S74" s="655"/>
      <c r="T74" s="655"/>
      <c r="U74" s="655"/>
      <c r="V74" s="655"/>
      <c r="W74" s="655"/>
      <c r="X74" s="655"/>
      <c r="Y74" s="655"/>
      <c r="Z74" s="655"/>
      <c r="AA74" s="655"/>
    </row>
    <row r="75">
      <c r="B75" s="462"/>
      <c r="C75" s="671"/>
      <c r="D75" s="671"/>
      <c r="E75" s="462"/>
      <c r="F75" s="654"/>
      <c r="G75" s="650"/>
      <c r="H75" s="654"/>
      <c r="I75" s="654"/>
      <c r="J75" s="650"/>
      <c r="K75" s="650"/>
      <c r="L75" s="655"/>
      <c r="M75" s="655"/>
      <c r="N75" s="655"/>
      <c r="O75" s="655"/>
      <c r="P75" s="655"/>
      <c r="Q75" s="655"/>
      <c r="R75" s="655"/>
      <c r="S75" s="655"/>
      <c r="T75" s="655"/>
      <c r="U75" s="655"/>
      <c r="V75" s="655"/>
      <c r="W75" s="655"/>
      <c r="X75" s="655"/>
      <c r="Y75" s="655"/>
      <c r="Z75" s="655"/>
      <c r="AA75" s="655"/>
    </row>
    <row r="76">
      <c r="B76" s="462"/>
      <c r="C76" s="671"/>
      <c r="D76" s="671"/>
      <c r="E76" s="462"/>
      <c r="F76" s="654"/>
      <c r="G76" s="650"/>
      <c r="H76" s="654"/>
      <c r="I76" s="654"/>
      <c r="J76" s="650"/>
      <c r="K76" s="650"/>
      <c r="L76" s="655"/>
      <c r="M76" s="655"/>
      <c r="N76" s="655"/>
      <c r="O76" s="655"/>
      <c r="P76" s="655"/>
      <c r="Q76" s="655"/>
      <c r="R76" s="655"/>
      <c r="S76" s="655"/>
      <c r="T76" s="655"/>
      <c r="U76" s="655"/>
      <c r="V76" s="655"/>
      <c r="W76" s="655"/>
      <c r="X76" s="655"/>
      <c r="Y76" s="655"/>
      <c r="Z76" s="655"/>
      <c r="AA76" s="655"/>
    </row>
    <row r="77">
      <c r="B77" s="462"/>
      <c r="C77" s="671"/>
      <c r="D77" s="671"/>
      <c r="E77" s="462"/>
      <c r="F77" s="654"/>
      <c r="G77" s="650"/>
      <c r="H77" s="654"/>
      <c r="I77" s="654"/>
      <c r="J77" s="650"/>
      <c r="K77" s="650"/>
      <c r="L77" s="655"/>
      <c r="M77" s="655"/>
      <c r="N77" s="655"/>
      <c r="O77" s="655"/>
      <c r="P77" s="655"/>
      <c r="Q77" s="655"/>
      <c r="R77" s="655"/>
      <c r="S77" s="655"/>
      <c r="T77" s="655"/>
      <c r="U77" s="655"/>
      <c r="V77" s="655"/>
      <c r="W77" s="655"/>
      <c r="X77" s="655"/>
      <c r="Y77" s="655"/>
      <c r="Z77" s="655"/>
      <c r="AA77" s="655"/>
    </row>
    <row r="78">
      <c r="B78" s="471" t="s">
        <v>548</v>
      </c>
      <c r="C78" s="671"/>
      <c r="D78" s="671"/>
      <c r="E78" s="462"/>
      <c r="F78" s="654"/>
      <c r="G78" s="650"/>
      <c r="H78" s="654"/>
      <c r="I78" s="654"/>
      <c r="J78" s="650"/>
      <c r="K78" s="650"/>
      <c r="L78" s="655"/>
      <c r="M78" s="655"/>
      <c r="N78" s="655"/>
      <c r="O78" s="655"/>
      <c r="P78" s="655"/>
      <c r="Q78" s="655"/>
      <c r="R78" s="655"/>
      <c r="S78" s="655"/>
      <c r="T78" s="655"/>
      <c r="U78" s="655"/>
      <c r="V78" s="655"/>
      <c r="W78" s="655"/>
      <c r="X78" s="655"/>
      <c r="Y78" s="655"/>
      <c r="Z78" s="655"/>
      <c r="AA78" s="655"/>
    </row>
    <row r="79">
      <c r="B79" s="471" t="s">
        <v>414</v>
      </c>
      <c r="C79" s="671"/>
      <c r="D79" s="671"/>
      <c r="E79" s="462"/>
      <c r="F79" s="654"/>
      <c r="G79" s="650"/>
      <c r="H79" s="654"/>
      <c r="I79" s="654"/>
      <c r="J79" s="650"/>
      <c r="K79" s="650"/>
      <c r="L79" s="655"/>
      <c r="M79" s="655"/>
      <c r="N79" s="655"/>
      <c r="O79" s="655"/>
      <c r="P79" s="655"/>
      <c r="Q79" s="655"/>
      <c r="R79" s="655"/>
      <c r="S79" s="655"/>
      <c r="T79" s="655"/>
      <c r="U79" s="655"/>
      <c r="V79" s="655"/>
      <c r="W79" s="655"/>
      <c r="X79" s="655"/>
      <c r="Y79" s="655"/>
      <c r="Z79" s="655"/>
      <c r="AA79" s="655"/>
    </row>
    <row r="80">
      <c r="B80" s="462"/>
      <c r="C80" s="671"/>
      <c r="D80" s="671"/>
      <c r="E80" s="462"/>
      <c r="F80" s="654"/>
      <c r="G80" s="650"/>
      <c r="H80" s="654"/>
      <c r="I80" s="654"/>
      <c r="J80" s="650"/>
      <c r="K80" s="650"/>
      <c r="L80" s="655"/>
      <c r="M80" s="655"/>
      <c r="N80" s="655"/>
      <c r="O80" s="655"/>
      <c r="P80" s="655"/>
      <c r="Q80" s="655"/>
      <c r="R80" s="655"/>
      <c r="S80" s="655"/>
      <c r="T80" s="655"/>
      <c r="U80" s="655"/>
      <c r="V80" s="655"/>
      <c r="W80" s="655"/>
      <c r="X80" s="655"/>
      <c r="Y80" s="655"/>
      <c r="Z80" s="655"/>
      <c r="AA80" s="655"/>
    </row>
    <row r="81">
      <c r="B81" s="462"/>
      <c r="C81" s="671"/>
      <c r="D81" s="671"/>
      <c r="E81" s="462"/>
      <c r="F81" s="654"/>
      <c r="G81" s="650"/>
      <c r="H81" s="654"/>
      <c r="I81" s="654"/>
      <c r="J81" s="650"/>
      <c r="K81" s="650"/>
      <c r="L81" s="655"/>
      <c r="M81" s="655"/>
      <c r="N81" s="655"/>
      <c r="O81" s="655"/>
      <c r="P81" s="655"/>
      <c r="Q81" s="655"/>
      <c r="R81" s="655"/>
      <c r="S81" s="655"/>
      <c r="T81" s="655"/>
      <c r="U81" s="655"/>
      <c r="V81" s="655"/>
      <c r="W81" s="655"/>
      <c r="X81" s="655"/>
      <c r="Y81" s="655"/>
      <c r="Z81" s="655"/>
      <c r="AA81" s="655"/>
    </row>
    <row r="82">
      <c r="B82" s="462"/>
      <c r="C82" s="671"/>
      <c r="D82" s="671"/>
      <c r="E82" s="462"/>
      <c r="F82" s="654"/>
      <c r="G82" s="650"/>
      <c r="H82" s="654"/>
      <c r="I82" s="654"/>
      <c r="J82" s="650"/>
      <c r="K82" s="650"/>
      <c r="L82" s="655"/>
      <c r="M82" s="655"/>
      <c r="N82" s="655"/>
      <c r="O82" s="655"/>
      <c r="P82" s="655"/>
      <c r="Q82" s="655"/>
      <c r="R82" s="655"/>
      <c r="S82" s="655"/>
      <c r="T82" s="655"/>
      <c r="U82" s="655"/>
      <c r="V82" s="655"/>
      <c r="W82" s="655"/>
      <c r="X82" s="655"/>
      <c r="Y82" s="655"/>
      <c r="Z82" s="655"/>
      <c r="AA82" s="655"/>
    </row>
    <row r="83">
      <c r="B83" s="462"/>
      <c r="C83" s="671"/>
      <c r="D83" s="671"/>
      <c r="E83" s="462"/>
      <c r="F83" s="654"/>
      <c r="G83" s="650"/>
      <c r="H83" s="654"/>
      <c r="I83" s="654"/>
      <c r="J83" s="650"/>
      <c r="K83" s="650"/>
      <c r="L83" s="655"/>
      <c r="M83" s="655"/>
      <c r="N83" s="655"/>
      <c r="O83" s="655"/>
      <c r="P83" s="655"/>
      <c r="Q83" s="655"/>
      <c r="R83" s="655"/>
      <c r="S83" s="655"/>
      <c r="T83" s="655"/>
      <c r="U83" s="655"/>
      <c r="V83" s="655"/>
      <c r="W83" s="655"/>
      <c r="X83" s="655"/>
      <c r="Y83" s="655"/>
      <c r="Z83" s="655"/>
      <c r="AA83" s="655"/>
    </row>
    <row r="84">
      <c r="B84" s="462"/>
      <c r="C84" s="671"/>
      <c r="D84" s="671"/>
      <c r="E84" s="462"/>
      <c r="F84" s="654"/>
      <c r="G84" s="650"/>
      <c r="H84" s="654"/>
      <c r="I84" s="654"/>
      <c r="J84" s="650"/>
      <c r="K84" s="650"/>
      <c r="L84" s="655"/>
      <c r="M84" s="655"/>
      <c r="N84" s="655"/>
      <c r="O84" s="655"/>
      <c r="P84" s="655"/>
      <c r="Q84" s="655"/>
      <c r="R84" s="655"/>
      <c r="S84" s="655"/>
      <c r="T84" s="655"/>
      <c r="U84" s="655"/>
      <c r="V84" s="655"/>
      <c r="W84" s="655"/>
      <c r="X84" s="655"/>
      <c r="Y84" s="655"/>
      <c r="Z84" s="655"/>
      <c r="AA84" s="655"/>
    </row>
    <row r="85">
      <c r="B85" s="471"/>
      <c r="C85" s="671"/>
      <c r="D85" s="671"/>
      <c r="E85" s="462"/>
      <c r="F85" s="654"/>
      <c r="G85" s="650"/>
      <c r="H85" s="654"/>
      <c r="I85" s="654"/>
      <c r="J85" s="650"/>
      <c r="K85" s="650"/>
      <c r="L85" s="655"/>
      <c r="M85" s="655"/>
      <c r="N85" s="655"/>
      <c r="O85" s="655"/>
      <c r="P85" s="655"/>
      <c r="Q85" s="655"/>
      <c r="R85" s="655"/>
      <c r="S85" s="655"/>
      <c r="T85" s="655"/>
      <c r="U85" s="655"/>
      <c r="V85" s="655"/>
      <c r="W85" s="655"/>
      <c r="X85" s="655"/>
      <c r="Y85" s="655"/>
      <c r="Z85" s="655"/>
      <c r="AA85" s="655"/>
    </row>
    <row r="86">
      <c r="B86" s="471"/>
      <c r="C86" s="671"/>
      <c r="D86" s="671"/>
      <c r="E86" s="462"/>
      <c r="F86" s="654"/>
      <c r="G86" s="650"/>
      <c r="H86" s="654"/>
      <c r="I86" s="654"/>
      <c r="J86" s="650"/>
      <c r="K86" s="650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5"/>
    </row>
    <row r="87">
      <c r="B87" s="471"/>
      <c r="C87" s="671"/>
      <c r="D87" s="671"/>
      <c r="E87" s="462"/>
      <c r="F87" s="654"/>
      <c r="G87" s="650"/>
      <c r="H87" s="654"/>
      <c r="I87" s="654"/>
      <c r="J87" s="650"/>
      <c r="K87" s="650"/>
      <c r="L87" s="655"/>
      <c r="M87" s="655"/>
      <c r="N87" s="655"/>
      <c r="O87" s="655"/>
      <c r="P87" s="655"/>
      <c r="Q87" s="655"/>
      <c r="R87" s="655"/>
      <c r="S87" s="655"/>
      <c r="T87" s="655"/>
      <c r="U87" s="655"/>
      <c r="V87" s="655"/>
      <c r="W87" s="655"/>
      <c r="X87" s="655"/>
      <c r="Y87" s="655"/>
      <c r="Z87" s="655"/>
      <c r="AA87" s="655"/>
    </row>
    <row r="88">
      <c r="B88" s="471"/>
      <c r="C88" s="671"/>
      <c r="D88" s="671"/>
      <c r="E88" s="462"/>
      <c r="F88" s="654"/>
      <c r="G88" s="650"/>
      <c r="H88" s="654"/>
      <c r="I88" s="654"/>
      <c r="J88" s="650"/>
      <c r="K88" s="650"/>
      <c r="L88" s="655"/>
      <c r="M88" s="655"/>
      <c r="N88" s="655"/>
      <c r="O88" s="655"/>
      <c r="P88" s="655"/>
      <c r="Q88" s="655"/>
      <c r="R88" s="655"/>
      <c r="S88" s="655"/>
      <c r="T88" s="655"/>
      <c r="U88" s="655"/>
      <c r="V88" s="655"/>
      <c r="W88" s="655"/>
      <c r="X88" s="655"/>
      <c r="Y88" s="655"/>
      <c r="Z88" s="655"/>
      <c r="AA88" s="655"/>
    </row>
    <row r="89">
      <c r="B89" s="471"/>
      <c r="C89" s="671"/>
      <c r="D89" s="671"/>
      <c r="E89" s="462"/>
      <c r="F89" s="654"/>
      <c r="G89" s="650"/>
      <c r="H89" s="654"/>
      <c r="I89" s="654"/>
      <c r="J89" s="650"/>
      <c r="K89" s="650"/>
      <c r="L89" s="655"/>
      <c r="M89" s="655"/>
      <c r="N89" s="655"/>
      <c r="O89" s="655"/>
      <c r="P89" s="655"/>
      <c r="Q89" s="655"/>
      <c r="R89" s="655"/>
      <c r="S89" s="655"/>
      <c r="T89" s="655"/>
      <c r="U89" s="655"/>
      <c r="V89" s="655"/>
      <c r="W89" s="655"/>
      <c r="X89" s="655"/>
      <c r="Y89" s="655"/>
      <c r="Z89" s="655"/>
      <c r="AA89" s="655"/>
    </row>
    <row r="90">
      <c r="B90" s="471"/>
      <c r="C90" s="671"/>
      <c r="D90" s="671"/>
      <c r="E90" s="462"/>
      <c r="F90" s="654"/>
      <c r="G90" s="650"/>
      <c r="H90" s="654"/>
      <c r="I90" s="654"/>
      <c r="J90" s="650"/>
      <c r="K90" s="650"/>
      <c r="L90" s="655"/>
      <c r="M90" s="655"/>
      <c r="N90" s="655"/>
      <c r="O90" s="655"/>
      <c r="P90" s="655"/>
      <c r="Q90" s="655"/>
      <c r="R90" s="655"/>
      <c r="S90" s="655"/>
      <c r="T90" s="655"/>
      <c r="U90" s="655"/>
      <c r="V90" s="655"/>
      <c r="W90" s="655"/>
      <c r="X90" s="655"/>
      <c r="Y90" s="655"/>
      <c r="Z90" s="655"/>
      <c r="AA90" s="655"/>
    </row>
    <row r="91">
      <c r="B91" s="471"/>
      <c r="C91" s="671"/>
      <c r="D91" s="671"/>
      <c r="E91" s="462"/>
      <c r="F91" s="654"/>
      <c r="G91" s="650"/>
      <c r="H91" s="654"/>
      <c r="I91" s="654"/>
      <c r="J91" s="650"/>
      <c r="K91" s="650"/>
      <c r="L91" s="655"/>
      <c r="M91" s="655"/>
      <c r="N91" s="655"/>
      <c r="O91" s="655"/>
      <c r="P91" s="655"/>
      <c r="Q91" s="655"/>
      <c r="R91" s="655"/>
      <c r="S91" s="655"/>
      <c r="T91" s="655"/>
      <c r="U91" s="655"/>
      <c r="V91" s="655"/>
      <c r="W91" s="655"/>
      <c r="X91" s="655"/>
      <c r="Y91" s="655"/>
      <c r="Z91" s="655"/>
      <c r="AA91" s="655"/>
    </row>
    <row r="92">
      <c r="B92" s="471"/>
      <c r="C92" s="671"/>
      <c r="D92" s="671"/>
      <c r="E92" s="462"/>
      <c r="F92" s="654"/>
      <c r="G92" s="650"/>
      <c r="H92" s="654"/>
      <c r="I92" s="654"/>
      <c r="J92" s="650"/>
      <c r="K92" s="650"/>
      <c r="L92" s="655"/>
      <c r="M92" s="655"/>
      <c r="N92" s="655"/>
      <c r="O92" s="655"/>
      <c r="P92" s="655"/>
      <c r="Q92" s="655"/>
      <c r="R92" s="655"/>
      <c r="S92" s="655"/>
      <c r="T92" s="655"/>
      <c r="U92" s="655"/>
      <c r="V92" s="655"/>
      <c r="W92" s="655"/>
      <c r="X92" s="655"/>
      <c r="Y92" s="655"/>
      <c r="Z92" s="655"/>
      <c r="AA92" s="655"/>
    </row>
    <row r="93">
      <c r="B93" s="471"/>
      <c r="C93" s="671"/>
      <c r="D93" s="671"/>
      <c r="E93" s="462"/>
      <c r="F93" s="654"/>
      <c r="G93" s="650"/>
      <c r="H93" s="654"/>
      <c r="I93" s="654"/>
      <c r="J93" s="650"/>
      <c r="K93" s="650"/>
      <c r="L93" s="655"/>
      <c r="M93" s="655"/>
      <c r="N93" s="655"/>
      <c r="O93" s="655"/>
      <c r="P93" s="655"/>
      <c r="Q93" s="655"/>
      <c r="R93" s="655"/>
      <c r="S93" s="655"/>
      <c r="T93" s="655"/>
      <c r="U93" s="655"/>
      <c r="V93" s="655"/>
      <c r="W93" s="655"/>
      <c r="X93" s="655"/>
      <c r="Y93" s="655"/>
      <c r="Z93" s="655"/>
      <c r="AA93" s="655"/>
    </row>
    <row r="94">
      <c r="B94" s="471"/>
      <c r="C94" s="671"/>
      <c r="D94" s="671"/>
      <c r="E94" s="462"/>
      <c r="F94" s="654"/>
      <c r="G94" s="650"/>
      <c r="H94" s="654"/>
      <c r="I94" s="654"/>
      <c r="J94" s="650"/>
      <c r="K94" s="650"/>
      <c r="L94" s="655"/>
      <c r="M94" s="655"/>
      <c r="N94" s="655"/>
      <c r="O94" s="655"/>
      <c r="P94" s="655"/>
      <c r="Q94" s="655"/>
      <c r="R94" s="655"/>
      <c r="S94" s="655"/>
      <c r="T94" s="655"/>
      <c r="U94" s="655"/>
      <c r="V94" s="655"/>
      <c r="W94" s="655"/>
      <c r="X94" s="655"/>
      <c r="Y94" s="655"/>
      <c r="Z94" s="655"/>
      <c r="AA94" s="655"/>
    </row>
    <row r="95">
      <c r="B95" s="462"/>
      <c r="C95" s="671"/>
      <c r="D95" s="671"/>
      <c r="E95" s="462"/>
      <c r="F95" s="654"/>
      <c r="G95" s="650"/>
      <c r="H95" s="654"/>
      <c r="I95" s="654"/>
      <c r="J95" s="650"/>
      <c r="K95" s="650"/>
      <c r="L95" s="655"/>
      <c r="M95" s="655"/>
      <c r="N95" s="655"/>
      <c r="O95" s="655"/>
      <c r="P95" s="655"/>
      <c r="Q95" s="655"/>
      <c r="R95" s="655"/>
      <c r="S95" s="655"/>
      <c r="T95" s="655"/>
      <c r="U95" s="655"/>
      <c r="V95" s="655"/>
      <c r="W95" s="655"/>
      <c r="X95" s="655"/>
      <c r="Y95" s="655"/>
      <c r="Z95" s="655"/>
      <c r="AA95" s="655"/>
    </row>
    <row r="96">
      <c r="B96" s="462"/>
      <c r="C96" s="671"/>
      <c r="D96" s="671"/>
      <c r="E96" s="462"/>
      <c r="F96" s="654"/>
      <c r="G96" s="650"/>
      <c r="H96" s="654"/>
      <c r="I96" s="654"/>
      <c r="J96" s="650"/>
      <c r="K96" s="650"/>
      <c r="L96" s="655"/>
      <c r="M96" s="655"/>
      <c r="N96" s="655"/>
      <c r="O96" s="655"/>
      <c r="P96" s="655"/>
      <c r="Q96" s="655"/>
      <c r="R96" s="655"/>
      <c r="S96" s="655"/>
      <c r="T96" s="655"/>
      <c r="U96" s="655"/>
      <c r="V96" s="655"/>
      <c r="W96" s="655"/>
      <c r="X96" s="655"/>
      <c r="Y96" s="655"/>
      <c r="Z96" s="655"/>
      <c r="AA96" s="655"/>
    </row>
    <row r="97">
      <c r="B97" s="471" t="s">
        <v>380</v>
      </c>
      <c r="C97" s="679" t="s">
        <v>549</v>
      </c>
      <c r="D97" s="679"/>
      <c r="E97" s="471" t="s">
        <v>550</v>
      </c>
      <c r="F97" s="672" t="s">
        <v>551</v>
      </c>
      <c r="G97" s="682" t="s">
        <v>552</v>
      </c>
      <c r="H97" s="654"/>
      <c r="I97" s="654"/>
      <c r="J97" s="650"/>
      <c r="K97" s="650"/>
      <c r="L97" s="655"/>
      <c r="M97" s="655"/>
      <c r="N97" s="655"/>
      <c r="O97" s="655"/>
      <c r="P97" s="655"/>
      <c r="Q97" s="655"/>
      <c r="R97" s="655"/>
      <c r="S97" s="655"/>
      <c r="T97" s="655"/>
      <c r="U97" s="655"/>
      <c r="V97" s="655"/>
      <c r="W97" s="655"/>
      <c r="X97" s="655"/>
      <c r="Y97" s="655"/>
      <c r="Z97" s="655"/>
      <c r="AA97" s="655"/>
    </row>
    <row r="98">
      <c r="B98" s="471" t="s">
        <v>417</v>
      </c>
      <c r="C98" s="464">
        <v>297500.0</v>
      </c>
      <c r="D98" s="464"/>
      <c r="E98" s="477">
        <v>1700000.0</v>
      </c>
      <c r="F98" s="672" t="s">
        <v>359</v>
      </c>
      <c r="G98" s="682" t="s">
        <v>553</v>
      </c>
      <c r="H98" s="654"/>
      <c r="I98" s="654"/>
      <c r="J98" s="650"/>
      <c r="K98" s="650"/>
      <c r="L98" s="655"/>
      <c r="M98" s="655"/>
      <c r="N98" s="655"/>
      <c r="O98" s="655"/>
      <c r="P98" s="655"/>
      <c r="Q98" s="655"/>
      <c r="R98" s="655"/>
      <c r="S98" s="655"/>
      <c r="T98" s="655"/>
      <c r="U98" s="655"/>
      <c r="V98" s="655"/>
      <c r="W98" s="655"/>
      <c r="X98" s="655"/>
      <c r="Y98" s="655"/>
      <c r="Z98" s="655"/>
      <c r="AA98" s="655"/>
    </row>
    <row r="99">
      <c r="B99" s="471" t="s">
        <v>414</v>
      </c>
      <c r="C99" s="464">
        <v>1.4E7</v>
      </c>
      <c r="D99" s="464"/>
      <c r="E99" s="477">
        <v>7.0E7</v>
      </c>
      <c r="F99" s="672" t="s">
        <v>359</v>
      </c>
      <c r="G99" s="682" t="s">
        <v>554</v>
      </c>
      <c r="H99" s="654"/>
      <c r="I99" s="654"/>
      <c r="J99" s="650"/>
      <c r="K99" s="650"/>
      <c r="L99" s="655"/>
      <c r="M99" s="655"/>
      <c r="N99" s="655"/>
      <c r="O99" s="655"/>
      <c r="P99" s="655"/>
      <c r="Q99" s="655"/>
      <c r="R99" s="655"/>
      <c r="S99" s="655"/>
      <c r="T99" s="655"/>
      <c r="U99" s="655"/>
      <c r="V99" s="655"/>
      <c r="W99" s="655"/>
      <c r="X99" s="655"/>
      <c r="Y99" s="655"/>
      <c r="Z99" s="655"/>
      <c r="AA99" s="655"/>
    </row>
    <row r="100">
      <c r="B100" s="471" t="s">
        <v>37</v>
      </c>
      <c r="C100" s="464">
        <v>50000.0</v>
      </c>
      <c r="D100" s="464"/>
      <c r="E100" s="477">
        <v>150000.0</v>
      </c>
      <c r="F100" s="672" t="s">
        <v>555</v>
      </c>
      <c r="G100" s="682" t="s">
        <v>556</v>
      </c>
      <c r="H100" s="654"/>
      <c r="I100" s="654"/>
      <c r="J100" s="650"/>
      <c r="K100" s="650"/>
      <c r="L100" s="655"/>
      <c r="M100" s="655"/>
      <c r="N100" s="655"/>
      <c r="O100" s="655"/>
      <c r="P100" s="655"/>
      <c r="Q100" s="655"/>
      <c r="R100" s="655"/>
      <c r="S100" s="655"/>
      <c r="T100" s="655"/>
      <c r="U100" s="655"/>
      <c r="V100" s="655"/>
      <c r="W100" s="655"/>
      <c r="X100" s="655"/>
      <c r="Y100" s="655"/>
      <c r="Z100" s="655"/>
      <c r="AA100" s="655"/>
    </row>
    <row r="101">
      <c r="B101" s="471" t="s">
        <v>557</v>
      </c>
      <c r="C101" s="464">
        <v>100000.0</v>
      </c>
      <c r="D101" s="464"/>
      <c r="E101" s="471" t="s">
        <v>359</v>
      </c>
      <c r="F101" s="683">
        <v>0.07</v>
      </c>
      <c r="G101" s="682" t="s">
        <v>558</v>
      </c>
      <c r="H101" s="654"/>
      <c r="I101" s="654"/>
      <c r="J101" s="650"/>
      <c r="K101" s="650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5"/>
    </row>
    <row r="102">
      <c r="B102" s="471" t="s">
        <v>431</v>
      </c>
      <c r="C102" s="464">
        <v>20000.0</v>
      </c>
      <c r="D102" s="464"/>
      <c r="E102" s="477">
        <v>200000.0</v>
      </c>
      <c r="F102" s="672" t="s">
        <v>359</v>
      </c>
      <c r="G102" s="682" t="s">
        <v>559</v>
      </c>
      <c r="H102" s="654"/>
      <c r="I102" s="654"/>
      <c r="J102" s="650"/>
      <c r="K102" s="650"/>
      <c r="L102" s="655"/>
      <c r="M102" s="655"/>
      <c r="N102" s="655"/>
      <c r="O102" s="655"/>
      <c r="P102" s="655"/>
      <c r="Q102" s="655"/>
      <c r="R102" s="655"/>
      <c r="S102" s="655"/>
      <c r="T102" s="655"/>
      <c r="U102" s="655"/>
      <c r="V102" s="655"/>
      <c r="W102" s="655"/>
      <c r="X102" s="655"/>
      <c r="Y102" s="655"/>
      <c r="Z102" s="655"/>
      <c r="AA102" s="655"/>
    </row>
    <row r="103">
      <c r="B103" s="471" t="s">
        <v>93</v>
      </c>
      <c r="C103" s="464">
        <v>50000.0</v>
      </c>
      <c r="D103" s="464"/>
      <c r="E103" s="471" t="s">
        <v>359</v>
      </c>
      <c r="F103" s="672" t="s">
        <v>560</v>
      </c>
      <c r="G103" s="682" t="s">
        <v>561</v>
      </c>
      <c r="H103" s="654"/>
      <c r="I103" s="654"/>
      <c r="J103" s="650"/>
      <c r="K103" s="650"/>
      <c r="L103" s="655"/>
      <c r="M103" s="655"/>
      <c r="N103" s="655"/>
      <c r="O103" s="655"/>
      <c r="P103" s="655"/>
      <c r="Q103" s="655"/>
      <c r="R103" s="655"/>
      <c r="S103" s="655"/>
      <c r="T103" s="655"/>
      <c r="U103" s="655"/>
      <c r="V103" s="655"/>
      <c r="W103" s="655"/>
      <c r="X103" s="655"/>
      <c r="Y103" s="655"/>
      <c r="Z103" s="655"/>
      <c r="AA103" s="655"/>
    </row>
    <row r="104">
      <c r="B104" s="471" t="s">
        <v>562</v>
      </c>
      <c r="C104" s="464">
        <v>20000.0</v>
      </c>
      <c r="D104" s="464"/>
      <c r="E104" s="477">
        <v>100000.0</v>
      </c>
      <c r="F104" s="672" t="s">
        <v>359</v>
      </c>
      <c r="G104" s="682" t="s">
        <v>563</v>
      </c>
      <c r="H104" s="654"/>
      <c r="I104" s="654"/>
      <c r="J104" s="650"/>
      <c r="K104" s="650"/>
      <c r="L104" s="655"/>
      <c r="M104" s="655"/>
      <c r="N104" s="655"/>
      <c r="O104" s="655"/>
      <c r="P104" s="655"/>
      <c r="Q104" s="655"/>
      <c r="R104" s="655"/>
      <c r="S104" s="655"/>
      <c r="T104" s="655"/>
      <c r="U104" s="655"/>
      <c r="V104" s="655"/>
      <c r="W104" s="655"/>
      <c r="X104" s="655"/>
      <c r="Y104" s="655"/>
      <c r="Z104" s="655"/>
      <c r="AA104" s="655"/>
    </row>
    <row r="105">
      <c r="B105" s="471" t="s">
        <v>503</v>
      </c>
      <c r="C105" s="464">
        <v>20000.0</v>
      </c>
      <c r="D105" s="464"/>
      <c r="E105" s="477">
        <v>100000.0</v>
      </c>
      <c r="F105" s="672" t="s">
        <v>359</v>
      </c>
      <c r="G105" s="682" t="s">
        <v>564</v>
      </c>
      <c r="H105" s="654"/>
      <c r="I105" s="654"/>
      <c r="J105" s="650"/>
      <c r="K105" s="650"/>
      <c r="L105" s="655"/>
      <c r="M105" s="655"/>
      <c r="N105" s="655"/>
      <c r="O105" s="655"/>
      <c r="P105" s="655"/>
      <c r="Q105" s="655"/>
      <c r="R105" s="655"/>
      <c r="S105" s="655"/>
      <c r="T105" s="655"/>
      <c r="U105" s="655"/>
      <c r="V105" s="655"/>
      <c r="W105" s="655"/>
      <c r="X105" s="655"/>
      <c r="Y105" s="655"/>
      <c r="Z105" s="655"/>
      <c r="AA105" s="655"/>
    </row>
    <row r="106">
      <c r="B106" s="471" t="s">
        <v>565</v>
      </c>
      <c r="C106" s="464">
        <v>24000.0</v>
      </c>
      <c r="D106" s="464"/>
      <c r="E106" s="684">
        <v>25185.92</v>
      </c>
      <c r="F106" s="672" t="s">
        <v>566</v>
      </c>
      <c r="G106" s="682" t="s">
        <v>567</v>
      </c>
      <c r="H106" s="654"/>
      <c r="I106" s="654"/>
      <c r="J106" s="650"/>
      <c r="K106" s="650"/>
      <c r="L106" s="655"/>
      <c r="M106" s="655"/>
      <c r="N106" s="655"/>
      <c r="O106" s="655"/>
      <c r="P106" s="655"/>
      <c r="Q106" s="655"/>
      <c r="R106" s="655"/>
      <c r="S106" s="655"/>
      <c r="T106" s="655"/>
      <c r="U106" s="655"/>
      <c r="V106" s="655"/>
      <c r="W106" s="655"/>
      <c r="X106" s="655"/>
      <c r="Y106" s="655"/>
      <c r="Z106" s="655"/>
      <c r="AA106" s="655"/>
    </row>
    <row r="107">
      <c r="B107" s="462"/>
      <c r="C107" s="671"/>
      <c r="D107" s="671"/>
      <c r="E107" s="462"/>
      <c r="F107" s="654"/>
      <c r="G107" s="650"/>
      <c r="H107" s="654"/>
      <c r="I107" s="654"/>
      <c r="J107" s="650"/>
      <c r="K107" s="650"/>
      <c r="L107" s="655"/>
      <c r="M107" s="655"/>
      <c r="N107" s="655"/>
      <c r="O107" s="655"/>
      <c r="P107" s="655"/>
      <c r="Q107" s="655"/>
      <c r="R107" s="655"/>
      <c r="S107" s="655"/>
      <c r="T107" s="655"/>
      <c r="U107" s="655"/>
      <c r="V107" s="655"/>
      <c r="W107" s="655"/>
      <c r="X107" s="655"/>
      <c r="Y107" s="655"/>
      <c r="Z107" s="655"/>
      <c r="AA107" s="655"/>
    </row>
    <row r="108">
      <c r="B108" s="462"/>
      <c r="C108" s="671"/>
      <c r="D108" s="671"/>
      <c r="E108" s="462"/>
      <c r="F108" s="654"/>
      <c r="G108" s="650"/>
      <c r="H108" s="654"/>
      <c r="I108" s="654"/>
      <c r="J108" s="650"/>
      <c r="K108" s="650"/>
      <c r="L108" s="655"/>
      <c r="M108" s="655"/>
      <c r="N108" s="655"/>
      <c r="O108" s="655"/>
      <c r="P108" s="655"/>
      <c r="Q108" s="655"/>
      <c r="R108" s="655"/>
      <c r="S108" s="655"/>
      <c r="T108" s="655"/>
      <c r="U108" s="655"/>
      <c r="V108" s="655"/>
      <c r="W108" s="655"/>
      <c r="X108" s="655"/>
      <c r="Y108" s="655"/>
      <c r="Z108" s="655"/>
      <c r="AA108" s="655"/>
    </row>
    <row r="109">
      <c r="B109" s="462"/>
      <c r="C109" s="671"/>
      <c r="D109" s="671"/>
      <c r="E109" s="462"/>
      <c r="F109" s="654"/>
      <c r="G109" s="650"/>
      <c r="H109" s="654"/>
      <c r="I109" s="654"/>
      <c r="J109" s="650"/>
      <c r="K109" s="650"/>
      <c r="L109" s="655"/>
      <c r="M109" s="655"/>
      <c r="N109" s="655"/>
      <c r="O109" s="655"/>
      <c r="P109" s="655"/>
      <c r="Q109" s="655"/>
      <c r="R109" s="655"/>
      <c r="S109" s="655"/>
      <c r="T109" s="655"/>
      <c r="U109" s="655"/>
      <c r="V109" s="655"/>
      <c r="W109" s="655"/>
      <c r="X109" s="655"/>
      <c r="Y109" s="655"/>
      <c r="Z109" s="655"/>
      <c r="AA109" s="655"/>
    </row>
    <row r="110">
      <c r="B110" s="462"/>
      <c r="C110" s="671"/>
      <c r="D110" s="671"/>
      <c r="E110" s="462"/>
      <c r="F110" s="654"/>
      <c r="G110" s="650"/>
      <c r="H110" s="654"/>
      <c r="I110" s="654"/>
      <c r="J110" s="650"/>
      <c r="K110" s="650"/>
      <c r="L110" s="655"/>
      <c r="M110" s="655"/>
      <c r="N110" s="655"/>
      <c r="O110" s="655"/>
      <c r="P110" s="655"/>
      <c r="Q110" s="655"/>
      <c r="R110" s="655"/>
      <c r="S110" s="655"/>
      <c r="T110" s="655"/>
      <c r="U110" s="655"/>
      <c r="V110" s="655"/>
      <c r="W110" s="655"/>
      <c r="X110" s="655"/>
      <c r="Y110" s="655"/>
      <c r="Z110" s="655"/>
      <c r="AA110" s="655"/>
    </row>
    <row r="111">
      <c r="B111" s="462"/>
      <c r="C111" s="671"/>
      <c r="D111" s="671"/>
      <c r="E111" s="462"/>
      <c r="F111" s="654"/>
      <c r="G111" s="650"/>
      <c r="H111" s="654"/>
      <c r="I111" s="654"/>
      <c r="J111" s="650"/>
      <c r="K111" s="650"/>
      <c r="L111" s="655"/>
      <c r="M111" s="655"/>
      <c r="N111" s="655"/>
      <c r="O111" s="655"/>
      <c r="P111" s="655"/>
      <c r="Q111" s="655"/>
      <c r="R111" s="655"/>
      <c r="S111" s="655"/>
      <c r="T111" s="655"/>
      <c r="U111" s="655"/>
      <c r="V111" s="655"/>
      <c r="W111" s="655"/>
      <c r="X111" s="655"/>
      <c r="Y111" s="655"/>
      <c r="Z111" s="655"/>
      <c r="AA111" s="655"/>
    </row>
    <row r="112">
      <c r="B112" s="1098" t="s">
        <v>937</v>
      </c>
      <c r="C112" s="1099"/>
      <c r="D112" s="1100" t="s">
        <v>938</v>
      </c>
      <c r="E112" s="1099"/>
      <c r="F112" s="1099"/>
      <c r="G112" s="1099"/>
      <c r="H112" s="654"/>
      <c r="I112" s="654"/>
      <c r="J112" s="650"/>
      <c r="K112" s="650"/>
      <c r="L112" s="655"/>
      <c r="M112" s="655"/>
      <c r="N112" s="655"/>
      <c r="O112" s="655"/>
      <c r="P112" s="655"/>
      <c r="Q112" s="655"/>
      <c r="R112" s="655"/>
      <c r="S112" s="655"/>
      <c r="T112" s="655"/>
      <c r="U112" s="655"/>
      <c r="V112" s="655"/>
      <c r="W112" s="655"/>
      <c r="X112" s="655"/>
      <c r="Y112" s="655"/>
      <c r="Z112" s="655"/>
      <c r="AA112" s="655"/>
    </row>
    <row r="113">
      <c r="B113" s="1099" t="s">
        <v>423</v>
      </c>
      <c r="C113" s="1101">
        <v>10000.0</v>
      </c>
      <c r="D113" s="1102">
        <v>45597.0</v>
      </c>
      <c r="E113" s="1101">
        <f>sum(C113:C116 )</f>
        <v>30000</v>
      </c>
      <c r="F113" s="1099"/>
      <c r="G113" s="1099"/>
      <c r="H113" s="654"/>
      <c r="I113" s="654"/>
      <c r="J113" s="650"/>
      <c r="K113" s="650"/>
      <c r="L113" s="655"/>
      <c r="M113" s="655"/>
      <c r="N113" s="655"/>
      <c r="O113" s="655"/>
      <c r="P113" s="655"/>
      <c r="Q113" s="655"/>
      <c r="R113" s="655"/>
      <c r="S113" s="655"/>
      <c r="T113" s="655"/>
      <c r="U113" s="655"/>
      <c r="V113" s="655"/>
      <c r="W113" s="655"/>
      <c r="X113" s="655"/>
      <c r="Y113" s="655"/>
      <c r="Z113" s="655"/>
      <c r="AA113" s="655"/>
    </row>
    <row r="114">
      <c r="B114" s="1099" t="s">
        <v>425</v>
      </c>
      <c r="C114" s="1101">
        <v>5000.0</v>
      </c>
      <c r="D114" s="1102">
        <v>45597.0</v>
      </c>
      <c r="E114" s="1099"/>
      <c r="F114" s="1099"/>
      <c r="G114" s="1099"/>
      <c r="H114" s="654"/>
      <c r="I114" s="654"/>
      <c r="J114" s="650"/>
      <c r="K114" s="650"/>
      <c r="L114" s="655"/>
      <c r="M114" s="655"/>
      <c r="N114" s="655"/>
      <c r="O114" s="655"/>
      <c r="P114" s="655"/>
      <c r="Q114" s="655"/>
      <c r="R114" s="655"/>
      <c r="S114" s="655"/>
      <c r="T114" s="655"/>
      <c r="U114" s="655"/>
      <c r="V114" s="655"/>
      <c r="W114" s="655"/>
      <c r="X114" s="655"/>
      <c r="Y114" s="655"/>
      <c r="Z114" s="655"/>
      <c r="AA114" s="655"/>
    </row>
    <row r="115">
      <c r="B115" s="1099" t="s">
        <v>426</v>
      </c>
      <c r="C115" s="1101">
        <v>5000.0</v>
      </c>
      <c r="D115" s="1102">
        <v>45597.0</v>
      </c>
      <c r="E115" s="1099"/>
      <c r="F115" s="1099"/>
      <c r="G115" s="1099"/>
      <c r="H115" s="654"/>
      <c r="I115" s="654"/>
      <c r="J115" s="650"/>
      <c r="K115" s="650"/>
      <c r="L115" s="655"/>
      <c r="M115" s="655"/>
      <c r="N115" s="655"/>
      <c r="O115" s="655"/>
      <c r="P115" s="655"/>
      <c r="Q115" s="655"/>
      <c r="R115" s="655"/>
      <c r="S115" s="655"/>
      <c r="T115" s="655"/>
      <c r="U115" s="655"/>
      <c r="V115" s="655"/>
      <c r="W115" s="655"/>
      <c r="X115" s="655"/>
      <c r="Y115" s="655"/>
      <c r="Z115" s="655"/>
      <c r="AA115" s="655"/>
    </row>
    <row r="116">
      <c r="B116" s="1099" t="s">
        <v>427</v>
      </c>
      <c r="C116" s="1101">
        <v>10000.0</v>
      </c>
      <c r="D116" s="1102">
        <v>45597.0</v>
      </c>
      <c r="E116" s="1099"/>
      <c r="F116" s="1099"/>
      <c r="G116" s="1099"/>
      <c r="H116" s="654"/>
      <c r="I116" s="654"/>
      <c r="J116" s="650"/>
      <c r="K116" s="650"/>
      <c r="L116" s="655"/>
      <c r="M116" s="655"/>
      <c r="N116" s="655"/>
      <c r="O116" s="655"/>
      <c r="P116" s="655"/>
      <c r="Q116" s="655"/>
      <c r="R116" s="655"/>
      <c r="S116" s="655"/>
      <c r="T116" s="655"/>
      <c r="U116" s="655"/>
      <c r="V116" s="655"/>
      <c r="W116" s="655"/>
      <c r="X116" s="655"/>
      <c r="Y116" s="655"/>
      <c r="Z116" s="655"/>
      <c r="AA116" s="655"/>
    </row>
    <row r="117">
      <c r="B117" s="1099" t="s">
        <v>37</v>
      </c>
      <c r="C117" s="1101">
        <v>50000.0</v>
      </c>
      <c r="D117" s="1099"/>
      <c r="E117" s="1099"/>
      <c r="F117" s="1099"/>
      <c r="G117" s="1099"/>
      <c r="H117" s="654"/>
      <c r="I117" s="654"/>
      <c r="J117" s="650"/>
      <c r="K117" s="650"/>
      <c r="L117" s="655"/>
      <c r="M117" s="655"/>
      <c r="N117" s="655"/>
      <c r="O117" s="655"/>
      <c r="P117" s="655"/>
      <c r="Q117" s="655"/>
      <c r="R117" s="655"/>
      <c r="S117" s="655"/>
      <c r="T117" s="655"/>
      <c r="U117" s="655"/>
      <c r="V117" s="655"/>
      <c r="W117" s="655"/>
      <c r="X117" s="655"/>
      <c r="Y117" s="655"/>
      <c r="Z117" s="655"/>
      <c r="AA117" s="655"/>
    </row>
    <row r="118">
      <c r="B118" s="1099" t="s">
        <v>939</v>
      </c>
      <c r="C118" s="1101">
        <v>20000.0</v>
      </c>
      <c r="D118" s="1099"/>
      <c r="E118" s="1099"/>
      <c r="F118" s="1099"/>
      <c r="G118" s="1099"/>
      <c r="H118" s="654"/>
      <c r="I118" s="654"/>
      <c r="J118" s="650"/>
      <c r="K118" s="650"/>
      <c r="L118" s="655"/>
      <c r="M118" s="655"/>
      <c r="N118" s="655"/>
      <c r="O118" s="655"/>
      <c r="P118" s="655"/>
      <c r="Q118" s="655"/>
      <c r="R118" s="655"/>
      <c r="S118" s="655"/>
      <c r="T118" s="655"/>
      <c r="U118" s="655"/>
      <c r="V118" s="655"/>
      <c r="W118" s="655"/>
      <c r="X118" s="655"/>
      <c r="Y118" s="655"/>
      <c r="Z118" s="655"/>
      <c r="AA118" s="655"/>
    </row>
    <row r="119">
      <c r="B119" s="1099" t="s">
        <v>940</v>
      </c>
      <c r="C119" s="1101">
        <v>10000.0</v>
      </c>
      <c r="D119" s="1099"/>
      <c r="E119" s="1099"/>
      <c r="F119" s="1099"/>
      <c r="G119" s="1099"/>
      <c r="H119" s="654"/>
      <c r="I119" s="654"/>
      <c r="J119" s="650"/>
      <c r="K119" s="650"/>
      <c r="L119" s="655"/>
      <c r="M119" s="655"/>
      <c r="N119" s="655"/>
      <c r="O119" s="655"/>
      <c r="P119" s="655"/>
      <c r="Q119" s="655"/>
      <c r="R119" s="655"/>
      <c r="S119" s="655"/>
      <c r="T119" s="655"/>
      <c r="U119" s="655"/>
      <c r="V119" s="655"/>
      <c r="W119" s="655"/>
      <c r="X119" s="655"/>
      <c r="Y119" s="655"/>
      <c r="Z119" s="655"/>
      <c r="AA119" s="655"/>
    </row>
    <row r="120">
      <c r="B120" s="1099" t="s">
        <v>93</v>
      </c>
      <c r="C120" s="1101">
        <v>50000.0</v>
      </c>
      <c r="D120" s="1099"/>
      <c r="E120" s="1099"/>
      <c r="F120" s="1099"/>
      <c r="G120" s="1099"/>
      <c r="H120" s="654"/>
      <c r="I120" s="654"/>
      <c r="J120" s="650"/>
      <c r="K120" s="650"/>
      <c r="L120" s="655"/>
      <c r="M120" s="655"/>
      <c r="N120" s="655"/>
      <c r="O120" s="655"/>
      <c r="P120" s="655"/>
      <c r="Q120" s="655"/>
      <c r="R120" s="655"/>
      <c r="S120" s="655"/>
      <c r="T120" s="655"/>
      <c r="U120" s="655"/>
      <c r="V120" s="655"/>
      <c r="W120" s="655"/>
      <c r="X120" s="655"/>
      <c r="Y120" s="655"/>
      <c r="Z120" s="655"/>
      <c r="AA120" s="655"/>
    </row>
    <row r="121">
      <c r="B121" s="1099" t="s">
        <v>831</v>
      </c>
      <c r="C121" s="1101">
        <v>55000.0</v>
      </c>
      <c r="D121" s="1099"/>
      <c r="E121" s="1099"/>
      <c r="F121" s="1099"/>
      <c r="G121" s="1099"/>
      <c r="H121" s="654"/>
      <c r="I121" s="654"/>
      <c r="J121" s="650"/>
      <c r="K121" s="650"/>
      <c r="L121" s="655"/>
      <c r="M121" s="655"/>
      <c r="N121" s="655"/>
      <c r="O121" s="655"/>
      <c r="P121" s="655"/>
      <c r="Q121" s="655"/>
      <c r="R121" s="655"/>
      <c r="S121" s="655"/>
      <c r="T121" s="655"/>
      <c r="U121" s="655"/>
      <c r="V121" s="655"/>
      <c r="W121" s="655"/>
      <c r="X121" s="655"/>
      <c r="Y121" s="655"/>
      <c r="Z121" s="655"/>
      <c r="AA121" s="655"/>
    </row>
    <row r="122">
      <c r="B122" s="1099"/>
      <c r="C122" s="1101">
        <f>sum(C113:C121 )</f>
        <v>215000</v>
      </c>
      <c r="D122" s="1099"/>
      <c r="E122" s="1099"/>
      <c r="F122" s="1099"/>
      <c r="G122" s="1099"/>
      <c r="H122" s="654"/>
      <c r="I122" s="654"/>
      <c r="J122" s="650"/>
      <c r="K122" s="650"/>
      <c r="L122" s="655"/>
      <c r="M122" s="655"/>
      <c r="N122" s="655"/>
      <c r="O122" s="655"/>
      <c r="P122" s="655"/>
      <c r="Q122" s="655"/>
      <c r="R122" s="655"/>
      <c r="S122" s="655"/>
      <c r="T122" s="655"/>
      <c r="U122" s="655"/>
      <c r="V122" s="655"/>
      <c r="W122" s="655"/>
      <c r="X122" s="655"/>
      <c r="Y122" s="655"/>
      <c r="Z122" s="655"/>
      <c r="AA122" s="655"/>
    </row>
    <row r="123">
      <c r="B123" s="1099"/>
      <c r="C123" s="1099"/>
      <c r="D123" s="1099"/>
      <c r="E123" s="1099"/>
      <c r="F123" s="1099"/>
      <c r="G123" s="1099"/>
      <c r="H123" s="654"/>
      <c r="I123" s="654"/>
      <c r="J123" s="650"/>
      <c r="K123" s="650"/>
      <c r="L123" s="655"/>
      <c r="M123" s="655"/>
      <c r="N123" s="655"/>
      <c r="O123" s="655"/>
      <c r="P123" s="655"/>
      <c r="Q123" s="655"/>
      <c r="R123" s="655"/>
      <c r="S123" s="655"/>
      <c r="T123" s="655"/>
      <c r="U123" s="655"/>
      <c r="V123" s="655"/>
      <c r="W123" s="655"/>
      <c r="X123" s="655"/>
      <c r="Y123" s="655"/>
      <c r="Z123" s="655"/>
      <c r="AA123" s="655"/>
    </row>
    <row r="124">
      <c r="B124" s="446" t="s">
        <v>195</v>
      </c>
      <c r="C124" s="1101">
        <v>5000000.0</v>
      </c>
      <c r="D124" s="1099"/>
      <c r="E124" s="1099"/>
      <c r="F124" s="1099"/>
      <c r="G124" s="1099"/>
      <c r="H124" s="654"/>
      <c r="I124" s="654"/>
      <c r="J124" s="650"/>
      <c r="K124" s="650"/>
      <c r="L124" s="655"/>
      <c r="M124" s="655"/>
      <c r="N124" s="655"/>
      <c r="O124" s="655"/>
      <c r="P124" s="655"/>
      <c r="Q124" s="655"/>
      <c r="R124" s="655"/>
      <c r="S124" s="655"/>
      <c r="T124" s="655"/>
      <c r="U124" s="655"/>
      <c r="V124" s="655"/>
      <c r="W124" s="655"/>
      <c r="X124" s="655"/>
      <c r="Y124" s="655"/>
      <c r="Z124" s="655"/>
      <c r="AA124" s="655"/>
    </row>
    <row r="125">
      <c r="B125" s="1099"/>
      <c r="C125" s="1101">
        <f>C124*0.1</f>
        <v>500000</v>
      </c>
      <c r="D125" s="1101">
        <f>C125/3</f>
        <v>166666.6667</v>
      </c>
      <c r="E125" s="1099"/>
      <c r="F125" s="1099"/>
      <c r="G125" s="1099"/>
      <c r="H125" s="654"/>
      <c r="I125" s="654"/>
      <c r="J125" s="650"/>
      <c r="K125" s="650"/>
      <c r="L125" s="655"/>
      <c r="M125" s="655"/>
      <c r="N125" s="655"/>
      <c r="O125" s="655"/>
      <c r="P125" s="655"/>
      <c r="Q125" s="655"/>
      <c r="R125" s="655"/>
      <c r="S125" s="655"/>
      <c r="T125" s="655"/>
      <c r="U125" s="655"/>
      <c r="V125" s="655"/>
      <c r="W125" s="655"/>
      <c r="X125" s="655"/>
      <c r="Y125" s="655"/>
      <c r="Z125" s="655"/>
      <c r="AA125" s="655"/>
    </row>
    <row r="126">
      <c r="B126" s="1099"/>
      <c r="C126" s="1099"/>
      <c r="D126" s="1099" t="s">
        <v>941</v>
      </c>
      <c r="E126" s="1099"/>
      <c r="F126" s="1099"/>
      <c r="G126" s="1099"/>
      <c r="H126" s="654"/>
      <c r="I126" s="654"/>
      <c r="J126" s="650"/>
      <c r="K126" s="650"/>
      <c r="L126" s="655"/>
      <c r="M126" s="655"/>
      <c r="N126" s="655"/>
      <c r="O126" s="655"/>
      <c r="P126" s="655"/>
      <c r="Q126" s="655"/>
      <c r="R126" s="655"/>
      <c r="S126" s="655"/>
      <c r="T126" s="655"/>
      <c r="U126" s="655"/>
      <c r="V126" s="655"/>
      <c r="W126" s="655"/>
      <c r="X126" s="655"/>
      <c r="Y126" s="655"/>
      <c r="Z126" s="655"/>
      <c r="AA126" s="655"/>
    </row>
    <row r="127">
      <c r="B127" s="1099"/>
      <c r="C127" s="1101">
        <v>750000.0</v>
      </c>
      <c r="D127" s="1099" t="s">
        <v>942</v>
      </c>
      <c r="E127" s="1099"/>
      <c r="F127" s="1099"/>
      <c r="G127" s="1099"/>
      <c r="H127" s="654"/>
      <c r="I127" s="654"/>
      <c r="J127" s="650"/>
      <c r="K127" s="650"/>
      <c r="L127" s="655"/>
      <c r="M127" s="655"/>
      <c r="N127" s="655"/>
      <c r="O127" s="655"/>
      <c r="P127" s="655"/>
      <c r="Q127" s="655"/>
      <c r="R127" s="655"/>
      <c r="S127" s="655"/>
      <c r="T127" s="655"/>
      <c r="U127" s="655"/>
      <c r="V127" s="655"/>
      <c r="W127" s="655"/>
      <c r="X127" s="655"/>
      <c r="Y127" s="655"/>
      <c r="Z127" s="655"/>
      <c r="AA127" s="655"/>
    </row>
    <row r="128">
      <c r="B128" s="462"/>
      <c r="C128" s="671"/>
      <c r="D128" s="671"/>
      <c r="E128" s="462"/>
      <c r="F128" s="654"/>
      <c r="G128" s="650"/>
      <c r="H128" s="654"/>
      <c r="I128" s="654"/>
      <c r="J128" s="650"/>
      <c r="K128" s="650"/>
      <c r="L128" s="655"/>
      <c r="M128" s="655"/>
      <c r="N128" s="655"/>
      <c r="O128" s="655"/>
      <c r="P128" s="655"/>
      <c r="Q128" s="655"/>
      <c r="R128" s="655"/>
      <c r="S128" s="655"/>
      <c r="T128" s="655"/>
      <c r="U128" s="655"/>
      <c r="V128" s="655"/>
      <c r="W128" s="655"/>
      <c r="X128" s="655"/>
      <c r="Y128" s="655"/>
      <c r="Z128" s="655"/>
      <c r="AA128" s="655"/>
    </row>
    <row r="129">
      <c r="B129" s="462"/>
      <c r="C129" s="671"/>
      <c r="D129" s="671"/>
      <c r="E129" s="462"/>
      <c r="F129" s="654"/>
      <c r="G129" s="650"/>
      <c r="H129" s="654"/>
      <c r="I129" s="654"/>
      <c r="J129" s="650"/>
      <c r="K129" s="650"/>
      <c r="L129" s="655"/>
      <c r="M129" s="655"/>
      <c r="N129" s="655"/>
      <c r="O129" s="655"/>
      <c r="P129" s="655"/>
      <c r="Q129" s="655"/>
      <c r="R129" s="655"/>
      <c r="S129" s="655"/>
      <c r="T129" s="655"/>
      <c r="U129" s="655"/>
      <c r="V129" s="655"/>
      <c r="W129" s="655"/>
      <c r="X129" s="655"/>
      <c r="Y129" s="655"/>
      <c r="Z129" s="655"/>
      <c r="AA129" s="655"/>
    </row>
    <row r="130">
      <c r="B130" s="462"/>
      <c r="C130" s="671"/>
      <c r="D130" s="671"/>
      <c r="E130" s="462"/>
      <c r="F130" s="654"/>
      <c r="G130" s="650"/>
      <c r="H130" s="654"/>
      <c r="I130" s="654"/>
      <c r="J130" s="650"/>
      <c r="K130" s="650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5"/>
    </row>
    <row r="131">
      <c r="B131" s="462"/>
      <c r="C131" s="671"/>
      <c r="D131" s="671"/>
      <c r="E131" s="462"/>
      <c r="F131" s="654"/>
      <c r="G131" s="650"/>
      <c r="H131" s="654"/>
      <c r="I131" s="654"/>
      <c r="J131" s="650"/>
      <c r="K131" s="650"/>
      <c r="L131" s="655"/>
      <c r="M131" s="655"/>
      <c r="N131" s="655"/>
      <c r="O131" s="655"/>
      <c r="P131" s="655"/>
      <c r="Q131" s="655"/>
      <c r="R131" s="655"/>
      <c r="S131" s="655"/>
      <c r="T131" s="655"/>
      <c r="U131" s="655"/>
      <c r="V131" s="655"/>
      <c r="W131" s="655"/>
      <c r="X131" s="655"/>
      <c r="Y131" s="655"/>
      <c r="Z131" s="655"/>
      <c r="AA131" s="655"/>
    </row>
    <row r="132">
      <c r="B132" s="462"/>
      <c r="C132" s="671"/>
      <c r="D132" s="671"/>
      <c r="E132" s="462"/>
      <c r="F132" s="654"/>
      <c r="G132" s="650"/>
      <c r="H132" s="654"/>
      <c r="I132" s="654"/>
      <c r="J132" s="650"/>
      <c r="K132" s="650"/>
      <c r="L132" s="655"/>
      <c r="M132" s="655"/>
      <c r="N132" s="655"/>
      <c r="O132" s="655"/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  <c r="AA132" s="655"/>
    </row>
    <row r="133">
      <c r="B133" s="462"/>
      <c r="C133" s="671"/>
      <c r="D133" s="671"/>
      <c r="E133" s="462"/>
      <c r="F133" s="654"/>
      <c r="G133" s="650"/>
      <c r="H133" s="654"/>
      <c r="I133" s="654"/>
      <c r="J133" s="650"/>
      <c r="K133" s="650"/>
      <c r="L133" s="655"/>
      <c r="M133" s="655"/>
      <c r="N133" s="655"/>
      <c r="O133" s="655"/>
      <c r="P133" s="655"/>
      <c r="Q133" s="655"/>
      <c r="R133" s="655"/>
      <c r="S133" s="655"/>
      <c r="T133" s="655"/>
      <c r="U133" s="655"/>
      <c r="V133" s="655"/>
      <c r="W133" s="655"/>
      <c r="X133" s="655"/>
      <c r="Y133" s="655"/>
      <c r="Z133" s="655"/>
      <c r="AA133" s="655"/>
    </row>
    <row r="134">
      <c r="B134" s="462"/>
      <c r="C134" s="671"/>
      <c r="D134" s="671"/>
      <c r="E134" s="462"/>
      <c r="F134" s="654"/>
      <c r="G134" s="650"/>
      <c r="H134" s="654"/>
      <c r="I134" s="654"/>
      <c r="J134" s="650"/>
      <c r="K134" s="650"/>
      <c r="L134" s="655"/>
      <c r="M134" s="655"/>
      <c r="N134" s="655"/>
      <c r="O134" s="655"/>
      <c r="P134" s="655"/>
      <c r="Q134" s="655"/>
      <c r="R134" s="655"/>
      <c r="S134" s="655"/>
      <c r="T134" s="655"/>
      <c r="U134" s="655"/>
      <c r="V134" s="655"/>
      <c r="W134" s="655"/>
      <c r="X134" s="655"/>
      <c r="Y134" s="655"/>
      <c r="Z134" s="655"/>
      <c r="AA134" s="655"/>
    </row>
    <row r="135">
      <c r="B135" s="462"/>
      <c r="C135" s="671"/>
      <c r="D135" s="671"/>
      <c r="E135" s="462"/>
      <c r="F135" s="654"/>
      <c r="G135" s="650"/>
      <c r="H135" s="654"/>
      <c r="I135" s="654"/>
      <c r="J135" s="650"/>
      <c r="K135" s="650"/>
      <c r="L135" s="655"/>
      <c r="M135" s="655"/>
      <c r="N135" s="655"/>
      <c r="O135" s="655"/>
      <c r="P135" s="655"/>
      <c r="Q135" s="655"/>
      <c r="R135" s="655"/>
      <c r="S135" s="655"/>
      <c r="T135" s="655"/>
      <c r="U135" s="655"/>
      <c r="V135" s="655"/>
      <c r="W135" s="655"/>
      <c r="X135" s="655"/>
      <c r="Y135" s="655"/>
      <c r="Z135" s="655"/>
      <c r="AA135" s="655"/>
    </row>
    <row r="136">
      <c r="B136" s="462"/>
      <c r="C136" s="671"/>
      <c r="D136" s="671"/>
      <c r="E136" s="462"/>
      <c r="F136" s="654"/>
      <c r="G136" s="650"/>
      <c r="H136" s="654"/>
      <c r="I136" s="654"/>
      <c r="J136" s="650"/>
      <c r="K136" s="650"/>
      <c r="L136" s="655"/>
      <c r="M136" s="655"/>
      <c r="N136" s="655"/>
      <c r="O136" s="655"/>
      <c r="P136" s="655"/>
      <c r="Q136" s="655"/>
      <c r="R136" s="655"/>
      <c r="S136" s="655"/>
      <c r="T136" s="655"/>
      <c r="U136" s="655"/>
      <c r="V136" s="655"/>
      <c r="W136" s="655"/>
      <c r="X136" s="655"/>
      <c r="Y136" s="655"/>
      <c r="Z136" s="655"/>
      <c r="AA136" s="655"/>
    </row>
    <row r="137">
      <c r="B137" s="462"/>
      <c r="C137" s="671"/>
      <c r="D137" s="671"/>
      <c r="E137" s="462"/>
      <c r="F137" s="654"/>
      <c r="G137" s="650"/>
      <c r="H137" s="654"/>
      <c r="I137" s="654"/>
      <c r="J137" s="650"/>
      <c r="K137" s="650"/>
      <c r="L137" s="655"/>
      <c r="M137" s="655"/>
      <c r="N137" s="655"/>
      <c r="O137" s="655"/>
      <c r="P137" s="655"/>
      <c r="Q137" s="655"/>
      <c r="R137" s="655"/>
      <c r="S137" s="655"/>
      <c r="T137" s="655"/>
      <c r="U137" s="655"/>
      <c r="V137" s="655"/>
      <c r="W137" s="655"/>
      <c r="X137" s="655"/>
      <c r="Y137" s="655"/>
      <c r="Z137" s="655"/>
      <c r="AA137" s="655"/>
    </row>
    <row r="138">
      <c r="B138" s="462"/>
      <c r="C138" s="671"/>
      <c r="D138" s="671"/>
      <c r="E138" s="462"/>
      <c r="F138" s="654"/>
      <c r="G138" s="650"/>
      <c r="H138" s="654"/>
      <c r="I138" s="654"/>
      <c r="J138" s="650"/>
      <c r="K138" s="650"/>
      <c r="L138" s="655"/>
      <c r="M138" s="655"/>
      <c r="N138" s="655"/>
      <c r="O138" s="655"/>
      <c r="P138" s="655"/>
      <c r="Q138" s="655"/>
      <c r="R138" s="655"/>
      <c r="S138" s="655"/>
      <c r="T138" s="655"/>
      <c r="U138" s="655"/>
      <c r="V138" s="655"/>
      <c r="W138" s="655"/>
      <c r="X138" s="655"/>
      <c r="Y138" s="655"/>
      <c r="Z138" s="655"/>
      <c r="AA138" s="655"/>
    </row>
    <row r="139">
      <c r="B139" s="462"/>
      <c r="C139" s="671"/>
      <c r="D139" s="671"/>
      <c r="E139" s="462"/>
      <c r="F139" s="654"/>
      <c r="G139" s="650"/>
      <c r="H139" s="654"/>
      <c r="I139" s="654"/>
      <c r="J139" s="650"/>
      <c r="K139" s="650"/>
      <c r="L139" s="655"/>
      <c r="M139" s="655"/>
      <c r="N139" s="655"/>
      <c r="O139" s="655"/>
      <c r="P139" s="655"/>
      <c r="Q139" s="655"/>
      <c r="R139" s="655"/>
      <c r="S139" s="655"/>
      <c r="T139" s="655"/>
      <c r="U139" s="655"/>
      <c r="V139" s="655"/>
      <c r="W139" s="655"/>
      <c r="X139" s="655"/>
      <c r="Y139" s="655"/>
      <c r="Z139" s="655"/>
      <c r="AA139" s="655"/>
    </row>
    <row r="140">
      <c r="B140" s="462"/>
      <c r="C140" s="671"/>
      <c r="D140" s="671"/>
      <c r="E140" s="462"/>
      <c r="F140" s="654"/>
      <c r="G140" s="650"/>
      <c r="H140" s="654"/>
      <c r="I140" s="654"/>
      <c r="J140" s="650"/>
      <c r="K140" s="650"/>
      <c r="L140" s="655"/>
      <c r="M140" s="655"/>
      <c r="N140" s="655"/>
      <c r="O140" s="655"/>
      <c r="P140" s="655"/>
      <c r="Q140" s="655"/>
      <c r="R140" s="655"/>
      <c r="S140" s="655"/>
      <c r="T140" s="655"/>
      <c r="U140" s="655"/>
      <c r="V140" s="655"/>
      <c r="W140" s="655"/>
      <c r="X140" s="655"/>
      <c r="Y140" s="655"/>
      <c r="Z140" s="655"/>
      <c r="AA140" s="655"/>
    </row>
    <row r="141">
      <c r="B141" s="462"/>
      <c r="C141" s="671"/>
      <c r="D141" s="671"/>
      <c r="E141" s="462"/>
      <c r="F141" s="654"/>
      <c r="G141" s="650"/>
      <c r="H141" s="654"/>
      <c r="I141" s="654"/>
      <c r="J141" s="650"/>
      <c r="K141" s="650"/>
      <c r="L141" s="655"/>
      <c r="M141" s="655"/>
      <c r="N141" s="655"/>
      <c r="O141" s="655"/>
      <c r="P141" s="655"/>
      <c r="Q141" s="655"/>
      <c r="R141" s="655"/>
      <c r="S141" s="655"/>
      <c r="T141" s="655"/>
      <c r="U141" s="655"/>
      <c r="V141" s="655"/>
      <c r="W141" s="655"/>
      <c r="X141" s="655"/>
      <c r="Y141" s="655"/>
      <c r="Z141" s="655"/>
      <c r="AA141" s="655"/>
    </row>
    <row r="142">
      <c r="B142" s="462"/>
      <c r="C142" s="671"/>
      <c r="D142" s="671"/>
      <c r="E142" s="462"/>
      <c r="F142" s="654"/>
      <c r="G142" s="650"/>
      <c r="H142" s="654"/>
      <c r="I142" s="654"/>
      <c r="J142" s="650"/>
      <c r="K142" s="650"/>
      <c r="L142" s="655"/>
      <c r="M142" s="655"/>
      <c r="N142" s="655"/>
      <c r="O142" s="655"/>
      <c r="P142" s="655"/>
      <c r="Q142" s="655"/>
      <c r="R142" s="655"/>
      <c r="S142" s="655"/>
      <c r="T142" s="655"/>
      <c r="U142" s="655"/>
      <c r="V142" s="655"/>
      <c r="W142" s="655"/>
      <c r="X142" s="655"/>
      <c r="Y142" s="655"/>
      <c r="Z142" s="655"/>
      <c r="AA142" s="655"/>
    </row>
    <row r="143">
      <c r="B143" s="462"/>
      <c r="C143" s="671"/>
      <c r="D143" s="671"/>
      <c r="E143" s="462"/>
      <c r="F143" s="654"/>
      <c r="G143" s="650"/>
      <c r="H143" s="654"/>
      <c r="I143" s="654"/>
      <c r="J143" s="650"/>
      <c r="K143" s="650"/>
      <c r="L143" s="655"/>
      <c r="M143" s="655"/>
      <c r="N143" s="655"/>
      <c r="O143" s="655"/>
      <c r="P143" s="655"/>
      <c r="Q143" s="655"/>
      <c r="R143" s="655"/>
      <c r="S143" s="655"/>
      <c r="T143" s="655"/>
      <c r="U143" s="655"/>
      <c r="V143" s="655"/>
      <c r="W143" s="655"/>
      <c r="X143" s="655"/>
      <c r="Y143" s="655"/>
      <c r="Z143" s="655"/>
      <c r="AA143" s="655"/>
    </row>
    <row r="144">
      <c r="B144" s="462"/>
      <c r="C144" s="671"/>
      <c r="D144" s="671"/>
      <c r="E144" s="462"/>
      <c r="F144" s="654"/>
      <c r="G144" s="650"/>
      <c r="H144" s="654"/>
      <c r="I144" s="654"/>
      <c r="J144" s="650"/>
      <c r="K144" s="650"/>
      <c r="L144" s="655"/>
      <c r="M144" s="655"/>
      <c r="N144" s="655"/>
      <c r="O144" s="655"/>
      <c r="P144" s="655"/>
      <c r="Q144" s="655"/>
      <c r="R144" s="655"/>
      <c r="S144" s="655"/>
      <c r="T144" s="655"/>
      <c r="U144" s="655"/>
      <c r="V144" s="655"/>
      <c r="W144" s="655"/>
      <c r="X144" s="655"/>
      <c r="Y144" s="655"/>
      <c r="Z144" s="655"/>
      <c r="AA144" s="655"/>
    </row>
    <row r="145">
      <c r="B145" s="462"/>
      <c r="C145" s="671"/>
      <c r="D145" s="671"/>
      <c r="E145" s="462"/>
      <c r="F145" s="654"/>
      <c r="G145" s="650"/>
      <c r="H145" s="654"/>
      <c r="I145" s="654"/>
      <c r="J145" s="650"/>
      <c r="K145" s="650"/>
      <c r="L145" s="655"/>
      <c r="M145" s="655"/>
      <c r="N145" s="655"/>
      <c r="O145" s="655"/>
      <c r="P145" s="655"/>
      <c r="Q145" s="655"/>
      <c r="R145" s="655"/>
      <c r="S145" s="655"/>
      <c r="T145" s="655"/>
      <c r="U145" s="655"/>
      <c r="V145" s="655"/>
      <c r="W145" s="655"/>
      <c r="X145" s="655"/>
      <c r="Y145" s="655"/>
      <c r="Z145" s="655"/>
      <c r="AA145" s="655"/>
    </row>
    <row r="146">
      <c r="B146" s="462"/>
      <c r="C146" s="671"/>
      <c r="D146" s="671"/>
      <c r="E146" s="462"/>
      <c r="F146" s="654"/>
      <c r="G146" s="650"/>
      <c r="H146" s="654"/>
      <c r="I146" s="654"/>
      <c r="J146" s="650"/>
      <c r="K146" s="650"/>
      <c r="L146" s="655"/>
      <c r="M146" s="655"/>
      <c r="N146" s="655"/>
      <c r="O146" s="655"/>
      <c r="P146" s="655"/>
      <c r="Q146" s="655"/>
      <c r="R146" s="655"/>
      <c r="S146" s="655"/>
      <c r="T146" s="655"/>
      <c r="U146" s="655"/>
      <c r="V146" s="655"/>
      <c r="W146" s="655"/>
      <c r="X146" s="655"/>
      <c r="Y146" s="655"/>
      <c r="Z146" s="655"/>
      <c r="AA146" s="655"/>
    </row>
    <row r="147">
      <c r="B147" s="462"/>
      <c r="C147" s="671"/>
      <c r="D147" s="671"/>
      <c r="E147" s="462"/>
      <c r="F147" s="654"/>
      <c r="G147" s="650"/>
      <c r="H147" s="654"/>
      <c r="I147" s="654"/>
      <c r="J147" s="650"/>
      <c r="K147" s="650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55"/>
    </row>
    <row r="148">
      <c r="B148" s="462"/>
      <c r="C148" s="671"/>
      <c r="D148" s="671"/>
      <c r="E148" s="462"/>
      <c r="F148" s="654"/>
      <c r="G148" s="650"/>
      <c r="H148" s="654"/>
      <c r="I148" s="654"/>
      <c r="J148" s="650"/>
      <c r="K148" s="650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55"/>
    </row>
    <row r="149">
      <c r="B149" s="462"/>
      <c r="C149" s="671"/>
      <c r="D149" s="671"/>
      <c r="E149" s="462"/>
      <c r="F149" s="654"/>
      <c r="G149" s="650"/>
      <c r="H149" s="654"/>
      <c r="I149" s="654"/>
      <c r="J149" s="650"/>
      <c r="K149" s="650"/>
      <c r="L149" s="655"/>
      <c r="M149" s="655"/>
      <c r="N149" s="655"/>
      <c r="O149" s="655"/>
      <c r="P149" s="655"/>
      <c r="Q149" s="655"/>
      <c r="R149" s="655"/>
      <c r="S149" s="655"/>
      <c r="T149" s="655"/>
      <c r="U149" s="655"/>
      <c r="V149" s="655"/>
      <c r="W149" s="655"/>
      <c r="X149" s="655"/>
      <c r="Y149" s="655"/>
      <c r="Z149" s="655"/>
      <c r="AA149" s="655"/>
    </row>
    <row r="150">
      <c r="B150" s="462"/>
      <c r="C150" s="671"/>
      <c r="D150" s="671"/>
      <c r="E150" s="462"/>
      <c r="F150" s="654"/>
      <c r="G150" s="650"/>
      <c r="H150" s="654"/>
      <c r="I150" s="654"/>
      <c r="J150" s="650"/>
      <c r="K150" s="650"/>
      <c r="L150" s="655"/>
      <c r="M150" s="655"/>
      <c r="N150" s="655"/>
      <c r="O150" s="655"/>
      <c r="P150" s="655"/>
      <c r="Q150" s="655"/>
      <c r="R150" s="655"/>
      <c r="S150" s="655"/>
      <c r="T150" s="655"/>
      <c r="U150" s="655"/>
      <c r="V150" s="655"/>
      <c r="W150" s="655"/>
      <c r="X150" s="655"/>
      <c r="Y150" s="655"/>
      <c r="Z150" s="655"/>
      <c r="AA150" s="655"/>
    </row>
    <row r="151">
      <c r="B151" s="462"/>
      <c r="C151" s="671"/>
      <c r="D151" s="671"/>
      <c r="E151" s="462"/>
      <c r="F151" s="654"/>
      <c r="G151" s="650"/>
      <c r="H151" s="654"/>
      <c r="I151" s="654"/>
      <c r="J151" s="650"/>
      <c r="K151" s="650"/>
      <c r="L151" s="655"/>
      <c r="M151" s="655"/>
      <c r="N151" s="655"/>
      <c r="O151" s="655"/>
      <c r="P151" s="655"/>
      <c r="Q151" s="655"/>
      <c r="R151" s="655"/>
      <c r="S151" s="655"/>
      <c r="T151" s="655"/>
      <c r="U151" s="655"/>
      <c r="V151" s="655"/>
      <c r="W151" s="655"/>
      <c r="X151" s="655"/>
      <c r="Y151" s="655"/>
      <c r="Z151" s="655"/>
      <c r="AA151" s="655"/>
    </row>
    <row r="152">
      <c r="B152" s="462"/>
      <c r="C152" s="671"/>
      <c r="D152" s="671"/>
      <c r="E152" s="462"/>
      <c r="F152" s="654"/>
      <c r="G152" s="650"/>
      <c r="H152" s="654"/>
      <c r="I152" s="654"/>
      <c r="J152" s="650"/>
      <c r="K152" s="650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5"/>
    </row>
    <row r="153">
      <c r="B153" s="462"/>
      <c r="C153" s="671"/>
      <c r="D153" s="671"/>
      <c r="E153" s="462"/>
      <c r="F153" s="654"/>
      <c r="G153" s="650"/>
      <c r="H153" s="654"/>
      <c r="I153" s="654"/>
      <c r="J153" s="650"/>
      <c r="K153" s="650"/>
      <c r="L153" s="655"/>
      <c r="M153" s="655"/>
      <c r="N153" s="655"/>
      <c r="O153" s="655"/>
      <c r="P153" s="655"/>
      <c r="Q153" s="655"/>
      <c r="R153" s="655"/>
      <c r="S153" s="655"/>
      <c r="T153" s="655"/>
      <c r="U153" s="655"/>
      <c r="V153" s="655"/>
      <c r="W153" s="655"/>
      <c r="X153" s="655"/>
      <c r="Y153" s="655"/>
      <c r="Z153" s="655"/>
      <c r="AA153" s="655"/>
    </row>
    <row r="154">
      <c r="B154" s="462"/>
      <c r="C154" s="671"/>
      <c r="D154" s="671"/>
      <c r="E154" s="462"/>
      <c r="F154" s="654"/>
      <c r="G154" s="650"/>
      <c r="H154" s="654"/>
      <c r="I154" s="654"/>
      <c r="J154" s="650"/>
      <c r="K154" s="650"/>
      <c r="L154" s="655"/>
      <c r="M154" s="655"/>
      <c r="N154" s="655"/>
      <c r="O154" s="655"/>
      <c r="P154" s="655"/>
      <c r="Q154" s="655"/>
      <c r="R154" s="655"/>
      <c r="S154" s="655"/>
      <c r="T154" s="655"/>
      <c r="U154" s="655"/>
      <c r="V154" s="655"/>
      <c r="W154" s="655"/>
      <c r="X154" s="655"/>
      <c r="Y154" s="655"/>
      <c r="Z154" s="655"/>
      <c r="AA154" s="655"/>
    </row>
    <row r="155">
      <c r="B155" s="462"/>
      <c r="C155" s="671"/>
      <c r="D155" s="671"/>
      <c r="E155" s="462"/>
      <c r="F155" s="654"/>
      <c r="G155" s="650"/>
      <c r="H155" s="654"/>
      <c r="I155" s="654"/>
      <c r="J155" s="650"/>
      <c r="K155" s="650"/>
      <c r="L155" s="655"/>
      <c r="M155" s="655"/>
      <c r="N155" s="655"/>
      <c r="O155" s="655"/>
      <c r="P155" s="655"/>
      <c r="Q155" s="655"/>
      <c r="R155" s="655"/>
      <c r="S155" s="655"/>
      <c r="T155" s="655"/>
      <c r="U155" s="655"/>
      <c r="V155" s="655"/>
      <c r="W155" s="655"/>
      <c r="X155" s="655"/>
      <c r="Y155" s="655"/>
      <c r="Z155" s="655"/>
      <c r="AA155" s="655"/>
    </row>
    <row r="156">
      <c r="B156" s="462"/>
      <c r="C156" s="671"/>
      <c r="D156" s="671"/>
      <c r="E156" s="462"/>
      <c r="F156" s="654"/>
      <c r="G156" s="650"/>
      <c r="H156" s="654"/>
      <c r="I156" s="654"/>
      <c r="J156" s="650"/>
      <c r="K156" s="650"/>
      <c r="L156" s="655"/>
      <c r="M156" s="655"/>
      <c r="N156" s="655"/>
      <c r="O156" s="655"/>
      <c r="P156" s="655"/>
      <c r="Q156" s="655"/>
      <c r="R156" s="655"/>
      <c r="S156" s="655"/>
      <c r="T156" s="655"/>
      <c r="U156" s="655"/>
      <c r="V156" s="655"/>
      <c r="W156" s="655"/>
      <c r="X156" s="655"/>
      <c r="Y156" s="655"/>
      <c r="Z156" s="655"/>
      <c r="AA156" s="655"/>
    </row>
    <row r="157">
      <c r="B157" s="462"/>
      <c r="C157" s="671"/>
      <c r="D157" s="671"/>
      <c r="E157" s="462"/>
      <c r="F157" s="654"/>
      <c r="G157" s="650"/>
      <c r="H157" s="654"/>
      <c r="I157" s="654"/>
      <c r="J157" s="650"/>
      <c r="K157" s="650"/>
      <c r="L157" s="655"/>
      <c r="M157" s="655"/>
      <c r="N157" s="655"/>
      <c r="O157" s="655"/>
      <c r="P157" s="655"/>
      <c r="Q157" s="655"/>
      <c r="R157" s="655"/>
      <c r="S157" s="655"/>
      <c r="T157" s="655"/>
      <c r="U157" s="655"/>
      <c r="V157" s="655"/>
      <c r="W157" s="655"/>
      <c r="X157" s="655"/>
      <c r="Y157" s="655"/>
      <c r="Z157" s="655"/>
      <c r="AA157" s="655"/>
    </row>
    <row r="158">
      <c r="B158" s="462"/>
      <c r="C158" s="671"/>
      <c r="D158" s="671"/>
      <c r="E158" s="462"/>
      <c r="F158" s="654"/>
      <c r="G158" s="650"/>
      <c r="H158" s="654"/>
      <c r="I158" s="654"/>
      <c r="J158" s="650"/>
      <c r="K158" s="650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  <c r="AA158" s="655"/>
    </row>
    <row r="159">
      <c r="B159" s="462"/>
      <c r="C159" s="671"/>
      <c r="D159" s="671"/>
      <c r="E159" s="462"/>
      <c r="F159" s="654"/>
      <c r="G159" s="650"/>
      <c r="H159" s="654"/>
      <c r="I159" s="654"/>
      <c r="J159" s="650"/>
      <c r="K159" s="650"/>
      <c r="L159" s="655"/>
      <c r="M159" s="655"/>
      <c r="N159" s="655"/>
      <c r="O159" s="655"/>
      <c r="P159" s="655"/>
      <c r="Q159" s="655"/>
      <c r="R159" s="655"/>
      <c r="S159" s="655"/>
      <c r="T159" s="655"/>
      <c r="U159" s="655"/>
      <c r="V159" s="655"/>
      <c r="W159" s="655"/>
      <c r="X159" s="655"/>
      <c r="Y159" s="655"/>
      <c r="Z159" s="655"/>
      <c r="AA159" s="655"/>
    </row>
    <row r="160">
      <c r="B160" s="462"/>
      <c r="C160" s="671"/>
      <c r="D160" s="671"/>
      <c r="E160" s="462"/>
      <c r="F160" s="654"/>
      <c r="G160" s="650"/>
      <c r="H160" s="654"/>
      <c r="I160" s="654"/>
      <c r="J160" s="650"/>
      <c r="K160" s="650"/>
      <c r="L160" s="655"/>
      <c r="M160" s="655"/>
      <c r="N160" s="655"/>
      <c r="O160" s="655"/>
      <c r="P160" s="655"/>
      <c r="Q160" s="655"/>
      <c r="R160" s="655"/>
      <c r="S160" s="655"/>
      <c r="T160" s="655"/>
      <c r="U160" s="655"/>
      <c r="V160" s="655"/>
      <c r="W160" s="655"/>
      <c r="X160" s="655"/>
      <c r="Y160" s="655"/>
      <c r="Z160" s="655"/>
      <c r="AA160" s="655"/>
    </row>
    <row r="161">
      <c r="B161" s="462"/>
      <c r="C161" s="671"/>
      <c r="D161" s="671"/>
      <c r="E161" s="462"/>
      <c r="F161" s="654"/>
      <c r="G161" s="650"/>
      <c r="H161" s="654"/>
      <c r="I161" s="654"/>
      <c r="J161" s="650"/>
      <c r="K161" s="650"/>
      <c r="L161" s="655"/>
      <c r="M161" s="655"/>
      <c r="N161" s="655"/>
      <c r="O161" s="655"/>
      <c r="P161" s="655"/>
      <c r="Q161" s="655"/>
      <c r="R161" s="655"/>
      <c r="S161" s="655"/>
      <c r="T161" s="655"/>
      <c r="U161" s="655"/>
      <c r="V161" s="655"/>
      <c r="W161" s="655"/>
      <c r="X161" s="655"/>
      <c r="Y161" s="655"/>
      <c r="Z161" s="655"/>
      <c r="AA161" s="655"/>
    </row>
    <row r="162">
      <c r="B162" s="462"/>
      <c r="C162" s="671"/>
      <c r="D162" s="671"/>
      <c r="E162" s="462"/>
      <c r="F162" s="654"/>
      <c r="G162" s="650"/>
      <c r="H162" s="654"/>
      <c r="I162" s="654"/>
      <c r="J162" s="650"/>
      <c r="K162" s="650"/>
      <c r="L162" s="655"/>
      <c r="M162" s="655"/>
      <c r="N162" s="655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  <c r="AA162" s="655"/>
    </row>
    <row r="163">
      <c r="B163" s="462"/>
      <c r="C163" s="671"/>
      <c r="D163" s="671"/>
      <c r="E163" s="462"/>
      <c r="F163" s="654"/>
      <c r="G163" s="650"/>
      <c r="H163" s="654"/>
      <c r="I163" s="654"/>
      <c r="J163" s="650"/>
      <c r="K163" s="650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  <c r="AA163" s="655"/>
    </row>
    <row r="164">
      <c r="B164" s="462"/>
      <c r="C164" s="671"/>
      <c r="D164" s="671"/>
      <c r="E164" s="462"/>
      <c r="F164" s="654"/>
      <c r="G164" s="650"/>
      <c r="H164" s="654"/>
      <c r="I164" s="654"/>
      <c r="J164" s="650"/>
      <c r="K164" s="650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5"/>
    </row>
    <row r="165">
      <c r="B165" s="462"/>
      <c r="C165" s="671"/>
      <c r="D165" s="671"/>
      <c r="E165" s="462"/>
      <c r="F165" s="654"/>
      <c r="G165" s="650"/>
      <c r="H165" s="654"/>
      <c r="I165" s="654"/>
      <c r="J165" s="650"/>
      <c r="K165" s="650"/>
      <c r="L165" s="655"/>
      <c r="M165" s="655"/>
      <c r="N165" s="655"/>
      <c r="O165" s="655"/>
      <c r="P165" s="655"/>
      <c r="Q165" s="655"/>
      <c r="R165" s="655"/>
      <c r="S165" s="655"/>
      <c r="T165" s="655"/>
      <c r="U165" s="655"/>
      <c r="V165" s="655"/>
      <c r="W165" s="655"/>
      <c r="X165" s="655"/>
      <c r="Y165" s="655"/>
      <c r="Z165" s="655"/>
      <c r="AA165" s="655"/>
    </row>
    <row r="166">
      <c r="B166" s="462"/>
      <c r="C166" s="671"/>
      <c r="D166" s="671"/>
      <c r="E166" s="462"/>
      <c r="F166" s="654"/>
      <c r="G166" s="650"/>
      <c r="H166" s="654"/>
      <c r="I166" s="654"/>
      <c r="J166" s="650"/>
      <c r="K166" s="650"/>
      <c r="L166" s="655"/>
      <c r="M166" s="655"/>
      <c r="N166" s="655"/>
      <c r="O166" s="655"/>
      <c r="P166" s="655"/>
      <c r="Q166" s="655"/>
      <c r="R166" s="655"/>
      <c r="S166" s="655"/>
      <c r="T166" s="655"/>
      <c r="U166" s="655"/>
      <c r="V166" s="655"/>
      <c r="W166" s="655"/>
      <c r="X166" s="655"/>
      <c r="Y166" s="655"/>
      <c r="Z166" s="655"/>
      <c r="AA166" s="655"/>
    </row>
    <row r="167">
      <c r="B167" s="462"/>
      <c r="C167" s="671"/>
      <c r="D167" s="671"/>
      <c r="E167" s="462"/>
      <c r="F167" s="654"/>
      <c r="G167" s="650"/>
      <c r="H167" s="654"/>
      <c r="I167" s="654"/>
      <c r="J167" s="650"/>
      <c r="K167" s="650"/>
      <c r="L167" s="655"/>
      <c r="M167" s="655"/>
      <c r="N167" s="655"/>
      <c r="O167" s="655"/>
      <c r="P167" s="655"/>
      <c r="Q167" s="655"/>
      <c r="R167" s="655"/>
      <c r="S167" s="655"/>
      <c r="T167" s="655"/>
      <c r="U167" s="655"/>
      <c r="V167" s="655"/>
      <c r="W167" s="655"/>
      <c r="X167" s="655"/>
      <c r="Y167" s="655"/>
      <c r="Z167" s="655"/>
      <c r="AA167" s="655"/>
    </row>
    <row r="168">
      <c r="B168" s="462"/>
      <c r="C168" s="671"/>
      <c r="D168" s="671"/>
      <c r="E168" s="462"/>
      <c r="F168" s="654"/>
      <c r="G168" s="650"/>
      <c r="H168" s="654"/>
      <c r="I168" s="654"/>
      <c r="J168" s="650"/>
      <c r="K168" s="650"/>
      <c r="L168" s="655"/>
      <c r="M168" s="655"/>
      <c r="N168" s="655"/>
      <c r="O168" s="655"/>
      <c r="P168" s="655"/>
      <c r="Q168" s="655"/>
      <c r="R168" s="655"/>
      <c r="S168" s="655"/>
      <c r="T168" s="655"/>
      <c r="U168" s="655"/>
      <c r="V168" s="655"/>
      <c r="W168" s="655"/>
      <c r="X168" s="655"/>
      <c r="Y168" s="655"/>
      <c r="Z168" s="655"/>
      <c r="AA168" s="655"/>
    </row>
    <row r="169">
      <c r="B169" s="462"/>
      <c r="C169" s="671"/>
      <c r="D169" s="671"/>
      <c r="E169" s="462"/>
      <c r="F169" s="654"/>
      <c r="G169" s="650"/>
      <c r="H169" s="654"/>
      <c r="I169" s="654"/>
      <c r="J169" s="650"/>
      <c r="K169" s="650"/>
      <c r="L169" s="655"/>
      <c r="M169" s="655"/>
      <c r="N169" s="655"/>
      <c r="O169" s="655"/>
      <c r="P169" s="655"/>
      <c r="Q169" s="655"/>
      <c r="R169" s="655"/>
      <c r="S169" s="655"/>
      <c r="T169" s="655"/>
      <c r="U169" s="655"/>
      <c r="V169" s="655"/>
      <c r="W169" s="655"/>
      <c r="X169" s="655"/>
      <c r="Y169" s="655"/>
      <c r="Z169" s="655"/>
      <c r="AA169" s="655"/>
    </row>
    <row r="170">
      <c r="B170" s="462"/>
      <c r="C170" s="671"/>
      <c r="D170" s="671"/>
      <c r="E170" s="462"/>
      <c r="F170" s="654"/>
      <c r="G170" s="650"/>
      <c r="H170" s="654"/>
      <c r="I170" s="654"/>
      <c r="J170" s="650"/>
      <c r="K170" s="650"/>
      <c r="L170" s="655"/>
      <c r="M170" s="655"/>
      <c r="N170" s="655"/>
      <c r="O170" s="655"/>
      <c r="P170" s="655"/>
      <c r="Q170" s="655"/>
      <c r="R170" s="655"/>
      <c r="S170" s="655"/>
      <c r="T170" s="655"/>
      <c r="U170" s="655"/>
      <c r="V170" s="655"/>
      <c r="W170" s="655"/>
      <c r="X170" s="655"/>
      <c r="Y170" s="655"/>
      <c r="Z170" s="655"/>
      <c r="AA170" s="655"/>
    </row>
    <row r="171">
      <c r="B171" s="462"/>
      <c r="C171" s="671"/>
      <c r="D171" s="671"/>
      <c r="E171" s="462"/>
      <c r="F171" s="654"/>
      <c r="G171" s="650"/>
      <c r="H171" s="654"/>
      <c r="I171" s="654"/>
      <c r="J171" s="650"/>
      <c r="K171" s="650"/>
      <c r="L171" s="655"/>
      <c r="M171" s="655"/>
      <c r="N171" s="655"/>
      <c r="O171" s="655"/>
      <c r="P171" s="655"/>
      <c r="Q171" s="655"/>
      <c r="R171" s="655"/>
      <c r="S171" s="655"/>
      <c r="T171" s="655"/>
      <c r="U171" s="655"/>
      <c r="V171" s="655"/>
      <c r="W171" s="655"/>
      <c r="X171" s="655"/>
      <c r="Y171" s="655"/>
      <c r="Z171" s="655"/>
      <c r="AA171" s="655"/>
    </row>
    <row r="172">
      <c r="B172" s="462"/>
      <c r="C172" s="671"/>
      <c r="D172" s="671"/>
      <c r="E172" s="462"/>
      <c r="F172" s="654"/>
      <c r="G172" s="650"/>
      <c r="H172" s="654"/>
      <c r="I172" s="654"/>
      <c r="J172" s="650"/>
      <c r="K172" s="650"/>
      <c r="L172" s="655"/>
      <c r="M172" s="655"/>
      <c r="N172" s="655"/>
      <c r="O172" s="655"/>
      <c r="P172" s="655"/>
      <c r="Q172" s="655"/>
      <c r="R172" s="655"/>
      <c r="S172" s="655"/>
      <c r="T172" s="655"/>
      <c r="U172" s="655"/>
      <c r="V172" s="655"/>
      <c r="W172" s="655"/>
      <c r="X172" s="655"/>
      <c r="Y172" s="655"/>
      <c r="Z172" s="655"/>
      <c r="AA172" s="655"/>
    </row>
    <row r="173">
      <c r="B173" s="462"/>
      <c r="C173" s="671"/>
      <c r="D173" s="671"/>
      <c r="E173" s="462"/>
      <c r="F173" s="654"/>
      <c r="G173" s="650"/>
      <c r="H173" s="654"/>
      <c r="I173" s="654"/>
      <c r="J173" s="650"/>
      <c r="K173" s="650"/>
      <c r="L173" s="655"/>
      <c r="M173" s="655"/>
      <c r="N173" s="655"/>
      <c r="O173" s="655"/>
      <c r="P173" s="655"/>
      <c r="Q173" s="655"/>
      <c r="R173" s="655"/>
      <c r="S173" s="655"/>
      <c r="T173" s="655"/>
      <c r="U173" s="655"/>
      <c r="V173" s="655"/>
      <c r="W173" s="655"/>
      <c r="X173" s="655"/>
      <c r="Y173" s="655"/>
      <c r="Z173" s="655"/>
      <c r="AA173" s="655"/>
    </row>
    <row r="174">
      <c r="B174" s="462"/>
      <c r="C174" s="671"/>
      <c r="D174" s="671"/>
      <c r="E174" s="462"/>
      <c r="F174" s="654"/>
      <c r="G174" s="650"/>
      <c r="H174" s="654"/>
      <c r="I174" s="654"/>
      <c r="J174" s="650"/>
      <c r="K174" s="650"/>
      <c r="L174" s="655"/>
      <c r="M174" s="655"/>
      <c r="N174" s="655"/>
      <c r="O174" s="655"/>
      <c r="P174" s="655"/>
      <c r="Q174" s="655"/>
      <c r="R174" s="655"/>
      <c r="S174" s="655"/>
      <c r="T174" s="655"/>
      <c r="U174" s="655"/>
      <c r="V174" s="655"/>
      <c r="W174" s="655"/>
      <c r="X174" s="655"/>
      <c r="Y174" s="655"/>
      <c r="Z174" s="655"/>
      <c r="AA174" s="655"/>
    </row>
    <row r="175">
      <c r="B175" s="462"/>
      <c r="C175" s="671"/>
      <c r="D175" s="671"/>
      <c r="E175" s="462"/>
      <c r="F175" s="654"/>
      <c r="G175" s="650"/>
      <c r="H175" s="654"/>
      <c r="I175" s="654"/>
      <c r="J175" s="650"/>
      <c r="K175" s="650"/>
      <c r="L175" s="655"/>
      <c r="M175" s="655"/>
      <c r="N175" s="655"/>
      <c r="O175" s="655"/>
      <c r="P175" s="655"/>
      <c r="Q175" s="655"/>
      <c r="R175" s="655"/>
      <c r="S175" s="655"/>
      <c r="T175" s="655"/>
      <c r="U175" s="655"/>
      <c r="V175" s="655"/>
      <c r="W175" s="655"/>
      <c r="X175" s="655"/>
      <c r="Y175" s="655"/>
      <c r="Z175" s="655"/>
      <c r="AA175" s="655"/>
    </row>
    <row r="176">
      <c r="B176" s="462"/>
      <c r="C176" s="671"/>
      <c r="D176" s="671"/>
      <c r="E176" s="462"/>
      <c r="F176" s="654"/>
      <c r="G176" s="650"/>
      <c r="H176" s="654"/>
      <c r="I176" s="654"/>
      <c r="J176" s="650"/>
      <c r="K176" s="650"/>
      <c r="L176" s="655"/>
      <c r="M176" s="655"/>
      <c r="N176" s="655"/>
      <c r="O176" s="655"/>
      <c r="P176" s="655"/>
      <c r="Q176" s="655"/>
      <c r="R176" s="655"/>
      <c r="S176" s="655"/>
      <c r="T176" s="655"/>
      <c r="U176" s="655"/>
      <c r="V176" s="655"/>
      <c r="W176" s="655"/>
      <c r="X176" s="655"/>
      <c r="Y176" s="655"/>
      <c r="Z176" s="655"/>
      <c r="AA176" s="655"/>
    </row>
    <row r="177">
      <c r="B177" s="462"/>
      <c r="C177" s="671"/>
      <c r="D177" s="671"/>
      <c r="E177" s="462"/>
      <c r="F177" s="654"/>
      <c r="G177" s="650"/>
      <c r="H177" s="654"/>
      <c r="I177" s="654"/>
      <c r="J177" s="650"/>
      <c r="K177" s="650"/>
      <c r="L177" s="655"/>
      <c r="M177" s="655"/>
      <c r="N177" s="655"/>
      <c r="O177" s="655"/>
      <c r="P177" s="655"/>
      <c r="Q177" s="655"/>
      <c r="R177" s="655"/>
      <c r="S177" s="655"/>
      <c r="T177" s="655"/>
      <c r="U177" s="655"/>
      <c r="V177" s="655"/>
      <c r="W177" s="655"/>
      <c r="X177" s="655"/>
      <c r="Y177" s="655"/>
      <c r="Z177" s="655"/>
      <c r="AA177" s="655"/>
    </row>
    <row r="178">
      <c r="B178" s="462"/>
      <c r="C178" s="671"/>
      <c r="D178" s="671"/>
      <c r="E178" s="462"/>
      <c r="F178" s="654"/>
      <c r="G178" s="650"/>
      <c r="H178" s="654"/>
      <c r="I178" s="654"/>
      <c r="J178" s="650"/>
      <c r="K178" s="650"/>
      <c r="L178" s="655"/>
      <c r="M178" s="655"/>
      <c r="N178" s="655"/>
      <c r="O178" s="655"/>
      <c r="P178" s="655"/>
      <c r="Q178" s="655"/>
      <c r="R178" s="655"/>
      <c r="S178" s="655"/>
      <c r="T178" s="655"/>
      <c r="U178" s="655"/>
      <c r="V178" s="655"/>
      <c r="W178" s="655"/>
      <c r="X178" s="655"/>
      <c r="Y178" s="655"/>
      <c r="Z178" s="655"/>
      <c r="AA178" s="655"/>
    </row>
    <row r="179">
      <c r="B179" s="462"/>
      <c r="C179" s="671"/>
      <c r="D179" s="671"/>
      <c r="E179" s="462"/>
      <c r="F179" s="654"/>
      <c r="G179" s="650"/>
      <c r="H179" s="654"/>
      <c r="I179" s="654"/>
      <c r="J179" s="650"/>
      <c r="K179" s="650"/>
      <c r="L179" s="655"/>
      <c r="M179" s="655"/>
      <c r="N179" s="655"/>
      <c r="O179" s="655"/>
      <c r="P179" s="655"/>
      <c r="Q179" s="655"/>
      <c r="R179" s="655"/>
      <c r="S179" s="655"/>
      <c r="T179" s="655"/>
      <c r="U179" s="655"/>
      <c r="V179" s="655"/>
      <c r="W179" s="655"/>
      <c r="X179" s="655"/>
      <c r="Y179" s="655"/>
      <c r="Z179" s="655"/>
      <c r="AA179" s="655"/>
    </row>
    <row r="180">
      <c r="B180" s="462"/>
      <c r="C180" s="671"/>
      <c r="D180" s="671"/>
      <c r="E180" s="462"/>
      <c r="F180" s="654"/>
      <c r="G180" s="650"/>
      <c r="H180" s="654"/>
      <c r="I180" s="654"/>
      <c r="J180" s="650"/>
      <c r="K180" s="650"/>
      <c r="L180" s="655"/>
      <c r="M180" s="655"/>
      <c r="N180" s="655"/>
      <c r="O180" s="655"/>
      <c r="P180" s="655"/>
      <c r="Q180" s="655"/>
      <c r="R180" s="655"/>
      <c r="S180" s="655"/>
      <c r="T180" s="655"/>
      <c r="U180" s="655"/>
      <c r="V180" s="655"/>
      <c r="W180" s="655"/>
      <c r="X180" s="655"/>
      <c r="Y180" s="655"/>
      <c r="Z180" s="655"/>
      <c r="AA180" s="655"/>
    </row>
    <row r="181">
      <c r="B181" s="462"/>
      <c r="C181" s="671"/>
      <c r="D181" s="671"/>
      <c r="E181" s="462"/>
      <c r="F181" s="654"/>
      <c r="G181" s="650"/>
      <c r="H181" s="654"/>
      <c r="I181" s="654"/>
      <c r="J181" s="650"/>
      <c r="K181" s="650"/>
      <c r="L181" s="655"/>
      <c r="M181" s="655"/>
      <c r="N181" s="655"/>
      <c r="O181" s="655"/>
      <c r="P181" s="655"/>
      <c r="Q181" s="655"/>
      <c r="R181" s="655"/>
      <c r="S181" s="655"/>
      <c r="T181" s="655"/>
      <c r="U181" s="655"/>
      <c r="V181" s="655"/>
      <c r="W181" s="655"/>
      <c r="X181" s="655"/>
      <c r="Y181" s="655"/>
      <c r="Z181" s="655"/>
      <c r="AA181" s="655"/>
    </row>
    <row r="182">
      <c r="B182" s="462"/>
      <c r="C182" s="671"/>
      <c r="D182" s="671"/>
      <c r="E182" s="462"/>
      <c r="F182" s="654"/>
      <c r="G182" s="650"/>
      <c r="H182" s="654"/>
      <c r="I182" s="654"/>
      <c r="J182" s="650"/>
      <c r="K182" s="650"/>
      <c r="L182" s="655"/>
      <c r="M182" s="655"/>
      <c r="N182" s="655"/>
      <c r="O182" s="655"/>
      <c r="P182" s="655"/>
      <c r="Q182" s="655"/>
      <c r="R182" s="655"/>
      <c r="S182" s="655"/>
      <c r="T182" s="655"/>
      <c r="U182" s="655"/>
      <c r="V182" s="655"/>
      <c r="W182" s="655"/>
      <c r="X182" s="655"/>
      <c r="Y182" s="655"/>
      <c r="Z182" s="655"/>
      <c r="AA182" s="655"/>
    </row>
    <row r="183">
      <c r="B183" s="462"/>
      <c r="C183" s="671"/>
      <c r="D183" s="671"/>
      <c r="E183" s="462"/>
      <c r="F183" s="654"/>
      <c r="G183" s="650"/>
      <c r="H183" s="654"/>
      <c r="I183" s="654"/>
      <c r="J183" s="650"/>
      <c r="K183" s="650"/>
      <c r="L183" s="655"/>
      <c r="M183" s="655"/>
      <c r="N183" s="655"/>
      <c r="O183" s="655"/>
      <c r="P183" s="655"/>
      <c r="Q183" s="655"/>
      <c r="R183" s="655"/>
      <c r="S183" s="655"/>
      <c r="T183" s="655"/>
      <c r="U183" s="655"/>
      <c r="V183" s="655"/>
      <c r="W183" s="655"/>
      <c r="X183" s="655"/>
      <c r="Y183" s="655"/>
      <c r="Z183" s="655"/>
      <c r="AA183" s="655"/>
    </row>
    <row r="184">
      <c r="B184" s="462"/>
      <c r="C184" s="671"/>
      <c r="D184" s="671"/>
      <c r="E184" s="462"/>
      <c r="F184" s="654"/>
      <c r="G184" s="650"/>
      <c r="H184" s="654"/>
      <c r="I184" s="654"/>
      <c r="J184" s="650"/>
      <c r="K184" s="650"/>
      <c r="L184" s="655"/>
      <c r="M184" s="655"/>
      <c r="N184" s="655"/>
      <c r="O184" s="655"/>
      <c r="P184" s="655"/>
      <c r="Q184" s="655"/>
      <c r="R184" s="655"/>
      <c r="S184" s="655"/>
      <c r="T184" s="655"/>
      <c r="U184" s="655"/>
      <c r="V184" s="655"/>
      <c r="W184" s="655"/>
      <c r="X184" s="655"/>
      <c r="Y184" s="655"/>
      <c r="Z184" s="655"/>
      <c r="AA184" s="655"/>
    </row>
    <row r="185">
      <c r="B185" s="462"/>
      <c r="C185" s="671"/>
      <c r="D185" s="671"/>
      <c r="E185" s="462"/>
      <c r="F185" s="654"/>
      <c r="G185" s="650"/>
      <c r="H185" s="654"/>
      <c r="I185" s="654"/>
      <c r="J185" s="650"/>
      <c r="K185" s="650"/>
      <c r="L185" s="655"/>
      <c r="M185" s="655"/>
      <c r="N185" s="655"/>
      <c r="O185" s="655"/>
      <c r="P185" s="655"/>
      <c r="Q185" s="655"/>
      <c r="R185" s="655"/>
      <c r="S185" s="655"/>
      <c r="T185" s="655"/>
      <c r="U185" s="655"/>
      <c r="V185" s="655"/>
      <c r="W185" s="655"/>
      <c r="X185" s="655"/>
      <c r="Y185" s="655"/>
      <c r="Z185" s="655"/>
      <c r="AA185" s="655"/>
    </row>
    <row r="186">
      <c r="B186" s="462"/>
      <c r="C186" s="671"/>
      <c r="D186" s="671"/>
      <c r="E186" s="462"/>
      <c r="F186" s="654"/>
      <c r="G186" s="650"/>
      <c r="H186" s="654"/>
      <c r="I186" s="654"/>
      <c r="J186" s="650"/>
      <c r="K186" s="650"/>
      <c r="L186" s="655"/>
      <c r="M186" s="655"/>
      <c r="N186" s="655"/>
      <c r="O186" s="655"/>
      <c r="P186" s="655"/>
      <c r="Q186" s="655"/>
      <c r="R186" s="655"/>
      <c r="S186" s="655"/>
      <c r="T186" s="655"/>
      <c r="U186" s="655"/>
      <c r="V186" s="655"/>
      <c r="W186" s="655"/>
      <c r="X186" s="655"/>
      <c r="Y186" s="655"/>
      <c r="Z186" s="655"/>
      <c r="AA186" s="655"/>
    </row>
    <row r="187">
      <c r="B187" s="462"/>
      <c r="C187" s="671"/>
      <c r="D187" s="671"/>
      <c r="E187" s="462"/>
      <c r="F187" s="654"/>
      <c r="G187" s="650"/>
      <c r="H187" s="654"/>
      <c r="I187" s="654"/>
      <c r="J187" s="650"/>
      <c r="K187" s="650"/>
      <c r="L187" s="655"/>
      <c r="M187" s="655"/>
      <c r="N187" s="655"/>
      <c r="O187" s="655"/>
      <c r="P187" s="655"/>
      <c r="Q187" s="655"/>
      <c r="R187" s="655"/>
      <c r="S187" s="655"/>
      <c r="T187" s="655"/>
      <c r="U187" s="655"/>
      <c r="V187" s="655"/>
      <c r="W187" s="655"/>
      <c r="X187" s="655"/>
      <c r="Y187" s="655"/>
      <c r="Z187" s="655"/>
      <c r="AA187" s="655"/>
    </row>
    <row r="188">
      <c r="B188" s="462"/>
      <c r="C188" s="671"/>
      <c r="D188" s="671"/>
      <c r="E188" s="462"/>
      <c r="F188" s="654"/>
      <c r="G188" s="650"/>
      <c r="H188" s="654"/>
      <c r="I188" s="654"/>
      <c r="J188" s="650"/>
      <c r="K188" s="650"/>
      <c r="L188" s="655"/>
      <c r="M188" s="655"/>
      <c r="N188" s="655"/>
      <c r="O188" s="655"/>
      <c r="P188" s="655"/>
      <c r="Q188" s="655"/>
      <c r="R188" s="655"/>
      <c r="S188" s="655"/>
      <c r="T188" s="655"/>
      <c r="U188" s="655"/>
      <c r="V188" s="655"/>
      <c r="W188" s="655"/>
      <c r="X188" s="655"/>
      <c r="Y188" s="655"/>
      <c r="Z188" s="655"/>
      <c r="AA188" s="655"/>
    </row>
    <row r="189">
      <c r="B189" s="462"/>
      <c r="C189" s="671"/>
      <c r="D189" s="671"/>
      <c r="E189" s="462"/>
      <c r="F189" s="654"/>
      <c r="G189" s="650"/>
      <c r="H189" s="654"/>
      <c r="I189" s="654"/>
      <c r="J189" s="650"/>
      <c r="K189" s="650"/>
      <c r="L189" s="655"/>
      <c r="M189" s="655"/>
      <c r="N189" s="655"/>
      <c r="O189" s="655"/>
      <c r="P189" s="655"/>
      <c r="Q189" s="655"/>
      <c r="R189" s="655"/>
      <c r="S189" s="655"/>
      <c r="T189" s="655"/>
      <c r="U189" s="655"/>
      <c r="V189" s="655"/>
      <c r="W189" s="655"/>
      <c r="X189" s="655"/>
      <c r="Y189" s="655"/>
      <c r="Z189" s="655"/>
      <c r="AA189" s="655"/>
    </row>
    <row r="190">
      <c r="B190" s="462"/>
      <c r="C190" s="671"/>
      <c r="D190" s="671"/>
      <c r="E190" s="462"/>
      <c r="F190" s="654"/>
      <c r="G190" s="650"/>
      <c r="H190" s="654"/>
      <c r="I190" s="654"/>
      <c r="J190" s="650"/>
      <c r="K190" s="650"/>
      <c r="L190" s="655"/>
      <c r="M190" s="655"/>
      <c r="N190" s="655"/>
      <c r="O190" s="655"/>
      <c r="P190" s="655"/>
      <c r="Q190" s="655"/>
      <c r="R190" s="655"/>
      <c r="S190" s="655"/>
      <c r="T190" s="655"/>
      <c r="U190" s="655"/>
      <c r="V190" s="655"/>
      <c r="W190" s="655"/>
      <c r="X190" s="655"/>
      <c r="Y190" s="655"/>
      <c r="Z190" s="655"/>
      <c r="AA190" s="655"/>
    </row>
    <row r="191">
      <c r="B191" s="462"/>
      <c r="C191" s="671"/>
      <c r="D191" s="671"/>
      <c r="E191" s="462"/>
      <c r="F191" s="654"/>
      <c r="G191" s="650"/>
      <c r="H191" s="654"/>
      <c r="I191" s="654"/>
      <c r="J191" s="650"/>
      <c r="K191" s="650"/>
      <c r="L191" s="655"/>
      <c r="M191" s="655"/>
      <c r="N191" s="655"/>
      <c r="O191" s="655"/>
      <c r="P191" s="655"/>
      <c r="Q191" s="655"/>
      <c r="R191" s="655"/>
      <c r="S191" s="655"/>
      <c r="T191" s="655"/>
      <c r="U191" s="655"/>
      <c r="V191" s="655"/>
      <c r="W191" s="655"/>
      <c r="X191" s="655"/>
      <c r="Y191" s="655"/>
      <c r="Z191" s="655"/>
      <c r="AA191" s="655"/>
    </row>
    <row r="192">
      <c r="B192" s="462"/>
      <c r="C192" s="671"/>
      <c r="D192" s="671"/>
      <c r="E192" s="462"/>
      <c r="F192" s="654"/>
      <c r="G192" s="650"/>
      <c r="H192" s="654"/>
      <c r="I192" s="654"/>
      <c r="J192" s="650"/>
      <c r="K192" s="650"/>
      <c r="L192" s="655"/>
      <c r="M192" s="655"/>
      <c r="N192" s="655"/>
      <c r="O192" s="655"/>
      <c r="P192" s="655"/>
      <c r="Q192" s="655"/>
      <c r="R192" s="655"/>
      <c r="S192" s="655"/>
      <c r="T192" s="655"/>
      <c r="U192" s="655"/>
      <c r="V192" s="655"/>
      <c r="W192" s="655"/>
      <c r="X192" s="655"/>
      <c r="Y192" s="655"/>
      <c r="Z192" s="655"/>
      <c r="AA192" s="655"/>
    </row>
    <row r="193">
      <c r="B193" s="462"/>
      <c r="C193" s="671"/>
      <c r="D193" s="671"/>
      <c r="E193" s="462"/>
      <c r="F193" s="654"/>
      <c r="G193" s="650"/>
      <c r="H193" s="654"/>
      <c r="I193" s="654"/>
      <c r="J193" s="650"/>
      <c r="K193" s="650"/>
      <c r="L193" s="655"/>
      <c r="M193" s="655"/>
      <c r="N193" s="655"/>
      <c r="O193" s="655"/>
      <c r="P193" s="655"/>
      <c r="Q193" s="655"/>
      <c r="R193" s="655"/>
      <c r="S193" s="655"/>
      <c r="T193" s="655"/>
      <c r="U193" s="655"/>
      <c r="V193" s="655"/>
      <c r="W193" s="655"/>
      <c r="X193" s="655"/>
      <c r="Y193" s="655"/>
      <c r="Z193" s="655"/>
      <c r="AA193" s="655"/>
    </row>
    <row r="194">
      <c r="B194" s="462"/>
      <c r="C194" s="671"/>
      <c r="D194" s="671"/>
      <c r="E194" s="462"/>
      <c r="F194" s="654"/>
      <c r="G194" s="650"/>
      <c r="H194" s="654"/>
      <c r="I194" s="654"/>
      <c r="J194" s="650"/>
      <c r="K194" s="650"/>
      <c r="L194" s="655"/>
      <c r="M194" s="655"/>
      <c r="N194" s="655"/>
      <c r="O194" s="655"/>
      <c r="P194" s="655"/>
      <c r="Q194" s="655"/>
      <c r="R194" s="655"/>
      <c r="S194" s="655"/>
      <c r="T194" s="655"/>
      <c r="U194" s="655"/>
      <c r="V194" s="655"/>
      <c r="W194" s="655"/>
      <c r="X194" s="655"/>
      <c r="Y194" s="655"/>
      <c r="Z194" s="655"/>
      <c r="AA194" s="655"/>
    </row>
    <row r="195">
      <c r="B195" s="462"/>
      <c r="C195" s="671"/>
      <c r="D195" s="671"/>
      <c r="E195" s="462"/>
      <c r="F195" s="654"/>
      <c r="G195" s="650"/>
      <c r="H195" s="654"/>
      <c r="I195" s="654"/>
      <c r="J195" s="650"/>
      <c r="K195" s="650"/>
      <c r="L195" s="655"/>
      <c r="M195" s="655"/>
      <c r="N195" s="655"/>
      <c r="O195" s="655"/>
      <c r="P195" s="655"/>
      <c r="Q195" s="655"/>
      <c r="R195" s="655"/>
      <c r="S195" s="655"/>
      <c r="T195" s="655"/>
      <c r="U195" s="655"/>
      <c r="V195" s="655"/>
      <c r="W195" s="655"/>
      <c r="X195" s="655"/>
      <c r="Y195" s="655"/>
      <c r="Z195" s="655"/>
      <c r="AA195" s="655"/>
    </row>
    <row r="196">
      <c r="B196" s="462"/>
      <c r="C196" s="671"/>
      <c r="D196" s="671"/>
      <c r="E196" s="462"/>
      <c r="F196" s="654"/>
      <c r="G196" s="650"/>
      <c r="H196" s="654"/>
      <c r="I196" s="654"/>
      <c r="J196" s="650"/>
      <c r="K196" s="650"/>
      <c r="L196" s="655"/>
      <c r="M196" s="655"/>
      <c r="N196" s="655"/>
      <c r="O196" s="655"/>
      <c r="P196" s="655"/>
      <c r="Q196" s="655"/>
      <c r="R196" s="655"/>
      <c r="S196" s="655"/>
      <c r="T196" s="655"/>
      <c r="U196" s="655"/>
      <c r="V196" s="655"/>
      <c r="W196" s="655"/>
      <c r="X196" s="655"/>
      <c r="Y196" s="655"/>
      <c r="Z196" s="655"/>
      <c r="AA196" s="655"/>
    </row>
    <row r="197">
      <c r="B197" s="462"/>
      <c r="C197" s="671"/>
      <c r="D197" s="671"/>
      <c r="E197" s="462"/>
      <c r="F197" s="654"/>
      <c r="G197" s="650"/>
      <c r="H197" s="654"/>
      <c r="I197" s="654"/>
      <c r="J197" s="650"/>
      <c r="K197" s="650"/>
      <c r="L197" s="655"/>
      <c r="M197" s="655"/>
      <c r="N197" s="655"/>
      <c r="O197" s="655"/>
      <c r="P197" s="655"/>
      <c r="Q197" s="655"/>
      <c r="R197" s="655"/>
      <c r="S197" s="655"/>
      <c r="T197" s="655"/>
      <c r="U197" s="655"/>
      <c r="V197" s="655"/>
      <c r="W197" s="655"/>
      <c r="X197" s="655"/>
      <c r="Y197" s="655"/>
      <c r="Z197" s="655"/>
      <c r="AA197" s="655"/>
    </row>
    <row r="198">
      <c r="B198" s="462"/>
      <c r="C198" s="671"/>
      <c r="D198" s="671"/>
      <c r="E198" s="462"/>
      <c r="F198" s="654"/>
      <c r="G198" s="650"/>
      <c r="H198" s="654"/>
      <c r="I198" s="654"/>
      <c r="J198" s="650"/>
      <c r="K198" s="650"/>
      <c r="L198" s="655"/>
      <c r="M198" s="655"/>
      <c r="N198" s="655"/>
      <c r="O198" s="655"/>
      <c r="P198" s="655"/>
      <c r="Q198" s="655"/>
      <c r="R198" s="655"/>
      <c r="S198" s="655"/>
      <c r="T198" s="655"/>
      <c r="U198" s="655"/>
      <c r="V198" s="655"/>
      <c r="W198" s="655"/>
      <c r="X198" s="655"/>
      <c r="Y198" s="655"/>
      <c r="Z198" s="655"/>
      <c r="AA198" s="655"/>
    </row>
    <row r="199">
      <c r="B199" s="462"/>
      <c r="C199" s="671"/>
      <c r="D199" s="671"/>
      <c r="E199" s="462"/>
      <c r="F199" s="654"/>
      <c r="G199" s="650"/>
      <c r="H199" s="654"/>
      <c r="I199" s="654"/>
      <c r="J199" s="650"/>
      <c r="K199" s="650"/>
      <c r="L199" s="655"/>
      <c r="M199" s="655"/>
      <c r="N199" s="655"/>
      <c r="O199" s="655"/>
      <c r="P199" s="655"/>
      <c r="Q199" s="655"/>
      <c r="R199" s="655"/>
      <c r="S199" s="655"/>
      <c r="T199" s="655"/>
      <c r="U199" s="655"/>
      <c r="V199" s="655"/>
      <c r="W199" s="655"/>
      <c r="X199" s="655"/>
      <c r="Y199" s="655"/>
      <c r="Z199" s="655"/>
      <c r="AA199" s="655"/>
    </row>
    <row r="200">
      <c r="B200" s="462"/>
      <c r="C200" s="671"/>
      <c r="D200" s="671"/>
      <c r="E200" s="462"/>
      <c r="F200" s="654"/>
      <c r="G200" s="650"/>
      <c r="H200" s="654"/>
      <c r="I200" s="654"/>
      <c r="J200" s="650"/>
      <c r="K200" s="650"/>
      <c r="L200" s="655"/>
      <c r="M200" s="655"/>
      <c r="N200" s="655"/>
      <c r="O200" s="655"/>
      <c r="P200" s="655"/>
      <c r="Q200" s="655"/>
      <c r="R200" s="655"/>
      <c r="S200" s="655"/>
      <c r="T200" s="655"/>
      <c r="U200" s="655"/>
      <c r="V200" s="655"/>
      <c r="W200" s="655"/>
      <c r="X200" s="655"/>
      <c r="Y200" s="655"/>
      <c r="Z200" s="655"/>
      <c r="AA200" s="655"/>
    </row>
    <row r="201">
      <c r="B201" s="462"/>
      <c r="C201" s="671"/>
      <c r="D201" s="671"/>
      <c r="E201" s="462"/>
      <c r="F201" s="654"/>
      <c r="G201" s="650"/>
      <c r="H201" s="654"/>
      <c r="I201" s="654"/>
      <c r="J201" s="650"/>
      <c r="K201" s="650"/>
      <c r="L201" s="655"/>
      <c r="M201" s="655"/>
      <c r="N201" s="655"/>
      <c r="O201" s="655"/>
      <c r="P201" s="655"/>
      <c r="Q201" s="655"/>
      <c r="R201" s="655"/>
      <c r="S201" s="655"/>
      <c r="T201" s="655"/>
      <c r="U201" s="655"/>
      <c r="V201" s="655"/>
      <c r="W201" s="655"/>
      <c r="X201" s="655"/>
      <c r="Y201" s="655"/>
      <c r="Z201" s="655"/>
      <c r="AA201" s="655"/>
    </row>
    <row r="202">
      <c r="B202" s="462"/>
      <c r="C202" s="671"/>
      <c r="D202" s="671"/>
      <c r="E202" s="462"/>
      <c r="F202" s="654"/>
      <c r="G202" s="650"/>
      <c r="H202" s="654"/>
      <c r="I202" s="654"/>
      <c r="J202" s="650"/>
      <c r="K202" s="650"/>
      <c r="L202" s="655"/>
      <c r="M202" s="655"/>
      <c r="N202" s="655"/>
      <c r="O202" s="655"/>
      <c r="P202" s="655"/>
      <c r="Q202" s="655"/>
      <c r="R202" s="655"/>
      <c r="S202" s="655"/>
      <c r="T202" s="655"/>
      <c r="U202" s="655"/>
      <c r="V202" s="655"/>
      <c r="W202" s="655"/>
      <c r="X202" s="655"/>
      <c r="Y202" s="655"/>
      <c r="Z202" s="655"/>
      <c r="AA202" s="655"/>
    </row>
    <row r="203">
      <c r="B203" s="462"/>
      <c r="C203" s="671"/>
      <c r="D203" s="671"/>
      <c r="E203" s="462"/>
      <c r="F203" s="654"/>
      <c r="G203" s="650"/>
      <c r="H203" s="654"/>
      <c r="I203" s="654"/>
      <c r="J203" s="650"/>
      <c r="K203" s="650"/>
      <c r="L203" s="655"/>
      <c r="M203" s="655"/>
      <c r="N203" s="655"/>
      <c r="O203" s="655"/>
      <c r="P203" s="655"/>
      <c r="Q203" s="655"/>
      <c r="R203" s="655"/>
      <c r="S203" s="655"/>
      <c r="T203" s="655"/>
      <c r="U203" s="655"/>
      <c r="V203" s="655"/>
      <c r="W203" s="655"/>
      <c r="X203" s="655"/>
      <c r="Y203" s="655"/>
      <c r="Z203" s="655"/>
      <c r="AA203" s="655"/>
    </row>
    <row r="204">
      <c r="B204" s="462"/>
      <c r="C204" s="671"/>
      <c r="D204" s="671"/>
      <c r="E204" s="462"/>
      <c r="F204" s="654"/>
      <c r="G204" s="650"/>
      <c r="H204" s="654"/>
      <c r="I204" s="654"/>
      <c r="J204" s="650"/>
      <c r="K204" s="650"/>
      <c r="L204" s="655"/>
      <c r="M204" s="655"/>
      <c r="N204" s="655"/>
      <c r="O204" s="655"/>
      <c r="P204" s="655"/>
      <c r="Q204" s="655"/>
      <c r="R204" s="655"/>
      <c r="S204" s="655"/>
      <c r="T204" s="655"/>
      <c r="U204" s="655"/>
      <c r="V204" s="655"/>
      <c r="W204" s="655"/>
      <c r="X204" s="655"/>
      <c r="Y204" s="655"/>
      <c r="Z204" s="655"/>
      <c r="AA204" s="655"/>
    </row>
    <row r="205">
      <c r="B205" s="462"/>
      <c r="C205" s="671"/>
      <c r="D205" s="671"/>
      <c r="E205" s="462"/>
      <c r="F205" s="654"/>
      <c r="G205" s="650"/>
      <c r="H205" s="654"/>
      <c r="I205" s="654"/>
      <c r="J205" s="650"/>
      <c r="K205" s="650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655"/>
    </row>
    <row r="206">
      <c r="B206" s="462"/>
      <c r="C206" s="671"/>
      <c r="D206" s="671"/>
      <c r="E206" s="462"/>
      <c r="F206" s="654"/>
      <c r="G206" s="650"/>
      <c r="H206" s="654"/>
      <c r="I206" s="654"/>
      <c r="J206" s="650"/>
      <c r="K206" s="650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5"/>
    </row>
    <row r="207">
      <c r="B207" s="462"/>
      <c r="C207" s="671"/>
      <c r="D207" s="671"/>
      <c r="E207" s="462"/>
      <c r="F207" s="654"/>
      <c r="G207" s="650"/>
      <c r="H207" s="654"/>
      <c r="I207" s="654"/>
      <c r="J207" s="650"/>
      <c r="K207" s="650"/>
      <c r="L207" s="655"/>
      <c r="M207" s="655"/>
      <c r="N207" s="655"/>
      <c r="O207" s="655"/>
      <c r="P207" s="655"/>
      <c r="Q207" s="655"/>
      <c r="R207" s="655"/>
      <c r="S207" s="655"/>
      <c r="T207" s="655"/>
      <c r="U207" s="655"/>
      <c r="V207" s="655"/>
      <c r="W207" s="655"/>
      <c r="X207" s="655"/>
      <c r="Y207" s="655"/>
      <c r="Z207" s="655"/>
      <c r="AA207" s="655"/>
    </row>
    <row r="208">
      <c r="B208" s="462"/>
      <c r="C208" s="671"/>
      <c r="D208" s="671"/>
      <c r="E208" s="462"/>
      <c r="F208" s="654"/>
      <c r="G208" s="650"/>
      <c r="H208" s="654"/>
      <c r="I208" s="654"/>
      <c r="J208" s="650"/>
      <c r="K208" s="650"/>
      <c r="L208" s="655"/>
      <c r="M208" s="655"/>
      <c r="N208" s="655"/>
      <c r="O208" s="655"/>
      <c r="P208" s="655"/>
      <c r="Q208" s="655"/>
      <c r="R208" s="655"/>
      <c r="S208" s="655"/>
      <c r="T208" s="655"/>
      <c r="U208" s="655"/>
      <c r="V208" s="655"/>
      <c r="W208" s="655"/>
      <c r="X208" s="655"/>
      <c r="Y208" s="655"/>
      <c r="Z208" s="655"/>
      <c r="AA208" s="655"/>
    </row>
    <row r="209">
      <c r="B209" s="462"/>
      <c r="C209" s="671"/>
      <c r="D209" s="671"/>
      <c r="E209" s="462"/>
      <c r="F209" s="654"/>
      <c r="G209" s="650"/>
      <c r="H209" s="654"/>
      <c r="I209" s="654"/>
      <c r="J209" s="650"/>
      <c r="K209" s="650"/>
      <c r="L209" s="655"/>
      <c r="M209" s="655"/>
      <c r="N209" s="655"/>
      <c r="O209" s="655"/>
      <c r="P209" s="655"/>
      <c r="Q209" s="655"/>
      <c r="R209" s="655"/>
      <c r="S209" s="655"/>
      <c r="T209" s="655"/>
      <c r="U209" s="655"/>
      <c r="V209" s="655"/>
      <c r="W209" s="655"/>
      <c r="X209" s="655"/>
      <c r="Y209" s="655"/>
      <c r="Z209" s="655"/>
      <c r="AA209" s="655"/>
    </row>
    <row r="210">
      <c r="B210" s="462"/>
      <c r="C210" s="671"/>
      <c r="D210" s="671"/>
      <c r="E210" s="462"/>
      <c r="F210" s="654"/>
      <c r="G210" s="650"/>
      <c r="H210" s="654"/>
      <c r="I210" s="654"/>
      <c r="J210" s="650"/>
      <c r="K210" s="650"/>
      <c r="L210" s="655"/>
      <c r="M210" s="655"/>
      <c r="N210" s="655"/>
      <c r="O210" s="655"/>
      <c r="P210" s="655"/>
      <c r="Q210" s="655"/>
      <c r="R210" s="655"/>
      <c r="S210" s="655"/>
      <c r="T210" s="655"/>
      <c r="U210" s="655"/>
      <c r="V210" s="655"/>
      <c r="W210" s="655"/>
      <c r="X210" s="655"/>
      <c r="Y210" s="655"/>
      <c r="Z210" s="655"/>
      <c r="AA210" s="655"/>
    </row>
    <row r="211">
      <c r="B211" s="462"/>
      <c r="C211" s="671"/>
      <c r="D211" s="671"/>
      <c r="E211" s="462"/>
      <c r="F211" s="654"/>
      <c r="G211" s="650"/>
      <c r="H211" s="654"/>
      <c r="I211" s="654"/>
      <c r="J211" s="650"/>
      <c r="K211" s="650"/>
      <c r="L211" s="655"/>
      <c r="M211" s="655"/>
      <c r="N211" s="655"/>
      <c r="O211" s="655"/>
      <c r="P211" s="655"/>
      <c r="Q211" s="655"/>
      <c r="R211" s="655"/>
      <c r="S211" s="655"/>
      <c r="T211" s="655"/>
      <c r="U211" s="655"/>
      <c r="V211" s="655"/>
      <c r="W211" s="655"/>
      <c r="X211" s="655"/>
      <c r="Y211" s="655"/>
      <c r="Z211" s="655"/>
      <c r="AA211" s="655"/>
    </row>
    <row r="212">
      <c r="B212" s="462"/>
      <c r="C212" s="671"/>
      <c r="D212" s="671"/>
      <c r="E212" s="462"/>
      <c r="F212" s="654"/>
      <c r="G212" s="650"/>
      <c r="H212" s="654"/>
      <c r="I212" s="654"/>
      <c r="J212" s="650"/>
      <c r="K212" s="650"/>
      <c r="L212" s="655"/>
      <c r="M212" s="655"/>
      <c r="N212" s="655"/>
      <c r="O212" s="655"/>
      <c r="P212" s="655"/>
      <c r="Q212" s="655"/>
      <c r="R212" s="655"/>
      <c r="S212" s="655"/>
      <c r="T212" s="655"/>
      <c r="U212" s="655"/>
      <c r="V212" s="655"/>
      <c r="W212" s="655"/>
      <c r="X212" s="655"/>
      <c r="Y212" s="655"/>
      <c r="Z212" s="655"/>
      <c r="AA212" s="655"/>
    </row>
    <row r="213">
      <c r="B213" s="462"/>
      <c r="C213" s="671"/>
      <c r="D213" s="671"/>
      <c r="E213" s="462"/>
      <c r="F213" s="654"/>
      <c r="G213" s="650"/>
      <c r="H213" s="654"/>
      <c r="I213" s="654"/>
      <c r="J213" s="650"/>
      <c r="K213" s="650"/>
      <c r="L213" s="655"/>
      <c r="M213" s="655"/>
      <c r="N213" s="655"/>
      <c r="O213" s="655"/>
      <c r="P213" s="655"/>
      <c r="Q213" s="655"/>
      <c r="R213" s="655"/>
      <c r="S213" s="655"/>
      <c r="T213" s="655"/>
      <c r="U213" s="655"/>
      <c r="V213" s="655"/>
      <c r="W213" s="655"/>
      <c r="X213" s="655"/>
      <c r="Y213" s="655"/>
      <c r="Z213" s="655"/>
      <c r="AA213" s="655"/>
    </row>
    <row r="214">
      <c r="B214" s="462"/>
      <c r="C214" s="671"/>
      <c r="D214" s="671"/>
      <c r="E214" s="462"/>
      <c r="F214" s="654"/>
      <c r="G214" s="650"/>
      <c r="H214" s="654"/>
      <c r="I214" s="654"/>
      <c r="J214" s="650"/>
      <c r="K214" s="650"/>
      <c r="L214" s="655"/>
      <c r="M214" s="655"/>
      <c r="N214" s="655"/>
      <c r="O214" s="655"/>
      <c r="P214" s="655"/>
      <c r="Q214" s="655"/>
      <c r="R214" s="655"/>
      <c r="S214" s="655"/>
      <c r="T214" s="655"/>
      <c r="U214" s="655"/>
      <c r="V214" s="655"/>
      <c r="W214" s="655"/>
      <c r="X214" s="655"/>
      <c r="Y214" s="655"/>
      <c r="Z214" s="655"/>
      <c r="AA214" s="655"/>
    </row>
    <row r="215">
      <c r="B215" s="462"/>
      <c r="C215" s="671"/>
      <c r="D215" s="671"/>
      <c r="E215" s="462"/>
      <c r="F215" s="654"/>
      <c r="G215" s="650"/>
      <c r="H215" s="654"/>
      <c r="I215" s="654"/>
      <c r="J215" s="650"/>
      <c r="K215" s="650"/>
      <c r="L215" s="655"/>
      <c r="M215" s="655"/>
      <c r="N215" s="655"/>
      <c r="O215" s="655"/>
      <c r="P215" s="655"/>
      <c r="Q215" s="655"/>
      <c r="R215" s="655"/>
      <c r="S215" s="655"/>
      <c r="T215" s="655"/>
      <c r="U215" s="655"/>
      <c r="V215" s="655"/>
      <c r="W215" s="655"/>
      <c r="X215" s="655"/>
      <c r="Y215" s="655"/>
      <c r="Z215" s="655"/>
      <c r="AA215" s="655"/>
    </row>
    <row r="216">
      <c r="B216" s="462"/>
      <c r="C216" s="671"/>
      <c r="D216" s="671"/>
      <c r="E216" s="462"/>
      <c r="F216" s="654"/>
      <c r="G216" s="650"/>
      <c r="H216" s="654"/>
      <c r="I216" s="654"/>
      <c r="J216" s="650"/>
      <c r="K216" s="650"/>
      <c r="L216" s="655"/>
      <c r="M216" s="655"/>
      <c r="N216" s="655"/>
      <c r="O216" s="655"/>
      <c r="P216" s="655"/>
      <c r="Q216" s="655"/>
      <c r="R216" s="655"/>
      <c r="S216" s="655"/>
      <c r="T216" s="655"/>
      <c r="U216" s="655"/>
      <c r="V216" s="655"/>
      <c r="W216" s="655"/>
      <c r="X216" s="655"/>
      <c r="Y216" s="655"/>
      <c r="Z216" s="655"/>
      <c r="AA216" s="655"/>
    </row>
    <row r="217">
      <c r="B217" s="462"/>
      <c r="C217" s="671"/>
      <c r="D217" s="671"/>
      <c r="E217" s="462"/>
      <c r="F217" s="654"/>
      <c r="G217" s="650"/>
      <c r="H217" s="654"/>
      <c r="I217" s="654"/>
      <c r="J217" s="650"/>
      <c r="K217" s="650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5"/>
    </row>
    <row r="218">
      <c r="B218" s="462"/>
      <c r="C218" s="671"/>
      <c r="D218" s="671"/>
      <c r="E218" s="462"/>
      <c r="F218" s="654"/>
      <c r="G218" s="650"/>
      <c r="H218" s="654"/>
      <c r="I218" s="654"/>
      <c r="J218" s="650"/>
      <c r="K218" s="650"/>
      <c r="L218" s="655"/>
      <c r="M218" s="655"/>
      <c r="N218" s="655"/>
      <c r="O218" s="655"/>
      <c r="P218" s="655"/>
      <c r="Q218" s="655"/>
      <c r="R218" s="655"/>
      <c r="S218" s="655"/>
      <c r="T218" s="655"/>
      <c r="U218" s="655"/>
      <c r="V218" s="655"/>
      <c r="W218" s="655"/>
      <c r="X218" s="655"/>
      <c r="Y218" s="655"/>
      <c r="Z218" s="655"/>
      <c r="AA218" s="655"/>
    </row>
    <row r="219">
      <c r="B219" s="462"/>
      <c r="C219" s="671"/>
      <c r="D219" s="671"/>
      <c r="E219" s="462"/>
      <c r="F219" s="654"/>
      <c r="G219" s="650"/>
      <c r="H219" s="654"/>
      <c r="I219" s="654"/>
      <c r="J219" s="650"/>
      <c r="K219" s="650"/>
      <c r="L219" s="655"/>
      <c r="M219" s="655"/>
      <c r="N219" s="655"/>
      <c r="O219" s="655"/>
      <c r="P219" s="655"/>
      <c r="Q219" s="655"/>
      <c r="R219" s="655"/>
      <c r="S219" s="655"/>
      <c r="T219" s="655"/>
      <c r="U219" s="655"/>
      <c r="V219" s="655"/>
      <c r="W219" s="655"/>
      <c r="X219" s="655"/>
      <c r="Y219" s="655"/>
      <c r="Z219" s="655"/>
      <c r="AA219" s="655"/>
    </row>
    <row r="220">
      <c r="B220" s="462"/>
      <c r="C220" s="671"/>
      <c r="D220" s="671"/>
      <c r="E220" s="462"/>
      <c r="F220" s="654"/>
      <c r="G220" s="650"/>
      <c r="H220" s="654"/>
      <c r="I220" s="654"/>
      <c r="J220" s="650"/>
      <c r="K220" s="650"/>
      <c r="L220" s="655"/>
      <c r="M220" s="655"/>
      <c r="N220" s="655"/>
      <c r="O220" s="655"/>
      <c r="P220" s="655"/>
      <c r="Q220" s="655"/>
      <c r="R220" s="655"/>
      <c r="S220" s="655"/>
      <c r="T220" s="655"/>
      <c r="U220" s="655"/>
      <c r="V220" s="655"/>
      <c r="W220" s="655"/>
      <c r="X220" s="655"/>
      <c r="Y220" s="655"/>
      <c r="Z220" s="655"/>
      <c r="AA220" s="655"/>
    </row>
    <row r="221">
      <c r="B221" s="462"/>
      <c r="C221" s="671"/>
      <c r="D221" s="671"/>
      <c r="E221" s="462"/>
      <c r="F221" s="654"/>
      <c r="G221" s="650"/>
      <c r="H221" s="654"/>
      <c r="I221" s="654"/>
      <c r="J221" s="650"/>
      <c r="K221" s="650"/>
      <c r="L221" s="655"/>
      <c r="M221" s="655"/>
      <c r="N221" s="655"/>
      <c r="O221" s="655"/>
      <c r="P221" s="655"/>
      <c r="Q221" s="655"/>
      <c r="R221" s="655"/>
      <c r="S221" s="655"/>
      <c r="T221" s="655"/>
      <c r="U221" s="655"/>
      <c r="V221" s="655"/>
      <c r="W221" s="655"/>
      <c r="X221" s="655"/>
      <c r="Y221" s="655"/>
      <c r="Z221" s="655"/>
      <c r="AA221" s="655"/>
    </row>
    <row r="222">
      <c r="B222" s="462"/>
      <c r="C222" s="671"/>
      <c r="D222" s="671"/>
      <c r="E222" s="462"/>
      <c r="F222" s="654"/>
      <c r="G222" s="650"/>
      <c r="H222" s="654"/>
      <c r="I222" s="654"/>
      <c r="J222" s="650"/>
      <c r="K222" s="650"/>
      <c r="L222" s="655"/>
      <c r="M222" s="655"/>
      <c r="N222" s="655"/>
      <c r="O222" s="655"/>
      <c r="P222" s="655"/>
      <c r="Q222" s="655"/>
      <c r="R222" s="655"/>
      <c r="S222" s="655"/>
      <c r="T222" s="655"/>
      <c r="U222" s="655"/>
      <c r="V222" s="655"/>
      <c r="W222" s="655"/>
      <c r="X222" s="655"/>
      <c r="Y222" s="655"/>
      <c r="Z222" s="655"/>
      <c r="AA222" s="655"/>
    </row>
    <row r="223">
      <c r="B223" s="462"/>
      <c r="C223" s="671"/>
      <c r="D223" s="671"/>
      <c r="E223" s="462"/>
      <c r="F223" s="654"/>
      <c r="G223" s="650"/>
      <c r="H223" s="654"/>
      <c r="I223" s="654"/>
      <c r="J223" s="650"/>
      <c r="K223" s="650"/>
      <c r="L223" s="655"/>
      <c r="M223" s="655"/>
      <c r="N223" s="655"/>
      <c r="O223" s="655"/>
      <c r="P223" s="655"/>
      <c r="Q223" s="655"/>
      <c r="R223" s="655"/>
      <c r="S223" s="655"/>
      <c r="T223" s="655"/>
      <c r="U223" s="655"/>
      <c r="V223" s="655"/>
      <c r="W223" s="655"/>
      <c r="X223" s="655"/>
      <c r="Y223" s="655"/>
      <c r="Z223" s="655"/>
      <c r="AA223" s="655"/>
    </row>
    <row r="224">
      <c r="B224" s="462"/>
      <c r="C224" s="671"/>
      <c r="D224" s="671"/>
      <c r="E224" s="462"/>
      <c r="F224" s="654"/>
      <c r="G224" s="650"/>
      <c r="H224" s="654"/>
      <c r="I224" s="654"/>
      <c r="J224" s="650"/>
      <c r="K224" s="650"/>
      <c r="L224" s="655"/>
      <c r="M224" s="655"/>
      <c r="N224" s="655"/>
      <c r="O224" s="655"/>
      <c r="P224" s="655"/>
      <c r="Q224" s="655"/>
      <c r="R224" s="655"/>
      <c r="S224" s="655"/>
      <c r="T224" s="655"/>
      <c r="U224" s="655"/>
      <c r="V224" s="655"/>
      <c r="W224" s="655"/>
      <c r="X224" s="655"/>
      <c r="Y224" s="655"/>
      <c r="Z224" s="655"/>
      <c r="AA224" s="655"/>
    </row>
    <row r="225">
      <c r="B225" s="462"/>
      <c r="C225" s="671"/>
      <c r="D225" s="671"/>
      <c r="E225" s="462"/>
      <c r="F225" s="654"/>
      <c r="G225" s="650"/>
      <c r="H225" s="654"/>
      <c r="I225" s="654"/>
      <c r="J225" s="650"/>
      <c r="K225" s="650"/>
      <c r="L225" s="655"/>
      <c r="M225" s="655"/>
      <c r="N225" s="655"/>
      <c r="O225" s="655"/>
      <c r="P225" s="655"/>
      <c r="Q225" s="655"/>
      <c r="R225" s="655"/>
      <c r="S225" s="655"/>
      <c r="T225" s="655"/>
      <c r="U225" s="655"/>
      <c r="V225" s="655"/>
      <c r="W225" s="655"/>
      <c r="X225" s="655"/>
      <c r="Y225" s="655"/>
      <c r="Z225" s="655"/>
      <c r="AA225" s="655"/>
    </row>
    <row r="226">
      <c r="B226" s="462"/>
      <c r="C226" s="671"/>
      <c r="D226" s="671"/>
      <c r="E226" s="462"/>
      <c r="F226" s="654"/>
      <c r="G226" s="650"/>
      <c r="H226" s="654"/>
      <c r="I226" s="654"/>
      <c r="J226" s="650"/>
      <c r="K226" s="650"/>
      <c r="L226" s="655"/>
      <c r="M226" s="655"/>
      <c r="N226" s="655"/>
      <c r="O226" s="655"/>
      <c r="P226" s="655"/>
      <c r="Q226" s="655"/>
      <c r="R226" s="655"/>
      <c r="S226" s="655"/>
      <c r="T226" s="655"/>
      <c r="U226" s="655"/>
      <c r="V226" s="655"/>
      <c r="W226" s="655"/>
      <c r="X226" s="655"/>
      <c r="Y226" s="655"/>
      <c r="Z226" s="655"/>
      <c r="AA226" s="655"/>
    </row>
    <row r="227">
      <c r="B227" s="462"/>
      <c r="C227" s="671"/>
      <c r="D227" s="671"/>
      <c r="E227" s="462"/>
      <c r="F227" s="654"/>
      <c r="G227" s="650"/>
      <c r="H227" s="654"/>
      <c r="I227" s="654"/>
      <c r="J227" s="650"/>
      <c r="K227" s="650"/>
      <c r="L227" s="655"/>
      <c r="M227" s="655"/>
      <c r="N227" s="655"/>
      <c r="O227" s="655"/>
      <c r="P227" s="655"/>
      <c r="Q227" s="655"/>
      <c r="R227" s="655"/>
      <c r="S227" s="655"/>
      <c r="T227" s="655"/>
      <c r="U227" s="655"/>
      <c r="V227" s="655"/>
      <c r="W227" s="655"/>
      <c r="X227" s="655"/>
      <c r="Y227" s="655"/>
      <c r="Z227" s="655"/>
      <c r="AA227" s="655"/>
    </row>
    <row r="228">
      <c r="B228" s="462"/>
      <c r="C228" s="671"/>
      <c r="D228" s="671"/>
      <c r="E228" s="462"/>
      <c r="F228" s="654"/>
      <c r="G228" s="650"/>
      <c r="H228" s="654"/>
      <c r="I228" s="654"/>
      <c r="J228" s="650"/>
      <c r="K228" s="650"/>
      <c r="L228" s="655"/>
      <c r="M228" s="655"/>
      <c r="N228" s="655"/>
      <c r="O228" s="655"/>
      <c r="P228" s="655"/>
      <c r="Q228" s="655"/>
      <c r="R228" s="655"/>
      <c r="S228" s="655"/>
      <c r="T228" s="655"/>
      <c r="U228" s="655"/>
      <c r="V228" s="655"/>
      <c r="W228" s="655"/>
      <c r="X228" s="655"/>
      <c r="Y228" s="655"/>
      <c r="Z228" s="655"/>
      <c r="AA228" s="655"/>
    </row>
    <row r="229">
      <c r="B229" s="462"/>
      <c r="C229" s="671"/>
      <c r="D229" s="671"/>
      <c r="E229" s="462"/>
      <c r="F229" s="654"/>
      <c r="G229" s="650"/>
      <c r="H229" s="654"/>
      <c r="I229" s="654"/>
      <c r="J229" s="650"/>
      <c r="K229" s="650"/>
      <c r="L229" s="655"/>
      <c r="M229" s="655"/>
      <c r="N229" s="655"/>
      <c r="O229" s="655"/>
      <c r="P229" s="655"/>
      <c r="Q229" s="655"/>
      <c r="R229" s="655"/>
      <c r="S229" s="655"/>
      <c r="T229" s="655"/>
      <c r="U229" s="655"/>
      <c r="V229" s="655"/>
      <c r="W229" s="655"/>
      <c r="X229" s="655"/>
      <c r="Y229" s="655"/>
      <c r="Z229" s="655"/>
      <c r="AA229" s="655"/>
    </row>
    <row r="230">
      <c r="B230" s="462"/>
      <c r="C230" s="671"/>
      <c r="D230" s="671"/>
      <c r="E230" s="462"/>
      <c r="F230" s="654"/>
      <c r="G230" s="650"/>
      <c r="H230" s="654"/>
      <c r="I230" s="654"/>
      <c r="J230" s="650"/>
      <c r="K230" s="650"/>
      <c r="L230" s="655"/>
      <c r="M230" s="655"/>
      <c r="N230" s="655"/>
      <c r="O230" s="655"/>
      <c r="P230" s="655"/>
      <c r="Q230" s="655"/>
      <c r="R230" s="655"/>
      <c r="S230" s="655"/>
      <c r="T230" s="655"/>
      <c r="U230" s="655"/>
      <c r="V230" s="655"/>
      <c r="W230" s="655"/>
      <c r="X230" s="655"/>
      <c r="Y230" s="655"/>
      <c r="Z230" s="655"/>
      <c r="AA230" s="655"/>
    </row>
    <row r="231">
      <c r="B231" s="462"/>
      <c r="C231" s="671"/>
      <c r="D231" s="671"/>
      <c r="E231" s="462"/>
      <c r="F231" s="654"/>
      <c r="G231" s="650"/>
      <c r="H231" s="654"/>
      <c r="I231" s="654"/>
      <c r="J231" s="650"/>
      <c r="K231" s="650"/>
      <c r="L231" s="655"/>
      <c r="M231" s="655"/>
      <c r="N231" s="655"/>
      <c r="O231" s="655"/>
      <c r="P231" s="655"/>
      <c r="Q231" s="655"/>
      <c r="R231" s="655"/>
      <c r="S231" s="655"/>
      <c r="T231" s="655"/>
      <c r="U231" s="655"/>
      <c r="V231" s="655"/>
      <c r="W231" s="655"/>
      <c r="X231" s="655"/>
      <c r="Y231" s="655"/>
      <c r="Z231" s="655"/>
      <c r="AA231" s="655"/>
    </row>
    <row r="232">
      <c r="B232" s="462"/>
      <c r="C232" s="671"/>
      <c r="D232" s="671"/>
      <c r="E232" s="462"/>
      <c r="F232" s="654"/>
      <c r="G232" s="650"/>
      <c r="H232" s="654"/>
      <c r="I232" s="654"/>
      <c r="J232" s="650"/>
      <c r="K232" s="650"/>
      <c r="L232" s="655"/>
      <c r="M232" s="655"/>
      <c r="N232" s="655"/>
      <c r="O232" s="655"/>
      <c r="P232" s="655"/>
      <c r="Q232" s="655"/>
      <c r="R232" s="655"/>
      <c r="S232" s="655"/>
      <c r="T232" s="655"/>
      <c r="U232" s="655"/>
      <c r="V232" s="655"/>
      <c r="W232" s="655"/>
      <c r="X232" s="655"/>
      <c r="Y232" s="655"/>
      <c r="Z232" s="655"/>
      <c r="AA232" s="655"/>
    </row>
    <row r="233">
      <c r="B233" s="462"/>
      <c r="C233" s="671"/>
      <c r="D233" s="671"/>
      <c r="E233" s="462"/>
      <c r="F233" s="654"/>
      <c r="G233" s="650"/>
      <c r="H233" s="654"/>
      <c r="I233" s="654"/>
      <c r="J233" s="650"/>
      <c r="K233" s="650"/>
      <c r="L233" s="655"/>
      <c r="M233" s="655"/>
      <c r="N233" s="655"/>
      <c r="O233" s="655"/>
      <c r="P233" s="655"/>
      <c r="Q233" s="655"/>
      <c r="R233" s="655"/>
      <c r="S233" s="655"/>
      <c r="T233" s="655"/>
      <c r="U233" s="655"/>
      <c r="V233" s="655"/>
      <c r="W233" s="655"/>
      <c r="X233" s="655"/>
      <c r="Y233" s="655"/>
      <c r="Z233" s="655"/>
      <c r="AA233" s="655"/>
    </row>
    <row r="234">
      <c r="B234" s="462"/>
      <c r="C234" s="671"/>
      <c r="D234" s="671"/>
      <c r="E234" s="462"/>
      <c r="F234" s="654"/>
      <c r="G234" s="650"/>
      <c r="H234" s="654"/>
      <c r="I234" s="654"/>
      <c r="J234" s="650"/>
      <c r="K234" s="650"/>
      <c r="L234" s="655"/>
      <c r="M234" s="655"/>
      <c r="N234" s="655"/>
      <c r="O234" s="655"/>
      <c r="P234" s="655"/>
      <c r="Q234" s="655"/>
      <c r="R234" s="655"/>
      <c r="S234" s="655"/>
      <c r="T234" s="655"/>
      <c r="U234" s="655"/>
      <c r="V234" s="655"/>
      <c r="W234" s="655"/>
      <c r="X234" s="655"/>
      <c r="Y234" s="655"/>
      <c r="Z234" s="655"/>
      <c r="AA234" s="655"/>
    </row>
    <row r="235">
      <c r="B235" s="462"/>
      <c r="C235" s="671"/>
      <c r="D235" s="671"/>
      <c r="E235" s="462"/>
      <c r="F235" s="654"/>
      <c r="G235" s="650"/>
      <c r="H235" s="654"/>
      <c r="I235" s="654"/>
      <c r="J235" s="650"/>
      <c r="K235" s="650"/>
      <c r="L235" s="655"/>
      <c r="M235" s="655"/>
      <c r="N235" s="655"/>
      <c r="O235" s="655"/>
      <c r="P235" s="655"/>
      <c r="Q235" s="655"/>
      <c r="R235" s="655"/>
      <c r="S235" s="655"/>
      <c r="T235" s="655"/>
      <c r="U235" s="655"/>
      <c r="V235" s="655"/>
      <c r="W235" s="655"/>
      <c r="X235" s="655"/>
      <c r="Y235" s="655"/>
      <c r="Z235" s="655"/>
      <c r="AA235" s="655"/>
    </row>
    <row r="236">
      <c r="B236" s="462"/>
      <c r="C236" s="671"/>
      <c r="D236" s="671"/>
      <c r="E236" s="462"/>
      <c r="F236" s="654"/>
      <c r="G236" s="650"/>
      <c r="H236" s="654"/>
      <c r="I236" s="654"/>
      <c r="J236" s="650"/>
      <c r="K236" s="650"/>
      <c r="L236" s="655"/>
      <c r="M236" s="655"/>
      <c r="N236" s="655"/>
      <c r="O236" s="655"/>
      <c r="P236" s="655"/>
      <c r="Q236" s="655"/>
      <c r="R236" s="655"/>
      <c r="S236" s="655"/>
      <c r="T236" s="655"/>
      <c r="U236" s="655"/>
      <c r="V236" s="655"/>
      <c r="W236" s="655"/>
      <c r="X236" s="655"/>
      <c r="Y236" s="655"/>
      <c r="Z236" s="655"/>
      <c r="AA236" s="655"/>
    </row>
    <row r="237">
      <c r="B237" s="462"/>
      <c r="C237" s="671"/>
      <c r="D237" s="671"/>
      <c r="E237" s="462"/>
      <c r="F237" s="654"/>
      <c r="G237" s="650"/>
      <c r="H237" s="654"/>
      <c r="I237" s="654"/>
      <c r="J237" s="650"/>
      <c r="K237" s="650"/>
      <c r="L237" s="655"/>
      <c r="M237" s="655"/>
      <c r="N237" s="655"/>
      <c r="O237" s="655"/>
      <c r="P237" s="655"/>
      <c r="Q237" s="655"/>
      <c r="R237" s="655"/>
      <c r="S237" s="655"/>
      <c r="T237" s="655"/>
      <c r="U237" s="655"/>
      <c r="V237" s="655"/>
      <c r="W237" s="655"/>
      <c r="X237" s="655"/>
      <c r="Y237" s="655"/>
      <c r="Z237" s="655"/>
      <c r="AA237" s="655"/>
    </row>
    <row r="238">
      <c r="B238" s="462"/>
      <c r="C238" s="671"/>
      <c r="D238" s="671"/>
      <c r="E238" s="462"/>
      <c r="F238" s="654"/>
      <c r="G238" s="650"/>
      <c r="H238" s="654"/>
      <c r="I238" s="654"/>
      <c r="J238" s="650"/>
      <c r="K238" s="650"/>
      <c r="L238" s="655"/>
      <c r="M238" s="655"/>
      <c r="N238" s="655"/>
      <c r="O238" s="655"/>
      <c r="P238" s="655"/>
      <c r="Q238" s="655"/>
      <c r="R238" s="655"/>
      <c r="S238" s="655"/>
      <c r="T238" s="655"/>
      <c r="U238" s="655"/>
      <c r="V238" s="655"/>
      <c r="W238" s="655"/>
      <c r="X238" s="655"/>
      <c r="Y238" s="655"/>
      <c r="Z238" s="655"/>
      <c r="AA238" s="655"/>
    </row>
    <row r="239">
      <c r="B239" s="462"/>
      <c r="C239" s="671"/>
      <c r="D239" s="671"/>
      <c r="E239" s="462"/>
      <c r="F239" s="654"/>
      <c r="G239" s="650"/>
      <c r="H239" s="654"/>
      <c r="I239" s="654"/>
      <c r="J239" s="650"/>
      <c r="K239" s="650"/>
      <c r="L239" s="655"/>
      <c r="M239" s="655"/>
      <c r="N239" s="655"/>
      <c r="O239" s="655"/>
      <c r="P239" s="655"/>
      <c r="Q239" s="655"/>
      <c r="R239" s="655"/>
      <c r="S239" s="655"/>
      <c r="T239" s="655"/>
      <c r="U239" s="655"/>
      <c r="V239" s="655"/>
      <c r="W239" s="655"/>
      <c r="X239" s="655"/>
      <c r="Y239" s="655"/>
      <c r="Z239" s="655"/>
      <c r="AA239" s="655"/>
    </row>
    <row r="240">
      <c r="B240" s="462"/>
      <c r="C240" s="671"/>
      <c r="D240" s="671"/>
      <c r="E240" s="462"/>
      <c r="F240" s="654"/>
      <c r="G240" s="650"/>
      <c r="H240" s="654"/>
      <c r="I240" s="654"/>
      <c r="J240" s="650"/>
      <c r="K240" s="650"/>
      <c r="L240" s="655"/>
      <c r="M240" s="655"/>
      <c r="N240" s="655"/>
      <c r="O240" s="655"/>
      <c r="P240" s="655"/>
      <c r="Q240" s="655"/>
      <c r="R240" s="655"/>
      <c r="S240" s="655"/>
      <c r="T240" s="655"/>
      <c r="U240" s="655"/>
      <c r="V240" s="655"/>
      <c r="W240" s="655"/>
      <c r="X240" s="655"/>
      <c r="Y240" s="655"/>
      <c r="Z240" s="655"/>
      <c r="AA240" s="655"/>
    </row>
    <row r="241">
      <c r="B241" s="462"/>
      <c r="C241" s="671"/>
      <c r="D241" s="671"/>
      <c r="E241" s="462"/>
      <c r="F241" s="654"/>
      <c r="G241" s="650"/>
      <c r="H241" s="654"/>
      <c r="I241" s="654"/>
      <c r="J241" s="650"/>
      <c r="K241" s="650"/>
      <c r="L241" s="655"/>
      <c r="M241" s="655"/>
      <c r="N241" s="655"/>
      <c r="O241" s="655"/>
      <c r="P241" s="655"/>
      <c r="Q241" s="655"/>
      <c r="R241" s="655"/>
      <c r="S241" s="655"/>
      <c r="T241" s="655"/>
      <c r="U241" s="655"/>
      <c r="V241" s="655"/>
      <c r="W241" s="655"/>
      <c r="X241" s="655"/>
      <c r="Y241" s="655"/>
      <c r="Z241" s="655"/>
      <c r="AA241" s="655"/>
    </row>
    <row r="242">
      <c r="B242" s="462"/>
      <c r="C242" s="671"/>
      <c r="D242" s="671"/>
      <c r="E242" s="462"/>
      <c r="F242" s="654"/>
      <c r="G242" s="650"/>
      <c r="H242" s="654"/>
      <c r="I242" s="654"/>
      <c r="J242" s="650"/>
      <c r="K242" s="650"/>
      <c r="L242" s="655"/>
      <c r="M242" s="655"/>
      <c r="N242" s="655"/>
      <c r="O242" s="655"/>
      <c r="P242" s="655"/>
      <c r="Q242" s="655"/>
      <c r="R242" s="655"/>
      <c r="S242" s="655"/>
      <c r="T242" s="655"/>
      <c r="U242" s="655"/>
      <c r="V242" s="655"/>
      <c r="W242" s="655"/>
      <c r="X242" s="655"/>
      <c r="Y242" s="655"/>
      <c r="Z242" s="655"/>
      <c r="AA242" s="655"/>
    </row>
    <row r="243">
      <c r="B243" s="462"/>
      <c r="C243" s="671"/>
      <c r="D243" s="671"/>
      <c r="E243" s="462"/>
      <c r="F243" s="654"/>
      <c r="G243" s="650"/>
      <c r="H243" s="654"/>
      <c r="I243" s="654"/>
      <c r="J243" s="650"/>
      <c r="K243" s="650"/>
      <c r="L243" s="655"/>
      <c r="M243" s="655"/>
      <c r="N243" s="655"/>
      <c r="O243" s="655"/>
      <c r="P243" s="655"/>
      <c r="Q243" s="655"/>
      <c r="R243" s="655"/>
      <c r="S243" s="655"/>
      <c r="T243" s="655"/>
      <c r="U243" s="655"/>
      <c r="V243" s="655"/>
      <c r="W243" s="655"/>
      <c r="X243" s="655"/>
      <c r="Y243" s="655"/>
      <c r="Z243" s="655"/>
      <c r="AA243" s="655"/>
    </row>
    <row r="244">
      <c r="B244" s="462"/>
      <c r="C244" s="671"/>
      <c r="D244" s="671"/>
      <c r="E244" s="462"/>
      <c r="F244" s="654"/>
      <c r="G244" s="650"/>
      <c r="H244" s="654"/>
      <c r="I244" s="654"/>
      <c r="J244" s="650"/>
      <c r="K244" s="650"/>
      <c r="L244" s="655"/>
      <c r="M244" s="655"/>
      <c r="N244" s="655"/>
      <c r="O244" s="655"/>
      <c r="P244" s="655"/>
      <c r="Q244" s="655"/>
      <c r="R244" s="655"/>
      <c r="S244" s="655"/>
      <c r="T244" s="655"/>
      <c r="U244" s="655"/>
      <c r="V244" s="655"/>
      <c r="W244" s="655"/>
      <c r="X244" s="655"/>
      <c r="Y244" s="655"/>
      <c r="Z244" s="655"/>
      <c r="AA244" s="655"/>
    </row>
    <row r="245">
      <c r="B245" s="462"/>
      <c r="C245" s="671"/>
      <c r="D245" s="671"/>
      <c r="E245" s="462"/>
      <c r="F245" s="654"/>
      <c r="G245" s="650"/>
      <c r="H245" s="654"/>
      <c r="I245" s="654"/>
      <c r="J245" s="650"/>
      <c r="K245" s="650"/>
      <c r="L245" s="655"/>
      <c r="M245" s="655"/>
      <c r="N245" s="655"/>
      <c r="O245" s="655"/>
      <c r="P245" s="655"/>
      <c r="Q245" s="655"/>
      <c r="R245" s="655"/>
      <c r="S245" s="655"/>
      <c r="T245" s="655"/>
      <c r="U245" s="655"/>
      <c r="V245" s="655"/>
      <c r="W245" s="655"/>
      <c r="X245" s="655"/>
      <c r="Y245" s="655"/>
      <c r="Z245" s="655"/>
      <c r="AA245" s="655"/>
    </row>
    <row r="246">
      <c r="B246" s="462"/>
      <c r="C246" s="671"/>
      <c r="D246" s="671"/>
      <c r="E246" s="462"/>
      <c r="F246" s="654"/>
      <c r="G246" s="650"/>
      <c r="H246" s="654"/>
      <c r="I246" s="654"/>
      <c r="J246" s="650"/>
      <c r="K246" s="650"/>
      <c r="L246" s="655"/>
      <c r="M246" s="655"/>
      <c r="N246" s="655"/>
      <c r="O246" s="655"/>
      <c r="P246" s="655"/>
      <c r="Q246" s="655"/>
      <c r="R246" s="655"/>
      <c r="S246" s="655"/>
      <c r="T246" s="655"/>
      <c r="U246" s="655"/>
      <c r="V246" s="655"/>
      <c r="W246" s="655"/>
      <c r="X246" s="655"/>
      <c r="Y246" s="655"/>
      <c r="Z246" s="655"/>
      <c r="AA246" s="655"/>
    </row>
    <row r="247">
      <c r="B247" s="462"/>
      <c r="C247" s="671"/>
      <c r="D247" s="671"/>
      <c r="E247" s="462"/>
      <c r="F247" s="654"/>
      <c r="G247" s="650"/>
      <c r="H247" s="654"/>
      <c r="I247" s="654"/>
      <c r="J247" s="650"/>
      <c r="K247" s="650"/>
      <c r="L247" s="655"/>
      <c r="M247" s="655"/>
      <c r="N247" s="655"/>
      <c r="O247" s="655"/>
      <c r="P247" s="655"/>
      <c r="Q247" s="655"/>
      <c r="R247" s="655"/>
      <c r="S247" s="655"/>
      <c r="T247" s="655"/>
      <c r="U247" s="655"/>
      <c r="V247" s="655"/>
      <c r="W247" s="655"/>
      <c r="X247" s="655"/>
      <c r="Y247" s="655"/>
      <c r="Z247" s="655"/>
      <c r="AA247" s="655"/>
    </row>
    <row r="248">
      <c r="B248" s="462"/>
      <c r="C248" s="671"/>
      <c r="D248" s="671"/>
      <c r="E248" s="462"/>
      <c r="F248" s="654"/>
      <c r="G248" s="650"/>
      <c r="H248" s="654"/>
      <c r="I248" s="654"/>
      <c r="J248" s="650"/>
      <c r="K248" s="650"/>
      <c r="L248" s="655"/>
      <c r="M248" s="655"/>
      <c r="N248" s="655"/>
      <c r="O248" s="655"/>
      <c r="P248" s="655"/>
      <c r="Q248" s="655"/>
      <c r="R248" s="655"/>
      <c r="S248" s="655"/>
      <c r="T248" s="655"/>
      <c r="U248" s="655"/>
      <c r="V248" s="655"/>
      <c r="W248" s="655"/>
      <c r="X248" s="655"/>
      <c r="Y248" s="655"/>
      <c r="Z248" s="655"/>
      <c r="AA248" s="655"/>
    </row>
    <row r="249">
      <c r="B249" s="462"/>
      <c r="C249" s="671"/>
      <c r="D249" s="671"/>
      <c r="E249" s="462"/>
      <c r="F249" s="654"/>
      <c r="G249" s="650"/>
      <c r="H249" s="654"/>
      <c r="I249" s="654"/>
      <c r="J249" s="650"/>
      <c r="K249" s="650"/>
      <c r="L249" s="655"/>
      <c r="M249" s="655"/>
      <c r="N249" s="655"/>
      <c r="O249" s="655"/>
      <c r="P249" s="655"/>
      <c r="Q249" s="655"/>
      <c r="R249" s="655"/>
      <c r="S249" s="655"/>
      <c r="T249" s="655"/>
      <c r="U249" s="655"/>
      <c r="V249" s="655"/>
      <c r="W249" s="655"/>
      <c r="X249" s="655"/>
      <c r="Y249" s="655"/>
      <c r="Z249" s="655"/>
      <c r="AA249" s="655"/>
    </row>
    <row r="250">
      <c r="B250" s="462"/>
      <c r="C250" s="671"/>
      <c r="D250" s="671"/>
      <c r="E250" s="462"/>
      <c r="F250" s="654"/>
      <c r="G250" s="650"/>
      <c r="H250" s="654"/>
      <c r="I250" s="654"/>
      <c r="J250" s="650"/>
      <c r="K250" s="650"/>
      <c r="L250" s="655"/>
      <c r="M250" s="655"/>
      <c r="N250" s="655"/>
      <c r="O250" s="655"/>
      <c r="P250" s="655"/>
      <c r="Q250" s="655"/>
      <c r="R250" s="655"/>
      <c r="S250" s="655"/>
      <c r="T250" s="655"/>
      <c r="U250" s="655"/>
      <c r="V250" s="655"/>
      <c r="W250" s="655"/>
      <c r="X250" s="655"/>
      <c r="Y250" s="655"/>
      <c r="Z250" s="655"/>
      <c r="AA250" s="655"/>
    </row>
    <row r="251">
      <c r="B251" s="462"/>
      <c r="C251" s="671"/>
      <c r="D251" s="671"/>
      <c r="E251" s="462"/>
      <c r="F251" s="654"/>
      <c r="G251" s="650"/>
      <c r="H251" s="654"/>
      <c r="I251" s="654"/>
      <c r="J251" s="650"/>
      <c r="K251" s="650"/>
      <c r="L251" s="655"/>
      <c r="M251" s="655"/>
      <c r="N251" s="655"/>
      <c r="O251" s="655"/>
      <c r="P251" s="655"/>
      <c r="Q251" s="655"/>
      <c r="R251" s="655"/>
      <c r="S251" s="655"/>
      <c r="T251" s="655"/>
      <c r="U251" s="655"/>
      <c r="V251" s="655"/>
      <c r="W251" s="655"/>
      <c r="X251" s="655"/>
      <c r="Y251" s="655"/>
      <c r="Z251" s="655"/>
      <c r="AA251" s="655"/>
    </row>
    <row r="252">
      <c r="B252" s="462"/>
      <c r="C252" s="671"/>
      <c r="D252" s="671"/>
      <c r="E252" s="462"/>
      <c r="F252" s="654"/>
      <c r="G252" s="650"/>
      <c r="H252" s="654"/>
      <c r="I252" s="654"/>
      <c r="J252" s="650"/>
      <c r="K252" s="650"/>
      <c r="L252" s="655"/>
      <c r="M252" s="655"/>
      <c r="N252" s="655"/>
      <c r="O252" s="655"/>
      <c r="P252" s="655"/>
      <c r="Q252" s="655"/>
      <c r="R252" s="655"/>
      <c r="S252" s="655"/>
      <c r="T252" s="655"/>
      <c r="U252" s="655"/>
      <c r="V252" s="655"/>
      <c r="W252" s="655"/>
      <c r="X252" s="655"/>
      <c r="Y252" s="655"/>
      <c r="Z252" s="655"/>
      <c r="AA252" s="655"/>
    </row>
    <row r="253">
      <c r="B253" s="462"/>
      <c r="C253" s="671"/>
      <c r="D253" s="671"/>
      <c r="E253" s="462"/>
      <c r="F253" s="654"/>
      <c r="G253" s="650"/>
      <c r="H253" s="654"/>
      <c r="I253" s="654"/>
      <c r="J253" s="650"/>
      <c r="K253" s="650"/>
      <c r="L253" s="655"/>
      <c r="M253" s="655"/>
      <c r="N253" s="655"/>
      <c r="O253" s="655"/>
      <c r="P253" s="655"/>
      <c r="Q253" s="655"/>
      <c r="R253" s="655"/>
      <c r="S253" s="655"/>
      <c r="T253" s="655"/>
      <c r="U253" s="655"/>
      <c r="V253" s="655"/>
      <c r="W253" s="655"/>
      <c r="X253" s="655"/>
      <c r="Y253" s="655"/>
      <c r="Z253" s="655"/>
      <c r="AA253" s="655"/>
    </row>
    <row r="254">
      <c r="B254" s="462"/>
      <c r="C254" s="671"/>
      <c r="D254" s="671"/>
      <c r="E254" s="462"/>
      <c r="F254" s="654"/>
      <c r="G254" s="650"/>
      <c r="H254" s="654"/>
      <c r="I254" s="654"/>
      <c r="J254" s="650"/>
      <c r="K254" s="650"/>
      <c r="L254" s="655"/>
      <c r="M254" s="655"/>
      <c r="N254" s="655"/>
      <c r="O254" s="655"/>
      <c r="P254" s="655"/>
      <c r="Q254" s="655"/>
      <c r="R254" s="655"/>
      <c r="S254" s="655"/>
      <c r="T254" s="655"/>
      <c r="U254" s="655"/>
      <c r="V254" s="655"/>
      <c r="W254" s="655"/>
      <c r="X254" s="655"/>
      <c r="Y254" s="655"/>
      <c r="Z254" s="655"/>
      <c r="AA254" s="655"/>
    </row>
    <row r="255">
      <c r="B255" s="462"/>
      <c r="C255" s="671"/>
      <c r="D255" s="671"/>
      <c r="E255" s="462"/>
      <c r="F255" s="654"/>
      <c r="G255" s="650"/>
      <c r="H255" s="654"/>
      <c r="I255" s="654"/>
      <c r="J255" s="650"/>
      <c r="K255" s="650"/>
      <c r="L255" s="655"/>
      <c r="M255" s="655"/>
      <c r="N255" s="655"/>
      <c r="O255" s="655"/>
      <c r="P255" s="655"/>
      <c r="Q255" s="655"/>
      <c r="R255" s="655"/>
      <c r="S255" s="655"/>
      <c r="T255" s="655"/>
      <c r="U255" s="655"/>
      <c r="V255" s="655"/>
      <c r="W255" s="655"/>
      <c r="X255" s="655"/>
      <c r="Y255" s="655"/>
      <c r="Z255" s="655"/>
      <c r="AA255" s="655"/>
    </row>
    <row r="256">
      <c r="B256" s="462"/>
      <c r="C256" s="671"/>
      <c r="D256" s="671"/>
      <c r="E256" s="462"/>
      <c r="F256" s="654"/>
      <c r="G256" s="650"/>
      <c r="H256" s="654"/>
      <c r="I256" s="654"/>
      <c r="J256" s="650"/>
      <c r="K256" s="650"/>
      <c r="L256" s="655"/>
      <c r="M256" s="655"/>
      <c r="N256" s="655"/>
      <c r="O256" s="655"/>
      <c r="P256" s="655"/>
      <c r="Q256" s="655"/>
      <c r="R256" s="655"/>
      <c r="S256" s="655"/>
      <c r="T256" s="655"/>
      <c r="U256" s="655"/>
      <c r="V256" s="655"/>
      <c r="W256" s="655"/>
      <c r="X256" s="655"/>
      <c r="Y256" s="655"/>
      <c r="Z256" s="655"/>
      <c r="AA256" s="655"/>
    </row>
    <row r="257">
      <c r="B257" s="462"/>
      <c r="C257" s="671"/>
      <c r="D257" s="671"/>
      <c r="E257" s="462"/>
      <c r="F257" s="654"/>
      <c r="G257" s="650"/>
      <c r="H257" s="654"/>
      <c r="I257" s="654"/>
      <c r="J257" s="650"/>
      <c r="K257" s="650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5"/>
    </row>
    <row r="258">
      <c r="B258" s="462"/>
      <c r="C258" s="671"/>
      <c r="D258" s="671"/>
      <c r="E258" s="462"/>
      <c r="F258" s="654"/>
      <c r="G258" s="650"/>
      <c r="H258" s="654"/>
      <c r="I258" s="654"/>
      <c r="J258" s="650"/>
      <c r="K258" s="650"/>
      <c r="L258" s="655"/>
      <c r="M258" s="655"/>
      <c r="N258" s="655"/>
      <c r="O258" s="655"/>
      <c r="P258" s="655"/>
      <c r="Q258" s="655"/>
      <c r="R258" s="655"/>
      <c r="S258" s="655"/>
      <c r="T258" s="655"/>
      <c r="U258" s="655"/>
      <c r="V258" s="655"/>
      <c r="W258" s="655"/>
      <c r="X258" s="655"/>
      <c r="Y258" s="655"/>
      <c r="Z258" s="655"/>
      <c r="AA258" s="655"/>
    </row>
    <row r="259">
      <c r="B259" s="462"/>
      <c r="C259" s="671"/>
      <c r="D259" s="671"/>
      <c r="E259" s="462"/>
      <c r="F259" s="654"/>
      <c r="G259" s="650"/>
      <c r="H259" s="654"/>
      <c r="I259" s="654"/>
      <c r="J259" s="650"/>
      <c r="K259" s="650"/>
      <c r="L259" s="655"/>
      <c r="M259" s="655"/>
      <c r="N259" s="655"/>
      <c r="O259" s="655"/>
      <c r="P259" s="655"/>
      <c r="Q259" s="655"/>
      <c r="R259" s="655"/>
      <c r="S259" s="655"/>
      <c r="T259" s="655"/>
      <c r="U259" s="655"/>
      <c r="V259" s="655"/>
      <c r="W259" s="655"/>
      <c r="X259" s="655"/>
      <c r="Y259" s="655"/>
      <c r="Z259" s="655"/>
      <c r="AA259" s="655"/>
    </row>
    <row r="260">
      <c r="B260" s="462"/>
      <c r="C260" s="671"/>
      <c r="D260" s="671"/>
      <c r="E260" s="462"/>
      <c r="F260" s="654"/>
      <c r="G260" s="650"/>
      <c r="H260" s="654"/>
      <c r="I260" s="654"/>
      <c r="J260" s="650"/>
      <c r="K260" s="650"/>
      <c r="L260" s="655"/>
      <c r="M260" s="655"/>
      <c r="N260" s="655"/>
      <c r="O260" s="655"/>
      <c r="P260" s="655"/>
      <c r="Q260" s="655"/>
      <c r="R260" s="655"/>
      <c r="S260" s="655"/>
      <c r="T260" s="655"/>
      <c r="U260" s="655"/>
      <c r="V260" s="655"/>
      <c r="W260" s="655"/>
      <c r="X260" s="655"/>
      <c r="Y260" s="655"/>
      <c r="Z260" s="655"/>
      <c r="AA260" s="655"/>
    </row>
    <row r="261">
      <c r="B261" s="462"/>
      <c r="C261" s="671"/>
      <c r="D261" s="671"/>
      <c r="E261" s="462"/>
      <c r="F261" s="654"/>
      <c r="G261" s="650"/>
      <c r="H261" s="654"/>
      <c r="I261" s="654"/>
      <c r="J261" s="650"/>
      <c r="K261" s="650"/>
      <c r="L261" s="655"/>
      <c r="M261" s="655"/>
      <c r="N261" s="655"/>
      <c r="O261" s="655"/>
      <c r="P261" s="655"/>
      <c r="Q261" s="655"/>
      <c r="R261" s="655"/>
      <c r="S261" s="655"/>
      <c r="T261" s="655"/>
      <c r="U261" s="655"/>
      <c r="V261" s="655"/>
      <c r="W261" s="655"/>
      <c r="X261" s="655"/>
      <c r="Y261" s="655"/>
      <c r="Z261" s="655"/>
      <c r="AA261" s="655"/>
    </row>
    <row r="262">
      <c r="B262" s="462"/>
      <c r="C262" s="671"/>
      <c r="D262" s="671"/>
      <c r="E262" s="462"/>
      <c r="F262" s="654"/>
      <c r="G262" s="650"/>
      <c r="H262" s="654"/>
      <c r="I262" s="654"/>
      <c r="J262" s="650"/>
      <c r="K262" s="650"/>
      <c r="L262" s="655"/>
      <c r="M262" s="655"/>
      <c r="N262" s="655"/>
      <c r="O262" s="655"/>
      <c r="P262" s="655"/>
      <c r="Q262" s="655"/>
      <c r="R262" s="655"/>
      <c r="S262" s="655"/>
      <c r="T262" s="655"/>
      <c r="U262" s="655"/>
      <c r="V262" s="655"/>
      <c r="W262" s="655"/>
      <c r="X262" s="655"/>
      <c r="Y262" s="655"/>
      <c r="Z262" s="655"/>
      <c r="AA262" s="655"/>
    </row>
    <row r="263">
      <c r="B263" s="462"/>
      <c r="C263" s="671"/>
      <c r="D263" s="671"/>
      <c r="E263" s="462"/>
      <c r="F263" s="654"/>
      <c r="G263" s="650"/>
      <c r="H263" s="654"/>
      <c r="I263" s="654"/>
      <c r="J263" s="650"/>
      <c r="K263" s="650"/>
      <c r="L263" s="655"/>
      <c r="M263" s="655"/>
      <c r="N263" s="655"/>
      <c r="O263" s="655"/>
      <c r="P263" s="655"/>
      <c r="Q263" s="655"/>
      <c r="R263" s="655"/>
      <c r="S263" s="655"/>
      <c r="T263" s="655"/>
      <c r="U263" s="655"/>
      <c r="V263" s="655"/>
      <c r="W263" s="655"/>
      <c r="X263" s="655"/>
      <c r="Y263" s="655"/>
      <c r="Z263" s="655"/>
      <c r="AA263" s="655"/>
    </row>
    <row r="264">
      <c r="B264" s="462"/>
      <c r="C264" s="671"/>
      <c r="D264" s="671"/>
      <c r="E264" s="462"/>
      <c r="F264" s="654"/>
      <c r="G264" s="650"/>
      <c r="H264" s="654"/>
      <c r="I264" s="654"/>
      <c r="J264" s="650"/>
      <c r="K264" s="650"/>
      <c r="L264" s="655"/>
      <c r="M264" s="655"/>
      <c r="N264" s="655"/>
      <c r="O264" s="655"/>
      <c r="P264" s="655"/>
      <c r="Q264" s="655"/>
      <c r="R264" s="655"/>
      <c r="S264" s="655"/>
      <c r="T264" s="655"/>
      <c r="U264" s="655"/>
      <c r="V264" s="655"/>
      <c r="W264" s="655"/>
      <c r="X264" s="655"/>
      <c r="Y264" s="655"/>
      <c r="Z264" s="655"/>
      <c r="AA264" s="655"/>
    </row>
    <row r="265">
      <c r="B265" s="462"/>
      <c r="C265" s="671"/>
      <c r="D265" s="671"/>
      <c r="E265" s="462"/>
      <c r="F265" s="654"/>
      <c r="G265" s="650"/>
      <c r="H265" s="654"/>
      <c r="I265" s="654"/>
      <c r="J265" s="650"/>
      <c r="K265" s="650"/>
      <c r="L265" s="655"/>
      <c r="M265" s="655"/>
      <c r="N265" s="655"/>
      <c r="O265" s="655"/>
      <c r="P265" s="655"/>
      <c r="Q265" s="655"/>
      <c r="R265" s="655"/>
      <c r="S265" s="655"/>
      <c r="T265" s="655"/>
      <c r="U265" s="655"/>
      <c r="V265" s="655"/>
      <c r="W265" s="655"/>
      <c r="X265" s="655"/>
      <c r="Y265" s="655"/>
      <c r="Z265" s="655"/>
      <c r="AA265" s="655"/>
    </row>
    <row r="266">
      <c r="B266" s="462"/>
      <c r="C266" s="671"/>
      <c r="D266" s="671"/>
      <c r="E266" s="462"/>
      <c r="F266" s="654"/>
      <c r="G266" s="650"/>
      <c r="H266" s="654"/>
      <c r="I266" s="654"/>
      <c r="J266" s="650"/>
      <c r="K266" s="650"/>
      <c r="L266" s="655"/>
      <c r="M266" s="655"/>
      <c r="N266" s="655"/>
      <c r="O266" s="655"/>
      <c r="P266" s="655"/>
      <c r="Q266" s="655"/>
      <c r="R266" s="655"/>
      <c r="S266" s="655"/>
      <c r="T266" s="655"/>
      <c r="U266" s="655"/>
      <c r="V266" s="655"/>
      <c r="W266" s="655"/>
      <c r="X266" s="655"/>
      <c r="Y266" s="655"/>
      <c r="Z266" s="655"/>
      <c r="AA266" s="655"/>
    </row>
    <row r="267">
      <c r="B267" s="462"/>
      <c r="C267" s="671"/>
      <c r="D267" s="671"/>
      <c r="E267" s="462"/>
      <c r="F267" s="654"/>
      <c r="G267" s="650"/>
      <c r="H267" s="654"/>
      <c r="I267" s="654"/>
      <c r="J267" s="650"/>
      <c r="K267" s="650"/>
      <c r="L267" s="655"/>
      <c r="M267" s="655"/>
      <c r="N267" s="655"/>
      <c r="O267" s="655"/>
      <c r="P267" s="655"/>
      <c r="Q267" s="655"/>
      <c r="R267" s="655"/>
      <c r="S267" s="655"/>
      <c r="T267" s="655"/>
      <c r="U267" s="655"/>
      <c r="V267" s="655"/>
      <c r="W267" s="655"/>
      <c r="X267" s="655"/>
      <c r="Y267" s="655"/>
      <c r="Z267" s="655"/>
      <c r="AA267" s="655"/>
    </row>
    <row r="268">
      <c r="B268" s="462"/>
      <c r="C268" s="671"/>
      <c r="D268" s="671"/>
      <c r="E268" s="462"/>
      <c r="F268" s="654"/>
      <c r="G268" s="650"/>
      <c r="H268" s="654"/>
      <c r="I268" s="654"/>
      <c r="J268" s="650"/>
      <c r="K268" s="650"/>
      <c r="L268" s="655"/>
      <c r="M268" s="655"/>
      <c r="N268" s="655"/>
      <c r="O268" s="655"/>
      <c r="P268" s="655"/>
      <c r="Q268" s="655"/>
      <c r="R268" s="655"/>
      <c r="S268" s="655"/>
      <c r="T268" s="655"/>
      <c r="U268" s="655"/>
      <c r="V268" s="655"/>
      <c r="W268" s="655"/>
      <c r="X268" s="655"/>
      <c r="Y268" s="655"/>
      <c r="Z268" s="655"/>
      <c r="AA268" s="655"/>
    </row>
    <row r="269">
      <c r="B269" s="462"/>
      <c r="C269" s="671"/>
      <c r="D269" s="671"/>
      <c r="E269" s="462"/>
      <c r="F269" s="654"/>
      <c r="G269" s="650"/>
      <c r="H269" s="654"/>
      <c r="I269" s="654"/>
      <c r="J269" s="650"/>
      <c r="K269" s="650"/>
      <c r="L269" s="655"/>
      <c r="M269" s="655"/>
      <c r="N269" s="655"/>
      <c r="O269" s="655"/>
      <c r="P269" s="655"/>
      <c r="Q269" s="655"/>
      <c r="R269" s="655"/>
      <c r="S269" s="655"/>
      <c r="T269" s="655"/>
      <c r="U269" s="655"/>
      <c r="V269" s="655"/>
      <c r="W269" s="655"/>
      <c r="X269" s="655"/>
      <c r="Y269" s="655"/>
      <c r="Z269" s="655"/>
      <c r="AA269" s="655"/>
    </row>
    <row r="270">
      <c r="B270" s="462"/>
      <c r="C270" s="671"/>
      <c r="D270" s="671"/>
      <c r="E270" s="462"/>
      <c r="F270" s="654"/>
      <c r="G270" s="650"/>
      <c r="H270" s="654"/>
      <c r="I270" s="654"/>
      <c r="J270" s="650"/>
      <c r="K270" s="650"/>
      <c r="L270" s="655"/>
      <c r="M270" s="655"/>
      <c r="N270" s="655"/>
      <c r="O270" s="655"/>
      <c r="P270" s="655"/>
      <c r="Q270" s="655"/>
      <c r="R270" s="655"/>
      <c r="S270" s="655"/>
      <c r="T270" s="655"/>
      <c r="U270" s="655"/>
      <c r="V270" s="655"/>
      <c r="W270" s="655"/>
      <c r="X270" s="655"/>
      <c r="Y270" s="655"/>
      <c r="Z270" s="655"/>
      <c r="AA270" s="655"/>
    </row>
    <row r="271">
      <c r="B271" s="462"/>
      <c r="C271" s="671"/>
      <c r="D271" s="671"/>
      <c r="E271" s="462"/>
      <c r="F271" s="654"/>
      <c r="G271" s="650"/>
      <c r="H271" s="654"/>
      <c r="I271" s="654"/>
      <c r="J271" s="650"/>
      <c r="K271" s="650"/>
      <c r="L271" s="655"/>
      <c r="M271" s="655"/>
      <c r="N271" s="655"/>
      <c r="O271" s="655"/>
      <c r="P271" s="655"/>
      <c r="Q271" s="655"/>
      <c r="R271" s="655"/>
      <c r="S271" s="655"/>
      <c r="T271" s="655"/>
      <c r="U271" s="655"/>
      <c r="V271" s="655"/>
      <c r="W271" s="655"/>
      <c r="X271" s="655"/>
      <c r="Y271" s="655"/>
      <c r="Z271" s="655"/>
      <c r="AA271" s="655"/>
    </row>
    <row r="272">
      <c r="B272" s="462"/>
      <c r="C272" s="671"/>
      <c r="D272" s="671"/>
      <c r="E272" s="462"/>
      <c r="F272" s="654"/>
      <c r="G272" s="650"/>
      <c r="H272" s="654"/>
      <c r="I272" s="654"/>
      <c r="J272" s="650"/>
      <c r="K272" s="650"/>
      <c r="L272" s="655"/>
      <c r="M272" s="655"/>
      <c r="N272" s="655"/>
      <c r="O272" s="655"/>
      <c r="P272" s="655"/>
      <c r="Q272" s="655"/>
      <c r="R272" s="655"/>
      <c r="S272" s="655"/>
      <c r="T272" s="655"/>
      <c r="U272" s="655"/>
      <c r="V272" s="655"/>
      <c r="W272" s="655"/>
      <c r="X272" s="655"/>
      <c r="Y272" s="655"/>
      <c r="Z272" s="655"/>
      <c r="AA272" s="655"/>
    </row>
    <row r="273">
      <c r="B273" s="462"/>
      <c r="C273" s="671"/>
      <c r="D273" s="671"/>
      <c r="E273" s="462"/>
      <c r="F273" s="654"/>
      <c r="G273" s="650"/>
      <c r="H273" s="654"/>
      <c r="I273" s="654"/>
      <c r="J273" s="650"/>
      <c r="K273" s="650"/>
      <c r="L273" s="655"/>
      <c r="M273" s="655"/>
      <c r="N273" s="655"/>
      <c r="O273" s="655"/>
      <c r="P273" s="655"/>
      <c r="Q273" s="655"/>
      <c r="R273" s="655"/>
      <c r="S273" s="655"/>
      <c r="T273" s="655"/>
      <c r="U273" s="655"/>
      <c r="V273" s="655"/>
      <c r="W273" s="655"/>
      <c r="X273" s="655"/>
      <c r="Y273" s="655"/>
      <c r="Z273" s="655"/>
      <c r="AA273" s="655"/>
    </row>
    <row r="274">
      <c r="B274" s="462"/>
      <c r="C274" s="671"/>
      <c r="D274" s="671"/>
      <c r="E274" s="462"/>
      <c r="F274" s="654"/>
      <c r="G274" s="650"/>
      <c r="H274" s="654"/>
      <c r="I274" s="654"/>
      <c r="J274" s="650"/>
      <c r="K274" s="650"/>
      <c r="L274" s="655"/>
      <c r="M274" s="655"/>
      <c r="N274" s="655"/>
      <c r="O274" s="655"/>
      <c r="P274" s="655"/>
      <c r="Q274" s="655"/>
      <c r="R274" s="655"/>
      <c r="S274" s="655"/>
      <c r="T274" s="655"/>
      <c r="U274" s="655"/>
      <c r="V274" s="655"/>
      <c r="W274" s="655"/>
      <c r="X274" s="655"/>
      <c r="Y274" s="655"/>
      <c r="Z274" s="655"/>
      <c r="AA274" s="655"/>
    </row>
    <row r="275">
      <c r="B275" s="462"/>
      <c r="C275" s="671"/>
      <c r="D275" s="671"/>
      <c r="E275" s="462"/>
      <c r="F275" s="654"/>
      <c r="G275" s="650"/>
      <c r="H275" s="654"/>
      <c r="I275" s="654"/>
      <c r="J275" s="650"/>
      <c r="K275" s="650"/>
      <c r="L275" s="655"/>
      <c r="M275" s="655"/>
      <c r="N275" s="655"/>
      <c r="O275" s="655"/>
      <c r="P275" s="655"/>
      <c r="Q275" s="655"/>
      <c r="R275" s="655"/>
      <c r="S275" s="655"/>
      <c r="T275" s="655"/>
      <c r="U275" s="655"/>
      <c r="V275" s="655"/>
      <c r="W275" s="655"/>
      <c r="X275" s="655"/>
      <c r="Y275" s="655"/>
      <c r="Z275" s="655"/>
      <c r="AA275" s="655"/>
    </row>
    <row r="276">
      <c r="B276" s="462"/>
      <c r="C276" s="671"/>
      <c r="D276" s="671"/>
      <c r="E276" s="462"/>
      <c r="F276" s="654"/>
      <c r="G276" s="650"/>
      <c r="H276" s="654"/>
      <c r="I276" s="654"/>
      <c r="J276" s="650"/>
      <c r="K276" s="650"/>
      <c r="L276" s="655"/>
      <c r="M276" s="655"/>
      <c r="N276" s="655"/>
      <c r="O276" s="655"/>
      <c r="P276" s="655"/>
      <c r="Q276" s="655"/>
      <c r="R276" s="655"/>
      <c r="S276" s="655"/>
      <c r="T276" s="655"/>
      <c r="U276" s="655"/>
      <c r="V276" s="655"/>
      <c r="W276" s="655"/>
      <c r="X276" s="655"/>
      <c r="Y276" s="655"/>
      <c r="Z276" s="655"/>
      <c r="AA276" s="655"/>
    </row>
    <row r="277">
      <c r="B277" s="462"/>
      <c r="C277" s="671"/>
      <c r="D277" s="671"/>
      <c r="E277" s="462"/>
      <c r="F277" s="654"/>
      <c r="G277" s="650"/>
      <c r="H277" s="654"/>
      <c r="I277" s="654"/>
      <c r="J277" s="650"/>
      <c r="K277" s="650"/>
      <c r="L277" s="655"/>
      <c r="M277" s="655"/>
      <c r="N277" s="655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  <c r="AA277" s="655"/>
    </row>
    <row r="278">
      <c r="B278" s="462"/>
      <c r="C278" s="671"/>
      <c r="D278" s="671"/>
      <c r="E278" s="462"/>
      <c r="F278" s="654"/>
      <c r="G278" s="650"/>
      <c r="H278" s="654"/>
      <c r="I278" s="654"/>
      <c r="J278" s="650"/>
      <c r="K278" s="650"/>
      <c r="L278" s="655"/>
      <c r="M278" s="655"/>
      <c r="N278" s="655"/>
      <c r="O278" s="655"/>
      <c r="P278" s="655"/>
      <c r="Q278" s="655"/>
      <c r="R278" s="655"/>
      <c r="S278" s="655"/>
      <c r="T278" s="655"/>
      <c r="U278" s="655"/>
      <c r="V278" s="655"/>
      <c r="W278" s="655"/>
      <c r="X278" s="655"/>
      <c r="Y278" s="655"/>
      <c r="Z278" s="655"/>
      <c r="AA278" s="655"/>
    </row>
    <row r="279">
      <c r="B279" s="462"/>
      <c r="C279" s="671"/>
      <c r="D279" s="671"/>
      <c r="E279" s="462"/>
      <c r="F279" s="654"/>
      <c r="G279" s="650"/>
      <c r="H279" s="654"/>
      <c r="I279" s="654"/>
      <c r="J279" s="650"/>
      <c r="K279" s="650"/>
      <c r="L279" s="655"/>
      <c r="M279" s="655"/>
      <c r="N279" s="655"/>
      <c r="O279" s="655"/>
      <c r="P279" s="655"/>
      <c r="Q279" s="655"/>
      <c r="R279" s="655"/>
      <c r="S279" s="655"/>
      <c r="T279" s="655"/>
      <c r="U279" s="655"/>
      <c r="V279" s="655"/>
      <c r="W279" s="655"/>
      <c r="X279" s="655"/>
      <c r="Y279" s="655"/>
      <c r="Z279" s="655"/>
      <c r="AA279" s="655"/>
    </row>
    <row r="280">
      <c r="B280" s="462"/>
      <c r="C280" s="671"/>
      <c r="D280" s="671"/>
      <c r="E280" s="462"/>
      <c r="F280" s="654"/>
      <c r="G280" s="650"/>
      <c r="H280" s="654"/>
      <c r="I280" s="654"/>
      <c r="J280" s="650"/>
      <c r="K280" s="650"/>
      <c r="L280" s="655"/>
      <c r="M280" s="655"/>
      <c r="N280" s="655"/>
      <c r="O280" s="655"/>
      <c r="P280" s="655"/>
      <c r="Q280" s="655"/>
      <c r="R280" s="655"/>
      <c r="S280" s="655"/>
      <c r="T280" s="655"/>
      <c r="U280" s="655"/>
      <c r="V280" s="655"/>
      <c r="W280" s="655"/>
      <c r="X280" s="655"/>
      <c r="Y280" s="655"/>
      <c r="Z280" s="655"/>
      <c r="AA280" s="655"/>
    </row>
    <row r="281">
      <c r="B281" s="462"/>
      <c r="C281" s="671"/>
      <c r="D281" s="671"/>
      <c r="E281" s="462"/>
      <c r="F281" s="654"/>
      <c r="G281" s="650"/>
      <c r="H281" s="654"/>
      <c r="I281" s="654"/>
      <c r="J281" s="650"/>
      <c r="K281" s="650"/>
      <c r="L281" s="655"/>
      <c r="M281" s="655"/>
      <c r="N281" s="655"/>
      <c r="O281" s="655"/>
      <c r="P281" s="655"/>
      <c r="Q281" s="655"/>
      <c r="R281" s="655"/>
      <c r="S281" s="655"/>
      <c r="T281" s="655"/>
      <c r="U281" s="655"/>
      <c r="V281" s="655"/>
      <c r="W281" s="655"/>
      <c r="X281" s="655"/>
      <c r="Y281" s="655"/>
      <c r="Z281" s="655"/>
      <c r="AA281" s="655"/>
    </row>
    <row r="282">
      <c r="B282" s="462"/>
      <c r="C282" s="671"/>
      <c r="D282" s="671"/>
      <c r="E282" s="462"/>
      <c r="F282" s="654"/>
      <c r="G282" s="650"/>
      <c r="H282" s="654"/>
      <c r="I282" s="654"/>
      <c r="J282" s="650"/>
      <c r="K282" s="650"/>
      <c r="L282" s="655"/>
      <c r="M282" s="655"/>
      <c r="N282" s="655"/>
      <c r="O282" s="655"/>
      <c r="P282" s="655"/>
      <c r="Q282" s="655"/>
      <c r="R282" s="655"/>
      <c r="S282" s="655"/>
      <c r="T282" s="655"/>
      <c r="U282" s="655"/>
      <c r="V282" s="655"/>
      <c r="W282" s="655"/>
      <c r="X282" s="655"/>
      <c r="Y282" s="655"/>
      <c r="Z282" s="655"/>
      <c r="AA282" s="655"/>
    </row>
    <row r="283">
      <c r="B283" s="462"/>
      <c r="C283" s="671"/>
      <c r="D283" s="671"/>
      <c r="E283" s="462"/>
      <c r="F283" s="654"/>
      <c r="G283" s="650"/>
      <c r="H283" s="654"/>
      <c r="I283" s="654"/>
      <c r="J283" s="650"/>
      <c r="K283" s="650"/>
      <c r="L283" s="655"/>
      <c r="M283" s="655"/>
      <c r="N283" s="655"/>
      <c r="O283" s="655"/>
      <c r="P283" s="655"/>
      <c r="Q283" s="655"/>
      <c r="R283" s="655"/>
      <c r="S283" s="655"/>
      <c r="T283" s="655"/>
      <c r="U283" s="655"/>
      <c r="V283" s="655"/>
      <c r="W283" s="655"/>
      <c r="X283" s="655"/>
      <c r="Y283" s="655"/>
      <c r="Z283" s="655"/>
      <c r="AA283" s="655"/>
    </row>
    <row r="284">
      <c r="B284" s="462"/>
      <c r="C284" s="671"/>
      <c r="D284" s="671"/>
      <c r="E284" s="462"/>
      <c r="F284" s="654"/>
      <c r="G284" s="650"/>
      <c r="H284" s="654"/>
      <c r="I284" s="654"/>
      <c r="J284" s="650"/>
      <c r="K284" s="650"/>
      <c r="L284" s="655"/>
      <c r="M284" s="655"/>
      <c r="N284" s="655"/>
      <c r="O284" s="655"/>
      <c r="P284" s="655"/>
      <c r="Q284" s="655"/>
      <c r="R284" s="655"/>
      <c r="S284" s="655"/>
      <c r="T284" s="655"/>
      <c r="U284" s="655"/>
      <c r="V284" s="655"/>
      <c r="W284" s="655"/>
      <c r="X284" s="655"/>
      <c r="Y284" s="655"/>
      <c r="Z284" s="655"/>
      <c r="AA284" s="655"/>
    </row>
    <row r="285">
      <c r="B285" s="462"/>
      <c r="C285" s="671"/>
      <c r="D285" s="671"/>
      <c r="E285" s="462"/>
      <c r="F285" s="654"/>
      <c r="G285" s="650"/>
      <c r="H285" s="654"/>
      <c r="I285" s="654"/>
      <c r="J285" s="650"/>
      <c r="K285" s="650"/>
      <c r="L285" s="655"/>
      <c r="M285" s="655"/>
      <c r="N285" s="655"/>
      <c r="O285" s="655"/>
      <c r="P285" s="655"/>
      <c r="Q285" s="655"/>
      <c r="R285" s="655"/>
      <c r="S285" s="655"/>
      <c r="T285" s="655"/>
      <c r="U285" s="655"/>
      <c r="V285" s="655"/>
      <c r="W285" s="655"/>
      <c r="X285" s="655"/>
      <c r="Y285" s="655"/>
      <c r="Z285" s="655"/>
      <c r="AA285" s="655"/>
    </row>
    <row r="286">
      <c r="B286" s="462"/>
      <c r="C286" s="671"/>
      <c r="D286" s="671"/>
      <c r="E286" s="462"/>
      <c r="F286" s="654"/>
      <c r="G286" s="650"/>
      <c r="H286" s="654"/>
      <c r="I286" s="654"/>
      <c r="J286" s="650"/>
      <c r="K286" s="650"/>
      <c r="L286" s="655"/>
      <c r="M286" s="655"/>
      <c r="N286" s="655"/>
      <c r="O286" s="655"/>
      <c r="P286" s="655"/>
      <c r="Q286" s="655"/>
      <c r="R286" s="655"/>
      <c r="S286" s="655"/>
      <c r="T286" s="655"/>
      <c r="U286" s="655"/>
      <c r="V286" s="655"/>
      <c r="W286" s="655"/>
      <c r="X286" s="655"/>
      <c r="Y286" s="655"/>
      <c r="Z286" s="655"/>
      <c r="AA286" s="655"/>
    </row>
    <row r="287">
      <c r="B287" s="462"/>
      <c r="C287" s="671"/>
      <c r="D287" s="671"/>
      <c r="E287" s="462"/>
      <c r="F287" s="654"/>
      <c r="G287" s="650"/>
      <c r="H287" s="654"/>
      <c r="I287" s="654"/>
      <c r="J287" s="650"/>
      <c r="K287" s="650"/>
      <c r="L287" s="655"/>
      <c r="M287" s="655"/>
      <c r="N287" s="655"/>
      <c r="O287" s="655"/>
      <c r="P287" s="655"/>
      <c r="Q287" s="655"/>
      <c r="R287" s="655"/>
      <c r="S287" s="655"/>
      <c r="T287" s="655"/>
      <c r="U287" s="655"/>
      <c r="V287" s="655"/>
      <c r="W287" s="655"/>
      <c r="X287" s="655"/>
      <c r="Y287" s="655"/>
      <c r="Z287" s="655"/>
      <c r="AA287" s="655"/>
    </row>
    <row r="288">
      <c r="B288" s="462"/>
      <c r="C288" s="671"/>
      <c r="D288" s="671"/>
      <c r="E288" s="462"/>
      <c r="F288" s="654"/>
      <c r="G288" s="650"/>
      <c r="H288" s="654"/>
      <c r="I288" s="654"/>
      <c r="J288" s="650"/>
      <c r="K288" s="650"/>
      <c r="L288" s="655"/>
      <c r="M288" s="655"/>
      <c r="N288" s="655"/>
      <c r="O288" s="655"/>
      <c r="P288" s="655"/>
      <c r="Q288" s="655"/>
      <c r="R288" s="655"/>
      <c r="S288" s="655"/>
      <c r="T288" s="655"/>
      <c r="U288" s="655"/>
      <c r="V288" s="655"/>
      <c r="W288" s="655"/>
      <c r="X288" s="655"/>
      <c r="Y288" s="655"/>
      <c r="Z288" s="655"/>
      <c r="AA288" s="655"/>
    </row>
    <row r="289">
      <c r="B289" s="462"/>
      <c r="C289" s="671"/>
      <c r="D289" s="671"/>
      <c r="E289" s="462"/>
      <c r="F289" s="654"/>
      <c r="G289" s="650"/>
      <c r="H289" s="654"/>
      <c r="I289" s="654"/>
      <c r="J289" s="650"/>
      <c r="K289" s="650"/>
      <c r="L289" s="655"/>
      <c r="M289" s="655"/>
      <c r="N289" s="655"/>
      <c r="O289" s="655"/>
      <c r="P289" s="655"/>
      <c r="Q289" s="655"/>
      <c r="R289" s="655"/>
      <c r="S289" s="655"/>
      <c r="T289" s="655"/>
      <c r="U289" s="655"/>
      <c r="V289" s="655"/>
      <c r="W289" s="655"/>
      <c r="X289" s="655"/>
      <c r="Y289" s="655"/>
      <c r="Z289" s="655"/>
      <c r="AA289" s="655"/>
    </row>
    <row r="290">
      <c r="B290" s="462"/>
      <c r="C290" s="671"/>
      <c r="D290" s="671"/>
      <c r="E290" s="462"/>
      <c r="F290" s="654"/>
      <c r="G290" s="650"/>
      <c r="H290" s="654"/>
      <c r="I290" s="654"/>
      <c r="J290" s="650"/>
      <c r="K290" s="650"/>
      <c r="L290" s="655"/>
      <c r="M290" s="655"/>
      <c r="N290" s="655"/>
      <c r="O290" s="655"/>
      <c r="P290" s="655"/>
      <c r="Q290" s="655"/>
      <c r="R290" s="655"/>
      <c r="S290" s="655"/>
      <c r="T290" s="655"/>
      <c r="U290" s="655"/>
      <c r="V290" s="655"/>
      <c r="W290" s="655"/>
      <c r="X290" s="655"/>
      <c r="Y290" s="655"/>
      <c r="Z290" s="655"/>
      <c r="AA290" s="655"/>
    </row>
    <row r="291">
      <c r="B291" s="462"/>
      <c r="C291" s="671"/>
      <c r="D291" s="671"/>
      <c r="E291" s="462"/>
      <c r="F291" s="654"/>
      <c r="G291" s="650"/>
      <c r="H291" s="654"/>
      <c r="I291" s="654"/>
      <c r="J291" s="650"/>
      <c r="K291" s="650"/>
      <c r="L291" s="655"/>
      <c r="M291" s="655"/>
      <c r="N291" s="655"/>
      <c r="O291" s="655"/>
      <c r="P291" s="655"/>
      <c r="Q291" s="655"/>
      <c r="R291" s="655"/>
      <c r="S291" s="655"/>
      <c r="T291" s="655"/>
      <c r="U291" s="655"/>
      <c r="V291" s="655"/>
      <c r="W291" s="655"/>
      <c r="X291" s="655"/>
      <c r="Y291" s="655"/>
      <c r="Z291" s="655"/>
      <c r="AA291" s="655"/>
    </row>
    <row r="292">
      <c r="B292" s="462"/>
      <c r="C292" s="671"/>
      <c r="D292" s="671"/>
      <c r="E292" s="462"/>
      <c r="F292" s="654"/>
      <c r="G292" s="650"/>
      <c r="H292" s="654"/>
      <c r="I292" s="654"/>
      <c r="J292" s="650"/>
      <c r="K292" s="650"/>
      <c r="L292" s="655"/>
      <c r="M292" s="655"/>
      <c r="N292" s="655"/>
      <c r="O292" s="655"/>
      <c r="P292" s="655"/>
      <c r="Q292" s="655"/>
      <c r="R292" s="655"/>
      <c r="S292" s="655"/>
      <c r="T292" s="655"/>
      <c r="U292" s="655"/>
      <c r="V292" s="655"/>
      <c r="W292" s="655"/>
      <c r="X292" s="655"/>
      <c r="Y292" s="655"/>
      <c r="Z292" s="655"/>
      <c r="AA292" s="655"/>
    </row>
    <row r="293">
      <c r="B293" s="462"/>
      <c r="C293" s="671"/>
      <c r="D293" s="671"/>
      <c r="E293" s="462"/>
      <c r="F293" s="654"/>
      <c r="G293" s="650"/>
      <c r="H293" s="654"/>
      <c r="I293" s="654"/>
      <c r="J293" s="650"/>
      <c r="K293" s="650"/>
      <c r="L293" s="655"/>
      <c r="M293" s="655"/>
      <c r="N293" s="655"/>
      <c r="O293" s="655"/>
      <c r="P293" s="655"/>
      <c r="Q293" s="655"/>
      <c r="R293" s="655"/>
      <c r="S293" s="655"/>
      <c r="T293" s="655"/>
      <c r="U293" s="655"/>
      <c r="V293" s="655"/>
      <c r="W293" s="655"/>
      <c r="X293" s="655"/>
      <c r="Y293" s="655"/>
      <c r="Z293" s="655"/>
      <c r="AA293" s="655"/>
    </row>
    <row r="294">
      <c r="B294" s="462"/>
      <c r="C294" s="671"/>
      <c r="D294" s="671"/>
      <c r="E294" s="462"/>
      <c r="F294" s="654"/>
      <c r="G294" s="650"/>
      <c r="H294" s="654"/>
      <c r="I294" s="654"/>
      <c r="J294" s="650"/>
      <c r="K294" s="650"/>
      <c r="L294" s="655"/>
      <c r="M294" s="655"/>
      <c r="N294" s="655"/>
      <c r="O294" s="655"/>
      <c r="P294" s="655"/>
      <c r="Q294" s="655"/>
      <c r="R294" s="655"/>
      <c r="S294" s="655"/>
      <c r="T294" s="655"/>
      <c r="U294" s="655"/>
      <c r="V294" s="655"/>
      <c r="W294" s="655"/>
      <c r="X294" s="655"/>
      <c r="Y294" s="655"/>
      <c r="Z294" s="655"/>
      <c r="AA294" s="655"/>
    </row>
    <row r="295">
      <c r="B295" s="462"/>
      <c r="C295" s="671"/>
      <c r="D295" s="671"/>
      <c r="E295" s="462"/>
      <c r="F295" s="654"/>
      <c r="G295" s="650"/>
      <c r="H295" s="654"/>
      <c r="I295" s="654"/>
      <c r="J295" s="650"/>
      <c r="K295" s="650"/>
      <c r="L295" s="655"/>
      <c r="M295" s="655"/>
      <c r="N295" s="655"/>
      <c r="O295" s="655"/>
      <c r="P295" s="655"/>
      <c r="Q295" s="655"/>
      <c r="R295" s="655"/>
      <c r="S295" s="655"/>
      <c r="T295" s="655"/>
      <c r="U295" s="655"/>
      <c r="V295" s="655"/>
      <c r="W295" s="655"/>
      <c r="X295" s="655"/>
      <c r="Y295" s="655"/>
      <c r="Z295" s="655"/>
      <c r="AA295" s="655"/>
    </row>
    <row r="296">
      <c r="B296" s="462"/>
      <c r="C296" s="671"/>
      <c r="D296" s="671"/>
      <c r="E296" s="462"/>
      <c r="F296" s="654"/>
      <c r="G296" s="650"/>
      <c r="H296" s="654"/>
      <c r="I296" s="654"/>
      <c r="J296" s="650"/>
      <c r="K296" s="650"/>
      <c r="L296" s="655"/>
      <c r="M296" s="655"/>
      <c r="N296" s="655"/>
      <c r="O296" s="655"/>
      <c r="P296" s="655"/>
      <c r="Q296" s="655"/>
      <c r="R296" s="655"/>
      <c r="S296" s="655"/>
      <c r="T296" s="655"/>
      <c r="U296" s="655"/>
      <c r="V296" s="655"/>
      <c r="W296" s="655"/>
      <c r="X296" s="655"/>
      <c r="Y296" s="655"/>
      <c r="Z296" s="655"/>
      <c r="AA296" s="655"/>
    </row>
    <row r="297">
      <c r="B297" s="462"/>
      <c r="C297" s="671"/>
      <c r="D297" s="671"/>
      <c r="E297" s="462"/>
      <c r="F297" s="654"/>
      <c r="G297" s="650"/>
      <c r="H297" s="654"/>
      <c r="I297" s="654"/>
      <c r="J297" s="650"/>
      <c r="K297" s="650"/>
      <c r="L297" s="655"/>
      <c r="M297" s="655"/>
      <c r="N297" s="655"/>
      <c r="O297" s="655"/>
      <c r="P297" s="655"/>
      <c r="Q297" s="655"/>
      <c r="R297" s="655"/>
      <c r="S297" s="655"/>
      <c r="T297" s="655"/>
      <c r="U297" s="655"/>
      <c r="V297" s="655"/>
      <c r="W297" s="655"/>
      <c r="X297" s="655"/>
      <c r="Y297" s="655"/>
      <c r="Z297" s="655"/>
      <c r="AA297" s="655"/>
    </row>
    <row r="298">
      <c r="B298" s="462"/>
      <c r="C298" s="671"/>
      <c r="D298" s="671"/>
      <c r="E298" s="462"/>
      <c r="F298" s="654"/>
      <c r="G298" s="650"/>
      <c r="H298" s="654"/>
      <c r="I298" s="654"/>
      <c r="J298" s="650"/>
      <c r="K298" s="650"/>
      <c r="L298" s="655"/>
      <c r="M298" s="655"/>
      <c r="N298" s="655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  <c r="AA298" s="655"/>
    </row>
    <row r="299">
      <c r="B299" s="462"/>
      <c r="C299" s="671"/>
      <c r="D299" s="671"/>
      <c r="E299" s="462"/>
      <c r="F299" s="654"/>
      <c r="G299" s="650"/>
      <c r="H299" s="654"/>
      <c r="I299" s="654"/>
      <c r="J299" s="650"/>
      <c r="K299" s="650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5"/>
    </row>
    <row r="300">
      <c r="B300" s="462"/>
      <c r="C300" s="671"/>
      <c r="D300" s="671"/>
      <c r="E300" s="462"/>
      <c r="F300" s="654"/>
      <c r="G300" s="650"/>
      <c r="H300" s="654"/>
      <c r="I300" s="654"/>
      <c r="J300" s="650"/>
      <c r="K300" s="650"/>
      <c r="L300" s="655"/>
      <c r="M300" s="655"/>
      <c r="N300" s="655"/>
      <c r="O300" s="655"/>
      <c r="P300" s="655"/>
      <c r="Q300" s="655"/>
      <c r="R300" s="655"/>
      <c r="S300" s="655"/>
      <c r="T300" s="655"/>
      <c r="U300" s="655"/>
      <c r="V300" s="655"/>
      <c r="W300" s="655"/>
      <c r="X300" s="655"/>
      <c r="Y300" s="655"/>
      <c r="Z300" s="655"/>
      <c r="AA300" s="655"/>
    </row>
    <row r="301">
      <c r="B301" s="462"/>
      <c r="C301" s="671"/>
      <c r="D301" s="671"/>
      <c r="E301" s="462"/>
      <c r="F301" s="654"/>
      <c r="G301" s="650"/>
      <c r="H301" s="654"/>
      <c r="I301" s="654"/>
      <c r="J301" s="650"/>
      <c r="K301" s="650"/>
      <c r="L301" s="655"/>
      <c r="M301" s="655"/>
      <c r="N301" s="655"/>
      <c r="O301" s="655"/>
      <c r="P301" s="655"/>
      <c r="Q301" s="655"/>
      <c r="R301" s="655"/>
      <c r="S301" s="655"/>
      <c r="T301" s="655"/>
      <c r="U301" s="655"/>
      <c r="V301" s="655"/>
      <c r="W301" s="655"/>
      <c r="X301" s="655"/>
      <c r="Y301" s="655"/>
      <c r="Z301" s="655"/>
      <c r="AA301" s="655"/>
    </row>
    <row r="302">
      <c r="B302" s="462"/>
      <c r="C302" s="671"/>
      <c r="D302" s="671"/>
      <c r="E302" s="462"/>
      <c r="F302" s="654"/>
      <c r="G302" s="650"/>
      <c r="H302" s="654"/>
      <c r="I302" s="654"/>
      <c r="J302" s="650"/>
      <c r="K302" s="650"/>
      <c r="L302" s="655"/>
      <c r="M302" s="655"/>
      <c r="N302" s="655"/>
      <c r="O302" s="655"/>
      <c r="P302" s="655"/>
      <c r="Q302" s="655"/>
      <c r="R302" s="655"/>
      <c r="S302" s="655"/>
      <c r="T302" s="655"/>
      <c r="U302" s="655"/>
      <c r="V302" s="655"/>
      <c r="W302" s="655"/>
      <c r="X302" s="655"/>
      <c r="Y302" s="655"/>
      <c r="Z302" s="655"/>
      <c r="AA302" s="655"/>
    </row>
    <row r="303">
      <c r="B303" s="462"/>
      <c r="C303" s="671"/>
      <c r="D303" s="671"/>
      <c r="E303" s="462"/>
      <c r="F303" s="654"/>
      <c r="G303" s="650"/>
      <c r="H303" s="654"/>
      <c r="I303" s="654"/>
      <c r="J303" s="650"/>
      <c r="K303" s="650"/>
      <c r="L303" s="655"/>
      <c r="M303" s="655"/>
      <c r="N303" s="655"/>
      <c r="O303" s="655"/>
      <c r="P303" s="655"/>
      <c r="Q303" s="655"/>
      <c r="R303" s="655"/>
      <c r="S303" s="655"/>
      <c r="T303" s="655"/>
      <c r="U303" s="655"/>
      <c r="V303" s="655"/>
      <c r="W303" s="655"/>
      <c r="X303" s="655"/>
      <c r="Y303" s="655"/>
      <c r="Z303" s="655"/>
      <c r="AA303" s="655"/>
    </row>
    <row r="304">
      <c r="B304" s="462"/>
      <c r="C304" s="671"/>
      <c r="D304" s="671"/>
      <c r="E304" s="462"/>
      <c r="F304" s="654"/>
      <c r="G304" s="650"/>
      <c r="H304" s="654"/>
      <c r="I304" s="654"/>
      <c r="J304" s="650"/>
      <c r="K304" s="650"/>
      <c r="L304" s="655"/>
      <c r="M304" s="655"/>
      <c r="N304" s="655"/>
      <c r="O304" s="655"/>
      <c r="P304" s="655"/>
      <c r="Q304" s="655"/>
      <c r="R304" s="655"/>
      <c r="S304" s="655"/>
      <c r="T304" s="655"/>
      <c r="U304" s="655"/>
      <c r="V304" s="655"/>
      <c r="W304" s="655"/>
      <c r="X304" s="655"/>
      <c r="Y304" s="655"/>
      <c r="Z304" s="655"/>
      <c r="AA304" s="655"/>
    </row>
    <row r="305">
      <c r="B305" s="462"/>
      <c r="C305" s="671"/>
      <c r="D305" s="671"/>
      <c r="E305" s="462"/>
      <c r="F305" s="654"/>
      <c r="G305" s="650"/>
      <c r="H305" s="654"/>
      <c r="I305" s="654"/>
      <c r="J305" s="650"/>
      <c r="K305" s="650"/>
      <c r="L305" s="655"/>
      <c r="M305" s="655"/>
      <c r="N305" s="655"/>
      <c r="O305" s="655"/>
      <c r="P305" s="655"/>
      <c r="Q305" s="655"/>
      <c r="R305" s="655"/>
      <c r="S305" s="655"/>
      <c r="T305" s="655"/>
      <c r="U305" s="655"/>
      <c r="V305" s="655"/>
      <c r="W305" s="655"/>
      <c r="X305" s="655"/>
      <c r="Y305" s="655"/>
      <c r="Z305" s="655"/>
      <c r="AA305" s="655"/>
    </row>
    <row r="306">
      <c r="B306" s="462"/>
      <c r="C306" s="671"/>
      <c r="D306" s="671"/>
      <c r="E306" s="462"/>
      <c r="F306" s="654"/>
      <c r="G306" s="650"/>
      <c r="H306" s="654"/>
      <c r="I306" s="654"/>
      <c r="J306" s="650"/>
      <c r="K306" s="650"/>
      <c r="L306" s="655"/>
      <c r="M306" s="655"/>
      <c r="N306" s="655"/>
      <c r="O306" s="655"/>
      <c r="P306" s="655"/>
      <c r="Q306" s="655"/>
      <c r="R306" s="655"/>
      <c r="S306" s="655"/>
      <c r="T306" s="655"/>
      <c r="U306" s="655"/>
      <c r="V306" s="655"/>
      <c r="W306" s="655"/>
      <c r="X306" s="655"/>
      <c r="Y306" s="655"/>
      <c r="Z306" s="655"/>
      <c r="AA306" s="655"/>
    </row>
    <row r="307">
      <c r="B307" s="462"/>
      <c r="C307" s="671"/>
      <c r="D307" s="671"/>
      <c r="E307" s="462"/>
      <c r="F307" s="654"/>
      <c r="G307" s="650"/>
      <c r="H307" s="654"/>
      <c r="I307" s="654"/>
      <c r="J307" s="650"/>
      <c r="K307" s="650"/>
      <c r="L307" s="655"/>
      <c r="M307" s="655"/>
      <c r="N307" s="655"/>
      <c r="O307" s="655"/>
      <c r="P307" s="655"/>
      <c r="Q307" s="655"/>
      <c r="R307" s="655"/>
      <c r="S307" s="655"/>
      <c r="T307" s="655"/>
      <c r="U307" s="655"/>
      <c r="V307" s="655"/>
      <c r="W307" s="655"/>
      <c r="X307" s="655"/>
      <c r="Y307" s="655"/>
      <c r="Z307" s="655"/>
      <c r="AA307" s="655"/>
    </row>
    <row r="308">
      <c r="B308" s="462"/>
      <c r="C308" s="671"/>
      <c r="D308" s="671"/>
      <c r="E308" s="462"/>
      <c r="F308" s="654"/>
      <c r="G308" s="650"/>
      <c r="H308" s="654"/>
      <c r="I308" s="654"/>
      <c r="J308" s="650"/>
      <c r="K308" s="650"/>
      <c r="L308" s="655"/>
      <c r="M308" s="655"/>
      <c r="N308" s="655"/>
      <c r="O308" s="655"/>
      <c r="P308" s="655"/>
      <c r="Q308" s="655"/>
      <c r="R308" s="655"/>
      <c r="S308" s="655"/>
      <c r="T308" s="655"/>
      <c r="U308" s="655"/>
      <c r="V308" s="655"/>
      <c r="W308" s="655"/>
      <c r="X308" s="655"/>
      <c r="Y308" s="655"/>
      <c r="Z308" s="655"/>
      <c r="AA308" s="655"/>
    </row>
    <row r="309">
      <c r="B309" s="462"/>
      <c r="C309" s="671"/>
      <c r="D309" s="671"/>
      <c r="E309" s="462"/>
      <c r="F309" s="654"/>
      <c r="G309" s="650"/>
      <c r="H309" s="654"/>
      <c r="I309" s="654"/>
      <c r="J309" s="650"/>
      <c r="K309" s="650"/>
      <c r="L309" s="655"/>
      <c r="M309" s="655"/>
      <c r="N309" s="655"/>
      <c r="O309" s="655"/>
      <c r="P309" s="655"/>
      <c r="Q309" s="655"/>
      <c r="R309" s="655"/>
      <c r="S309" s="655"/>
      <c r="T309" s="655"/>
      <c r="U309" s="655"/>
      <c r="V309" s="655"/>
      <c r="W309" s="655"/>
      <c r="X309" s="655"/>
      <c r="Y309" s="655"/>
      <c r="Z309" s="655"/>
      <c r="AA309" s="655"/>
    </row>
    <row r="310">
      <c r="B310" s="462"/>
      <c r="C310" s="671"/>
      <c r="D310" s="671"/>
      <c r="E310" s="462"/>
      <c r="F310" s="654"/>
      <c r="G310" s="650"/>
      <c r="H310" s="654"/>
      <c r="I310" s="654"/>
      <c r="J310" s="650"/>
      <c r="K310" s="650"/>
      <c r="L310" s="655"/>
      <c r="M310" s="655"/>
      <c r="N310" s="655"/>
      <c r="O310" s="655"/>
      <c r="P310" s="655"/>
      <c r="Q310" s="655"/>
      <c r="R310" s="655"/>
      <c r="S310" s="655"/>
      <c r="T310" s="655"/>
      <c r="U310" s="655"/>
      <c r="V310" s="655"/>
      <c r="W310" s="655"/>
      <c r="X310" s="655"/>
      <c r="Y310" s="655"/>
      <c r="Z310" s="655"/>
      <c r="AA310" s="655"/>
    </row>
    <row r="311">
      <c r="B311" s="462"/>
      <c r="C311" s="671"/>
      <c r="D311" s="671"/>
      <c r="E311" s="462"/>
      <c r="F311" s="654"/>
      <c r="G311" s="650"/>
      <c r="H311" s="654"/>
      <c r="I311" s="654"/>
      <c r="J311" s="650"/>
      <c r="K311" s="650"/>
      <c r="L311" s="655"/>
      <c r="M311" s="655"/>
      <c r="N311" s="655"/>
      <c r="O311" s="655"/>
      <c r="P311" s="655"/>
      <c r="Q311" s="655"/>
      <c r="R311" s="655"/>
      <c r="S311" s="655"/>
      <c r="T311" s="655"/>
      <c r="U311" s="655"/>
      <c r="V311" s="655"/>
      <c r="W311" s="655"/>
      <c r="X311" s="655"/>
      <c r="Y311" s="655"/>
      <c r="Z311" s="655"/>
      <c r="AA311" s="655"/>
    </row>
    <row r="312">
      <c r="B312" s="462"/>
      <c r="C312" s="671"/>
      <c r="D312" s="671"/>
      <c r="E312" s="462"/>
      <c r="F312" s="654"/>
      <c r="G312" s="650"/>
      <c r="H312" s="654"/>
      <c r="I312" s="654"/>
      <c r="J312" s="650"/>
      <c r="K312" s="650"/>
      <c r="L312" s="655"/>
      <c r="M312" s="655"/>
      <c r="N312" s="655"/>
      <c r="O312" s="655"/>
      <c r="P312" s="655"/>
      <c r="Q312" s="655"/>
      <c r="R312" s="655"/>
      <c r="S312" s="655"/>
      <c r="T312" s="655"/>
      <c r="U312" s="655"/>
      <c r="V312" s="655"/>
      <c r="W312" s="655"/>
      <c r="X312" s="655"/>
      <c r="Y312" s="655"/>
      <c r="Z312" s="655"/>
      <c r="AA312" s="655"/>
    </row>
    <row r="313">
      <c r="B313" s="462"/>
      <c r="C313" s="671"/>
      <c r="D313" s="671"/>
      <c r="E313" s="462"/>
      <c r="F313" s="654"/>
      <c r="G313" s="650"/>
      <c r="H313" s="654"/>
      <c r="I313" s="654"/>
      <c r="J313" s="650"/>
      <c r="K313" s="650"/>
      <c r="L313" s="655"/>
      <c r="M313" s="655"/>
      <c r="N313" s="655"/>
      <c r="O313" s="655"/>
      <c r="P313" s="655"/>
      <c r="Q313" s="655"/>
      <c r="R313" s="655"/>
      <c r="S313" s="655"/>
      <c r="T313" s="655"/>
      <c r="U313" s="655"/>
      <c r="V313" s="655"/>
      <c r="W313" s="655"/>
      <c r="X313" s="655"/>
      <c r="Y313" s="655"/>
      <c r="Z313" s="655"/>
      <c r="AA313" s="655"/>
    </row>
    <row r="314">
      <c r="B314" s="462"/>
      <c r="C314" s="671"/>
      <c r="D314" s="671"/>
      <c r="E314" s="462"/>
      <c r="F314" s="654"/>
      <c r="G314" s="650"/>
      <c r="H314" s="654"/>
      <c r="I314" s="654"/>
      <c r="J314" s="650"/>
      <c r="K314" s="650"/>
      <c r="L314" s="655"/>
      <c r="M314" s="655"/>
      <c r="N314" s="655"/>
      <c r="O314" s="655"/>
      <c r="P314" s="655"/>
      <c r="Q314" s="655"/>
      <c r="R314" s="655"/>
      <c r="S314" s="655"/>
      <c r="T314" s="655"/>
      <c r="U314" s="655"/>
      <c r="V314" s="655"/>
      <c r="W314" s="655"/>
      <c r="X314" s="655"/>
      <c r="Y314" s="655"/>
      <c r="Z314" s="655"/>
      <c r="AA314" s="655"/>
    </row>
    <row r="315">
      <c r="B315" s="462"/>
      <c r="C315" s="671"/>
      <c r="D315" s="671"/>
      <c r="E315" s="462"/>
      <c r="F315" s="654"/>
      <c r="G315" s="650"/>
      <c r="H315" s="654"/>
      <c r="I315" s="654"/>
      <c r="J315" s="650"/>
      <c r="K315" s="650"/>
      <c r="L315" s="655"/>
      <c r="M315" s="655"/>
      <c r="N315" s="655"/>
      <c r="O315" s="655"/>
      <c r="P315" s="655"/>
      <c r="Q315" s="655"/>
      <c r="R315" s="655"/>
      <c r="S315" s="655"/>
      <c r="T315" s="655"/>
      <c r="U315" s="655"/>
      <c r="V315" s="655"/>
      <c r="W315" s="655"/>
      <c r="X315" s="655"/>
      <c r="Y315" s="655"/>
      <c r="Z315" s="655"/>
      <c r="AA315" s="655"/>
    </row>
    <row r="316">
      <c r="B316" s="462"/>
      <c r="C316" s="671"/>
      <c r="D316" s="671"/>
      <c r="E316" s="462"/>
      <c r="F316" s="654"/>
      <c r="G316" s="650"/>
      <c r="H316" s="654"/>
      <c r="I316" s="654"/>
      <c r="J316" s="650"/>
      <c r="K316" s="650"/>
      <c r="L316" s="655"/>
      <c r="M316" s="655"/>
      <c r="N316" s="655"/>
      <c r="O316" s="655"/>
      <c r="P316" s="655"/>
      <c r="Q316" s="655"/>
      <c r="R316" s="655"/>
      <c r="S316" s="655"/>
      <c r="T316" s="655"/>
      <c r="U316" s="655"/>
      <c r="V316" s="655"/>
      <c r="W316" s="655"/>
      <c r="X316" s="655"/>
      <c r="Y316" s="655"/>
      <c r="Z316" s="655"/>
      <c r="AA316" s="655"/>
    </row>
    <row r="317">
      <c r="B317" s="462"/>
      <c r="C317" s="671"/>
      <c r="D317" s="671"/>
      <c r="E317" s="462"/>
      <c r="F317" s="654"/>
      <c r="G317" s="650"/>
      <c r="H317" s="654"/>
      <c r="I317" s="654"/>
      <c r="J317" s="650"/>
      <c r="K317" s="650"/>
      <c r="L317" s="655"/>
      <c r="M317" s="655"/>
      <c r="N317" s="655"/>
      <c r="O317" s="655"/>
      <c r="P317" s="655"/>
      <c r="Q317" s="655"/>
      <c r="R317" s="655"/>
      <c r="S317" s="655"/>
      <c r="T317" s="655"/>
      <c r="U317" s="655"/>
      <c r="V317" s="655"/>
      <c r="W317" s="655"/>
      <c r="X317" s="655"/>
      <c r="Y317" s="655"/>
      <c r="Z317" s="655"/>
      <c r="AA317" s="655"/>
    </row>
    <row r="318">
      <c r="B318" s="462"/>
      <c r="C318" s="671"/>
      <c r="D318" s="671"/>
      <c r="E318" s="462"/>
      <c r="F318" s="654"/>
      <c r="G318" s="650"/>
      <c r="H318" s="654"/>
      <c r="I318" s="654"/>
      <c r="J318" s="650"/>
      <c r="K318" s="650"/>
      <c r="L318" s="655"/>
      <c r="M318" s="655"/>
      <c r="N318" s="655"/>
      <c r="O318" s="655"/>
      <c r="P318" s="655"/>
      <c r="Q318" s="655"/>
      <c r="R318" s="655"/>
      <c r="S318" s="655"/>
      <c r="T318" s="655"/>
      <c r="U318" s="655"/>
      <c r="V318" s="655"/>
      <c r="W318" s="655"/>
      <c r="X318" s="655"/>
      <c r="Y318" s="655"/>
      <c r="Z318" s="655"/>
      <c r="AA318" s="655"/>
    </row>
    <row r="319">
      <c r="B319" s="462"/>
      <c r="C319" s="671"/>
      <c r="D319" s="671"/>
      <c r="E319" s="462"/>
      <c r="F319" s="654"/>
      <c r="G319" s="650"/>
      <c r="H319" s="654"/>
      <c r="I319" s="654"/>
      <c r="J319" s="650"/>
      <c r="K319" s="650"/>
      <c r="L319" s="655"/>
      <c r="M319" s="655"/>
      <c r="N319" s="655"/>
      <c r="O319" s="655"/>
      <c r="P319" s="655"/>
      <c r="Q319" s="655"/>
      <c r="R319" s="655"/>
      <c r="S319" s="655"/>
      <c r="T319" s="655"/>
      <c r="U319" s="655"/>
      <c r="V319" s="655"/>
      <c r="W319" s="655"/>
      <c r="X319" s="655"/>
      <c r="Y319" s="655"/>
      <c r="Z319" s="655"/>
      <c r="AA319" s="655"/>
    </row>
    <row r="320">
      <c r="B320" s="462"/>
      <c r="C320" s="671"/>
      <c r="D320" s="671"/>
      <c r="E320" s="462"/>
      <c r="F320" s="654"/>
      <c r="G320" s="650"/>
      <c r="H320" s="654"/>
      <c r="I320" s="654"/>
      <c r="J320" s="650"/>
      <c r="K320" s="650"/>
      <c r="L320" s="655"/>
      <c r="M320" s="655"/>
      <c r="N320" s="655"/>
      <c r="O320" s="655"/>
      <c r="P320" s="655"/>
      <c r="Q320" s="655"/>
      <c r="R320" s="655"/>
      <c r="S320" s="655"/>
      <c r="T320" s="655"/>
      <c r="U320" s="655"/>
      <c r="V320" s="655"/>
      <c r="W320" s="655"/>
      <c r="X320" s="655"/>
      <c r="Y320" s="655"/>
      <c r="Z320" s="655"/>
      <c r="AA320" s="655"/>
    </row>
    <row r="321">
      <c r="B321" s="462"/>
      <c r="C321" s="671"/>
      <c r="D321" s="671"/>
      <c r="E321" s="462"/>
      <c r="F321" s="654"/>
      <c r="G321" s="650"/>
      <c r="H321" s="654"/>
      <c r="I321" s="654"/>
      <c r="J321" s="650"/>
      <c r="K321" s="650"/>
      <c r="L321" s="655"/>
      <c r="M321" s="655"/>
      <c r="N321" s="655"/>
      <c r="O321" s="655"/>
      <c r="P321" s="655"/>
      <c r="Q321" s="655"/>
      <c r="R321" s="655"/>
      <c r="S321" s="655"/>
      <c r="T321" s="655"/>
      <c r="U321" s="655"/>
      <c r="V321" s="655"/>
      <c r="W321" s="655"/>
      <c r="X321" s="655"/>
      <c r="Y321" s="655"/>
      <c r="Z321" s="655"/>
      <c r="AA321" s="655"/>
    </row>
    <row r="322">
      <c r="B322" s="462"/>
      <c r="C322" s="671"/>
      <c r="D322" s="671"/>
      <c r="E322" s="462"/>
      <c r="F322" s="654"/>
      <c r="G322" s="650"/>
      <c r="H322" s="654"/>
      <c r="I322" s="654"/>
      <c r="J322" s="650"/>
      <c r="K322" s="650"/>
      <c r="L322" s="655"/>
      <c r="M322" s="655"/>
      <c r="N322" s="655"/>
      <c r="O322" s="655"/>
      <c r="P322" s="655"/>
      <c r="Q322" s="655"/>
      <c r="R322" s="655"/>
      <c r="S322" s="655"/>
      <c r="T322" s="655"/>
      <c r="U322" s="655"/>
      <c r="V322" s="655"/>
      <c r="W322" s="655"/>
      <c r="X322" s="655"/>
      <c r="Y322" s="655"/>
      <c r="Z322" s="655"/>
      <c r="AA322" s="655"/>
    </row>
    <row r="323">
      <c r="B323" s="462"/>
      <c r="C323" s="671"/>
      <c r="D323" s="671"/>
      <c r="E323" s="462"/>
      <c r="F323" s="654"/>
      <c r="G323" s="650"/>
      <c r="H323" s="654"/>
      <c r="I323" s="654"/>
      <c r="J323" s="650"/>
      <c r="K323" s="650"/>
      <c r="L323" s="655"/>
      <c r="M323" s="655"/>
      <c r="N323" s="655"/>
      <c r="O323" s="655"/>
      <c r="P323" s="655"/>
      <c r="Q323" s="655"/>
      <c r="R323" s="655"/>
      <c r="S323" s="655"/>
      <c r="T323" s="655"/>
      <c r="U323" s="655"/>
      <c r="V323" s="655"/>
      <c r="W323" s="655"/>
      <c r="X323" s="655"/>
      <c r="Y323" s="655"/>
      <c r="Z323" s="655"/>
      <c r="AA323" s="655"/>
    </row>
    <row r="324">
      <c r="B324" s="462"/>
      <c r="C324" s="671"/>
      <c r="D324" s="671"/>
      <c r="E324" s="462"/>
      <c r="F324" s="654"/>
      <c r="G324" s="650"/>
      <c r="H324" s="654"/>
      <c r="I324" s="654"/>
      <c r="J324" s="650"/>
      <c r="K324" s="650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5"/>
    </row>
    <row r="325">
      <c r="B325" s="462"/>
      <c r="C325" s="671"/>
      <c r="D325" s="671"/>
      <c r="E325" s="462"/>
      <c r="F325" s="654"/>
      <c r="G325" s="650"/>
      <c r="H325" s="654"/>
      <c r="I325" s="654"/>
      <c r="J325" s="650"/>
      <c r="K325" s="650"/>
      <c r="L325" s="655"/>
      <c r="M325" s="655"/>
      <c r="N325" s="655"/>
      <c r="O325" s="655"/>
      <c r="P325" s="655"/>
      <c r="Q325" s="655"/>
      <c r="R325" s="655"/>
      <c r="S325" s="655"/>
      <c r="T325" s="655"/>
      <c r="U325" s="655"/>
      <c r="V325" s="655"/>
      <c r="W325" s="655"/>
      <c r="X325" s="655"/>
      <c r="Y325" s="655"/>
      <c r="Z325" s="655"/>
      <c r="AA325" s="655"/>
    </row>
    <row r="326">
      <c r="B326" s="462"/>
      <c r="C326" s="671"/>
      <c r="D326" s="671"/>
      <c r="E326" s="462"/>
      <c r="F326" s="654"/>
      <c r="G326" s="650"/>
      <c r="H326" s="654"/>
      <c r="I326" s="654"/>
      <c r="J326" s="650"/>
      <c r="K326" s="650"/>
      <c r="L326" s="655"/>
      <c r="M326" s="655"/>
      <c r="N326" s="655"/>
      <c r="O326" s="655"/>
      <c r="P326" s="655"/>
      <c r="Q326" s="655"/>
      <c r="R326" s="655"/>
      <c r="S326" s="655"/>
      <c r="T326" s="655"/>
      <c r="U326" s="655"/>
      <c r="V326" s="655"/>
      <c r="W326" s="655"/>
      <c r="X326" s="655"/>
      <c r="Y326" s="655"/>
      <c r="Z326" s="655"/>
      <c r="AA326" s="655"/>
    </row>
    <row r="327">
      <c r="B327" s="462"/>
      <c r="C327" s="671"/>
      <c r="D327" s="671"/>
      <c r="E327" s="462"/>
      <c r="F327" s="654"/>
      <c r="G327" s="650"/>
      <c r="H327" s="654"/>
      <c r="I327" s="654"/>
      <c r="J327" s="650"/>
      <c r="K327" s="650"/>
      <c r="L327" s="655"/>
      <c r="M327" s="655"/>
      <c r="N327" s="655"/>
      <c r="O327" s="655"/>
      <c r="P327" s="655"/>
      <c r="Q327" s="655"/>
      <c r="R327" s="655"/>
      <c r="S327" s="655"/>
      <c r="T327" s="655"/>
      <c r="U327" s="655"/>
      <c r="V327" s="655"/>
      <c r="W327" s="655"/>
      <c r="X327" s="655"/>
      <c r="Y327" s="655"/>
      <c r="Z327" s="655"/>
      <c r="AA327" s="655"/>
    </row>
    <row r="328">
      <c r="B328" s="462"/>
      <c r="C328" s="671"/>
      <c r="D328" s="671"/>
      <c r="E328" s="462"/>
      <c r="F328" s="654"/>
      <c r="G328" s="650"/>
      <c r="H328" s="654"/>
      <c r="I328" s="654"/>
      <c r="J328" s="650"/>
      <c r="K328" s="650"/>
      <c r="L328" s="655"/>
      <c r="M328" s="655"/>
      <c r="N328" s="655"/>
      <c r="O328" s="655"/>
      <c r="P328" s="655"/>
      <c r="Q328" s="655"/>
      <c r="R328" s="655"/>
      <c r="S328" s="655"/>
      <c r="T328" s="655"/>
      <c r="U328" s="655"/>
      <c r="V328" s="655"/>
      <c r="W328" s="655"/>
      <c r="X328" s="655"/>
      <c r="Y328" s="655"/>
      <c r="Z328" s="655"/>
      <c r="AA328" s="655"/>
    </row>
    <row r="329">
      <c r="B329" s="462"/>
      <c r="C329" s="671"/>
      <c r="D329" s="671"/>
      <c r="E329" s="462"/>
      <c r="F329" s="654"/>
      <c r="G329" s="650"/>
      <c r="H329" s="654"/>
      <c r="I329" s="654"/>
      <c r="J329" s="650"/>
      <c r="K329" s="650"/>
      <c r="L329" s="655"/>
      <c r="M329" s="655"/>
      <c r="N329" s="655"/>
      <c r="O329" s="655"/>
      <c r="P329" s="655"/>
      <c r="Q329" s="655"/>
      <c r="R329" s="655"/>
      <c r="S329" s="655"/>
      <c r="T329" s="655"/>
      <c r="U329" s="655"/>
      <c r="V329" s="655"/>
      <c r="W329" s="655"/>
      <c r="X329" s="655"/>
      <c r="Y329" s="655"/>
      <c r="Z329" s="655"/>
      <c r="AA329" s="655"/>
    </row>
    <row r="330">
      <c r="B330" s="462"/>
      <c r="C330" s="671"/>
      <c r="D330" s="671"/>
      <c r="E330" s="462"/>
      <c r="F330" s="654"/>
      <c r="G330" s="650"/>
      <c r="H330" s="654"/>
      <c r="I330" s="654"/>
      <c r="J330" s="650"/>
      <c r="K330" s="650"/>
      <c r="L330" s="655"/>
      <c r="M330" s="655"/>
      <c r="N330" s="655"/>
      <c r="O330" s="655"/>
      <c r="P330" s="655"/>
      <c r="Q330" s="655"/>
      <c r="R330" s="655"/>
      <c r="S330" s="655"/>
      <c r="T330" s="655"/>
      <c r="U330" s="655"/>
      <c r="V330" s="655"/>
      <c r="W330" s="655"/>
      <c r="X330" s="655"/>
      <c r="Y330" s="655"/>
      <c r="Z330" s="655"/>
      <c r="AA330" s="655"/>
    </row>
    <row r="331">
      <c r="B331" s="462"/>
      <c r="C331" s="671"/>
      <c r="D331" s="671"/>
      <c r="E331" s="462"/>
      <c r="F331" s="654"/>
      <c r="G331" s="650"/>
      <c r="H331" s="654"/>
      <c r="I331" s="654"/>
      <c r="J331" s="650"/>
      <c r="K331" s="650"/>
      <c r="L331" s="655"/>
      <c r="M331" s="655"/>
      <c r="N331" s="655"/>
      <c r="O331" s="655"/>
      <c r="P331" s="655"/>
      <c r="Q331" s="655"/>
      <c r="R331" s="655"/>
      <c r="S331" s="655"/>
      <c r="T331" s="655"/>
      <c r="U331" s="655"/>
      <c r="V331" s="655"/>
      <c r="W331" s="655"/>
      <c r="X331" s="655"/>
      <c r="Y331" s="655"/>
      <c r="Z331" s="655"/>
      <c r="AA331" s="655"/>
    </row>
    <row r="332">
      <c r="B332" s="462"/>
      <c r="C332" s="671"/>
      <c r="D332" s="671"/>
      <c r="E332" s="462"/>
      <c r="F332" s="654"/>
      <c r="G332" s="650"/>
      <c r="H332" s="654"/>
      <c r="I332" s="654"/>
      <c r="J332" s="650"/>
      <c r="K332" s="650"/>
      <c r="L332" s="655"/>
      <c r="M332" s="655"/>
      <c r="N332" s="655"/>
      <c r="O332" s="655"/>
      <c r="P332" s="655"/>
      <c r="Q332" s="655"/>
      <c r="R332" s="655"/>
      <c r="S332" s="655"/>
      <c r="T332" s="655"/>
      <c r="U332" s="655"/>
      <c r="V332" s="655"/>
      <c r="W332" s="655"/>
      <c r="X332" s="655"/>
      <c r="Y332" s="655"/>
      <c r="Z332" s="655"/>
      <c r="AA332" s="655"/>
    </row>
    <row r="333">
      <c r="B333" s="462"/>
      <c r="C333" s="671"/>
      <c r="D333" s="671"/>
      <c r="E333" s="462"/>
      <c r="F333" s="654"/>
      <c r="G333" s="650"/>
      <c r="H333" s="654"/>
      <c r="I333" s="654"/>
      <c r="J333" s="650"/>
      <c r="K333" s="650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5"/>
    </row>
    <row r="334">
      <c r="B334" s="462"/>
      <c r="C334" s="671"/>
      <c r="D334" s="671"/>
      <c r="E334" s="462"/>
      <c r="F334" s="654"/>
      <c r="G334" s="650"/>
      <c r="H334" s="654"/>
      <c r="I334" s="654"/>
      <c r="J334" s="650"/>
      <c r="K334" s="650"/>
      <c r="L334" s="655"/>
      <c r="M334" s="655"/>
      <c r="N334" s="655"/>
      <c r="O334" s="655"/>
      <c r="P334" s="655"/>
      <c r="Q334" s="655"/>
      <c r="R334" s="655"/>
      <c r="S334" s="655"/>
      <c r="T334" s="655"/>
      <c r="U334" s="655"/>
      <c r="V334" s="655"/>
      <c r="W334" s="655"/>
      <c r="X334" s="655"/>
      <c r="Y334" s="655"/>
      <c r="Z334" s="655"/>
      <c r="AA334" s="655"/>
    </row>
    <row r="335">
      <c r="B335" s="462"/>
      <c r="C335" s="671"/>
      <c r="D335" s="671"/>
      <c r="E335" s="462"/>
      <c r="F335" s="654"/>
      <c r="G335" s="650"/>
      <c r="H335" s="654"/>
      <c r="I335" s="654"/>
      <c r="J335" s="650"/>
      <c r="K335" s="650"/>
      <c r="L335" s="655"/>
      <c r="M335" s="655"/>
      <c r="N335" s="655"/>
      <c r="O335" s="655"/>
      <c r="P335" s="655"/>
      <c r="Q335" s="655"/>
      <c r="R335" s="655"/>
      <c r="S335" s="655"/>
      <c r="T335" s="655"/>
      <c r="U335" s="655"/>
      <c r="V335" s="655"/>
      <c r="W335" s="655"/>
      <c r="X335" s="655"/>
      <c r="Y335" s="655"/>
      <c r="Z335" s="655"/>
      <c r="AA335" s="655"/>
    </row>
    <row r="336">
      <c r="B336" s="462"/>
      <c r="C336" s="671"/>
      <c r="D336" s="671"/>
      <c r="E336" s="462"/>
      <c r="F336" s="654"/>
      <c r="G336" s="650"/>
      <c r="H336" s="654"/>
      <c r="I336" s="654"/>
      <c r="J336" s="650"/>
      <c r="K336" s="650"/>
      <c r="L336" s="655"/>
      <c r="M336" s="655"/>
      <c r="N336" s="655"/>
      <c r="O336" s="655"/>
      <c r="P336" s="655"/>
      <c r="Q336" s="655"/>
      <c r="R336" s="655"/>
      <c r="S336" s="655"/>
      <c r="T336" s="655"/>
      <c r="U336" s="655"/>
      <c r="V336" s="655"/>
      <c r="W336" s="655"/>
      <c r="X336" s="655"/>
      <c r="Y336" s="655"/>
      <c r="Z336" s="655"/>
      <c r="AA336" s="655"/>
    </row>
    <row r="337">
      <c r="B337" s="462"/>
      <c r="C337" s="671"/>
      <c r="D337" s="671"/>
      <c r="E337" s="462"/>
      <c r="F337" s="654"/>
      <c r="G337" s="650"/>
      <c r="H337" s="654"/>
      <c r="I337" s="654"/>
      <c r="J337" s="650"/>
      <c r="K337" s="650"/>
      <c r="L337" s="655"/>
      <c r="M337" s="655"/>
      <c r="N337" s="655"/>
      <c r="O337" s="655"/>
      <c r="P337" s="655"/>
      <c r="Q337" s="655"/>
      <c r="R337" s="655"/>
      <c r="S337" s="655"/>
      <c r="T337" s="655"/>
      <c r="U337" s="655"/>
      <c r="V337" s="655"/>
      <c r="W337" s="655"/>
      <c r="X337" s="655"/>
      <c r="Y337" s="655"/>
      <c r="Z337" s="655"/>
      <c r="AA337" s="655"/>
    </row>
    <row r="338">
      <c r="B338" s="462"/>
      <c r="C338" s="671"/>
      <c r="D338" s="671"/>
      <c r="E338" s="462"/>
      <c r="F338" s="654"/>
      <c r="G338" s="650"/>
      <c r="H338" s="654"/>
      <c r="I338" s="654"/>
      <c r="J338" s="650"/>
      <c r="K338" s="650"/>
      <c r="L338" s="655"/>
      <c r="M338" s="655"/>
      <c r="N338" s="655"/>
      <c r="O338" s="655"/>
      <c r="P338" s="655"/>
      <c r="Q338" s="655"/>
      <c r="R338" s="655"/>
      <c r="S338" s="655"/>
      <c r="T338" s="655"/>
      <c r="U338" s="655"/>
      <c r="V338" s="655"/>
      <c r="W338" s="655"/>
      <c r="X338" s="655"/>
      <c r="Y338" s="655"/>
      <c r="Z338" s="655"/>
      <c r="AA338" s="655"/>
    </row>
    <row r="339">
      <c r="B339" s="462"/>
      <c r="C339" s="671"/>
      <c r="D339" s="671"/>
      <c r="E339" s="462"/>
      <c r="F339" s="654"/>
      <c r="G339" s="650"/>
      <c r="H339" s="654"/>
      <c r="I339" s="654"/>
      <c r="J339" s="650"/>
      <c r="K339" s="650"/>
      <c r="L339" s="655"/>
      <c r="M339" s="655"/>
      <c r="N339" s="655"/>
      <c r="O339" s="655"/>
      <c r="P339" s="655"/>
      <c r="Q339" s="655"/>
      <c r="R339" s="655"/>
      <c r="S339" s="655"/>
      <c r="T339" s="655"/>
      <c r="U339" s="655"/>
      <c r="V339" s="655"/>
      <c r="W339" s="655"/>
      <c r="X339" s="655"/>
      <c r="Y339" s="655"/>
      <c r="Z339" s="655"/>
      <c r="AA339" s="655"/>
    </row>
    <row r="340">
      <c r="B340" s="462"/>
      <c r="C340" s="671"/>
      <c r="D340" s="671"/>
      <c r="E340" s="462"/>
      <c r="F340" s="654"/>
      <c r="G340" s="650"/>
      <c r="H340" s="654"/>
      <c r="I340" s="654"/>
      <c r="J340" s="650"/>
      <c r="K340" s="650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5"/>
    </row>
    <row r="341">
      <c r="B341" s="462"/>
      <c r="C341" s="671"/>
      <c r="D341" s="671"/>
      <c r="E341" s="462"/>
      <c r="F341" s="654"/>
      <c r="G341" s="650"/>
      <c r="H341" s="654"/>
      <c r="I341" s="654"/>
      <c r="J341" s="650"/>
      <c r="K341" s="650"/>
      <c r="L341" s="655"/>
      <c r="M341" s="655"/>
      <c r="N341" s="655"/>
      <c r="O341" s="655"/>
      <c r="P341" s="655"/>
      <c r="Q341" s="655"/>
      <c r="R341" s="655"/>
      <c r="S341" s="655"/>
      <c r="T341" s="655"/>
      <c r="U341" s="655"/>
      <c r="V341" s="655"/>
      <c r="W341" s="655"/>
      <c r="X341" s="655"/>
      <c r="Y341" s="655"/>
      <c r="Z341" s="655"/>
      <c r="AA341" s="655"/>
    </row>
    <row r="342">
      <c r="B342" s="462"/>
      <c r="C342" s="671"/>
      <c r="D342" s="671"/>
      <c r="E342" s="462"/>
      <c r="F342" s="654"/>
      <c r="G342" s="650"/>
      <c r="H342" s="654"/>
      <c r="I342" s="654"/>
      <c r="J342" s="650"/>
      <c r="K342" s="650"/>
      <c r="L342" s="655"/>
      <c r="M342" s="655"/>
      <c r="N342" s="655"/>
      <c r="O342" s="655"/>
      <c r="P342" s="655"/>
      <c r="Q342" s="655"/>
      <c r="R342" s="655"/>
      <c r="S342" s="655"/>
      <c r="T342" s="655"/>
      <c r="U342" s="655"/>
      <c r="V342" s="655"/>
      <c r="W342" s="655"/>
      <c r="X342" s="655"/>
      <c r="Y342" s="655"/>
      <c r="Z342" s="655"/>
      <c r="AA342" s="655"/>
    </row>
    <row r="343">
      <c r="B343" s="462"/>
      <c r="C343" s="671"/>
      <c r="D343" s="671"/>
      <c r="E343" s="462"/>
      <c r="F343" s="654"/>
      <c r="G343" s="650"/>
      <c r="H343" s="654"/>
      <c r="I343" s="654"/>
      <c r="J343" s="650"/>
      <c r="K343" s="650"/>
      <c r="L343" s="655"/>
      <c r="M343" s="655"/>
      <c r="N343" s="655"/>
      <c r="O343" s="655"/>
      <c r="P343" s="655"/>
      <c r="Q343" s="655"/>
      <c r="R343" s="655"/>
      <c r="S343" s="655"/>
      <c r="T343" s="655"/>
      <c r="U343" s="655"/>
      <c r="V343" s="655"/>
      <c r="W343" s="655"/>
      <c r="X343" s="655"/>
      <c r="Y343" s="655"/>
      <c r="Z343" s="655"/>
      <c r="AA343" s="655"/>
    </row>
    <row r="344">
      <c r="B344" s="462"/>
      <c r="C344" s="671"/>
      <c r="D344" s="671"/>
      <c r="E344" s="462"/>
      <c r="F344" s="654"/>
      <c r="G344" s="650"/>
      <c r="H344" s="654"/>
      <c r="I344" s="654"/>
      <c r="J344" s="650"/>
      <c r="K344" s="650"/>
      <c r="L344" s="655"/>
      <c r="M344" s="655"/>
      <c r="N344" s="655"/>
      <c r="O344" s="655"/>
      <c r="P344" s="655"/>
      <c r="Q344" s="655"/>
      <c r="R344" s="655"/>
      <c r="S344" s="655"/>
      <c r="T344" s="655"/>
      <c r="U344" s="655"/>
      <c r="V344" s="655"/>
      <c r="W344" s="655"/>
      <c r="X344" s="655"/>
      <c r="Y344" s="655"/>
      <c r="Z344" s="655"/>
      <c r="AA344" s="655"/>
    </row>
    <row r="345">
      <c r="B345" s="462"/>
      <c r="C345" s="671"/>
      <c r="D345" s="671"/>
      <c r="E345" s="462"/>
      <c r="F345" s="654"/>
      <c r="G345" s="650"/>
      <c r="H345" s="654"/>
      <c r="I345" s="654"/>
      <c r="J345" s="650"/>
      <c r="K345" s="650"/>
      <c r="L345" s="655"/>
      <c r="M345" s="655"/>
      <c r="N345" s="655"/>
      <c r="O345" s="655"/>
      <c r="P345" s="655"/>
      <c r="Q345" s="655"/>
      <c r="R345" s="655"/>
      <c r="S345" s="655"/>
      <c r="T345" s="655"/>
      <c r="U345" s="655"/>
      <c r="V345" s="655"/>
      <c r="W345" s="655"/>
      <c r="X345" s="655"/>
      <c r="Y345" s="655"/>
      <c r="Z345" s="655"/>
      <c r="AA345" s="655"/>
    </row>
    <row r="346">
      <c r="B346" s="462"/>
      <c r="C346" s="671"/>
      <c r="D346" s="671"/>
      <c r="E346" s="462"/>
      <c r="F346" s="654"/>
      <c r="G346" s="650"/>
      <c r="H346" s="654"/>
      <c r="I346" s="654"/>
      <c r="J346" s="650"/>
      <c r="K346" s="650"/>
      <c r="L346" s="655"/>
      <c r="M346" s="655"/>
      <c r="N346" s="655"/>
      <c r="O346" s="655"/>
      <c r="P346" s="655"/>
      <c r="Q346" s="655"/>
      <c r="R346" s="655"/>
      <c r="S346" s="655"/>
      <c r="T346" s="655"/>
      <c r="U346" s="655"/>
      <c r="V346" s="655"/>
      <c r="W346" s="655"/>
      <c r="X346" s="655"/>
      <c r="Y346" s="655"/>
      <c r="Z346" s="655"/>
      <c r="AA346" s="655"/>
    </row>
    <row r="347">
      <c r="B347" s="462"/>
      <c r="C347" s="671"/>
      <c r="D347" s="671"/>
      <c r="E347" s="462"/>
      <c r="F347" s="654"/>
      <c r="G347" s="650"/>
      <c r="H347" s="654"/>
      <c r="I347" s="654"/>
      <c r="J347" s="650"/>
      <c r="K347" s="650"/>
      <c r="L347" s="655"/>
      <c r="M347" s="655"/>
      <c r="N347" s="655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  <c r="AA347" s="655"/>
    </row>
    <row r="348">
      <c r="B348" s="462"/>
      <c r="C348" s="671"/>
      <c r="D348" s="671"/>
      <c r="E348" s="462"/>
      <c r="F348" s="654"/>
      <c r="G348" s="650"/>
      <c r="H348" s="654"/>
      <c r="I348" s="654"/>
      <c r="J348" s="650"/>
      <c r="K348" s="650"/>
      <c r="L348" s="655"/>
      <c r="M348" s="655"/>
      <c r="N348" s="655"/>
      <c r="O348" s="655"/>
      <c r="P348" s="655"/>
      <c r="Q348" s="655"/>
      <c r="R348" s="655"/>
      <c r="S348" s="655"/>
      <c r="T348" s="655"/>
      <c r="U348" s="655"/>
      <c r="V348" s="655"/>
      <c r="W348" s="655"/>
      <c r="X348" s="655"/>
      <c r="Y348" s="655"/>
      <c r="Z348" s="655"/>
      <c r="AA348" s="655"/>
    </row>
    <row r="349">
      <c r="B349" s="462"/>
      <c r="C349" s="671"/>
      <c r="D349" s="671"/>
      <c r="E349" s="462"/>
      <c r="F349" s="654"/>
      <c r="G349" s="650"/>
      <c r="H349" s="654"/>
      <c r="I349" s="654"/>
      <c r="J349" s="650"/>
      <c r="K349" s="650"/>
      <c r="L349" s="655"/>
      <c r="M349" s="655"/>
      <c r="N349" s="655"/>
      <c r="O349" s="655"/>
      <c r="P349" s="655"/>
      <c r="Q349" s="655"/>
      <c r="R349" s="655"/>
      <c r="S349" s="655"/>
      <c r="T349" s="655"/>
      <c r="U349" s="655"/>
      <c r="V349" s="655"/>
      <c r="W349" s="655"/>
      <c r="X349" s="655"/>
      <c r="Y349" s="655"/>
      <c r="Z349" s="655"/>
      <c r="AA349" s="655"/>
    </row>
    <row r="350">
      <c r="B350" s="462"/>
      <c r="C350" s="671"/>
      <c r="D350" s="671"/>
      <c r="E350" s="462"/>
      <c r="F350" s="654"/>
      <c r="G350" s="650"/>
      <c r="H350" s="654"/>
      <c r="I350" s="654"/>
      <c r="J350" s="650"/>
      <c r="K350" s="650"/>
      <c r="L350" s="655"/>
      <c r="M350" s="655"/>
      <c r="N350" s="655"/>
      <c r="O350" s="655"/>
      <c r="P350" s="655"/>
      <c r="Q350" s="655"/>
      <c r="R350" s="655"/>
      <c r="S350" s="655"/>
      <c r="T350" s="655"/>
      <c r="U350" s="655"/>
      <c r="V350" s="655"/>
      <c r="W350" s="655"/>
      <c r="X350" s="655"/>
      <c r="Y350" s="655"/>
      <c r="Z350" s="655"/>
      <c r="AA350" s="655"/>
    </row>
    <row r="351">
      <c r="B351" s="462"/>
      <c r="C351" s="671"/>
      <c r="D351" s="671"/>
      <c r="E351" s="462"/>
      <c r="F351" s="654"/>
      <c r="G351" s="650"/>
      <c r="H351" s="654"/>
      <c r="I351" s="654"/>
      <c r="J351" s="650"/>
      <c r="K351" s="650"/>
      <c r="L351" s="655"/>
      <c r="M351" s="655"/>
      <c r="N351" s="655"/>
      <c r="O351" s="655"/>
      <c r="P351" s="655"/>
      <c r="Q351" s="655"/>
      <c r="R351" s="655"/>
      <c r="S351" s="655"/>
      <c r="T351" s="655"/>
      <c r="U351" s="655"/>
      <c r="V351" s="655"/>
      <c r="W351" s="655"/>
      <c r="X351" s="655"/>
      <c r="Y351" s="655"/>
      <c r="Z351" s="655"/>
      <c r="AA351" s="655"/>
    </row>
    <row r="352">
      <c r="B352" s="462"/>
      <c r="C352" s="671"/>
      <c r="D352" s="671"/>
      <c r="E352" s="462"/>
      <c r="F352" s="654"/>
      <c r="G352" s="650"/>
      <c r="H352" s="654"/>
      <c r="I352" s="654"/>
      <c r="J352" s="650"/>
      <c r="K352" s="650"/>
      <c r="L352" s="655"/>
      <c r="M352" s="655"/>
      <c r="N352" s="655"/>
      <c r="O352" s="655"/>
      <c r="P352" s="655"/>
      <c r="Q352" s="655"/>
      <c r="R352" s="655"/>
      <c r="S352" s="655"/>
      <c r="T352" s="655"/>
      <c r="U352" s="655"/>
      <c r="V352" s="655"/>
      <c r="W352" s="655"/>
      <c r="X352" s="655"/>
      <c r="Y352" s="655"/>
      <c r="Z352" s="655"/>
      <c r="AA352" s="655"/>
    </row>
    <row r="353">
      <c r="B353" s="462"/>
      <c r="C353" s="671"/>
      <c r="D353" s="671"/>
      <c r="E353" s="462"/>
      <c r="F353" s="654"/>
      <c r="G353" s="650"/>
      <c r="H353" s="654"/>
      <c r="I353" s="654"/>
      <c r="J353" s="650"/>
      <c r="K353" s="650"/>
      <c r="L353" s="655"/>
      <c r="M353" s="655"/>
      <c r="N353" s="655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  <c r="AA353" s="655"/>
    </row>
    <row r="354">
      <c r="B354" s="462"/>
      <c r="C354" s="671"/>
      <c r="D354" s="671"/>
      <c r="E354" s="462"/>
      <c r="F354" s="654"/>
      <c r="G354" s="650"/>
      <c r="H354" s="654"/>
      <c r="I354" s="654"/>
      <c r="J354" s="650"/>
      <c r="K354" s="650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5"/>
    </row>
    <row r="355">
      <c r="B355" s="462"/>
      <c r="C355" s="671"/>
      <c r="D355" s="671"/>
      <c r="E355" s="462"/>
      <c r="F355" s="654"/>
      <c r="G355" s="650"/>
      <c r="H355" s="654"/>
      <c r="I355" s="654"/>
      <c r="J355" s="650"/>
      <c r="K355" s="650"/>
      <c r="L355" s="655"/>
      <c r="M355" s="655"/>
      <c r="N355" s="655"/>
      <c r="O355" s="655"/>
      <c r="P355" s="655"/>
      <c r="Q355" s="655"/>
      <c r="R355" s="655"/>
      <c r="S355" s="655"/>
      <c r="T355" s="655"/>
      <c r="U355" s="655"/>
      <c r="V355" s="655"/>
      <c r="W355" s="655"/>
      <c r="X355" s="655"/>
      <c r="Y355" s="655"/>
      <c r="Z355" s="655"/>
      <c r="AA355" s="655"/>
    </row>
    <row r="356">
      <c r="B356" s="462"/>
      <c r="C356" s="671"/>
      <c r="D356" s="671"/>
      <c r="E356" s="462"/>
      <c r="F356" s="654"/>
      <c r="G356" s="650"/>
      <c r="H356" s="654"/>
      <c r="I356" s="654"/>
      <c r="J356" s="650"/>
      <c r="K356" s="650"/>
      <c r="L356" s="655"/>
      <c r="M356" s="655"/>
      <c r="N356" s="655"/>
      <c r="O356" s="655"/>
      <c r="P356" s="655"/>
      <c r="Q356" s="655"/>
      <c r="R356" s="655"/>
      <c r="S356" s="655"/>
      <c r="T356" s="655"/>
      <c r="U356" s="655"/>
      <c r="V356" s="655"/>
      <c r="W356" s="655"/>
      <c r="X356" s="655"/>
      <c r="Y356" s="655"/>
      <c r="Z356" s="655"/>
      <c r="AA356" s="655"/>
    </row>
    <row r="357">
      <c r="B357" s="462"/>
      <c r="C357" s="671"/>
      <c r="D357" s="671"/>
      <c r="E357" s="462"/>
      <c r="F357" s="654"/>
      <c r="G357" s="650"/>
      <c r="H357" s="654"/>
      <c r="I357" s="654"/>
      <c r="J357" s="650"/>
      <c r="K357" s="650"/>
      <c r="L357" s="655"/>
      <c r="M357" s="655"/>
      <c r="N357" s="655"/>
      <c r="O357" s="655"/>
      <c r="P357" s="655"/>
      <c r="Q357" s="655"/>
      <c r="R357" s="655"/>
      <c r="S357" s="655"/>
      <c r="T357" s="655"/>
      <c r="U357" s="655"/>
      <c r="V357" s="655"/>
      <c r="W357" s="655"/>
      <c r="X357" s="655"/>
      <c r="Y357" s="655"/>
      <c r="Z357" s="655"/>
      <c r="AA357" s="655"/>
    </row>
    <row r="358">
      <c r="B358" s="462"/>
      <c r="C358" s="671"/>
      <c r="D358" s="671"/>
      <c r="E358" s="462"/>
      <c r="F358" s="654"/>
      <c r="G358" s="650"/>
      <c r="H358" s="654"/>
      <c r="I358" s="654"/>
      <c r="J358" s="650"/>
      <c r="K358" s="650"/>
      <c r="L358" s="655"/>
      <c r="M358" s="655"/>
      <c r="N358" s="655"/>
      <c r="O358" s="655"/>
      <c r="P358" s="655"/>
      <c r="Q358" s="655"/>
      <c r="R358" s="655"/>
      <c r="S358" s="655"/>
      <c r="T358" s="655"/>
      <c r="U358" s="655"/>
      <c r="V358" s="655"/>
      <c r="W358" s="655"/>
      <c r="X358" s="655"/>
      <c r="Y358" s="655"/>
      <c r="Z358" s="655"/>
      <c r="AA358" s="655"/>
    </row>
    <row r="359">
      <c r="B359" s="462"/>
      <c r="C359" s="671"/>
      <c r="D359" s="671"/>
      <c r="E359" s="462"/>
      <c r="F359" s="654"/>
      <c r="G359" s="650"/>
      <c r="H359" s="654"/>
      <c r="I359" s="654"/>
      <c r="J359" s="650"/>
      <c r="K359" s="650"/>
      <c r="L359" s="655"/>
      <c r="M359" s="655"/>
      <c r="N359" s="655"/>
      <c r="O359" s="655"/>
      <c r="P359" s="655"/>
      <c r="Q359" s="655"/>
      <c r="R359" s="655"/>
      <c r="S359" s="655"/>
      <c r="T359" s="655"/>
      <c r="U359" s="655"/>
      <c r="V359" s="655"/>
      <c r="W359" s="655"/>
      <c r="X359" s="655"/>
      <c r="Y359" s="655"/>
      <c r="Z359" s="655"/>
      <c r="AA359" s="655"/>
    </row>
    <row r="360">
      <c r="B360" s="462"/>
      <c r="C360" s="671"/>
      <c r="D360" s="671"/>
      <c r="E360" s="462"/>
      <c r="F360" s="654"/>
      <c r="G360" s="650"/>
      <c r="H360" s="654"/>
      <c r="I360" s="654"/>
      <c r="J360" s="650"/>
      <c r="K360" s="650"/>
      <c r="L360" s="655"/>
      <c r="M360" s="655"/>
      <c r="N360" s="655"/>
      <c r="O360" s="655"/>
      <c r="P360" s="655"/>
      <c r="Q360" s="655"/>
      <c r="R360" s="655"/>
      <c r="S360" s="655"/>
      <c r="T360" s="655"/>
      <c r="U360" s="655"/>
      <c r="V360" s="655"/>
      <c r="W360" s="655"/>
      <c r="X360" s="655"/>
      <c r="Y360" s="655"/>
      <c r="Z360" s="655"/>
      <c r="AA360" s="655"/>
    </row>
    <row r="361">
      <c r="B361" s="462"/>
      <c r="C361" s="671"/>
      <c r="D361" s="671"/>
      <c r="E361" s="462"/>
      <c r="F361" s="654"/>
      <c r="G361" s="650"/>
      <c r="H361" s="654"/>
      <c r="I361" s="654"/>
      <c r="J361" s="650"/>
      <c r="K361" s="650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5"/>
    </row>
    <row r="362">
      <c r="B362" s="462"/>
      <c r="C362" s="671"/>
      <c r="D362" s="671"/>
      <c r="E362" s="462"/>
      <c r="F362" s="654"/>
      <c r="G362" s="650"/>
      <c r="H362" s="654"/>
      <c r="I362" s="654"/>
      <c r="J362" s="650"/>
      <c r="K362" s="650"/>
      <c r="L362" s="655"/>
      <c r="M362" s="655"/>
      <c r="N362" s="655"/>
      <c r="O362" s="655"/>
      <c r="P362" s="655"/>
      <c r="Q362" s="655"/>
      <c r="R362" s="655"/>
      <c r="S362" s="655"/>
      <c r="T362" s="655"/>
      <c r="U362" s="655"/>
      <c r="V362" s="655"/>
      <c r="W362" s="655"/>
      <c r="X362" s="655"/>
      <c r="Y362" s="655"/>
      <c r="Z362" s="655"/>
      <c r="AA362" s="655"/>
    </row>
    <row r="363">
      <c r="B363" s="462"/>
      <c r="C363" s="671"/>
      <c r="D363" s="671"/>
      <c r="E363" s="462"/>
      <c r="F363" s="654"/>
      <c r="G363" s="650"/>
      <c r="H363" s="654"/>
      <c r="I363" s="654"/>
      <c r="J363" s="650"/>
      <c r="K363" s="650"/>
      <c r="L363" s="655"/>
      <c r="M363" s="655"/>
      <c r="N363" s="655"/>
      <c r="O363" s="655"/>
      <c r="P363" s="655"/>
      <c r="Q363" s="655"/>
      <c r="R363" s="655"/>
      <c r="S363" s="655"/>
      <c r="T363" s="655"/>
      <c r="U363" s="655"/>
      <c r="V363" s="655"/>
      <c r="W363" s="655"/>
      <c r="X363" s="655"/>
      <c r="Y363" s="655"/>
      <c r="Z363" s="655"/>
      <c r="AA363" s="655"/>
    </row>
    <row r="364">
      <c r="B364" s="462"/>
      <c r="C364" s="671"/>
      <c r="D364" s="671"/>
      <c r="E364" s="462"/>
      <c r="F364" s="654"/>
      <c r="G364" s="650"/>
      <c r="H364" s="654"/>
      <c r="I364" s="654"/>
      <c r="J364" s="650"/>
      <c r="K364" s="650"/>
      <c r="L364" s="655"/>
      <c r="M364" s="655"/>
      <c r="N364" s="655"/>
      <c r="O364" s="655"/>
      <c r="P364" s="655"/>
      <c r="Q364" s="655"/>
      <c r="R364" s="655"/>
      <c r="S364" s="655"/>
      <c r="T364" s="655"/>
      <c r="U364" s="655"/>
      <c r="V364" s="655"/>
      <c r="W364" s="655"/>
      <c r="X364" s="655"/>
      <c r="Y364" s="655"/>
      <c r="Z364" s="655"/>
      <c r="AA364" s="655"/>
    </row>
    <row r="365">
      <c r="B365" s="462"/>
      <c r="C365" s="671"/>
      <c r="D365" s="671"/>
      <c r="E365" s="462"/>
      <c r="F365" s="654"/>
      <c r="G365" s="650"/>
      <c r="H365" s="654"/>
      <c r="I365" s="654"/>
      <c r="J365" s="650"/>
      <c r="K365" s="650"/>
      <c r="L365" s="655"/>
      <c r="M365" s="655"/>
      <c r="N365" s="655"/>
      <c r="O365" s="655"/>
      <c r="P365" s="655"/>
      <c r="Q365" s="655"/>
      <c r="R365" s="655"/>
      <c r="S365" s="655"/>
      <c r="T365" s="655"/>
      <c r="U365" s="655"/>
      <c r="V365" s="655"/>
      <c r="W365" s="655"/>
      <c r="X365" s="655"/>
      <c r="Y365" s="655"/>
      <c r="Z365" s="655"/>
      <c r="AA365" s="655"/>
    </row>
    <row r="366">
      <c r="B366" s="462"/>
      <c r="C366" s="671"/>
      <c r="D366" s="671"/>
      <c r="E366" s="462"/>
      <c r="F366" s="654"/>
      <c r="G366" s="650"/>
      <c r="H366" s="654"/>
      <c r="I366" s="654"/>
      <c r="J366" s="650"/>
      <c r="K366" s="650"/>
      <c r="L366" s="655"/>
      <c r="M366" s="655"/>
      <c r="N366" s="655"/>
      <c r="O366" s="655"/>
      <c r="P366" s="655"/>
      <c r="Q366" s="655"/>
      <c r="R366" s="655"/>
      <c r="S366" s="655"/>
      <c r="T366" s="655"/>
      <c r="U366" s="655"/>
      <c r="V366" s="655"/>
      <c r="W366" s="655"/>
      <c r="X366" s="655"/>
      <c r="Y366" s="655"/>
      <c r="Z366" s="655"/>
      <c r="AA366" s="655"/>
    </row>
    <row r="367">
      <c r="B367" s="462"/>
      <c r="C367" s="671"/>
      <c r="D367" s="671"/>
      <c r="E367" s="462"/>
      <c r="F367" s="654"/>
      <c r="G367" s="650"/>
      <c r="H367" s="654"/>
      <c r="I367" s="654"/>
      <c r="J367" s="650"/>
      <c r="K367" s="650"/>
      <c r="L367" s="655"/>
      <c r="M367" s="655"/>
      <c r="N367" s="655"/>
      <c r="O367" s="655"/>
      <c r="P367" s="655"/>
      <c r="Q367" s="655"/>
      <c r="R367" s="655"/>
      <c r="S367" s="655"/>
      <c r="T367" s="655"/>
      <c r="U367" s="655"/>
      <c r="V367" s="655"/>
      <c r="W367" s="655"/>
      <c r="X367" s="655"/>
      <c r="Y367" s="655"/>
      <c r="Z367" s="655"/>
      <c r="AA367" s="655"/>
    </row>
    <row r="368">
      <c r="B368" s="462"/>
      <c r="C368" s="671"/>
      <c r="D368" s="671"/>
      <c r="E368" s="462"/>
      <c r="F368" s="654"/>
      <c r="G368" s="650"/>
      <c r="H368" s="654"/>
      <c r="I368" s="654"/>
      <c r="J368" s="650"/>
      <c r="K368" s="650"/>
      <c r="L368" s="655"/>
      <c r="M368" s="655"/>
      <c r="N368" s="655"/>
      <c r="O368" s="655"/>
      <c r="P368" s="655"/>
      <c r="Q368" s="655"/>
      <c r="R368" s="655"/>
      <c r="S368" s="655"/>
      <c r="T368" s="655"/>
      <c r="U368" s="655"/>
      <c r="V368" s="655"/>
      <c r="W368" s="655"/>
      <c r="X368" s="655"/>
      <c r="Y368" s="655"/>
      <c r="Z368" s="655"/>
      <c r="AA368" s="655"/>
    </row>
    <row r="369">
      <c r="B369" s="462"/>
      <c r="C369" s="671"/>
      <c r="D369" s="671"/>
      <c r="E369" s="462"/>
      <c r="F369" s="654"/>
      <c r="G369" s="650"/>
      <c r="H369" s="654"/>
      <c r="I369" s="654"/>
      <c r="J369" s="650"/>
      <c r="K369" s="650"/>
      <c r="L369" s="655"/>
      <c r="M369" s="655"/>
      <c r="N369" s="655"/>
      <c r="O369" s="655"/>
      <c r="P369" s="655"/>
      <c r="Q369" s="655"/>
      <c r="R369" s="655"/>
      <c r="S369" s="655"/>
      <c r="T369" s="655"/>
      <c r="U369" s="655"/>
      <c r="V369" s="655"/>
      <c r="W369" s="655"/>
      <c r="X369" s="655"/>
      <c r="Y369" s="655"/>
      <c r="Z369" s="655"/>
      <c r="AA369" s="655"/>
    </row>
    <row r="370">
      <c r="B370" s="462"/>
      <c r="C370" s="671"/>
      <c r="D370" s="671"/>
      <c r="E370" s="462"/>
      <c r="F370" s="654"/>
      <c r="G370" s="650"/>
      <c r="H370" s="654"/>
      <c r="I370" s="654"/>
      <c r="J370" s="650"/>
      <c r="K370" s="650"/>
      <c r="L370" s="655"/>
      <c r="M370" s="655"/>
      <c r="N370" s="655"/>
      <c r="O370" s="655"/>
      <c r="P370" s="655"/>
      <c r="Q370" s="655"/>
      <c r="R370" s="655"/>
      <c r="S370" s="655"/>
      <c r="T370" s="655"/>
      <c r="U370" s="655"/>
      <c r="V370" s="655"/>
      <c r="W370" s="655"/>
      <c r="X370" s="655"/>
      <c r="Y370" s="655"/>
      <c r="Z370" s="655"/>
      <c r="AA370" s="655"/>
    </row>
    <row r="371">
      <c r="B371" s="462"/>
      <c r="C371" s="671"/>
      <c r="D371" s="671"/>
      <c r="E371" s="462"/>
      <c r="F371" s="654"/>
      <c r="G371" s="650"/>
      <c r="H371" s="654"/>
      <c r="I371" s="654"/>
      <c r="J371" s="650"/>
      <c r="K371" s="650"/>
      <c r="L371" s="655"/>
      <c r="M371" s="655"/>
      <c r="N371" s="655"/>
      <c r="O371" s="655"/>
      <c r="P371" s="655"/>
      <c r="Q371" s="655"/>
      <c r="R371" s="655"/>
      <c r="S371" s="655"/>
      <c r="T371" s="655"/>
      <c r="U371" s="655"/>
      <c r="V371" s="655"/>
      <c r="W371" s="655"/>
      <c r="X371" s="655"/>
      <c r="Y371" s="655"/>
      <c r="Z371" s="655"/>
      <c r="AA371" s="655"/>
    </row>
    <row r="372">
      <c r="B372" s="462"/>
      <c r="C372" s="671"/>
      <c r="D372" s="671"/>
      <c r="E372" s="462"/>
      <c r="F372" s="654"/>
      <c r="G372" s="650"/>
      <c r="H372" s="654"/>
      <c r="I372" s="654"/>
      <c r="J372" s="650"/>
      <c r="K372" s="650"/>
      <c r="L372" s="655"/>
      <c r="M372" s="655"/>
      <c r="N372" s="655"/>
      <c r="O372" s="655"/>
      <c r="P372" s="655"/>
      <c r="Q372" s="655"/>
      <c r="R372" s="655"/>
      <c r="S372" s="655"/>
      <c r="T372" s="655"/>
      <c r="U372" s="655"/>
      <c r="V372" s="655"/>
      <c r="W372" s="655"/>
      <c r="X372" s="655"/>
      <c r="Y372" s="655"/>
      <c r="Z372" s="655"/>
      <c r="AA372" s="655"/>
    </row>
    <row r="373">
      <c r="B373" s="462"/>
      <c r="C373" s="671"/>
      <c r="D373" s="671"/>
      <c r="E373" s="462"/>
      <c r="F373" s="654"/>
      <c r="G373" s="650"/>
      <c r="H373" s="654"/>
      <c r="I373" s="654"/>
      <c r="J373" s="650"/>
      <c r="K373" s="650"/>
      <c r="L373" s="655"/>
      <c r="M373" s="655"/>
      <c r="N373" s="655"/>
      <c r="O373" s="655"/>
      <c r="P373" s="655"/>
      <c r="Q373" s="655"/>
      <c r="R373" s="655"/>
      <c r="S373" s="655"/>
      <c r="T373" s="655"/>
      <c r="U373" s="655"/>
      <c r="V373" s="655"/>
      <c r="W373" s="655"/>
      <c r="X373" s="655"/>
      <c r="Y373" s="655"/>
      <c r="Z373" s="655"/>
      <c r="AA373" s="655"/>
    </row>
    <row r="374">
      <c r="B374" s="462"/>
      <c r="C374" s="671"/>
      <c r="D374" s="671"/>
      <c r="E374" s="462"/>
      <c r="F374" s="654"/>
      <c r="G374" s="650"/>
      <c r="H374" s="654"/>
      <c r="I374" s="654"/>
      <c r="J374" s="650"/>
      <c r="K374" s="650"/>
      <c r="L374" s="655"/>
      <c r="M374" s="655"/>
      <c r="N374" s="655"/>
      <c r="O374" s="655"/>
      <c r="P374" s="655"/>
      <c r="Q374" s="655"/>
      <c r="R374" s="655"/>
      <c r="S374" s="655"/>
      <c r="T374" s="655"/>
      <c r="U374" s="655"/>
      <c r="V374" s="655"/>
      <c r="W374" s="655"/>
      <c r="X374" s="655"/>
      <c r="Y374" s="655"/>
      <c r="Z374" s="655"/>
      <c r="AA374" s="655"/>
    </row>
    <row r="375">
      <c r="B375" s="462"/>
      <c r="C375" s="671"/>
      <c r="D375" s="671"/>
      <c r="E375" s="462"/>
      <c r="F375" s="654"/>
      <c r="G375" s="650"/>
      <c r="H375" s="654"/>
      <c r="I375" s="654"/>
      <c r="J375" s="650"/>
      <c r="K375" s="650"/>
      <c r="L375" s="655"/>
      <c r="M375" s="655"/>
      <c r="N375" s="655"/>
      <c r="O375" s="655"/>
      <c r="P375" s="655"/>
      <c r="Q375" s="655"/>
      <c r="R375" s="655"/>
      <c r="S375" s="655"/>
      <c r="T375" s="655"/>
      <c r="U375" s="655"/>
      <c r="V375" s="655"/>
      <c r="W375" s="655"/>
      <c r="X375" s="655"/>
      <c r="Y375" s="655"/>
      <c r="Z375" s="655"/>
      <c r="AA375" s="655"/>
    </row>
    <row r="376">
      <c r="B376" s="462"/>
      <c r="C376" s="671"/>
      <c r="D376" s="671"/>
      <c r="E376" s="462"/>
      <c r="F376" s="654"/>
      <c r="G376" s="650"/>
      <c r="H376" s="654"/>
      <c r="I376" s="654"/>
      <c r="J376" s="650"/>
      <c r="K376" s="650"/>
      <c r="L376" s="655"/>
      <c r="M376" s="655"/>
      <c r="N376" s="655"/>
      <c r="O376" s="655"/>
      <c r="P376" s="655"/>
      <c r="Q376" s="655"/>
      <c r="R376" s="655"/>
      <c r="S376" s="655"/>
      <c r="T376" s="655"/>
      <c r="U376" s="655"/>
      <c r="V376" s="655"/>
      <c r="W376" s="655"/>
      <c r="X376" s="655"/>
      <c r="Y376" s="655"/>
      <c r="Z376" s="655"/>
      <c r="AA376" s="655"/>
    </row>
    <row r="377">
      <c r="B377" s="462"/>
      <c r="C377" s="671"/>
      <c r="D377" s="671"/>
      <c r="E377" s="462"/>
      <c r="F377" s="654"/>
      <c r="G377" s="650"/>
      <c r="H377" s="654"/>
      <c r="I377" s="654"/>
      <c r="J377" s="650"/>
      <c r="K377" s="650"/>
      <c r="L377" s="655"/>
      <c r="M377" s="655"/>
      <c r="N377" s="655"/>
      <c r="O377" s="655"/>
      <c r="P377" s="655"/>
      <c r="Q377" s="655"/>
      <c r="R377" s="655"/>
      <c r="S377" s="655"/>
      <c r="T377" s="655"/>
      <c r="U377" s="655"/>
      <c r="V377" s="655"/>
      <c r="W377" s="655"/>
      <c r="X377" s="655"/>
      <c r="Y377" s="655"/>
      <c r="Z377" s="655"/>
      <c r="AA377" s="655"/>
    </row>
    <row r="378">
      <c r="B378" s="462"/>
      <c r="C378" s="671"/>
      <c r="D378" s="671"/>
      <c r="E378" s="462"/>
      <c r="F378" s="654"/>
      <c r="G378" s="650"/>
      <c r="H378" s="654"/>
      <c r="I378" s="654"/>
      <c r="J378" s="650"/>
      <c r="K378" s="650"/>
      <c r="L378" s="655"/>
      <c r="M378" s="655"/>
      <c r="N378" s="655"/>
      <c r="O378" s="655"/>
      <c r="P378" s="655"/>
      <c r="Q378" s="655"/>
      <c r="R378" s="655"/>
      <c r="S378" s="655"/>
      <c r="T378" s="655"/>
      <c r="U378" s="655"/>
      <c r="V378" s="655"/>
      <c r="W378" s="655"/>
      <c r="X378" s="655"/>
      <c r="Y378" s="655"/>
      <c r="Z378" s="655"/>
      <c r="AA378" s="655"/>
    </row>
    <row r="379">
      <c r="B379" s="462"/>
      <c r="C379" s="671"/>
      <c r="D379" s="671"/>
      <c r="E379" s="462"/>
      <c r="F379" s="654"/>
      <c r="G379" s="650"/>
      <c r="H379" s="654"/>
      <c r="I379" s="654"/>
      <c r="J379" s="650"/>
      <c r="K379" s="650"/>
      <c r="L379" s="655"/>
      <c r="M379" s="655"/>
      <c r="N379" s="655"/>
      <c r="O379" s="655"/>
      <c r="P379" s="655"/>
      <c r="Q379" s="655"/>
      <c r="R379" s="655"/>
      <c r="S379" s="655"/>
      <c r="T379" s="655"/>
      <c r="U379" s="655"/>
      <c r="V379" s="655"/>
      <c r="W379" s="655"/>
      <c r="X379" s="655"/>
      <c r="Y379" s="655"/>
      <c r="Z379" s="655"/>
      <c r="AA379" s="655"/>
    </row>
    <row r="380">
      <c r="B380" s="462"/>
      <c r="C380" s="671"/>
      <c r="D380" s="671"/>
      <c r="E380" s="462"/>
      <c r="F380" s="654"/>
      <c r="G380" s="650"/>
      <c r="H380" s="654"/>
      <c r="I380" s="654"/>
      <c r="J380" s="650"/>
      <c r="K380" s="650"/>
      <c r="L380" s="655"/>
      <c r="M380" s="655"/>
      <c r="N380" s="655"/>
      <c r="O380" s="655"/>
      <c r="P380" s="655"/>
      <c r="Q380" s="655"/>
      <c r="R380" s="655"/>
      <c r="S380" s="655"/>
      <c r="T380" s="655"/>
      <c r="U380" s="655"/>
      <c r="V380" s="655"/>
      <c r="W380" s="655"/>
      <c r="X380" s="655"/>
      <c r="Y380" s="655"/>
      <c r="Z380" s="655"/>
      <c r="AA380" s="655"/>
    </row>
    <row r="381">
      <c r="B381" s="462"/>
      <c r="C381" s="671"/>
      <c r="D381" s="671"/>
      <c r="E381" s="462"/>
      <c r="F381" s="654"/>
      <c r="G381" s="650"/>
      <c r="H381" s="654"/>
      <c r="I381" s="654"/>
      <c r="J381" s="650"/>
      <c r="K381" s="650"/>
      <c r="L381" s="655"/>
      <c r="M381" s="655"/>
      <c r="N381" s="655"/>
      <c r="O381" s="655"/>
      <c r="P381" s="655"/>
      <c r="Q381" s="655"/>
      <c r="R381" s="655"/>
      <c r="S381" s="655"/>
      <c r="T381" s="655"/>
      <c r="U381" s="655"/>
      <c r="V381" s="655"/>
      <c r="W381" s="655"/>
      <c r="X381" s="655"/>
      <c r="Y381" s="655"/>
      <c r="Z381" s="655"/>
      <c r="AA381" s="655"/>
    </row>
    <row r="382">
      <c r="B382" s="462"/>
      <c r="C382" s="671"/>
      <c r="D382" s="671"/>
      <c r="E382" s="462"/>
      <c r="F382" s="654"/>
      <c r="G382" s="650"/>
      <c r="H382" s="654"/>
      <c r="I382" s="654"/>
      <c r="J382" s="650"/>
      <c r="K382" s="650"/>
      <c r="L382" s="655"/>
      <c r="M382" s="655"/>
      <c r="N382" s="655"/>
      <c r="O382" s="655"/>
      <c r="P382" s="655"/>
      <c r="Q382" s="655"/>
      <c r="R382" s="655"/>
      <c r="S382" s="655"/>
      <c r="T382" s="655"/>
      <c r="U382" s="655"/>
      <c r="V382" s="655"/>
      <c r="W382" s="655"/>
      <c r="X382" s="655"/>
      <c r="Y382" s="655"/>
      <c r="Z382" s="655"/>
      <c r="AA382" s="655"/>
    </row>
    <row r="383">
      <c r="B383" s="462"/>
      <c r="C383" s="671"/>
      <c r="D383" s="671"/>
      <c r="E383" s="462"/>
      <c r="F383" s="654"/>
      <c r="G383" s="650"/>
      <c r="H383" s="654"/>
      <c r="I383" s="654"/>
      <c r="J383" s="650"/>
      <c r="K383" s="650"/>
      <c r="L383" s="655"/>
      <c r="M383" s="655"/>
      <c r="N383" s="655"/>
      <c r="O383" s="655"/>
      <c r="P383" s="655"/>
      <c r="Q383" s="655"/>
      <c r="R383" s="655"/>
      <c r="S383" s="655"/>
      <c r="T383" s="655"/>
      <c r="U383" s="655"/>
      <c r="V383" s="655"/>
      <c r="W383" s="655"/>
      <c r="X383" s="655"/>
      <c r="Y383" s="655"/>
      <c r="Z383" s="655"/>
      <c r="AA383" s="655"/>
    </row>
    <row r="384">
      <c r="B384" s="462"/>
      <c r="C384" s="671"/>
      <c r="D384" s="671"/>
      <c r="E384" s="462"/>
      <c r="F384" s="654"/>
      <c r="G384" s="650"/>
      <c r="H384" s="654"/>
      <c r="I384" s="654"/>
      <c r="J384" s="650"/>
      <c r="K384" s="650"/>
      <c r="L384" s="655"/>
      <c r="M384" s="655"/>
      <c r="N384" s="655"/>
      <c r="O384" s="655"/>
      <c r="P384" s="655"/>
      <c r="Q384" s="655"/>
      <c r="R384" s="655"/>
      <c r="S384" s="655"/>
      <c r="T384" s="655"/>
      <c r="U384" s="655"/>
      <c r="V384" s="655"/>
      <c r="W384" s="655"/>
      <c r="X384" s="655"/>
      <c r="Y384" s="655"/>
      <c r="Z384" s="655"/>
      <c r="AA384" s="655"/>
    </row>
    <row r="385">
      <c r="B385" s="462"/>
      <c r="C385" s="671"/>
      <c r="D385" s="671"/>
      <c r="E385" s="462"/>
      <c r="F385" s="654"/>
      <c r="G385" s="650"/>
      <c r="H385" s="654"/>
      <c r="I385" s="654"/>
      <c r="J385" s="650"/>
      <c r="K385" s="650"/>
      <c r="L385" s="655"/>
      <c r="M385" s="655"/>
      <c r="N385" s="655"/>
      <c r="O385" s="655"/>
      <c r="P385" s="655"/>
      <c r="Q385" s="655"/>
      <c r="R385" s="655"/>
      <c r="S385" s="655"/>
      <c r="T385" s="655"/>
      <c r="U385" s="655"/>
      <c r="V385" s="655"/>
      <c r="W385" s="655"/>
      <c r="X385" s="655"/>
      <c r="Y385" s="655"/>
      <c r="Z385" s="655"/>
      <c r="AA385" s="655"/>
    </row>
    <row r="386">
      <c r="B386" s="462"/>
      <c r="C386" s="671"/>
      <c r="D386" s="671"/>
      <c r="E386" s="462"/>
      <c r="F386" s="654"/>
      <c r="G386" s="650"/>
      <c r="H386" s="654"/>
      <c r="I386" s="654"/>
      <c r="J386" s="650"/>
      <c r="K386" s="650"/>
      <c r="L386" s="655"/>
      <c r="M386" s="655"/>
      <c r="N386" s="655"/>
      <c r="O386" s="655"/>
      <c r="P386" s="655"/>
      <c r="Q386" s="655"/>
      <c r="R386" s="655"/>
      <c r="S386" s="655"/>
      <c r="T386" s="655"/>
      <c r="U386" s="655"/>
      <c r="V386" s="655"/>
      <c r="W386" s="655"/>
      <c r="X386" s="655"/>
      <c r="Y386" s="655"/>
      <c r="Z386" s="655"/>
      <c r="AA386" s="655"/>
    </row>
    <row r="387">
      <c r="B387" s="462"/>
      <c r="C387" s="671"/>
      <c r="D387" s="671"/>
      <c r="E387" s="462"/>
      <c r="F387" s="654"/>
      <c r="G387" s="650"/>
      <c r="H387" s="654"/>
      <c r="I387" s="654"/>
      <c r="J387" s="650"/>
      <c r="K387" s="650"/>
      <c r="L387" s="655"/>
      <c r="M387" s="655"/>
      <c r="N387" s="655"/>
      <c r="O387" s="655"/>
      <c r="P387" s="655"/>
      <c r="Q387" s="655"/>
      <c r="R387" s="655"/>
      <c r="S387" s="655"/>
      <c r="T387" s="655"/>
      <c r="U387" s="655"/>
      <c r="V387" s="655"/>
      <c r="W387" s="655"/>
      <c r="X387" s="655"/>
      <c r="Y387" s="655"/>
      <c r="Z387" s="655"/>
      <c r="AA387" s="655"/>
    </row>
    <row r="388">
      <c r="B388" s="462"/>
      <c r="C388" s="671"/>
      <c r="D388" s="671"/>
      <c r="E388" s="462"/>
      <c r="F388" s="654"/>
      <c r="G388" s="650"/>
      <c r="H388" s="654"/>
      <c r="I388" s="654"/>
      <c r="J388" s="650"/>
      <c r="K388" s="650"/>
      <c r="L388" s="655"/>
      <c r="M388" s="655"/>
      <c r="N388" s="655"/>
      <c r="O388" s="655"/>
      <c r="P388" s="655"/>
      <c r="Q388" s="655"/>
      <c r="R388" s="655"/>
      <c r="S388" s="655"/>
      <c r="T388" s="655"/>
      <c r="U388" s="655"/>
      <c r="V388" s="655"/>
      <c r="W388" s="655"/>
      <c r="X388" s="655"/>
      <c r="Y388" s="655"/>
      <c r="Z388" s="655"/>
      <c r="AA388" s="655"/>
    </row>
    <row r="389">
      <c r="B389" s="462"/>
      <c r="C389" s="671"/>
      <c r="D389" s="671"/>
      <c r="E389" s="462"/>
      <c r="F389" s="654"/>
      <c r="G389" s="650"/>
      <c r="H389" s="654"/>
      <c r="I389" s="654"/>
      <c r="J389" s="650"/>
      <c r="K389" s="650"/>
      <c r="L389" s="655"/>
      <c r="M389" s="655"/>
      <c r="N389" s="655"/>
      <c r="O389" s="655"/>
      <c r="P389" s="655"/>
      <c r="Q389" s="655"/>
      <c r="R389" s="655"/>
      <c r="S389" s="655"/>
      <c r="T389" s="655"/>
      <c r="U389" s="655"/>
      <c r="V389" s="655"/>
      <c r="W389" s="655"/>
      <c r="X389" s="655"/>
      <c r="Y389" s="655"/>
      <c r="Z389" s="655"/>
      <c r="AA389" s="655"/>
    </row>
    <row r="390">
      <c r="B390" s="462"/>
      <c r="C390" s="671"/>
      <c r="D390" s="671"/>
      <c r="E390" s="462"/>
      <c r="F390" s="654"/>
      <c r="G390" s="650"/>
      <c r="H390" s="654"/>
      <c r="I390" s="654"/>
      <c r="J390" s="650"/>
      <c r="K390" s="650"/>
      <c r="L390" s="655"/>
      <c r="M390" s="655"/>
      <c r="N390" s="655"/>
      <c r="O390" s="655"/>
      <c r="P390" s="655"/>
      <c r="Q390" s="655"/>
      <c r="R390" s="655"/>
      <c r="S390" s="655"/>
      <c r="T390" s="655"/>
      <c r="U390" s="655"/>
      <c r="V390" s="655"/>
      <c r="W390" s="655"/>
      <c r="X390" s="655"/>
      <c r="Y390" s="655"/>
      <c r="Z390" s="655"/>
      <c r="AA390" s="655"/>
    </row>
    <row r="391">
      <c r="B391" s="462"/>
      <c r="C391" s="671"/>
      <c r="D391" s="671"/>
      <c r="E391" s="462"/>
      <c r="F391" s="654"/>
      <c r="G391" s="650"/>
      <c r="H391" s="654"/>
      <c r="I391" s="654"/>
      <c r="J391" s="650"/>
      <c r="K391" s="650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  <c r="AA391" s="655"/>
    </row>
    <row r="392">
      <c r="B392" s="462"/>
      <c r="C392" s="671"/>
      <c r="D392" s="671"/>
      <c r="E392" s="462"/>
      <c r="F392" s="654"/>
      <c r="G392" s="650"/>
      <c r="H392" s="654"/>
      <c r="I392" s="654"/>
      <c r="J392" s="650"/>
      <c r="K392" s="650"/>
      <c r="L392" s="655"/>
      <c r="M392" s="655"/>
      <c r="N392" s="655"/>
      <c r="O392" s="655"/>
      <c r="P392" s="655"/>
      <c r="Q392" s="655"/>
      <c r="R392" s="655"/>
      <c r="S392" s="655"/>
      <c r="T392" s="655"/>
      <c r="U392" s="655"/>
      <c r="V392" s="655"/>
      <c r="W392" s="655"/>
      <c r="X392" s="655"/>
      <c r="Y392" s="655"/>
      <c r="Z392" s="655"/>
      <c r="AA392" s="655"/>
    </row>
    <row r="393">
      <c r="B393" s="462"/>
      <c r="C393" s="671"/>
      <c r="D393" s="671"/>
      <c r="E393" s="462"/>
      <c r="F393" s="654"/>
      <c r="G393" s="650"/>
      <c r="H393" s="654"/>
      <c r="I393" s="654"/>
      <c r="J393" s="650"/>
      <c r="K393" s="650"/>
      <c r="L393" s="655"/>
      <c r="M393" s="655"/>
      <c r="N393" s="655"/>
      <c r="O393" s="655"/>
      <c r="P393" s="655"/>
      <c r="Q393" s="655"/>
      <c r="R393" s="655"/>
      <c r="S393" s="655"/>
      <c r="T393" s="655"/>
      <c r="U393" s="655"/>
      <c r="V393" s="655"/>
      <c r="W393" s="655"/>
      <c r="X393" s="655"/>
      <c r="Y393" s="655"/>
      <c r="Z393" s="655"/>
      <c r="AA393" s="655"/>
    </row>
    <row r="394">
      <c r="B394" s="462"/>
      <c r="C394" s="671"/>
      <c r="D394" s="671"/>
      <c r="E394" s="462"/>
      <c r="F394" s="654"/>
      <c r="G394" s="650"/>
      <c r="H394" s="654"/>
      <c r="I394" s="654"/>
      <c r="J394" s="650"/>
      <c r="K394" s="650"/>
      <c r="L394" s="655"/>
      <c r="M394" s="655"/>
      <c r="N394" s="655"/>
      <c r="O394" s="655"/>
      <c r="P394" s="655"/>
      <c r="Q394" s="655"/>
      <c r="R394" s="655"/>
      <c r="S394" s="655"/>
      <c r="T394" s="655"/>
      <c r="U394" s="655"/>
      <c r="V394" s="655"/>
      <c r="W394" s="655"/>
      <c r="X394" s="655"/>
      <c r="Y394" s="655"/>
      <c r="Z394" s="655"/>
      <c r="AA394" s="655"/>
    </row>
    <row r="395">
      <c r="B395" s="462"/>
      <c r="C395" s="671"/>
      <c r="D395" s="671"/>
      <c r="E395" s="462"/>
      <c r="F395" s="654"/>
      <c r="G395" s="650"/>
      <c r="H395" s="654"/>
      <c r="I395" s="654"/>
      <c r="J395" s="650"/>
      <c r="K395" s="650"/>
      <c r="L395" s="655"/>
      <c r="M395" s="655"/>
      <c r="N395" s="655"/>
      <c r="O395" s="655"/>
      <c r="P395" s="655"/>
      <c r="Q395" s="655"/>
      <c r="R395" s="655"/>
      <c r="S395" s="655"/>
      <c r="T395" s="655"/>
      <c r="U395" s="655"/>
      <c r="V395" s="655"/>
      <c r="W395" s="655"/>
      <c r="X395" s="655"/>
      <c r="Y395" s="655"/>
      <c r="Z395" s="655"/>
      <c r="AA395" s="655"/>
    </row>
    <row r="396">
      <c r="B396" s="462"/>
      <c r="C396" s="671"/>
      <c r="D396" s="671"/>
      <c r="E396" s="462"/>
      <c r="F396" s="654"/>
      <c r="G396" s="650"/>
      <c r="H396" s="654"/>
      <c r="I396" s="654"/>
      <c r="J396" s="650"/>
      <c r="K396" s="650"/>
      <c r="L396" s="655"/>
      <c r="M396" s="655"/>
      <c r="N396" s="655"/>
      <c r="O396" s="655"/>
      <c r="P396" s="655"/>
      <c r="Q396" s="655"/>
      <c r="R396" s="655"/>
      <c r="S396" s="655"/>
      <c r="T396" s="655"/>
      <c r="U396" s="655"/>
      <c r="V396" s="655"/>
      <c r="W396" s="655"/>
      <c r="X396" s="655"/>
      <c r="Y396" s="655"/>
      <c r="Z396" s="655"/>
      <c r="AA396" s="655"/>
    </row>
    <row r="397">
      <c r="B397" s="462"/>
      <c r="C397" s="671"/>
      <c r="D397" s="671"/>
      <c r="E397" s="462"/>
      <c r="F397" s="654"/>
      <c r="G397" s="650"/>
      <c r="H397" s="654"/>
      <c r="I397" s="654"/>
      <c r="J397" s="650"/>
      <c r="K397" s="650"/>
      <c r="L397" s="655"/>
      <c r="M397" s="655"/>
      <c r="N397" s="655"/>
      <c r="O397" s="655"/>
      <c r="P397" s="655"/>
      <c r="Q397" s="655"/>
      <c r="R397" s="655"/>
      <c r="S397" s="655"/>
      <c r="T397" s="655"/>
      <c r="U397" s="655"/>
      <c r="V397" s="655"/>
      <c r="W397" s="655"/>
      <c r="X397" s="655"/>
      <c r="Y397" s="655"/>
      <c r="Z397" s="655"/>
      <c r="AA397" s="655"/>
    </row>
    <row r="398">
      <c r="B398" s="462"/>
      <c r="C398" s="671"/>
      <c r="D398" s="671"/>
      <c r="E398" s="462"/>
      <c r="F398" s="654"/>
      <c r="G398" s="650"/>
      <c r="H398" s="654"/>
      <c r="I398" s="654"/>
      <c r="J398" s="650"/>
      <c r="K398" s="650"/>
      <c r="L398" s="655"/>
      <c r="M398" s="655"/>
      <c r="N398" s="655"/>
      <c r="O398" s="655"/>
      <c r="P398" s="655"/>
      <c r="Q398" s="655"/>
      <c r="R398" s="655"/>
      <c r="S398" s="655"/>
      <c r="T398" s="655"/>
      <c r="U398" s="655"/>
      <c r="V398" s="655"/>
      <c r="W398" s="655"/>
      <c r="X398" s="655"/>
      <c r="Y398" s="655"/>
      <c r="Z398" s="655"/>
      <c r="AA398" s="655"/>
    </row>
    <row r="399">
      <c r="B399" s="462"/>
      <c r="C399" s="671"/>
      <c r="D399" s="671"/>
      <c r="E399" s="462"/>
      <c r="F399" s="654"/>
      <c r="G399" s="650"/>
      <c r="H399" s="654"/>
      <c r="I399" s="654"/>
      <c r="J399" s="650"/>
      <c r="K399" s="650"/>
      <c r="L399" s="655"/>
      <c r="M399" s="655"/>
      <c r="N399" s="655"/>
      <c r="O399" s="655"/>
      <c r="P399" s="655"/>
      <c r="Q399" s="655"/>
      <c r="R399" s="655"/>
      <c r="S399" s="655"/>
      <c r="T399" s="655"/>
      <c r="U399" s="655"/>
      <c r="V399" s="655"/>
      <c r="W399" s="655"/>
      <c r="X399" s="655"/>
      <c r="Y399" s="655"/>
      <c r="Z399" s="655"/>
      <c r="AA399" s="655"/>
    </row>
    <row r="400">
      <c r="B400" s="462"/>
      <c r="C400" s="671"/>
      <c r="D400" s="671"/>
      <c r="E400" s="462"/>
      <c r="F400" s="654"/>
      <c r="G400" s="650"/>
      <c r="H400" s="654"/>
      <c r="I400" s="654"/>
      <c r="J400" s="650"/>
      <c r="K400" s="650"/>
      <c r="L400" s="655"/>
      <c r="M400" s="655"/>
      <c r="N400" s="655"/>
      <c r="O400" s="655"/>
      <c r="P400" s="655"/>
      <c r="Q400" s="655"/>
      <c r="R400" s="655"/>
      <c r="S400" s="655"/>
      <c r="T400" s="655"/>
      <c r="U400" s="655"/>
      <c r="V400" s="655"/>
      <c r="W400" s="655"/>
      <c r="X400" s="655"/>
      <c r="Y400" s="655"/>
      <c r="Z400" s="655"/>
      <c r="AA400" s="655"/>
    </row>
    <row r="401">
      <c r="B401" s="462"/>
      <c r="C401" s="671"/>
      <c r="D401" s="671"/>
      <c r="E401" s="462"/>
      <c r="F401" s="654"/>
      <c r="G401" s="650"/>
      <c r="H401" s="654"/>
      <c r="I401" s="654"/>
      <c r="J401" s="650"/>
      <c r="K401" s="650"/>
      <c r="L401" s="655"/>
      <c r="M401" s="655"/>
      <c r="N401" s="655"/>
      <c r="O401" s="655"/>
      <c r="P401" s="655"/>
      <c r="Q401" s="655"/>
      <c r="R401" s="655"/>
      <c r="S401" s="655"/>
      <c r="T401" s="655"/>
      <c r="U401" s="655"/>
      <c r="V401" s="655"/>
      <c r="W401" s="655"/>
      <c r="X401" s="655"/>
      <c r="Y401" s="655"/>
      <c r="Z401" s="655"/>
      <c r="AA401" s="655"/>
    </row>
    <row r="402">
      <c r="B402" s="462"/>
      <c r="C402" s="671"/>
      <c r="D402" s="671"/>
      <c r="E402" s="462"/>
      <c r="F402" s="654"/>
      <c r="G402" s="650"/>
      <c r="H402" s="654"/>
      <c r="I402" s="654"/>
      <c r="J402" s="650"/>
      <c r="K402" s="650"/>
      <c r="L402" s="655"/>
      <c r="M402" s="655"/>
      <c r="N402" s="655"/>
      <c r="O402" s="655"/>
      <c r="P402" s="655"/>
      <c r="Q402" s="655"/>
      <c r="R402" s="655"/>
      <c r="S402" s="655"/>
      <c r="T402" s="655"/>
      <c r="U402" s="655"/>
      <c r="V402" s="655"/>
      <c r="W402" s="655"/>
      <c r="X402" s="655"/>
      <c r="Y402" s="655"/>
      <c r="Z402" s="655"/>
      <c r="AA402" s="655"/>
    </row>
    <row r="403">
      <c r="B403" s="462"/>
      <c r="C403" s="671"/>
      <c r="D403" s="671"/>
      <c r="E403" s="462"/>
      <c r="F403" s="654"/>
      <c r="G403" s="650"/>
      <c r="H403" s="654"/>
      <c r="I403" s="654"/>
      <c r="J403" s="650"/>
      <c r="K403" s="650"/>
      <c r="L403" s="655"/>
      <c r="M403" s="655"/>
      <c r="N403" s="655"/>
      <c r="O403" s="655"/>
      <c r="P403" s="655"/>
      <c r="Q403" s="655"/>
      <c r="R403" s="655"/>
      <c r="S403" s="655"/>
      <c r="T403" s="655"/>
      <c r="U403" s="655"/>
      <c r="V403" s="655"/>
      <c r="W403" s="655"/>
      <c r="X403" s="655"/>
      <c r="Y403" s="655"/>
      <c r="Z403" s="655"/>
      <c r="AA403" s="655"/>
    </row>
    <row r="404">
      <c r="B404" s="462"/>
      <c r="C404" s="671"/>
      <c r="D404" s="671"/>
      <c r="E404" s="462"/>
      <c r="F404" s="654"/>
      <c r="G404" s="650"/>
      <c r="H404" s="654"/>
      <c r="I404" s="654"/>
      <c r="J404" s="650"/>
      <c r="K404" s="650"/>
      <c r="L404" s="655"/>
      <c r="M404" s="655"/>
      <c r="N404" s="655"/>
      <c r="O404" s="655"/>
      <c r="P404" s="655"/>
      <c r="Q404" s="655"/>
      <c r="R404" s="655"/>
      <c r="S404" s="655"/>
      <c r="T404" s="655"/>
      <c r="U404" s="655"/>
      <c r="V404" s="655"/>
      <c r="W404" s="655"/>
      <c r="X404" s="655"/>
      <c r="Y404" s="655"/>
      <c r="Z404" s="655"/>
      <c r="AA404" s="655"/>
    </row>
    <row r="405">
      <c r="B405" s="462"/>
      <c r="C405" s="671"/>
      <c r="D405" s="671"/>
      <c r="E405" s="462"/>
      <c r="F405" s="654"/>
      <c r="G405" s="650"/>
      <c r="H405" s="654"/>
      <c r="I405" s="654"/>
      <c r="J405" s="650"/>
      <c r="K405" s="650"/>
      <c r="L405" s="655"/>
      <c r="M405" s="655"/>
      <c r="N405" s="655"/>
      <c r="O405" s="655"/>
      <c r="P405" s="655"/>
      <c r="Q405" s="655"/>
      <c r="R405" s="655"/>
      <c r="S405" s="655"/>
      <c r="T405" s="655"/>
      <c r="U405" s="655"/>
      <c r="V405" s="655"/>
      <c r="W405" s="655"/>
      <c r="X405" s="655"/>
      <c r="Y405" s="655"/>
      <c r="Z405" s="655"/>
      <c r="AA405" s="655"/>
    </row>
    <row r="406">
      <c r="B406" s="462"/>
      <c r="C406" s="671"/>
      <c r="D406" s="671"/>
      <c r="E406" s="462"/>
      <c r="F406" s="654"/>
      <c r="G406" s="650"/>
      <c r="H406" s="654"/>
      <c r="I406" s="654"/>
      <c r="J406" s="650"/>
      <c r="K406" s="650"/>
      <c r="L406" s="655"/>
      <c r="M406" s="655"/>
      <c r="N406" s="655"/>
      <c r="O406" s="655"/>
      <c r="P406" s="655"/>
      <c r="Q406" s="655"/>
      <c r="R406" s="655"/>
      <c r="S406" s="655"/>
      <c r="T406" s="655"/>
      <c r="U406" s="655"/>
      <c r="V406" s="655"/>
      <c r="W406" s="655"/>
      <c r="X406" s="655"/>
      <c r="Y406" s="655"/>
      <c r="Z406" s="655"/>
      <c r="AA406" s="655"/>
    </row>
    <row r="407">
      <c r="B407" s="462"/>
      <c r="C407" s="671"/>
      <c r="D407" s="671"/>
      <c r="E407" s="462"/>
      <c r="F407" s="654"/>
      <c r="G407" s="650"/>
      <c r="H407" s="654"/>
      <c r="I407" s="654"/>
      <c r="J407" s="650"/>
      <c r="K407" s="650"/>
      <c r="L407" s="655"/>
      <c r="M407" s="655"/>
      <c r="N407" s="655"/>
      <c r="O407" s="655"/>
      <c r="P407" s="655"/>
      <c r="Q407" s="655"/>
      <c r="R407" s="655"/>
      <c r="S407" s="655"/>
      <c r="T407" s="655"/>
      <c r="U407" s="655"/>
      <c r="V407" s="655"/>
      <c r="W407" s="655"/>
      <c r="X407" s="655"/>
      <c r="Y407" s="655"/>
      <c r="Z407" s="655"/>
      <c r="AA407" s="655"/>
    </row>
    <row r="408">
      <c r="B408" s="462"/>
      <c r="C408" s="671"/>
      <c r="D408" s="671"/>
      <c r="E408" s="462"/>
      <c r="F408" s="654"/>
      <c r="G408" s="650"/>
      <c r="H408" s="654"/>
      <c r="I408" s="654"/>
      <c r="J408" s="650"/>
      <c r="K408" s="650"/>
      <c r="L408" s="655"/>
      <c r="M408" s="655"/>
      <c r="N408" s="655"/>
      <c r="O408" s="655"/>
      <c r="P408" s="655"/>
      <c r="Q408" s="655"/>
      <c r="R408" s="655"/>
      <c r="S408" s="655"/>
      <c r="T408" s="655"/>
      <c r="U408" s="655"/>
      <c r="V408" s="655"/>
      <c r="W408" s="655"/>
      <c r="X408" s="655"/>
      <c r="Y408" s="655"/>
      <c r="Z408" s="655"/>
      <c r="AA408" s="655"/>
    </row>
    <row r="409">
      <c r="B409" s="462"/>
      <c r="C409" s="671"/>
      <c r="D409" s="671"/>
      <c r="E409" s="462"/>
      <c r="F409" s="654"/>
      <c r="G409" s="650"/>
      <c r="H409" s="654"/>
      <c r="I409" s="654"/>
      <c r="J409" s="650"/>
      <c r="K409" s="650"/>
      <c r="L409" s="655"/>
      <c r="M409" s="655"/>
      <c r="N409" s="655"/>
      <c r="O409" s="655"/>
      <c r="P409" s="655"/>
      <c r="Q409" s="655"/>
      <c r="R409" s="655"/>
      <c r="S409" s="655"/>
      <c r="T409" s="655"/>
      <c r="U409" s="655"/>
      <c r="V409" s="655"/>
      <c r="W409" s="655"/>
      <c r="X409" s="655"/>
      <c r="Y409" s="655"/>
      <c r="Z409" s="655"/>
      <c r="AA409" s="655"/>
    </row>
    <row r="410">
      <c r="B410" s="462"/>
      <c r="C410" s="671"/>
      <c r="D410" s="671"/>
      <c r="E410" s="462"/>
      <c r="F410" s="654"/>
      <c r="G410" s="650"/>
      <c r="H410" s="654"/>
      <c r="I410" s="654"/>
      <c r="J410" s="650"/>
      <c r="K410" s="650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55"/>
    </row>
    <row r="411">
      <c r="B411" s="462"/>
      <c r="C411" s="671"/>
      <c r="D411" s="671"/>
      <c r="E411" s="462"/>
      <c r="F411" s="654"/>
      <c r="G411" s="650"/>
      <c r="H411" s="654"/>
      <c r="I411" s="654"/>
      <c r="J411" s="650"/>
      <c r="K411" s="650"/>
      <c r="L411" s="655"/>
      <c r="M411" s="655"/>
      <c r="N411" s="655"/>
      <c r="O411" s="655"/>
      <c r="P411" s="655"/>
      <c r="Q411" s="655"/>
      <c r="R411" s="655"/>
      <c r="S411" s="655"/>
      <c r="T411" s="655"/>
      <c r="U411" s="655"/>
      <c r="V411" s="655"/>
      <c r="W411" s="655"/>
      <c r="X411" s="655"/>
      <c r="Y411" s="655"/>
      <c r="Z411" s="655"/>
      <c r="AA411" s="655"/>
    </row>
    <row r="412">
      <c r="B412" s="462"/>
      <c r="C412" s="671"/>
      <c r="D412" s="671"/>
      <c r="E412" s="462"/>
      <c r="F412" s="654"/>
      <c r="G412" s="650"/>
      <c r="H412" s="654"/>
      <c r="I412" s="654"/>
      <c r="J412" s="650"/>
      <c r="K412" s="650"/>
      <c r="L412" s="655"/>
      <c r="M412" s="655"/>
      <c r="N412" s="655"/>
      <c r="O412" s="655"/>
      <c r="P412" s="655"/>
      <c r="Q412" s="655"/>
      <c r="R412" s="655"/>
      <c r="S412" s="655"/>
      <c r="T412" s="655"/>
      <c r="U412" s="655"/>
      <c r="V412" s="655"/>
      <c r="W412" s="655"/>
      <c r="X412" s="655"/>
      <c r="Y412" s="655"/>
      <c r="Z412" s="655"/>
      <c r="AA412" s="655"/>
    </row>
    <row r="413">
      <c r="B413" s="462"/>
      <c r="C413" s="671"/>
      <c r="D413" s="671"/>
      <c r="E413" s="462"/>
      <c r="F413" s="654"/>
      <c r="G413" s="650"/>
      <c r="H413" s="654"/>
      <c r="I413" s="654"/>
      <c r="J413" s="650"/>
      <c r="K413" s="650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5"/>
    </row>
    <row r="414">
      <c r="B414" s="462"/>
      <c r="C414" s="671"/>
      <c r="D414" s="671"/>
      <c r="E414" s="462"/>
      <c r="F414" s="654"/>
      <c r="G414" s="650"/>
      <c r="H414" s="654"/>
      <c r="I414" s="654"/>
      <c r="J414" s="650"/>
      <c r="K414" s="650"/>
      <c r="L414" s="655"/>
      <c r="M414" s="655"/>
      <c r="N414" s="655"/>
      <c r="O414" s="655"/>
      <c r="P414" s="655"/>
      <c r="Q414" s="655"/>
      <c r="R414" s="655"/>
      <c r="S414" s="655"/>
      <c r="T414" s="655"/>
      <c r="U414" s="655"/>
      <c r="V414" s="655"/>
      <c r="W414" s="655"/>
      <c r="X414" s="655"/>
      <c r="Y414" s="655"/>
      <c r="Z414" s="655"/>
      <c r="AA414" s="655"/>
    </row>
    <row r="415">
      <c r="B415" s="462"/>
      <c r="C415" s="671"/>
      <c r="D415" s="671"/>
      <c r="E415" s="462"/>
      <c r="F415" s="654"/>
      <c r="G415" s="650"/>
      <c r="H415" s="654"/>
      <c r="I415" s="654"/>
      <c r="J415" s="650"/>
      <c r="K415" s="650"/>
      <c r="L415" s="655"/>
      <c r="M415" s="655"/>
      <c r="N415" s="655"/>
      <c r="O415" s="655"/>
      <c r="P415" s="655"/>
      <c r="Q415" s="655"/>
      <c r="R415" s="655"/>
      <c r="S415" s="655"/>
      <c r="T415" s="655"/>
      <c r="U415" s="655"/>
      <c r="V415" s="655"/>
      <c r="W415" s="655"/>
      <c r="X415" s="655"/>
      <c r="Y415" s="655"/>
      <c r="Z415" s="655"/>
      <c r="AA415" s="655"/>
    </row>
    <row r="416">
      <c r="B416" s="462"/>
      <c r="C416" s="671"/>
      <c r="D416" s="671"/>
      <c r="E416" s="462"/>
      <c r="F416" s="654"/>
      <c r="G416" s="650"/>
      <c r="H416" s="654"/>
      <c r="I416" s="654"/>
      <c r="J416" s="650"/>
      <c r="K416" s="650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55"/>
    </row>
    <row r="417">
      <c r="B417" s="462"/>
      <c r="C417" s="671"/>
      <c r="D417" s="671"/>
      <c r="E417" s="462"/>
      <c r="F417" s="654"/>
      <c r="G417" s="650"/>
      <c r="H417" s="654"/>
      <c r="I417" s="654"/>
      <c r="J417" s="650"/>
      <c r="K417" s="650"/>
      <c r="L417" s="655"/>
      <c r="M417" s="655"/>
      <c r="N417" s="655"/>
      <c r="O417" s="655"/>
      <c r="P417" s="655"/>
      <c r="Q417" s="655"/>
      <c r="R417" s="655"/>
      <c r="S417" s="655"/>
      <c r="T417" s="655"/>
      <c r="U417" s="655"/>
      <c r="V417" s="655"/>
      <c r="W417" s="655"/>
      <c r="X417" s="655"/>
      <c r="Y417" s="655"/>
      <c r="Z417" s="655"/>
      <c r="AA417" s="655"/>
    </row>
    <row r="418">
      <c r="B418" s="462"/>
      <c r="C418" s="671"/>
      <c r="D418" s="671"/>
      <c r="E418" s="462"/>
      <c r="F418" s="654"/>
      <c r="G418" s="650"/>
      <c r="H418" s="654"/>
      <c r="I418" s="654"/>
      <c r="J418" s="650"/>
      <c r="K418" s="650"/>
      <c r="L418" s="655"/>
      <c r="M418" s="655"/>
      <c r="N418" s="655"/>
      <c r="O418" s="655"/>
      <c r="P418" s="655"/>
      <c r="Q418" s="655"/>
      <c r="R418" s="655"/>
      <c r="S418" s="655"/>
      <c r="T418" s="655"/>
      <c r="U418" s="655"/>
      <c r="V418" s="655"/>
      <c r="W418" s="655"/>
      <c r="X418" s="655"/>
      <c r="Y418" s="655"/>
      <c r="Z418" s="655"/>
      <c r="AA418" s="655"/>
    </row>
    <row r="419">
      <c r="B419" s="462"/>
      <c r="C419" s="671"/>
      <c r="D419" s="671"/>
      <c r="E419" s="462"/>
      <c r="F419" s="654"/>
      <c r="G419" s="650"/>
      <c r="H419" s="654"/>
      <c r="I419" s="654"/>
      <c r="J419" s="650"/>
      <c r="K419" s="650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655"/>
    </row>
    <row r="420">
      <c r="B420" s="462"/>
      <c r="C420" s="671"/>
      <c r="D420" s="671"/>
      <c r="E420" s="462"/>
      <c r="F420" s="654"/>
      <c r="G420" s="650"/>
      <c r="H420" s="654"/>
      <c r="I420" s="654"/>
      <c r="J420" s="650"/>
      <c r="K420" s="650"/>
      <c r="L420" s="655"/>
      <c r="M420" s="655"/>
      <c r="N420" s="655"/>
      <c r="O420" s="655"/>
      <c r="P420" s="655"/>
      <c r="Q420" s="655"/>
      <c r="R420" s="655"/>
      <c r="S420" s="655"/>
      <c r="T420" s="655"/>
      <c r="U420" s="655"/>
      <c r="V420" s="655"/>
      <c r="W420" s="655"/>
      <c r="X420" s="655"/>
      <c r="Y420" s="655"/>
      <c r="Z420" s="655"/>
      <c r="AA420" s="655"/>
    </row>
    <row r="421">
      <c r="B421" s="462"/>
      <c r="C421" s="671"/>
      <c r="D421" s="671"/>
      <c r="E421" s="462"/>
      <c r="F421" s="654"/>
      <c r="G421" s="650"/>
      <c r="H421" s="654"/>
      <c r="I421" s="654"/>
      <c r="J421" s="650"/>
      <c r="K421" s="650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5"/>
    </row>
    <row r="422">
      <c r="B422" s="462"/>
      <c r="C422" s="671"/>
      <c r="D422" s="671"/>
      <c r="E422" s="462"/>
      <c r="F422" s="654"/>
      <c r="G422" s="650"/>
      <c r="H422" s="654"/>
      <c r="I422" s="654"/>
      <c r="J422" s="650"/>
      <c r="K422" s="650"/>
      <c r="L422" s="655"/>
      <c r="M422" s="655"/>
      <c r="N422" s="655"/>
      <c r="O422" s="655"/>
      <c r="P422" s="655"/>
      <c r="Q422" s="655"/>
      <c r="R422" s="655"/>
      <c r="S422" s="655"/>
      <c r="T422" s="655"/>
      <c r="U422" s="655"/>
      <c r="V422" s="655"/>
      <c r="W422" s="655"/>
      <c r="X422" s="655"/>
      <c r="Y422" s="655"/>
      <c r="Z422" s="655"/>
      <c r="AA422" s="655"/>
    </row>
    <row r="423">
      <c r="B423" s="462"/>
      <c r="C423" s="671"/>
      <c r="D423" s="671"/>
      <c r="E423" s="462"/>
      <c r="F423" s="654"/>
      <c r="G423" s="650"/>
      <c r="H423" s="654"/>
      <c r="I423" s="654"/>
      <c r="J423" s="650"/>
      <c r="K423" s="650"/>
      <c r="L423" s="655"/>
      <c r="M423" s="655"/>
      <c r="N423" s="655"/>
      <c r="O423" s="655"/>
      <c r="P423" s="655"/>
      <c r="Q423" s="655"/>
      <c r="R423" s="655"/>
      <c r="S423" s="655"/>
      <c r="T423" s="655"/>
      <c r="U423" s="655"/>
      <c r="V423" s="655"/>
      <c r="W423" s="655"/>
      <c r="X423" s="655"/>
      <c r="Y423" s="655"/>
      <c r="Z423" s="655"/>
      <c r="AA423" s="655"/>
    </row>
    <row r="424">
      <c r="B424" s="462"/>
      <c r="C424" s="671"/>
      <c r="D424" s="671"/>
      <c r="E424" s="462"/>
      <c r="F424" s="654"/>
      <c r="G424" s="650"/>
      <c r="H424" s="654"/>
      <c r="I424" s="654"/>
      <c r="J424" s="650"/>
      <c r="K424" s="650"/>
      <c r="L424" s="655"/>
      <c r="M424" s="655"/>
      <c r="N424" s="655"/>
      <c r="O424" s="655"/>
      <c r="P424" s="655"/>
      <c r="Q424" s="655"/>
      <c r="R424" s="655"/>
      <c r="S424" s="655"/>
      <c r="T424" s="655"/>
      <c r="U424" s="655"/>
      <c r="V424" s="655"/>
      <c r="W424" s="655"/>
      <c r="X424" s="655"/>
      <c r="Y424" s="655"/>
      <c r="Z424" s="655"/>
      <c r="AA424" s="655"/>
    </row>
    <row r="425">
      <c r="B425" s="462"/>
      <c r="C425" s="671"/>
      <c r="D425" s="671"/>
      <c r="E425" s="462"/>
      <c r="F425" s="654"/>
      <c r="G425" s="650"/>
      <c r="H425" s="654"/>
      <c r="I425" s="654"/>
      <c r="J425" s="650"/>
      <c r="K425" s="650"/>
      <c r="L425" s="655"/>
      <c r="M425" s="655"/>
      <c r="N425" s="655"/>
      <c r="O425" s="655"/>
      <c r="P425" s="655"/>
      <c r="Q425" s="655"/>
      <c r="R425" s="655"/>
      <c r="S425" s="655"/>
      <c r="T425" s="655"/>
      <c r="U425" s="655"/>
      <c r="V425" s="655"/>
      <c r="W425" s="655"/>
      <c r="X425" s="655"/>
      <c r="Y425" s="655"/>
      <c r="Z425" s="655"/>
      <c r="AA425" s="655"/>
    </row>
    <row r="426">
      <c r="B426" s="462"/>
      <c r="C426" s="671"/>
      <c r="D426" s="671"/>
      <c r="E426" s="462"/>
      <c r="F426" s="654"/>
      <c r="G426" s="650"/>
      <c r="H426" s="654"/>
      <c r="I426" s="654"/>
      <c r="J426" s="650"/>
      <c r="K426" s="650"/>
      <c r="L426" s="655"/>
      <c r="M426" s="655"/>
      <c r="N426" s="655"/>
      <c r="O426" s="655"/>
      <c r="P426" s="655"/>
      <c r="Q426" s="655"/>
      <c r="R426" s="655"/>
      <c r="S426" s="655"/>
      <c r="T426" s="655"/>
      <c r="U426" s="655"/>
      <c r="V426" s="655"/>
      <c r="W426" s="655"/>
      <c r="X426" s="655"/>
      <c r="Y426" s="655"/>
      <c r="Z426" s="655"/>
      <c r="AA426" s="655"/>
    </row>
    <row r="427">
      <c r="B427" s="462"/>
      <c r="C427" s="671"/>
      <c r="D427" s="671"/>
      <c r="E427" s="462"/>
      <c r="F427" s="654"/>
      <c r="G427" s="650"/>
      <c r="H427" s="654"/>
      <c r="I427" s="654"/>
      <c r="J427" s="650"/>
      <c r="K427" s="650"/>
      <c r="L427" s="655"/>
      <c r="M427" s="655"/>
      <c r="N427" s="655"/>
      <c r="O427" s="655"/>
      <c r="P427" s="655"/>
      <c r="Q427" s="655"/>
      <c r="R427" s="655"/>
      <c r="S427" s="655"/>
      <c r="T427" s="655"/>
      <c r="U427" s="655"/>
      <c r="V427" s="655"/>
      <c r="W427" s="655"/>
      <c r="X427" s="655"/>
      <c r="Y427" s="655"/>
      <c r="Z427" s="655"/>
      <c r="AA427" s="655"/>
    </row>
    <row r="428">
      <c r="B428" s="462"/>
      <c r="C428" s="671"/>
      <c r="D428" s="671"/>
      <c r="E428" s="462"/>
      <c r="F428" s="654"/>
      <c r="G428" s="650"/>
      <c r="H428" s="654"/>
      <c r="I428" s="654"/>
      <c r="J428" s="650"/>
      <c r="K428" s="650"/>
      <c r="L428" s="655"/>
      <c r="M428" s="655"/>
      <c r="N428" s="655"/>
      <c r="O428" s="655"/>
      <c r="P428" s="655"/>
      <c r="Q428" s="655"/>
      <c r="R428" s="655"/>
      <c r="S428" s="655"/>
      <c r="T428" s="655"/>
      <c r="U428" s="655"/>
      <c r="V428" s="655"/>
      <c r="W428" s="655"/>
      <c r="X428" s="655"/>
      <c r="Y428" s="655"/>
      <c r="Z428" s="655"/>
      <c r="AA428" s="655"/>
    </row>
    <row r="429">
      <c r="B429" s="462"/>
      <c r="C429" s="671"/>
      <c r="D429" s="671"/>
      <c r="E429" s="462"/>
      <c r="F429" s="654"/>
      <c r="G429" s="650"/>
      <c r="H429" s="654"/>
      <c r="I429" s="654"/>
      <c r="J429" s="650"/>
      <c r="K429" s="650"/>
      <c r="L429" s="655"/>
      <c r="M429" s="655"/>
      <c r="N429" s="655"/>
      <c r="O429" s="655"/>
      <c r="P429" s="655"/>
      <c r="Q429" s="655"/>
      <c r="R429" s="655"/>
      <c r="S429" s="655"/>
      <c r="T429" s="655"/>
      <c r="U429" s="655"/>
      <c r="V429" s="655"/>
      <c r="W429" s="655"/>
      <c r="X429" s="655"/>
      <c r="Y429" s="655"/>
      <c r="Z429" s="655"/>
      <c r="AA429" s="655"/>
    </row>
    <row r="430">
      <c r="B430" s="462"/>
      <c r="C430" s="671"/>
      <c r="D430" s="671"/>
      <c r="E430" s="462"/>
      <c r="F430" s="654"/>
      <c r="G430" s="650"/>
      <c r="H430" s="654"/>
      <c r="I430" s="654"/>
      <c r="J430" s="650"/>
      <c r="K430" s="650"/>
      <c r="L430" s="655"/>
      <c r="M430" s="655"/>
      <c r="N430" s="655"/>
      <c r="O430" s="655"/>
      <c r="P430" s="655"/>
      <c r="Q430" s="655"/>
      <c r="R430" s="655"/>
      <c r="S430" s="655"/>
      <c r="T430" s="655"/>
      <c r="U430" s="655"/>
      <c r="V430" s="655"/>
      <c r="W430" s="655"/>
      <c r="X430" s="655"/>
      <c r="Y430" s="655"/>
      <c r="Z430" s="655"/>
      <c r="AA430" s="655"/>
    </row>
    <row r="431">
      <c r="B431" s="462"/>
      <c r="C431" s="671"/>
      <c r="D431" s="671"/>
      <c r="E431" s="462"/>
      <c r="F431" s="654"/>
      <c r="G431" s="650"/>
      <c r="H431" s="654"/>
      <c r="I431" s="654"/>
      <c r="J431" s="650"/>
      <c r="K431" s="650"/>
      <c r="L431" s="655"/>
      <c r="M431" s="655"/>
      <c r="N431" s="655"/>
      <c r="O431" s="655"/>
      <c r="P431" s="655"/>
      <c r="Q431" s="655"/>
      <c r="R431" s="655"/>
      <c r="S431" s="655"/>
      <c r="T431" s="655"/>
      <c r="U431" s="655"/>
      <c r="V431" s="655"/>
      <c r="W431" s="655"/>
      <c r="X431" s="655"/>
      <c r="Y431" s="655"/>
      <c r="Z431" s="655"/>
      <c r="AA431" s="655"/>
    </row>
    <row r="432">
      <c r="B432" s="462"/>
      <c r="C432" s="671"/>
      <c r="D432" s="671"/>
      <c r="E432" s="462"/>
      <c r="F432" s="654"/>
      <c r="G432" s="650"/>
      <c r="H432" s="654"/>
      <c r="I432" s="654"/>
      <c r="J432" s="650"/>
      <c r="K432" s="650"/>
      <c r="L432" s="655"/>
      <c r="M432" s="655"/>
      <c r="N432" s="655"/>
      <c r="O432" s="655"/>
      <c r="P432" s="655"/>
      <c r="Q432" s="655"/>
      <c r="R432" s="655"/>
      <c r="S432" s="655"/>
      <c r="T432" s="655"/>
      <c r="U432" s="655"/>
      <c r="V432" s="655"/>
      <c r="W432" s="655"/>
      <c r="X432" s="655"/>
      <c r="Y432" s="655"/>
      <c r="Z432" s="655"/>
      <c r="AA432" s="655"/>
    </row>
    <row r="433">
      <c r="B433" s="462"/>
      <c r="C433" s="671"/>
      <c r="D433" s="671"/>
      <c r="E433" s="462"/>
      <c r="F433" s="654"/>
      <c r="G433" s="650"/>
      <c r="H433" s="654"/>
      <c r="I433" s="654"/>
      <c r="J433" s="650"/>
      <c r="K433" s="650"/>
      <c r="L433" s="655"/>
      <c r="M433" s="655"/>
      <c r="N433" s="655"/>
      <c r="O433" s="655"/>
      <c r="P433" s="655"/>
      <c r="Q433" s="655"/>
      <c r="R433" s="655"/>
      <c r="S433" s="655"/>
      <c r="T433" s="655"/>
      <c r="U433" s="655"/>
      <c r="V433" s="655"/>
      <c r="W433" s="655"/>
      <c r="X433" s="655"/>
      <c r="Y433" s="655"/>
      <c r="Z433" s="655"/>
      <c r="AA433" s="655"/>
    </row>
    <row r="434">
      <c r="B434" s="462"/>
      <c r="C434" s="671"/>
      <c r="D434" s="671"/>
      <c r="E434" s="462"/>
      <c r="F434" s="654"/>
      <c r="G434" s="650"/>
      <c r="H434" s="654"/>
      <c r="I434" s="654"/>
      <c r="J434" s="650"/>
      <c r="K434" s="650"/>
      <c r="L434" s="655"/>
      <c r="M434" s="655"/>
      <c r="N434" s="655"/>
      <c r="O434" s="655"/>
      <c r="P434" s="655"/>
      <c r="Q434" s="655"/>
      <c r="R434" s="655"/>
      <c r="S434" s="655"/>
      <c r="T434" s="655"/>
      <c r="U434" s="655"/>
      <c r="V434" s="655"/>
      <c r="W434" s="655"/>
      <c r="X434" s="655"/>
      <c r="Y434" s="655"/>
      <c r="Z434" s="655"/>
      <c r="AA434" s="655"/>
    </row>
    <row r="435">
      <c r="B435" s="462"/>
      <c r="C435" s="671"/>
      <c r="D435" s="671"/>
      <c r="E435" s="462"/>
      <c r="F435" s="654"/>
      <c r="G435" s="650"/>
      <c r="H435" s="654"/>
      <c r="I435" s="654"/>
      <c r="J435" s="650"/>
      <c r="K435" s="650"/>
      <c r="L435" s="655"/>
      <c r="M435" s="655"/>
      <c r="N435" s="655"/>
      <c r="O435" s="655"/>
      <c r="P435" s="655"/>
      <c r="Q435" s="655"/>
      <c r="R435" s="655"/>
      <c r="S435" s="655"/>
      <c r="T435" s="655"/>
      <c r="U435" s="655"/>
      <c r="V435" s="655"/>
      <c r="W435" s="655"/>
      <c r="X435" s="655"/>
      <c r="Y435" s="655"/>
      <c r="Z435" s="655"/>
      <c r="AA435" s="655"/>
    </row>
    <row r="436">
      <c r="B436" s="462"/>
      <c r="C436" s="671"/>
      <c r="D436" s="671"/>
      <c r="E436" s="462"/>
      <c r="F436" s="654"/>
      <c r="G436" s="650"/>
      <c r="H436" s="654"/>
      <c r="I436" s="654"/>
      <c r="J436" s="650"/>
      <c r="K436" s="650"/>
      <c r="L436" s="655"/>
      <c r="M436" s="655"/>
      <c r="N436" s="655"/>
      <c r="O436" s="655"/>
      <c r="P436" s="655"/>
      <c r="Q436" s="655"/>
      <c r="R436" s="655"/>
      <c r="S436" s="655"/>
      <c r="T436" s="655"/>
      <c r="U436" s="655"/>
      <c r="V436" s="655"/>
      <c r="W436" s="655"/>
      <c r="X436" s="655"/>
      <c r="Y436" s="655"/>
      <c r="Z436" s="655"/>
      <c r="AA436" s="655"/>
    </row>
    <row r="437">
      <c r="B437" s="462"/>
      <c r="C437" s="671"/>
      <c r="D437" s="671"/>
      <c r="E437" s="462"/>
      <c r="F437" s="654"/>
      <c r="G437" s="650"/>
      <c r="H437" s="654"/>
      <c r="I437" s="654"/>
      <c r="J437" s="650"/>
      <c r="K437" s="650"/>
      <c r="L437" s="655"/>
      <c r="M437" s="655"/>
      <c r="N437" s="655"/>
      <c r="O437" s="655"/>
      <c r="P437" s="655"/>
      <c r="Q437" s="655"/>
      <c r="R437" s="655"/>
      <c r="S437" s="655"/>
      <c r="T437" s="655"/>
      <c r="U437" s="655"/>
      <c r="V437" s="655"/>
      <c r="W437" s="655"/>
      <c r="X437" s="655"/>
      <c r="Y437" s="655"/>
      <c r="Z437" s="655"/>
      <c r="AA437" s="655"/>
    </row>
    <row r="438">
      <c r="B438" s="462"/>
      <c r="C438" s="671"/>
      <c r="D438" s="671"/>
      <c r="E438" s="462"/>
      <c r="F438" s="654"/>
      <c r="G438" s="650"/>
      <c r="H438" s="654"/>
      <c r="I438" s="654"/>
      <c r="J438" s="650"/>
      <c r="K438" s="650"/>
      <c r="L438" s="655"/>
      <c r="M438" s="655"/>
      <c r="N438" s="655"/>
      <c r="O438" s="655"/>
      <c r="P438" s="655"/>
      <c r="Q438" s="655"/>
      <c r="R438" s="655"/>
      <c r="S438" s="655"/>
      <c r="T438" s="655"/>
      <c r="U438" s="655"/>
      <c r="V438" s="655"/>
      <c r="W438" s="655"/>
      <c r="X438" s="655"/>
      <c r="Y438" s="655"/>
      <c r="Z438" s="655"/>
      <c r="AA438" s="655"/>
    </row>
    <row r="439">
      <c r="B439" s="462"/>
      <c r="C439" s="671"/>
      <c r="D439" s="671"/>
      <c r="E439" s="462"/>
      <c r="F439" s="654"/>
      <c r="G439" s="650"/>
      <c r="H439" s="654"/>
      <c r="I439" s="654"/>
      <c r="J439" s="650"/>
      <c r="K439" s="650"/>
      <c r="L439" s="655"/>
      <c r="M439" s="655"/>
      <c r="N439" s="655"/>
      <c r="O439" s="655"/>
      <c r="P439" s="655"/>
      <c r="Q439" s="655"/>
      <c r="R439" s="655"/>
      <c r="S439" s="655"/>
      <c r="T439" s="655"/>
      <c r="U439" s="655"/>
      <c r="V439" s="655"/>
      <c r="W439" s="655"/>
      <c r="X439" s="655"/>
      <c r="Y439" s="655"/>
      <c r="Z439" s="655"/>
      <c r="AA439" s="655"/>
    </row>
    <row r="440">
      <c r="B440" s="462"/>
      <c r="C440" s="671"/>
      <c r="D440" s="671"/>
      <c r="E440" s="462"/>
      <c r="F440" s="654"/>
      <c r="G440" s="650"/>
      <c r="H440" s="654"/>
      <c r="I440" s="654"/>
      <c r="J440" s="650"/>
      <c r="K440" s="650"/>
      <c r="L440" s="655"/>
      <c r="M440" s="655"/>
      <c r="N440" s="655"/>
      <c r="O440" s="655"/>
      <c r="P440" s="655"/>
      <c r="Q440" s="655"/>
      <c r="R440" s="655"/>
      <c r="S440" s="655"/>
      <c r="T440" s="655"/>
      <c r="U440" s="655"/>
      <c r="V440" s="655"/>
      <c r="W440" s="655"/>
      <c r="X440" s="655"/>
      <c r="Y440" s="655"/>
      <c r="Z440" s="655"/>
      <c r="AA440" s="655"/>
    </row>
    <row r="441">
      <c r="B441" s="462"/>
      <c r="C441" s="671"/>
      <c r="D441" s="671"/>
      <c r="E441" s="462"/>
      <c r="F441" s="654"/>
      <c r="G441" s="650"/>
      <c r="H441" s="654"/>
      <c r="I441" s="654"/>
      <c r="J441" s="650"/>
      <c r="K441" s="650"/>
      <c r="L441" s="655"/>
      <c r="M441" s="655"/>
      <c r="N441" s="655"/>
      <c r="O441" s="655"/>
      <c r="P441" s="655"/>
      <c r="Q441" s="655"/>
      <c r="R441" s="655"/>
      <c r="S441" s="655"/>
      <c r="T441" s="655"/>
      <c r="U441" s="655"/>
      <c r="V441" s="655"/>
      <c r="W441" s="655"/>
      <c r="X441" s="655"/>
      <c r="Y441" s="655"/>
      <c r="Z441" s="655"/>
      <c r="AA441" s="655"/>
    </row>
    <row r="442">
      <c r="B442" s="462"/>
      <c r="C442" s="671"/>
      <c r="D442" s="671"/>
      <c r="E442" s="462"/>
      <c r="F442" s="654"/>
      <c r="G442" s="650"/>
      <c r="H442" s="654"/>
      <c r="I442" s="654"/>
      <c r="J442" s="650"/>
      <c r="K442" s="650"/>
      <c r="L442" s="655"/>
      <c r="M442" s="655"/>
      <c r="N442" s="655"/>
      <c r="O442" s="655"/>
      <c r="P442" s="655"/>
      <c r="Q442" s="655"/>
      <c r="R442" s="655"/>
      <c r="S442" s="655"/>
      <c r="T442" s="655"/>
      <c r="U442" s="655"/>
      <c r="V442" s="655"/>
      <c r="W442" s="655"/>
      <c r="X442" s="655"/>
      <c r="Y442" s="655"/>
      <c r="Z442" s="655"/>
      <c r="AA442" s="655"/>
    </row>
    <row r="443">
      <c r="B443" s="462"/>
      <c r="C443" s="671"/>
      <c r="D443" s="671"/>
      <c r="E443" s="462"/>
      <c r="F443" s="654"/>
      <c r="G443" s="650"/>
      <c r="H443" s="654"/>
      <c r="I443" s="654"/>
      <c r="J443" s="650"/>
      <c r="K443" s="650"/>
      <c r="L443" s="655"/>
      <c r="M443" s="655"/>
      <c r="N443" s="655"/>
      <c r="O443" s="655"/>
      <c r="P443" s="655"/>
      <c r="Q443" s="655"/>
      <c r="R443" s="655"/>
      <c r="S443" s="655"/>
      <c r="T443" s="655"/>
      <c r="U443" s="655"/>
      <c r="V443" s="655"/>
      <c r="W443" s="655"/>
      <c r="X443" s="655"/>
      <c r="Y443" s="655"/>
      <c r="Z443" s="655"/>
      <c r="AA443" s="655"/>
    </row>
    <row r="444">
      <c r="B444" s="462"/>
      <c r="C444" s="671"/>
      <c r="D444" s="671"/>
      <c r="E444" s="462"/>
      <c r="F444" s="654"/>
      <c r="G444" s="650"/>
      <c r="H444" s="654"/>
      <c r="I444" s="654"/>
      <c r="J444" s="650"/>
      <c r="K444" s="650"/>
      <c r="L444" s="655"/>
      <c r="M444" s="655"/>
      <c r="N444" s="655"/>
      <c r="O444" s="655"/>
      <c r="P444" s="655"/>
      <c r="Q444" s="655"/>
      <c r="R444" s="655"/>
      <c r="S444" s="655"/>
      <c r="T444" s="655"/>
      <c r="U444" s="655"/>
      <c r="V444" s="655"/>
      <c r="W444" s="655"/>
      <c r="X444" s="655"/>
      <c r="Y444" s="655"/>
      <c r="Z444" s="655"/>
      <c r="AA444" s="655"/>
    </row>
    <row r="445">
      <c r="B445" s="462"/>
      <c r="C445" s="671"/>
      <c r="D445" s="671"/>
      <c r="E445" s="462"/>
      <c r="F445" s="654"/>
      <c r="G445" s="650"/>
      <c r="H445" s="654"/>
      <c r="I445" s="654"/>
      <c r="J445" s="650"/>
      <c r="K445" s="650"/>
      <c r="L445" s="655"/>
      <c r="M445" s="655"/>
      <c r="N445" s="655"/>
      <c r="O445" s="655"/>
      <c r="P445" s="655"/>
      <c r="Q445" s="655"/>
      <c r="R445" s="655"/>
      <c r="S445" s="655"/>
      <c r="T445" s="655"/>
      <c r="U445" s="655"/>
      <c r="V445" s="655"/>
      <c r="W445" s="655"/>
      <c r="X445" s="655"/>
      <c r="Y445" s="655"/>
      <c r="Z445" s="655"/>
      <c r="AA445" s="655"/>
    </row>
    <row r="446">
      <c r="B446" s="462"/>
      <c r="C446" s="671"/>
      <c r="D446" s="671"/>
      <c r="E446" s="462"/>
      <c r="F446" s="654"/>
      <c r="G446" s="650"/>
      <c r="H446" s="654"/>
      <c r="I446" s="654"/>
      <c r="J446" s="650"/>
      <c r="K446" s="650"/>
      <c r="L446" s="655"/>
      <c r="M446" s="655"/>
      <c r="N446" s="655"/>
      <c r="O446" s="655"/>
      <c r="P446" s="655"/>
      <c r="Q446" s="655"/>
      <c r="R446" s="655"/>
      <c r="S446" s="655"/>
      <c r="T446" s="655"/>
      <c r="U446" s="655"/>
      <c r="V446" s="655"/>
      <c r="W446" s="655"/>
      <c r="X446" s="655"/>
      <c r="Y446" s="655"/>
      <c r="Z446" s="655"/>
      <c r="AA446" s="655"/>
    </row>
    <row r="447">
      <c r="B447" s="462"/>
      <c r="C447" s="671"/>
      <c r="D447" s="671"/>
      <c r="E447" s="462"/>
      <c r="F447" s="654"/>
      <c r="G447" s="650"/>
      <c r="H447" s="654"/>
      <c r="I447" s="654"/>
      <c r="J447" s="650"/>
      <c r="K447" s="650"/>
      <c r="L447" s="655"/>
      <c r="M447" s="655"/>
      <c r="N447" s="655"/>
      <c r="O447" s="655"/>
      <c r="P447" s="655"/>
      <c r="Q447" s="655"/>
      <c r="R447" s="655"/>
      <c r="S447" s="655"/>
      <c r="T447" s="655"/>
      <c r="U447" s="655"/>
      <c r="V447" s="655"/>
      <c r="W447" s="655"/>
      <c r="X447" s="655"/>
      <c r="Y447" s="655"/>
      <c r="Z447" s="655"/>
      <c r="AA447" s="655"/>
    </row>
    <row r="448">
      <c r="B448" s="462"/>
      <c r="C448" s="671"/>
      <c r="D448" s="671"/>
      <c r="E448" s="462"/>
      <c r="F448" s="654"/>
      <c r="G448" s="650"/>
      <c r="H448" s="654"/>
      <c r="I448" s="654"/>
      <c r="J448" s="650"/>
      <c r="K448" s="650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  <c r="AA448" s="655"/>
    </row>
    <row r="449">
      <c r="B449" s="462"/>
      <c r="C449" s="671"/>
      <c r="D449" s="671"/>
      <c r="E449" s="462"/>
      <c r="F449" s="654"/>
      <c r="G449" s="650"/>
      <c r="H449" s="654"/>
      <c r="I449" s="654"/>
      <c r="J449" s="650"/>
      <c r="K449" s="650"/>
      <c r="L449" s="655"/>
      <c r="M449" s="655"/>
      <c r="N449" s="655"/>
      <c r="O449" s="655"/>
      <c r="P449" s="655"/>
      <c r="Q449" s="655"/>
      <c r="R449" s="655"/>
      <c r="S449" s="655"/>
      <c r="T449" s="655"/>
      <c r="U449" s="655"/>
      <c r="V449" s="655"/>
      <c r="W449" s="655"/>
      <c r="X449" s="655"/>
      <c r="Y449" s="655"/>
      <c r="Z449" s="655"/>
      <c r="AA449" s="655"/>
    </row>
    <row r="450">
      <c r="B450" s="462"/>
      <c r="C450" s="671"/>
      <c r="D450" s="671"/>
      <c r="E450" s="462"/>
      <c r="F450" s="654"/>
      <c r="G450" s="650"/>
      <c r="H450" s="654"/>
      <c r="I450" s="654"/>
      <c r="J450" s="650"/>
      <c r="K450" s="650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5"/>
    </row>
    <row r="451">
      <c r="B451" s="462"/>
      <c r="C451" s="671"/>
      <c r="D451" s="671"/>
      <c r="E451" s="462"/>
      <c r="F451" s="654"/>
      <c r="G451" s="650"/>
      <c r="H451" s="654"/>
      <c r="I451" s="654"/>
      <c r="J451" s="650"/>
      <c r="K451" s="650"/>
      <c r="L451" s="655"/>
      <c r="M451" s="655"/>
      <c r="N451" s="655"/>
      <c r="O451" s="655"/>
      <c r="P451" s="655"/>
      <c r="Q451" s="655"/>
      <c r="R451" s="655"/>
      <c r="S451" s="655"/>
      <c r="T451" s="655"/>
      <c r="U451" s="655"/>
      <c r="V451" s="655"/>
      <c r="W451" s="655"/>
      <c r="X451" s="655"/>
      <c r="Y451" s="655"/>
      <c r="Z451" s="655"/>
      <c r="AA451" s="655"/>
    </row>
    <row r="452">
      <c r="B452" s="462"/>
      <c r="C452" s="671"/>
      <c r="D452" s="671"/>
      <c r="E452" s="462"/>
      <c r="F452" s="654"/>
      <c r="G452" s="650"/>
      <c r="H452" s="654"/>
      <c r="I452" s="654"/>
      <c r="J452" s="650"/>
      <c r="K452" s="650"/>
      <c r="L452" s="655"/>
      <c r="M452" s="655"/>
      <c r="N452" s="655"/>
      <c r="O452" s="655"/>
      <c r="P452" s="655"/>
      <c r="Q452" s="655"/>
      <c r="R452" s="655"/>
      <c r="S452" s="655"/>
      <c r="T452" s="655"/>
      <c r="U452" s="655"/>
      <c r="V452" s="655"/>
      <c r="W452" s="655"/>
      <c r="X452" s="655"/>
      <c r="Y452" s="655"/>
      <c r="Z452" s="655"/>
      <c r="AA452" s="655"/>
    </row>
    <row r="453">
      <c r="B453" s="462"/>
      <c r="C453" s="671"/>
      <c r="D453" s="671"/>
      <c r="E453" s="462"/>
      <c r="F453" s="654"/>
      <c r="G453" s="650"/>
      <c r="H453" s="654"/>
      <c r="I453" s="654"/>
      <c r="J453" s="650"/>
      <c r="K453" s="650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55"/>
    </row>
    <row r="454">
      <c r="B454" s="462"/>
      <c r="C454" s="671"/>
      <c r="D454" s="671"/>
      <c r="E454" s="462"/>
      <c r="F454" s="654"/>
      <c r="G454" s="650"/>
      <c r="H454" s="654"/>
      <c r="I454" s="654"/>
      <c r="J454" s="650"/>
      <c r="K454" s="650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55"/>
    </row>
    <row r="455">
      <c r="B455" s="462"/>
      <c r="C455" s="671"/>
      <c r="D455" s="671"/>
      <c r="E455" s="462"/>
      <c r="F455" s="654"/>
      <c r="G455" s="650"/>
      <c r="H455" s="654"/>
      <c r="I455" s="654"/>
      <c r="J455" s="650"/>
      <c r="K455" s="650"/>
      <c r="L455" s="655"/>
      <c r="M455" s="655"/>
      <c r="N455" s="655"/>
      <c r="O455" s="655"/>
      <c r="P455" s="655"/>
      <c r="Q455" s="655"/>
      <c r="R455" s="655"/>
      <c r="S455" s="655"/>
      <c r="T455" s="655"/>
      <c r="U455" s="655"/>
      <c r="V455" s="655"/>
      <c r="W455" s="655"/>
      <c r="X455" s="655"/>
      <c r="Y455" s="655"/>
      <c r="Z455" s="655"/>
      <c r="AA455" s="655"/>
    </row>
    <row r="456">
      <c r="B456" s="462"/>
      <c r="C456" s="671"/>
      <c r="D456" s="671"/>
      <c r="E456" s="462"/>
      <c r="F456" s="654"/>
      <c r="G456" s="650"/>
      <c r="H456" s="654"/>
      <c r="I456" s="654"/>
      <c r="J456" s="650"/>
      <c r="K456" s="650"/>
      <c r="L456" s="655"/>
      <c r="M456" s="655"/>
      <c r="N456" s="655"/>
      <c r="O456" s="655"/>
      <c r="P456" s="655"/>
      <c r="Q456" s="655"/>
      <c r="R456" s="655"/>
      <c r="S456" s="655"/>
      <c r="T456" s="655"/>
      <c r="U456" s="655"/>
      <c r="V456" s="655"/>
      <c r="W456" s="655"/>
      <c r="X456" s="655"/>
      <c r="Y456" s="655"/>
      <c r="Z456" s="655"/>
      <c r="AA456" s="655"/>
    </row>
    <row r="457">
      <c r="B457" s="462"/>
      <c r="C457" s="671"/>
      <c r="D457" s="671"/>
      <c r="E457" s="462"/>
      <c r="F457" s="654"/>
      <c r="G457" s="650"/>
      <c r="H457" s="654"/>
      <c r="I457" s="654"/>
      <c r="J457" s="650"/>
      <c r="K457" s="650"/>
      <c r="L457" s="655"/>
      <c r="M457" s="655"/>
      <c r="N457" s="655"/>
      <c r="O457" s="655"/>
      <c r="P457" s="655"/>
      <c r="Q457" s="655"/>
      <c r="R457" s="655"/>
      <c r="S457" s="655"/>
      <c r="T457" s="655"/>
      <c r="U457" s="655"/>
      <c r="V457" s="655"/>
      <c r="W457" s="655"/>
      <c r="X457" s="655"/>
      <c r="Y457" s="655"/>
      <c r="Z457" s="655"/>
      <c r="AA457" s="655"/>
    </row>
    <row r="458">
      <c r="B458" s="462"/>
      <c r="C458" s="671"/>
      <c r="D458" s="671"/>
      <c r="E458" s="462"/>
      <c r="F458" s="654"/>
      <c r="G458" s="650"/>
      <c r="H458" s="654"/>
      <c r="I458" s="654"/>
      <c r="J458" s="650"/>
      <c r="K458" s="650"/>
      <c r="L458" s="655"/>
      <c r="M458" s="655"/>
      <c r="N458" s="655"/>
      <c r="O458" s="655"/>
      <c r="P458" s="655"/>
      <c r="Q458" s="655"/>
      <c r="R458" s="655"/>
      <c r="S458" s="655"/>
      <c r="T458" s="655"/>
      <c r="U458" s="655"/>
      <c r="V458" s="655"/>
      <c r="W458" s="655"/>
      <c r="X458" s="655"/>
      <c r="Y458" s="655"/>
      <c r="Z458" s="655"/>
      <c r="AA458" s="655"/>
    </row>
    <row r="459">
      <c r="B459" s="462"/>
      <c r="C459" s="671"/>
      <c r="D459" s="671"/>
      <c r="E459" s="462"/>
      <c r="F459" s="654"/>
      <c r="G459" s="650"/>
      <c r="H459" s="654"/>
      <c r="I459" s="654"/>
      <c r="J459" s="650"/>
      <c r="K459" s="650"/>
      <c r="L459" s="655"/>
      <c r="M459" s="655"/>
      <c r="N459" s="655"/>
      <c r="O459" s="655"/>
      <c r="P459" s="655"/>
      <c r="Q459" s="655"/>
      <c r="R459" s="655"/>
      <c r="S459" s="655"/>
      <c r="T459" s="655"/>
      <c r="U459" s="655"/>
      <c r="V459" s="655"/>
      <c r="W459" s="655"/>
      <c r="X459" s="655"/>
      <c r="Y459" s="655"/>
      <c r="Z459" s="655"/>
      <c r="AA459" s="655"/>
    </row>
    <row r="460">
      <c r="B460" s="462"/>
      <c r="C460" s="671"/>
      <c r="D460" s="671"/>
      <c r="E460" s="462"/>
      <c r="F460" s="654"/>
      <c r="G460" s="650"/>
      <c r="H460" s="654"/>
      <c r="I460" s="654"/>
      <c r="J460" s="650"/>
      <c r="K460" s="650"/>
      <c r="L460" s="655"/>
      <c r="M460" s="655"/>
      <c r="N460" s="655"/>
      <c r="O460" s="655"/>
      <c r="P460" s="655"/>
      <c r="Q460" s="655"/>
      <c r="R460" s="655"/>
      <c r="S460" s="655"/>
      <c r="T460" s="655"/>
      <c r="U460" s="655"/>
      <c r="V460" s="655"/>
      <c r="W460" s="655"/>
      <c r="X460" s="655"/>
      <c r="Y460" s="655"/>
      <c r="Z460" s="655"/>
      <c r="AA460" s="655"/>
    </row>
    <row r="461">
      <c r="B461" s="462"/>
      <c r="C461" s="671"/>
      <c r="D461" s="671"/>
      <c r="E461" s="462"/>
      <c r="F461" s="654"/>
      <c r="G461" s="650"/>
      <c r="H461" s="654"/>
      <c r="I461" s="654"/>
      <c r="J461" s="650"/>
      <c r="K461" s="650"/>
      <c r="L461" s="655"/>
      <c r="M461" s="655"/>
      <c r="N461" s="655"/>
      <c r="O461" s="655"/>
      <c r="P461" s="655"/>
      <c r="Q461" s="655"/>
      <c r="R461" s="655"/>
      <c r="S461" s="655"/>
      <c r="T461" s="655"/>
      <c r="U461" s="655"/>
      <c r="V461" s="655"/>
      <c r="W461" s="655"/>
      <c r="X461" s="655"/>
      <c r="Y461" s="655"/>
      <c r="Z461" s="655"/>
      <c r="AA461" s="655"/>
    </row>
    <row r="462">
      <c r="B462" s="462"/>
      <c r="C462" s="671"/>
      <c r="D462" s="671"/>
      <c r="E462" s="462"/>
      <c r="F462" s="654"/>
      <c r="G462" s="650"/>
      <c r="H462" s="654"/>
      <c r="I462" s="654"/>
      <c r="J462" s="650"/>
      <c r="K462" s="650"/>
      <c r="L462" s="655"/>
      <c r="M462" s="655"/>
      <c r="N462" s="655"/>
      <c r="O462" s="655"/>
      <c r="P462" s="655"/>
      <c r="Q462" s="655"/>
      <c r="R462" s="655"/>
      <c r="S462" s="655"/>
      <c r="T462" s="655"/>
      <c r="U462" s="655"/>
      <c r="V462" s="655"/>
      <c r="W462" s="655"/>
      <c r="X462" s="655"/>
      <c r="Y462" s="655"/>
      <c r="Z462" s="655"/>
      <c r="AA462" s="655"/>
    </row>
    <row r="463">
      <c r="B463" s="462"/>
      <c r="C463" s="671"/>
      <c r="D463" s="671"/>
      <c r="E463" s="462"/>
      <c r="F463" s="654"/>
      <c r="G463" s="650"/>
      <c r="H463" s="654"/>
      <c r="I463" s="654"/>
      <c r="J463" s="650"/>
      <c r="K463" s="650"/>
      <c r="L463" s="655"/>
      <c r="M463" s="655"/>
      <c r="N463" s="655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  <c r="AA463" s="655"/>
    </row>
    <row r="464">
      <c r="B464" s="462"/>
      <c r="C464" s="671"/>
      <c r="D464" s="671"/>
      <c r="E464" s="462"/>
      <c r="F464" s="654"/>
      <c r="G464" s="650"/>
      <c r="H464" s="654"/>
      <c r="I464" s="654"/>
      <c r="J464" s="650"/>
      <c r="K464" s="650"/>
      <c r="L464" s="655"/>
      <c r="M464" s="655"/>
      <c r="N464" s="655"/>
      <c r="O464" s="655"/>
      <c r="P464" s="655"/>
      <c r="Q464" s="655"/>
      <c r="R464" s="655"/>
      <c r="S464" s="655"/>
      <c r="T464" s="655"/>
      <c r="U464" s="655"/>
      <c r="V464" s="655"/>
      <c r="W464" s="655"/>
      <c r="X464" s="655"/>
      <c r="Y464" s="655"/>
      <c r="Z464" s="655"/>
      <c r="AA464" s="655"/>
    </row>
    <row r="465">
      <c r="B465" s="462"/>
      <c r="C465" s="671"/>
      <c r="D465" s="671"/>
      <c r="E465" s="462"/>
      <c r="F465" s="654"/>
      <c r="G465" s="650"/>
      <c r="H465" s="654"/>
      <c r="I465" s="654"/>
      <c r="J465" s="650"/>
      <c r="K465" s="650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655"/>
    </row>
    <row r="466">
      <c r="B466" s="462"/>
      <c r="C466" s="671"/>
      <c r="D466" s="671"/>
      <c r="E466" s="462"/>
      <c r="F466" s="654"/>
      <c r="G466" s="650"/>
      <c r="H466" s="654"/>
      <c r="I466" s="654"/>
      <c r="J466" s="650"/>
      <c r="K466" s="650"/>
      <c r="L466" s="655"/>
      <c r="M466" s="655"/>
      <c r="N466" s="655"/>
      <c r="O466" s="655"/>
      <c r="P466" s="655"/>
      <c r="Q466" s="655"/>
      <c r="R466" s="655"/>
      <c r="S466" s="655"/>
      <c r="T466" s="655"/>
      <c r="U466" s="655"/>
      <c r="V466" s="655"/>
      <c r="W466" s="655"/>
      <c r="X466" s="655"/>
      <c r="Y466" s="655"/>
      <c r="Z466" s="655"/>
      <c r="AA466" s="655"/>
    </row>
    <row r="467">
      <c r="B467" s="462"/>
      <c r="C467" s="671"/>
      <c r="D467" s="671"/>
      <c r="E467" s="462"/>
      <c r="F467" s="654"/>
      <c r="G467" s="650"/>
      <c r="H467" s="654"/>
      <c r="I467" s="654"/>
      <c r="J467" s="650"/>
      <c r="K467" s="650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5"/>
    </row>
    <row r="468">
      <c r="B468" s="462"/>
      <c r="C468" s="671"/>
      <c r="D468" s="671"/>
      <c r="E468" s="462"/>
      <c r="F468" s="654"/>
      <c r="G468" s="650"/>
      <c r="H468" s="654"/>
      <c r="I468" s="654"/>
      <c r="J468" s="650"/>
      <c r="K468" s="650"/>
      <c r="L468" s="655"/>
      <c r="M468" s="655"/>
      <c r="N468" s="655"/>
      <c r="O468" s="655"/>
      <c r="P468" s="655"/>
      <c r="Q468" s="655"/>
      <c r="R468" s="655"/>
      <c r="S468" s="655"/>
      <c r="T468" s="655"/>
      <c r="U468" s="655"/>
      <c r="V468" s="655"/>
      <c r="W468" s="655"/>
      <c r="X468" s="655"/>
      <c r="Y468" s="655"/>
      <c r="Z468" s="655"/>
      <c r="AA468" s="655"/>
    </row>
    <row r="469">
      <c r="B469" s="462"/>
      <c r="C469" s="671"/>
      <c r="D469" s="671"/>
      <c r="E469" s="462"/>
      <c r="F469" s="654"/>
      <c r="G469" s="650"/>
      <c r="H469" s="654"/>
      <c r="I469" s="654"/>
      <c r="J469" s="650"/>
      <c r="K469" s="650"/>
      <c r="L469" s="655"/>
      <c r="M469" s="655"/>
      <c r="N469" s="655"/>
      <c r="O469" s="655"/>
      <c r="P469" s="655"/>
      <c r="Q469" s="655"/>
      <c r="R469" s="655"/>
      <c r="S469" s="655"/>
      <c r="T469" s="655"/>
      <c r="U469" s="655"/>
      <c r="V469" s="655"/>
      <c r="W469" s="655"/>
      <c r="X469" s="655"/>
      <c r="Y469" s="655"/>
      <c r="Z469" s="655"/>
      <c r="AA469" s="655"/>
    </row>
    <row r="470">
      <c r="B470" s="462"/>
      <c r="C470" s="671"/>
      <c r="D470" s="671"/>
      <c r="E470" s="462"/>
      <c r="F470" s="654"/>
      <c r="G470" s="650"/>
      <c r="H470" s="654"/>
      <c r="I470" s="654"/>
      <c r="J470" s="650"/>
      <c r="K470" s="650"/>
      <c r="L470" s="655"/>
      <c r="M470" s="655"/>
      <c r="N470" s="655"/>
      <c r="O470" s="655"/>
      <c r="P470" s="655"/>
      <c r="Q470" s="655"/>
      <c r="R470" s="655"/>
      <c r="S470" s="655"/>
      <c r="T470" s="655"/>
      <c r="U470" s="655"/>
      <c r="V470" s="655"/>
      <c r="W470" s="655"/>
      <c r="X470" s="655"/>
      <c r="Y470" s="655"/>
      <c r="Z470" s="655"/>
      <c r="AA470" s="655"/>
    </row>
    <row r="471">
      <c r="B471" s="462"/>
      <c r="C471" s="671"/>
      <c r="D471" s="671"/>
      <c r="E471" s="462"/>
      <c r="F471" s="654"/>
      <c r="G471" s="650"/>
      <c r="H471" s="654"/>
      <c r="I471" s="654"/>
      <c r="J471" s="650"/>
      <c r="K471" s="650"/>
      <c r="L471" s="655"/>
      <c r="M471" s="655"/>
      <c r="N471" s="655"/>
      <c r="O471" s="655"/>
      <c r="P471" s="655"/>
      <c r="Q471" s="655"/>
      <c r="R471" s="655"/>
      <c r="S471" s="655"/>
      <c r="T471" s="655"/>
      <c r="U471" s="655"/>
      <c r="V471" s="655"/>
      <c r="W471" s="655"/>
      <c r="X471" s="655"/>
      <c r="Y471" s="655"/>
      <c r="Z471" s="655"/>
      <c r="AA471" s="655"/>
    </row>
    <row r="472">
      <c r="B472" s="462"/>
      <c r="C472" s="671"/>
      <c r="D472" s="671"/>
      <c r="E472" s="462"/>
      <c r="F472" s="654"/>
      <c r="G472" s="650"/>
      <c r="H472" s="654"/>
      <c r="I472" s="654"/>
      <c r="J472" s="650"/>
      <c r="K472" s="650"/>
      <c r="L472" s="655"/>
      <c r="M472" s="655"/>
      <c r="N472" s="655"/>
      <c r="O472" s="655"/>
      <c r="P472" s="655"/>
      <c r="Q472" s="655"/>
      <c r="R472" s="655"/>
      <c r="S472" s="655"/>
      <c r="T472" s="655"/>
      <c r="U472" s="655"/>
      <c r="V472" s="655"/>
      <c r="W472" s="655"/>
      <c r="X472" s="655"/>
      <c r="Y472" s="655"/>
      <c r="Z472" s="655"/>
      <c r="AA472" s="655"/>
    </row>
    <row r="473">
      <c r="B473" s="462"/>
      <c r="C473" s="671"/>
      <c r="D473" s="671"/>
      <c r="E473" s="462"/>
      <c r="F473" s="654"/>
      <c r="G473" s="650"/>
      <c r="H473" s="654"/>
      <c r="I473" s="654"/>
      <c r="J473" s="650"/>
      <c r="K473" s="650"/>
      <c r="L473" s="655"/>
      <c r="M473" s="655"/>
      <c r="N473" s="655"/>
      <c r="O473" s="655"/>
      <c r="P473" s="655"/>
      <c r="Q473" s="655"/>
      <c r="R473" s="655"/>
      <c r="S473" s="655"/>
      <c r="T473" s="655"/>
      <c r="U473" s="655"/>
      <c r="V473" s="655"/>
      <c r="W473" s="655"/>
      <c r="X473" s="655"/>
      <c r="Y473" s="655"/>
      <c r="Z473" s="655"/>
      <c r="AA473" s="655"/>
    </row>
    <row r="474">
      <c r="B474" s="462"/>
      <c r="C474" s="671"/>
      <c r="D474" s="671"/>
      <c r="E474" s="462"/>
      <c r="F474" s="654"/>
      <c r="G474" s="650"/>
      <c r="H474" s="654"/>
      <c r="I474" s="654"/>
      <c r="J474" s="650"/>
      <c r="K474" s="650"/>
      <c r="L474" s="655"/>
      <c r="M474" s="655"/>
      <c r="N474" s="655"/>
      <c r="O474" s="655"/>
      <c r="P474" s="655"/>
      <c r="Q474" s="655"/>
      <c r="R474" s="655"/>
      <c r="S474" s="655"/>
      <c r="T474" s="655"/>
      <c r="U474" s="655"/>
      <c r="V474" s="655"/>
      <c r="W474" s="655"/>
      <c r="X474" s="655"/>
      <c r="Y474" s="655"/>
      <c r="Z474" s="655"/>
      <c r="AA474" s="655"/>
    </row>
    <row r="475">
      <c r="B475" s="462"/>
      <c r="C475" s="671"/>
      <c r="D475" s="671"/>
      <c r="E475" s="462"/>
      <c r="F475" s="654"/>
      <c r="G475" s="650"/>
      <c r="H475" s="654"/>
      <c r="I475" s="654"/>
      <c r="J475" s="650"/>
      <c r="K475" s="650"/>
      <c r="L475" s="655"/>
      <c r="M475" s="655"/>
      <c r="N475" s="655"/>
      <c r="O475" s="655"/>
      <c r="P475" s="655"/>
      <c r="Q475" s="655"/>
      <c r="R475" s="655"/>
      <c r="S475" s="655"/>
      <c r="T475" s="655"/>
      <c r="U475" s="655"/>
      <c r="V475" s="655"/>
      <c r="W475" s="655"/>
      <c r="X475" s="655"/>
      <c r="Y475" s="655"/>
      <c r="Z475" s="655"/>
      <c r="AA475" s="655"/>
    </row>
    <row r="476">
      <c r="B476" s="462"/>
      <c r="C476" s="671"/>
      <c r="D476" s="671"/>
      <c r="E476" s="462"/>
      <c r="F476" s="654"/>
      <c r="G476" s="650"/>
      <c r="H476" s="654"/>
      <c r="I476" s="654"/>
      <c r="J476" s="650"/>
      <c r="K476" s="650"/>
      <c r="L476" s="655"/>
      <c r="M476" s="655"/>
      <c r="N476" s="655"/>
      <c r="O476" s="655"/>
      <c r="P476" s="655"/>
      <c r="Q476" s="655"/>
      <c r="R476" s="655"/>
      <c r="S476" s="655"/>
      <c r="T476" s="655"/>
      <c r="U476" s="655"/>
      <c r="V476" s="655"/>
      <c r="W476" s="655"/>
      <c r="X476" s="655"/>
      <c r="Y476" s="655"/>
      <c r="Z476" s="655"/>
      <c r="AA476" s="655"/>
    </row>
    <row r="477">
      <c r="B477" s="462"/>
      <c r="C477" s="671"/>
      <c r="D477" s="671"/>
      <c r="E477" s="462"/>
      <c r="F477" s="654"/>
      <c r="G477" s="650"/>
      <c r="H477" s="654"/>
      <c r="I477" s="654"/>
      <c r="J477" s="650"/>
      <c r="K477" s="650"/>
      <c r="L477" s="655"/>
      <c r="M477" s="655"/>
      <c r="N477" s="655"/>
      <c r="O477" s="655"/>
      <c r="P477" s="655"/>
      <c r="Q477" s="655"/>
      <c r="R477" s="655"/>
      <c r="S477" s="655"/>
      <c r="T477" s="655"/>
      <c r="U477" s="655"/>
      <c r="V477" s="655"/>
      <c r="W477" s="655"/>
      <c r="X477" s="655"/>
      <c r="Y477" s="655"/>
      <c r="Z477" s="655"/>
      <c r="AA477" s="655"/>
    </row>
    <row r="478">
      <c r="B478" s="462"/>
      <c r="C478" s="671"/>
      <c r="D478" s="671"/>
      <c r="E478" s="462"/>
      <c r="F478" s="654"/>
      <c r="G478" s="650"/>
      <c r="H478" s="654"/>
      <c r="I478" s="654"/>
      <c r="J478" s="650"/>
      <c r="K478" s="650"/>
      <c r="L478" s="655"/>
      <c r="M478" s="655"/>
      <c r="N478" s="655"/>
      <c r="O478" s="655"/>
      <c r="P478" s="655"/>
      <c r="Q478" s="655"/>
      <c r="R478" s="655"/>
      <c r="S478" s="655"/>
      <c r="T478" s="655"/>
      <c r="U478" s="655"/>
      <c r="V478" s="655"/>
      <c r="W478" s="655"/>
      <c r="X478" s="655"/>
      <c r="Y478" s="655"/>
      <c r="Z478" s="655"/>
      <c r="AA478" s="655"/>
    </row>
    <row r="479">
      <c r="B479" s="462"/>
      <c r="C479" s="671"/>
      <c r="D479" s="671"/>
      <c r="E479" s="462"/>
      <c r="F479" s="654"/>
      <c r="G479" s="650"/>
      <c r="H479" s="654"/>
      <c r="I479" s="654"/>
      <c r="J479" s="650"/>
      <c r="K479" s="650"/>
      <c r="L479" s="655"/>
      <c r="M479" s="655"/>
      <c r="N479" s="655"/>
      <c r="O479" s="655"/>
      <c r="P479" s="655"/>
      <c r="Q479" s="655"/>
      <c r="R479" s="655"/>
      <c r="S479" s="655"/>
      <c r="T479" s="655"/>
      <c r="U479" s="655"/>
      <c r="V479" s="655"/>
      <c r="W479" s="655"/>
      <c r="X479" s="655"/>
      <c r="Y479" s="655"/>
      <c r="Z479" s="655"/>
      <c r="AA479" s="655"/>
    </row>
    <row r="480">
      <c r="B480" s="462"/>
      <c r="C480" s="671"/>
      <c r="D480" s="671"/>
      <c r="E480" s="462"/>
      <c r="F480" s="654"/>
      <c r="G480" s="650"/>
      <c r="H480" s="654"/>
      <c r="I480" s="654"/>
      <c r="J480" s="650"/>
      <c r="K480" s="650"/>
      <c r="L480" s="655"/>
      <c r="M480" s="655"/>
      <c r="N480" s="655"/>
      <c r="O480" s="655"/>
      <c r="P480" s="655"/>
      <c r="Q480" s="655"/>
      <c r="R480" s="655"/>
      <c r="S480" s="655"/>
      <c r="T480" s="655"/>
      <c r="U480" s="655"/>
      <c r="V480" s="655"/>
      <c r="W480" s="655"/>
      <c r="X480" s="655"/>
      <c r="Y480" s="655"/>
      <c r="Z480" s="655"/>
      <c r="AA480" s="655"/>
    </row>
    <row r="481">
      <c r="B481" s="462"/>
      <c r="C481" s="671"/>
      <c r="D481" s="671"/>
      <c r="E481" s="462"/>
      <c r="F481" s="654"/>
      <c r="G481" s="650"/>
      <c r="H481" s="654"/>
      <c r="I481" s="654"/>
      <c r="J481" s="650"/>
      <c r="K481" s="650"/>
      <c r="L481" s="655"/>
      <c r="M481" s="655"/>
      <c r="N481" s="655"/>
      <c r="O481" s="655"/>
      <c r="P481" s="655"/>
      <c r="Q481" s="655"/>
      <c r="R481" s="655"/>
      <c r="S481" s="655"/>
      <c r="T481" s="655"/>
      <c r="U481" s="655"/>
      <c r="V481" s="655"/>
      <c r="W481" s="655"/>
      <c r="X481" s="655"/>
      <c r="Y481" s="655"/>
      <c r="Z481" s="655"/>
      <c r="AA481" s="655"/>
    </row>
    <row r="482">
      <c r="B482" s="462"/>
      <c r="C482" s="671"/>
      <c r="D482" s="671"/>
      <c r="E482" s="462"/>
      <c r="F482" s="654"/>
      <c r="G482" s="650"/>
      <c r="H482" s="654"/>
      <c r="I482" s="654"/>
      <c r="J482" s="650"/>
      <c r="K482" s="650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5"/>
    </row>
    <row r="483">
      <c r="B483" s="462"/>
      <c r="C483" s="671"/>
      <c r="D483" s="671"/>
      <c r="E483" s="462"/>
      <c r="F483" s="654"/>
      <c r="G483" s="650"/>
      <c r="H483" s="654"/>
      <c r="I483" s="654"/>
      <c r="J483" s="650"/>
      <c r="K483" s="650"/>
      <c r="L483" s="655"/>
      <c r="M483" s="655"/>
      <c r="N483" s="655"/>
      <c r="O483" s="655"/>
      <c r="P483" s="655"/>
      <c r="Q483" s="655"/>
      <c r="R483" s="655"/>
      <c r="S483" s="655"/>
      <c r="T483" s="655"/>
      <c r="U483" s="655"/>
      <c r="V483" s="655"/>
      <c r="W483" s="655"/>
      <c r="X483" s="655"/>
      <c r="Y483" s="655"/>
      <c r="Z483" s="655"/>
      <c r="AA483" s="655"/>
    </row>
    <row r="484">
      <c r="B484" s="462"/>
      <c r="C484" s="671"/>
      <c r="D484" s="671"/>
      <c r="E484" s="462"/>
      <c r="F484" s="654"/>
      <c r="G484" s="650"/>
      <c r="H484" s="654"/>
      <c r="I484" s="654"/>
      <c r="J484" s="650"/>
      <c r="K484" s="650"/>
      <c r="L484" s="655"/>
      <c r="M484" s="655"/>
      <c r="N484" s="655"/>
      <c r="O484" s="655"/>
      <c r="P484" s="655"/>
      <c r="Q484" s="655"/>
      <c r="R484" s="655"/>
      <c r="S484" s="655"/>
      <c r="T484" s="655"/>
      <c r="U484" s="655"/>
      <c r="V484" s="655"/>
      <c r="W484" s="655"/>
      <c r="X484" s="655"/>
      <c r="Y484" s="655"/>
      <c r="Z484" s="655"/>
      <c r="AA484" s="655"/>
    </row>
    <row r="485">
      <c r="B485" s="462"/>
      <c r="C485" s="671"/>
      <c r="D485" s="671"/>
      <c r="E485" s="462"/>
      <c r="F485" s="654"/>
      <c r="G485" s="650"/>
      <c r="H485" s="654"/>
      <c r="I485" s="654"/>
      <c r="J485" s="650"/>
      <c r="K485" s="650"/>
      <c r="L485" s="655"/>
      <c r="M485" s="655"/>
      <c r="N485" s="655"/>
      <c r="O485" s="655"/>
      <c r="P485" s="655"/>
      <c r="Q485" s="655"/>
      <c r="R485" s="655"/>
      <c r="S485" s="655"/>
      <c r="T485" s="655"/>
      <c r="U485" s="655"/>
      <c r="V485" s="655"/>
      <c r="W485" s="655"/>
      <c r="X485" s="655"/>
      <c r="Y485" s="655"/>
      <c r="Z485" s="655"/>
      <c r="AA485" s="655"/>
    </row>
    <row r="486">
      <c r="B486" s="462"/>
      <c r="C486" s="671"/>
      <c r="D486" s="671"/>
      <c r="E486" s="462"/>
      <c r="F486" s="654"/>
      <c r="G486" s="650"/>
      <c r="H486" s="654"/>
      <c r="I486" s="654"/>
      <c r="J486" s="650"/>
      <c r="K486" s="650"/>
      <c r="L486" s="655"/>
      <c r="M486" s="655"/>
      <c r="N486" s="655"/>
      <c r="O486" s="655"/>
      <c r="P486" s="655"/>
      <c r="Q486" s="655"/>
      <c r="R486" s="655"/>
      <c r="S486" s="655"/>
      <c r="T486" s="655"/>
      <c r="U486" s="655"/>
      <c r="V486" s="655"/>
      <c r="W486" s="655"/>
      <c r="X486" s="655"/>
      <c r="Y486" s="655"/>
      <c r="Z486" s="655"/>
      <c r="AA486" s="655"/>
    </row>
    <row r="487">
      <c r="B487" s="462"/>
      <c r="C487" s="671"/>
      <c r="D487" s="671"/>
      <c r="E487" s="462"/>
      <c r="F487" s="654"/>
      <c r="G487" s="650"/>
      <c r="H487" s="654"/>
      <c r="I487" s="654"/>
      <c r="J487" s="650"/>
      <c r="K487" s="650"/>
      <c r="L487" s="655"/>
      <c r="M487" s="655"/>
      <c r="N487" s="655"/>
      <c r="O487" s="655"/>
      <c r="P487" s="655"/>
      <c r="Q487" s="655"/>
      <c r="R487" s="655"/>
      <c r="S487" s="655"/>
      <c r="T487" s="655"/>
      <c r="U487" s="655"/>
      <c r="V487" s="655"/>
      <c r="W487" s="655"/>
      <c r="X487" s="655"/>
      <c r="Y487" s="655"/>
      <c r="Z487" s="655"/>
      <c r="AA487" s="655"/>
    </row>
    <row r="488">
      <c r="B488" s="462"/>
      <c r="C488" s="671"/>
      <c r="D488" s="671"/>
      <c r="E488" s="462"/>
      <c r="F488" s="654"/>
      <c r="G488" s="650"/>
      <c r="H488" s="654"/>
      <c r="I488" s="654"/>
      <c r="J488" s="650"/>
      <c r="K488" s="650"/>
      <c r="L488" s="655"/>
      <c r="M488" s="655"/>
      <c r="N488" s="655"/>
      <c r="O488" s="655"/>
      <c r="P488" s="655"/>
      <c r="Q488" s="655"/>
      <c r="R488" s="655"/>
      <c r="S488" s="655"/>
      <c r="T488" s="655"/>
      <c r="U488" s="655"/>
      <c r="V488" s="655"/>
      <c r="W488" s="655"/>
      <c r="X488" s="655"/>
      <c r="Y488" s="655"/>
      <c r="Z488" s="655"/>
      <c r="AA488" s="655"/>
    </row>
    <row r="489">
      <c r="B489" s="462"/>
      <c r="C489" s="671"/>
      <c r="D489" s="671"/>
      <c r="E489" s="462"/>
      <c r="F489" s="654"/>
      <c r="G489" s="650"/>
      <c r="H489" s="654"/>
      <c r="I489" s="654"/>
      <c r="J489" s="650"/>
      <c r="K489" s="650"/>
      <c r="L489" s="655"/>
      <c r="M489" s="655"/>
      <c r="N489" s="655"/>
      <c r="O489" s="655"/>
      <c r="P489" s="655"/>
      <c r="Q489" s="655"/>
      <c r="R489" s="655"/>
      <c r="S489" s="655"/>
      <c r="T489" s="655"/>
      <c r="U489" s="655"/>
      <c r="V489" s="655"/>
      <c r="W489" s="655"/>
      <c r="X489" s="655"/>
      <c r="Y489" s="655"/>
      <c r="Z489" s="655"/>
      <c r="AA489" s="655"/>
    </row>
    <row r="490">
      <c r="B490" s="462"/>
      <c r="C490" s="671"/>
      <c r="D490" s="671"/>
      <c r="E490" s="462"/>
      <c r="F490" s="654"/>
      <c r="G490" s="650"/>
      <c r="H490" s="654"/>
      <c r="I490" s="654"/>
      <c r="J490" s="650"/>
      <c r="K490" s="650"/>
      <c r="L490" s="655"/>
      <c r="M490" s="655"/>
      <c r="N490" s="655"/>
      <c r="O490" s="655"/>
      <c r="P490" s="655"/>
      <c r="Q490" s="655"/>
      <c r="R490" s="655"/>
      <c r="S490" s="655"/>
      <c r="T490" s="655"/>
      <c r="U490" s="655"/>
      <c r="V490" s="655"/>
      <c r="W490" s="655"/>
      <c r="X490" s="655"/>
      <c r="Y490" s="655"/>
      <c r="Z490" s="655"/>
      <c r="AA490" s="655"/>
    </row>
    <row r="491">
      <c r="B491" s="462"/>
      <c r="C491" s="671"/>
      <c r="D491" s="671"/>
      <c r="E491" s="462"/>
      <c r="F491" s="654"/>
      <c r="G491" s="650"/>
      <c r="H491" s="654"/>
      <c r="I491" s="654"/>
      <c r="J491" s="650"/>
      <c r="K491" s="650"/>
      <c r="L491" s="655"/>
      <c r="M491" s="655"/>
      <c r="N491" s="655"/>
      <c r="O491" s="655"/>
      <c r="P491" s="655"/>
      <c r="Q491" s="655"/>
      <c r="R491" s="655"/>
      <c r="S491" s="655"/>
      <c r="T491" s="655"/>
      <c r="U491" s="655"/>
      <c r="V491" s="655"/>
      <c r="W491" s="655"/>
      <c r="X491" s="655"/>
      <c r="Y491" s="655"/>
      <c r="Z491" s="655"/>
      <c r="AA491" s="655"/>
    </row>
    <row r="492">
      <c r="B492" s="462"/>
      <c r="C492" s="671"/>
      <c r="D492" s="671"/>
      <c r="E492" s="462"/>
      <c r="F492" s="654"/>
      <c r="G492" s="650"/>
      <c r="H492" s="654"/>
      <c r="I492" s="654"/>
      <c r="J492" s="650"/>
      <c r="K492" s="650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655"/>
    </row>
    <row r="493">
      <c r="B493" s="462"/>
      <c r="C493" s="671"/>
      <c r="D493" s="671"/>
      <c r="E493" s="462"/>
      <c r="F493" s="654"/>
      <c r="G493" s="650"/>
      <c r="H493" s="654"/>
      <c r="I493" s="654"/>
      <c r="J493" s="650"/>
      <c r="K493" s="650"/>
      <c r="L493" s="655"/>
      <c r="M493" s="655"/>
      <c r="N493" s="655"/>
      <c r="O493" s="655"/>
      <c r="P493" s="655"/>
      <c r="Q493" s="655"/>
      <c r="R493" s="655"/>
      <c r="S493" s="655"/>
      <c r="T493" s="655"/>
      <c r="U493" s="655"/>
      <c r="V493" s="655"/>
      <c r="W493" s="655"/>
      <c r="X493" s="655"/>
      <c r="Y493" s="655"/>
      <c r="Z493" s="655"/>
      <c r="AA493" s="655"/>
    </row>
    <row r="494">
      <c r="B494" s="462"/>
      <c r="C494" s="671"/>
      <c r="D494" s="671"/>
      <c r="E494" s="462"/>
      <c r="F494" s="654"/>
      <c r="G494" s="650"/>
      <c r="H494" s="654"/>
      <c r="I494" s="654"/>
      <c r="J494" s="650"/>
      <c r="K494" s="650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5"/>
    </row>
    <row r="495">
      <c r="B495" s="462"/>
      <c r="C495" s="671"/>
      <c r="D495" s="671"/>
      <c r="E495" s="462"/>
      <c r="F495" s="654"/>
      <c r="G495" s="650"/>
      <c r="H495" s="654"/>
      <c r="I495" s="654"/>
      <c r="J495" s="650"/>
      <c r="K495" s="650"/>
      <c r="L495" s="655"/>
      <c r="M495" s="655"/>
      <c r="N495" s="655"/>
      <c r="O495" s="655"/>
      <c r="P495" s="655"/>
      <c r="Q495" s="655"/>
      <c r="R495" s="655"/>
      <c r="S495" s="655"/>
      <c r="T495" s="655"/>
      <c r="U495" s="655"/>
      <c r="V495" s="655"/>
      <c r="W495" s="655"/>
      <c r="X495" s="655"/>
      <c r="Y495" s="655"/>
      <c r="Z495" s="655"/>
      <c r="AA495" s="655"/>
    </row>
    <row r="496">
      <c r="B496" s="462"/>
      <c r="C496" s="671"/>
      <c r="D496" s="671"/>
      <c r="E496" s="462"/>
      <c r="F496" s="654"/>
      <c r="G496" s="650"/>
      <c r="H496" s="654"/>
      <c r="I496" s="654"/>
      <c r="J496" s="650"/>
      <c r="K496" s="650"/>
      <c r="L496" s="655"/>
      <c r="M496" s="655"/>
      <c r="N496" s="655"/>
      <c r="O496" s="655"/>
      <c r="P496" s="655"/>
      <c r="Q496" s="655"/>
      <c r="R496" s="655"/>
      <c r="S496" s="655"/>
      <c r="T496" s="655"/>
      <c r="U496" s="655"/>
      <c r="V496" s="655"/>
      <c r="W496" s="655"/>
      <c r="X496" s="655"/>
      <c r="Y496" s="655"/>
      <c r="Z496" s="655"/>
      <c r="AA496" s="655"/>
    </row>
    <row r="497">
      <c r="B497" s="462"/>
      <c r="C497" s="671"/>
      <c r="D497" s="671"/>
      <c r="E497" s="462"/>
      <c r="F497" s="654"/>
      <c r="G497" s="650"/>
      <c r="H497" s="654"/>
      <c r="I497" s="654"/>
      <c r="J497" s="650"/>
      <c r="K497" s="650"/>
      <c r="L497" s="655"/>
      <c r="M497" s="655"/>
      <c r="N497" s="655"/>
      <c r="O497" s="655"/>
      <c r="P497" s="655"/>
      <c r="Q497" s="655"/>
      <c r="R497" s="655"/>
      <c r="S497" s="655"/>
      <c r="T497" s="655"/>
      <c r="U497" s="655"/>
      <c r="V497" s="655"/>
      <c r="W497" s="655"/>
      <c r="X497" s="655"/>
      <c r="Y497" s="655"/>
      <c r="Z497" s="655"/>
      <c r="AA497" s="655"/>
    </row>
    <row r="498">
      <c r="B498" s="462"/>
      <c r="C498" s="671"/>
      <c r="D498" s="671"/>
      <c r="E498" s="462"/>
      <c r="F498" s="654"/>
      <c r="G498" s="650"/>
      <c r="H498" s="654"/>
      <c r="I498" s="654"/>
      <c r="J498" s="650"/>
      <c r="K498" s="650"/>
      <c r="L498" s="655"/>
      <c r="M498" s="655"/>
      <c r="N498" s="655"/>
      <c r="O498" s="655"/>
      <c r="P498" s="655"/>
      <c r="Q498" s="655"/>
      <c r="R498" s="655"/>
      <c r="S498" s="655"/>
      <c r="T498" s="655"/>
      <c r="U498" s="655"/>
      <c r="V498" s="655"/>
      <c r="W498" s="655"/>
      <c r="X498" s="655"/>
      <c r="Y498" s="655"/>
      <c r="Z498" s="655"/>
      <c r="AA498" s="655"/>
    </row>
    <row r="499">
      <c r="B499" s="462"/>
      <c r="C499" s="671"/>
      <c r="D499" s="671"/>
      <c r="E499" s="462"/>
      <c r="F499" s="654"/>
      <c r="G499" s="650"/>
      <c r="H499" s="654"/>
      <c r="I499" s="654"/>
      <c r="J499" s="650"/>
      <c r="K499" s="650"/>
      <c r="L499" s="655"/>
      <c r="M499" s="655"/>
      <c r="N499" s="655"/>
      <c r="O499" s="655"/>
      <c r="P499" s="655"/>
      <c r="Q499" s="655"/>
      <c r="R499" s="655"/>
      <c r="S499" s="655"/>
      <c r="T499" s="655"/>
      <c r="U499" s="655"/>
      <c r="V499" s="655"/>
      <c r="W499" s="655"/>
      <c r="X499" s="655"/>
      <c r="Y499" s="655"/>
      <c r="Z499" s="655"/>
      <c r="AA499" s="655"/>
    </row>
    <row r="500">
      <c r="B500" s="462"/>
      <c r="C500" s="671"/>
      <c r="D500" s="671"/>
      <c r="E500" s="462"/>
      <c r="F500" s="654"/>
      <c r="G500" s="650"/>
      <c r="H500" s="654"/>
      <c r="I500" s="654"/>
      <c r="J500" s="650"/>
      <c r="K500" s="650"/>
      <c r="L500" s="655"/>
      <c r="M500" s="655"/>
      <c r="N500" s="655"/>
      <c r="O500" s="655"/>
      <c r="P500" s="655"/>
      <c r="Q500" s="655"/>
      <c r="R500" s="655"/>
      <c r="S500" s="655"/>
      <c r="T500" s="655"/>
      <c r="U500" s="655"/>
      <c r="V500" s="655"/>
      <c r="W500" s="655"/>
      <c r="X500" s="655"/>
      <c r="Y500" s="655"/>
      <c r="Z500" s="655"/>
      <c r="AA500" s="655"/>
    </row>
    <row r="501">
      <c r="B501" s="462"/>
      <c r="C501" s="671"/>
      <c r="D501" s="671"/>
      <c r="E501" s="462"/>
      <c r="F501" s="654"/>
      <c r="G501" s="650"/>
      <c r="H501" s="654"/>
      <c r="I501" s="654"/>
      <c r="J501" s="650"/>
      <c r="K501" s="650"/>
      <c r="L501" s="655"/>
      <c r="M501" s="655"/>
      <c r="N501" s="655"/>
      <c r="O501" s="655"/>
      <c r="P501" s="655"/>
      <c r="Q501" s="655"/>
      <c r="R501" s="655"/>
      <c r="S501" s="655"/>
      <c r="T501" s="655"/>
      <c r="U501" s="655"/>
      <c r="V501" s="655"/>
      <c r="W501" s="655"/>
      <c r="X501" s="655"/>
      <c r="Y501" s="655"/>
      <c r="Z501" s="655"/>
      <c r="AA501" s="655"/>
    </row>
    <row r="502">
      <c r="B502" s="462"/>
      <c r="C502" s="671"/>
      <c r="D502" s="671"/>
      <c r="E502" s="462"/>
      <c r="F502" s="654"/>
      <c r="G502" s="650"/>
      <c r="H502" s="654"/>
      <c r="I502" s="654"/>
      <c r="J502" s="650"/>
      <c r="K502" s="650"/>
      <c r="L502" s="655"/>
      <c r="M502" s="655"/>
      <c r="N502" s="655"/>
      <c r="O502" s="655"/>
      <c r="P502" s="655"/>
      <c r="Q502" s="655"/>
      <c r="R502" s="655"/>
      <c r="S502" s="655"/>
      <c r="T502" s="655"/>
      <c r="U502" s="655"/>
      <c r="V502" s="655"/>
      <c r="W502" s="655"/>
      <c r="X502" s="655"/>
      <c r="Y502" s="655"/>
      <c r="Z502" s="655"/>
      <c r="AA502" s="655"/>
    </row>
    <row r="503">
      <c r="B503" s="462"/>
      <c r="C503" s="671"/>
      <c r="D503" s="671"/>
      <c r="E503" s="462"/>
      <c r="F503" s="654"/>
      <c r="G503" s="650"/>
      <c r="H503" s="654"/>
      <c r="I503" s="654"/>
      <c r="J503" s="650"/>
      <c r="K503" s="650"/>
      <c r="L503" s="655"/>
      <c r="M503" s="655"/>
      <c r="N503" s="655"/>
      <c r="O503" s="655"/>
      <c r="P503" s="655"/>
      <c r="Q503" s="655"/>
      <c r="R503" s="655"/>
      <c r="S503" s="655"/>
      <c r="T503" s="655"/>
      <c r="U503" s="655"/>
      <c r="V503" s="655"/>
      <c r="W503" s="655"/>
      <c r="X503" s="655"/>
      <c r="Y503" s="655"/>
      <c r="Z503" s="655"/>
      <c r="AA503" s="655"/>
    </row>
    <row r="504">
      <c r="B504" s="462"/>
      <c r="C504" s="671"/>
      <c r="D504" s="671"/>
      <c r="E504" s="462"/>
      <c r="F504" s="654"/>
      <c r="G504" s="650"/>
      <c r="H504" s="654"/>
      <c r="I504" s="654"/>
      <c r="J504" s="650"/>
      <c r="K504" s="650"/>
      <c r="L504" s="655"/>
      <c r="M504" s="655"/>
      <c r="N504" s="655"/>
      <c r="O504" s="655"/>
      <c r="P504" s="655"/>
      <c r="Q504" s="655"/>
      <c r="R504" s="655"/>
      <c r="S504" s="655"/>
      <c r="T504" s="655"/>
      <c r="U504" s="655"/>
      <c r="V504" s="655"/>
      <c r="W504" s="655"/>
      <c r="X504" s="655"/>
      <c r="Y504" s="655"/>
      <c r="Z504" s="655"/>
      <c r="AA504" s="655"/>
    </row>
    <row r="505">
      <c r="B505" s="462"/>
      <c r="C505" s="671"/>
      <c r="D505" s="671"/>
      <c r="E505" s="462"/>
      <c r="F505" s="654"/>
      <c r="G505" s="650"/>
      <c r="H505" s="654"/>
      <c r="I505" s="654"/>
      <c r="J505" s="650"/>
      <c r="K505" s="650"/>
      <c r="L505" s="655"/>
      <c r="M505" s="655"/>
      <c r="N505" s="655"/>
      <c r="O505" s="655"/>
      <c r="P505" s="655"/>
      <c r="Q505" s="655"/>
      <c r="R505" s="655"/>
      <c r="S505" s="655"/>
      <c r="T505" s="655"/>
      <c r="U505" s="655"/>
      <c r="V505" s="655"/>
      <c r="W505" s="655"/>
      <c r="X505" s="655"/>
      <c r="Y505" s="655"/>
      <c r="Z505" s="655"/>
      <c r="AA505" s="655"/>
    </row>
    <row r="506">
      <c r="B506" s="462"/>
      <c r="C506" s="671"/>
      <c r="D506" s="671"/>
      <c r="E506" s="462"/>
      <c r="F506" s="654"/>
      <c r="G506" s="650"/>
      <c r="H506" s="654"/>
      <c r="I506" s="654"/>
      <c r="J506" s="650"/>
      <c r="K506" s="650"/>
      <c r="L506" s="655"/>
      <c r="M506" s="655"/>
      <c r="N506" s="655"/>
      <c r="O506" s="655"/>
      <c r="P506" s="655"/>
      <c r="Q506" s="655"/>
      <c r="R506" s="655"/>
      <c r="S506" s="655"/>
      <c r="T506" s="655"/>
      <c r="U506" s="655"/>
      <c r="V506" s="655"/>
      <c r="W506" s="655"/>
      <c r="X506" s="655"/>
      <c r="Y506" s="655"/>
      <c r="Z506" s="655"/>
      <c r="AA506" s="655"/>
    </row>
    <row r="507">
      <c r="B507" s="462"/>
      <c r="C507" s="671"/>
      <c r="D507" s="671"/>
      <c r="E507" s="462"/>
      <c r="F507" s="654"/>
      <c r="G507" s="650"/>
      <c r="H507" s="654"/>
      <c r="I507" s="654"/>
      <c r="J507" s="650"/>
      <c r="K507" s="650"/>
      <c r="L507" s="655"/>
      <c r="M507" s="655"/>
      <c r="N507" s="655"/>
      <c r="O507" s="655"/>
      <c r="P507" s="655"/>
      <c r="Q507" s="655"/>
      <c r="R507" s="655"/>
      <c r="S507" s="655"/>
      <c r="T507" s="655"/>
      <c r="U507" s="655"/>
      <c r="V507" s="655"/>
      <c r="W507" s="655"/>
      <c r="X507" s="655"/>
      <c r="Y507" s="655"/>
      <c r="Z507" s="655"/>
      <c r="AA507" s="655"/>
    </row>
    <row r="508">
      <c r="B508" s="462"/>
      <c r="C508" s="671"/>
      <c r="D508" s="671"/>
      <c r="E508" s="462"/>
      <c r="F508" s="654"/>
      <c r="G508" s="650"/>
      <c r="H508" s="654"/>
      <c r="I508" s="654"/>
      <c r="J508" s="650"/>
      <c r="K508" s="650"/>
      <c r="L508" s="655"/>
      <c r="M508" s="655"/>
      <c r="N508" s="655"/>
      <c r="O508" s="655"/>
      <c r="P508" s="655"/>
      <c r="Q508" s="655"/>
      <c r="R508" s="655"/>
      <c r="S508" s="655"/>
      <c r="T508" s="655"/>
      <c r="U508" s="655"/>
      <c r="V508" s="655"/>
      <c r="W508" s="655"/>
      <c r="X508" s="655"/>
      <c r="Y508" s="655"/>
      <c r="Z508" s="655"/>
      <c r="AA508" s="655"/>
    </row>
    <row r="509">
      <c r="B509" s="462"/>
      <c r="C509" s="671"/>
      <c r="D509" s="671"/>
      <c r="E509" s="462"/>
      <c r="F509" s="654"/>
      <c r="G509" s="650"/>
      <c r="H509" s="654"/>
      <c r="I509" s="654"/>
      <c r="J509" s="650"/>
      <c r="K509" s="650"/>
      <c r="L509" s="655"/>
      <c r="M509" s="655"/>
      <c r="N509" s="655"/>
      <c r="O509" s="655"/>
      <c r="P509" s="655"/>
      <c r="Q509" s="655"/>
      <c r="R509" s="655"/>
      <c r="S509" s="655"/>
      <c r="T509" s="655"/>
      <c r="U509" s="655"/>
      <c r="V509" s="655"/>
      <c r="W509" s="655"/>
      <c r="X509" s="655"/>
      <c r="Y509" s="655"/>
      <c r="Z509" s="655"/>
      <c r="AA509" s="655"/>
    </row>
    <row r="510">
      <c r="B510" s="462"/>
      <c r="C510" s="671"/>
      <c r="D510" s="671"/>
      <c r="E510" s="462"/>
      <c r="F510" s="654"/>
      <c r="G510" s="650"/>
      <c r="H510" s="654"/>
      <c r="I510" s="654"/>
      <c r="J510" s="650"/>
      <c r="K510" s="650"/>
      <c r="L510" s="655"/>
      <c r="M510" s="655"/>
      <c r="N510" s="655"/>
      <c r="O510" s="655"/>
      <c r="P510" s="655"/>
      <c r="Q510" s="655"/>
      <c r="R510" s="655"/>
      <c r="S510" s="655"/>
      <c r="T510" s="655"/>
      <c r="U510" s="655"/>
      <c r="V510" s="655"/>
      <c r="W510" s="655"/>
      <c r="X510" s="655"/>
      <c r="Y510" s="655"/>
      <c r="Z510" s="655"/>
      <c r="AA510" s="655"/>
    </row>
    <row r="511">
      <c r="B511" s="462"/>
      <c r="C511" s="671"/>
      <c r="D511" s="671"/>
      <c r="E511" s="462"/>
      <c r="F511" s="654"/>
      <c r="G511" s="650"/>
      <c r="H511" s="654"/>
      <c r="I511" s="654"/>
      <c r="J511" s="650"/>
      <c r="K511" s="650"/>
      <c r="L511" s="655"/>
      <c r="M511" s="655"/>
      <c r="N511" s="655"/>
      <c r="O511" s="655"/>
      <c r="P511" s="655"/>
      <c r="Q511" s="655"/>
      <c r="R511" s="655"/>
      <c r="S511" s="655"/>
      <c r="T511" s="655"/>
      <c r="U511" s="655"/>
      <c r="V511" s="655"/>
      <c r="W511" s="655"/>
      <c r="X511" s="655"/>
      <c r="Y511" s="655"/>
      <c r="Z511" s="655"/>
      <c r="AA511" s="655"/>
    </row>
    <row r="512">
      <c r="B512" s="462"/>
      <c r="C512" s="671"/>
      <c r="D512" s="671"/>
      <c r="E512" s="462"/>
      <c r="F512" s="654"/>
      <c r="G512" s="650"/>
      <c r="H512" s="654"/>
      <c r="I512" s="654"/>
      <c r="J512" s="650"/>
      <c r="K512" s="650"/>
      <c r="L512" s="655"/>
      <c r="M512" s="655"/>
      <c r="N512" s="655"/>
      <c r="O512" s="655"/>
      <c r="P512" s="655"/>
      <c r="Q512" s="655"/>
      <c r="R512" s="655"/>
      <c r="S512" s="655"/>
      <c r="T512" s="655"/>
      <c r="U512" s="655"/>
      <c r="V512" s="655"/>
      <c r="W512" s="655"/>
      <c r="X512" s="655"/>
      <c r="Y512" s="655"/>
      <c r="Z512" s="655"/>
      <c r="AA512" s="655"/>
    </row>
    <row r="513">
      <c r="B513" s="462"/>
      <c r="C513" s="671"/>
      <c r="D513" s="671"/>
      <c r="E513" s="462"/>
      <c r="F513" s="654"/>
      <c r="G513" s="650"/>
      <c r="H513" s="654"/>
      <c r="I513" s="654"/>
      <c r="J513" s="650"/>
      <c r="K513" s="650"/>
      <c r="L513" s="655"/>
      <c r="M513" s="655"/>
      <c r="N513" s="655"/>
      <c r="O513" s="655"/>
      <c r="P513" s="655"/>
      <c r="Q513" s="655"/>
      <c r="R513" s="655"/>
      <c r="S513" s="655"/>
      <c r="T513" s="655"/>
      <c r="U513" s="655"/>
      <c r="V513" s="655"/>
      <c r="W513" s="655"/>
      <c r="X513" s="655"/>
      <c r="Y513" s="655"/>
      <c r="Z513" s="655"/>
      <c r="AA513" s="655"/>
    </row>
    <row r="514">
      <c r="B514" s="462"/>
      <c r="C514" s="671"/>
      <c r="D514" s="671"/>
      <c r="E514" s="462"/>
      <c r="F514" s="654"/>
      <c r="G514" s="650"/>
      <c r="H514" s="654"/>
      <c r="I514" s="654"/>
      <c r="J514" s="650"/>
      <c r="K514" s="650"/>
      <c r="L514" s="655"/>
      <c r="M514" s="655"/>
      <c r="N514" s="655"/>
      <c r="O514" s="655"/>
      <c r="P514" s="655"/>
      <c r="Q514" s="655"/>
      <c r="R514" s="655"/>
      <c r="S514" s="655"/>
      <c r="T514" s="655"/>
      <c r="U514" s="655"/>
      <c r="V514" s="655"/>
      <c r="W514" s="655"/>
      <c r="X514" s="655"/>
      <c r="Y514" s="655"/>
      <c r="Z514" s="655"/>
      <c r="AA514" s="655"/>
    </row>
    <row r="515">
      <c r="B515" s="462"/>
      <c r="C515" s="671"/>
      <c r="D515" s="671"/>
      <c r="E515" s="462"/>
      <c r="F515" s="654"/>
      <c r="G515" s="650"/>
      <c r="H515" s="654"/>
      <c r="I515" s="654"/>
      <c r="J515" s="650"/>
      <c r="K515" s="650"/>
      <c r="L515" s="655"/>
      <c r="M515" s="655"/>
      <c r="N515" s="655"/>
      <c r="O515" s="655"/>
      <c r="P515" s="655"/>
      <c r="Q515" s="655"/>
      <c r="R515" s="655"/>
      <c r="S515" s="655"/>
      <c r="T515" s="655"/>
      <c r="U515" s="655"/>
      <c r="V515" s="655"/>
      <c r="W515" s="655"/>
      <c r="X515" s="655"/>
      <c r="Y515" s="655"/>
      <c r="Z515" s="655"/>
      <c r="AA515" s="655"/>
    </row>
    <row r="516">
      <c r="B516" s="462"/>
      <c r="C516" s="671"/>
      <c r="D516" s="671"/>
      <c r="E516" s="462"/>
      <c r="F516" s="654"/>
      <c r="G516" s="650"/>
      <c r="H516" s="654"/>
      <c r="I516" s="654"/>
      <c r="J516" s="650"/>
      <c r="K516" s="650"/>
      <c r="L516" s="655"/>
      <c r="M516" s="655"/>
      <c r="N516" s="655"/>
      <c r="O516" s="655"/>
      <c r="P516" s="655"/>
      <c r="Q516" s="655"/>
      <c r="R516" s="655"/>
      <c r="S516" s="655"/>
      <c r="T516" s="655"/>
      <c r="U516" s="655"/>
      <c r="V516" s="655"/>
      <c r="W516" s="655"/>
      <c r="X516" s="655"/>
      <c r="Y516" s="655"/>
      <c r="Z516" s="655"/>
      <c r="AA516" s="655"/>
    </row>
    <row r="517">
      <c r="B517" s="462"/>
      <c r="C517" s="671"/>
      <c r="D517" s="671"/>
      <c r="E517" s="462"/>
      <c r="F517" s="654"/>
      <c r="G517" s="650"/>
      <c r="H517" s="654"/>
      <c r="I517" s="654"/>
      <c r="J517" s="650"/>
      <c r="K517" s="650"/>
      <c r="L517" s="655"/>
      <c r="M517" s="655"/>
      <c r="N517" s="655"/>
      <c r="O517" s="655"/>
      <c r="P517" s="655"/>
      <c r="Q517" s="655"/>
      <c r="R517" s="655"/>
      <c r="S517" s="655"/>
      <c r="T517" s="655"/>
      <c r="U517" s="655"/>
      <c r="V517" s="655"/>
      <c r="W517" s="655"/>
      <c r="X517" s="655"/>
      <c r="Y517" s="655"/>
      <c r="Z517" s="655"/>
      <c r="AA517" s="655"/>
    </row>
    <row r="518">
      <c r="B518" s="462"/>
      <c r="C518" s="671"/>
      <c r="D518" s="671"/>
      <c r="E518" s="462"/>
      <c r="F518" s="654"/>
      <c r="G518" s="650"/>
      <c r="H518" s="654"/>
      <c r="I518" s="654"/>
      <c r="J518" s="650"/>
      <c r="K518" s="650"/>
      <c r="L518" s="655"/>
      <c r="M518" s="655"/>
      <c r="N518" s="655"/>
      <c r="O518" s="655"/>
      <c r="P518" s="655"/>
      <c r="Q518" s="655"/>
      <c r="R518" s="655"/>
      <c r="S518" s="655"/>
      <c r="T518" s="655"/>
      <c r="U518" s="655"/>
      <c r="V518" s="655"/>
      <c r="W518" s="655"/>
      <c r="X518" s="655"/>
      <c r="Y518" s="655"/>
      <c r="Z518" s="655"/>
      <c r="AA518" s="655"/>
    </row>
    <row r="519">
      <c r="B519" s="462"/>
      <c r="C519" s="671"/>
      <c r="D519" s="671"/>
      <c r="E519" s="462"/>
      <c r="F519" s="654"/>
      <c r="G519" s="650"/>
      <c r="H519" s="654"/>
      <c r="I519" s="654"/>
      <c r="J519" s="650"/>
      <c r="K519" s="650"/>
      <c r="L519" s="655"/>
      <c r="M519" s="655"/>
      <c r="N519" s="655"/>
      <c r="O519" s="655"/>
      <c r="P519" s="655"/>
      <c r="Q519" s="655"/>
      <c r="R519" s="655"/>
      <c r="S519" s="655"/>
      <c r="T519" s="655"/>
      <c r="U519" s="655"/>
      <c r="V519" s="655"/>
      <c r="W519" s="655"/>
      <c r="X519" s="655"/>
      <c r="Y519" s="655"/>
      <c r="Z519" s="655"/>
      <c r="AA519" s="655"/>
    </row>
    <row r="520">
      <c r="B520" s="462"/>
      <c r="C520" s="671"/>
      <c r="D520" s="671"/>
      <c r="E520" s="462"/>
      <c r="F520" s="654"/>
      <c r="G520" s="650"/>
      <c r="H520" s="654"/>
      <c r="I520" s="654"/>
      <c r="J520" s="650"/>
      <c r="K520" s="650"/>
      <c r="L520" s="655"/>
      <c r="M520" s="655"/>
      <c r="N520" s="655"/>
      <c r="O520" s="655"/>
      <c r="P520" s="655"/>
      <c r="Q520" s="655"/>
      <c r="R520" s="655"/>
      <c r="S520" s="655"/>
      <c r="T520" s="655"/>
      <c r="U520" s="655"/>
      <c r="V520" s="655"/>
      <c r="W520" s="655"/>
      <c r="X520" s="655"/>
      <c r="Y520" s="655"/>
      <c r="Z520" s="655"/>
      <c r="AA520" s="655"/>
    </row>
    <row r="521">
      <c r="B521" s="462"/>
      <c r="C521" s="671"/>
      <c r="D521" s="671"/>
      <c r="E521" s="462"/>
      <c r="F521" s="654"/>
      <c r="G521" s="650"/>
      <c r="H521" s="654"/>
      <c r="I521" s="654"/>
      <c r="J521" s="650"/>
      <c r="K521" s="650"/>
      <c r="L521" s="655"/>
      <c r="M521" s="655"/>
      <c r="N521" s="655"/>
      <c r="O521" s="655"/>
      <c r="P521" s="655"/>
      <c r="Q521" s="655"/>
      <c r="R521" s="655"/>
      <c r="S521" s="655"/>
      <c r="T521" s="655"/>
      <c r="U521" s="655"/>
      <c r="V521" s="655"/>
      <c r="W521" s="655"/>
      <c r="X521" s="655"/>
      <c r="Y521" s="655"/>
      <c r="Z521" s="655"/>
      <c r="AA521" s="655"/>
    </row>
    <row r="522">
      <c r="B522" s="462"/>
      <c r="C522" s="671"/>
      <c r="D522" s="671"/>
      <c r="E522" s="462"/>
      <c r="F522" s="654"/>
      <c r="G522" s="650"/>
      <c r="H522" s="654"/>
      <c r="I522" s="654"/>
      <c r="J522" s="650"/>
      <c r="K522" s="650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655"/>
    </row>
    <row r="523">
      <c r="B523" s="462"/>
      <c r="C523" s="671"/>
      <c r="D523" s="671"/>
      <c r="E523" s="462"/>
      <c r="F523" s="654"/>
      <c r="G523" s="650"/>
      <c r="H523" s="654"/>
      <c r="I523" s="654"/>
      <c r="J523" s="650"/>
      <c r="K523" s="650"/>
      <c r="L523" s="655"/>
      <c r="M523" s="655"/>
      <c r="N523" s="655"/>
      <c r="O523" s="655"/>
      <c r="P523" s="655"/>
      <c r="Q523" s="655"/>
      <c r="R523" s="655"/>
      <c r="S523" s="655"/>
      <c r="T523" s="655"/>
      <c r="U523" s="655"/>
      <c r="V523" s="655"/>
      <c r="W523" s="655"/>
      <c r="X523" s="655"/>
      <c r="Y523" s="655"/>
      <c r="Z523" s="655"/>
      <c r="AA523" s="655"/>
    </row>
    <row r="524">
      <c r="B524" s="462"/>
      <c r="C524" s="671"/>
      <c r="D524" s="671"/>
      <c r="E524" s="462"/>
      <c r="F524" s="654"/>
      <c r="G524" s="650"/>
      <c r="H524" s="654"/>
      <c r="I524" s="654"/>
      <c r="J524" s="650"/>
      <c r="K524" s="650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5"/>
    </row>
    <row r="525">
      <c r="B525" s="462"/>
      <c r="C525" s="671"/>
      <c r="D525" s="671"/>
      <c r="E525" s="462"/>
      <c r="F525" s="654"/>
      <c r="G525" s="650"/>
      <c r="H525" s="654"/>
      <c r="I525" s="654"/>
      <c r="J525" s="650"/>
      <c r="K525" s="650"/>
      <c r="L525" s="655"/>
      <c r="M525" s="655"/>
      <c r="N525" s="655"/>
      <c r="O525" s="655"/>
      <c r="P525" s="655"/>
      <c r="Q525" s="655"/>
      <c r="R525" s="655"/>
      <c r="S525" s="655"/>
      <c r="T525" s="655"/>
      <c r="U525" s="655"/>
      <c r="V525" s="655"/>
      <c r="W525" s="655"/>
      <c r="X525" s="655"/>
      <c r="Y525" s="655"/>
      <c r="Z525" s="655"/>
      <c r="AA525" s="655"/>
    </row>
    <row r="526">
      <c r="B526" s="462"/>
      <c r="C526" s="671"/>
      <c r="D526" s="671"/>
      <c r="E526" s="462"/>
      <c r="F526" s="654"/>
      <c r="G526" s="650"/>
      <c r="H526" s="654"/>
      <c r="I526" s="654"/>
      <c r="J526" s="650"/>
      <c r="K526" s="650"/>
      <c r="L526" s="655"/>
      <c r="M526" s="655"/>
      <c r="N526" s="655"/>
      <c r="O526" s="655"/>
      <c r="P526" s="655"/>
      <c r="Q526" s="655"/>
      <c r="R526" s="655"/>
      <c r="S526" s="655"/>
      <c r="T526" s="655"/>
      <c r="U526" s="655"/>
      <c r="V526" s="655"/>
      <c r="W526" s="655"/>
      <c r="X526" s="655"/>
      <c r="Y526" s="655"/>
      <c r="Z526" s="655"/>
      <c r="AA526" s="655"/>
    </row>
    <row r="527">
      <c r="B527" s="462"/>
      <c r="C527" s="671"/>
      <c r="D527" s="671"/>
      <c r="E527" s="462"/>
      <c r="F527" s="654"/>
      <c r="G527" s="650"/>
      <c r="H527" s="654"/>
      <c r="I527" s="654"/>
      <c r="J527" s="650"/>
      <c r="K527" s="650"/>
      <c r="L527" s="655"/>
      <c r="M527" s="655"/>
      <c r="N527" s="655"/>
      <c r="O527" s="655"/>
      <c r="P527" s="655"/>
      <c r="Q527" s="655"/>
      <c r="R527" s="655"/>
      <c r="S527" s="655"/>
      <c r="T527" s="655"/>
      <c r="U527" s="655"/>
      <c r="V527" s="655"/>
      <c r="W527" s="655"/>
      <c r="X527" s="655"/>
      <c r="Y527" s="655"/>
      <c r="Z527" s="655"/>
      <c r="AA527" s="655"/>
    </row>
    <row r="528">
      <c r="B528" s="462"/>
      <c r="C528" s="671"/>
      <c r="D528" s="671"/>
      <c r="E528" s="462"/>
      <c r="F528" s="654"/>
      <c r="G528" s="650"/>
      <c r="H528" s="654"/>
      <c r="I528" s="654"/>
      <c r="J528" s="650"/>
      <c r="K528" s="650"/>
      <c r="L528" s="655"/>
      <c r="M528" s="655"/>
      <c r="N528" s="655"/>
      <c r="O528" s="655"/>
      <c r="P528" s="655"/>
      <c r="Q528" s="655"/>
      <c r="R528" s="655"/>
      <c r="S528" s="655"/>
      <c r="T528" s="655"/>
      <c r="U528" s="655"/>
      <c r="V528" s="655"/>
      <c r="W528" s="655"/>
      <c r="X528" s="655"/>
      <c r="Y528" s="655"/>
      <c r="Z528" s="655"/>
      <c r="AA528" s="655"/>
    </row>
    <row r="529">
      <c r="B529" s="462"/>
      <c r="C529" s="671"/>
      <c r="D529" s="671"/>
      <c r="E529" s="462"/>
      <c r="F529" s="654"/>
      <c r="G529" s="650"/>
      <c r="H529" s="654"/>
      <c r="I529" s="654"/>
      <c r="J529" s="650"/>
      <c r="K529" s="650"/>
      <c r="L529" s="655"/>
      <c r="M529" s="655"/>
      <c r="N529" s="655"/>
      <c r="O529" s="655"/>
      <c r="P529" s="655"/>
      <c r="Q529" s="655"/>
      <c r="R529" s="655"/>
      <c r="S529" s="655"/>
      <c r="T529" s="655"/>
      <c r="U529" s="655"/>
      <c r="V529" s="655"/>
      <c r="W529" s="655"/>
      <c r="X529" s="655"/>
      <c r="Y529" s="655"/>
      <c r="Z529" s="655"/>
      <c r="AA529" s="655"/>
    </row>
    <row r="530">
      <c r="B530" s="462"/>
      <c r="C530" s="671"/>
      <c r="D530" s="671"/>
      <c r="E530" s="462"/>
      <c r="F530" s="654"/>
      <c r="G530" s="650"/>
      <c r="H530" s="654"/>
      <c r="I530" s="654"/>
      <c r="J530" s="650"/>
      <c r="K530" s="650"/>
      <c r="L530" s="655"/>
      <c r="M530" s="655"/>
      <c r="N530" s="655"/>
      <c r="O530" s="655"/>
      <c r="P530" s="655"/>
      <c r="Q530" s="655"/>
      <c r="R530" s="655"/>
      <c r="S530" s="655"/>
      <c r="T530" s="655"/>
      <c r="U530" s="655"/>
      <c r="V530" s="655"/>
      <c r="W530" s="655"/>
      <c r="X530" s="655"/>
      <c r="Y530" s="655"/>
      <c r="Z530" s="655"/>
      <c r="AA530" s="655"/>
    </row>
    <row r="531">
      <c r="B531" s="462"/>
      <c r="C531" s="671"/>
      <c r="D531" s="671"/>
      <c r="E531" s="462"/>
      <c r="F531" s="654"/>
      <c r="G531" s="650"/>
      <c r="H531" s="654"/>
      <c r="I531" s="654"/>
      <c r="J531" s="650"/>
      <c r="K531" s="650"/>
      <c r="L531" s="655"/>
      <c r="M531" s="655"/>
      <c r="N531" s="655"/>
      <c r="O531" s="655"/>
      <c r="P531" s="655"/>
      <c r="Q531" s="655"/>
      <c r="R531" s="655"/>
      <c r="S531" s="655"/>
      <c r="T531" s="655"/>
      <c r="U531" s="655"/>
      <c r="V531" s="655"/>
      <c r="W531" s="655"/>
      <c r="X531" s="655"/>
      <c r="Y531" s="655"/>
      <c r="Z531" s="655"/>
      <c r="AA531" s="655"/>
    </row>
    <row r="532">
      <c r="B532" s="462"/>
      <c r="C532" s="671"/>
      <c r="D532" s="671"/>
      <c r="E532" s="462"/>
      <c r="F532" s="654"/>
      <c r="G532" s="650"/>
      <c r="H532" s="654"/>
      <c r="I532" s="654"/>
      <c r="J532" s="650"/>
      <c r="K532" s="650"/>
      <c r="L532" s="655"/>
      <c r="M532" s="655"/>
      <c r="N532" s="655"/>
      <c r="O532" s="655"/>
      <c r="P532" s="655"/>
      <c r="Q532" s="655"/>
      <c r="R532" s="655"/>
      <c r="S532" s="655"/>
      <c r="T532" s="655"/>
      <c r="U532" s="655"/>
      <c r="V532" s="655"/>
      <c r="W532" s="655"/>
      <c r="X532" s="655"/>
      <c r="Y532" s="655"/>
      <c r="Z532" s="655"/>
      <c r="AA532" s="655"/>
    </row>
    <row r="533">
      <c r="B533" s="462"/>
      <c r="C533" s="671"/>
      <c r="D533" s="671"/>
      <c r="E533" s="462"/>
      <c r="F533" s="654"/>
      <c r="G533" s="650"/>
      <c r="H533" s="654"/>
      <c r="I533" s="654"/>
      <c r="J533" s="650"/>
      <c r="K533" s="650"/>
      <c r="L533" s="655"/>
      <c r="M533" s="655"/>
      <c r="N533" s="655"/>
      <c r="O533" s="655"/>
      <c r="P533" s="655"/>
      <c r="Q533" s="655"/>
      <c r="R533" s="655"/>
      <c r="S533" s="655"/>
      <c r="T533" s="655"/>
      <c r="U533" s="655"/>
      <c r="V533" s="655"/>
      <c r="W533" s="655"/>
      <c r="X533" s="655"/>
      <c r="Y533" s="655"/>
      <c r="Z533" s="655"/>
      <c r="AA533" s="655"/>
    </row>
    <row r="534">
      <c r="B534" s="462"/>
      <c r="C534" s="671"/>
      <c r="D534" s="671"/>
      <c r="E534" s="462"/>
      <c r="F534" s="654"/>
      <c r="G534" s="650"/>
      <c r="H534" s="654"/>
      <c r="I534" s="654"/>
      <c r="J534" s="650"/>
      <c r="K534" s="650"/>
      <c r="L534" s="655"/>
      <c r="M534" s="655"/>
      <c r="N534" s="655"/>
      <c r="O534" s="655"/>
      <c r="P534" s="655"/>
      <c r="Q534" s="655"/>
      <c r="R534" s="655"/>
      <c r="S534" s="655"/>
      <c r="T534" s="655"/>
      <c r="U534" s="655"/>
      <c r="V534" s="655"/>
      <c r="W534" s="655"/>
      <c r="X534" s="655"/>
      <c r="Y534" s="655"/>
      <c r="Z534" s="655"/>
      <c r="AA534" s="655"/>
    </row>
    <row r="535">
      <c r="B535" s="462"/>
      <c r="C535" s="671"/>
      <c r="D535" s="671"/>
      <c r="E535" s="462"/>
      <c r="F535" s="654"/>
      <c r="G535" s="650"/>
      <c r="H535" s="654"/>
      <c r="I535" s="654"/>
      <c r="J535" s="650"/>
      <c r="K535" s="650"/>
      <c r="L535" s="655"/>
      <c r="M535" s="655"/>
      <c r="N535" s="655"/>
      <c r="O535" s="655"/>
      <c r="P535" s="655"/>
      <c r="Q535" s="655"/>
      <c r="R535" s="655"/>
      <c r="S535" s="655"/>
      <c r="T535" s="655"/>
      <c r="U535" s="655"/>
      <c r="V535" s="655"/>
      <c r="W535" s="655"/>
      <c r="X535" s="655"/>
      <c r="Y535" s="655"/>
      <c r="Z535" s="655"/>
      <c r="AA535" s="655"/>
    </row>
    <row r="536">
      <c r="B536" s="462"/>
      <c r="C536" s="671"/>
      <c r="D536" s="671"/>
      <c r="E536" s="462"/>
      <c r="F536" s="654"/>
      <c r="G536" s="650"/>
      <c r="H536" s="654"/>
      <c r="I536" s="654"/>
      <c r="J536" s="650"/>
      <c r="K536" s="650"/>
      <c r="L536" s="655"/>
      <c r="M536" s="655"/>
      <c r="N536" s="655"/>
      <c r="O536" s="655"/>
      <c r="P536" s="655"/>
      <c r="Q536" s="655"/>
      <c r="R536" s="655"/>
      <c r="S536" s="655"/>
      <c r="T536" s="655"/>
      <c r="U536" s="655"/>
      <c r="V536" s="655"/>
      <c r="W536" s="655"/>
      <c r="X536" s="655"/>
      <c r="Y536" s="655"/>
      <c r="Z536" s="655"/>
      <c r="AA536" s="655"/>
    </row>
    <row r="537">
      <c r="B537" s="462"/>
      <c r="C537" s="671"/>
      <c r="D537" s="671"/>
      <c r="E537" s="462"/>
      <c r="F537" s="654"/>
      <c r="G537" s="650"/>
      <c r="H537" s="654"/>
      <c r="I537" s="654"/>
      <c r="J537" s="650"/>
      <c r="K537" s="650"/>
      <c r="L537" s="655"/>
      <c r="M537" s="655"/>
      <c r="N537" s="655"/>
      <c r="O537" s="655"/>
      <c r="P537" s="655"/>
      <c r="Q537" s="655"/>
      <c r="R537" s="655"/>
      <c r="S537" s="655"/>
      <c r="T537" s="655"/>
      <c r="U537" s="655"/>
      <c r="V537" s="655"/>
      <c r="W537" s="655"/>
      <c r="X537" s="655"/>
      <c r="Y537" s="655"/>
      <c r="Z537" s="655"/>
      <c r="AA537" s="655"/>
    </row>
    <row r="538">
      <c r="B538" s="462"/>
      <c r="C538" s="671"/>
      <c r="D538" s="671"/>
      <c r="E538" s="462"/>
      <c r="F538" s="654"/>
      <c r="G538" s="650"/>
      <c r="H538" s="654"/>
      <c r="I538" s="654"/>
      <c r="J538" s="650"/>
      <c r="K538" s="650"/>
      <c r="L538" s="655"/>
      <c r="M538" s="655"/>
      <c r="N538" s="655"/>
      <c r="O538" s="655"/>
      <c r="P538" s="655"/>
      <c r="Q538" s="655"/>
      <c r="R538" s="655"/>
      <c r="S538" s="655"/>
      <c r="T538" s="655"/>
      <c r="U538" s="655"/>
      <c r="V538" s="655"/>
      <c r="W538" s="655"/>
      <c r="X538" s="655"/>
      <c r="Y538" s="655"/>
      <c r="Z538" s="655"/>
      <c r="AA538" s="655"/>
    </row>
    <row r="539">
      <c r="B539" s="462"/>
      <c r="C539" s="671"/>
      <c r="D539" s="671"/>
      <c r="E539" s="462"/>
      <c r="F539" s="654"/>
      <c r="G539" s="650"/>
      <c r="H539" s="654"/>
      <c r="I539" s="654"/>
      <c r="J539" s="650"/>
      <c r="K539" s="650"/>
      <c r="L539" s="655"/>
      <c r="M539" s="655"/>
      <c r="N539" s="655"/>
      <c r="O539" s="655"/>
      <c r="P539" s="655"/>
      <c r="Q539" s="655"/>
      <c r="R539" s="655"/>
      <c r="S539" s="655"/>
      <c r="T539" s="655"/>
      <c r="U539" s="655"/>
      <c r="V539" s="655"/>
      <c r="W539" s="655"/>
      <c r="X539" s="655"/>
      <c r="Y539" s="655"/>
      <c r="Z539" s="655"/>
      <c r="AA539" s="655"/>
    </row>
    <row r="540">
      <c r="B540" s="462"/>
      <c r="C540" s="671"/>
      <c r="D540" s="671"/>
      <c r="E540" s="462"/>
      <c r="F540" s="654"/>
      <c r="G540" s="650"/>
      <c r="H540" s="654"/>
      <c r="I540" s="654"/>
      <c r="J540" s="650"/>
      <c r="K540" s="650"/>
      <c r="L540" s="655"/>
      <c r="M540" s="655"/>
      <c r="N540" s="655"/>
      <c r="O540" s="655"/>
      <c r="P540" s="655"/>
      <c r="Q540" s="655"/>
      <c r="R540" s="655"/>
      <c r="S540" s="655"/>
      <c r="T540" s="655"/>
      <c r="U540" s="655"/>
      <c r="V540" s="655"/>
      <c r="W540" s="655"/>
      <c r="X540" s="655"/>
      <c r="Y540" s="655"/>
      <c r="Z540" s="655"/>
      <c r="AA540" s="655"/>
    </row>
    <row r="541">
      <c r="B541" s="462"/>
      <c r="C541" s="671"/>
      <c r="D541" s="671"/>
      <c r="E541" s="462"/>
      <c r="F541" s="654"/>
      <c r="G541" s="650"/>
      <c r="H541" s="654"/>
      <c r="I541" s="654"/>
      <c r="J541" s="650"/>
      <c r="K541" s="650"/>
      <c r="L541" s="655"/>
      <c r="M541" s="655"/>
      <c r="N541" s="655"/>
      <c r="O541" s="655"/>
      <c r="P541" s="655"/>
      <c r="Q541" s="655"/>
      <c r="R541" s="655"/>
      <c r="S541" s="655"/>
      <c r="T541" s="655"/>
      <c r="U541" s="655"/>
      <c r="V541" s="655"/>
      <c r="W541" s="655"/>
      <c r="X541" s="655"/>
      <c r="Y541" s="655"/>
      <c r="Z541" s="655"/>
      <c r="AA541" s="655"/>
    </row>
    <row r="542">
      <c r="B542" s="462"/>
      <c r="C542" s="671"/>
      <c r="D542" s="671"/>
      <c r="E542" s="462"/>
      <c r="F542" s="654"/>
      <c r="G542" s="650"/>
      <c r="H542" s="654"/>
      <c r="I542" s="654"/>
      <c r="J542" s="650"/>
      <c r="K542" s="650"/>
      <c r="L542" s="655"/>
      <c r="M542" s="655"/>
      <c r="N542" s="655"/>
      <c r="O542" s="655"/>
      <c r="P542" s="655"/>
      <c r="Q542" s="655"/>
      <c r="R542" s="655"/>
      <c r="S542" s="655"/>
      <c r="T542" s="655"/>
      <c r="U542" s="655"/>
      <c r="V542" s="655"/>
      <c r="W542" s="655"/>
      <c r="X542" s="655"/>
      <c r="Y542" s="655"/>
      <c r="Z542" s="655"/>
      <c r="AA542" s="655"/>
    </row>
    <row r="543">
      <c r="B543" s="462"/>
      <c r="C543" s="671"/>
      <c r="D543" s="671"/>
      <c r="E543" s="462"/>
      <c r="F543" s="654"/>
      <c r="G543" s="650"/>
      <c r="H543" s="654"/>
      <c r="I543" s="654"/>
      <c r="J543" s="650"/>
      <c r="K543" s="650"/>
      <c r="L543" s="655"/>
      <c r="M543" s="655"/>
      <c r="N543" s="655"/>
      <c r="O543" s="655"/>
      <c r="P543" s="655"/>
      <c r="Q543" s="655"/>
      <c r="R543" s="655"/>
      <c r="S543" s="655"/>
      <c r="T543" s="655"/>
      <c r="U543" s="655"/>
      <c r="V543" s="655"/>
      <c r="W543" s="655"/>
      <c r="X543" s="655"/>
      <c r="Y543" s="655"/>
      <c r="Z543" s="655"/>
      <c r="AA543" s="655"/>
    </row>
    <row r="544">
      <c r="B544" s="462"/>
      <c r="C544" s="671"/>
      <c r="D544" s="671"/>
      <c r="E544" s="462"/>
      <c r="F544" s="654"/>
      <c r="G544" s="650"/>
      <c r="H544" s="654"/>
      <c r="I544" s="654"/>
      <c r="J544" s="650"/>
      <c r="K544" s="650"/>
      <c r="L544" s="655"/>
      <c r="M544" s="655"/>
      <c r="N544" s="655"/>
      <c r="O544" s="655"/>
      <c r="P544" s="655"/>
      <c r="Q544" s="655"/>
      <c r="R544" s="655"/>
      <c r="S544" s="655"/>
      <c r="T544" s="655"/>
      <c r="U544" s="655"/>
      <c r="V544" s="655"/>
      <c r="W544" s="655"/>
      <c r="X544" s="655"/>
      <c r="Y544" s="655"/>
      <c r="Z544" s="655"/>
      <c r="AA544" s="655"/>
    </row>
    <row r="545">
      <c r="B545" s="462"/>
      <c r="C545" s="671"/>
      <c r="D545" s="671"/>
      <c r="E545" s="462"/>
      <c r="F545" s="654"/>
      <c r="G545" s="650"/>
      <c r="H545" s="654"/>
      <c r="I545" s="654"/>
      <c r="J545" s="650"/>
      <c r="K545" s="650"/>
      <c r="L545" s="655"/>
      <c r="M545" s="655"/>
      <c r="N545" s="655"/>
      <c r="O545" s="655"/>
      <c r="P545" s="655"/>
      <c r="Q545" s="655"/>
      <c r="R545" s="655"/>
      <c r="S545" s="655"/>
      <c r="T545" s="655"/>
      <c r="U545" s="655"/>
      <c r="V545" s="655"/>
      <c r="W545" s="655"/>
      <c r="X545" s="655"/>
      <c r="Y545" s="655"/>
      <c r="Z545" s="655"/>
      <c r="AA545" s="655"/>
    </row>
    <row r="546">
      <c r="B546" s="462"/>
      <c r="C546" s="671"/>
      <c r="D546" s="671"/>
      <c r="E546" s="462"/>
      <c r="F546" s="654"/>
      <c r="G546" s="650"/>
      <c r="H546" s="654"/>
      <c r="I546" s="654"/>
      <c r="J546" s="650"/>
      <c r="K546" s="650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5"/>
    </row>
    <row r="547">
      <c r="B547" s="462"/>
      <c r="C547" s="671"/>
      <c r="D547" s="671"/>
      <c r="E547" s="462"/>
      <c r="F547" s="654"/>
      <c r="G547" s="650"/>
      <c r="H547" s="654"/>
      <c r="I547" s="654"/>
      <c r="J547" s="650"/>
      <c r="K547" s="650"/>
      <c r="L547" s="655"/>
      <c r="M547" s="655"/>
      <c r="N547" s="655"/>
      <c r="O547" s="655"/>
      <c r="P547" s="655"/>
      <c r="Q547" s="655"/>
      <c r="R547" s="655"/>
      <c r="S547" s="655"/>
      <c r="T547" s="655"/>
      <c r="U547" s="655"/>
      <c r="V547" s="655"/>
      <c r="W547" s="655"/>
      <c r="X547" s="655"/>
      <c r="Y547" s="655"/>
      <c r="Z547" s="655"/>
      <c r="AA547" s="655"/>
    </row>
    <row r="548">
      <c r="B548" s="462"/>
      <c r="C548" s="671"/>
      <c r="D548" s="671"/>
      <c r="E548" s="462"/>
      <c r="F548" s="654"/>
      <c r="G548" s="650"/>
      <c r="H548" s="654"/>
      <c r="I548" s="654"/>
      <c r="J548" s="650"/>
      <c r="K548" s="650"/>
      <c r="L548" s="655"/>
      <c r="M548" s="655"/>
      <c r="N548" s="655"/>
      <c r="O548" s="655"/>
      <c r="P548" s="655"/>
      <c r="Q548" s="655"/>
      <c r="R548" s="655"/>
      <c r="S548" s="655"/>
      <c r="T548" s="655"/>
      <c r="U548" s="655"/>
      <c r="V548" s="655"/>
      <c r="W548" s="655"/>
      <c r="X548" s="655"/>
      <c r="Y548" s="655"/>
      <c r="Z548" s="655"/>
      <c r="AA548" s="655"/>
    </row>
    <row r="549">
      <c r="B549" s="462"/>
      <c r="C549" s="671"/>
      <c r="D549" s="671"/>
      <c r="E549" s="462"/>
      <c r="F549" s="654"/>
      <c r="G549" s="650"/>
      <c r="H549" s="654"/>
      <c r="I549" s="654"/>
      <c r="J549" s="650"/>
      <c r="K549" s="650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  <c r="AA549" s="655"/>
    </row>
    <row r="550">
      <c r="B550" s="462"/>
      <c r="C550" s="671"/>
      <c r="D550" s="671"/>
      <c r="E550" s="462"/>
      <c r="F550" s="654"/>
      <c r="G550" s="650"/>
      <c r="H550" s="654"/>
      <c r="I550" s="654"/>
      <c r="J550" s="650"/>
      <c r="K550" s="650"/>
      <c r="L550" s="655"/>
      <c r="M550" s="655"/>
      <c r="N550" s="655"/>
      <c r="O550" s="655"/>
      <c r="P550" s="655"/>
      <c r="Q550" s="655"/>
      <c r="R550" s="655"/>
      <c r="S550" s="655"/>
      <c r="T550" s="655"/>
      <c r="U550" s="655"/>
      <c r="V550" s="655"/>
      <c r="W550" s="655"/>
      <c r="X550" s="655"/>
      <c r="Y550" s="655"/>
      <c r="Z550" s="655"/>
      <c r="AA550" s="655"/>
    </row>
    <row r="551">
      <c r="B551" s="462"/>
      <c r="C551" s="671"/>
      <c r="D551" s="671"/>
      <c r="E551" s="462"/>
      <c r="F551" s="654"/>
      <c r="G551" s="650"/>
      <c r="H551" s="654"/>
      <c r="I551" s="654"/>
      <c r="J551" s="650"/>
      <c r="K551" s="650"/>
      <c r="L551" s="655"/>
      <c r="M551" s="655"/>
      <c r="N551" s="655"/>
      <c r="O551" s="655"/>
      <c r="P551" s="655"/>
      <c r="Q551" s="655"/>
      <c r="R551" s="655"/>
      <c r="S551" s="655"/>
      <c r="T551" s="655"/>
      <c r="U551" s="655"/>
      <c r="V551" s="655"/>
      <c r="W551" s="655"/>
      <c r="X551" s="655"/>
      <c r="Y551" s="655"/>
      <c r="Z551" s="655"/>
      <c r="AA551" s="655"/>
    </row>
    <row r="552">
      <c r="B552" s="462"/>
      <c r="C552" s="671"/>
      <c r="D552" s="671"/>
      <c r="E552" s="462"/>
      <c r="F552" s="654"/>
      <c r="G552" s="650"/>
      <c r="H552" s="654"/>
      <c r="I552" s="654"/>
      <c r="J552" s="650"/>
      <c r="K552" s="650"/>
      <c r="L552" s="655"/>
      <c r="M552" s="655"/>
      <c r="N552" s="655"/>
      <c r="O552" s="655"/>
      <c r="P552" s="655"/>
      <c r="Q552" s="655"/>
      <c r="R552" s="655"/>
      <c r="S552" s="655"/>
      <c r="T552" s="655"/>
      <c r="U552" s="655"/>
      <c r="V552" s="655"/>
      <c r="W552" s="655"/>
      <c r="X552" s="655"/>
      <c r="Y552" s="655"/>
      <c r="Z552" s="655"/>
      <c r="AA552" s="655"/>
    </row>
    <row r="553">
      <c r="B553" s="462"/>
      <c r="C553" s="671"/>
      <c r="D553" s="671"/>
      <c r="E553" s="462"/>
      <c r="F553" s="654"/>
      <c r="G553" s="650"/>
      <c r="H553" s="654"/>
      <c r="I553" s="654"/>
      <c r="J553" s="650"/>
      <c r="K553" s="650"/>
      <c r="L553" s="655"/>
      <c r="M553" s="655"/>
      <c r="N553" s="655"/>
      <c r="O553" s="655"/>
      <c r="P553" s="655"/>
      <c r="Q553" s="655"/>
      <c r="R553" s="655"/>
      <c r="S553" s="655"/>
      <c r="T553" s="655"/>
      <c r="U553" s="655"/>
      <c r="V553" s="655"/>
      <c r="W553" s="655"/>
      <c r="X553" s="655"/>
      <c r="Y553" s="655"/>
      <c r="Z553" s="655"/>
      <c r="AA553" s="655"/>
    </row>
    <row r="554">
      <c r="B554" s="462"/>
      <c r="C554" s="671"/>
      <c r="D554" s="671"/>
      <c r="E554" s="462"/>
      <c r="F554" s="654"/>
      <c r="G554" s="650"/>
      <c r="H554" s="654"/>
      <c r="I554" s="654"/>
      <c r="J554" s="650"/>
      <c r="K554" s="650"/>
      <c r="L554" s="655"/>
      <c r="M554" s="655"/>
      <c r="N554" s="655"/>
      <c r="O554" s="655"/>
      <c r="P554" s="655"/>
      <c r="Q554" s="655"/>
      <c r="R554" s="655"/>
      <c r="S554" s="655"/>
      <c r="T554" s="655"/>
      <c r="U554" s="655"/>
      <c r="V554" s="655"/>
      <c r="W554" s="655"/>
      <c r="X554" s="655"/>
      <c r="Y554" s="655"/>
      <c r="Z554" s="655"/>
      <c r="AA554" s="655"/>
    </row>
    <row r="555">
      <c r="B555" s="462"/>
      <c r="C555" s="671"/>
      <c r="D555" s="671"/>
      <c r="E555" s="462"/>
      <c r="F555" s="654"/>
      <c r="G555" s="650"/>
      <c r="H555" s="654"/>
      <c r="I555" s="654"/>
      <c r="J555" s="650"/>
      <c r="K555" s="650"/>
      <c r="L555" s="655"/>
      <c r="M555" s="655"/>
      <c r="N555" s="655"/>
      <c r="O555" s="655"/>
      <c r="P555" s="655"/>
      <c r="Q555" s="655"/>
      <c r="R555" s="655"/>
      <c r="S555" s="655"/>
      <c r="T555" s="655"/>
      <c r="U555" s="655"/>
      <c r="V555" s="655"/>
      <c r="W555" s="655"/>
      <c r="X555" s="655"/>
      <c r="Y555" s="655"/>
      <c r="Z555" s="655"/>
      <c r="AA555" s="655"/>
    </row>
    <row r="556">
      <c r="B556" s="462"/>
      <c r="C556" s="671"/>
      <c r="D556" s="671"/>
      <c r="E556" s="462"/>
      <c r="F556" s="654"/>
      <c r="G556" s="650"/>
      <c r="H556" s="654"/>
      <c r="I556" s="654"/>
      <c r="J556" s="650"/>
      <c r="K556" s="650"/>
      <c r="L556" s="655"/>
      <c r="M556" s="655"/>
      <c r="N556" s="655"/>
      <c r="O556" s="655"/>
      <c r="P556" s="655"/>
      <c r="Q556" s="655"/>
      <c r="R556" s="655"/>
      <c r="S556" s="655"/>
      <c r="T556" s="655"/>
      <c r="U556" s="655"/>
      <c r="V556" s="655"/>
      <c r="W556" s="655"/>
      <c r="X556" s="655"/>
      <c r="Y556" s="655"/>
      <c r="Z556" s="655"/>
      <c r="AA556" s="655"/>
    </row>
    <row r="557">
      <c r="B557" s="462"/>
      <c r="C557" s="671"/>
      <c r="D557" s="671"/>
      <c r="E557" s="462"/>
      <c r="F557" s="654"/>
      <c r="G557" s="650"/>
      <c r="H557" s="654"/>
      <c r="I557" s="654"/>
      <c r="J557" s="650"/>
      <c r="K557" s="650"/>
      <c r="L557" s="655"/>
      <c r="M557" s="655"/>
      <c r="N557" s="655"/>
      <c r="O557" s="655"/>
      <c r="P557" s="655"/>
      <c r="Q557" s="655"/>
      <c r="R557" s="655"/>
      <c r="S557" s="655"/>
      <c r="T557" s="655"/>
      <c r="U557" s="655"/>
      <c r="V557" s="655"/>
      <c r="W557" s="655"/>
      <c r="X557" s="655"/>
      <c r="Y557" s="655"/>
      <c r="Z557" s="655"/>
      <c r="AA557" s="655"/>
    </row>
    <row r="558">
      <c r="B558" s="462"/>
      <c r="C558" s="671"/>
      <c r="D558" s="671"/>
      <c r="E558" s="462"/>
      <c r="F558" s="654"/>
      <c r="G558" s="650"/>
      <c r="H558" s="654"/>
      <c r="I558" s="654"/>
      <c r="J558" s="650"/>
      <c r="K558" s="650"/>
      <c r="L558" s="655"/>
      <c r="M558" s="655"/>
      <c r="N558" s="655"/>
      <c r="O558" s="655"/>
      <c r="P558" s="655"/>
      <c r="Q558" s="655"/>
      <c r="R558" s="655"/>
      <c r="S558" s="655"/>
      <c r="T558" s="655"/>
      <c r="U558" s="655"/>
      <c r="V558" s="655"/>
      <c r="W558" s="655"/>
      <c r="X558" s="655"/>
      <c r="Y558" s="655"/>
      <c r="Z558" s="655"/>
      <c r="AA558" s="655"/>
    </row>
    <row r="559">
      <c r="B559" s="462"/>
      <c r="C559" s="671"/>
      <c r="D559" s="671"/>
      <c r="E559" s="462"/>
      <c r="F559" s="654"/>
      <c r="G559" s="650"/>
      <c r="H559" s="654"/>
      <c r="I559" s="654"/>
      <c r="J559" s="650"/>
      <c r="K559" s="650"/>
      <c r="L559" s="655"/>
      <c r="M559" s="655"/>
      <c r="N559" s="655"/>
      <c r="O559" s="655"/>
      <c r="P559" s="655"/>
      <c r="Q559" s="655"/>
      <c r="R559" s="655"/>
      <c r="S559" s="655"/>
      <c r="T559" s="655"/>
      <c r="U559" s="655"/>
      <c r="V559" s="655"/>
      <c r="W559" s="655"/>
      <c r="X559" s="655"/>
      <c r="Y559" s="655"/>
      <c r="Z559" s="655"/>
      <c r="AA559" s="655"/>
    </row>
    <row r="560">
      <c r="B560" s="462"/>
      <c r="C560" s="671"/>
      <c r="D560" s="671"/>
      <c r="E560" s="462"/>
      <c r="F560" s="654"/>
      <c r="G560" s="650"/>
      <c r="H560" s="654"/>
      <c r="I560" s="654"/>
      <c r="J560" s="650"/>
      <c r="K560" s="650"/>
      <c r="L560" s="655"/>
      <c r="M560" s="655"/>
      <c r="N560" s="655"/>
      <c r="O560" s="655"/>
      <c r="P560" s="655"/>
      <c r="Q560" s="655"/>
      <c r="R560" s="655"/>
      <c r="S560" s="655"/>
      <c r="T560" s="655"/>
      <c r="U560" s="655"/>
      <c r="V560" s="655"/>
      <c r="W560" s="655"/>
      <c r="X560" s="655"/>
      <c r="Y560" s="655"/>
      <c r="Z560" s="655"/>
      <c r="AA560" s="655"/>
    </row>
    <row r="561">
      <c r="B561" s="462"/>
      <c r="C561" s="671"/>
      <c r="D561" s="671"/>
      <c r="E561" s="462"/>
      <c r="F561" s="654"/>
      <c r="G561" s="650"/>
      <c r="H561" s="654"/>
      <c r="I561" s="654"/>
      <c r="J561" s="650"/>
      <c r="K561" s="650"/>
      <c r="L561" s="655"/>
      <c r="M561" s="655"/>
      <c r="N561" s="655"/>
      <c r="O561" s="655"/>
      <c r="P561" s="655"/>
      <c r="Q561" s="655"/>
      <c r="R561" s="655"/>
      <c r="S561" s="655"/>
      <c r="T561" s="655"/>
      <c r="U561" s="655"/>
      <c r="V561" s="655"/>
      <c r="W561" s="655"/>
      <c r="X561" s="655"/>
      <c r="Y561" s="655"/>
      <c r="Z561" s="655"/>
      <c r="AA561" s="655"/>
    </row>
    <row r="562">
      <c r="B562" s="462"/>
      <c r="C562" s="671"/>
      <c r="D562" s="671"/>
      <c r="E562" s="462"/>
      <c r="F562" s="654"/>
      <c r="G562" s="650"/>
      <c r="H562" s="654"/>
      <c r="I562" s="654"/>
      <c r="J562" s="650"/>
      <c r="K562" s="650"/>
      <c r="L562" s="655"/>
      <c r="M562" s="655"/>
      <c r="N562" s="655"/>
      <c r="O562" s="655"/>
      <c r="P562" s="655"/>
      <c r="Q562" s="655"/>
      <c r="R562" s="655"/>
      <c r="S562" s="655"/>
      <c r="T562" s="655"/>
      <c r="U562" s="655"/>
      <c r="V562" s="655"/>
      <c r="W562" s="655"/>
      <c r="X562" s="655"/>
      <c r="Y562" s="655"/>
      <c r="Z562" s="655"/>
      <c r="AA562" s="655"/>
    </row>
    <row r="563">
      <c r="B563" s="462"/>
      <c r="C563" s="671"/>
      <c r="D563" s="671"/>
      <c r="E563" s="462"/>
      <c r="F563" s="654"/>
      <c r="G563" s="650"/>
      <c r="H563" s="654"/>
      <c r="I563" s="654"/>
      <c r="J563" s="650"/>
      <c r="K563" s="650"/>
      <c r="L563" s="655"/>
      <c r="M563" s="655"/>
      <c r="N563" s="655"/>
      <c r="O563" s="655"/>
      <c r="P563" s="655"/>
      <c r="Q563" s="655"/>
      <c r="R563" s="655"/>
      <c r="S563" s="655"/>
      <c r="T563" s="655"/>
      <c r="U563" s="655"/>
      <c r="V563" s="655"/>
      <c r="W563" s="655"/>
      <c r="X563" s="655"/>
      <c r="Y563" s="655"/>
      <c r="Z563" s="655"/>
      <c r="AA563" s="655"/>
    </row>
    <row r="564">
      <c r="B564" s="462"/>
      <c r="C564" s="671"/>
      <c r="D564" s="671"/>
      <c r="E564" s="462"/>
      <c r="F564" s="654"/>
      <c r="G564" s="650"/>
      <c r="H564" s="654"/>
      <c r="I564" s="654"/>
      <c r="J564" s="650"/>
      <c r="K564" s="650"/>
      <c r="L564" s="655"/>
      <c r="M564" s="655"/>
      <c r="N564" s="655"/>
      <c r="O564" s="655"/>
      <c r="P564" s="655"/>
      <c r="Q564" s="655"/>
      <c r="R564" s="655"/>
      <c r="S564" s="655"/>
      <c r="T564" s="655"/>
      <c r="U564" s="655"/>
      <c r="V564" s="655"/>
      <c r="W564" s="655"/>
      <c r="X564" s="655"/>
      <c r="Y564" s="655"/>
      <c r="Z564" s="655"/>
      <c r="AA564" s="655"/>
    </row>
    <row r="565">
      <c r="B565" s="462"/>
      <c r="C565" s="671"/>
      <c r="D565" s="671"/>
      <c r="E565" s="462"/>
      <c r="F565" s="654"/>
      <c r="G565" s="650"/>
      <c r="H565" s="654"/>
      <c r="I565" s="654"/>
      <c r="J565" s="650"/>
      <c r="K565" s="650"/>
      <c r="L565" s="655"/>
      <c r="M565" s="655"/>
      <c r="N565" s="655"/>
      <c r="O565" s="655"/>
      <c r="P565" s="655"/>
      <c r="Q565" s="655"/>
      <c r="R565" s="655"/>
      <c r="S565" s="655"/>
      <c r="T565" s="655"/>
      <c r="U565" s="655"/>
      <c r="V565" s="655"/>
      <c r="W565" s="655"/>
      <c r="X565" s="655"/>
      <c r="Y565" s="655"/>
      <c r="Z565" s="655"/>
      <c r="AA565" s="655"/>
    </row>
    <row r="566">
      <c r="B566" s="462"/>
      <c r="C566" s="671"/>
      <c r="D566" s="671"/>
      <c r="E566" s="462"/>
      <c r="F566" s="654"/>
      <c r="G566" s="650"/>
      <c r="H566" s="654"/>
      <c r="I566" s="654"/>
      <c r="J566" s="650"/>
      <c r="K566" s="650"/>
      <c r="L566" s="655"/>
      <c r="M566" s="655"/>
      <c r="N566" s="655"/>
      <c r="O566" s="655"/>
      <c r="P566" s="655"/>
      <c r="Q566" s="655"/>
      <c r="R566" s="655"/>
      <c r="S566" s="655"/>
      <c r="T566" s="655"/>
      <c r="U566" s="655"/>
      <c r="V566" s="655"/>
      <c r="W566" s="655"/>
      <c r="X566" s="655"/>
      <c r="Y566" s="655"/>
      <c r="Z566" s="655"/>
      <c r="AA566" s="655"/>
    </row>
    <row r="567">
      <c r="B567" s="462"/>
      <c r="C567" s="671"/>
      <c r="D567" s="671"/>
      <c r="E567" s="462"/>
      <c r="F567" s="654"/>
      <c r="G567" s="650"/>
      <c r="H567" s="654"/>
      <c r="I567" s="654"/>
      <c r="J567" s="650"/>
      <c r="K567" s="650"/>
      <c r="L567" s="655"/>
      <c r="M567" s="655"/>
      <c r="N567" s="655"/>
      <c r="O567" s="655"/>
      <c r="P567" s="655"/>
      <c r="Q567" s="655"/>
      <c r="R567" s="655"/>
      <c r="S567" s="655"/>
      <c r="T567" s="655"/>
      <c r="U567" s="655"/>
      <c r="V567" s="655"/>
      <c r="W567" s="655"/>
      <c r="X567" s="655"/>
      <c r="Y567" s="655"/>
      <c r="Z567" s="655"/>
      <c r="AA567" s="655"/>
    </row>
    <row r="568">
      <c r="B568" s="462"/>
      <c r="C568" s="671"/>
      <c r="D568" s="671"/>
      <c r="E568" s="462"/>
      <c r="F568" s="654"/>
      <c r="G568" s="650"/>
      <c r="H568" s="654"/>
      <c r="I568" s="654"/>
      <c r="J568" s="650"/>
      <c r="K568" s="650"/>
      <c r="L568" s="655"/>
      <c r="M568" s="655"/>
      <c r="N568" s="655"/>
      <c r="O568" s="655"/>
      <c r="P568" s="655"/>
      <c r="Q568" s="655"/>
      <c r="R568" s="655"/>
      <c r="S568" s="655"/>
      <c r="T568" s="655"/>
      <c r="U568" s="655"/>
      <c r="V568" s="655"/>
      <c r="W568" s="655"/>
      <c r="X568" s="655"/>
      <c r="Y568" s="655"/>
      <c r="Z568" s="655"/>
      <c r="AA568" s="655"/>
    </row>
    <row r="569">
      <c r="B569" s="462"/>
      <c r="C569" s="671"/>
      <c r="D569" s="671"/>
      <c r="E569" s="462"/>
      <c r="F569" s="654"/>
      <c r="G569" s="650"/>
      <c r="H569" s="654"/>
      <c r="I569" s="654"/>
      <c r="J569" s="650"/>
      <c r="K569" s="650"/>
      <c r="L569" s="655"/>
      <c r="M569" s="655"/>
      <c r="N569" s="655"/>
      <c r="O569" s="655"/>
      <c r="P569" s="655"/>
      <c r="Q569" s="655"/>
      <c r="R569" s="655"/>
      <c r="S569" s="655"/>
      <c r="T569" s="655"/>
      <c r="U569" s="655"/>
      <c r="V569" s="655"/>
      <c r="W569" s="655"/>
      <c r="X569" s="655"/>
      <c r="Y569" s="655"/>
      <c r="Z569" s="655"/>
      <c r="AA569" s="655"/>
    </row>
    <row r="570">
      <c r="B570" s="462"/>
      <c r="C570" s="671"/>
      <c r="D570" s="671"/>
      <c r="E570" s="462"/>
      <c r="F570" s="654"/>
      <c r="G570" s="650"/>
      <c r="H570" s="654"/>
      <c r="I570" s="654"/>
      <c r="J570" s="650"/>
      <c r="K570" s="650"/>
      <c r="L570" s="655"/>
      <c r="M570" s="655"/>
      <c r="N570" s="655"/>
      <c r="O570" s="655"/>
      <c r="P570" s="655"/>
      <c r="Q570" s="655"/>
      <c r="R570" s="655"/>
      <c r="S570" s="655"/>
      <c r="T570" s="655"/>
      <c r="U570" s="655"/>
      <c r="V570" s="655"/>
      <c r="W570" s="655"/>
      <c r="X570" s="655"/>
      <c r="Y570" s="655"/>
      <c r="Z570" s="655"/>
      <c r="AA570" s="655"/>
    </row>
    <row r="571">
      <c r="B571" s="462"/>
      <c r="C571" s="671"/>
      <c r="D571" s="671"/>
      <c r="E571" s="462"/>
      <c r="F571" s="654"/>
      <c r="G571" s="650"/>
      <c r="H571" s="654"/>
      <c r="I571" s="654"/>
      <c r="J571" s="650"/>
      <c r="K571" s="650"/>
      <c r="L571" s="655"/>
      <c r="M571" s="655"/>
      <c r="N571" s="655"/>
      <c r="O571" s="655"/>
      <c r="P571" s="655"/>
      <c r="Q571" s="655"/>
      <c r="R571" s="655"/>
      <c r="S571" s="655"/>
      <c r="T571" s="655"/>
      <c r="U571" s="655"/>
      <c r="V571" s="655"/>
      <c r="W571" s="655"/>
      <c r="X571" s="655"/>
      <c r="Y571" s="655"/>
      <c r="Z571" s="655"/>
      <c r="AA571" s="655"/>
    </row>
    <row r="572">
      <c r="B572" s="462"/>
      <c r="C572" s="671"/>
      <c r="D572" s="671"/>
      <c r="E572" s="462"/>
      <c r="F572" s="654"/>
      <c r="G572" s="650"/>
      <c r="H572" s="654"/>
      <c r="I572" s="654"/>
      <c r="J572" s="650"/>
      <c r="K572" s="650"/>
      <c r="L572" s="655"/>
      <c r="M572" s="655"/>
      <c r="N572" s="655"/>
      <c r="O572" s="655"/>
      <c r="P572" s="655"/>
      <c r="Q572" s="655"/>
      <c r="R572" s="655"/>
      <c r="S572" s="655"/>
      <c r="T572" s="655"/>
      <c r="U572" s="655"/>
      <c r="V572" s="655"/>
      <c r="W572" s="655"/>
      <c r="X572" s="655"/>
      <c r="Y572" s="655"/>
      <c r="Z572" s="655"/>
      <c r="AA572" s="655"/>
    </row>
    <row r="573">
      <c r="B573" s="462"/>
      <c r="C573" s="671"/>
      <c r="D573" s="671"/>
      <c r="E573" s="462"/>
      <c r="F573" s="654"/>
      <c r="G573" s="650"/>
      <c r="H573" s="654"/>
      <c r="I573" s="654"/>
      <c r="J573" s="650"/>
      <c r="K573" s="650"/>
      <c r="L573" s="655"/>
      <c r="M573" s="655"/>
      <c r="N573" s="655"/>
      <c r="O573" s="655"/>
      <c r="P573" s="655"/>
      <c r="Q573" s="655"/>
      <c r="R573" s="655"/>
      <c r="S573" s="655"/>
      <c r="T573" s="655"/>
      <c r="U573" s="655"/>
      <c r="V573" s="655"/>
      <c r="W573" s="655"/>
      <c r="X573" s="655"/>
      <c r="Y573" s="655"/>
      <c r="Z573" s="655"/>
      <c r="AA573" s="655"/>
    </row>
    <row r="574">
      <c r="B574" s="462"/>
      <c r="C574" s="671"/>
      <c r="D574" s="671"/>
      <c r="E574" s="462"/>
      <c r="F574" s="654"/>
      <c r="G574" s="650"/>
      <c r="H574" s="654"/>
      <c r="I574" s="654"/>
      <c r="J574" s="650"/>
      <c r="K574" s="650"/>
      <c r="L574" s="655"/>
      <c r="M574" s="655"/>
      <c r="N574" s="655"/>
      <c r="O574" s="655"/>
      <c r="P574" s="655"/>
      <c r="Q574" s="655"/>
      <c r="R574" s="655"/>
      <c r="S574" s="655"/>
      <c r="T574" s="655"/>
      <c r="U574" s="655"/>
      <c r="V574" s="655"/>
      <c r="W574" s="655"/>
      <c r="X574" s="655"/>
      <c r="Y574" s="655"/>
      <c r="Z574" s="655"/>
      <c r="AA574" s="655"/>
    </row>
    <row r="575">
      <c r="B575" s="462"/>
      <c r="C575" s="671"/>
      <c r="D575" s="671"/>
      <c r="E575" s="462"/>
      <c r="F575" s="654"/>
      <c r="G575" s="650"/>
      <c r="H575" s="654"/>
      <c r="I575" s="654"/>
      <c r="J575" s="650"/>
      <c r="K575" s="650"/>
      <c r="L575" s="655"/>
      <c r="M575" s="655"/>
      <c r="N575" s="655"/>
      <c r="O575" s="655"/>
      <c r="P575" s="655"/>
      <c r="Q575" s="655"/>
      <c r="R575" s="655"/>
      <c r="S575" s="655"/>
      <c r="T575" s="655"/>
      <c r="U575" s="655"/>
      <c r="V575" s="655"/>
      <c r="W575" s="655"/>
      <c r="X575" s="655"/>
      <c r="Y575" s="655"/>
      <c r="Z575" s="655"/>
      <c r="AA575" s="655"/>
    </row>
    <row r="576">
      <c r="B576" s="462"/>
      <c r="C576" s="671"/>
      <c r="D576" s="671"/>
      <c r="E576" s="462"/>
      <c r="F576" s="654"/>
      <c r="G576" s="650"/>
      <c r="H576" s="654"/>
      <c r="I576" s="654"/>
      <c r="J576" s="650"/>
      <c r="K576" s="650"/>
      <c r="L576" s="655"/>
      <c r="M576" s="655"/>
      <c r="N576" s="655"/>
      <c r="O576" s="655"/>
      <c r="P576" s="655"/>
      <c r="Q576" s="655"/>
      <c r="R576" s="655"/>
      <c r="S576" s="655"/>
      <c r="T576" s="655"/>
      <c r="U576" s="655"/>
      <c r="V576" s="655"/>
      <c r="W576" s="655"/>
      <c r="X576" s="655"/>
      <c r="Y576" s="655"/>
      <c r="Z576" s="655"/>
      <c r="AA576" s="655"/>
    </row>
    <row r="577">
      <c r="B577" s="462"/>
      <c r="C577" s="671"/>
      <c r="D577" s="671"/>
      <c r="E577" s="462"/>
      <c r="F577" s="654"/>
      <c r="G577" s="650"/>
      <c r="H577" s="654"/>
      <c r="I577" s="654"/>
      <c r="J577" s="650"/>
      <c r="K577" s="650"/>
      <c r="L577" s="655"/>
      <c r="M577" s="655"/>
      <c r="N577" s="655"/>
      <c r="O577" s="655"/>
      <c r="P577" s="655"/>
      <c r="Q577" s="655"/>
      <c r="R577" s="655"/>
      <c r="S577" s="655"/>
      <c r="T577" s="655"/>
      <c r="U577" s="655"/>
      <c r="V577" s="655"/>
      <c r="W577" s="655"/>
      <c r="X577" s="655"/>
      <c r="Y577" s="655"/>
      <c r="Z577" s="655"/>
      <c r="AA577" s="655"/>
    </row>
    <row r="578">
      <c r="B578" s="462"/>
      <c r="C578" s="671"/>
      <c r="D578" s="671"/>
      <c r="E578" s="462"/>
      <c r="F578" s="654"/>
      <c r="G578" s="650"/>
      <c r="H578" s="654"/>
      <c r="I578" s="654"/>
      <c r="J578" s="650"/>
      <c r="K578" s="650"/>
      <c r="L578" s="655"/>
      <c r="M578" s="655"/>
      <c r="N578" s="655"/>
      <c r="O578" s="655"/>
      <c r="P578" s="655"/>
      <c r="Q578" s="655"/>
      <c r="R578" s="655"/>
      <c r="S578" s="655"/>
      <c r="T578" s="655"/>
      <c r="U578" s="655"/>
      <c r="V578" s="655"/>
      <c r="W578" s="655"/>
      <c r="X578" s="655"/>
      <c r="Y578" s="655"/>
      <c r="Z578" s="655"/>
      <c r="AA578" s="655"/>
    </row>
    <row r="579">
      <c r="B579" s="462"/>
      <c r="C579" s="671"/>
      <c r="D579" s="671"/>
      <c r="E579" s="462"/>
      <c r="F579" s="654"/>
      <c r="G579" s="650"/>
      <c r="H579" s="654"/>
      <c r="I579" s="654"/>
      <c r="J579" s="650"/>
      <c r="K579" s="650"/>
      <c r="L579" s="655"/>
      <c r="M579" s="655"/>
      <c r="N579" s="655"/>
      <c r="O579" s="655"/>
      <c r="P579" s="655"/>
      <c r="Q579" s="655"/>
      <c r="R579" s="655"/>
      <c r="S579" s="655"/>
      <c r="T579" s="655"/>
      <c r="U579" s="655"/>
      <c r="V579" s="655"/>
      <c r="W579" s="655"/>
      <c r="X579" s="655"/>
      <c r="Y579" s="655"/>
      <c r="Z579" s="655"/>
      <c r="AA579" s="655"/>
    </row>
    <row r="580">
      <c r="B580" s="462"/>
      <c r="C580" s="671"/>
      <c r="D580" s="671"/>
      <c r="E580" s="462"/>
      <c r="F580" s="654"/>
      <c r="G580" s="650"/>
      <c r="H580" s="654"/>
      <c r="I580" s="654"/>
      <c r="J580" s="650"/>
      <c r="K580" s="650"/>
      <c r="L580" s="655"/>
      <c r="M580" s="655"/>
      <c r="N580" s="655"/>
      <c r="O580" s="655"/>
      <c r="P580" s="655"/>
      <c r="Q580" s="655"/>
      <c r="R580" s="655"/>
      <c r="S580" s="655"/>
      <c r="T580" s="655"/>
      <c r="U580" s="655"/>
      <c r="V580" s="655"/>
      <c r="W580" s="655"/>
      <c r="X580" s="655"/>
      <c r="Y580" s="655"/>
      <c r="Z580" s="655"/>
      <c r="AA580" s="655"/>
    </row>
    <row r="581">
      <c r="B581" s="462"/>
      <c r="C581" s="671"/>
      <c r="D581" s="671"/>
      <c r="E581" s="462"/>
      <c r="F581" s="654"/>
      <c r="G581" s="650"/>
      <c r="H581" s="654"/>
      <c r="I581" s="654"/>
      <c r="J581" s="650"/>
      <c r="K581" s="650"/>
      <c r="L581" s="655"/>
      <c r="M581" s="655"/>
      <c r="N581" s="655"/>
      <c r="O581" s="655"/>
      <c r="P581" s="655"/>
      <c r="Q581" s="655"/>
      <c r="R581" s="655"/>
      <c r="S581" s="655"/>
      <c r="T581" s="655"/>
      <c r="U581" s="655"/>
      <c r="V581" s="655"/>
      <c r="W581" s="655"/>
      <c r="X581" s="655"/>
      <c r="Y581" s="655"/>
      <c r="Z581" s="655"/>
      <c r="AA581" s="655"/>
    </row>
    <row r="582">
      <c r="B582" s="462"/>
      <c r="C582" s="671"/>
      <c r="D582" s="671"/>
      <c r="E582" s="462"/>
      <c r="F582" s="654"/>
      <c r="G582" s="650"/>
      <c r="H582" s="654"/>
      <c r="I582" s="654"/>
      <c r="J582" s="650"/>
      <c r="K582" s="650"/>
      <c r="L582" s="655"/>
      <c r="M582" s="655"/>
      <c r="N582" s="655"/>
      <c r="O582" s="655"/>
      <c r="P582" s="655"/>
      <c r="Q582" s="655"/>
      <c r="R582" s="655"/>
      <c r="S582" s="655"/>
      <c r="T582" s="655"/>
      <c r="U582" s="655"/>
      <c r="V582" s="655"/>
      <c r="W582" s="655"/>
      <c r="X582" s="655"/>
      <c r="Y582" s="655"/>
      <c r="Z582" s="655"/>
      <c r="AA582" s="655"/>
    </row>
    <row r="583">
      <c r="B583" s="462"/>
      <c r="C583" s="671"/>
      <c r="D583" s="671"/>
      <c r="E583" s="462"/>
      <c r="F583" s="654"/>
      <c r="G583" s="650"/>
      <c r="H583" s="654"/>
      <c r="I583" s="654"/>
      <c r="J583" s="650"/>
      <c r="K583" s="650"/>
      <c r="L583" s="655"/>
      <c r="M583" s="655"/>
      <c r="N583" s="655"/>
      <c r="O583" s="655"/>
      <c r="P583" s="655"/>
      <c r="Q583" s="655"/>
      <c r="R583" s="655"/>
      <c r="S583" s="655"/>
      <c r="T583" s="655"/>
      <c r="U583" s="655"/>
      <c r="V583" s="655"/>
      <c r="W583" s="655"/>
      <c r="X583" s="655"/>
      <c r="Y583" s="655"/>
      <c r="Z583" s="655"/>
      <c r="AA583" s="655"/>
    </row>
    <row r="584">
      <c r="B584" s="462"/>
      <c r="C584" s="671"/>
      <c r="D584" s="671"/>
      <c r="E584" s="462"/>
      <c r="F584" s="654"/>
      <c r="G584" s="650"/>
      <c r="H584" s="654"/>
      <c r="I584" s="654"/>
      <c r="J584" s="650"/>
      <c r="K584" s="650"/>
      <c r="L584" s="655"/>
      <c r="M584" s="655"/>
      <c r="N584" s="655"/>
      <c r="O584" s="655"/>
      <c r="P584" s="655"/>
      <c r="Q584" s="655"/>
      <c r="R584" s="655"/>
      <c r="S584" s="655"/>
      <c r="T584" s="655"/>
      <c r="U584" s="655"/>
      <c r="V584" s="655"/>
      <c r="W584" s="655"/>
      <c r="X584" s="655"/>
      <c r="Y584" s="655"/>
      <c r="Z584" s="655"/>
      <c r="AA584" s="655"/>
    </row>
    <row r="585">
      <c r="B585" s="462"/>
      <c r="C585" s="671"/>
      <c r="D585" s="671"/>
      <c r="E585" s="462"/>
      <c r="F585" s="654"/>
      <c r="G585" s="650"/>
      <c r="H585" s="654"/>
      <c r="I585" s="654"/>
      <c r="J585" s="650"/>
      <c r="K585" s="650"/>
      <c r="L585" s="655"/>
      <c r="M585" s="655"/>
      <c r="N585" s="655"/>
      <c r="O585" s="655"/>
      <c r="P585" s="655"/>
      <c r="Q585" s="655"/>
      <c r="R585" s="655"/>
      <c r="S585" s="655"/>
      <c r="T585" s="655"/>
      <c r="U585" s="655"/>
      <c r="V585" s="655"/>
      <c r="W585" s="655"/>
      <c r="X585" s="655"/>
      <c r="Y585" s="655"/>
      <c r="Z585" s="655"/>
      <c r="AA585" s="655"/>
    </row>
    <row r="586">
      <c r="B586" s="462"/>
      <c r="C586" s="671"/>
      <c r="D586" s="671"/>
      <c r="E586" s="462"/>
      <c r="F586" s="654"/>
      <c r="G586" s="650"/>
      <c r="H586" s="654"/>
      <c r="I586" s="654"/>
      <c r="J586" s="650"/>
      <c r="K586" s="650"/>
      <c r="L586" s="655"/>
      <c r="M586" s="655"/>
      <c r="N586" s="655"/>
      <c r="O586" s="655"/>
      <c r="P586" s="655"/>
      <c r="Q586" s="655"/>
      <c r="R586" s="655"/>
      <c r="S586" s="655"/>
      <c r="T586" s="655"/>
      <c r="U586" s="655"/>
      <c r="V586" s="655"/>
      <c r="W586" s="655"/>
      <c r="X586" s="655"/>
      <c r="Y586" s="655"/>
      <c r="Z586" s="655"/>
      <c r="AA586" s="655"/>
    </row>
    <row r="587">
      <c r="B587" s="462"/>
      <c r="C587" s="671"/>
      <c r="D587" s="671"/>
      <c r="E587" s="462"/>
      <c r="F587" s="654"/>
      <c r="G587" s="650"/>
      <c r="H587" s="654"/>
      <c r="I587" s="654"/>
      <c r="J587" s="650"/>
      <c r="K587" s="650"/>
      <c r="L587" s="655"/>
      <c r="M587" s="655"/>
      <c r="N587" s="655"/>
      <c r="O587" s="655"/>
      <c r="P587" s="655"/>
      <c r="Q587" s="655"/>
      <c r="R587" s="655"/>
      <c r="S587" s="655"/>
      <c r="T587" s="655"/>
      <c r="U587" s="655"/>
      <c r="V587" s="655"/>
      <c r="W587" s="655"/>
      <c r="X587" s="655"/>
      <c r="Y587" s="655"/>
      <c r="Z587" s="655"/>
      <c r="AA587" s="655"/>
    </row>
    <row r="588">
      <c r="B588" s="462"/>
      <c r="C588" s="671"/>
      <c r="D588" s="671"/>
      <c r="E588" s="462"/>
      <c r="F588" s="654"/>
      <c r="G588" s="650"/>
      <c r="H588" s="654"/>
      <c r="I588" s="654"/>
      <c r="J588" s="650"/>
      <c r="K588" s="650"/>
      <c r="L588" s="655"/>
      <c r="M588" s="655"/>
      <c r="N588" s="655"/>
      <c r="O588" s="655"/>
      <c r="P588" s="655"/>
      <c r="Q588" s="655"/>
      <c r="R588" s="655"/>
      <c r="S588" s="655"/>
      <c r="T588" s="655"/>
      <c r="U588" s="655"/>
      <c r="V588" s="655"/>
      <c r="W588" s="655"/>
      <c r="X588" s="655"/>
      <c r="Y588" s="655"/>
      <c r="Z588" s="655"/>
      <c r="AA588" s="655"/>
    </row>
    <row r="589">
      <c r="B589" s="462"/>
      <c r="C589" s="671"/>
      <c r="D589" s="671"/>
      <c r="E589" s="462"/>
      <c r="F589" s="654"/>
      <c r="G589" s="650"/>
      <c r="H589" s="654"/>
      <c r="I589" s="654"/>
      <c r="J589" s="650"/>
      <c r="K589" s="650"/>
      <c r="L589" s="655"/>
      <c r="M589" s="655"/>
      <c r="N589" s="655"/>
      <c r="O589" s="655"/>
      <c r="P589" s="655"/>
      <c r="Q589" s="655"/>
      <c r="R589" s="655"/>
      <c r="S589" s="655"/>
      <c r="T589" s="655"/>
      <c r="U589" s="655"/>
      <c r="V589" s="655"/>
      <c r="W589" s="655"/>
      <c r="X589" s="655"/>
      <c r="Y589" s="655"/>
      <c r="Z589" s="655"/>
      <c r="AA589" s="655"/>
    </row>
    <row r="590">
      <c r="B590" s="462"/>
      <c r="C590" s="671"/>
      <c r="D590" s="671"/>
      <c r="E590" s="462"/>
      <c r="F590" s="654"/>
      <c r="G590" s="650"/>
      <c r="H590" s="654"/>
      <c r="I590" s="654"/>
      <c r="J590" s="650"/>
      <c r="K590" s="650"/>
      <c r="L590" s="655"/>
      <c r="M590" s="655"/>
      <c r="N590" s="655"/>
      <c r="O590" s="655"/>
      <c r="P590" s="655"/>
      <c r="Q590" s="655"/>
      <c r="R590" s="655"/>
      <c r="S590" s="655"/>
      <c r="T590" s="655"/>
      <c r="U590" s="655"/>
      <c r="V590" s="655"/>
      <c r="W590" s="655"/>
      <c r="X590" s="655"/>
      <c r="Y590" s="655"/>
      <c r="Z590" s="655"/>
      <c r="AA590" s="655"/>
    </row>
    <row r="591">
      <c r="B591" s="462"/>
      <c r="C591" s="671"/>
      <c r="D591" s="671"/>
      <c r="E591" s="462"/>
      <c r="F591" s="654"/>
      <c r="G591" s="650"/>
      <c r="H591" s="654"/>
      <c r="I591" s="654"/>
      <c r="J591" s="650"/>
      <c r="K591" s="650"/>
      <c r="L591" s="655"/>
      <c r="M591" s="655"/>
      <c r="N591" s="655"/>
      <c r="O591" s="655"/>
      <c r="P591" s="655"/>
      <c r="Q591" s="655"/>
      <c r="R591" s="655"/>
      <c r="S591" s="655"/>
      <c r="T591" s="655"/>
      <c r="U591" s="655"/>
      <c r="V591" s="655"/>
      <c r="W591" s="655"/>
      <c r="X591" s="655"/>
      <c r="Y591" s="655"/>
      <c r="Z591" s="655"/>
      <c r="AA591" s="655"/>
    </row>
    <row r="592">
      <c r="B592" s="462"/>
      <c r="C592" s="671"/>
      <c r="D592" s="671"/>
      <c r="E592" s="462"/>
      <c r="F592" s="654"/>
      <c r="G592" s="650"/>
      <c r="H592" s="654"/>
      <c r="I592" s="654"/>
      <c r="J592" s="650"/>
      <c r="K592" s="650"/>
      <c r="L592" s="655"/>
      <c r="M592" s="655"/>
      <c r="N592" s="655"/>
      <c r="O592" s="655"/>
      <c r="P592" s="655"/>
      <c r="Q592" s="655"/>
      <c r="R592" s="655"/>
      <c r="S592" s="655"/>
      <c r="T592" s="655"/>
      <c r="U592" s="655"/>
      <c r="V592" s="655"/>
      <c r="W592" s="655"/>
      <c r="X592" s="655"/>
      <c r="Y592" s="655"/>
      <c r="Z592" s="655"/>
      <c r="AA592" s="655"/>
    </row>
    <row r="593">
      <c r="B593" s="462"/>
      <c r="C593" s="671"/>
      <c r="D593" s="671"/>
      <c r="E593" s="462"/>
      <c r="F593" s="654"/>
      <c r="G593" s="650"/>
      <c r="H593" s="654"/>
      <c r="I593" s="654"/>
      <c r="J593" s="650"/>
      <c r="K593" s="650"/>
      <c r="L593" s="655"/>
      <c r="M593" s="655"/>
      <c r="N593" s="655"/>
      <c r="O593" s="655"/>
      <c r="P593" s="655"/>
      <c r="Q593" s="655"/>
      <c r="R593" s="655"/>
      <c r="S593" s="655"/>
      <c r="T593" s="655"/>
      <c r="U593" s="655"/>
      <c r="V593" s="655"/>
      <c r="W593" s="655"/>
      <c r="X593" s="655"/>
      <c r="Y593" s="655"/>
      <c r="Z593" s="655"/>
      <c r="AA593" s="655"/>
    </row>
    <row r="594">
      <c r="B594" s="462"/>
      <c r="C594" s="671"/>
      <c r="D594" s="671"/>
      <c r="E594" s="462"/>
      <c r="F594" s="654"/>
      <c r="G594" s="650"/>
      <c r="H594" s="654"/>
      <c r="I594" s="654"/>
      <c r="J594" s="650"/>
      <c r="K594" s="650"/>
      <c r="L594" s="655"/>
      <c r="M594" s="655"/>
      <c r="N594" s="655"/>
      <c r="O594" s="655"/>
      <c r="P594" s="655"/>
      <c r="Q594" s="655"/>
      <c r="R594" s="655"/>
      <c r="S594" s="655"/>
      <c r="T594" s="655"/>
      <c r="U594" s="655"/>
      <c r="V594" s="655"/>
      <c r="W594" s="655"/>
      <c r="X594" s="655"/>
      <c r="Y594" s="655"/>
      <c r="Z594" s="655"/>
      <c r="AA594" s="655"/>
    </row>
    <row r="595">
      <c r="B595" s="462"/>
      <c r="C595" s="671"/>
      <c r="D595" s="671"/>
      <c r="E595" s="462"/>
      <c r="F595" s="654"/>
      <c r="G595" s="650"/>
      <c r="H595" s="654"/>
      <c r="I595" s="654"/>
      <c r="J595" s="650"/>
      <c r="K595" s="650"/>
      <c r="L595" s="655"/>
      <c r="M595" s="655"/>
      <c r="N595" s="655"/>
      <c r="O595" s="655"/>
      <c r="P595" s="655"/>
      <c r="Q595" s="655"/>
      <c r="R595" s="655"/>
      <c r="S595" s="655"/>
      <c r="T595" s="655"/>
      <c r="U595" s="655"/>
      <c r="V595" s="655"/>
      <c r="W595" s="655"/>
      <c r="X595" s="655"/>
      <c r="Y595" s="655"/>
      <c r="Z595" s="655"/>
      <c r="AA595" s="655"/>
    </row>
    <row r="596">
      <c r="B596" s="462"/>
      <c r="C596" s="671"/>
      <c r="D596" s="671"/>
      <c r="E596" s="462"/>
      <c r="F596" s="654"/>
      <c r="G596" s="650"/>
      <c r="H596" s="654"/>
      <c r="I596" s="654"/>
      <c r="J596" s="650"/>
      <c r="K596" s="650"/>
      <c r="L596" s="655"/>
      <c r="M596" s="655"/>
      <c r="N596" s="655"/>
      <c r="O596" s="655"/>
      <c r="P596" s="655"/>
      <c r="Q596" s="655"/>
      <c r="R596" s="655"/>
      <c r="S596" s="655"/>
      <c r="T596" s="655"/>
      <c r="U596" s="655"/>
      <c r="V596" s="655"/>
      <c r="W596" s="655"/>
      <c r="X596" s="655"/>
      <c r="Y596" s="655"/>
      <c r="Z596" s="655"/>
      <c r="AA596" s="655"/>
    </row>
    <row r="597">
      <c r="B597" s="462"/>
      <c r="C597" s="671"/>
      <c r="D597" s="671"/>
      <c r="E597" s="462"/>
      <c r="F597" s="654"/>
      <c r="G597" s="650"/>
      <c r="H597" s="654"/>
      <c r="I597" s="654"/>
      <c r="J597" s="650"/>
      <c r="K597" s="650"/>
      <c r="L597" s="655"/>
      <c r="M597" s="655"/>
      <c r="N597" s="655"/>
      <c r="O597" s="655"/>
      <c r="P597" s="655"/>
      <c r="Q597" s="655"/>
      <c r="R597" s="655"/>
      <c r="S597" s="655"/>
      <c r="T597" s="655"/>
      <c r="U597" s="655"/>
      <c r="V597" s="655"/>
      <c r="W597" s="655"/>
      <c r="X597" s="655"/>
      <c r="Y597" s="655"/>
      <c r="Z597" s="655"/>
      <c r="AA597" s="655"/>
    </row>
    <row r="598">
      <c r="B598" s="462"/>
      <c r="C598" s="671"/>
      <c r="D598" s="671"/>
      <c r="E598" s="462"/>
      <c r="F598" s="654"/>
      <c r="G598" s="650"/>
      <c r="H598" s="654"/>
      <c r="I598" s="654"/>
      <c r="J598" s="650"/>
      <c r="K598" s="650"/>
      <c r="L598" s="655"/>
      <c r="M598" s="655"/>
      <c r="N598" s="655"/>
      <c r="O598" s="655"/>
      <c r="P598" s="655"/>
      <c r="Q598" s="655"/>
      <c r="R598" s="655"/>
      <c r="S598" s="655"/>
      <c r="T598" s="655"/>
      <c r="U598" s="655"/>
      <c r="V598" s="655"/>
      <c r="W598" s="655"/>
      <c r="X598" s="655"/>
      <c r="Y598" s="655"/>
      <c r="Z598" s="655"/>
      <c r="AA598" s="655"/>
    </row>
    <row r="599">
      <c r="B599" s="462"/>
      <c r="C599" s="671"/>
      <c r="D599" s="671"/>
      <c r="E599" s="462"/>
      <c r="F599" s="654"/>
      <c r="G599" s="650"/>
      <c r="H599" s="654"/>
      <c r="I599" s="654"/>
      <c r="J599" s="650"/>
      <c r="K599" s="650"/>
      <c r="L599" s="655"/>
      <c r="M599" s="655"/>
      <c r="N599" s="655"/>
      <c r="O599" s="655"/>
      <c r="P599" s="655"/>
      <c r="Q599" s="655"/>
      <c r="R599" s="655"/>
      <c r="S599" s="655"/>
      <c r="T599" s="655"/>
      <c r="U599" s="655"/>
      <c r="V599" s="655"/>
      <c r="W599" s="655"/>
      <c r="X599" s="655"/>
      <c r="Y599" s="655"/>
      <c r="Z599" s="655"/>
      <c r="AA599" s="655"/>
    </row>
    <row r="600">
      <c r="B600" s="462"/>
      <c r="C600" s="671"/>
      <c r="D600" s="671"/>
      <c r="E600" s="462"/>
      <c r="F600" s="654"/>
      <c r="G600" s="650"/>
      <c r="H600" s="654"/>
      <c r="I600" s="654"/>
      <c r="J600" s="650"/>
      <c r="K600" s="650"/>
      <c r="L600" s="655"/>
      <c r="M600" s="655"/>
      <c r="N600" s="655"/>
      <c r="O600" s="655"/>
      <c r="P600" s="655"/>
      <c r="Q600" s="655"/>
      <c r="R600" s="655"/>
      <c r="S600" s="655"/>
      <c r="T600" s="655"/>
      <c r="U600" s="655"/>
      <c r="V600" s="655"/>
      <c r="W600" s="655"/>
      <c r="X600" s="655"/>
      <c r="Y600" s="655"/>
      <c r="Z600" s="655"/>
      <c r="AA600" s="655"/>
    </row>
    <row r="601">
      <c r="B601" s="462"/>
      <c r="C601" s="671"/>
      <c r="D601" s="671"/>
      <c r="E601" s="462"/>
      <c r="F601" s="654"/>
      <c r="G601" s="650"/>
      <c r="H601" s="654"/>
      <c r="I601" s="654"/>
      <c r="J601" s="650"/>
      <c r="K601" s="650"/>
      <c r="L601" s="655"/>
      <c r="M601" s="655"/>
      <c r="N601" s="655"/>
      <c r="O601" s="655"/>
      <c r="P601" s="655"/>
      <c r="Q601" s="655"/>
      <c r="R601" s="655"/>
      <c r="S601" s="655"/>
      <c r="T601" s="655"/>
      <c r="U601" s="655"/>
      <c r="V601" s="655"/>
      <c r="W601" s="655"/>
      <c r="X601" s="655"/>
      <c r="Y601" s="655"/>
      <c r="Z601" s="655"/>
      <c r="AA601" s="655"/>
    </row>
    <row r="602">
      <c r="B602" s="462"/>
      <c r="C602" s="671"/>
      <c r="D602" s="671"/>
      <c r="E602" s="462"/>
      <c r="F602" s="654"/>
      <c r="G602" s="650"/>
      <c r="H602" s="654"/>
      <c r="I602" s="654"/>
      <c r="J602" s="650"/>
      <c r="K602" s="650"/>
      <c r="L602" s="655"/>
      <c r="M602" s="655"/>
      <c r="N602" s="655"/>
      <c r="O602" s="655"/>
      <c r="P602" s="655"/>
      <c r="Q602" s="655"/>
      <c r="R602" s="655"/>
      <c r="S602" s="655"/>
      <c r="T602" s="655"/>
      <c r="U602" s="655"/>
      <c r="V602" s="655"/>
      <c r="W602" s="655"/>
      <c r="X602" s="655"/>
      <c r="Y602" s="655"/>
      <c r="Z602" s="655"/>
      <c r="AA602" s="655"/>
    </row>
    <row r="603">
      <c r="B603" s="462"/>
      <c r="C603" s="671"/>
      <c r="D603" s="671"/>
      <c r="E603" s="462"/>
      <c r="F603" s="654"/>
      <c r="G603" s="650"/>
      <c r="H603" s="654"/>
      <c r="I603" s="654"/>
      <c r="J603" s="650"/>
      <c r="K603" s="650"/>
      <c r="L603" s="655"/>
      <c r="M603" s="655"/>
      <c r="N603" s="655"/>
      <c r="O603" s="655"/>
      <c r="P603" s="655"/>
      <c r="Q603" s="655"/>
      <c r="R603" s="655"/>
      <c r="S603" s="655"/>
      <c r="T603" s="655"/>
      <c r="U603" s="655"/>
      <c r="V603" s="655"/>
      <c r="W603" s="655"/>
      <c r="X603" s="655"/>
      <c r="Y603" s="655"/>
      <c r="Z603" s="655"/>
      <c r="AA603" s="655"/>
    </row>
    <row r="604">
      <c r="B604" s="462"/>
      <c r="C604" s="671"/>
      <c r="D604" s="671"/>
      <c r="E604" s="462"/>
      <c r="F604" s="654"/>
      <c r="G604" s="650"/>
      <c r="H604" s="654"/>
      <c r="I604" s="654"/>
      <c r="J604" s="650"/>
      <c r="K604" s="650"/>
      <c r="L604" s="655"/>
      <c r="M604" s="655"/>
      <c r="N604" s="655"/>
      <c r="O604" s="655"/>
      <c r="P604" s="655"/>
      <c r="Q604" s="655"/>
      <c r="R604" s="655"/>
      <c r="S604" s="655"/>
      <c r="T604" s="655"/>
      <c r="U604" s="655"/>
      <c r="V604" s="655"/>
      <c r="W604" s="655"/>
      <c r="X604" s="655"/>
      <c r="Y604" s="655"/>
      <c r="Z604" s="655"/>
      <c r="AA604" s="655"/>
    </row>
    <row r="605">
      <c r="B605" s="462"/>
      <c r="C605" s="671"/>
      <c r="D605" s="671"/>
      <c r="E605" s="462"/>
      <c r="F605" s="654"/>
      <c r="G605" s="650"/>
      <c r="H605" s="654"/>
      <c r="I605" s="654"/>
      <c r="J605" s="650"/>
      <c r="K605" s="650"/>
      <c r="L605" s="655"/>
      <c r="M605" s="655"/>
      <c r="N605" s="655"/>
      <c r="O605" s="655"/>
      <c r="P605" s="655"/>
      <c r="Q605" s="655"/>
      <c r="R605" s="655"/>
      <c r="S605" s="655"/>
      <c r="T605" s="655"/>
      <c r="U605" s="655"/>
      <c r="V605" s="655"/>
      <c r="W605" s="655"/>
      <c r="X605" s="655"/>
      <c r="Y605" s="655"/>
      <c r="Z605" s="655"/>
      <c r="AA605" s="655"/>
    </row>
    <row r="606">
      <c r="B606" s="462"/>
      <c r="C606" s="671"/>
      <c r="D606" s="671"/>
      <c r="E606" s="462"/>
      <c r="F606" s="654"/>
      <c r="G606" s="650"/>
      <c r="H606" s="654"/>
      <c r="I606" s="654"/>
      <c r="J606" s="650"/>
      <c r="K606" s="650"/>
      <c r="L606" s="655"/>
      <c r="M606" s="655"/>
      <c r="N606" s="655"/>
      <c r="O606" s="655"/>
      <c r="P606" s="655"/>
      <c r="Q606" s="655"/>
      <c r="R606" s="655"/>
      <c r="S606" s="655"/>
      <c r="T606" s="655"/>
      <c r="U606" s="655"/>
      <c r="V606" s="655"/>
      <c r="W606" s="655"/>
      <c r="X606" s="655"/>
      <c r="Y606" s="655"/>
      <c r="Z606" s="655"/>
      <c r="AA606" s="655"/>
    </row>
    <row r="607">
      <c r="B607" s="462"/>
      <c r="C607" s="671"/>
      <c r="D607" s="671"/>
      <c r="E607" s="462"/>
      <c r="F607" s="654"/>
      <c r="G607" s="650"/>
      <c r="H607" s="654"/>
      <c r="I607" s="654"/>
      <c r="J607" s="650"/>
      <c r="K607" s="650"/>
      <c r="L607" s="655"/>
      <c r="M607" s="655"/>
      <c r="N607" s="655"/>
      <c r="O607" s="655"/>
      <c r="P607" s="655"/>
      <c r="Q607" s="655"/>
      <c r="R607" s="655"/>
      <c r="S607" s="655"/>
      <c r="T607" s="655"/>
      <c r="U607" s="655"/>
      <c r="V607" s="655"/>
      <c r="W607" s="655"/>
      <c r="X607" s="655"/>
      <c r="Y607" s="655"/>
      <c r="Z607" s="655"/>
      <c r="AA607" s="655"/>
    </row>
    <row r="608">
      <c r="B608" s="462"/>
      <c r="C608" s="671"/>
      <c r="D608" s="671"/>
      <c r="E608" s="462"/>
      <c r="F608" s="654"/>
      <c r="G608" s="650"/>
      <c r="H608" s="654"/>
      <c r="I608" s="654"/>
      <c r="J608" s="650"/>
      <c r="K608" s="650"/>
      <c r="L608" s="655"/>
      <c r="M608" s="655"/>
      <c r="N608" s="655"/>
      <c r="O608" s="655"/>
      <c r="P608" s="655"/>
      <c r="Q608" s="655"/>
      <c r="R608" s="655"/>
      <c r="S608" s="655"/>
      <c r="T608" s="655"/>
      <c r="U608" s="655"/>
      <c r="V608" s="655"/>
      <c r="W608" s="655"/>
      <c r="X608" s="655"/>
      <c r="Y608" s="655"/>
      <c r="Z608" s="655"/>
      <c r="AA608" s="655"/>
    </row>
    <row r="609">
      <c r="B609" s="462"/>
      <c r="C609" s="671"/>
      <c r="D609" s="671"/>
      <c r="E609" s="462"/>
      <c r="F609" s="654"/>
      <c r="G609" s="650"/>
      <c r="H609" s="654"/>
      <c r="I609" s="654"/>
      <c r="J609" s="650"/>
      <c r="K609" s="650"/>
      <c r="L609" s="655"/>
      <c r="M609" s="655"/>
      <c r="N609" s="655"/>
      <c r="O609" s="655"/>
      <c r="P609" s="655"/>
      <c r="Q609" s="655"/>
      <c r="R609" s="655"/>
      <c r="S609" s="655"/>
      <c r="T609" s="655"/>
      <c r="U609" s="655"/>
      <c r="V609" s="655"/>
      <c r="W609" s="655"/>
      <c r="X609" s="655"/>
      <c r="Y609" s="655"/>
      <c r="Z609" s="655"/>
      <c r="AA609" s="655"/>
    </row>
    <row r="610">
      <c r="B610" s="462"/>
      <c r="C610" s="671"/>
      <c r="D610" s="671"/>
      <c r="E610" s="462"/>
      <c r="F610" s="654"/>
      <c r="G610" s="650"/>
      <c r="H610" s="654"/>
      <c r="I610" s="654"/>
      <c r="J610" s="650"/>
      <c r="K610" s="650"/>
      <c r="L610" s="655"/>
      <c r="M610" s="655"/>
      <c r="N610" s="655"/>
      <c r="O610" s="655"/>
      <c r="P610" s="655"/>
      <c r="Q610" s="655"/>
      <c r="R610" s="655"/>
      <c r="S610" s="655"/>
      <c r="T610" s="655"/>
      <c r="U610" s="655"/>
      <c r="V610" s="655"/>
      <c r="W610" s="655"/>
      <c r="X610" s="655"/>
      <c r="Y610" s="655"/>
      <c r="Z610" s="655"/>
      <c r="AA610" s="655"/>
    </row>
    <row r="611">
      <c r="B611" s="462"/>
      <c r="C611" s="671"/>
      <c r="D611" s="671"/>
      <c r="E611" s="462"/>
      <c r="F611" s="654"/>
      <c r="G611" s="650"/>
      <c r="H611" s="654"/>
      <c r="I611" s="654"/>
      <c r="J611" s="650"/>
      <c r="K611" s="650"/>
      <c r="L611" s="655"/>
      <c r="M611" s="655"/>
      <c r="N611" s="655"/>
      <c r="O611" s="655"/>
      <c r="P611" s="655"/>
      <c r="Q611" s="655"/>
      <c r="R611" s="655"/>
      <c r="S611" s="655"/>
      <c r="T611" s="655"/>
      <c r="U611" s="655"/>
      <c r="V611" s="655"/>
      <c r="W611" s="655"/>
      <c r="X611" s="655"/>
      <c r="Y611" s="655"/>
      <c r="Z611" s="655"/>
      <c r="AA611" s="655"/>
    </row>
    <row r="612">
      <c r="B612" s="462"/>
      <c r="C612" s="671"/>
      <c r="D612" s="671"/>
      <c r="E612" s="462"/>
      <c r="F612" s="654"/>
      <c r="G612" s="650"/>
      <c r="H612" s="654"/>
      <c r="I612" s="654"/>
      <c r="J612" s="650"/>
      <c r="K612" s="650"/>
      <c r="L612" s="655"/>
      <c r="M612" s="655"/>
      <c r="N612" s="655"/>
      <c r="O612" s="655"/>
      <c r="P612" s="655"/>
      <c r="Q612" s="655"/>
      <c r="R612" s="655"/>
      <c r="S612" s="655"/>
      <c r="T612" s="655"/>
      <c r="U612" s="655"/>
      <c r="V612" s="655"/>
      <c r="W612" s="655"/>
      <c r="X612" s="655"/>
      <c r="Y612" s="655"/>
      <c r="Z612" s="655"/>
      <c r="AA612" s="655"/>
    </row>
    <row r="613">
      <c r="B613" s="462"/>
      <c r="C613" s="671"/>
      <c r="D613" s="671"/>
      <c r="E613" s="462"/>
      <c r="F613" s="654"/>
      <c r="G613" s="650"/>
      <c r="H613" s="654"/>
      <c r="I613" s="654"/>
      <c r="J613" s="650"/>
      <c r="K613" s="650"/>
      <c r="L613" s="655"/>
      <c r="M613" s="655"/>
      <c r="N613" s="655"/>
      <c r="O613" s="655"/>
      <c r="P613" s="655"/>
      <c r="Q613" s="655"/>
      <c r="R613" s="655"/>
      <c r="S613" s="655"/>
      <c r="T613" s="655"/>
      <c r="U613" s="655"/>
      <c r="V613" s="655"/>
      <c r="W613" s="655"/>
      <c r="X613" s="655"/>
      <c r="Y613" s="655"/>
      <c r="Z613" s="655"/>
      <c r="AA613" s="655"/>
    </row>
    <row r="614">
      <c r="B614" s="462"/>
      <c r="C614" s="671"/>
      <c r="D614" s="671"/>
      <c r="E614" s="462"/>
      <c r="F614" s="654"/>
      <c r="G614" s="650"/>
      <c r="H614" s="654"/>
      <c r="I614" s="654"/>
      <c r="J614" s="650"/>
      <c r="K614" s="650"/>
      <c r="L614" s="655"/>
      <c r="M614" s="655"/>
      <c r="N614" s="655"/>
      <c r="O614" s="655"/>
      <c r="P614" s="655"/>
      <c r="Q614" s="655"/>
      <c r="R614" s="655"/>
      <c r="S614" s="655"/>
      <c r="T614" s="655"/>
      <c r="U614" s="655"/>
      <c r="V614" s="655"/>
      <c r="W614" s="655"/>
      <c r="X614" s="655"/>
      <c r="Y614" s="655"/>
      <c r="Z614" s="655"/>
      <c r="AA614" s="655"/>
    </row>
    <row r="615">
      <c r="B615" s="462"/>
      <c r="C615" s="671"/>
      <c r="D615" s="671"/>
      <c r="E615" s="462"/>
      <c r="F615" s="654"/>
      <c r="G615" s="650"/>
      <c r="H615" s="654"/>
      <c r="I615" s="654"/>
      <c r="J615" s="650"/>
      <c r="K615" s="650"/>
      <c r="L615" s="655"/>
      <c r="M615" s="655"/>
      <c r="N615" s="655"/>
      <c r="O615" s="655"/>
      <c r="P615" s="655"/>
      <c r="Q615" s="655"/>
      <c r="R615" s="655"/>
      <c r="S615" s="655"/>
      <c r="T615" s="655"/>
      <c r="U615" s="655"/>
      <c r="V615" s="655"/>
      <c r="W615" s="655"/>
      <c r="X615" s="655"/>
      <c r="Y615" s="655"/>
      <c r="Z615" s="655"/>
      <c r="AA615" s="655"/>
    </row>
    <row r="616">
      <c r="B616" s="462"/>
      <c r="C616" s="671"/>
      <c r="D616" s="671"/>
      <c r="E616" s="462"/>
      <c r="F616" s="654"/>
      <c r="G616" s="650"/>
      <c r="H616" s="654"/>
      <c r="I616" s="654"/>
      <c r="J616" s="650"/>
      <c r="K616" s="650"/>
      <c r="L616" s="655"/>
      <c r="M616" s="655"/>
      <c r="N616" s="655"/>
      <c r="O616" s="655"/>
      <c r="P616" s="655"/>
      <c r="Q616" s="655"/>
      <c r="R616" s="655"/>
      <c r="S616" s="655"/>
      <c r="T616" s="655"/>
      <c r="U616" s="655"/>
      <c r="V616" s="655"/>
      <c r="W616" s="655"/>
      <c r="X616" s="655"/>
      <c r="Y616" s="655"/>
      <c r="Z616" s="655"/>
      <c r="AA616" s="655"/>
    </row>
    <row r="617">
      <c r="B617" s="462"/>
      <c r="C617" s="671"/>
      <c r="D617" s="671"/>
      <c r="E617" s="462"/>
      <c r="F617" s="654"/>
      <c r="G617" s="650"/>
      <c r="H617" s="654"/>
      <c r="I617" s="654"/>
      <c r="J617" s="650"/>
      <c r="K617" s="650"/>
      <c r="L617" s="655"/>
      <c r="M617" s="655"/>
      <c r="N617" s="655"/>
      <c r="O617" s="655"/>
      <c r="P617" s="655"/>
      <c r="Q617" s="655"/>
      <c r="R617" s="655"/>
      <c r="S617" s="655"/>
      <c r="T617" s="655"/>
      <c r="U617" s="655"/>
      <c r="V617" s="655"/>
      <c r="W617" s="655"/>
      <c r="X617" s="655"/>
      <c r="Y617" s="655"/>
      <c r="Z617" s="655"/>
      <c r="AA617" s="655"/>
    </row>
    <row r="618">
      <c r="B618" s="462"/>
      <c r="C618" s="671"/>
      <c r="D618" s="671"/>
      <c r="E618" s="462"/>
      <c r="F618" s="654"/>
      <c r="G618" s="650"/>
      <c r="H618" s="654"/>
      <c r="I618" s="654"/>
      <c r="J618" s="650"/>
      <c r="K618" s="650"/>
      <c r="L618" s="655"/>
      <c r="M618" s="655"/>
      <c r="N618" s="655"/>
      <c r="O618" s="655"/>
      <c r="P618" s="655"/>
      <c r="Q618" s="655"/>
      <c r="R618" s="655"/>
      <c r="S618" s="655"/>
      <c r="T618" s="655"/>
      <c r="U618" s="655"/>
      <c r="V618" s="655"/>
      <c r="W618" s="655"/>
      <c r="X618" s="655"/>
      <c r="Y618" s="655"/>
      <c r="Z618" s="655"/>
      <c r="AA618" s="655"/>
    </row>
    <row r="619">
      <c r="B619" s="462"/>
      <c r="C619" s="671"/>
      <c r="D619" s="671"/>
      <c r="E619" s="462"/>
      <c r="F619" s="654"/>
      <c r="G619" s="650"/>
      <c r="H619" s="654"/>
      <c r="I619" s="654"/>
      <c r="J619" s="650"/>
      <c r="K619" s="650"/>
      <c r="L619" s="655"/>
      <c r="M619" s="655"/>
      <c r="N619" s="655"/>
      <c r="O619" s="655"/>
      <c r="P619" s="655"/>
      <c r="Q619" s="655"/>
      <c r="R619" s="655"/>
      <c r="S619" s="655"/>
      <c r="T619" s="655"/>
      <c r="U619" s="655"/>
      <c r="V619" s="655"/>
      <c r="W619" s="655"/>
      <c r="X619" s="655"/>
      <c r="Y619" s="655"/>
      <c r="Z619" s="655"/>
      <c r="AA619" s="655"/>
    </row>
    <row r="620">
      <c r="B620" s="462"/>
      <c r="C620" s="671"/>
      <c r="D620" s="671"/>
      <c r="E620" s="462"/>
      <c r="F620" s="654"/>
      <c r="G620" s="650"/>
      <c r="H620" s="654"/>
      <c r="I620" s="654"/>
      <c r="J620" s="650"/>
      <c r="K620" s="650"/>
      <c r="L620" s="655"/>
      <c r="M620" s="655"/>
      <c r="N620" s="655"/>
      <c r="O620" s="655"/>
      <c r="P620" s="655"/>
      <c r="Q620" s="655"/>
      <c r="R620" s="655"/>
      <c r="S620" s="655"/>
      <c r="T620" s="655"/>
      <c r="U620" s="655"/>
      <c r="V620" s="655"/>
      <c r="W620" s="655"/>
      <c r="X620" s="655"/>
      <c r="Y620" s="655"/>
      <c r="Z620" s="655"/>
      <c r="AA620" s="655"/>
    </row>
    <row r="621">
      <c r="B621" s="462"/>
      <c r="C621" s="671"/>
      <c r="D621" s="671"/>
      <c r="E621" s="462"/>
      <c r="F621" s="654"/>
      <c r="G621" s="650"/>
      <c r="H621" s="654"/>
      <c r="I621" s="654"/>
      <c r="J621" s="650"/>
      <c r="K621" s="650"/>
      <c r="L621" s="655"/>
      <c r="M621" s="655"/>
      <c r="N621" s="655"/>
      <c r="O621" s="655"/>
      <c r="P621" s="655"/>
      <c r="Q621" s="655"/>
      <c r="R621" s="655"/>
      <c r="S621" s="655"/>
      <c r="T621" s="655"/>
      <c r="U621" s="655"/>
      <c r="V621" s="655"/>
      <c r="W621" s="655"/>
      <c r="X621" s="655"/>
      <c r="Y621" s="655"/>
      <c r="Z621" s="655"/>
      <c r="AA621" s="655"/>
    </row>
    <row r="622">
      <c r="B622" s="462"/>
      <c r="C622" s="671"/>
      <c r="D622" s="671"/>
      <c r="E622" s="462"/>
      <c r="F622" s="654"/>
      <c r="G622" s="650"/>
      <c r="H622" s="654"/>
      <c r="I622" s="654"/>
      <c r="J622" s="650"/>
      <c r="K622" s="650"/>
      <c r="L622" s="655"/>
      <c r="M622" s="655"/>
      <c r="N622" s="655"/>
      <c r="O622" s="655"/>
      <c r="P622" s="655"/>
      <c r="Q622" s="655"/>
      <c r="R622" s="655"/>
      <c r="S622" s="655"/>
      <c r="T622" s="655"/>
      <c r="U622" s="655"/>
      <c r="V622" s="655"/>
      <c r="W622" s="655"/>
      <c r="X622" s="655"/>
      <c r="Y622" s="655"/>
      <c r="Z622" s="655"/>
      <c r="AA622" s="655"/>
    </row>
    <row r="623">
      <c r="B623" s="462"/>
      <c r="C623" s="671"/>
      <c r="D623" s="671"/>
      <c r="E623" s="462"/>
      <c r="F623" s="654"/>
      <c r="G623" s="650"/>
      <c r="H623" s="654"/>
      <c r="I623" s="654"/>
      <c r="J623" s="650"/>
      <c r="K623" s="650"/>
      <c r="L623" s="655"/>
      <c r="M623" s="655"/>
      <c r="N623" s="655"/>
      <c r="O623" s="655"/>
      <c r="P623" s="655"/>
      <c r="Q623" s="655"/>
      <c r="R623" s="655"/>
      <c r="S623" s="655"/>
      <c r="T623" s="655"/>
      <c r="U623" s="655"/>
      <c r="V623" s="655"/>
      <c r="W623" s="655"/>
      <c r="X623" s="655"/>
      <c r="Y623" s="655"/>
      <c r="Z623" s="655"/>
      <c r="AA623" s="655"/>
    </row>
    <row r="624">
      <c r="B624" s="462"/>
      <c r="C624" s="671"/>
      <c r="D624" s="671"/>
      <c r="E624" s="462"/>
      <c r="F624" s="654"/>
      <c r="G624" s="650"/>
      <c r="H624" s="654"/>
      <c r="I624" s="654"/>
      <c r="J624" s="650"/>
      <c r="K624" s="650"/>
      <c r="L624" s="655"/>
      <c r="M624" s="655"/>
      <c r="N624" s="655"/>
      <c r="O624" s="655"/>
      <c r="P624" s="655"/>
      <c r="Q624" s="655"/>
      <c r="R624" s="655"/>
      <c r="S624" s="655"/>
      <c r="T624" s="655"/>
      <c r="U624" s="655"/>
      <c r="V624" s="655"/>
      <c r="W624" s="655"/>
      <c r="X624" s="655"/>
      <c r="Y624" s="655"/>
      <c r="Z624" s="655"/>
      <c r="AA624" s="655"/>
    </row>
    <row r="625">
      <c r="B625" s="462"/>
      <c r="C625" s="671"/>
      <c r="D625" s="671"/>
      <c r="E625" s="462"/>
      <c r="F625" s="654"/>
      <c r="G625" s="650"/>
      <c r="H625" s="654"/>
      <c r="I625" s="654"/>
      <c r="J625" s="650"/>
      <c r="K625" s="650"/>
      <c r="L625" s="655"/>
      <c r="M625" s="655"/>
      <c r="N625" s="655"/>
      <c r="O625" s="655"/>
      <c r="P625" s="655"/>
      <c r="Q625" s="655"/>
      <c r="R625" s="655"/>
      <c r="S625" s="655"/>
      <c r="T625" s="655"/>
      <c r="U625" s="655"/>
      <c r="V625" s="655"/>
      <c r="W625" s="655"/>
      <c r="X625" s="655"/>
      <c r="Y625" s="655"/>
      <c r="Z625" s="655"/>
      <c r="AA625" s="655"/>
    </row>
    <row r="626">
      <c r="B626" s="462"/>
      <c r="C626" s="671"/>
      <c r="D626" s="671"/>
      <c r="E626" s="462"/>
      <c r="F626" s="654"/>
      <c r="G626" s="650"/>
      <c r="H626" s="654"/>
      <c r="I626" s="654"/>
      <c r="J626" s="650"/>
      <c r="K626" s="650"/>
      <c r="L626" s="655"/>
      <c r="M626" s="655"/>
      <c r="N626" s="655"/>
      <c r="O626" s="655"/>
      <c r="P626" s="655"/>
      <c r="Q626" s="655"/>
      <c r="R626" s="655"/>
      <c r="S626" s="655"/>
      <c r="T626" s="655"/>
      <c r="U626" s="655"/>
      <c r="V626" s="655"/>
      <c r="W626" s="655"/>
      <c r="X626" s="655"/>
      <c r="Y626" s="655"/>
      <c r="Z626" s="655"/>
      <c r="AA626" s="655"/>
    </row>
    <row r="627">
      <c r="B627" s="462"/>
      <c r="C627" s="671"/>
      <c r="D627" s="671"/>
      <c r="E627" s="462"/>
      <c r="F627" s="654"/>
      <c r="G627" s="650"/>
      <c r="H627" s="654"/>
      <c r="I627" s="654"/>
      <c r="J627" s="650"/>
      <c r="K627" s="650"/>
      <c r="L627" s="655"/>
      <c r="M627" s="655"/>
      <c r="N627" s="655"/>
      <c r="O627" s="655"/>
      <c r="P627" s="655"/>
      <c r="Q627" s="655"/>
      <c r="R627" s="655"/>
      <c r="S627" s="655"/>
      <c r="T627" s="655"/>
      <c r="U627" s="655"/>
      <c r="V627" s="655"/>
      <c r="W627" s="655"/>
      <c r="X627" s="655"/>
      <c r="Y627" s="655"/>
      <c r="Z627" s="655"/>
      <c r="AA627" s="655"/>
    </row>
    <row r="628">
      <c r="B628" s="462"/>
      <c r="C628" s="671"/>
      <c r="D628" s="671"/>
      <c r="E628" s="462"/>
      <c r="F628" s="654"/>
      <c r="G628" s="650"/>
      <c r="H628" s="654"/>
      <c r="I628" s="654"/>
      <c r="J628" s="650"/>
      <c r="K628" s="650"/>
      <c r="L628" s="655"/>
      <c r="M628" s="655"/>
      <c r="N628" s="655"/>
      <c r="O628" s="655"/>
      <c r="P628" s="655"/>
      <c r="Q628" s="655"/>
      <c r="R628" s="655"/>
      <c r="S628" s="655"/>
      <c r="T628" s="655"/>
      <c r="U628" s="655"/>
      <c r="V628" s="655"/>
      <c r="W628" s="655"/>
      <c r="X628" s="655"/>
      <c r="Y628" s="655"/>
      <c r="Z628" s="655"/>
      <c r="AA628" s="655"/>
    </row>
    <row r="629">
      <c r="B629" s="462"/>
      <c r="C629" s="671"/>
      <c r="D629" s="671"/>
      <c r="E629" s="462"/>
      <c r="F629" s="654"/>
      <c r="G629" s="650"/>
      <c r="H629" s="654"/>
      <c r="I629" s="654"/>
      <c r="J629" s="650"/>
      <c r="K629" s="650"/>
      <c r="L629" s="655"/>
      <c r="M629" s="655"/>
      <c r="N629" s="655"/>
      <c r="O629" s="655"/>
      <c r="P629" s="655"/>
      <c r="Q629" s="655"/>
      <c r="R629" s="655"/>
      <c r="S629" s="655"/>
      <c r="T629" s="655"/>
      <c r="U629" s="655"/>
      <c r="V629" s="655"/>
      <c r="W629" s="655"/>
      <c r="X629" s="655"/>
      <c r="Y629" s="655"/>
      <c r="Z629" s="655"/>
      <c r="AA629" s="655"/>
    </row>
    <row r="630">
      <c r="B630" s="462"/>
      <c r="C630" s="671"/>
      <c r="D630" s="671"/>
      <c r="E630" s="462"/>
      <c r="F630" s="654"/>
      <c r="G630" s="650"/>
      <c r="H630" s="654"/>
      <c r="I630" s="654"/>
      <c r="J630" s="650"/>
      <c r="K630" s="650"/>
      <c r="L630" s="655"/>
      <c r="M630" s="655"/>
      <c r="N630" s="655"/>
      <c r="O630" s="655"/>
      <c r="P630" s="655"/>
      <c r="Q630" s="655"/>
      <c r="R630" s="655"/>
      <c r="S630" s="655"/>
      <c r="T630" s="655"/>
      <c r="U630" s="655"/>
      <c r="V630" s="655"/>
      <c r="W630" s="655"/>
      <c r="X630" s="655"/>
      <c r="Y630" s="655"/>
      <c r="Z630" s="655"/>
      <c r="AA630" s="655"/>
    </row>
    <row r="631">
      <c r="B631" s="462"/>
      <c r="C631" s="671"/>
      <c r="D631" s="671"/>
      <c r="E631" s="462"/>
      <c r="F631" s="654"/>
      <c r="G631" s="650"/>
      <c r="H631" s="654"/>
      <c r="I631" s="654"/>
      <c r="J631" s="650"/>
      <c r="K631" s="650"/>
      <c r="L631" s="655"/>
      <c r="M631" s="655"/>
      <c r="N631" s="655"/>
      <c r="O631" s="655"/>
      <c r="P631" s="655"/>
      <c r="Q631" s="655"/>
      <c r="R631" s="655"/>
      <c r="S631" s="655"/>
      <c r="T631" s="655"/>
      <c r="U631" s="655"/>
      <c r="V631" s="655"/>
      <c r="W631" s="655"/>
      <c r="X631" s="655"/>
      <c r="Y631" s="655"/>
      <c r="Z631" s="655"/>
      <c r="AA631" s="655"/>
    </row>
    <row r="632">
      <c r="B632" s="462"/>
      <c r="C632" s="671"/>
      <c r="D632" s="671"/>
      <c r="E632" s="462"/>
      <c r="F632" s="654"/>
      <c r="G632" s="650"/>
      <c r="H632" s="654"/>
      <c r="I632" s="654"/>
      <c r="J632" s="650"/>
      <c r="K632" s="650"/>
      <c r="L632" s="655"/>
      <c r="M632" s="655"/>
      <c r="N632" s="655"/>
      <c r="O632" s="655"/>
      <c r="P632" s="655"/>
      <c r="Q632" s="655"/>
      <c r="R632" s="655"/>
      <c r="S632" s="655"/>
      <c r="T632" s="655"/>
      <c r="U632" s="655"/>
      <c r="V632" s="655"/>
      <c r="W632" s="655"/>
      <c r="X632" s="655"/>
      <c r="Y632" s="655"/>
      <c r="Z632" s="655"/>
      <c r="AA632" s="655"/>
    </row>
    <row r="633">
      <c r="B633" s="462"/>
      <c r="C633" s="671"/>
      <c r="D633" s="671"/>
      <c r="E633" s="462"/>
      <c r="F633" s="654"/>
      <c r="G633" s="650"/>
      <c r="H633" s="654"/>
      <c r="I633" s="654"/>
      <c r="J633" s="650"/>
      <c r="K633" s="650"/>
      <c r="L633" s="655"/>
      <c r="M633" s="655"/>
      <c r="N633" s="655"/>
      <c r="O633" s="655"/>
      <c r="P633" s="655"/>
      <c r="Q633" s="655"/>
      <c r="R633" s="655"/>
      <c r="S633" s="655"/>
      <c r="T633" s="655"/>
      <c r="U633" s="655"/>
      <c r="V633" s="655"/>
      <c r="W633" s="655"/>
      <c r="X633" s="655"/>
      <c r="Y633" s="655"/>
      <c r="Z633" s="655"/>
      <c r="AA633" s="655"/>
    </row>
    <row r="634">
      <c r="B634" s="462"/>
      <c r="C634" s="671"/>
      <c r="D634" s="671"/>
      <c r="E634" s="462"/>
      <c r="F634" s="654"/>
      <c r="G634" s="650"/>
      <c r="H634" s="654"/>
      <c r="I634" s="654"/>
      <c r="J634" s="650"/>
      <c r="K634" s="650"/>
      <c r="L634" s="655"/>
      <c r="M634" s="655"/>
      <c r="N634" s="655"/>
      <c r="O634" s="655"/>
      <c r="P634" s="655"/>
      <c r="Q634" s="655"/>
      <c r="R634" s="655"/>
      <c r="S634" s="655"/>
      <c r="T634" s="655"/>
      <c r="U634" s="655"/>
      <c r="V634" s="655"/>
      <c r="W634" s="655"/>
      <c r="X634" s="655"/>
      <c r="Y634" s="655"/>
      <c r="Z634" s="655"/>
      <c r="AA634" s="655"/>
    </row>
    <row r="635">
      <c r="B635" s="462"/>
      <c r="C635" s="671"/>
      <c r="D635" s="671"/>
      <c r="E635" s="462"/>
      <c r="F635" s="654"/>
      <c r="G635" s="650"/>
      <c r="H635" s="654"/>
      <c r="I635" s="654"/>
      <c r="J635" s="650"/>
      <c r="K635" s="650"/>
      <c r="L635" s="655"/>
      <c r="M635" s="655"/>
      <c r="N635" s="655"/>
      <c r="O635" s="655"/>
      <c r="P635" s="655"/>
      <c r="Q635" s="655"/>
      <c r="R635" s="655"/>
      <c r="S635" s="655"/>
      <c r="T635" s="655"/>
      <c r="U635" s="655"/>
      <c r="V635" s="655"/>
      <c r="W635" s="655"/>
      <c r="X635" s="655"/>
      <c r="Y635" s="655"/>
      <c r="Z635" s="655"/>
      <c r="AA635" s="655"/>
    </row>
    <row r="636">
      <c r="B636" s="462"/>
      <c r="C636" s="671"/>
      <c r="D636" s="671"/>
      <c r="E636" s="462"/>
      <c r="F636" s="654"/>
      <c r="G636" s="650"/>
      <c r="H636" s="654"/>
      <c r="I636" s="654"/>
      <c r="J636" s="650"/>
      <c r="K636" s="650"/>
      <c r="L636" s="655"/>
      <c r="M636" s="655"/>
      <c r="N636" s="655"/>
      <c r="O636" s="655"/>
      <c r="P636" s="655"/>
      <c r="Q636" s="655"/>
      <c r="R636" s="655"/>
      <c r="S636" s="655"/>
      <c r="T636" s="655"/>
      <c r="U636" s="655"/>
      <c r="V636" s="655"/>
      <c r="W636" s="655"/>
      <c r="X636" s="655"/>
      <c r="Y636" s="655"/>
      <c r="Z636" s="655"/>
      <c r="AA636" s="655"/>
    </row>
    <row r="637">
      <c r="B637" s="462"/>
      <c r="C637" s="671"/>
      <c r="D637" s="671"/>
      <c r="E637" s="462"/>
      <c r="F637" s="654"/>
      <c r="G637" s="650"/>
      <c r="H637" s="654"/>
      <c r="I637" s="654"/>
      <c r="J637" s="650"/>
      <c r="K637" s="650"/>
      <c r="L637" s="655"/>
      <c r="M637" s="655"/>
      <c r="N637" s="655"/>
      <c r="O637" s="655"/>
      <c r="P637" s="655"/>
      <c r="Q637" s="655"/>
      <c r="R637" s="655"/>
      <c r="S637" s="655"/>
      <c r="T637" s="655"/>
      <c r="U637" s="655"/>
      <c r="V637" s="655"/>
      <c r="W637" s="655"/>
      <c r="X637" s="655"/>
      <c r="Y637" s="655"/>
      <c r="Z637" s="655"/>
      <c r="AA637" s="655"/>
    </row>
    <row r="638">
      <c r="B638" s="462"/>
      <c r="C638" s="671"/>
      <c r="D638" s="671"/>
      <c r="E638" s="462"/>
      <c r="F638" s="654"/>
      <c r="G638" s="650"/>
      <c r="H638" s="654"/>
      <c r="I638" s="654"/>
      <c r="J638" s="650"/>
      <c r="K638" s="650"/>
      <c r="L638" s="655"/>
      <c r="M638" s="655"/>
      <c r="N638" s="655"/>
      <c r="O638" s="655"/>
      <c r="P638" s="655"/>
      <c r="Q638" s="655"/>
      <c r="R638" s="655"/>
      <c r="S638" s="655"/>
      <c r="T638" s="655"/>
      <c r="U638" s="655"/>
      <c r="V638" s="655"/>
      <c r="W638" s="655"/>
      <c r="X638" s="655"/>
      <c r="Y638" s="655"/>
      <c r="Z638" s="655"/>
      <c r="AA638" s="655"/>
    </row>
    <row r="639">
      <c r="B639" s="462"/>
      <c r="C639" s="671"/>
      <c r="D639" s="671"/>
      <c r="E639" s="462"/>
      <c r="F639" s="654"/>
      <c r="G639" s="650"/>
      <c r="H639" s="654"/>
      <c r="I639" s="654"/>
      <c r="J639" s="650"/>
      <c r="K639" s="650"/>
      <c r="L639" s="655"/>
      <c r="M639" s="655"/>
      <c r="N639" s="655"/>
      <c r="O639" s="655"/>
      <c r="P639" s="655"/>
      <c r="Q639" s="655"/>
      <c r="R639" s="655"/>
      <c r="S639" s="655"/>
      <c r="T639" s="655"/>
      <c r="U639" s="655"/>
      <c r="V639" s="655"/>
      <c r="W639" s="655"/>
      <c r="X639" s="655"/>
      <c r="Y639" s="655"/>
      <c r="Z639" s="655"/>
      <c r="AA639" s="655"/>
    </row>
    <row r="640">
      <c r="B640" s="462"/>
      <c r="C640" s="671"/>
      <c r="D640" s="671"/>
      <c r="E640" s="462"/>
      <c r="F640" s="654"/>
      <c r="G640" s="650"/>
      <c r="H640" s="654"/>
      <c r="I640" s="654"/>
      <c r="J640" s="650"/>
      <c r="K640" s="650"/>
      <c r="L640" s="655"/>
      <c r="M640" s="655"/>
      <c r="N640" s="655"/>
      <c r="O640" s="655"/>
      <c r="P640" s="655"/>
      <c r="Q640" s="655"/>
      <c r="R640" s="655"/>
      <c r="S640" s="655"/>
      <c r="T640" s="655"/>
      <c r="U640" s="655"/>
      <c r="V640" s="655"/>
      <c r="W640" s="655"/>
      <c r="X640" s="655"/>
      <c r="Y640" s="655"/>
      <c r="Z640" s="655"/>
      <c r="AA640" s="655"/>
    </row>
    <row r="641">
      <c r="B641" s="462"/>
      <c r="C641" s="671"/>
      <c r="D641" s="671"/>
      <c r="E641" s="462"/>
      <c r="F641" s="654"/>
      <c r="G641" s="650"/>
      <c r="H641" s="654"/>
      <c r="I641" s="654"/>
      <c r="J641" s="650"/>
      <c r="K641" s="650"/>
      <c r="L641" s="655"/>
      <c r="M641" s="655"/>
      <c r="N641" s="655"/>
      <c r="O641" s="655"/>
      <c r="P641" s="655"/>
      <c r="Q641" s="655"/>
      <c r="R641" s="655"/>
      <c r="S641" s="655"/>
      <c r="T641" s="655"/>
      <c r="U641" s="655"/>
      <c r="V641" s="655"/>
      <c r="W641" s="655"/>
      <c r="X641" s="655"/>
      <c r="Y641" s="655"/>
      <c r="Z641" s="655"/>
      <c r="AA641" s="655"/>
    </row>
    <row r="642">
      <c r="B642" s="462"/>
      <c r="C642" s="671"/>
      <c r="D642" s="671"/>
      <c r="E642" s="462"/>
      <c r="F642" s="654"/>
      <c r="G642" s="650"/>
      <c r="H642" s="654"/>
      <c r="I642" s="654"/>
      <c r="J642" s="650"/>
      <c r="K642" s="650"/>
      <c r="L642" s="655"/>
      <c r="M642" s="655"/>
      <c r="N642" s="655"/>
      <c r="O642" s="655"/>
      <c r="P642" s="655"/>
      <c r="Q642" s="655"/>
      <c r="R642" s="655"/>
      <c r="S642" s="655"/>
      <c r="T642" s="655"/>
      <c r="U642" s="655"/>
      <c r="V642" s="655"/>
      <c r="W642" s="655"/>
      <c r="X642" s="655"/>
      <c r="Y642" s="655"/>
      <c r="Z642" s="655"/>
      <c r="AA642" s="655"/>
    </row>
    <row r="643">
      <c r="B643" s="462"/>
      <c r="C643" s="671"/>
      <c r="D643" s="671"/>
      <c r="E643" s="462"/>
      <c r="F643" s="654"/>
      <c r="G643" s="650"/>
      <c r="H643" s="654"/>
      <c r="I643" s="654"/>
      <c r="J643" s="650"/>
      <c r="K643" s="650"/>
      <c r="L643" s="655"/>
      <c r="M643" s="655"/>
      <c r="N643" s="655"/>
      <c r="O643" s="655"/>
      <c r="P643" s="655"/>
      <c r="Q643" s="655"/>
      <c r="R643" s="655"/>
      <c r="S643" s="655"/>
      <c r="T643" s="655"/>
      <c r="U643" s="655"/>
      <c r="V643" s="655"/>
      <c r="W643" s="655"/>
      <c r="X643" s="655"/>
      <c r="Y643" s="655"/>
      <c r="Z643" s="655"/>
      <c r="AA643" s="655"/>
    </row>
    <row r="644">
      <c r="B644" s="462"/>
      <c r="C644" s="671"/>
      <c r="D644" s="671"/>
      <c r="E644" s="462"/>
      <c r="F644" s="654"/>
      <c r="G644" s="650"/>
      <c r="H644" s="654"/>
      <c r="I644" s="654"/>
      <c r="J644" s="650"/>
      <c r="K644" s="650"/>
      <c r="L644" s="655"/>
      <c r="M644" s="655"/>
      <c r="N644" s="655"/>
      <c r="O644" s="655"/>
      <c r="P644" s="655"/>
      <c r="Q644" s="655"/>
      <c r="R644" s="655"/>
      <c r="S644" s="655"/>
      <c r="T644" s="655"/>
      <c r="U644" s="655"/>
      <c r="V644" s="655"/>
      <c r="W644" s="655"/>
      <c r="X644" s="655"/>
      <c r="Y644" s="655"/>
      <c r="Z644" s="655"/>
      <c r="AA644" s="655"/>
    </row>
    <row r="645">
      <c r="B645" s="462"/>
      <c r="C645" s="671"/>
      <c r="D645" s="671"/>
      <c r="E645" s="462"/>
      <c r="F645" s="654"/>
      <c r="G645" s="650"/>
      <c r="H645" s="654"/>
      <c r="I645" s="654"/>
      <c r="J645" s="650"/>
      <c r="K645" s="650"/>
      <c r="L645" s="655"/>
      <c r="M645" s="655"/>
      <c r="N645" s="655"/>
      <c r="O645" s="655"/>
      <c r="P645" s="655"/>
      <c r="Q645" s="655"/>
      <c r="R645" s="655"/>
      <c r="S645" s="655"/>
      <c r="T645" s="655"/>
      <c r="U645" s="655"/>
      <c r="V645" s="655"/>
      <c r="W645" s="655"/>
      <c r="X645" s="655"/>
      <c r="Y645" s="655"/>
      <c r="Z645" s="655"/>
      <c r="AA645" s="655"/>
    </row>
    <row r="646">
      <c r="B646" s="462"/>
      <c r="C646" s="671"/>
      <c r="D646" s="671"/>
      <c r="E646" s="462"/>
      <c r="F646" s="654"/>
      <c r="G646" s="650"/>
      <c r="H646" s="654"/>
      <c r="I646" s="654"/>
      <c r="J646" s="650"/>
      <c r="K646" s="650"/>
      <c r="L646" s="655"/>
      <c r="M646" s="655"/>
      <c r="N646" s="655"/>
      <c r="O646" s="655"/>
      <c r="P646" s="655"/>
      <c r="Q646" s="655"/>
      <c r="R646" s="655"/>
      <c r="S646" s="655"/>
      <c r="T646" s="655"/>
      <c r="U646" s="655"/>
      <c r="V646" s="655"/>
      <c r="W646" s="655"/>
      <c r="X646" s="655"/>
      <c r="Y646" s="655"/>
      <c r="Z646" s="655"/>
      <c r="AA646" s="655"/>
    </row>
    <row r="647">
      <c r="B647" s="462"/>
      <c r="C647" s="671"/>
      <c r="D647" s="671"/>
      <c r="E647" s="462"/>
      <c r="F647" s="654"/>
      <c r="G647" s="650"/>
      <c r="H647" s="654"/>
      <c r="I647" s="654"/>
      <c r="J647" s="650"/>
      <c r="K647" s="650"/>
      <c r="L647" s="655"/>
      <c r="M647" s="655"/>
      <c r="N647" s="655"/>
      <c r="O647" s="655"/>
      <c r="P647" s="655"/>
      <c r="Q647" s="655"/>
      <c r="R647" s="655"/>
      <c r="S647" s="655"/>
      <c r="T647" s="655"/>
      <c r="U647" s="655"/>
      <c r="V647" s="655"/>
      <c r="W647" s="655"/>
      <c r="X647" s="655"/>
      <c r="Y647" s="655"/>
      <c r="Z647" s="655"/>
      <c r="AA647" s="655"/>
    </row>
    <row r="648">
      <c r="B648" s="462"/>
      <c r="C648" s="671"/>
      <c r="D648" s="671"/>
      <c r="E648" s="462"/>
      <c r="F648" s="654"/>
      <c r="G648" s="650"/>
      <c r="H648" s="654"/>
      <c r="I648" s="654"/>
      <c r="J648" s="650"/>
      <c r="K648" s="650"/>
      <c r="L648" s="655"/>
      <c r="M648" s="655"/>
      <c r="N648" s="655"/>
      <c r="O648" s="655"/>
      <c r="P648" s="655"/>
      <c r="Q648" s="655"/>
      <c r="R648" s="655"/>
      <c r="S648" s="655"/>
      <c r="T648" s="655"/>
      <c r="U648" s="655"/>
      <c r="V648" s="655"/>
      <c r="W648" s="655"/>
      <c r="X648" s="655"/>
      <c r="Y648" s="655"/>
      <c r="Z648" s="655"/>
      <c r="AA648" s="655"/>
    </row>
    <row r="649">
      <c r="B649" s="462"/>
      <c r="C649" s="671"/>
      <c r="D649" s="671"/>
      <c r="E649" s="462"/>
      <c r="F649" s="654"/>
      <c r="G649" s="650"/>
      <c r="H649" s="654"/>
      <c r="I649" s="654"/>
      <c r="J649" s="650"/>
      <c r="K649" s="650"/>
      <c r="L649" s="655"/>
      <c r="M649" s="655"/>
      <c r="N649" s="655"/>
      <c r="O649" s="655"/>
      <c r="P649" s="655"/>
      <c r="Q649" s="655"/>
      <c r="R649" s="655"/>
      <c r="S649" s="655"/>
      <c r="T649" s="655"/>
      <c r="U649" s="655"/>
      <c r="V649" s="655"/>
      <c r="W649" s="655"/>
      <c r="X649" s="655"/>
      <c r="Y649" s="655"/>
      <c r="Z649" s="655"/>
      <c r="AA649" s="655"/>
    </row>
    <row r="650">
      <c r="B650" s="462"/>
      <c r="C650" s="671"/>
      <c r="D650" s="671"/>
      <c r="E650" s="462"/>
      <c r="F650" s="654"/>
      <c r="G650" s="650"/>
      <c r="H650" s="654"/>
      <c r="I650" s="654"/>
      <c r="J650" s="650"/>
      <c r="K650" s="650"/>
      <c r="L650" s="655"/>
      <c r="M650" s="655"/>
      <c r="N650" s="655"/>
      <c r="O650" s="655"/>
      <c r="P650" s="655"/>
      <c r="Q650" s="655"/>
      <c r="R650" s="655"/>
      <c r="S650" s="655"/>
      <c r="T650" s="655"/>
      <c r="U650" s="655"/>
      <c r="V650" s="655"/>
      <c r="W650" s="655"/>
      <c r="X650" s="655"/>
      <c r="Y650" s="655"/>
      <c r="Z650" s="655"/>
      <c r="AA650" s="655"/>
    </row>
    <row r="651">
      <c r="B651" s="462"/>
      <c r="C651" s="671"/>
      <c r="D651" s="671"/>
      <c r="E651" s="462"/>
      <c r="F651" s="654"/>
      <c r="G651" s="650"/>
      <c r="H651" s="654"/>
      <c r="I651" s="654"/>
      <c r="J651" s="650"/>
      <c r="K651" s="650"/>
      <c r="L651" s="655"/>
      <c r="M651" s="655"/>
      <c r="N651" s="655"/>
      <c r="O651" s="655"/>
      <c r="P651" s="655"/>
      <c r="Q651" s="655"/>
      <c r="R651" s="655"/>
      <c r="S651" s="655"/>
      <c r="T651" s="655"/>
      <c r="U651" s="655"/>
      <c r="V651" s="655"/>
      <c r="W651" s="655"/>
      <c r="X651" s="655"/>
      <c r="Y651" s="655"/>
      <c r="Z651" s="655"/>
      <c r="AA651" s="655"/>
    </row>
    <row r="652">
      <c r="B652" s="462"/>
      <c r="C652" s="671"/>
      <c r="D652" s="671"/>
      <c r="E652" s="462"/>
      <c r="F652" s="654"/>
      <c r="G652" s="650"/>
      <c r="H652" s="654"/>
      <c r="I652" s="654"/>
      <c r="J652" s="650"/>
      <c r="K652" s="650"/>
      <c r="L652" s="655"/>
      <c r="M652" s="655"/>
      <c r="N652" s="655"/>
      <c r="O652" s="655"/>
      <c r="P652" s="655"/>
      <c r="Q652" s="655"/>
      <c r="R652" s="655"/>
      <c r="S652" s="655"/>
      <c r="T652" s="655"/>
      <c r="U652" s="655"/>
      <c r="V652" s="655"/>
      <c r="W652" s="655"/>
      <c r="X652" s="655"/>
      <c r="Y652" s="655"/>
      <c r="Z652" s="655"/>
      <c r="AA652" s="655"/>
    </row>
    <row r="653">
      <c r="B653" s="462"/>
      <c r="C653" s="671"/>
      <c r="D653" s="671"/>
      <c r="E653" s="462"/>
      <c r="F653" s="654"/>
      <c r="G653" s="650"/>
      <c r="H653" s="654"/>
      <c r="I653" s="654"/>
      <c r="J653" s="650"/>
      <c r="K653" s="650"/>
      <c r="L653" s="655"/>
      <c r="M653" s="655"/>
      <c r="N653" s="655"/>
      <c r="O653" s="655"/>
      <c r="P653" s="655"/>
      <c r="Q653" s="655"/>
      <c r="R653" s="655"/>
      <c r="S653" s="655"/>
      <c r="T653" s="655"/>
      <c r="U653" s="655"/>
      <c r="V653" s="655"/>
      <c r="W653" s="655"/>
      <c r="X653" s="655"/>
      <c r="Y653" s="655"/>
      <c r="Z653" s="655"/>
      <c r="AA653" s="655"/>
    </row>
    <row r="654">
      <c r="B654" s="462"/>
      <c r="C654" s="671"/>
      <c r="D654" s="671"/>
      <c r="E654" s="462"/>
      <c r="F654" s="654"/>
      <c r="G654" s="650"/>
      <c r="H654" s="654"/>
      <c r="I654" s="654"/>
      <c r="J654" s="650"/>
      <c r="K654" s="650"/>
      <c r="L654" s="655"/>
      <c r="M654" s="655"/>
      <c r="N654" s="655"/>
      <c r="O654" s="655"/>
      <c r="P654" s="655"/>
      <c r="Q654" s="655"/>
      <c r="R654" s="655"/>
      <c r="S654" s="655"/>
      <c r="T654" s="655"/>
      <c r="U654" s="655"/>
      <c r="V654" s="655"/>
      <c r="W654" s="655"/>
      <c r="X654" s="655"/>
      <c r="Y654" s="655"/>
      <c r="Z654" s="655"/>
      <c r="AA654" s="655"/>
    </row>
    <row r="655">
      <c r="B655" s="462"/>
      <c r="C655" s="671"/>
      <c r="D655" s="671"/>
      <c r="E655" s="462"/>
      <c r="F655" s="654"/>
      <c r="G655" s="650"/>
      <c r="H655" s="654"/>
      <c r="I655" s="654"/>
      <c r="J655" s="650"/>
      <c r="K655" s="650"/>
      <c r="L655" s="655"/>
      <c r="M655" s="655"/>
      <c r="N655" s="655"/>
      <c r="O655" s="655"/>
      <c r="P655" s="655"/>
      <c r="Q655" s="655"/>
      <c r="R655" s="655"/>
      <c r="S655" s="655"/>
      <c r="T655" s="655"/>
      <c r="U655" s="655"/>
      <c r="V655" s="655"/>
      <c r="W655" s="655"/>
      <c r="X655" s="655"/>
      <c r="Y655" s="655"/>
      <c r="Z655" s="655"/>
      <c r="AA655" s="655"/>
    </row>
    <row r="656">
      <c r="B656" s="462"/>
      <c r="C656" s="671"/>
      <c r="D656" s="671"/>
      <c r="E656" s="462"/>
      <c r="F656" s="654"/>
      <c r="G656" s="650"/>
      <c r="H656" s="654"/>
      <c r="I656" s="654"/>
      <c r="J656" s="650"/>
      <c r="K656" s="650"/>
      <c r="L656" s="655"/>
      <c r="M656" s="655"/>
      <c r="N656" s="655"/>
      <c r="O656" s="655"/>
      <c r="P656" s="655"/>
      <c r="Q656" s="655"/>
      <c r="R656" s="655"/>
      <c r="S656" s="655"/>
      <c r="T656" s="655"/>
      <c r="U656" s="655"/>
      <c r="V656" s="655"/>
      <c r="W656" s="655"/>
      <c r="X656" s="655"/>
      <c r="Y656" s="655"/>
      <c r="Z656" s="655"/>
      <c r="AA656" s="655"/>
    </row>
    <row r="657">
      <c r="B657" s="462"/>
      <c r="C657" s="671"/>
      <c r="D657" s="671"/>
      <c r="E657" s="462"/>
      <c r="F657" s="654"/>
      <c r="G657" s="650"/>
      <c r="H657" s="654"/>
      <c r="I657" s="654"/>
      <c r="J657" s="650"/>
      <c r="K657" s="650"/>
      <c r="L657" s="655"/>
      <c r="M657" s="655"/>
      <c r="N657" s="655"/>
      <c r="O657" s="655"/>
      <c r="P657" s="655"/>
      <c r="Q657" s="655"/>
      <c r="R657" s="655"/>
      <c r="S657" s="655"/>
      <c r="T657" s="655"/>
      <c r="U657" s="655"/>
      <c r="V657" s="655"/>
      <c r="W657" s="655"/>
      <c r="X657" s="655"/>
      <c r="Y657" s="655"/>
      <c r="Z657" s="655"/>
      <c r="AA657" s="655"/>
    </row>
    <row r="658">
      <c r="B658" s="462"/>
      <c r="C658" s="671"/>
      <c r="D658" s="671"/>
      <c r="E658" s="462"/>
      <c r="F658" s="654"/>
      <c r="G658" s="650"/>
      <c r="H658" s="654"/>
      <c r="I658" s="654"/>
      <c r="J658" s="650"/>
      <c r="K658" s="650"/>
      <c r="L658" s="655"/>
      <c r="M658" s="655"/>
      <c r="N658" s="655"/>
      <c r="O658" s="655"/>
      <c r="P658" s="655"/>
      <c r="Q658" s="655"/>
      <c r="R658" s="655"/>
      <c r="S658" s="655"/>
      <c r="T658" s="655"/>
      <c r="U658" s="655"/>
      <c r="V658" s="655"/>
      <c r="W658" s="655"/>
      <c r="X658" s="655"/>
      <c r="Y658" s="655"/>
      <c r="Z658" s="655"/>
      <c r="AA658" s="655"/>
    </row>
    <row r="659">
      <c r="B659" s="462"/>
      <c r="C659" s="671"/>
      <c r="D659" s="671"/>
      <c r="E659" s="462"/>
      <c r="F659" s="654"/>
      <c r="G659" s="650"/>
      <c r="H659" s="654"/>
      <c r="I659" s="654"/>
      <c r="J659" s="650"/>
      <c r="K659" s="650"/>
      <c r="L659" s="655"/>
      <c r="M659" s="655"/>
      <c r="N659" s="655"/>
      <c r="O659" s="655"/>
      <c r="P659" s="655"/>
      <c r="Q659" s="655"/>
      <c r="R659" s="655"/>
      <c r="S659" s="655"/>
      <c r="T659" s="655"/>
      <c r="U659" s="655"/>
      <c r="V659" s="655"/>
      <c r="W659" s="655"/>
      <c r="X659" s="655"/>
      <c r="Y659" s="655"/>
      <c r="Z659" s="655"/>
      <c r="AA659" s="655"/>
    </row>
    <row r="660">
      <c r="B660" s="462"/>
      <c r="C660" s="671"/>
      <c r="D660" s="671"/>
      <c r="E660" s="462"/>
      <c r="F660" s="654"/>
      <c r="G660" s="650"/>
      <c r="H660" s="654"/>
      <c r="I660" s="654"/>
      <c r="J660" s="650"/>
      <c r="K660" s="650"/>
      <c r="L660" s="655"/>
      <c r="M660" s="655"/>
      <c r="N660" s="655"/>
      <c r="O660" s="655"/>
      <c r="P660" s="655"/>
      <c r="Q660" s="655"/>
      <c r="R660" s="655"/>
      <c r="S660" s="655"/>
      <c r="T660" s="655"/>
      <c r="U660" s="655"/>
      <c r="V660" s="655"/>
      <c r="W660" s="655"/>
      <c r="X660" s="655"/>
      <c r="Y660" s="655"/>
      <c r="Z660" s="655"/>
      <c r="AA660" s="655"/>
    </row>
    <row r="661">
      <c r="B661" s="462"/>
      <c r="C661" s="671"/>
      <c r="D661" s="671"/>
      <c r="E661" s="462"/>
      <c r="F661" s="654"/>
      <c r="G661" s="650"/>
      <c r="H661" s="654"/>
      <c r="I661" s="654"/>
      <c r="J661" s="650"/>
      <c r="K661" s="650"/>
      <c r="L661" s="655"/>
      <c r="M661" s="655"/>
      <c r="N661" s="655"/>
      <c r="O661" s="655"/>
      <c r="P661" s="655"/>
      <c r="Q661" s="655"/>
      <c r="R661" s="655"/>
      <c r="S661" s="655"/>
      <c r="T661" s="655"/>
      <c r="U661" s="655"/>
      <c r="V661" s="655"/>
      <c r="W661" s="655"/>
      <c r="X661" s="655"/>
      <c r="Y661" s="655"/>
      <c r="Z661" s="655"/>
      <c r="AA661" s="655"/>
    </row>
    <row r="662">
      <c r="B662" s="462"/>
      <c r="C662" s="671"/>
      <c r="D662" s="671"/>
      <c r="E662" s="462"/>
      <c r="F662" s="654"/>
      <c r="G662" s="650"/>
      <c r="H662" s="654"/>
      <c r="I662" s="654"/>
      <c r="J662" s="650"/>
      <c r="K662" s="650"/>
      <c r="L662" s="655"/>
      <c r="M662" s="655"/>
      <c r="N662" s="655"/>
      <c r="O662" s="655"/>
      <c r="P662" s="655"/>
      <c r="Q662" s="655"/>
      <c r="R662" s="655"/>
      <c r="S662" s="655"/>
      <c r="T662" s="655"/>
      <c r="U662" s="655"/>
      <c r="V662" s="655"/>
      <c r="W662" s="655"/>
      <c r="X662" s="655"/>
      <c r="Y662" s="655"/>
      <c r="Z662" s="655"/>
      <c r="AA662" s="655"/>
    </row>
    <row r="663">
      <c r="B663" s="462"/>
      <c r="C663" s="671"/>
      <c r="D663" s="671"/>
      <c r="E663" s="462"/>
      <c r="F663" s="654"/>
      <c r="G663" s="650"/>
      <c r="H663" s="654"/>
      <c r="I663" s="654"/>
      <c r="J663" s="650"/>
      <c r="K663" s="650"/>
      <c r="L663" s="655"/>
      <c r="M663" s="655"/>
      <c r="N663" s="655"/>
      <c r="O663" s="655"/>
      <c r="P663" s="655"/>
      <c r="Q663" s="655"/>
      <c r="R663" s="655"/>
      <c r="S663" s="655"/>
      <c r="T663" s="655"/>
      <c r="U663" s="655"/>
      <c r="V663" s="655"/>
      <c r="W663" s="655"/>
      <c r="X663" s="655"/>
      <c r="Y663" s="655"/>
      <c r="Z663" s="655"/>
      <c r="AA663" s="655"/>
    </row>
    <row r="664">
      <c r="B664" s="462"/>
      <c r="C664" s="671"/>
      <c r="D664" s="671"/>
      <c r="E664" s="462"/>
      <c r="F664" s="654"/>
      <c r="G664" s="650"/>
      <c r="H664" s="654"/>
      <c r="I664" s="654"/>
      <c r="J664" s="650"/>
      <c r="K664" s="650"/>
      <c r="L664" s="655"/>
      <c r="M664" s="655"/>
      <c r="N664" s="655"/>
      <c r="O664" s="655"/>
      <c r="P664" s="655"/>
      <c r="Q664" s="655"/>
      <c r="R664" s="655"/>
      <c r="S664" s="655"/>
      <c r="T664" s="655"/>
      <c r="U664" s="655"/>
      <c r="V664" s="655"/>
      <c r="W664" s="655"/>
      <c r="X664" s="655"/>
      <c r="Y664" s="655"/>
      <c r="Z664" s="655"/>
      <c r="AA664" s="655"/>
    </row>
    <row r="665">
      <c r="B665" s="462"/>
      <c r="C665" s="671"/>
      <c r="D665" s="671"/>
      <c r="E665" s="462"/>
      <c r="F665" s="654"/>
      <c r="G665" s="650"/>
      <c r="H665" s="654"/>
      <c r="I665" s="654"/>
      <c r="J665" s="650"/>
      <c r="K665" s="650"/>
      <c r="L665" s="655"/>
      <c r="M665" s="655"/>
      <c r="N665" s="655"/>
      <c r="O665" s="655"/>
      <c r="P665" s="655"/>
      <c r="Q665" s="655"/>
      <c r="R665" s="655"/>
      <c r="S665" s="655"/>
      <c r="T665" s="655"/>
      <c r="U665" s="655"/>
      <c r="V665" s="655"/>
      <c r="W665" s="655"/>
      <c r="X665" s="655"/>
      <c r="Y665" s="655"/>
      <c r="Z665" s="655"/>
      <c r="AA665" s="655"/>
    </row>
    <row r="666">
      <c r="B666" s="462"/>
      <c r="C666" s="671"/>
      <c r="D666" s="671"/>
      <c r="E666" s="462"/>
      <c r="F666" s="654"/>
      <c r="G666" s="650"/>
      <c r="H666" s="654"/>
      <c r="I666" s="654"/>
      <c r="J666" s="650"/>
      <c r="K666" s="650"/>
      <c r="L666" s="655"/>
      <c r="M666" s="655"/>
      <c r="N666" s="655"/>
      <c r="O666" s="655"/>
      <c r="P666" s="655"/>
      <c r="Q666" s="655"/>
      <c r="R666" s="655"/>
      <c r="S666" s="655"/>
      <c r="T666" s="655"/>
      <c r="U666" s="655"/>
      <c r="V666" s="655"/>
      <c r="W666" s="655"/>
      <c r="X666" s="655"/>
      <c r="Y666" s="655"/>
      <c r="Z666" s="655"/>
      <c r="AA666" s="655"/>
    </row>
    <row r="667">
      <c r="B667" s="462"/>
      <c r="C667" s="671"/>
      <c r="D667" s="671"/>
      <c r="E667" s="462"/>
      <c r="F667" s="654"/>
      <c r="G667" s="650"/>
      <c r="H667" s="654"/>
      <c r="I667" s="654"/>
      <c r="J667" s="650"/>
      <c r="K667" s="650"/>
      <c r="L667" s="655"/>
      <c r="M667" s="655"/>
      <c r="N667" s="655"/>
      <c r="O667" s="655"/>
      <c r="P667" s="655"/>
      <c r="Q667" s="655"/>
      <c r="R667" s="655"/>
      <c r="S667" s="655"/>
      <c r="T667" s="655"/>
      <c r="U667" s="655"/>
      <c r="V667" s="655"/>
      <c r="W667" s="655"/>
      <c r="X667" s="655"/>
      <c r="Y667" s="655"/>
      <c r="Z667" s="655"/>
      <c r="AA667" s="655"/>
    </row>
    <row r="668">
      <c r="B668" s="462"/>
      <c r="C668" s="671"/>
      <c r="D668" s="671"/>
      <c r="E668" s="462"/>
      <c r="F668" s="654"/>
      <c r="G668" s="650"/>
      <c r="H668" s="654"/>
      <c r="I668" s="654"/>
      <c r="J668" s="650"/>
      <c r="K668" s="650"/>
      <c r="L668" s="655"/>
      <c r="M668" s="655"/>
      <c r="N668" s="655"/>
      <c r="O668" s="655"/>
      <c r="P668" s="655"/>
      <c r="Q668" s="655"/>
      <c r="R668" s="655"/>
      <c r="S668" s="655"/>
      <c r="T668" s="655"/>
      <c r="U668" s="655"/>
      <c r="V668" s="655"/>
      <c r="W668" s="655"/>
      <c r="X668" s="655"/>
      <c r="Y668" s="655"/>
      <c r="Z668" s="655"/>
      <c r="AA668" s="655"/>
    </row>
    <row r="669">
      <c r="B669" s="462"/>
      <c r="C669" s="671"/>
      <c r="D669" s="671"/>
      <c r="E669" s="462"/>
      <c r="F669" s="654"/>
      <c r="G669" s="650"/>
      <c r="H669" s="654"/>
      <c r="I669" s="654"/>
      <c r="J669" s="650"/>
      <c r="K669" s="650"/>
      <c r="L669" s="655"/>
      <c r="M669" s="655"/>
      <c r="N669" s="655"/>
      <c r="O669" s="655"/>
      <c r="P669" s="655"/>
      <c r="Q669" s="655"/>
      <c r="R669" s="655"/>
      <c r="S669" s="655"/>
      <c r="T669" s="655"/>
      <c r="U669" s="655"/>
      <c r="V669" s="655"/>
      <c r="W669" s="655"/>
      <c r="X669" s="655"/>
      <c r="Y669" s="655"/>
      <c r="Z669" s="655"/>
      <c r="AA669" s="655"/>
    </row>
    <row r="670">
      <c r="B670" s="462"/>
      <c r="C670" s="671"/>
      <c r="D670" s="671"/>
      <c r="E670" s="462"/>
      <c r="F670" s="654"/>
      <c r="G670" s="650"/>
      <c r="H670" s="654"/>
      <c r="I670" s="654"/>
      <c r="J670" s="650"/>
      <c r="K670" s="650"/>
      <c r="L670" s="655"/>
      <c r="M670" s="655"/>
      <c r="N670" s="655"/>
      <c r="O670" s="655"/>
      <c r="P670" s="655"/>
      <c r="Q670" s="655"/>
      <c r="R670" s="655"/>
      <c r="S670" s="655"/>
      <c r="T670" s="655"/>
      <c r="U670" s="655"/>
      <c r="V670" s="655"/>
      <c r="W670" s="655"/>
      <c r="X670" s="655"/>
      <c r="Y670" s="655"/>
      <c r="Z670" s="655"/>
      <c r="AA670" s="655"/>
    </row>
    <row r="671">
      <c r="B671" s="462"/>
      <c r="C671" s="671"/>
      <c r="D671" s="671"/>
      <c r="E671" s="462"/>
      <c r="F671" s="654"/>
      <c r="G671" s="650"/>
      <c r="H671" s="654"/>
      <c r="I671" s="654"/>
      <c r="J671" s="650"/>
      <c r="K671" s="650"/>
      <c r="L671" s="655"/>
      <c r="M671" s="655"/>
      <c r="N671" s="655"/>
      <c r="O671" s="655"/>
      <c r="P671" s="655"/>
      <c r="Q671" s="655"/>
      <c r="R671" s="655"/>
      <c r="S671" s="655"/>
      <c r="T671" s="655"/>
      <c r="U671" s="655"/>
      <c r="V671" s="655"/>
      <c r="W671" s="655"/>
      <c r="X671" s="655"/>
      <c r="Y671" s="655"/>
      <c r="Z671" s="655"/>
      <c r="AA671" s="655"/>
    </row>
    <row r="672">
      <c r="B672" s="462"/>
      <c r="C672" s="671"/>
      <c r="D672" s="671"/>
      <c r="E672" s="462"/>
      <c r="F672" s="654"/>
      <c r="G672" s="650"/>
      <c r="H672" s="654"/>
      <c r="I672" s="654"/>
      <c r="J672" s="650"/>
      <c r="K672" s="650"/>
      <c r="L672" s="655"/>
      <c r="M672" s="655"/>
      <c r="N672" s="655"/>
      <c r="O672" s="655"/>
      <c r="P672" s="655"/>
      <c r="Q672" s="655"/>
      <c r="R672" s="655"/>
      <c r="S672" s="655"/>
      <c r="T672" s="655"/>
      <c r="U672" s="655"/>
      <c r="V672" s="655"/>
      <c r="W672" s="655"/>
      <c r="X672" s="655"/>
      <c r="Y672" s="655"/>
      <c r="Z672" s="655"/>
      <c r="AA672" s="655"/>
    </row>
    <row r="673">
      <c r="B673" s="462"/>
      <c r="C673" s="671"/>
      <c r="D673" s="671"/>
      <c r="E673" s="462"/>
      <c r="F673" s="654"/>
      <c r="G673" s="650"/>
      <c r="H673" s="654"/>
      <c r="I673" s="654"/>
      <c r="J673" s="650"/>
      <c r="K673" s="650"/>
      <c r="L673" s="655"/>
      <c r="M673" s="655"/>
      <c r="N673" s="655"/>
      <c r="O673" s="655"/>
      <c r="P673" s="655"/>
      <c r="Q673" s="655"/>
      <c r="R673" s="655"/>
      <c r="S673" s="655"/>
      <c r="T673" s="655"/>
      <c r="U673" s="655"/>
      <c r="V673" s="655"/>
      <c r="W673" s="655"/>
      <c r="X673" s="655"/>
      <c r="Y673" s="655"/>
      <c r="Z673" s="655"/>
      <c r="AA673" s="655"/>
    </row>
    <row r="674">
      <c r="B674" s="462"/>
      <c r="C674" s="671"/>
      <c r="D674" s="671"/>
      <c r="E674" s="462"/>
      <c r="F674" s="654"/>
      <c r="G674" s="650"/>
      <c r="H674" s="654"/>
      <c r="I674" s="654"/>
      <c r="J674" s="650"/>
      <c r="K674" s="650"/>
      <c r="L674" s="655"/>
      <c r="M674" s="655"/>
      <c r="N674" s="655"/>
      <c r="O674" s="655"/>
      <c r="P674" s="655"/>
      <c r="Q674" s="655"/>
      <c r="R674" s="655"/>
      <c r="S674" s="655"/>
      <c r="T674" s="655"/>
      <c r="U674" s="655"/>
      <c r="V674" s="655"/>
      <c r="W674" s="655"/>
      <c r="X674" s="655"/>
      <c r="Y674" s="655"/>
      <c r="Z674" s="655"/>
      <c r="AA674" s="655"/>
    </row>
    <row r="675">
      <c r="B675" s="462"/>
      <c r="C675" s="671"/>
      <c r="D675" s="671"/>
      <c r="E675" s="462"/>
      <c r="F675" s="654"/>
      <c r="G675" s="650"/>
      <c r="H675" s="654"/>
      <c r="I675" s="654"/>
      <c r="J675" s="650"/>
      <c r="K675" s="650"/>
      <c r="L675" s="655"/>
      <c r="M675" s="655"/>
      <c r="N675" s="655"/>
      <c r="O675" s="655"/>
      <c r="P675" s="655"/>
      <c r="Q675" s="655"/>
      <c r="R675" s="655"/>
      <c r="S675" s="655"/>
      <c r="T675" s="655"/>
      <c r="U675" s="655"/>
      <c r="V675" s="655"/>
      <c r="W675" s="655"/>
      <c r="X675" s="655"/>
      <c r="Y675" s="655"/>
      <c r="Z675" s="655"/>
      <c r="AA675" s="655"/>
    </row>
    <row r="676">
      <c r="B676" s="462"/>
      <c r="C676" s="671"/>
      <c r="D676" s="671"/>
      <c r="E676" s="462"/>
      <c r="F676" s="654"/>
      <c r="G676" s="650"/>
      <c r="H676" s="654"/>
      <c r="I676" s="654"/>
      <c r="J676" s="650"/>
      <c r="K676" s="650"/>
      <c r="L676" s="655"/>
      <c r="M676" s="655"/>
      <c r="N676" s="655"/>
      <c r="O676" s="655"/>
      <c r="P676" s="655"/>
      <c r="Q676" s="655"/>
      <c r="R676" s="655"/>
      <c r="S676" s="655"/>
      <c r="T676" s="655"/>
      <c r="U676" s="655"/>
      <c r="V676" s="655"/>
      <c r="W676" s="655"/>
      <c r="X676" s="655"/>
      <c r="Y676" s="655"/>
      <c r="Z676" s="655"/>
      <c r="AA676" s="655"/>
    </row>
    <row r="677">
      <c r="B677" s="462"/>
      <c r="C677" s="671"/>
      <c r="D677" s="671"/>
      <c r="E677" s="462"/>
      <c r="F677" s="654"/>
      <c r="G677" s="650"/>
      <c r="H677" s="654"/>
      <c r="I677" s="654"/>
      <c r="J677" s="650"/>
      <c r="K677" s="650"/>
      <c r="L677" s="655"/>
      <c r="M677" s="655"/>
      <c r="N677" s="655"/>
      <c r="O677" s="655"/>
      <c r="P677" s="655"/>
      <c r="Q677" s="655"/>
      <c r="R677" s="655"/>
      <c r="S677" s="655"/>
      <c r="T677" s="655"/>
      <c r="U677" s="655"/>
      <c r="V677" s="655"/>
      <c r="W677" s="655"/>
      <c r="X677" s="655"/>
      <c r="Y677" s="655"/>
      <c r="Z677" s="655"/>
      <c r="AA677" s="655"/>
    </row>
    <row r="678">
      <c r="B678" s="462"/>
      <c r="C678" s="671"/>
      <c r="D678" s="671"/>
      <c r="E678" s="462"/>
      <c r="F678" s="654"/>
      <c r="G678" s="650"/>
      <c r="H678" s="654"/>
      <c r="I678" s="654"/>
      <c r="J678" s="650"/>
      <c r="K678" s="650"/>
      <c r="L678" s="655"/>
      <c r="M678" s="655"/>
      <c r="N678" s="655"/>
      <c r="O678" s="655"/>
      <c r="P678" s="655"/>
      <c r="Q678" s="655"/>
      <c r="R678" s="655"/>
      <c r="S678" s="655"/>
      <c r="T678" s="655"/>
      <c r="U678" s="655"/>
      <c r="V678" s="655"/>
      <c r="W678" s="655"/>
      <c r="X678" s="655"/>
      <c r="Y678" s="655"/>
      <c r="Z678" s="655"/>
      <c r="AA678" s="655"/>
    </row>
    <row r="679">
      <c r="B679" s="462"/>
      <c r="C679" s="671"/>
      <c r="D679" s="671"/>
      <c r="E679" s="462"/>
      <c r="F679" s="654"/>
      <c r="G679" s="650"/>
      <c r="H679" s="654"/>
      <c r="I679" s="654"/>
      <c r="J679" s="650"/>
      <c r="K679" s="650"/>
      <c r="L679" s="655"/>
      <c r="M679" s="655"/>
      <c r="N679" s="655"/>
      <c r="O679" s="655"/>
      <c r="P679" s="655"/>
      <c r="Q679" s="655"/>
      <c r="R679" s="655"/>
      <c r="S679" s="655"/>
      <c r="T679" s="655"/>
      <c r="U679" s="655"/>
      <c r="V679" s="655"/>
      <c r="W679" s="655"/>
      <c r="X679" s="655"/>
      <c r="Y679" s="655"/>
      <c r="Z679" s="655"/>
      <c r="AA679" s="655"/>
    </row>
    <row r="680">
      <c r="B680" s="462"/>
      <c r="C680" s="671"/>
      <c r="D680" s="671"/>
      <c r="E680" s="462"/>
      <c r="F680" s="654"/>
      <c r="G680" s="650"/>
      <c r="H680" s="654"/>
      <c r="I680" s="654"/>
      <c r="J680" s="650"/>
      <c r="K680" s="650"/>
      <c r="L680" s="655"/>
      <c r="M680" s="655"/>
      <c r="N680" s="655"/>
      <c r="O680" s="655"/>
      <c r="P680" s="655"/>
      <c r="Q680" s="655"/>
      <c r="R680" s="655"/>
      <c r="S680" s="655"/>
      <c r="T680" s="655"/>
      <c r="U680" s="655"/>
      <c r="V680" s="655"/>
      <c r="W680" s="655"/>
      <c r="X680" s="655"/>
      <c r="Y680" s="655"/>
      <c r="Z680" s="655"/>
      <c r="AA680" s="655"/>
    </row>
    <row r="681">
      <c r="B681" s="462"/>
      <c r="C681" s="671"/>
      <c r="D681" s="671"/>
      <c r="E681" s="462"/>
      <c r="F681" s="654"/>
      <c r="G681" s="650"/>
      <c r="H681" s="654"/>
      <c r="I681" s="654"/>
      <c r="J681" s="650"/>
      <c r="K681" s="650"/>
      <c r="L681" s="655"/>
      <c r="M681" s="655"/>
      <c r="N681" s="655"/>
      <c r="O681" s="655"/>
      <c r="P681" s="655"/>
      <c r="Q681" s="655"/>
      <c r="R681" s="655"/>
      <c r="S681" s="655"/>
      <c r="T681" s="655"/>
      <c r="U681" s="655"/>
      <c r="V681" s="655"/>
      <c r="W681" s="655"/>
      <c r="X681" s="655"/>
      <c r="Y681" s="655"/>
      <c r="Z681" s="655"/>
      <c r="AA681" s="655"/>
    </row>
    <row r="682">
      <c r="B682" s="462"/>
      <c r="C682" s="671"/>
      <c r="D682" s="671"/>
      <c r="E682" s="462"/>
      <c r="F682" s="654"/>
      <c r="G682" s="650"/>
      <c r="H682" s="654"/>
      <c r="I682" s="654"/>
      <c r="J682" s="650"/>
      <c r="K682" s="650"/>
      <c r="L682" s="655"/>
      <c r="M682" s="655"/>
      <c r="N682" s="655"/>
      <c r="O682" s="655"/>
      <c r="P682" s="655"/>
      <c r="Q682" s="655"/>
      <c r="R682" s="655"/>
      <c r="S682" s="655"/>
      <c r="T682" s="655"/>
      <c r="U682" s="655"/>
      <c r="V682" s="655"/>
      <c r="W682" s="655"/>
      <c r="X682" s="655"/>
      <c r="Y682" s="655"/>
      <c r="Z682" s="655"/>
      <c r="AA682" s="655"/>
    </row>
    <row r="683">
      <c r="B683" s="462"/>
      <c r="C683" s="671"/>
      <c r="D683" s="671"/>
      <c r="E683" s="462"/>
      <c r="F683" s="654"/>
      <c r="G683" s="650"/>
      <c r="H683" s="654"/>
      <c r="I683" s="654"/>
      <c r="J683" s="650"/>
      <c r="K683" s="650"/>
      <c r="L683" s="655"/>
      <c r="M683" s="655"/>
      <c r="N683" s="655"/>
      <c r="O683" s="655"/>
      <c r="P683" s="655"/>
      <c r="Q683" s="655"/>
      <c r="R683" s="655"/>
      <c r="S683" s="655"/>
      <c r="T683" s="655"/>
      <c r="U683" s="655"/>
      <c r="V683" s="655"/>
      <c r="W683" s="655"/>
      <c r="X683" s="655"/>
      <c r="Y683" s="655"/>
      <c r="Z683" s="655"/>
      <c r="AA683" s="655"/>
    </row>
    <row r="684">
      <c r="B684" s="462"/>
      <c r="C684" s="671"/>
      <c r="D684" s="671"/>
      <c r="E684" s="462"/>
      <c r="F684" s="654"/>
      <c r="G684" s="650"/>
      <c r="H684" s="654"/>
      <c r="I684" s="654"/>
      <c r="J684" s="650"/>
      <c r="K684" s="650"/>
      <c r="L684" s="655"/>
      <c r="M684" s="655"/>
      <c r="N684" s="655"/>
      <c r="O684" s="655"/>
      <c r="P684" s="655"/>
      <c r="Q684" s="655"/>
      <c r="R684" s="655"/>
      <c r="S684" s="655"/>
      <c r="T684" s="655"/>
      <c r="U684" s="655"/>
      <c r="V684" s="655"/>
      <c r="W684" s="655"/>
      <c r="X684" s="655"/>
      <c r="Y684" s="655"/>
      <c r="Z684" s="655"/>
      <c r="AA684" s="655"/>
    </row>
    <row r="685">
      <c r="B685" s="462"/>
      <c r="C685" s="671"/>
      <c r="D685" s="671"/>
      <c r="E685" s="462"/>
      <c r="F685" s="654"/>
      <c r="G685" s="650"/>
      <c r="H685" s="654"/>
      <c r="I685" s="654"/>
      <c r="J685" s="650"/>
      <c r="K685" s="650"/>
      <c r="L685" s="655"/>
      <c r="M685" s="655"/>
      <c r="N685" s="655"/>
      <c r="O685" s="655"/>
      <c r="P685" s="655"/>
      <c r="Q685" s="655"/>
      <c r="R685" s="655"/>
      <c r="S685" s="655"/>
      <c r="T685" s="655"/>
      <c r="U685" s="655"/>
      <c r="V685" s="655"/>
      <c r="W685" s="655"/>
      <c r="X685" s="655"/>
      <c r="Y685" s="655"/>
      <c r="Z685" s="655"/>
      <c r="AA685" s="655"/>
    </row>
    <row r="686">
      <c r="B686" s="462"/>
      <c r="C686" s="671"/>
      <c r="D686" s="671"/>
      <c r="E686" s="462"/>
      <c r="F686" s="654"/>
      <c r="G686" s="650"/>
      <c r="H686" s="654"/>
      <c r="I686" s="654"/>
      <c r="J686" s="650"/>
      <c r="K686" s="650"/>
      <c r="L686" s="655"/>
      <c r="M686" s="655"/>
      <c r="N686" s="655"/>
      <c r="O686" s="655"/>
      <c r="P686" s="655"/>
      <c r="Q686" s="655"/>
      <c r="R686" s="655"/>
      <c r="S686" s="655"/>
      <c r="T686" s="655"/>
      <c r="U686" s="655"/>
      <c r="V686" s="655"/>
      <c r="W686" s="655"/>
      <c r="X686" s="655"/>
      <c r="Y686" s="655"/>
      <c r="Z686" s="655"/>
      <c r="AA686" s="655"/>
    </row>
    <row r="687">
      <c r="B687" s="462"/>
      <c r="C687" s="671"/>
      <c r="D687" s="671"/>
      <c r="E687" s="462"/>
      <c r="F687" s="654"/>
      <c r="G687" s="650"/>
      <c r="H687" s="654"/>
      <c r="I687" s="654"/>
      <c r="J687" s="650"/>
      <c r="K687" s="650"/>
      <c r="L687" s="655"/>
      <c r="M687" s="655"/>
      <c r="N687" s="655"/>
      <c r="O687" s="655"/>
      <c r="P687" s="655"/>
      <c r="Q687" s="655"/>
      <c r="R687" s="655"/>
      <c r="S687" s="655"/>
      <c r="T687" s="655"/>
      <c r="U687" s="655"/>
      <c r="V687" s="655"/>
      <c r="W687" s="655"/>
      <c r="X687" s="655"/>
      <c r="Y687" s="655"/>
      <c r="Z687" s="655"/>
      <c r="AA687" s="655"/>
    </row>
    <row r="688">
      <c r="B688" s="462"/>
      <c r="C688" s="671"/>
      <c r="D688" s="671"/>
      <c r="E688" s="462"/>
      <c r="F688" s="654"/>
      <c r="G688" s="650"/>
      <c r="H688" s="654"/>
      <c r="I688" s="654"/>
      <c r="J688" s="650"/>
      <c r="K688" s="650"/>
      <c r="L688" s="655"/>
      <c r="M688" s="655"/>
      <c r="N688" s="655"/>
      <c r="O688" s="655"/>
      <c r="P688" s="655"/>
      <c r="Q688" s="655"/>
      <c r="R688" s="655"/>
      <c r="S688" s="655"/>
      <c r="T688" s="655"/>
      <c r="U688" s="655"/>
      <c r="V688" s="655"/>
      <c r="W688" s="655"/>
      <c r="X688" s="655"/>
      <c r="Y688" s="655"/>
      <c r="Z688" s="655"/>
      <c r="AA688" s="655"/>
    </row>
    <row r="689">
      <c r="B689" s="462"/>
      <c r="C689" s="671"/>
      <c r="D689" s="671"/>
      <c r="E689" s="462"/>
      <c r="F689" s="654"/>
      <c r="G689" s="650"/>
      <c r="H689" s="654"/>
      <c r="I689" s="654"/>
      <c r="J689" s="650"/>
      <c r="K689" s="650"/>
      <c r="L689" s="655"/>
      <c r="M689" s="655"/>
      <c r="N689" s="655"/>
      <c r="O689" s="655"/>
      <c r="P689" s="655"/>
      <c r="Q689" s="655"/>
      <c r="R689" s="655"/>
      <c r="S689" s="655"/>
      <c r="T689" s="655"/>
      <c r="U689" s="655"/>
      <c r="V689" s="655"/>
      <c r="W689" s="655"/>
      <c r="X689" s="655"/>
      <c r="Y689" s="655"/>
      <c r="Z689" s="655"/>
      <c r="AA689" s="655"/>
    </row>
    <row r="690">
      <c r="B690" s="462"/>
      <c r="C690" s="671"/>
      <c r="D690" s="671"/>
      <c r="E690" s="462"/>
      <c r="F690" s="654"/>
      <c r="G690" s="650"/>
      <c r="H690" s="654"/>
      <c r="I690" s="654"/>
      <c r="J690" s="650"/>
      <c r="K690" s="650"/>
      <c r="L690" s="655"/>
      <c r="M690" s="655"/>
      <c r="N690" s="655"/>
      <c r="O690" s="655"/>
      <c r="P690" s="655"/>
      <c r="Q690" s="655"/>
      <c r="R690" s="655"/>
      <c r="S690" s="655"/>
      <c r="T690" s="655"/>
      <c r="U690" s="655"/>
      <c r="V690" s="655"/>
      <c r="W690" s="655"/>
      <c r="X690" s="655"/>
      <c r="Y690" s="655"/>
      <c r="Z690" s="655"/>
      <c r="AA690" s="655"/>
    </row>
    <row r="691">
      <c r="B691" s="462"/>
      <c r="C691" s="671"/>
      <c r="D691" s="671"/>
      <c r="E691" s="462"/>
      <c r="F691" s="654"/>
      <c r="G691" s="650"/>
      <c r="H691" s="654"/>
      <c r="I691" s="654"/>
      <c r="J691" s="650"/>
      <c r="K691" s="650"/>
      <c r="L691" s="655"/>
      <c r="M691" s="655"/>
      <c r="N691" s="655"/>
      <c r="O691" s="655"/>
      <c r="P691" s="655"/>
      <c r="Q691" s="655"/>
      <c r="R691" s="655"/>
      <c r="S691" s="655"/>
      <c r="T691" s="655"/>
      <c r="U691" s="655"/>
      <c r="V691" s="655"/>
      <c r="W691" s="655"/>
      <c r="X691" s="655"/>
      <c r="Y691" s="655"/>
      <c r="Z691" s="655"/>
      <c r="AA691" s="655"/>
    </row>
    <row r="692">
      <c r="B692" s="462"/>
      <c r="C692" s="671"/>
      <c r="D692" s="671"/>
      <c r="E692" s="462"/>
      <c r="F692" s="654"/>
      <c r="G692" s="650"/>
      <c r="H692" s="654"/>
      <c r="I692" s="654"/>
      <c r="J692" s="650"/>
      <c r="K692" s="650"/>
      <c r="L692" s="655"/>
      <c r="M692" s="655"/>
      <c r="N692" s="655"/>
      <c r="O692" s="655"/>
      <c r="P692" s="655"/>
      <c r="Q692" s="655"/>
      <c r="R692" s="655"/>
      <c r="S692" s="655"/>
      <c r="T692" s="655"/>
      <c r="U692" s="655"/>
      <c r="V692" s="655"/>
      <c r="W692" s="655"/>
      <c r="X692" s="655"/>
      <c r="Y692" s="655"/>
      <c r="Z692" s="655"/>
      <c r="AA692" s="655"/>
    </row>
    <row r="693">
      <c r="B693" s="462"/>
      <c r="C693" s="671"/>
      <c r="D693" s="671"/>
      <c r="E693" s="462"/>
      <c r="F693" s="654"/>
      <c r="G693" s="650"/>
      <c r="H693" s="654"/>
      <c r="I693" s="654"/>
      <c r="J693" s="650"/>
      <c r="K693" s="650"/>
      <c r="L693" s="655"/>
      <c r="M693" s="655"/>
      <c r="N693" s="655"/>
      <c r="O693" s="655"/>
      <c r="P693" s="655"/>
      <c r="Q693" s="655"/>
      <c r="R693" s="655"/>
      <c r="S693" s="655"/>
      <c r="T693" s="655"/>
      <c r="U693" s="655"/>
      <c r="V693" s="655"/>
      <c r="W693" s="655"/>
      <c r="X693" s="655"/>
      <c r="Y693" s="655"/>
      <c r="Z693" s="655"/>
      <c r="AA693" s="655"/>
    </row>
    <row r="694">
      <c r="B694" s="462"/>
      <c r="C694" s="671"/>
      <c r="D694" s="671"/>
      <c r="E694" s="462"/>
      <c r="F694" s="654"/>
      <c r="G694" s="650"/>
      <c r="H694" s="654"/>
      <c r="I694" s="654"/>
      <c r="J694" s="650"/>
      <c r="K694" s="650"/>
      <c r="L694" s="655"/>
      <c r="M694" s="655"/>
      <c r="N694" s="655"/>
      <c r="O694" s="655"/>
      <c r="P694" s="655"/>
      <c r="Q694" s="655"/>
      <c r="R694" s="655"/>
      <c r="S694" s="655"/>
      <c r="T694" s="655"/>
      <c r="U694" s="655"/>
      <c r="V694" s="655"/>
      <c r="W694" s="655"/>
      <c r="X694" s="655"/>
      <c r="Y694" s="655"/>
      <c r="Z694" s="655"/>
      <c r="AA694" s="655"/>
    </row>
    <row r="695">
      <c r="B695" s="462"/>
      <c r="C695" s="671"/>
      <c r="D695" s="671"/>
      <c r="E695" s="462"/>
      <c r="F695" s="654"/>
      <c r="G695" s="650"/>
      <c r="H695" s="654"/>
      <c r="I695" s="654"/>
      <c r="J695" s="650"/>
      <c r="K695" s="650"/>
      <c r="L695" s="655"/>
      <c r="M695" s="655"/>
      <c r="N695" s="655"/>
      <c r="O695" s="655"/>
      <c r="P695" s="655"/>
      <c r="Q695" s="655"/>
      <c r="R695" s="655"/>
      <c r="S695" s="655"/>
      <c r="T695" s="655"/>
      <c r="U695" s="655"/>
      <c r="V695" s="655"/>
      <c r="W695" s="655"/>
      <c r="X695" s="655"/>
      <c r="Y695" s="655"/>
      <c r="Z695" s="655"/>
      <c r="AA695" s="655"/>
    </row>
    <row r="696">
      <c r="B696" s="462"/>
      <c r="C696" s="671"/>
      <c r="D696" s="671"/>
      <c r="E696" s="462"/>
      <c r="F696" s="654"/>
      <c r="G696" s="650"/>
      <c r="H696" s="654"/>
      <c r="I696" s="654"/>
      <c r="J696" s="650"/>
      <c r="K696" s="650"/>
      <c r="L696" s="655"/>
      <c r="M696" s="655"/>
      <c r="N696" s="655"/>
      <c r="O696" s="655"/>
      <c r="P696" s="655"/>
      <c r="Q696" s="655"/>
      <c r="R696" s="655"/>
      <c r="S696" s="655"/>
      <c r="T696" s="655"/>
      <c r="U696" s="655"/>
      <c r="V696" s="655"/>
      <c r="W696" s="655"/>
      <c r="X696" s="655"/>
      <c r="Y696" s="655"/>
      <c r="Z696" s="655"/>
      <c r="AA696" s="655"/>
    </row>
    <row r="697">
      <c r="B697" s="462"/>
      <c r="C697" s="671"/>
      <c r="D697" s="671"/>
      <c r="E697" s="462"/>
      <c r="F697" s="654"/>
      <c r="G697" s="650"/>
      <c r="H697" s="654"/>
      <c r="I697" s="654"/>
      <c r="J697" s="650"/>
      <c r="K697" s="650"/>
      <c r="L697" s="655"/>
      <c r="M697" s="655"/>
      <c r="N697" s="655"/>
      <c r="O697" s="655"/>
      <c r="P697" s="655"/>
      <c r="Q697" s="655"/>
      <c r="R697" s="655"/>
      <c r="S697" s="655"/>
      <c r="T697" s="655"/>
      <c r="U697" s="655"/>
      <c r="V697" s="655"/>
      <c r="W697" s="655"/>
      <c r="X697" s="655"/>
      <c r="Y697" s="655"/>
      <c r="Z697" s="655"/>
      <c r="AA697" s="655"/>
    </row>
    <row r="698">
      <c r="B698" s="462"/>
      <c r="C698" s="671"/>
      <c r="D698" s="671"/>
      <c r="E698" s="462"/>
      <c r="F698" s="654"/>
      <c r="G698" s="650"/>
      <c r="H698" s="654"/>
      <c r="I698" s="654"/>
      <c r="J698" s="650"/>
      <c r="K698" s="650"/>
      <c r="L698" s="655"/>
      <c r="M698" s="655"/>
      <c r="N698" s="655"/>
      <c r="O698" s="655"/>
      <c r="P698" s="655"/>
      <c r="Q698" s="655"/>
      <c r="R698" s="655"/>
      <c r="S698" s="655"/>
      <c r="T698" s="655"/>
      <c r="U698" s="655"/>
      <c r="V698" s="655"/>
      <c r="W698" s="655"/>
      <c r="X698" s="655"/>
      <c r="Y698" s="655"/>
      <c r="Z698" s="655"/>
      <c r="AA698" s="655"/>
    </row>
    <row r="699">
      <c r="B699" s="462"/>
      <c r="C699" s="671"/>
      <c r="D699" s="671"/>
      <c r="E699" s="462"/>
      <c r="F699" s="654"/>
      <c r="G699" s="650"/>
      <c r="H699" s="654"/>
      <c r="I699" s="654"/>
      <c r="J699" s="650"/>
      <c r="K699" s="650"/>
      <c r="L699" s="655"/>
      <c r="M699" s="655"/>
      <c r="N699" s="655"/>
      <c r="O699" s="655"/>
      <c r="P699" s="655"/>
      <c r="Q699" s="655"/>
      <c r="R699" s="655"/>
      <c r="S699" s="655"/>
      <c r="T699" s="655"/>
      <c r="U699" s="655"/>
      <c r="V699" s="655"/>
      <c r="W699" s="655"/>
      <c r="X699" s="655"/>
      <c r="Y699" s="655"/>
      <c r="Z699" s="655"/>
      <c r="AA699" s="655"/>
    </row>
    <row r="700">
      <c r="B700" s="462"/>
      <c r="C700" s="671"/>
      <c r="D700" s="671"/>
      <c r="E700" s="462"/>
      <c r="F700" s="654"/>
      <c r="G700" s="650"/>
      <c r="H700" s="654"/>
      <c r="I700" s="654"/>
      <c r="J700" s="650"/>
      <c r="K700" s="650"/>
      <c r="L700" s="655"/>
      <c r="M700" s="655"/>
      <c r="N700" s="655"/>
      <c r="O700" s="655"/>
      <c r="P700" s="655"/>
      <c r="Q700" s="655"/>
      <c r="R700" s="655"/>
      <c r="S700" s="655"/>
      <c r="T700" s="655"/>
      <c r="U700" s="655"/>
      <c r="V700" s="655"/>
      <c r="W700" s="655"/>
      <c r="X700" s="655"/>
      <c r="Y700" s="655"/>
      <c r="Z700" s="655"/>
      <c r="AA700" s="655"/>
    </row>
    <row r="701">
      <c r="B701" s="462"/>
      <c r="C701" s="671"/>
      <c r="D701" s="671"/>
      <c r="E701" s="462"/>
      <c r="F701" s="654"/>
      <c r="G701" s="650"/>
      <c r="H701" s="654"/>
      <c r="I701" s="654"/>
      <c r="J701" s="650"/>
      <c r="K701" s="650"/>
      <c r="L701" s="655"/>
      <c r="M701" s="655"/>
      <c r="N701" s="655"/>
      <c r="O701" s="655"/>
      <c r="P701" s="655"/>
      <c r="Q701" s="655"/>
      <c r="R701" s="655"/>
      <c r="S701" s="655"/>
      <c r="T701" s="655"/>
      <c r="U701" s="655"/>
      <c r="V701" s="655"/>
      <c r="W701" s="655"/>
      <c r="X701" s="655"/>
      <c r="Y701" s="655"/>
      <c r="Z701" s="655"/>
      <c r="AA701" s="655"/>
    </row>
    <row r="702">
      <c r="B702" s="462"/>
      <c r="C702" s="671"/>
      <c r="D702" s="671"/>
      <c r="E702" s="462"/>
      <c r="F702" s="654"/>
      <c r="G702" s="650"/>
      <c r="H702" s="654"/>
      <c r="I702" s="654"/>
      <c r="J702" s="650"/>
      <c r="K702" s="650"/>
      <c r="L702" s="655"/>
      <c r="M702" s="655"/>
      <c r="N702" s="655"/>
      <c r="O702" s="655"/>
      <c r="P702" s="655"/>
      <c r="Q702" s="655"/>
      <c r="R702" s="655"/>
      <c r="S702" s="655"/>
      <c r="T702" s="655"/>
      <c r="U702" s="655"/>
      <c r="V702" s="655"/>
      <c r="W702" s="655"/>
      <c r="X702" s="655"/>
      <c r="Y702" s="655"/>
      <c r="Z702" s="655"/>
      <c r="AA702" s="655"/>
    </row>
    <row r="703">
      <c r="B703" s="462"/>
      <c r="C703" s="671"/>
      <c r="D703" s="671"/>
      <c r="E703" s="462"/>
      <c r="F703" s="654"/>
      <c r="G703" s="650"/>
      <c r="H703" s="654"/>
      <c r="I703" s="654"/>
      <c r="J703" s="650"/>
      <c r="K703" s="650"/>
      <c r="L703" s="655"/>
      <c r="M703" s="655"/>
      <c r="N703" s="655"/>
      <c r="O703" s="655"/>
      <c r="P703" s="655"/>
      <c r="Q703" s="655"/>
      <c r="R703" s="655"/>
      <c r="S703" s="655"/>
      <c r="T703" s="655"/>
      <c r="U703" s="655"/>
      <c r="V703" s="655"/>
      <c r="W703" s="655"/>
      <c r="X703" s="655"/>
      <c r="Y703" s="655"/>
      <c r="Z703" s="655"/>
      <c r="AA703" s="655"/>
    </row>
    <row r="704">
      <c r="B704" s="462"/>
      <c r="C704" s="671"/>
      <c r="D704" s="671"/>
      <c r="E704" s="462"/>
      <c r="F704" s="654"/>
      <c r="G704" s="650"/>
      <c r="H704" s="654"/>
      <c r="I704" s="654"/>
      <c r="J704" s="650"/>
      <c r="K704" s="650"/>
      <c r="L704" s="655"/>
      <c r="M704" s="655"/>
      <c r="N704" s="655"/>
      <c r="O704" s="655"/>
      <c r="P704" s="655"/>
      <c r="Q704" s="655"/>
      <c r="R704" s="655"/>
      <c r="S704" s="655"/>
      <c r="T704" s="655"/>
      <c r="U704" s="655"/>
      <c r="V704" s="655"/>
      <c r="W704" s="655"/>
      <c r="X704" s="655"/>
      <c r="Y704" s="655"/>
      <c r="Z704" s="655"/>
      <c r="AA704" s="655"/>
    </row>
    <row r="705">
      <c r="B705" s="462"/>
      <c r="C705" s="671"/>
      <c r="D705" s="671"/>
      <c r="E705" s="462"/>
      <c r="F705" s="654"/>
      <c r="G705" s="650"/>
      <c r="H705" s="654"/>
      <c r="I705" s="654"/>
      <c r="J705" s="650"/>
      <c r="K705" s="650"/>
      <c r="L705" s="655"/>
      <c r="M705" s="655"/>
      <c r="N705" s="655"/>
      <c r="O705" s="655"/>
      <c r="P705" s="655"/>
      <c r="Q705" s="655"/>
      <c r="R705" s="655"/>
      <c r="S705" s="655"/>
      <c r="T705" s="655"/>
      <c r="U705" s="655"/>
      <c r="V705" s="655"/>
      <c r="W705" s="655"/>
      <c r="X705" s="655"/>
      <c r="Y705" s="655"/>
      <c r="Z705" s="655"/>
      <c r="AA705" s="655"/>
    </row>
    <row r="706">
      <c r="B706" s="462"/>
      <c r="C706" s="671"/>
      <c r="D706" s="671"/>
      <c r="E706" s="462"/>
      <c r="F706" s="654"/>
      <c r="G706" s="650"/>
      <c r="H706" s="654"/>
      <c r="I706" s="654"/>
      <c r="J706" s="650"/>
      <c r="K706" s="650"/>
      <c r="L706" s="655"/>
      <c r="M706" s="655"/>
      <c r="N706" s="655"/>
      <c r="O706" s="655"/>
      <c r="P706" s="655"/>
      <c r="Q706" s="655"/>
      <c r="R706" s="655"/>
      <c r="S706" s="655"/>
      <c r="T706" s="655"/>
      <c r="U706" s="655"/>
      <c r="V706" s="655"/>
      <c r="W706" s="655"/>
      <c r="X706" s="655"/>
      <c r="Y706" s="655"/>
      <c r="Z706" s="655"/>
      <c r="AA706" s="655"/>
    </row>
    <row r="707">
      <c r="B707" s="462"/>
      <c r="C707" s="671"/>
      <c r="D707" s="671"/>
      <c r="E707" s="462"/>
      <c r="F707" s="654"/>
      <c r="G707" s="650"/>
      <c r="H707" s="654"/>
      <c r="I707" s="654"/>
      <c r="J707" s="650"/>
      <c r="K707" s="650"/>
      <c r="L707" s="655"/>
      <c r="M707" s="655"/>
      <c r="N707" s="655"/>
      <c r="O707" s="655"/>
      <c r="P707" s="655"/>
      <c r="Q707" s="655"/>
      <c r="R707" s="655"/>
      <c r="S707" s="655"/>
      <c r="T707" s="655"/>
      <c r="U707" s="655"/>
      <c r="V707" s="655"/>
      <c r="W707" s="655"/>
      <c r="X707" s="655"/>
      <c r="Y707" s="655"/>
      <c r="Z707" s="655"/>
      <c r="AA707" s="655"/>
    </row>
    <row r="708">
      <c r="B708" s="462"/>
      <c r="C708" s="671"/>
      <c r="D708" s="671"/>
      <c r="E708" s="462"/>
      <c r="F708" s="654"/>
      <c r="G708" s="650"/>
      <c r="H708" s="654"/>
      <c r="I708" s="654"/>
      <c r="J708" s="650"/>
      <c r="K708" s="650"/>
      <c r="L708" s="655"/>
      <c r="M708" s="655"/>
      <c r="N708" s="655"/>
      <c r="O708" s="655"/>
      <c r="P708" s="655"/>
      <c r="Q708" s="655"/>
      <c r="R708" s="655"/>
      <c r="S708" s="655"/>
      <c r="T708" s="655"/>
      <c r="U708" s="655"/>
      <c r="V708" s="655"/>
      <c r="W708" s="655"/>
      <c r="X708" s="655"/>
      <c r="Y708" s="655"/>
      <c r="Z708" s="655"/>
      <c r="AA708" s="655"/>
    </row>
    <row r="709">
      <c r="B709" s="462"/>
      <c r="C709" s="671"/>
      <c r="D709" s="671"/>
      <c r="E709" s="462"/>
      <c r="F709" s="654"/>
      <c r="G709" s="650"/>
      <c r="H709" s="654"/>
      <c r="I709" s="654"/>
      <c r="J709" s="650"/>
      <c r="K709" s="650"/>
      <c r="L709" s="655"/>
      <c r="M709" s="655"/>
      <c r="N709" s="655"/>
      <c r="O709" s="655"/>
      <c r="P709" s="655"/>
      <c r="Q709" s="655"/>
      <c r="R709" s="655"/>
      <c r="S709" s="655"/>
      <c r="T709" s="655"/>
      <c r="U709" s="655"/>
      <c r="V709" s="655"/>
      <c r="W709" s="655"/>
      <c r="X709" s="655"/>
      <c r="Y709" s="655"/>
      <c r="Z709" s="655"/>
      <c r="AA709" s="655"/>
    </row>
    <row r="710">
      <c r="B710" s="462"/>
      <c r="C710" s="671"/>
      <c r="D710" s="671"/>
      <c r="E710" s="462"/>
      <c r="F710" s="654"/>
      <c r="G710" s="650"/>
      <c r="H710" s="654"/>
      <c r="I710" s="654"/>
      <c r="J710" s="650"/>
      <c r="K710" s="650"/>
      <c r="L710" s="655"/>
      <c r="M710" s="655"/>
      <c r="N710" s="655"/>
      <c r="O710" s="655"/>
      <c r="P710" s="655"/>
      <c r="Q710" s="655"/>
      <c r="R710" s="655"/>
      <c r="S710" s="655"/>
      <c r="T710" s="655"/>
      <c r="U710" s="655"/>
      <c r="V710" s="655"/>
      <c r="W710" s="655"/>
      <c r="X710" s="655"/>
      <c r="Y710" s="655"/>
      <c r="Z710" s="655"/>
      <c r="AA710" s="655"/>
    </row>
    <row r="711">
      <c r="B711" s="462"/>
      <c r="C711" s="671"/>
      <c r="D711" s="671"/>
      <c r="E711" s="462"/>
      <c r="F711" s="654"/>
      <c r="G711" s="650"/>
      <c r="H711" s="654"/>
      <c r="I711" s="654"/>
      <c r="J711" s="650"/>
      <c r="K711" s="650"/>
      <c r="L711" s="655"/>
      <c r="M711" s="655"/>
      <c r="N711" s="655"/>
      <c r="O711" s="655"/>
      <c r="P711" s="655"/>
      <c r="Q711" s="655"/>
      <c r="R711" s="655"/>
      <c r="S711" s="655"/>
      <c r="T711" s="655"/>
      <c r="U711" s="655"/>
      <c r="V711" s="655"/>
      <c r="W711" s="655"/>
      <c r="X711" s="655"/>
      <c r="Y711" s="655"/>
      <c r="Z711" s="655"/>
      <c r="AA711" s="655"/>
    </row>
    <row r="712">
      <c r="B712" s="462"/>
      <c r="C712" s="671"/>
      <c r="D712" s="671"/>
      <c r="E712" s="462"/>
      <c r="F712" s="654"/>
      <c r="G712" s="650"/>
      <c r="H712" s="654"/>
      <c r="I712" s="654"/>
      <c r="J712" s="650"/>
      <c r="K712" s="650"/>
      <c r="L712" s="655"/>
      <c r="M712" s="655"/>
      <c r="N712" s="655"/>
      <c r="O712" s="655"/>
      <c r="P712" s="655"/>
      <c r="Q712" s="655"/>
      <c r="R712" s="655"/>
      <c r="S712" s="655"/>
      <c r="T712" s="655"/>
      <c r="U712" s="655"/>
      <c r="V712" s="655"/>
      <c r="W712" s="655"/>
      <c r="X712" s="655"/>
      <c r="Y712" s="655"/>
      <c r="Z712" s="655"/>
      <c r="AA712" s="655"/>
    </row>
    <row r="713">
      <c r="B713" s="462"/>
      <c r="C713" s="671"/>
      <c r="D713" s="671"/>
      <c r="E713" s="462"/>
      <c r="F713" s="654"/>
      <c r="G713" s="650"/>
      <c r="H713" s="654"/>
      <c r="I713" s="654"/>
      <c r="J713" s="650"/>
      <c r="K713" s="650"/>
      <c r="L713" s="655"/>
      <c r="M713" s="655"/>
      <c r="N713" s="655"/>
      <c r="O713" s="655"/>
      <c r="P713" s="655"/>
      <c r="Q713" s="655"/>
      <c r="R713" s="655"/>
      <c r="S713" s="655"/>
      <c r="T713" s="655"/>
      <c r="U713" s="655"/>
      <c r="V713" s="655"/>
      <c r="W713" s="655"/>
      <c r="X713" s="655"/>
      <c r="Y713" s="655"/>
      <c r="Z713" s="655"/>
      <c r="AA713" s="655"/>
    </row>
    <row r="714">
      <c r="B714" s="462"/>
      <c r="C714" s="671"/>
      <c r="D714" s="671"/>
      <c r="E714" s="462"/>
      <c r="F714" s="654"/>
      <c r="G714" s="650"/>
      <c r="H714" s="654"/>
      <c r="I714" s="654"/>
      <c r="J714" s="650"/>
      <c r="K714" s="650"/>
      <c r="L714" s="655"/>
      <c r="M714" s="655"/>
      <c r="N714" s="655"/>
      <c r="O714" s="655"/>
      <c r="P714" s="655"/>
      <c r="Q714" s="655"/>
      <c r="R714" s="655"/>
      <c r="S714" s="655"/>
      <c r="T714" s="655"/>
      <c r="U714" s="655"/>
      <c r="V714" s="655"/>
      <c r="W714" s="655"/>
      <c r="X714" s="655"/>
      <c r="Y714" s="655"/>
      <c r="Z714" s="655"/>
      <c r="AA714" s="655"/>
    </row>
    <row r="715">
      <c r="B715" s="462"/>
      <c r="C715" s="671"/>
      <c r="D715" s="671"/>
      <c r="E715" s="462"/>
      <c r="F715" s="654"/>
      <c r="G715" s="650"/>
      <c r="H715" s="654"/>
      <c r="I715" s="654"/>
      <c r="J715" s="650"/>
      <c r="K715" s="650"/>
      <c r="L715" s="655"/>
      <c r="M715" s="655"/>
      <c r="N715" s="655"/>
      <c r="O715" s="655"/>
      <c r="P715" s="655"/>
      <c r="Q715" s="655"/>
      <c r="R715" s="655"/>
      <c r="S715" s="655"/>
      <c r="T715" s="655"/>
      <c r="U715" s="655"/>
      <c r="V715" s="655"/>
      <c r="W715" s="655"/>
      <c r="X715" s="655"/>
      <c r="Y715" s="655"/>
      <c r="Z715" s="655"/>
      <c r="AA715" s="655"/>
    </row>
    <row r="716">
      <c r="B716" s="462"/>
      <c r="C716" s="671"/>
      <c r="D716" s="671"/>
      <c r="E716" s="462"/>
      <c r="F716" s="654"/>
      <c r="G716" s="650"/>
      <c r="H716" s="654"/>
      <c r="I716" s="654"/>
      <c r="J716" s="650"/>
      <c r="K716" s="650"/>
      <c r="L716" s="655"/>
      <c r="M716" s="655"/>
      <c r="N716" s="655"/>
      <c r="O716" s="655"/>
      <c r="P716" s="655"/>
      <c r="Q716" s="655"/>
      <c r="R716" s="655"/>
      <c r="S716" s="655"/>
      <c r="T716" s="655"/>
      <c r="U716" s="655"/>
      <c r="V716" s="655"/>
      <c r="W716" s="655"/>
      <c r="X716" s="655"/>
      <c r="Y716" s="655"/>
      <c r="Z716" s="655"/>
      <c r="AA716" s="655"/>
    </row>
    <row r="717">
      <c r="B717" s="462"/>
      <c r="C717" s="671"/>
      <c r="D717" s="671"/>
      <c r="E717" s="462"/>
      <c r="F717" s="654"/>
      <c r="G717" s="650"/>
      <c r="H717" s="654"/>
      <c r="I717" s="654"/>
      <c r="J717" s="650"/>
      <c r="K717" s="650"/>
      <c r="L717" s="655"/>
      <c r="M717" s="655"/>
      <c r="N717" s="655"/>
      <c r="O717" s="655"/>
      <c r="P717" s="655"/>
      <c r="Q717" s="655"/>
      <c r="R717" s="655"/>
      <c r="S717" s="655"/>
      <c r="T717" s="655"/>
      <c r="U717" s="655"/>
      <c r="V717" s="655"/>
      <c r="W717" s="655"/>
      <c r="X717" s="655"/>
      <c r="Y717" s="655"/>
      <c r="Z717" s="655"/>
      <c r="AA717" s="655"/>
    </row>
    <row r="718">
      <c r="B718" s="462"/>
      <c r="C718" s="671"/>
      <c r="D718" s="671"/>
      <c r="E718" s="462"/>
      <c r="F718" s="654"/>
      <c r="G718" s="650"/>
      <c r="H718" s="654"/>
      <c r="I718" s="654"/>
      <c r="J718" s="650"/>
      <c r="K718" s="650"/>
      <c r="L718" s="655"/>
      <c r="M718" s="655"/>
      <c r="N718" s="655"/>
      <c r="O718" s="655"/>
      <c r="P718" s="655"/>
      <c r="Q718" s="655"/>
      <c r="R718" s="655"/>
      <c r="S718" s="655"/>
      <c r="T718" s="655"/>
      <c r="U718" s="655"/>
      <c r="V718" s="655"/>
      <c r="W718" s="655"/>
      <c r="X718" s="655"/>
      <c r="Y718" s="655"/>
      <c r="Z718" s="655"/>
      <c r="AA718" s="655"/>
    </row>
    <row r="719">
      <c r="B719" s="462"/>
      <c r="C719" s="671"/>
      <c r="D719" s="671"/>
      <c r="E719" s="462"/>
      <c r="F719" s="654"/>
      <c r="G719" s="650"/>
      <c r="H719" s="654"/>
      <c r="I719" s="654"/>
      <c r="J719" s="650"/>
      <c r="K719" s="650"/>
      <c r="L719" s="655"/>
      <c r="M719" s="655"/>
      <c r="N719" s="655"/>
      <c r="O719" s="655"/>
      <c r="P719" s="655"/>
      <c r="Q719" s="655"/>
      <c r="R719" s="655"/>
      <c r="S719" s="655"/>
      <c r="T719" s="655"/>
      <c r="U719" s="655"/>
      <c r="V719" s="655"/>
      <c r="W719" s="655"/>
      <c r="X719" s="655"/>
      <c r="Y719" s="655"/>
      <c r="Z719" s="655"/>
      <c r="AA719" s="655"/>
    </row>
    <row r="720">
      <c r="B720" s="462"/>
      <c r="C720" s="671"/>
      <c r="D720" s="671"/>
      <c r="E720" s="462"/>
      <c r="F720" s="654"/>
      <c r="G720" s="650"/>
      <c r="H720" s="654"/>
      <c r="I720" s="654"/>
      <c r="J720" s="650"/>
      <c r="K720" s="650"/>
      <c r="L720" s="655"/>
      <c r="M720" s="655"/>
      <c r="N720" s="655"/>
      <c r="O720" s="655"/>
      <c r="P720" s="655"/>
      <c r="Q720" s="655"/>
      <c r="R720" s="655"/>
      <c r="S720" s="655"/>
      <c r="T720" s="655"/>
      <c r="U720" s="655"/>
      <c r="V720" s="655"/>
      <c r="W720" s="655"/>
      <c r="X720" s="655"/>
      <c r="Y720" s="655"/>
      <c r="Z720" s="655"/>
      <c r="AA720" s="655"/>
    </row>
    <row r="721">
      <c r="B721" s="462"/>
      <c r="C721" s="671"/>
      <c r="D721" s="671"/>
      <c r="E721" s="462"/>
      <c r="F721" s="654"/>
      <c r="G721" s="650"/>
      <c r="H721" s="654"/>
      <c r="I721" s="654"/>
      <c r="J721" s="650"/>
      <c r="K721" s="650"/>
      <c r="L721" s="655"/>
      <c r="M721" s="655"/>
      <c r="N721" s="655"/>
      <c r="O721" s="655"/>
      <c r="P721" s="655"/>
      <c r="Q721" s="655"/>
      <c r="R721" s="655"/>
      <c r="S721" s="655"/>
      <c r="T721" s="655"/>
      <c r="U721" s="655"/>
      <c r="V721" s="655"/>
      <c r="W721" s="655"/>
      <c r="X721" s="655"/>
      <c r="Y721" s="655"/>
      <c r="Z721" s="655"/>
      <c r="AA721" s="655"/>
    </row>
    <row r="722">
      <c r="B722" s="462"/>
      <c r="C722" s="671"/>
      <c r="D722" s="671"/>
      <c r="E722" s="462"/>
      <c r="F722" s="654"/>
      <c r="G722" s="650"/>
      <c r="H722" s="654"/>
      <c r="I722" s="654"/>
      <c r="J722" s="650"/>
      <c r="K722" s="650"/>
      <c r="L722" s="655"/>
      <c r="M722" s="655"/>
      <c r="N722" s="655"/>
      <c r="O722" s="655"/>
      <c r="P722" s="655"/>
      <c r="Q722" s="655"/>
      <c r="R722" s="655"/>
      <c r="S722" s="655"/>
      <c r="T722" s="655"/>
      <c r="U722" s="655"/>
      <c r="V722" s="655"/>
      <c r="W722" s="655"/>
      <c r="X722" s="655"/>
      <c r="Y722" s="655"/>
      <c r="Z722" s="655"/>
      <c r="AA722" s="655"/>
    </row>
    <row r="723">
      <c r="B723" s="462"/>
      <c r="C723" s="671"/>
      <c r="D723" s="671"/>
      <c r="E723" s="462"/>
      <c r="F723" s="654"/>
      <c r="G723" s="650"/>
      <c r="H723" s="654"/>
      <c r="I723" s="654"/>
      <c r="J723" s="650"/>
      <c r="K723" s="650"/>
      <c r="L723" s="655"/>
      <c r="M723" s="655"/>
      <c r="N723" s="655"/>
      <c r="O723" s="655"/>
      <c r="P723" s="655"/>
      <c r="Q723" s="655"/>
      <c r="R723" s="655"/>
      <c r="S723" s="655"/>
      <c r="T723" s="655"/>
      <c r="U723" s="655"/>
      <c r="V723" s="655"/>
      <c r="W723" s="655"/>
      <c r="X723" s="655"/>
      <c r="Y723" s="655"/>
      <c r="Z723" s="655"/>
      <c r="AA723" s="655"/>
    </row>
    <row r="724">
      <c r="B724" s="462"/>
      <c r="C724" s="671"/>
      <c r="D724" s="671"/>
      <c r="E724" s="462"/>
      <c r="F724" s="654"/>
      <c r="G724" s="650"/>
      <c r="H724" s="654"/>
      <c r="I724" s="654"/>
      <c r="J724" s="650"/>
      <c r="K724" s="650"/>
      <c r="L724" s="655"/>
      <c r="M724" s="655"/>
      <c r="N724" s="655"/>
      <c r="O724" s="655"/>
      <c r="P724" s="655"/>
      <c r="Q724" s="655"/>
      <c r="R724" s="655"/>
      <c r="S724" s="655"/>
      <c r="T724" s="655"/>
      <c r="U724" s="655"/>
      <c r="V724" s="655"/>
      <c r="W724" s="655"/>
      <c r="X724" s="655"/>
      <c r="Y724" s="655"/>
      <c r="Z724" s="655"/>
      <c r="AA724" s="655"/>
    </row>
    <row r="725">
      <c r="B725" s="462"/>
      <c r="C725" s="671"/>
      <c r="D725" s="671"/>
      <c r="E725" s="462"/>
      <c r="F725" s="654"/>
      <c r="G725" s="650"/>
      <c r="H725" s="654"/>
      <c r="I725" s="654"/>
      <c r="J725" s="650"/>
      <c r="K725" s="650"/>
      <c r="L725" s="655"/>
      <c r="M725" s="655"/>
      <c r="N725" s="655"/>
      <c r="O725" s="655"/>
      <c r="P725" s="655"/>
      <c r="Q725" s="655"/>
      <c r="R725" s="655"/>
      <c r="S725" s="655"/>
      <c r="T725" s="655"/>
      <c r="U725" s="655"/>
      <c r="V725" s="655"/>
      <c r="W725" s="655"/>
      <c r="X725" s="655"/>
      <c r="Y725" s="655"/>
      <c r="Z725" s="655"/>
      <c r="AA725" s="655"/>
    </row>
    <row r="726">
      <c r="B726" s="462"/>
      <c r="C726" s="671"/>
      <c r="D726" s="671"/>
      <c r="E726" s="462"/>
      <c r="F726" s="654"/>
      <c r="G726" s="650"/>
      <c r="H726" s="654"/>
      <c r="I726" s="654"/>
      <c r="J726" s="650"/>
      <c r="K726" s="650"/>
      <c r="L726" s="655"/>
      <c r="M726" s="655"/>
      <c r="N726" s="655"/>
      <c r="O726" s="655"/>
      <c r="P726" s="655"/>
      <c r="Q726" s="655"/>
      <c r="R726" s="655"/>
      <c r="S726" s="655"/>
      <c r="T726" s="655"/>
      <c r="U726" s="655"/>
      <c r="V726" s="655"/>
      <c r="W726" s="655"/>
      <c r="X726" s="655"/>
      <c r="Y726" s="655"/>
      <c r="Z726" s="655"/>
      <c r="AA726" s="655"/>
    </row>
    <row r="727">
      <c r="B727" s="462"/>
      <c r="C727" s="671"/>
      <c r="D727" s="671"/>
      <c r="E727" s="462"/>
      <c r="F727" s="654"/>
      <c r="G727" s="650"/>
      <c r="H727" s="654"/>
      <c r="I727" s="654"/>
      <c r="J727" s="650"/>
      <c r="K727" s="650"/>
      <c r="L727" s="655"/>
      <c r="M727" s="655"/>
      <c r="N727" s="655"/>
      <c r="O727" s="655"/>
      <c r="P727" s="655"/>
      <c r="Q727" s="655"/>
      <c r="R727" s="655"/>
      <c r="S727" s="655"/>
      <c r="T727" s="655"/>
      <c r="U727" s="655"/>
      <c r="V727" s="655"/>
      <c r="W727" s="655"/>
      <c r="X727" s="655"/>
      <c r="Y727" s="655"/>
      <c r="Z727" s="655"/>
      <c r="AA727" s="655"/>
    </row>
    <row r="728">
      <c r="B728" s="462"/>
      <c r="C728" s="671"/>
      <c r="D728" s="671"/>
      <c r="E728" s="462"/>
      <c r="F728" s="654"/>
      <c r="G728" s="650"/>
      <c r="H728" s="654"/>
      <c r="I728" s="654"/>
      <c r="J728" s="650"/>
      <c r="K728" s="650"/>
      <c r="L728" s="655"/>
      <c r="M728" s="655"/>
      <c r="N728" s="655"/>
      <c r="O728" s="655"/>
      <c r="P728" s="655"/>
      <c r="Q728" s="655"/>
      <c r="R728" s="655"/>
      <c r="S728" s="655"/>
      <c r="T728" s="655"/>
      <c r="U728" s="655"/>
      <c r="V728" s="655"/>
      <c r="W728" s="655"/>
      <c r="X728" s="655"/>
      <c r="Y728" s="655"/>
      <c r="Z728" s="655"/>
      <c r="AA728" s="655"/>
    </row>
    <row r="729">
      <c r="B729" s="462"/>
      <c r="C729" s="671"/>
      <c r="D729" s="671"/>
      <c r="E729" s="462"/>
      <c r="F729" s="654"/>
      <c r="G729" s="650"/>
      <c r="H729" s="654"/>
      <c r="I729" s="654"/>
      <c r="J729" s="650"/>
      <c r="K729" s="650"/>
      <c r="L729" s="655"/>
      <c r="M729" s="655"/>
      <c r="N729" s="655"/>
      <c r="O729" s="655"/>
      <c r="P729" s="655"/>
      <c r="Q729" s="655"/>
      <c r="R729" s="655"/>
      <c r="S729" s="655"/>
      <c r="T729" s="655"/>
      <c r="U729" s="655"/>
      <c r="V729" s="655"/>
      <c r="W729" s="655"/>
      <c r="X729" s="655"/>
      <c r="Y729" s="655"/>
      <c r="Z729" s="655"/>
      <c r="AA729" s="655"/>
    </row>
    <row r="730">
      <c r="B730" s="462"/>
      <c r="C730" s="671"/>
      <c r="D730" s="671"/>
      <c r="E730" s="462"/>
      <c r="F730" s="654"/>
      <c r="G730" s="650"/>
      <c r="H730" s="654"/>
      <c r="I730" s="654"/>
      <c r="J730" s="650"/>
      <c r="K730" s="650"/>
      <c r="L730" s="655"/>
      <c r="M730" s="655"/>
      <c r="N730" s="655"/>
      <c r="O730" s="655"/>
      <c r="P730" s="655"/>
      <c r="Q730" s="655"/>
      <c r="R730" s="655"/>
      <c r="S730" s="655"/>
      <c r="T730" s="655"/>
      <c r="U730" s="655"/>
      <c r="V730" s="655"/>
      <c r="W730" s="655"/>
      <c r="X730" s="655"/>
      <c r="Y730" s="655"/>
      <c r="Z730" s="655"/>
      <c r="AA730" s="655"/>
    </row>
    <row r="731">
      <c r="B731" s="462"/>
      <c r="C731" s="671"/>
      <c r="D731" s="671"/>
      <c r="E731" s="462"/>
      <c r="F731" s="654"/>
      <c r="G731" s="650"/>
      <c r="H731" s="654"/>
      <c r="I731" s="654"/>
      <c r="J731" s="650"/>
      <c r="K731" s="650"/>
      <c r="L731" s="655"/>
      <c r="M731" s="655"/>
      <c r="N731" s="655"/>
      <c r="O731" s="655"/>
      <c r="P731" s="655"/>
      <c r="Q731" s="655"/>
      <c r="R731" s="655"/>
      <c r="S731" s="655"/>
      <c r="T731" s="655"/>
      <c r="U731" s="655"/>
      <c r="V731" s="655"/>
      <c r="W731" s="655"/>
      <c r="X731" s="655"/>
      <c r="Y731" s="655"/>
      <c r="Z731" s="655"/>
      <c r="AA731" s="655"/>
    </row>
    <row r="732">
      <c r="B732" s="462"/>
      <c r="C732" s="671"/>
      <c r="D732" s="671"/>
      <c r="E732" s="462"/>
      <c r="F732" s="654"/>
      <c r="G732" s="650"/>
      <c r="H732" s="654"/>
      <c r="I732" s="654"/>
      <c r="J732" s="650"/>
      <c r="K732" s="650"/>
      <c r="L732" s="655"/>
      <c r="M732" s="655"/>
      <c r="N732" s="655"/>
      <c r="O732" s="655"/>
      <c r="P732" s="655"/>
      <c r="Q732" s="655"/>
      <c r="R732" s="655"/>
      <c r="S732" s="655"/>
      <c r="T732" s="655"/>
      <c r="U732" s="655"/>
      <c r="V732" s="655"/>
      <c r="W732" s="655"/>
      <c r="X732" s="655"/>
      <c r="Y732" s="655"/>
      <c r="Z732" s="655"/>
      <c r="AA732" s="655"/>
    </row>
    <row r="733">
      <c r="B733" s="462"/>
      <c r="C733" s="671"/>
      <c r="D733" s="671"/>
      <c r="E733" s="462"/>
      <c r="F733" s="654"/>
      <c r="G733" s="650"/>
      <c r="H733" s="654"/>
      <c r="I733" s="654"/>
      <c r="J733" s="650"/>
      <c r="K733" s="650"/>
      <c r="L733" s="655"/>
      <c r="M733" s="655"/>
      <c r="N733" s="655"/>
      <c r="O733" s="655"/>
      <c r="P733" s="655"/>
      <c r="Q733" s="655"/>
      <c r="R733" s="655"/>
      <c r="S733" s="655"/>
      <c r="T733" s="655"/>
      <c r="U733" s="655"/>
      <c r="V733" s="655"/>
      <c r="W733" s="655"/>
      <c r="X733" s="655"/>
      <c r="Y733" s="655"/>
      <c r="Z733" s="655"/>
      <c r="AA733" s="655"/>
    </row>
    <row r="734">
      <c r="B734" s="462"/>
      <c r="C734" s="671"/>
      <c r="D734" s="671"/>
      <c r="E734" s="462"/>
      <c r="F734" s="654"/>
      <c r="G734" s="650"/>
      <c r="H734" s="654"/>
      <c r="I734" s="654"/>
      <c r="J734" s="650"/>
      <c r="K734" s="650"/>
      <c r="L734" s="655"/>
      <c r="M734" s="655"/>
      <c r="N734" s="655"/>
      <c r="O734" s="655"/>
      <c r="P734" s="655"/>
      <c r="Q734" s="655"/>
      <c r="R734" s="655"/>
      <c r="S734" s="655"/>
      <c r="T734" s="655"/>
      <c r="U734" s="655"/>
      <c r="V734" s="655"/>
      <c r="W734" s="655"/>
      <c r="X734" s="655"/>
      <c r="Y734" s="655"/>
      <c r="Z734" s="655"/>
      <c r="AA734" s="655"/>
    </row>
    <row r="735">
      <c r="B735" s="462"/>
      <c r="C735" s="671"/>
      <c r="D735" s="671"/>
      <c r="E735" s="462"/>
      <c r="F735" s="654"/>
      <c r="G735" s="650"/>
      <c r="H735" s="654"/>
      <c r="I735" s="654"/>
      <c r="J735" s="650"/>
      <c r="K735" s="650"/>
      <c r="L735" s="655"/>
      <c r="M735" s="655"/>
      <c r="N735" s="655"/>
      <c r="O735" s="655"/>
      <c r="P735" s="655"/>
      <c r="Q735" s="655"/>
      <c r="R735" s="655"/>
      <c r="S735" s="655"/>
      <c r="T735" s="655"/>
      <c r="U735" s="655"/>
      <c r="V735" s="655"/>
      <c r="W735" s="655"/>
      <c r="X735" s="655"/>
      <c r="Y735" s="655"/>
      <c r="Z735" s="655"/>
      <c r="AA735" s="655"/>
    </row>
    <row r="736">
      <c r="B736" s="462"/>
      <c r="C736" s="671"/>
      <c r="D736" s="671"/>
      <c r="E736" s="462"/>
      <c r="F736" s="654"/>
      <c r="G736" s="650"/>
      <c r="H736" s="654"/>
      <c r="I736" s="654"/>
      <c r="J736" s="650"/>
      <c r="K736" s="650"/>
      <c r="L736" s="655"/>
      <c r="M736" s="655"/>
      <c r="N736" s="655"/>
      <c r="O736" s="655"/>
      <c r="P736" s="655"/>
      <c r="Q736" s="655"/>
      <c r="R736" s="655"/>
      <c r="S736" s="655"/>
      <c r="T736" s="655"/>
      <c r="U736" s="655"/>
      <c r="V736" s="655"/>
      <c r="W736" s="655"/>
      <c r="X736" s="655"/>
      <c r="Y736" s="655"/>
      <c r="Z736" s="655"/>
      <c r="AA736" s="655"/>
    </row>
    <row r="737">
      <c r="B737" s="462"/>
      <c r="C737" s="671"/>
      <c r="D737" s="671"/>
      <c r="E737" s="462"/>
      <c r="F737" s="654"/>
      <c r="G737" s="650"/>
      <c r="H737" s="654"/>
      <c r="I737" s="654"/>
      <c r="J737" s="650"/>
      <c r="K737" s="650"/>
      <c r="L737" s="655"/>
      <c r="M737" s="655"/>
      <c r="N737" s="655"/>
      <c r="O737" s="655"/>
      <c r="P737" s="655"/>
      <c r="Q737" s="655"/>
      <c r="R737" s="655"/>
      <c r="S737" s="655"/>
      <c r="T737" s="655"/>
      <c r="U737" s="655"/>
      <c r="V737" s="655"/>
      <c r="W737" s="655"/>
      <c r="X737" s="655"/>
      <c r="Y737" s="655"/>
      <c r="Z737" s="655"/>
      <c r="AA737" s="655"/>
    </row>
    <row r="738">
      <c r="B738" s="462"/>
      <c r="C738" s="671"/>
      <c r="D738" s="671"/>
      <c r="E738" s="462"/>
      <c r="F738" s="654"/>
      <c r="G738" s="650"/>
      <c r="H738" s="654"/>
      <c r="I738" s="654"/>
      <c r="J738" s="650"/>
      <c r="K738" s="650"/>
      <c r="L738" s="655"/>
      <c r="M738" s="655"/>
      <c r="N738" s="655"/>
      <c r="O738" s="655"/>
      <c r="P738" s="655"/>
      <c r="Q738" s="655"/>
      <c r="R738" s="655"/>
      <c r="S738" s="655"/>
      <c r="T738" s="655"/>
      <c r="U738" s="655"/>
      <c r="V738" s="655"/>
      <c r="W738" s="655"/>
      <c r="X738" s="655"/>
      <c r="Y738" s="655"/>
      <c r="Z738" s="655"/>
      <c r="AA738" s="655"/>
    </row>
    <row r="739">
      <c r="B739" s="462"/>
      <c r="C739" s="671"/>
      <c r="D739" s="671"/>
      <c r="E739" s="462"/>
      <c r="F739" s="654"/>
      <c r="G739" s="650"/>
      <c r="H739" s="654"/>
      <c r="I739" s="654"/>
      <c r="J739" s="650"/>
      <c r="K739" s="650"/>
      <c r="L739" s="655"/>
      <c r="M739" s="655"/>
      <c r="N739" s="655"/>
      <c r="O739" s="655"/>
      <c r="P739" s="655"/>
      <c r="Q739" s="655"/>
      <c r="R739" s="655"/>
      <c r="S739" s="655"/>
      <c r="T739" s="655"/>
      <c r="U739" s="655"/>
      <c r="V739" s="655"/>
      <c r="W739" s="655"/>
      <c r="X739" s="655"/>
      <c r="Y739" s="655"/>
      <c r="Z739" s="655"/>
      <c r="AA739" s="655"/>
    </row>
    <row r="740">
      <c r="B740" s="462"/>
      <c r="C740" s="671"/>
      <c r="D740" s="671"/>
      <c r="E740" s="462"/>
      <c r="F740" s="654"/>
      <c r="G740" s="650"/>
      <c r="H740" s="654"/>
      <c r="I740" s="654"/>
      <c r="J740" s="650"/>
      <c r="K740" s="650"/>
      <c r="L740" s="655"/>
      <c r="M740" s="655"/>
      <c r="N740" s="655"/>
      <c r="O740" s="655"/>
      <c r="P740" s="655"/>
      <c r="Q740" s="655"/>
      <c r="R740" s="655"/>
      <c r="S740" s="655"/>
      <c r="T740" s="655"/>
      <c r="U740" s="655"/>
      <c r="V740" s="655"/>
      <c r="W740" s="655"/>
      <c r="X740" s="655"/>
      <c r="Y740" s="655"/>
      <c r="Z740" s="655"/>
      <c r="AA740" s="655"/>
    </row>
    <row r="741">
      <c r="B741" s="462"/>
      <c r="C741" s="671"/>
      <c r="D741" s="671"/>
      <c r="E741" s="462"/>
      <c r="F741" s="654"/>
      <c r="G741" s="650"/>
      <c r="H741" s="654"/>
      <c r="I741" s="654"/>
      <c r="J741" s="650"/>
      <c r="K741" s="650"/>
      <c r="L741" s="655"/>
      <c r="M741" s="655"/>
      <c r="N741" s="655"/>
      <c r="O741" s="655"/>
      <c r="P741" s="655"/>
      <c r="Q741" s="655"/>
      <c r="R741" s="655"/>
      <c r="S741" s="655"/>
      <c r="T741" s="655"/>
      <c r="U741" s="655"/>
      <c r="V741" s="655"/>
      <c r="W741" s="655"/>
      <c r="X741" s="655"/>
      <c r="Y741" s="655"/>
      <c r="Z741" s="655"/>
      <c r="AA741" s="655"/>
    </row>
    <row r="742">
      <c r="B742" s="462"/>
      <c r="C742" s="671"/>
      <c r="D742" s="671"/>
      <c r="E742" s="462"/>
      <c r="F742" s="654"/>
      <c r="G742" s="650"/>
      <c r="H742" s="654"/>
      <c r="I742" s="654"/>
      <c r="J742" s="650"/>
      <c r="K742" s="650"/>
      <c r="L742" s="655"/>
      <c r="M742" s="655"/>
      <c r="N742" s="655"/>
      <c r="O742" s="655"/>
      <c r="P742" s="655"/>
      <c r="Q742" s="655"/>
      <c r="R742" s="655"/>
      <c r="S742" s="655"/>
      <c r="T742" s="655"/>
      <c r="U742" s="655"/>
      <c r="V742" s="655"/>
      <c r="W742" s="655"/>
      <c r="X742" s="655"/>
      <c r="Y742" s="655"/>
      <c r="Z742" s="655"/>
      <c r="AA742" s="655"/>
    </row>
    <row r="743">
      <c r="B743" s="462"/>
      <c r="C743" s="671"/>
      <c r="D743" s="671"/>
      <c r="E743" s="462"/>
      <c r="F743" s="654"/>
      <c r="G743" s="650"/>
      <c r="H743" s="654"/>
      <c r="I743" s="654"/>
      <c r="J743" s="650"/>
      <c r="K743" s="650"/>
      <c r="L743" s="655"/>
      <c r="M743" s="655"/>
      <c r="N743" s="655"/>
      <c r="O743" s="655"/>
      <c r="P743" s="655"/>
      <c r="Q743" s="655"/>
      <c r="R743" s="655"/>
      <c r="S743" s="655"/>
      <c r="T743" s="655"/>
      <c r="U743" s="655"/>
      <c r="V743" s="655"/>
      <c r="W743" s="655"/>
      <c r="X743" s="655"/>
      <c r="Y743" s="655"/>
      <c r="Z743" s="655"/>
      <c r="AA743" s="655"/>
    </row>
    <row r="744">
      <c r="B744" s="462"/>
      <c r="C744" s="671"/>
      <c r="D744" s="671"/>
      <c r="E744" s="462"/>
      <c r="F744" s="654"/>
      <c r="G744" s="650"/>
      <c r="H744" s="654"/>
      <c r="I744" s="654"/>
      <c r="J744" s="650"/>
      <c r="K744" s="650"/>
      <c r="L744" s="655"/>
      <c r="M744" s="655"/>
      <c r="N744" s="655"/>
      <c r="O744" s="655"/>
      <c r="P744" s="655"/>
      <c r="Q744" s="655"/>
      <c r="R744" s="655"/>
      <c r="S744" s="655"/>
      <c r="T744" s="655"/>
      <c r="U744" s="655"/>
      <c r="V744" s="655"/>
      <c r="W744" s="655"/>
      <c r="X744" s="655"/>
      <c r="Y744" s="655"/>
      <c r="Z744" s="655"/>
      <c r="AA744" s="655"/>
    </row>
    <row r="745">
      <c r="B745" s="462"/>
      <c r="C745" s="671"/>
      <c r="D745" s="671"/>
      <c r="E745" s="462"/>
      <c r="F745" s="654"/>
      <c r="G745" s="650"/>
      <c r="H745" s="654"/>
      <c r="I745" s="654"/>
      <c r="J745" s="650"/>
      <c r="K745" s="650"/>
      <c r="L745" s="655"/>
      <c r="M745" s="655"/>
      <c r="N745" s="655"/>
      <c r="O745" s="655"/>
      <c r="P745" s="655"/>
      <c r="Q745" s="655"/>
      <c r="R745" s="655"/>
      <c r="S745" s="655"/>
      <c r="T745" s="655"/>
      <c r="U745" s="655"/>
      <c r="V745" s="655"/>
      <c r="W745" s="655"/>
      <c r="X745" s="655"/>
      <c r="Y745" s="655"/>
      <c r="Z745" s="655"/>
      <c r="AA745" s="655"/>
    </row>
    <row r="746">
      <c r="B746" s="462"/>
      <c r="C746" s="671"/>
      <c r="D746" s="671"/>
      <c r="E746" s="462"/>
      <c r="F746" s="654"/>
      <c r="G746" s="650"/>
      <c r="H746" s="654"/>
      <c r="I746" s="654"/>
      <c r="J746" s="650"/>
      <c r="K746" s="650"/>
      <c r="L746" s="655"/>
      <c r="M746" s="655"/>
      <c r="N746" s="655"/>
      <c r="O746" s="655"/>
      <c r="P746" s="655"/>
      <c r="Q746" s="655"/>
      <c r="R746" s="655"/>
      <c r="S746" s="655"/>
      <c r="T746" s="655"/>
      <c r="U746" s="655"/>
      <c r="V746" s="655"/>
      <c r="W746" s="655"/>
      <c r="X746" s="655"/>
      <c r="Y746" s="655"/>
      <c r="Z746" s="655"/>
      <c r="AA746" s="655"/>
    </row>
    <row r="747">
      <c r="B747" s="462"/>
      <c r="C747" s="671"/>
      <c r="D747" s="671"/>
      <c r="E747" s="462"/>
      <c r="F747" s="654"/>
      <c r="G747" s="650"/>
      <c r="H747" s="654"/>
      <c r="I747" s="654"/>
      <c r="J747" s="650"/>
      <c r="K747" s="650"/>
      <c r="L747" s="655"/>
      <c r="M747" s="655"/>
      <c r="N747" s="655"/>
      <c r="O747" s="655"/>
      <c r="P747" s="655"/>
      <c r="Q747" s="655"/>
      <c r="R747" s="655"/>
      <c r="S747" s="655"/>
      <c r="T747" s="655"/>
      <c r="U747" s="655"/>
      <c r="V747" s="655"/>
      <c r="W747" s="655"/>
      <c r="X747" s="655"/>
      <c r="Y747" s="655"/>
      <c r="Z747" s="655"/>
      <c r="AA747" s="655"/>
    </row>
    <row r="748">
      <c r="B748" s="462"/>
      <c r="C748" s="671"/>
      <c r="D748" s="671"/>
      <c r="E748" s="462"/>
      <c r="F748" s="654"/>
      <c r="G748" s="650"/>
      <c r="H748" s="654"/>
      <c r="I748" s="654"/>
      <c r="J748" s="650"/>
      <c r="K748" s="650"/>
      <c r="L748" s="655"/>
      <c r="M748" s="655"/>
      <c r="N748" s="655"/>
      <c r="O748" s="655"/>
      <c r="P748" s="655"/>
      <c r="Q748" s="655"/>
      <c r="R748" s="655"/>
      <c r="S748" s="655"/>
      <c r="T748" s="655"/>
      <c r="U748" s="655"/>
      <c r="V748" s="655"/>
      <c r="W748" s="655"/>
      <c r="X748" s="655"/>
      <c r="Y748" s="655"/>
      <c r="Z748" s="655"/>
      <c r="AA748" s="655"/>
    </row>
    <row r="749">
      <c r="B749" s="462"/>
      <c r="C749" s="671"/>
      <c r="D749" s="671"/>
      <c r="E749" s="462"/>
      <c r="F749" s="654"/>
      <c r="G749" s="650"/>
      <c r="H749" s="654"/>
      <c r="I749" s="654"/>
      <c r="J749" s="650"/>
      <c r="K749" s="650"/>
      <c r="L749" s="655"/>
      <c r="M749" s="655"/>
      <c r="N749" s="655"/>
      <c r="O749" s="655"/>
      <c r="P749" s="655"/>
      <c r="Q749" s="655"/>
      <c r="R749" s="655"/>
      <c r="S749" s="655"/>
      <c r="T749" s="655"/>
      <c r="U749" s="655"/>
      <c r="V749" s="655"/>
      <c r="W749" s="655"/>
      <c r="X749" s="655"/>
      <c r="Y749" s="655"/>
      <c r="Z749" s="655"/>
      <c r="AA749" s="655"/>
    </row>
    <row r="750">
      <c r="B750" s="462"/>
      <c r="C750" s="671"/>
      <c r="D750" s="671"/>
      <c r="E750" s="462"/>
      <c r="F750" s="654"/>
      <c r="G750" s="650"/>
      <c r="H750" s="654"/>
      <c r="I750" s="654"/>
      <c r="J750" s="650"/>
      <c r="K750" s="650"/>
      <c r="L750" s="655"/>
      <c r="M750" s="655"/>
      <c r="N750" s="655"/>
      <c r="O750" s="655"/>
      <c r="P750" s="655"/>
      <c r="Q750" s="655"/>
      <c r="R750" s="655"/>
      <c r="S750" s="655"/>
      <c r="T750" s="655"/>
      <c r="U750" s="655"/>
      <c r="V750" s="655"/>
      <c r="W750" s="655"/>
      <c r="X750" s="655"/>
      <c r="Y750" s="655"/>
      <c r="Z750" s="655"/>
      <c r="AA750" s="655"/>
    </row>
    <row r="751">
      <c r="B751" s="462"/>
      <c r="C751" s="671"/>
      <c r="D751" s="671"/>
      <c r="E751" s="462"/>
      <c r="F751" s="654"/>
      <c r="G751" s="650"/>
      <c r="H751" s="654"/>
      <c r="I751" s="654"/>
      <c r="J751" s="650"/>
      <c r="K751" s="650"/>
      <c r="L751" s="655"/>
      <c r="M751" s="655"/>
      <c r="N751" s="655"/>
      <c r="O751" s="655"/>
      <c r="P751" s="655"/>
      <c r="Q751" s="655"/>
      <c r="R751" s="655"/>
      <c r="S751" s="655"/>
      <c r="T751" s="655"/>
      <c r="U751" s="655"/>
      <c r="V751" s="655"/>
      <c r="W751" s="655"/>
      <c r="X751" s="655"/>
      <c r="Y751" s="655"/>
      <c r="Z751" s="655"/>
      <c r="AA751" s="655"/>
    </row>
    <row r="752">
      <c r="B752" s="462"/>
      <c r="C752" s="671"/>
      <c r="D752" s="671"/>
      <c r="E752" s="462"/>
      <c r="F752" s="654"/>
      <c r="G752" s="650"/>
      <c r="H752" s="654"/>
      <c r="I752" s="654"/>
      <c r="J752" s="650"/>
      <c r="K752" s="650"/>
      <c r="L752" s="655"/>
      <c r="M752" s="655"/>
      <c r="N752" s="655"/>
      <c r="O752" s="655"/>
      <c r="P752" s="655"/>
      <c r="Q752" s="655"/>
      <c r="R752" s="655"/>
      <c r="S752" s="655"/>
      <c r="T752" s="655"/>
      <c r="U752" s="655"/>
      <c r="V752" s="655"/>
      <c r="W752" s="655"/>
      <c r="X752" s="655"/>
      <c r="Y752" s="655"/>
      <c r="Z752" s="655"/>
      <c r="AA752" s="655"/>
    </row>
    <row r="753">
      <c r="B753" s="462"/>
      <c r="C753" s="671"/>
      <c r="D753" s="671"/>
      <c r="E753" s="462"/>
      <c r="F753" s="654"/>
      <c r="G753" s="650"/>
      <c r="H753" s="654"/>
      <c r="I753" s="654"/>
      <c r="J753" s="650"/>
      <c r="K753" s="650"/>
      <c r="L753" s="655"/>
      <c r="M753" s="655"/>
      <c r="N753" s="655"/>
      <c r="O753" s="655"/>
      <c r="P753" s="655"/>
      <c r="Q753" s="655"/>
      <c r="R753" s="655"/>
      <c r="S753" s="655"/>
      <c r="T753" s="655"/>
      <c r="U753" s="655"/>
      <c r="V753" s="655"/>
      <c r="W753" s="655"/>
      <c r="X753" s="655"/>
      <c r="Y753" s="655"/>
      <c r="Z753" s="655"/>
      <c r="AA753" s="655"/>
    </row>
    <row r="754">
      <c r="B754" s="462"/>
      <c r="C754" s="671"/>
      <c r="D754" s="671"/>
      <c r="E754" s="462"/>
      <c r="F754" s="654"/>
      <c r="G754" s="650"/>
      <c r="H754" s="654"/>
      <c r="I754" s="654"/>
      <c r="J754" s="650"/>
      <c r="K754" s="650"/>
      <c r="L754" s="655"/>
      <c r="M754" s="655"/>
      <c r="N754" s="655"/>
      <c r="O754" s="655"/>
      <c r="P754" s="655"/>
      <c r="Q754" s="655"/>
      <c r="R754" s="655"/>
      <c r="S754" s="655"/>
      <c r="T754" s="655"/>
      <c r="U754" s="655"/>
      <c r="V754" s="655"/>
      <c r="W754" s="655"/>
      <c r="X754" s="655"/>
      <c r="Y754" s="655"/>
      <c r="Z754" s="655"/>
      <c r="AA754" s="655"/>
    </row>
    <row r="755">
      <c r="B755" s="462"/>
      <c r="C755" s="671"/>
      <c r="D755" s="671"/>
      <c r="E755" s="462"/>
      <c r="F755" s="654"/>
      <c r="G755" s="650"/>
      <c r="H755" s="654"/>
      <c r="I755" s="654"/>
      <c r="J755" s="650"/>
      <c r="K755" s="650"/>
      <c r="L755" s="655"/>
      <c r="M755" s="655"/>
      <c r="N755" s="655"/>
      <c r="O755" s="655"/>
      <c r="P755" s="655"/>
      <c r="Q755" s="655"/>
      <c r="R755" s="655"/>
      <c r="S755" s="655"/>
      <c r="T755" s="655"/>
      <c r="U755" s="655"/>
      <c r="V755" s="655"/>
      <c r="W755" s="655"/>
      <c r="X755" s="655"/>
      <c r="Y755" s="655"/>
      <c r="Z755" s="655"/>
      <c r="AA755" s="655"/>
    </row>
    <row r="756">
      <c r="B756" s="462"/>
      <c r="C756" s="671"/>
      <c r="D756" s="671"/>
      <c r="E756" s="462"/>
      <c r="F756" s="654"/>
      <c r="G756" s="650"/>
      <c r="H756" s="654"/>
      <c r="I756" s="654"/>
      <c r="J756" s="650"/>
      <c r="K756" s="650"/>
      <c r="L756" s="655"/>
      <c r="M756" s="655"/>
      <c r="N756" s="655"/>
      <c r="O756" s="655"/>
      <c r="P756" s="655"/>
      <c r="Q756" s="655"/>
      <c r="R756" s="655"/>
      <c r="S756" s="655"/>
      <c r="T756" s="655"/>
      <c r="U756" s="655"/>
      <c r="V756" s="655"/>
      <c r="W756" s="655"/>
      <c r="X756" s="655"/>
      <c r="Y756" s="655"/>
      <c r="Z756" s="655"/>
      <c r="AA756" s="655"/>
    </row>
    <row r="757">
      <c r="B757" s="462"/>
      <c r="C757" s="671"/>
      <c r="D757" s="671"/>
      <c r="E757" s="462"/>
      <c r="F757" s="654"/>
      <c r="G757" s="650"/>
      <c r="H757" s="654"/>
      <c r="I757" s="654"/>
      <c r="J757" s="650"/>
      <c r="K757" s="650"/>
      <c r="L757" s="655"/>
      <c r="M757" s="655"/>
      <c r="N757" s="655"/>
      <c r="O757" s="655"/>
      <c r="P757" s="655"/>
      <c r="Q757" s="655"/>
      <c r="R757" s="655"/>
      <c r="S757" s="655"/>
      <c r="T757" s="655"/>
      <c r="U757" s="655"/>
      <c r="V757" s="655"/>
      <c r="W757" s="655"/>
      <c r="X757" s="655"/>
      <c r="Y757" s="655"/>
      <c r="Z757" s="655"/>
      <c r="AA757" s="655"/>
    </row>
    <row r="758">
      <c r="B758" s="462"/>
      <c r="C758" s="671"/>
      <c r="D758" s="671"/>
      <c r="E758" s="462"/>
      <c r="F758" s="654"/>
      <c r="G758" s="650"/>
      <c r="H758" s="654"/>
      <c r="I758" s="654"/>
      <c r="J758" s="650"/>
      <c r="K758" s="650"/>
      <c r="L758" s="655"/>
      <c r="M758" s="655"/>
      <c r="N758" s="655"/>
      <c r="O758" s="655"/>
      <c r="P758" s="655"/>
      <c r="Q758" s="655"/>
      <c r="R758" s="655"/>
      <c r="S758" s="655"/>
      <c r="T758" s="655"/>
      <c r="U758" s="655"/>
      <c r="V758" s="655"/>
      <c r="W758" s="655"/>
      <c r="X758" s="655"/>
      <c r="Y758" s="655"/>
      <c r="Z758" s="655"/>
      <c r="AA758" s="655"/>
    </row>
    <row r="759">
      <c r="B759" s="462"/>
      <c r="C759" s="671"/>
      <c r="D759" s="671"/>
      <c r="E759" s="462"/>
      <c r="F759" s="654"/>
      <c r="G759" s="650"/>
      <c r="H759" s="654"/>
      <c r="I759" s="654"/>
      <c r="J759" s="650"/>
      <c r="K759" s="650"/>
      <c r="L759" s="655"/>
      <c r="M759" s="655"/>
      <c r="N759" s="655"/>
      <c r="O759" s="655"/>
      <c r="P759" s="655"/>
      <c r="Q759" s="655"/>
      <c r="R759" s="655"/>
      <c r="S759" s="655"/>
      <c r="T759" s="655"/>
      <c r="U759" s="655"/>
      <c r="V759" s="655"/>
      <c r="W759" s="655"/>
      <c r="X759" s="655"/>
      <c r="Y759" s="655"/>
      <c r="Z759" s="655"/>
      <c r="AA759" s="655"/>
    </row>
    <row r="760">
      <c r="B760" s="462"/>
      <c r="C760" s="671"/>
      <c r="D760" s="671"/>
      <c r="E760" s="462"/>
      <c r="F760" s="654"/>
      <c r="G760" s="650"/>
      <c r="H760" s="654"/>
      <c r="I760" s="654"/>
      <c r="J760" s="650"/>
      <c r="K760" s="650"/>
      <c r="L760" s="655"/>
      <c r="M760" s="655"/>
      <c r="N760" s="655"/>
      <c r="O760" s="655"/>
      <c r="P760" s="655"/>
      <c r="Q760" s="655"/>
      <c r="R760" s="655"/>
      <c r="S760" s="655"/>
      <c r="T760" s="655"/>
      <c r="U760" s="655"/>
      <c r="V760" s="655"/>
      <c r="W760" s="655"/>
      <c r="X760" s="655"/>
      <c r="Y760" s="655"/>
      <c r="Z760" s="655"/>
      <c r="AA760" s="655"/>
    </row>
    <row r="761">
      <c r="B761" s="462"/>
      <c r="C761" s="671"/>
      <c r="D761" s="671"/>
      <c r="E761" s="462"/>
      <c r="F761" s="654"/>
      <c r="G761" s="650"/>
      <c r="H761" s="654"/>
      <c r="I761" s="654"/>
      <c r="J761" s="650"/>
      <c r="K761" s="650"/>
      <c r="L761" s="655"/>
      <c r="M761" s="655"/>
      <c r="N761" s="655"/>
      <c r="O761" s="655"/>
      <c r="P761" s="655"/>
      <c r="Q761" s="655"/>
      <c r="R761" s="655"/>
      <c r="S761" s="655"/>
      <c r="T761" s="655"/>
      <c r="U761" s="655"/>
      <c r="V761" s="655"/>
      <c r="W761" s="655"/>
      <c r="X761" s="655"/>
      <c r="Y761" s="655"/>
      <c r="Z761" s="655"/>
      <c r="AA761" s="655"/>
    </row>
    <row r="762">
      <c r="B762" s="462"/>
      <c r="C762" s="671"/>
      <c r="D762" s="671"/>
      <c r="E762" s="462"/>
      <c r="F762" s="654"/>
      <c r="G762" s="650"/>
      <c r="H762" s="654"/>
      <c r="I762" s="654"/>
      <c r="J762" s="650"/>
      <c r="K762" s="650"/>
      <c r="L762" s="655"/>
      <c r="M762" s="655"/>
      <c r="N762" s="655"/>
      <c r="O762" s="655"/>
      <c r="P762" s="655"/>
      <c r="Q762" s="655"/>
      <c r="R762" s="655"/>
      <c r="S762" s="655"/>
      <c r="T762" s="655"/>
      <c r="U762" s="655"/>
      <c r="V762" s="655"/>
      <c r="W762" s="655"/>
      <c r="X762" s="655"/>
      <c r="Y762" s="655"/>
      <c r="Z762" s="655"/>
      <c r="AA762" s="655"/>
    </row>
    <row r="763">
      <c r="B763" s="462"/>
      <c r="C763" s="671"/>
      <c r="D763" s="671"/>
      <c r="E763" s="462"/>
      <c r="F763" s="654"/>
      <c r="G763" s="650"/>
      <c r="H763" s="654"/>
      <c r="I763" s="654"/>
      <c r="J763" s="650"/>
      <c r="K763" s="650"/>
      <c r="L763" s="655"/>
      <c r="M763" s="655"/>
      <c r="N763" s="655"/>
      <c r="O763" s="655"/>
      <c r="P763" s="655"/>
      <c r="Q763" s="655"/>
      <c r="R763" s="655"/>
      <c r="S763" s="655"/>
      <c r="T763" s="655"/>
      <c r="U763" s="655"/>
      <c r="V763" s="655"/>
      <c r="W763" s="655"/>
      <c r="X763" s="655"/>
      <c r="Y763" s="655"/>
      <c r="Z763" s="655"/>
      <c r="AA763" s="655"/>
    </row>
    <row r="764">
      <c r="B764" s="462"/>
      <c r="C764" s="671"/>
      <c r="D764" s="671"/>
      <c r="E764" s="462"/>
      <c r="F764" s="654"/>
      <c r="G764" s="650"/>
      <c r="H764" s="654"/>
      <c r="I764" s="654"/>
      <c r="J764" s="650"/>
      <c r="K764" s="650"/>
      <c r="L764" s="655"/>
      <c r="M764" s="655"/>
      <c r="N764" s="655"/>
      <c r="O764" s="655"/>
      <c r="P764" s="655"/>
      <c r="Q764" s="655"/>
      <c r="R764" s="655"/>
      <c r="S764" s="655"/>
      <c r="T764" s="655"/>
      <c r="U764" s="655"/>
      <c r="V764" s="655"/>
      <c r="W764" s="655"/>
      <c r="X764" s="655"/>
      <c r="Y764" s="655"/>
      <c r="Z764" s="655"/>
      <c r="AA764" s="655"/>
    </row>
    <row r="765">
      <c r="B765" s="462"/>
      <c r="C765" s="671"/>
      <c r="D765" s="671"/>
      <c r="E765" s="462"/>
      <c r="F765" s="654"/>
      <c r="G765" s="650"/>
      <c r="H765" s="654"/>
      <c r="I765" s="654"/>
      <c r="J765" s="650"/>
      <c r="K765" s="650"/>
      <c r="L765" s="655"/>
      <c r="M765" s="655"/>
      <c r="N765" s="655"/>
      <c r="O765" s="655"/>
      <c r="P765" s="655"/>
      <c r="Q765" s="655"/>
      <c r="R765" s="655"/>
      <c r="S765" s="655"/>
      <c r="T765" s="655"/>
      <c r="U765" s="655"/>
      <c r="V765" s="655"/>
      <c r="W765" s="655"/>
      <c r="X765" s="655"/>
      <c r="Y765" s="655"/>
      <c r="Z765" s="655"/>
      <c r="AA765" s="655"/>
    </row>
    <row r="766">
      <c r="B766" s="462"/>
      <c r="C766" s="671"/>
      <c r="D766" s="671"/>
      <c r="E766" s="462"/>
      <c r="F766" s="654"/>
      <c r="G766" s="650"/>
      <c r="H766" s="654"/>
      <c r="I766" s="654"/>
      <c r="J766" s="650"/>
      <c r="K766" s="650"/>
      <c r="L766" s="655"/>
      <c r="M766" s="655"/>
      <c r="N766" s="655"/>
      <c r="O766" s="655"/>
      <c r="P766" s="655"/>
      <c r="Q766" s="655"/>
      <c r="R766" s="655"/>
      <c r="S766" s="655"/>
      <c r="T766" s="655"/>
      <c r="U766" s="655"/>
      <c r="V766" s="655"/>
      <c r="W766" s="655"/>
      <c r="X766" s="655"/>
      <c r="Y766" s="655"/>
      <c r="Z766" s="655"/>
      <c r="AA766" s="655"/>
    </row>
    <row r="767">
      <c r="B767" s="462"/>
      <c r="C767" s="671"/>
      <c r="D767" s="671"/>
      <c r="E767" s="462"/>
      <c r="F767" s="654"/>
      <c r="G767" s="650"/>
      <c r="H767" s="654"/>
      <c r="I767" s="654"/>
      <c r="J767" s="650"/>
      <c r="K767" s="650"/>
      <c r="L767" s="655"/>
      <c r="M767" s="655"/>
      <c r="N767" s="655"/>
      <c r="O767" s="655"/>
      <c r="P767" s="655"/>
      <c r="Q767" s="655"/>
      <c r="R767" s="655"/>
      <c r="S767" s="655"/>
      <c r="T767" s="655"/>
      <c r="U767" s="655"/>
      <c r="V767" s="655"/>
      <c r="W767" s="655"/>
      <c r="X767" s="655"/>
      <c r="Y767" s="655"/>
      <c r="Z767" s="655"/>
      <c r="AA767" s="655"/>
    </row>
    <row r="768">
      <c r="B768" s="462"/>
      <c r="C768" s="671"/>
      <c r="D768" s="671"/>
      <c r="E768" s="462"/>
      <c r="F768" s="654"/>
      <c r="G768" s="650"/>
      <c r="H768" s="654"/>
      <c r="I768" s="654"/>
      <c r="J768" s="650"/>
      <c r="K768" s="650"/>
      <c r="L768" s="655"/>
      <c r="M768" s="655"/>
      <c r="N768" s="655"/>
      <c r="O768" s="655"/>
      <c r="P768" s="655"/>
      <c r="Q768" s="655"/>
      <c r="R768" s="655"/>
      <c r="S768" s="655"/>
      <c r="T768" s="655"/>
      <c r="U768" s="655"/>
      <c r="V768" s="655"/>
      <c r="W768" s="655"/>
      <c r="X768" s="655"/>
      <c r="Y768" s="655"/>
      <c r="Z768" s="655"/>
      <c r="AA768" s="655"/>
    </row>
    <row r="769">
      <c r="B769" s="462"/>
      <c r="C769" s="671"/>
      <c r="D769" s="671"/>
      <c r="E769" s="462"/>
      <c r="F769" s="654"/>
      <c r="G769" s="650"/>
      <c r="H769" s="654"/>
      <c r="I769" s="654"/>
      <c r="J769" s="650"/>
      <c r="K769" s="650"/>
      <c r="L769" s="655"/>
      <c r="M769" s="655"/>
      <c r="N769" s="655"/>
      <c r="O769" s="655"/>
      <c r="P769" s="655"/>
      <c r="Q769" s="655"/>
      <c r="R769" s="655"/>
      <c r="S769" s="655"/>
      <c r="T769" s="655"/>
      <c r="U769" s="655"/>
      <c r="V769" s="655"/>
      <c r="W769" s="655"/>
      <c r="X769" s="655"/>
      <c r="Y769" s="655"/>
      <c r="Z769" s="655"/>
      <c r="AA769" s="655"/>
    </row>
    <row r="770">
      <c r="B770" s="462"/>
      <c r="C770" s="671"/>
      <c r="D770" s="671"/>
      <c r="E770" s="462"/>
      <c r="F770" s="654"/>
      <c r="G770" s="650"/>
      <c r="H770" s="654"/>
      <c r="I770" s="654"/>
      <c r="J770" s="650"/>
      <c r="K770" s="650"/>
      <c r="L770" s="655"/>
      <c r="M770" s="655"/>
      <c r="N770" s="655"/>
      <c r="O770" s="655"/>
      <c r="P770" s="655"/>
      <c r="Q770" s="655"/>
      <c r="R770" s="655"/>
      <c r="S770" s="655"/>
      <c r="T770" s="655"/>
      <c r="U770" s="655"/>
      <c r="V770" s="655"/>
      <c r="W770" s="655"/>
      <c r="X770" s="655"/>
      <c r="Y770" s="655"/>
      <c r="Z770" s="655"/>
      <c r="AA770" s="655"/>
    </row>
    <row r="771">
      <c r="B771" s="462"/>
      <c r="C771" s="671"/>
      <c r="D771" s="671"/>
      <c r="E771" s="462"/>
      <c r="F771" s="654"/>
      <c r="G771" s="650"/>
      <c r="H771" s="654"/>
      <c r="I771" s="654"/>
      <c r="J771" s="650"/>
      <c r="K771" s="650"/>
      <c r="L771" s="655"/>
      <c r="M771" s="655"/>
      <c r="N771" s="655"/>
      <c r="O771" s="655"/>
      <c r="P771" s="655"/>
      <c r="Q771" s="655"/>
      <c r="R771" s="655"/>
      <c r="S771" s="655"/>
      <c r="T771" s="655"/>
      <c r="U771" s="655"/>
      <c r="V771" s="655"/>
      <c r="W771" s="655"/>
      <c r="X771" s="655"/>
      <c r="Y771" s="655"/>
      <c r="Z771" s="655"/>
      <c r="AA771" s="655"/>
    </row>
    <row r="772">
      <c r="B772" s="462"/>
      <c r="C772" s="671"/>
      <c r="D772" s="671"/>
      <c r="E772" s="462"/>
      <c r="F772" s="654"/>
      <c r="G772" s="650"/>
      <c r="H772" s="654"/>
      <c r="I772" s="654"/>
      <c r="J772" s="650"/>
      <c r="K772" s="650"/>
      <c r="L772" s="655"/>
      <c r="M772" s="655"/>
      <c r="N772" s="655"/>
      <c r="O772" s="655"/>
      <c r="P772" s="655"/>
      <c r="Q772" s="655"/>
      <c r="R772" s="655"/>
      <c r="S772" s="655"/>
      <c r="T772" s="655"/>
      <c r="U772" s="655"/>
      <c r="V772" s="655"/>
      <c r="W772" s="655"/>
      <c r="X772" s="655"/>
      <c r="Y772" s="655"/>
      <c r="Z772" s="655"/>
      <c r="AA772" s="655"/>
    </row>
    <row r="773">
      <c r="B773" s="462"/>
      <c r="C773" s="671"/>
      <c r="D773" s="671"/>
      <c r="E773" s="462"/>
      <c r="F773" s="654"/>
      <c r="G773" s="650"/>
      <c r="H773" s="654"/>
      <c r="I773" s="654"/>
      <c r="J773" s="650"/>
      <c r="K773" s="650"/>
      <c r="L773" s="655"/>
      <c r="M773" s="655"/>
      <c r="N773" s="655"/>
      <c r="O773" s="655"/>
      <c r="P773" s="655"/>
      <c r="Q773" s="655"/>
      <c r="R773" s="655"/>
      <c r="S773" s="655"/>
      <c r="T773" s="655"/>
      <c r="U773" s="655"/>
      <c r="V773" s="655"/>
      <c r="W773" s="655"/>
      <c r="X773" s="655"/>
      <c r="Y773" s="655"/>
      <c r="Z773" s="655"/>
      <c r="AA773" s="655"/>
    </row>
    <row r="774">
      <c r="B774" s="462"/>
      <c r="C774" s="671"/>
      <c r="D774" s="671"/>
      <c r="E774" s="462"/>
      <c r="F774" s="654"/>
      <c r="G774" s="650"/>
      <c r="H774" s="654"/>
      <c r="I774" s="654"/>
      <c r="J774" s="650"/>
      <c r="K774" s="650"/>
      <c r="L774" s="655"/>
      <c r="M774" s="655"/>
      <c r="N774" s="655"/>
      <c r="O774" s="655"/>
      <c r="P774" s="655"/>
      <c r="Q774" s="655"/>
      <c r="R774" s="655"/>
      <c r="S774" s="655"/>
      <c r="T774" s="655"/>
      <c r="U774" s="655"/>
      <c r="V774" s="655"/>
      <c r="W774" s="655"/>
      <c r="X774" s="655"/>
      <c r="Y774" s="655"/>
      <c r="Z774" s="655"/>
      <c r="AA774" s="655"/>
    </row>
    <row r="775">
      <c r="B775" s="462"/>
      <c r="C775" s="671"/>
      <c r="D775" s="671"/>
      <c r="E775" s="462"/>
      <c r="F775" s="654"/>
      <c r="G775" s="650"/>
      <c r="H775" s="654"/>
      <c r="I775" s="654"/>
      <c r="J775" s="650"/>
      <c r="K775" s="650"/>
      <c r="L775" s="655"/>
      <c r="M775" s="655"/>
      <c r="N775" s="655"/>
      <c r="O775" s="655"/>
      <c r="P775" s="655"/>
      <c r="Q775" s="655"/>
      <c r="R775" s="655"/>
      <c r="S775" s="655"/>
      <c r="T775" s="655"/>
      <c r="U775" s="655"/>
      <c r="V775" s="655"/>
      <c r="W775" s="655"/>
      <c r="X775" s="655"/>
      <c r="Y775" s="655"/>
      <c r="Z775" s="655"/>
      <c r="AA775" s="655"/>
    </row>
    <row r="776">
      <c r="B776" s="462"/>
      <c r="C776" s="671"/>
      <c r="D776" s="671"/>
      <c r="E776" s="462"/>
      <c r="F776" s="654"/>
      <c r="G776" s="650"/>
      <c r="H776" s="654"/>
      <c r="I776" s="654"/>
      <c r="J776" s="650"/>
      <c r="K776" s="650"/>
      <c r="L776" s="655"/>
      <c r="M776" s="655"/>
      <c r="N776" s="655"/>
      <c r="O776" s="655"/>
      <c r="P776" s="655"/>
      <c r="Q776" s="655"/>
      <c r="R776" s="655"/>
      <c r="S776" s="655"/>
      <c r="T776" s="655"/>
      <c r="U776" s="655"/>
      <c r="V776" s="655"/>
      <c r="W776" s="655"/>
      <c r="X776" s="655"/>
      <c r="Y776" s="655"/>
      <c r="Z776" s="655"/>
      <c r="AA776" s="655"/>
    </row>
    <row r="777">
      <c r="B777" s="462"/>
      <c r="C777" s="671"/>
      <c r="D777" s="671"/>
      <c r="E777" s="462"/>
      <c r="F777" s="654"/>
      <c r="G777" s="650"/>
      <c r="H777" s="654"/>
      <c r="I777" s="654"/>
      <c r="J777" s="650"/>
      <c r="K777" s="650"/>
      <c r="L777" s="655"/>
      <c r="M777" s="655"/>
      <c r="N777" s="655"/>
      <c r="O777" s="655"/>
      <c r="P777" s="655"/>
      <c r="Q777" s="655"/>
      <c r="R777" s="655"/>
      <c r="S777" s="655"/>
      <c r="T777" s="655"/>
      <c r="U777" s="655"/>
      <c r="V777" s="655"/>
      <c r="W777" s="655"/>
      <c r="X777" s="655"/>
      <c r="Y777" s="655"/>
      <c r="Z777" s="655"/>
      <c r="AA777" s="655"/>
    </row>
    <row r="778">
      <c r="B778" s="462"/>
      <c r="C778" s="671"/>
      <c r="D778" s="671"/>
      <c r="E778" s="462"/>
      <c r="F778" s="654"/>
      <c r="G778" s="650"/>
      <c r="H778" s="654"/>
      <c r="I778" s="654"/>
      <c r="J778" s="650"/>
      <c r="K778" s="650"/>
      <c r="L778" s="655"/>
      <c r="M778" s="655"/>
      <c r="N778" s="655"/>
      <c r="O778" s="655"/>
      <c r="P778" s="655"/>
      <c r="Q778" s="655"/>
      <c r="R778" s="655"/>
      <c r="S778" s="655"/>
      <c r="T778" s="655"/>
      <c r="U778" s="655"/>
      <c r="V778" s="655"/>
      <c r="W778" s="655"/>
      <c r="X778" s="655"/>
      <c r="Y778" s="655"/>
      <c r="Z778" s="655"/>
      <c r="AA778" s="655"/>
    </row>
    <row r="779">
      <c r="B779" s="462"/>
      <c r="C779" s="671"/>
      <c r="D779" s="671"/>
      <c r="E779" s="462"/>
      <c r="F779" s="654"/>
      <c r="G779" s="650"/>
      <c r="H779" s="654"/>
      <c r="I779" s="654"/>
      <c r="J779" s="650"/>
      <c r="K779" s="650"/>
      <c r="L779" s="655"/>
      <c r="M779" s="655"/>
      <c r="N779" s="655"/>
      <c r="O779" s="655"/>
      <c r="P779" s="655"/>
      <c r="Q779" s="655"/>
      <c r="R779" s="655"/>
      <c r="S779" s="655"/>
      <c r="T779" s="655"/>
      <c r="U779" s="655"/>
      <c r="V779" s="655"/>
      <c r="W779" s="655"/>
      <c r="X779" s="655"/>
      <c r="Y779" s="655"/>
      <c r="Z779" s="655"/>
      <c r="AA779" s="655"/>
    </row>
    <row r="780">
      <c r="B780" s="462"/>
      <c r="C780" s="671"/>
      <c r="D780" s="671"/>
      <c r="E780" s="462"/>
      <c r="F780" s="654"/>
      <c r="G780" s="650"/>
      <c r="H780" s="654"/>
      <c r="I780" s="654"/>
      <c r="J780" s="650"/>
      <c r="K780" s="650"/>
      <c r="L780" s="655"/>
      <c r="M780" s="655"/>
      <c r="N780" s="655"/>
      <c r="O780" s="655"/>
      <c r="P780" s="655"/>
      <c r="Q780" s="655"/>
      <c r="R780" s="655"/>
      <c r="S780" s="655"/>
      <c r="T780" s="655"/>
      <c r="U780" s="655"/>
      <c r="V780" s="655"/>
      <c r="W780" s="655"/>
      <c r="X780" s="655"/>
      <c r="Y780" s="655"/>
      <c r="Z780" s="655"/>
      <c r="AA780" s="655"/>
    </row>
    <row r="781">
      <c r="B781" s="462"/>
      <c r="C781" s="671"/>
      <c r="D781" s="671"/>
      <c r="E781" s="462"/>
      <c r="F781" s="654"/>
      <c r="G781" s="650"/>
      <c r="H781" s="654"/>
      <c r="I781" s="654"/>
      <c r="J781" s="650"/>
      <c r="K781" s="650"/>
      <c r="L781" s="655"/>
      <c r="M781" s="655"/>
      <c r="N781" s="655"/>
      <c r="O781" s="655"/>
      <c r="P781" s="655"/>
      <c r="Q781" s="655"/>
      <c r="R781" s="655"/>
      <c r="S781" s="655"/>
      <c r="T781" s="655"/>
      <c r="U781" s="655"/>
      <c r="V781" s="655"/>
      <c r="W781" s="655"/>
      <c r="X781" s="655"/>
      <c r="Y781" s="655"/>
      <c r="Z781" s="655"/>
      <c r="AA781" s="655"/>
    </row>
    <row r="782">
      <c r="B782" s="462"/>
      <c r="C782" s="671"/>
      <c r="D782" s="671"/>
      <c r="E782" s="462"/>
      <c r="F782" s="654"/>
      <c r="G782" s="650"/>
      <c r="H782" s="654"/>
      <c r="I782" s="654"/>
      <c r="J782" s="650"/>
      <c r="K782" s="650"/>
      <c r="L782" s="655"/>
      <c r="M782" s="655"/>
      <c r="N782" s="655"/>
      <c r="O782" s="655"/>
      <c r="P782" s="655"/>
      <c r="Q782" s="655"/>
      <c r="R782" s="655"/>
      <c r="S782" s="655"/>
      <c r="T782" s="655"/>
      <c r="U782" s="655"/>
      <c r="V782" s="655"/>
      <c r="W782" s="655"/>
      <c r="X782" s="655"/>
      <c r="Y782" s="655"/>
      <c r="Z782" s="655"/>
      <c r="AA782" s="655"/>
    </row>
    <row r="783">
      <c r="B783" s="462"/>
      <c r="C783" s="671"/>
      <c r="D783" s="671"/>
      <c r="E783" s="462"/>
      <c r="F783" s="654"/>
      <c r="G783" s="650"/>
      <c r="H783" s="654"/>
      <c r="I783" s="654"/>
      <c r="J783" s="650"/>
      <c r="K783" s="650"/>
      <c r="L783" s="655"/>
      <c r="M783" s="655"/>
      <c r="N783" s="655"/>
      <c r="O783" s="655"/>
      <c r="P783" s="655"/>
      <c r="Q783" s="655"/>
      <c r="R783" s="655"/>
      <c r="S783" s="655"/>
      <c r="T783" s="655"/>
      <c r="U783" s="655"/>
      <c r="V783" s="655"/>
      <c r="W783" s="655"/>
      <c r="X783" s="655"/>
      <c r="Y783" s="655"/>
      <c r="Z783" s="655"/>
      <c r="AA783" s="655"/>
    </row>
    <row r="784">
      <c r="B784" s="462"/>
      <c r="C784" s="671"/>
      <c r="D784" s="671"/>
      <c r="E784" s="462"/>
      <c r="F784" s="654"/>
      <c r="G784" s="650"/>
      <c r="H784" s="654"/>
      <c r="I784" s="654"/>
      <c r="J784" s="650"/>
      <c r="K784" s="650"/>
      <c r="L784" s="655"/>
      <c r="M784" s="655"/>
      <c r="N784" s="655"/>
      <c r="O784" s="655"/>
      <c r="P784" s="655"/>
      <c r="Q784" s="655"/>
      <c r="R784" s="655"/>
      <c r="S784" s="655"/>
      <c r="T784" s="655"/>
      <c r="U784" s="655"/>
      <c r="V784" s="655"/>
      <c r="W784" s="655"/>
      <c r="X784" s="655"/>
      <c r="Y784" s="655"/>
      <c r="Z784" s="655"/>
      <c r="AA784" s="655"/>
    </row>
    <row r="785">
      <c r="B785" s="462"/>
      <c r="C785" s="671"/>
      <c r="D785" s="671"/>
      <c r="E785" s="462"/>
      <c r="F785" s="654"/>
      <c r="G785" s="650"/>
      <c r="H785" s="654"/>
      <c r="I785" s="654"/>
      <c r="J785" s="650"/>
      <c r="K785" s="650"/>
      <c r="L785" s="655"/>
      <c r="M785" s="655"/>
      <c r="N785" s="655"/>
      <c r="O785" s="655"/>
      <c r="P785" s="655"/>
      <c r="Q785" s="655"/>
      <c r="R785" s="655"/>
      <c r="S785" s="655"/>
      <c r="T785" s="655"/>
      <c r="U785" s="655"/>
      <c r="V785" s="655"/>
      <c r="W785" s="655"/>
      <c r="X785" s="655"/>
      <c r="Y785" s="655"/>
      <c r="Z785" s="655"/>
      <c r="AA785" s="655"/>
    </row>
    <row r="786">
      <c r="B786" s="462"/>
      <c r="C786" s="671"/>
      <c r="D786" s="671"/>
      <c r="E786" s="462"/>
      <c r="F786" s="654"/>
      <c r="G786" s="650"/>
      <c r="H786" s="654"/>
      <c r="I786" s="654"/>
      <c r="J786" s="650"/>
      <c r="K786" s="650"/>
      <c r="L786" s="655"/>
      <c r="M786" s="655"/>
      <c r="N786" s="655"/>
      <c r="O786" s="655"/>
      <c r="P786" s="655"/>
      <c r="Q786" s="655"/>
      <c r="R786" s="655"/>
      <c r="S786" s="655"/>
      <c r="T786" s="655"/>
      <c r="U786" s="655"/>
      <c r="V786" s="655"/>
      <c r="W786" s="655"/>
      <c r="X786" s="655"/>
      <c r="Y786" s="655"/>
      <c r="Z786" s="655"/>
      <c r="AA786" s="655"/>
    </row>
    <row r="787">
      <c r="B787" s="462"/>
      <c r="C787" s="671"/>
      <c r="D787" s="671"/>
      <c r="E787" s="462"/>
      <c r="F787" s="654"/>
      <c r="G787" s="650"/>
      <c r="H787" s="654"/>
      <c r="I787" s="654"/>
      <c r="J787" s="650"/>
      <c r="K787" s="650"/>
      <c r="L787" s="655"/>
      <c r="M787" s="655"/>
      <c r="N787" s="655"/>
      <c r="O787" s="655"/>
      <c r="P787" s="655"/>
      <c r="Q787" s="655"/>
      <c r="R787" s="655"/>
      <c r="S787" s="655"/>
      <c r="T787" s="655"/>
      <c r="U787" s="655"/>
      <c r="V787" s="655"/>
      <c r="W787" s="655"/>
      <c r="X787" s="655"/>
      <c r="Y787" s="655"/>
      <c r="Z787" s="655"/>
      <c r="AA787" s="655"/>
    </row>
    <row r="788">
      <c r="B788" s="462"/>
      <c r="C788" s="671"/>
      <c r="D788" s="671"/>
      <c r="E788" s="462"/>
      <c r="F788" s="654"/>
      <c r="G788" s="650"/>
      <c r="H788" s="654"/>
      <c r="I788" s="654"/>
      <c r="J788" s="650"/>
      <c r="K788" s="650"/>
      <c r="L788" s="655"/>
      <c r="M788" s="655"/>
      <c r="N788" s="655"/>
      <c r="O788" s="655"/>
      <c r="P788" s="655"/>
      <c r="Q788" s="655"/>
      <c r="R788" s="655"/>
      <c r="S788" s="655"/>
      <c r="T788" s="655"/>
      <c r="U788" s="655"/>
      <c r="V788" s="655"/>
      <c r="W788" s="655"/>
      <c r="X788" s="655"/>
      <c r="Y788" s="655"/>
      <c r="Z788" s="655"/>
      <c r="AA788" s="655"/>
    </row>
    <row r="789">
      <c r="B789" s="462"/>
      <c r="C789" s="671"/>
      <c r="D789" s="671"/>
      <c r="E789" s="462"/>
      <c r="F789" s="654"/>
      <c r="G789" s="650"/>
      <c r="H789" s="654"/>
      <c r="I789" s="654"/>
      <c r="J789" s="650"/>
      <c r="K789" s="650"/>
      <c r="L789" s="655"/>
      <c r="M789" s="655"/>
      <c r="N789" s="655"/>
      <c r="O789" s="655"/>
      <c r="P789" s="655"/>
      <c r="Q789" s="655"/>
      <c r="R789" s="655"/>
      <c r="S789" s="655"/>
      <c r="T789" s="655"/>
      <c r="U789" s="655"/>
      <c r="V789" s="655"/>
      <c r="W789" s="655"/>
      <c r="X789" s="655"/>
      <c r="Y789" s="655"/>
      <c r="Z789" s="655"/>
      <c r="AA789" s="655"/>
    </row>
    <row r="790">
      <c r="B790" s="462"/>
      <c r="C790" s="671"/>
      <c r="D790" s="671"/>
      <c r="E790" s="462"/>
      <c r="F790" s="654"/>
      <c r="G790" s="650"/>
      <c r="H790" s="654"/>
      <c r="I790" s="654"/>
      <c r="J790" s="650"/>
      <c r="K790" s="650"/>
      <c r="L790" s="655"/>
      <c r="M790" s="655"/>
      <c r="N790" s="655"/>
      <c r="O790" s="655"/>
      <c r="P790" s="655"/>
      <c r="Q790" s="655"/>
      <c r="R790" s="655"/>
      <c r="S790" s="655"/>
      <c r="T790" s="655"/>
      <c r="U790" s="655"/>
      <c r="V790" s="655"/>
      <c r="W790" s="655"/>
      <c r="X790" s="655"/>
      <c r="Y790" s="655"/>
      <c r="Z790" s="655"/>
      <c r="AA790" s="655"/>
    </row>
    <row r="791">
      <c r="B791" s="462"/>
      <c r="C791" s="671"/>
      <c r="D791" s="671"/>
      <c r="E791" s="462"/>
      <c r="F791" s="654"/>
      <c r="G791" s="650"/>
      <c r="H791" s="654"/>
      <c r="I791" s="654"/>
      <c r="J791" s="650"/>
      <c r="K791" s="650"/>
      <c r="L791" s="655"/>
      <c r="M791" s="655"/>
      <c r="N791" s="655"/>
      <c r="O791" s="655"/>
      <c r="P791" s="655"/>
      <c r="Q791" s="655"/>
      <c r="R791" s="655"/>
      <c r="S791" s="655"/>
      <c r="T791" s="655"/>
      <c r="U791" s="655"/>
      <c r="V791" s="655"/>
      <c r="W791" s="655"/>
      <c r="X791" s="655"/>
      <c r="Y791" s="655"/>
      <c r="Z791" s="655"/>
      <c r="AA791" s="655"/>
    </row>
    <row r="792">
      <c r="B792" s="462"/>
      <c r="C792" s="671"/>
      <c r="D792" s="671"/>
      <c r="E792" s="462"/>
      <c r="F792" s="654"/>
      <c r="G792" s="650"/>
      <c r="H792" s="654"/>
      <c r="I792" s="654"/>
      <c r="J792" s="650"/>
      <c r="K792" s="650"/>
      <c r="L792" s="655"/>
      <c r="M792" s="655"/>
      <c r="N792" s="655"/>
      <c r="O792" s="655"/>
      <c r="P792" s="655"/>
      <c r="Q792" s="655"/>
      <c r="R792" s="655"/>
      <c r="S792" s="655"/>
      <c r="T792" s="655"/>
      <c r="U792" s="655"/>
      <c r="V792" s="655"/>
      <c r="W792" s="655"/>
      <c r="X792" s="655"/>
      <c r="Y792" s="655"/>
      <c r="Z792" s="655"/>
      <c r="AA792" s="655"/>
    </row>
    <row r="793">
      <c r="B793" s="462"/>
      <c r="C793" s="671"/>
      <c r="D793" s="671"/>
      <c r="E793" s="462"/>
      <c r="F793" s="654"/>
      <c r="G793" s="650"/>
      <c r="H793" s="654"/>
      <c r="I793" s="654"/>
      <c r="J793" s="650"/>
      <c r="K793" s="650"/>
      <c r="L793" s="655"/>
      <c r="M793" s="655"/>
      <c r="N793" s="655"/>
      <c r="O793" s="655"/>
      <c r="P793" s="655"/>
      <c r="Q793" s="655"/>
      <c r="R793" s="655"/>
      <c r="S793" s="655"/>
      <c r="T793" s="655"/>
      <c r="U793" s="655"/>
      <c r="V793" s="655"/>
      <c r="W793" s="655"/>
      <c r="X793" s="655"/>
      <c r="Y793" s="655"/>
      <c r="Z793" s="655"/>
      <c r="AA793" s="655"/>
    </row>
    <row r="794">
      <c r="B794" s="462"/>
      <c r="C794" s="671"/>
      <c r="D794" s="671"/>
      <c r="E794" s="462"/>
      <c r="F794" s="654"/>
      <c r="G794" s="650"/>
      <c r="H794" s="654"/>
      <c r="I794" s="654"/>
      <c r="J794" s="650"/>
      <c r="K794" s="650"/>
      <c r="L794" s="655"/>
      <c r="M794" s="655"/>
      <c r="N794" s="655"/>
      <c r="O794" s="655"/>
      <c r="P794" s="655"/>
      <c r="Q794" s="655"/>
      <c r="R794" s="655"/>
      <c r="S794" s="655"/>
      <c r="T794" s="655"/>
      <c r="U794" s="655"/>
      <c r="V794" s="655"/>
      <c r="W794" s="655"/>
      <c r="X794" s="655"/>
      <c r="Y794" s="655"/>
      <c r="Z794" s="655"/>
      <c r="AA794" s="655"/>
    </row>
    <row r="795">
      <c r="B795" s="462"/>
      <c r="C795" s="671"/>
      <c r="D795" s="671"/>
      <c r="E795" s="462"/>
      <c r="F795" s="654"/>
      <c r="G795" s="650"/>
      <c r="H795" s="654"/>
      <c r="I795" s="654"/>
      <c r="J795" s="650"/>
      <c r="K795" s="650"/>
      <c r="L795" s="655"/>
      <c r="M795" s="655"/>
      <c r="N795" s="655"/>
      <c r="O795" s="655"/>
      <c r="P795" s="655"/>
      <c r="Q795" s="655"/>
      <c r="R795" s="655"/>
      <c r="S795" s="655"/>
      <c r="T795" s="655"/>
      <c r="U795" s="655"/>
      <c r="V795" s="655"/>
      <c r="W795" s="655"/>
      <c r="X795" s="655"/>
      <c r="Y795" s="655"/>
      <c r="Z795" s="655"/>
      <c r="AA795" s="655"/>
    </row>
    <row r="796">
      <c r="B796" s="462"/>
      <c r="C796" s="671"/>
      <c r="D796" s="671"/>
      <c r="E796" s="462"/>
      <c r="F796" s="654"/>
      <c r="G796" s="650"/>
      <c r="H796" s="654"/>
      <c r="I796" s="654"/>
      <c r="J796" s="650"/>
      <c r="K796" s="650"/>
      <c r="L796" s="655"/>
      <c r="M796" s="655"/>
      <c r="N796" s="655"/>
      <c r="O796" s="655"/>
      <c r="P796" s="655"/>
      <c r="Q796" s="655"/>
      <c r="R796" s="655"/>
      <c r="S796" s="655"/>
      <c r="T796" s="655"/>
      <c r="U796" s="655"/>
      <c r="V796" s="655"/>
      <c r="W796" s="655"/>
      <c r="X796" s="655"/>
      <c r="Y796" s="655"/>
      <c r="Z796" s="655"/>
      <c r="AA796" s="655"/>
    </row>
    <row r="797">
      <c r="B797" s="462"/>
      <c r="C797" s="671"/>
      <c r="D797" s="671"/>
      <c r="E797" s="462"/>
      <c r="F797" s="654"/>
      <c r="G797" s="650"/>
      <c r="H797" s="654"/>
      <c r="I797" s="654"/>
      <c r="J797" s="650"/>
      <c r="K797" s="650"/>
      <c r="L797" s="655"/>
      <c r="M797" s="655"/>
      <c r="N797" s="655"/>
      <c r="O797" s="655"/>
      <c r="P797" s="655"/>
      <c r="Q797" s="655"/>
      <c r="R797" s="655"/>
      <c r="S797" s="655"/>
      <c r="T797" s="655"/>
      <c r="U797" s="655"/>
      <c r="V797" s="655"/>
      <c r="W797" s="655"/>
      <c r="X797" s="655"/>
      <c r="Y797" s="655"/>
      <c r="Z797" s="655"/>
      <c r="AA797" s="655"/>
    </row>
    <row r="798">
      <c r="B798" s="462"/>
      <c r="C798" s="671"/>
      <c r="D798" s="671"/>
      <c r="E798" s="462"/>
      <c r="F798" s="654"/>
      <c r="G798" s="650"/>
      <c r="H798" s="654"/>
      <c r="I798" s="654"/>
      <c r="J798" s="650"/>
      <c r="K798" s="650"/>
      <c r="L798" s="655"/>
      <c r="M798" s="655"/>
      <c r="N798" s="655"/>
      <c r="O798" s="655"/>
      <c r="P798" s="655"/>
      <c r="Q798" s="655"/>
      <c r="R798" s="655"/>
      <c r="S798" s="655"/>
      <c r="T798" s="655"/>
      <c r="U798" s="655"/>
      <c r="V798" s="655"/>
      <c r="W798" s="655"/>
      <c r="X798" s="655"/>
      <c r="Y798" s="655"/>
      <c r="Z798" s="655"/>
      <c r="AA798" s="655"/>
    </row>
    <row r="799">
      <c r="B799" s="462"/>
      <c r="C799" s="671"/>
      <c r="D799" s="671"/>
      <c r="E799" s="462"/>
      <c r="F799" s="654"/>
      <c r="G799" s="650"/>
      <c r="H799" s="654"/>
      <c r="I799" s="654"/>
      <c r="J799" s="650"/>
      <c r="K799" s="650"/>
      <c r="L799" s="655"/>
      <c r="M799" s="655"/>
      <c r="N799" s="655"/>
      <c r="O799" s="655"/>
      <c r="P799" s="655"/>
      <c r="Q799" s="655"/>
      <c r="R799" s="655"/>
      <c r="S799" s="655"/>
      <c r="T799" s="655"/>
      <c r="U799" s="655"/>
      <c r="V799" s="655"/>
      <c r="W799" s="655"/>
      <c r="X799" s="655"/>
      <c r="Y799" s="655"/>
      <c r="Z799" s="655"/>
      <c r="AA799" s="655"/>
    </row>
    <row r="800">
      <c r="B800" s="462"/>
      <c r="C800" s="671"/>
      <c r="D800" s="671"/>
      <c r="E800" s="462"/>
      <c r="F800" s="654"/>
      <c r="G800" s="650"/>
      <c r="H800" s="654"/>
      <c r="I800" s="654"/>
      <c r="J800" s="650"/>
      <c r="K800" s="650"/>
      <c r="L800" s="655"/>
      <c r="M800" s="655"/>
      <c r="N800" s="655"/>
      <c r="O800" s="655"/>
      <c r="P800" s="655"/>
      <c r="Q800" s="655"/>
      <c r="R800" s="655"/>
      <c r="S800" s="655"/>
      <c r="T800" s="655"/>
      <c r="U800" s="655"/>
      <c r="V800" s="655"/>
      <c r="W800" s="655"/>
      <c r="X800" s="655"/>
      <c r="Y800" s="655"/>
      <c r="Z800" s="655"/>
      <c r="AA800" s="655"/>
    </row>
    <row r="801">
      <c r="B801" s="462"/>
      <c r="C801" s="671"/>
      <c r="D801" s="671"/>
      <c r="E801" s="462"/>
      <c r="F801" s="654"/>
      <c r="G801" s="650"/>
      <c r="H801" s="654"/>
      <c r="I801" s="654"/>
      <c r="J801" s="650"/>
      <c r="K801" s="650"/>
      <c r="L801" s="655"/>
      <c r="M801" s="655"/>
      <c r="N801" s="655"/>
      <c r="O801" s="655"/>
      <c r="P801" s="655"/>
      <c r="Q801" s="655"/>
      <c r="R801" s="655"/>
      <c r="S801" s="655"/>
      <c r="T801" s="655"/>
      <c r="U801" s="655"/>
      <c r="V801" s="655"/>
      <c r="W801" s="655"/>
      <c r="X801" s="655"/>
      <c r="Y801" s="655"/>
      <c r="Z801" s="655"/>
      <c r="AA801" s="655"/>
    </row>
    <row r="802">
      <c r="B802" s="462"/>
      <c r="C802" s="671"/>
      <c r="D802" s="671"/>
      <c r="E802" s="462"/>
      <c r="F802" s="654"/>
      <c r="G802" s="650"/>
      <c r="H802" s="654"/>
      <c r="I802" s="654"/>
      <c r="J802" s="650"/>
      <c r="K802" s="650"/>
      <c r="L802" s="655"/>
      <c r="M802" s="655"/>
      <c r="N802" s="655"/>
      <c r="O802" s="655"/>
      <c r="P802" s="655"/>
      <c r="Q802" s="655"/>
      <c r="R802" s="655"/>
      <c r="S802" s="655"/>
      <c r="T802" s="655"/>
      <c r="U802" s="655"/>
      <c r="V802" s="655"/>
      <c r="W802" s="655"/>
      <c r="X802" s="655"/>
      <c r="Y802" s="655"/>
      <c r="Z802" s="655"/>
      <c r="AA802" s="655"/>
    </row>
    <row r="803">
      <c r="B803" s="462"/>
      <c r="C803" s="671"/>
      <c r="D803" s="671"/>
      <c r="E803" s="462"/>
      <c r="F803" s="654"/>
      <c r="G803" s="650"/>
      <c r="H803" s="654"/>
      <c r="I803" s="654"/>
      <c r="J803" s="650"/>
      <c r="K803" s="650"/>
      <c r="L803" s="655"/>
      <c r="M803" s="655"/>
      <c r="N803" s="655"/>
      <c r="O803" s="655"/>
      <c r="P803" s="655"/>
      <c r="Q803" s="655"/>
      <c r="R803" s="655"/>
      <c r="S803" s="655"/>
      <c r="T803" s="655"/>
      <c r="U803" s="655"/>
      <c r="V803" s="655"/>
      <c r="W803" s="655"/>
      <c r="X803" s="655"/>
      <c r="Y803" s="655"/>
      <c r="Z803" s="655"/>
      <c r="AA803" s="655"/>
    </row>
    <row r="804">
      <c r="B804" s="462"/>
      <c r="C804" s="671"/>
      <c r="D804" s="671"/>
      <c r="E804" s="462"/>
      <c r="F804" s="654"/>
      <c r="G804" s="650"/>
      <c r="H804" s="654"/>
      <c r="I804" s="654"/>
      <c r="J804" s="650"/>
      <c r="K804" s="650"/>
      <c r="L804" s="655"/>
      <c r="M804" s="655"/>
      <c r="N804" s="655"/>
      <c r="O804" s="655"/>
      <c r="P804" s="655"/>
      <c r="Q804" s="655"/>
      <c r="R804" s="655"/>
      <c r="S804" s="655"/>
      <c r="T804" s="655"/>
      <c r="U804" s="655"/>
      <c r="V804" s="655"/>
      <c r="W804" s="655"/>
      <c r="X804" s="655"/>
      <c r="Y804" s="655"/>
      <c r="Z804" s="655"/>
      <c r="AA804" s="655"/>
    </row>
    <row r="805">
      <c r="B805" s="462"/>
      <c r="C805" s="671"/>
      <c r="D805" s="671"/>
      <c r="E805" s="462"/>
      <c r="F805" s="654"/>
      <c r="G805" s="650"/>
      <c r="H805" s="654"/>
      <c r="I805" s="654"/>
      <c r="J805" s="650"/>
      <c r="K805" s="650"/>
      <c r="L805" s="655"/>
      <c r="M805" s="655"/>
      <c r="N805" s="655"/>
      <c r="O805" s="655"/>
      <c r="P805" s="655"/>
      <c r="Q805" s="655"/>
      <c r="R805" s="655"/>
      <c r="S805" s="655"/>
      <c r="T805" s="655"/>
      <c r="U805" s="655"/>
      <c r="V805" s="655"/>
      <c r="W805" s="655"/>
      <c r="X805" s="655"/>
      <c r="Y805" s="655"/>
      <c r="Z805" s="655"/>
      <c r="AA805" s="655"/>
    </row>
    <row r="806">
      <c r="B806" s="462"/>
      <c r="C806" s="671"/>
      <c r="D806" s="671"/>
      <c r="E806" s="462"/>
      <c r="F806" s="654"/>
      <c r="G806" s="650"/>
      <c r="H806" s="654"/>
      <c r="I806" s="654"/>
      <c r="J806" s="650"/>
      <c r="K806" s="650"/>
      <c r="L806" s="655"/>
      <c r="M806" s="655"/>
      <c r="N806" s="655"/>
      <c r="O806" s="655"/>
      <c r="P806" s="655"/>
      <c r="Q806" s="655"/>
      <c r="R806" s="655"/>
      <c r="S806" s="655"/>
      <c r="T806" s="655"/>
      <c r="U806" s="655"/>
      <c r="V806" s="655"/>
      <c r="W806" s="655"/>
      <c r="X806" s="655"/>
      <c r="Y806" s="655"/>
      <c r="Z806" s="655"/>
      <c r="AA806" s="655"/>
    </row>
    <row r="807">
      <c r="B807" s="462"/>
      <c r="C807" s="671"/>
      <c r="D807" s="671"/>
      <c r="E807" s="462"/>
      <c r="F807" s="654"/>
      <c r="G807" s="650"/>
      <c r="H807" s="654"/>
      <c r="I807" s="654"/>
      <c r="J807" s="650"/>
      <c r="K807" s="650"/>
      <c r="L807" s="655"/>
      <c r="M807" s="655"/>
      <c r="N807" s="655"/>
      <c r="O807" s="655"/>
      <c r="P807" s="655"/>
      <c r="Q807" s="655"/>
      <c r="R807" s="655"/>
      <c r="S807" s="655"/>
      <c r="T807" s="655"/>
      <c r="U807" s="655"/>
      <c r="V807" s="655"/>
      <c r="W807" s="655"/>
      <c r="X807" s="655"/>
      <c r="Y807" s="655"/>
      <c r="Z807" s="655"/>
      <c r="AA807" s="655"/>
    </row>
    <row r="808">
      <c r="B808" s="462"/>
      <c r="C808" s="671"/>
      <c r="D808" s="671"/>
      <c r="E808" s="462"/>
      <c r="F808" s="654"/>
      <c r="G808" s="650"/>
      <c r="H808" s="654"/>
      <c r="I808" s="654"/>
      <c r="J808" s="650"/>
      <c r="K808" s="650"/>
      <c r="L808" s="655"/>
      <c r="M808" s="655"/>
      <c r="N808" s="655"/>
      <c r="O808" s="655"/>
      <c r="P808" s="655"/>
      <c r="Q808" s="655"/>
      <c r="R808" s="655"/>
      <c r="S808" s="655"/>
      <c r="T808" s="655"/>
      <c r="U808" s="655"/>
      <c r="V808" s="655"/>
      <c r="W808" s="655"/>
      <c r="X808" s="655"/>
      <c r="Y808" s="655"/>
      <c r="Z808" s="655"/>
      <c r="AA808" s="655"/>
    </row>
    <row r="809">
      <c r="B809" s="462"/>
      <c r="C809" s="671"/>
      <c r="D809" s="671"/>
      <c r="E809" s="462"/>
      <c r="F809" s="654"/>
      <c r="G809" s="650"/>
      <c r="H809" s="654"/>
      <c r="I809" s="654"/>
      <c r="J809" s="650"/>
      <c r="K809" s="650"/>
      <c r="L809" s="655"/>
      <c r="M809" s="655"/>
      <c r="N809" s="655"/>
      <c r="O809" s="655"/>
      <c r="P809" s="655"/>
      <c r="Q809" s="655"/>
      <c r="R809" s="655"/>
      <c r="S809" s="655"/>
      <c r="T809" s="655"/>
      <c r="U809" s="655"/>
      <c r="V809" s="655"/>
      <c r="W809" s="655"/>
      <c r="X809" s="655"/>
      <c r="Y809" s="655"/>
      <c r="Z809" s="655"/>
      <c r="AA809" s="655"/>
    </row>
    <row r="810">
      <c r="B810" s="462"/>
      <c r="C810" s="671"/>
      <c r="D810" s="671"/>
      <c r="E810" s="462"/>
      <c r="F810" s="654"/>
      <c r="G810" s="650"/>
      <c r="H810" s="654"/>
      <c r="I810" s="654"/>
      <c r="J810" s="650"/>
      <c r="K810" s="650"/>
      <c r="L810" s="655"/>
      <c r="M810" s="655"/>
      <c r="N810" s="655"/>
      <c r="O810" s="655"/>
      <c r="P810" s="655"/>
      <c r="Q810" s="655"/>
      <c r="R810" s="655"/>
      <c r="S810" s="655"/>
      <c r="T810" s="655"/>
      <c r="U810" s="655"/>
      <c r="V810" s="655"/>
      <c r="W810" s="655"/>
      <c r="X810" s="655"/>
      <c r="Y810" s="655"/>
      <c r="Z810" s="655"/>
      <c r="AA810" s="655"/>
    </row>
    <row r="811">
      <c r="B811" s="462"/>
      <c r="C811" s="671"/>
      <c r="D811" s="671"/>
      <c r="E811" s="462"/>
      <c r="F811" s="654"/>
      <c r="G811" s="650"/>
      <c r="H811" s="654"/>
      <c r="I811" s="654"/>
      <c r="J811" s="650"/>
      <c r="K811" s="650"/>
      <c r="L811" s="655"/>
      <c r="M811" s="655"/>
      <c r="N811" s="655"/>
      <c r="O811" s="655"/>
      <c r="P811" s="655"/>
      <c r="Q811" s="655"/>
      <c r="R811" s="655"/>
      <c r="S811" s="655"/>
      <c r="T811" s="655"/>
      <c r="U811" s="655"/>
      <c r="V811" s="655"/>
      <c r="W811" s="655"/>
      <c r="X811" s="655"/>
      <c r="Y811" s="655"/>
      <c r="Z811" s="655"/>
      <c r="AA811" s="655"/>
    </row>
    <row r="812">
      <c r="B812" s="462"/>
      <c r="C812" s="671"/>
      <c r="D812" s="671"/>
      <c r="E812" s="462"/>
      <c r="F812" s="654"/>
      <c r="G812" s="650"/>
      <c r="H812" s="654"/>
      <c r="I812" s="654"/>
      <c r="J812" s="650"/>
      <c r="K812" s="650"/>
      <c r="L812" s="655"/>
      <c r="M812" s="655"/>
      <c r="N812" s="655"/>
      <c r="O812" s="655"/>
      <c r="P812" s="655"/>
      <c r="Q812" s="655"/>
      <c r="R812" s="655"/>
      <c r="S812" s="655"/>
      <c r="T812" s="655"/>
      <c r="U812" s="655"/>
      <c r="V812" s="655"/>
      <c r="W812" s="655"/>
      <c r="X812" s="655"/>
      <c r="Y812" s="655"/>
      <c r="Z812" s="655"/>
      <c r="AA812" s="655"/>
    </row>
    <row r="813">
      <c r="B813" s="462"/>
      <c r="C813" s="671"/>
      <c r="D813" s="671"/>
      <c r="E813" s="462"/>
      <c r="F813" s="654"/>
      <c r="G813" s="650"/>
      <c r="H813" s="654"/>
      <c r="I813" s="654"/>
      <c r="J813" s="650"/>
      <c r="K813" s="650"/>
      <c r="L813" s="655"/>
      <c r="M813" s="655"/>
      <c r="N813" s="655"/>
      <c r="O813" s="655"/>
      <c r="P813" s="655"/>
      <c r="Q813" s="655"/>
      <c r="R813" s="655"/>
      <c r="S813" s="655"/>
      <c r="T813" s="655"/>
      <c r="U813" s="655"/>
      <c r="V813" s="655"/>
      <c r="W813" s="655"/>
      <c r="X813" s="655"/>
      <c r="Y813" s="655"/>
      <c r="Z813" s="655"/>
      <c r="AA813" s="655"/>
    </row>
    <row r="814">
      <c r="B814" s="462"/>
      <c r="C814" s="671"/>
      <c r="D814" s="671"/>
      <c r="E814" s="462"/>
      <c r="F814" s="654"/>
      <c r="G814" s="650"/>
      <c r="H814" s="654"/>
      <c r="I814" s="654"/>
      <c r="J814" s="650"/>
      <c r="K814" s="650"/>
      <c r="L814" s="655"/>
      <c r="M814" s="655"/>
      <c r="N814" s="655"/>
      <c r="O814" s="655"/>
      <c r="P814" s="655"/>
      <c r="Q814" s="655"/>
      <c r="R814" s="655"/>
      <c r="S814" s="655"/>
      <c r="T814" s="655"/>
      <c r="U814" s="655"/>
      <c r="V814" s="655"/>
      <c r="W814" s="655"/>
      <c r="X814" s="655"/>
      <c r="Y814" s="655"/>
      <c r="Z814" s="655"/>
      <c r="AA814" s="655"/>
    </row>
    <row r="815">
      <c r="B815" s="462"/>
      <c r="C815" s="671"/>
      <c r="D815" s="671"/>
      <c r="E815" s="462"/>
      <c r="F815" s="654"/>
      <c r="G815" s="650"/>
      <c r="H815" s="654"/>
      <c r="I815" s="654"/>
      <c r="J815" s="650"/>
      <c r="K815" s="650"/>
      <c r="L815" s="655"/>
      <c r="M815" s="655"/>
      <c r="N815" s="655"/>
      <c r="O815" s="655"/>
      <c r="P815" s="655"/>
      <c r="Q815" s="655"/>
      <c r="R815" s="655"/>
      <c r="S815" s="655"/>
      <c r="T815" s="655"/>
      <c r="U815" s="655"/>
      <c r="V815" s="655"/>
      <c r="W815" s="655"/>
      <c r="X815" s="655"/>
      <c r="Y815" s="655"/>
      <c r="Z815" s="655"/>
      <c r="AA815" s="655"/>
    </row>
    <row r="816">
      <c r="B816" s="462"/>
      <c r="C816" s="671"/>
      <c r="D816" s="671"/>
      <c r="E816" s="462"/>
      <c r="F816" s="654"/>
      <c r="G816" s="650"/>
      <c r="H816" s="654"/>
      <c r="I816" s="654"/>
      <c r="J816" s="650"/>
      <c r="K816" s="650"/>
      <c r="L816" s="655"/>
      <c r="M816" s="655"/>
      <c r="N816" s="655"/>
      <c r="O816" s="655"/>
      <c r="P816" s="655"/>
      <c r="Q816" s="655"/>
      <c r="R816" s="655"/>
      <c r="S816" s="655"/>
      <c r="T816" s="655"/>
      <c r="U816" s="655"/>
      <c r="V816" s="655"/>
      <c r="W816" s="655"/>
      <c r="X816" s="655"/>
      <c r="Y816" s="655"/>
      <c r="Z816" s="655"/>
      <c r="AA816" s="655"/>
    </row>
    <row r="817">
      <c r="B817" s="462"/>
      <c r="C817" s="671"/>
      <c r="D817" s="671"/>
      <c r="E817" s="462"/>
      <c r="F817" s="654"/>
      <c r="G817" s="650"/>
      <c r="H817" s="654"/>
      <c r="I817" s="654"/>
      <c r="J817" s="650"/>
      <c r="K817" s="650"/>
      <c r="L817" s="655"/>
      <c r="M817" s="655"/>
      <c r="N817" s="655"/>
      <c r="O817" s="655"/>
      <c r="P817" s="655"/>
      <c r="Q817" s="655"/>
      <c r="R817" s="655"/>
      <c r="S817" s="655"/>
      <c r="T817" s="655"/>
      <c r="U817" s="655"/>
      <c r="V817" s="655"/>
      <c r="W817" s="655"/>
      <c r="X817" s="655"/>
      <c r="Y817" s="655"/>
      <c r="Z817" s="655"/>
      <c r="AA817" s="655"/>
    </row>
    <row r="818">
      <c r="B818" s="462"/>
      <c r="C818" s="671"/>
      <c r="D818" s="671"/>
      <c r="E818" s="462"/>
      <c r="F818" s="654"/>
      <c r="G818" s="650"/>
      <c r="H818" s="654"/>
      <c r="I818" s="654"/>
      <c r="J818" s="650"/>
      <c r="K818" s="650"/>
      <c r="L818" s="655"/>
      <c r="M818" s="655"/>
      <c r="N818" s="655"/>
      <c r="O818" s="655"/>
      <c r="P818" s="655"/>
      <c r="Q818" s="655"/>
      <c r="R818" s="655"/>
      <c r="S818" s="655"/>
      <c r="T818" s="655"/>
      <c r="U818" s="655"/>
      <c r="V818" s="655"/>
      <c r="W818" s="655"/>
      <c r="X818" s="655"/>
      <c r="Y818" s="655"/>
      <c r="Z818" s="655"/>
      <c r="AA818" s="655"/>
    </row>
    <row r="819">
      <c r="B819" s="462"/>
      <c r="C819" s="671"/>
      <c r="D819" s="671"/>
      <c r="E819" s="462"/>
      <c r="F819" s="654"/>
      <c r="G819" s="650"/>
      <c r="H819" s="654"/>
      <c r="I819" s="654"/>
      <c r="J819" s="650"/>
      <c r="K819" s="650"/>
      <c r="L819" s="655"/>
      <c r="M819" s="655"/>
      <c r="N819" s="655"/>
      <c r="O819" s="655"/>
      <c r="P819" s="655"/>
      <c r="Q819" s="655"/>
      <c r="R819" s="655"/>
      <c r="S819" s="655"/>
      <c r="T819" s="655"/>
      <c r="U819" s="655"/>
      <c r="V819" s="655"/>
      <c r="W819" s="655"/>
      <c r="X819" s="655"/>
      <c r="Y819" s="655"/>
      <c r="Z819" s="655"/>
      <c r="AA819" s="655"/>
    </row>
    <row r="820">
      <c r="B820" s="462"/>
      <c r="C820" s="671"/>
      <c r="D820" s="671"/>
      <c r="E820" s="462"/>
      <c r="F820" s="654"/>
      <c r="G820" s="650"/>
      <c r="H820" s="654"/>
      <c r="I820" s="654"/>
      <c r="J820" s="650"/>
      <c r="K820" s="650"/>
      <c r="L820" s="655"/>
      <c r="M820" s="655"/>
      <c r="N820" s="655"/>
      <c r="O820" s="655"/>
      <c r="P820" s="655"/>
      <c r="Q820" s="655"/>
      <c r="R820" s="655"/>
      <c r="S820" s="655"/>
      <c r="T820" s="655"/>
      <c r="U820" s="655"/>
      <c r="V820" s="655"/>
      <c r="W820" s="655"/>
      <c r="X820" s="655"/>
      <c r="Y820" s="655"/>
      <c r="Z820" s="655"/>
      <c r="AA820" s="655"/>
    </row>
    <row r="821">
      <c r="B821" s="462"/>
      <c r="C821" s="671"/>
      <c r="D821" s="671"/>
      <c r="E821" s="462"/>
      <c r="F821" s="654"/>
      <c r="G821" s="650"/>
      <c r="H821" s="654"/>
      <c r="I821" s="654"/>
      <c r="J821" s="650"/>
      <c r="K821" s="650"/>
      <c r="L821" s="655"/>
      <c r="M821" s="655"/>
      <c r="N821" s="655"/>
      <c r="O821" s="655"/>
      <c r="P821" s="655"/>
      <c r="Q821" s="655"/>
      <c r="R821" s="655"/>
      <c r="S821" s="655"/>
      <c r="T821" s="655"/>
      <c r="U821" s="655"/>
      <c r="V821" s="655"/>
      <c r="W821" s="655"/>
      <c r="X821" s="655"/>
      <c r="Y821" s="655"/>
      <c r="Z821" s="655"/>
      <c r="AA821" s="655"/>
    </row>
    <row r="822">
      <c r="B822" s="462"/>
      <c r="C822" s="671"/>
      <c r="D822" s="671"/>
      <c r="E822" s="462"/>
      <c r="F822" s="654"/>
      <c r="G822" s="650"/>
      <c r="H822" s="654"/>
      <c r="I822" s="654"/>
      <c r="J822" s="650"/>
      <c r="K822" s="650"/>
      <c r="L822" s="655"/>
      <c r="M822" s="655"/>
      <c r="N822" s="655"/>
      <c r="O822" s="655"/>
      <c r="P822" s="655"/>
      <c r="Q822" s="655"/>
      <c r="R822" s="655"/>
      <c r="S822" s="655"/>
      <c r="T822" s="655"/>
      <c r="U822" s="655"/>
      <c r="V822" s="655"/>
      <c r="W822" s="655"/>
      <c r="X822" s="655"/>
      <c r="Y822" s="655"/>
      <c r="Z822" s="655"/>
      <c r="AA822" s="655"/>
    </row>
    <row r="823">
      <c r="B823" s="462"/>
      <c r="C823" s="671"/>
      <c r="D823" s="671"/>
      <c r="E823" s="462"/>
      <c r="F823" s="654"/>
      <c r="G823" s="650"/>
      <c r="H823" s="654"/>
      <c r="I823" s="654"/>
      <c r="J823" s="650"/>
      <c r="K823" s="650"/>
      <c r="L823" s="655"/>
      <c r="M823" s="655"/>
      <c r="N823" s="655"/>
      <c r="O823" s="655"/>
      <c r="P823" s="655"/>
      <c r="Q823" s="655"/>
      <c r="R823" s="655"/>
      <c r="S823" s="655"/>
      <c r="T823" s="655"/>
      <c r="U823" s="655"/>
      <c r="V823" s="655"/>
      <c r="W823" s="655"/>
      <c r="X823" s="655"/>
      <c r="Y823" s="655"/>
      <c r="Z823" s="655"/>
      <c r="AA823" s="655"/>
    </row>
    <row r="824">
      <c r="B824" s="462"/>
      <c r="C824" s="671"/>
      <c r="D824" s="671"/>
      <c r="E824" s="462"/>
      <c r="F824" s="654"/>
      <c r="G824" s="650"/>
      <c r="H824" s="654"/>
      <c r="I824" s="654"/>
      <c r="J824" s="650"/>
      <c r="K824" s="650"/>
      <c r="L824" s="655"/>
      <c r="M824" s="655"/>
      <c r="N824" s="655"/>
      <c r="O824" s="655"/>
      <c r="P824" s="655"/>
      <c r="Q824" s="655"/>
      <c r="R824" s="655"/>
      <c r="S824" s="655"/>
      <c r="T824" s="655"/>
      <c r="U824" s="655"/>
      <c r="V824" s="655"/>
      <c r="W824" s="655"/>
      <c r="X824" s="655"/>
      <c r="Y824" s="655"/>
      <c r="Z824" s="655"/>
      <c r="AA824" s="655"/>
    </row>
    <row r="825">
      <c r="B825" s="462"/>
      <c r="C825" s="671"/>
      <c r="D825" s="671"/>
      <c r="E825" s="462"/>
      <c r="F825" s="654"/>
      <c r="G825" s="650"/>
      <c r="H825" s="654"/>
      <c r="I825" s="654"/>
      <c r="J825" s="650"/>
      <c r="K825" s="650"/>
      <c r="L825" s="655"/>
      <c r="M825" s="655"/>
      <c r="N825" s="655"/>
      <c r="O825" s="655"/>
      <c r="P825" s="655"/>
      <c r="Q825" s="655"/>
      <c r="R825" s="655"/>
      <c r="S825" s="655"/>
      <c r="T825" s="655"/>
      <c r="U825" s="655"/>
      <c r="V825" s="655"/>
      <c r="W825" s="655"/>
      <c r="X825" s="655"/>
      <c r="Y825" s="655"/>
      <c r="Z825" s="655"/>
      <c r="AA825" s="655"/>
    </row>
    <row r="826">
      <c r="B826" s="462"/>
      <c r="C826" s="671"/>
      <c r="D826" s="671"/>
      <c r="E826" s="462"/>
      <c r="F826" s="654"/>
      <c r="G826" s="650"/>
      <c r="H826" s="654"/>
      <c r="I826" s="654"/>
      <c r="J826" s="650"/>
      <c r="K826" s="650"/>
      <c r="L826" s="655"/>
      <c r="M826" s="655"/>
      <c r="N826" s="655"/>
      <c r="O826" s="655"/>
      <c r="P826" s="655"/>
      <c r="Q826" s="655"/>
      <c r="R826" s="655"/>
      <c r="S826" s="655"/>
      <c r="T826" s="655"/>
      <c r="U826" s="655"/>
      <c r="V826" s="655"/>
      <c r="W826" s="655"/>
      <c r="X826" s="655"/>
      <c r="Y826" s="655"/>
      <c r="Z826" s="655"/>
      <c r="AA826" s="655"/>
    </row>
    <row r="827">
      <c r="B827" s="462"/>
      <c r="C827" s="671"/>
      <c r="D827" s="671"/>
      <c r="E827" s="462"/>
      <c r="F827" s="654"/>
      <c r="G827" s="650"/>
      <c r="H827" s="654"/>
      <c r="I827" s="654"/>
      <c r="J827" s="650"/>
      <c r="K827" s="650"/>
      <c r="L827" s="655"/>
      <c r="M827" s="655"/>
      <c r="N827" s="655"/>
      <c r="O827" s="655"/>
      <c r="P827" s="655"/>
      <c r="Q827" s="655"/>
      <c r="R827" s="655"/>
      <c r="S827" s="655"/>
      <c r="T827" s="655"/>
      <c r="U827" s="655"/>
      <c r="V827" s="655"/>
      <c r="W827" s="655"/>
      <c r="X827" s="655"/>
      <c r="Y827" s="655"/>
      <c r="Z827" s="655"/>
      <c r="AA827" s="655"/>
    </row>
    <row r="828">
      <c r="B828" s="462"/>
      <c r="C828" s="671"/>
      <c r="D828" s="671"/>
      <c r="E828" s="462"/>
      <c r="F828" s="654"/>
      <c r="G828" s="650"/>
      <c r="H828" s="654"/>
      <c r="I828" s="654"/>
      <c r="J828" s="650"/>
      <c r="K828" s="650"/>
      <c r="L828" s="655"/>
      <c r="M828" s="655"/>
      <c r="N828" s="655"/>
      <c r="O828" s="655"/>
      <c r="P828" s="655"/>
      <c r="Q828" s="655"/>
      <c r="R828" s="655"/>
      <c r="S828" s="655"/>
      <c r="T828" s="655"/>
      <c r="U828" s="655"/>
      <c r="V828" s="655"/>
      <c r="W828" s="655"/>
      <c r="X828" s="655"/>
      <c r="Y828" s="655"/>
      <c r="Z828" s="655"/>
      <c r="AA828" s="655"/>
    </row>
    <row r="829">
      <c r="B829" s="462"/>
      <c r="C829" s="671"/>
      <c r="D829" s="671"/>
      <c r="E829" s="462"/>
      <c r="F829" s="654"/>
      <c r="G829" s="650"/>
      <c r="H829" s="654"/>
      <c r="I829" s="654"/>
      <c r="J829" s="650"/>
      <c r="K829" s="650"/>
      <c r="L829" s="655"/>
      <c r="M829" s="655"/>
      <c r="N829" s="655"/>
      <c r="O829" s="655"/>
      <c r="P829" s="655"/>
      <c r="Q829" s="655"/>
      <c r="R829" s="655"/>
      <c r="S829" s="655"/>
      <c r="T829" s="655"/>
      <c r="U829" s="655"/>
      <c r="V829" s="655"/>
      <c r="W829" s="655"/>
      <c r="X829" s="655"/>
      <c r="Y829" s="655"/>
      <c r="Z829" s="655"/>
      <c r="AA829" s="655"/>
    </row>
    <row r="830">
      <c r="B830" s="462"/>
      <c r="C830" s="671"/>
      <c r="D830" s="671"/>
      <c r="E830" s="462"/>
      <c r="F830" s="654"/>
      <c r="G830" s="650"/>
      <c r="H830" s="654"/>
      <c r="I830" s="654"/>
      <c r="J830" s="650"/>
      <c r="K830" s="650"/>
      <c r="L830" s="655"/>
      <c r="M830" s="655"/>
      <c r="N830" s="655"/>
      <c r="O830" s="655"/>
      <c r="P830" s="655"/>
      <c r="Q830" s="655"/>
      <c r="R830" s="655"/>
      <c r="S830" s="655"/>
      <c r="T830" s="655"/>
      <c r="U830" s="655"/>
      <c r="V830" s="655"/>
      <c r="W830" s="655"/>
      <c r="X830" s="655"/>
      <c r="Y830" s="655"/>
      <c r="Z830" s="655"/>
      <c r="AA830" s="655"/>
    </row>
    <row r="831">
      <c r="B831" s="462"/>
      <c r="C831" s="671"/>
      <c r="D831" s="671"/>
      <c r="E831" s="462"/>
      <c r="F831" s="654"/>
      <c r="G831" s="650"/>
      <c r="H831" s="654"/>
      <c r="I831" s="654"/>
      <c r="J831" s="650"/>
      <c r="K831" s="650"/>
      <c r="L831" s="655"/>
      <c r="M831" s="655"/>
      <c r="N831" s="655"/>
      <c r="O831" s="655"/>
      <c r="P831" s="655"/>
      <c r="Q831" s="655"/>
      <c r="R831" s="655"/>
      <c r="S831" s="655"/>
      <c r="T831" s="655"/>
      <c r="U831" s="655"/>
      <c r="V831" s="655"/>
      <c r="W831" s="655"/>
      <c r="X831" s="655"/>
      <c r="Y831" s="655"/>
      <c r="Z831" s="655"/>
      <c r="AA831" s="655"/>
    </row>
    <row r="832">
      <c r="B832" s="462"/>
      <c r="C832" s="671"/>
      <c r="D832" s="671"/>
      <c r="E832" s="462"/>
      <c r="F832" s="654"/>
      <c r="G832" s="650"/>
      <c r="H832" s="654"/>
      <c r="I832" s="654"/>
      <c r="J832" s="650"/>
      <c r="K832" s="650"/>
      <c r="L832" s="655"/>
      <c r="M832" s="655"/>
      <c r="N832" s="655"/>
      <c r="O832" s="655"/>
      <c r="P832" s="655"/>
      <c r="Q832" s="655"/>
      <c r="R832" s="655"/>
      <c r="S832" s="655"/>
      <c r="T832" s="655"/>
      <c r="U832" s="655"/>
      <c r="V832" s="655"/>
      <c r="W832" s="655"/>
      <c r="X832" s="655"/>
      <c r="Y832" s="655"/>
      <c r="Z832" s="655"/>
      <c r="AA832" s="655"/>
    </row>
    <row r="833">
      <c r="B833" s="462"/>
      <c r="C833" s="671"/>
      <c r="D833" s="671"/>
      <c r="E833" s="462"/>
      <c r="F833" s="654"/>
      <c r="G833" s="650"/>
      <c r="H833" s="654"/>
      <c r="I833" s="654"/>
      <c r="J833" s="650"/>
      <c r="K833" s="650"/>
      <c r="L833" s="655"/>
      <c r="M833" s="655"/>
      <c r="N833" s="655"/>
      <c r="O833" s="655"/>
      <c r="P833" s="655"/>
      <c r="Q833" s="655"/>
      <c r="R833" s="655"/>
      <c r="S833" s="655"/>
      <c r="T833" s="655"/>
      <c r="U833" s="655"/>
      <c r="V833" s="655"/>
      <c r="W833" s="655"/>
      <c r="X833" s="655"/>
      <c r="Y833" s="655"/>
      <c r="Z833" s="655"/>
      <c r="AA833" s="655"/>
    </row>
    <row r="834">
      <c r="B834" s="462"/>
      <c r="C834" s="671"/>
      <c r="D834" s="671"/>
      <c r="E834" s="462"/>
      <c r="F834" s="654"/>
      <c r="G834" s="650"/>
      <c r="H834" s="654"/>
      <c r="I834" s="654"/>
      <c r="J834" s="650"/>
      <c r="K834" s="650"/>
      <c r="L834" s="655"/>
      <c r="M834" s="655"/>
      <c r="N834" s="655"/>
      <c r="O834" s="655"/>
      <c r="P834" s="655"/>
      <c r="Q834" s="655"/>
      <c r="R834" s="655"/>
      <c r="S834" s="655"/>
      <c r="T834" s="655"/>
      <c r="U834" s="655"/>
      <c r="V834" s="655"/>
      <c r="W834" s="655"/>
      <c r="X834" s="655"/>
      <c r="Y834" s="655"/>
      <c r="Z834" s="655"/>
      <c r="AA834" s="655"/>
    </row>
    <row r="835">
      <c r="B835" s="462"/>
      <c r="C835" s="671"/>
      <c r="D835" s="671"/>
      <c r="E835" s="462"/>
      <c r="F835" s="654"/>
      <c r="G835" s="650"/>
      <c r="H835" s="654"/>
      <c r="I835" s="654"/>
      <c r="J835" s="650"/>
      <c r="K835" s="650"/>
      <c r="L835" s="655"/>
      <c r="M835" s="655"/>
      <c r="N835" s="655"/>
      <c r="O835" s="655"/>
      <c r="P835" s="655"/>
      <c r="Q835" s="655"/>
      <c r="R835" s="655"/>
      <c r="S835" s="655"/>
      <c r="T835" s="655"/>
      <c r="U835" s="655"/>
      <c r="V835" s="655"/>
      <c r="W835" s="655"/>
      <c r="X835" s="655"/>
      <c r="Y835" s="655"/>
      <c r="Z835" s="655"/>
      <c r="AA835" s="655"/>
    </row>
    <row r="836">
      <c r="B836" s="462"/>
      <c r="C836" s="671"/>
      <c r="D836" s="671"/>
      <c r="E836" s="462"/>
      <c r="F836" s="654"/>
      <c r="G836" s="650"/>
      <c r="H836" s="654"/>
      <c r="I836" s="654"/>
      <c r="J836" s="650"/>
      <c r="K836" s="650"/>
      <c r="L836" s="655"/>
      <c r="M836" s="655"/>
      <c r="N836" s="655"/>
      <c r="O836" s="655"/>
      <c r="P836" s="655"/>
      <c r="Q836" s="655"/>
      <c r="R836" s="655"/>
      <c r="S836" s="655"/>
      <c r="T836" s="655"/>
      <c r="U836" s="655"/>
      <c r="V836" s="655"/>
      <c r="W836" s="655"/>
      <c r="X836" s="655"/>
      <c r="Y836" s="655"/>
      <c r="Z836" s="655"/>
      <c r="AA836" s="655"/>
    </row>
    <row r="837">
      <c r="B837" s="462"/>
      <c r="C837" s="671"/>
      <c r="D837" s="671"/>
      <c r="E837" s="462"/>
      <c r="F837" s="654"/>
      <c r="G837" s="650"/>
      <c r="H837" s="654"/>
      <c r="I837" s="654"/>
      <c r="J837" s="650"/>
      <c r="K837" s="650"/>
      <c r="L837" s="655"/>
      <c r="M837" s="655"/>
      <c r="N837" s="655"/>
      <c r="O837" s="655"/>
      <c r="P837" s="655"/>
      <c r="Q837" s="655"/>
      <c r="R837" s="655"/>
      <c r="S837" s="655"/>
      <c r="T837" s="655"/>
      <c r="U837" s="655"/>
      <c r="V837" s="655"/>
      <c r="W837" s="655"/>
      <c r="X837" s="655"/>
      <c r="Y837" s="655"/>
      <c r="Z837" s="655"/>
      <c r="AA837" s="655"/>
    </row>
    <row r="838">
      <c r="B838" s="462"/>
      <c r="C838" s="671"/>
      <c r="D838" s="671"/>
      <c r="E838" s="462"/>
      <c r="F838" s="654"/>
      <c r="G838" s="650"/>
      <c r="H838" s="654"/>
      <c r="I838" s="654"/>
      <c r="J838" s="650"/>
      <c r="K838" s="650"/>
      <c r="L838" s="655"/>
      <c r="M838" s="655"/>
      <c r="N838" s="655"/>
      <c r="O838" s="655"/>
      <c r="P838" s="655"/>
      <c r="Q838" s="655"/>
      <c r="R838" s="655"/>
      <c r="S838" s="655"/>
      <c r="T838" s="655"/>
      <c r="U838" s="655"/>
      <c r="V838" s="655"/>
      <c r="W838" s="655"/>
      <c r="X838" s="655"/>
      <c r="Y838" s="655"/>
      <c r="Z838" s="655"/>
      <c r="AA838" s="655"/>
    </row>
    <row r="839">
      <c r="B839" s="462"/>
      <c r="C839" s="671"/>
      <c r="D839" s="671"/>
      <c r="E839" s="462"/>
      <c r="F839" s="654"/>
      <c r="G839" s="650"/>
      <c r="H839" s="654"/>
      <c r="I839" s="654"/>
      <c r="J839" s="650"/>
      <c r="K839" s="650"/>
      <c r="L839" s="655"/>
      <c r="M839" s="655"/>
      <c r="N839" s="655"/>
      <c r="O839" s="655"/>
      <c r="P839" s="655"/>
      <c r="Q839" s="655"/>
      <c r="R839" s="655"/>
      <c r="S839" s="655"/>
      <c r="T839" s="655"/>
      <c r="U839" s="655"/>
      <c r="V839" s="655"/>
      <c r="W839" s="655"/>
      <c r="X839" s="655"/>
      <c r="Y839" s="655"/>
      <c r="Z839" s="655"/>
      <c r="AA839" s="655"/>
    </row>
    <row r="840">
      <c r="B840" s="462"/>
      <c r="C840" s="671"/>
      <c r="D840" s="671"/>
      <c r="E840" s="462"/>
      <c r="F840" s="654"/>
      <c r="G840" s="650"/>
      <c r="H840" s="654"/>
      <c r="I840" s="654"/>
      <c r="J840" s="650"/>
      <c r="K840" s="650"/>
      <c r="L840" s="655"/>
      <c r="M840" s="655"/>
      <c r="N840" s="655"/>
      <c r="O840" s="655"/>
      <c r="P840" s="655"/>
      <c r="Q840" s="655"/>
      <c r="R840" s="655"/>
      <c r="S840" s="655"/>
      <c r="T840" s="655"/>
      <c r="U840" s="655"/>
      <c r="V840" s="655"/>
      <c r="W840" s="655"/>
      <c r="X840" s="655"/>
      <c r="Y840" s="655"/>
      <c r="Z840" s="655"/>
      <c r="AA840" s="655"/>
    </row>
    <row r="841">
      <c r="B841" s="462"/>
      <c r="C841" s="671"/>
      <c r="D841" s="671"/>
      <c r="E841" s="462"/>
      <c r="F841" s="654"/>
      <c r="G841" s="650"/>
      <c r="H841" s="654"/>
      <c r="I841" s="654"/>
      <c r="J841" s="650"/>
      <c r="K841" s="650"/>
      <c r="L841" s="655"/>
      <c r="M841" s="655"/>
      <c r="N841" s="655"/>
      <c r="O841" s="655"/>
      <c r="P841" s="655"/>
      <c r="Q841" s="655"/>
      <c r="R841" s="655"/>
      <c r="S841" s="655"/>
      <c r="T841" s="655"/>
      <c r="U841" s="655"/>
      <c r="V841" s="655"/>
      <c r="W841" s="655"/>
      <c r="X841" s="655"/>
      <c r="Y841" s="655"/>
      <c r="Z841" s="655"/>
      <c r="AA841" s="655"/>
    </row>
    <row r="842">
      <c r="B842" s="462"/>
      <c r="C842" s="671"/>
      <c r="D842" s="671"/>
      <c r="E842" s="462"/>
      <c r="F842" s="654"/>
      <c r="G842" s="650"/>
      <c r="H842" s="654"/>
      <c r="I842" s="654"/>
      <c r="J842" s="650"/>
      <c r="K842" s="650"/>
      <c r="L842" s="655"/>
      <c r="M842" s="655"/>
      <c r="N842" s="655"/>
      <c r="O842" s="655"/>
      <c r="P842" s="655"/>
      <c r="Q842" s="655"/>
      <c r="R842" s="655"/>
      <c r="S842" s="655"/>
      <c r="T842" s="655"/>
      <c r="U842" s="655"/>
      <c r="V842" s="655"/>
      <c r="W842" s="655"/>
      <c r="X842" s="655"/>
      <c r="Y842" s="655"/>
      <c r="Z842" s="655"/>
      <c r="AA842" s="655"/>
    </row>
    <row r="843">
      <c r="B843" s="462"/>
      <c r="C843" s="671"/>
      <c r="D843" s="671"/>
      <c r="E843" s="462"/>
      <c r="F843" s="654"/>
      <c r="G843" s="650"/>
      <c r="H843" s="654"/>
      <c r="I843" s="654"/>
      <c r="J843" s="650"/>
      <c r="K843" s="650"/>
      <c r="L843" s="655"/>
      <c r="M843" s="655"/>
      <c r="N843" s="655"/>
      <c r="O843" s="655"/>
      <c r="P843" s="655"/>
      <c r="Q843" s="655"/>
      <c r="R843" s="655"/>
      <c r="S843" s="655"/>
      <c r="T843" s="655"/>
      <c r="U843" s="655"/>
      <c r="V843" s="655"/>
      <c r="W843" s="655"/>
      <c r="X843" s="655"/>
      <c r="Y843" s="655"/>
      <c r="Z843" s="655"/>
      <c r="AA843" s="655"/>
    </row>
    <row r="844">
      <c r="B844" s="462"/>
      <c r="C844" s="671"/>
      <c r="D844" s="671"/>
      <c r="E844" s="462"/>
      <c r="F844" s="654"/>
      <c r="G844" s="650"/>
      <c r="H844" s="654"/>
      <c r="I844" s="654"/>
      <c r="J844" s="650"/>
      <c r="K844" s="650"/>
      <c r="L844" s="655"/>
      <c r="M844" s="655"/>
      <c r="N844" s="655"/>
      <c r="O844" s="655"/>
      <c r="P844" s="655"/>
      <c r="Q844" s="655"/>
      <c r="R844" s="655"/>
      <c r="S844" s="655"/>
      <c r="T844" s="655"/>
      <c r="U844" s="655"/>
      <c r="V844" s="655"/>
      <c r="W844" s="655"/>
      <c r="X844" s="655"/>
      <c r="Y844" s="655"/>
      <c r="Z844" s="655"/>
      <c r="AA844" s="655"/>
    </row>
    <row r="845">
      <c r="B845" s="462"/>
      <c r="C845" s="671"/>
      <c r="D845" s="671"/>
      <c r="E845" s="462"/>
      <c r="F845" s="654"/>
      <c r="G845" s="650"/>
      <c r="H845" s="654"/>
      <c r="I845" s="654"/>
      <c r="J845" s="650"/>
      <c r="K845" s="650"/>
      <c r="L845" s="655"/>
      <c r="M845" s="655"/>
      <c r="N845" s="655"/>
      <c r="O845" s="655"/>
      <c r="P845" s="655"/>
      <c r="Q845" s="655"/>
      <c r="R845" s="655"/>
      <c r="S845" s="655"/>
      <c r="T845" s="655"/>
      <c r="U845" s="655"/>
      <c r="V845" s="655"/>
      <c r="W845" s="655"/>
      <c r="X845" s="655"/>
      <c r="Y845" s="655"/>
      <c r="Z845" s="655"/>
      <c r="AA845" s="655"/>
    </row>
    <row r="846">
      <c r="B846" s="462"/>
      <c r="C846" s="671"/>
      <c r="D846" s="671"/>
      <c r="E846" s="462"/>
      <c r="F846" s="654"/>
      <c r="G846" s="650"/>
      <c r="H846" s="654"/>
      <c r="I846" s="654"/>
      <c r="J846" s="650"/>
      <c r="K846" s="650"/>
      <c r="L846" s="655"/>
      <c r="M846" s="655"/>
      <c r="N846" s="655"/>
      <c r="O846" s="655"/>
      <c r="P846" s="655"/>
      <c r="Q846" s="655"/>
      <c r="R846" s="655"/>
      <c r="S846" s="655"/>
      <c r="T846" s="655"/>
      <c r="U846" s="655"/>
      <c r="V846" s="655"/>
      <c r="W846" s="655"/>
      <c r="X846" s="655"/>
      <c r="Y846" s="655"/>
      <c r="Z846" s="655"/>
      <c r="AA846" s="655"/>
    </row>
    <row r="847">
      <c r="B847" s="462"/>
      <c r="C847" s="671"/>
      <c r="D847" s="671"/>
      <c r="E847" s="462"/>
      <c r="F847" s="654"/>
      <c r="G847" s="650"/>
      <c r="H847" s="654"/>
      <c r="I847" s="654"/>
      <c r="J847" s="650"/>
      <c r="K847" s="650"/>
      <c r="L847" s="655"/>
      <c r="M847" s="655"/>
      <c r="N847" s="655"/>
      <c r="O847" s="655"/>
      <c r="P847" s="655"/>
      <c r="Q847" s="655"/>
      <c r="R847" s="655"/>
      <c r="S847" s="655"/>
      <c r="T847" s="655"/>
      <c r="U847" s="655"/>
      <c r="V847" s="655"/>
      <c r="W847" s="655"/>
      <c r="X847" s="655"/>
      <c r="Y847" s="655"/>
      <c r="Z847" s="655"/>
      <c r="AA847" s="655"/>
    </row>
    <row r="848">
      <c r="B848" s="462"/>
      <c r="C848" s="671"/>
      <c r="D848" s="671"/>
      <c r="E848" s="462"/>
      <c r="F848" s="654"/>
      <c r="G848" s="650"/>
      <c r="H848" s="654"/>
      <c r="I848" s="654"/>
      <c r="J848" s="650"/>
      <c r="K848" s="650"/>
      <c r="L848" s="655"/>
      <c r="M848" s="655"/>
      <c r="N848" s="655"/>
      <c r="O848" s="655"/>
      <c r="P848" s="655"/>
      <c r="Q848" s="655"/>
      <c r="R848" s="655"/>
      <c r="S848" s="655"/>
      <c r="T848" s="655"/>
      <c r="U848" s="655"/>
      <c r="V848" s="655"/>
      <c r="W848" s="655"/>
      <c r="X848" s="655"/>
      <c r="Y848" s="655"/>
      <c r="Z848" s="655"/>
      <c r="AA848" s="655"/>
    </row>
    <row r="849">
      <c r="B849" s="462"/>
      <c r="C849" s="671"/>
      <c r="D849" s="671"/>
      <c r="E849" s="462"/>
      <c r="F849" s="654"/>
      <c r="G849" s="650"/>
      <c r="H849" s="654"/>
      <c r="I849" s="654"/>
      <c r="J849" s="650"/>
      <c r="K849" s="650"/>
      <c r="L849" s="655"/>
      <c r="M849" s="655"/>
      <c r="N849" s="655"/>
      <c r="O849" s="655"/>
      <c r="P849" s="655"/>
      <c r="Q849" s="655"/>
      <c r="R849" s="655"/>
      <c r="S849" s="655"/>
      <c r="T849" s="655"/>
      <c r="U849" s="655"/>
      <c r="V849" s="655"/>
      <c r="W849" s="655"/>
      <c r="X849" s="655"/>
      <c r="Y849" s="655"/>
      <c r="Z849" s="655"/>
      <c r="AA849" s="655"/>
    </row>
    <row r="850">
      <c r="B850" s="462"/>
      <c r="C850" s="671"/>
      <c r="D850" s="671"/>
      <c r="E850" s="462"/>
      <c r="F850" s="654"/>
      <c r="G850" s="650"/>
      <c r="H850" s="654"/>
      <c r="I850" s="654"/>
      <c r="J850" s="650"/>
      <c r="K850" s="650"/>
      <c r="L850" s="655"/>
      <c r="M850" s="655"/>
      <c r="N850" s="655"/>
      <c r="O850" s="655"/>
      <c r="P850" s="655"/>
      <c r="Q850" s="655"/>
      <c r="R850" s="655"/>
      <c r="S850" s="655"/>
      <c r="T850" s="655"/>
      <c r="U850" s="655"/>
      <c r="V850" s="655"/>
      <c r="W850" s="655"/>
      <c r="X850" s="655"/>
      <c r="Y850" s="655"/>
      <c r="Z850" s="655"/>
      <c r="AA850" s="655"/>
    </row>
    <row r="851">
      <c r="B851" s="462"/>
      <c r="C851" s="671"/>
      <c r="D851" s="671"/>
      <c r="E851" s="462"/>
      <c r="F851" s="654"/>
      <c r="G851" s="650"/>
      <c r="H851" s="654"/>
      <c r="I851" s="654"/>
      <c r="J851" s="650"/>
      <c r="K851" s="650"/>
      <c r="L851" s="655"/>
      <c r="M851" s="655"/>
      <c r="N851" s="655"/>
      <c r="O851" s="655"/>
      <c r="P851" s="655"/>
      <c r="Q851" s="655"/>
      <c r="R851" s="655"/>
      <c r="S851" s="655"/>
      <c r="T851" s="655"/>
      <c r="U851" s="655"/>
      <c r="V851" s="655"/>
      <c r="W851" s="655"/>
      <c r="X851" s="655"/>
      <c r="Y851" s="655"/>
      <c r="Z851" s="655"/>
      <c r="AA851" s="655"/>
    </row>
    <row r="852">
      <c r="B852" s="462"/>
      <c r="C852" s="671"/>
      <c r="D852" s="671"/>
      <c r="E852" s="462"/>
      <c r="F852" s="654"/>
      <c r="G852" s="650"/>
      <c r="H852" s="654"/>
      <c r="I852" s="654"/>
      <c r="J852" s="650"/>
      <c r="K852" s="650"/>
      <c r="L852" s="655"/>
      <c r="M852" s="655"/>
      <c r="N852" s="655"/>
      <c r="O852" s="655"/>
      <c r="P852" s="655"/>
      <c r="Q852" s="655"/>
      <c r="R852" s="655"/>
      <c r="S852" s="655"/>
      <c r="T852" s="655"/>
      <c r="U852" s="655"/>
      <c r="V852" s="655"/>
      <c r="W852" s="655"/>
      <c r="X852" s="655"/>
      <c r="Y852" s="655"/>
      <c r="Z852" s="655"/>
      <c r="AA852" s="655"/>
    </row>
    <row r="853">
      <c r="B853" s="462"/>
      <c r="C853" s="671"/>
      <c r="D853" s="671"/>
      <c r="E853" s="462"/>
      <c r="F853" s="654"/>
      <c r="G853" s="650"/>
      <c r="H853" s="654"/>
      <c r="I853" s="654"/>
      <c r="J853" s="650"/>
      <c r="K853" s="650"/>
      <c r="L853" s="655"/>
      <c r="M853" s="655"/>
      <c r="N853" s="655"/>
      <c r="O853" s="655"/>
      <c r="P853" s="655"/>
      <c r="Q853" s="655"/>
      <c r="R853" s="655"/>
      <c r="S853" s="655"/>
      <c r="T853" s="655"/>
      <c r="U853" s="655"/>
      <c r="V853" s="655"/>
      <c r="W853" s="655"/>
      <c r="X853" s="655"/>
      <c r="Y853" s="655"/>
      <c r="Z853" s="655"/>
      <c r="AA853" s="655"/>
    </row>
    <row r="854">
      <c r="B854" s="462"/>
      <c r="C854" s="671"/>
      <c r="D854" s="671"/>
      <c r="E854" s="462"/>
      <c r="F854" s="654"/>
      <c r="G854" s="650"/>
      <c r="H854" s="654"/>
      <c r="I854" s="654"/>
      <c r="J854" s="650"/>
      <c r="K854" s="650"/>
      <c r="L854" s="655"/>
      <c r="M854" s="655"/>
      <c r="N854" s="655"/>
      <c r="O854" s="655"/>
      <c r="P854" s="655"/>
      <c r="Q854" s="655"/>
      <c r="R854" s="655"/>
      <c r="S854" s="655"/>
      <c r="T854" s="655"/>
      <c r="U854" s="655"/>
      <c r="V854" s="655"/>
      <c r="W854" s="655"/>
      <c r="X854" s="655"/>
      <c r="Y854" s="655"/>
      <c r="Z854" s="655"/>
      <c r="AA854" s="655"/>
    </row>
    <row r="855">
      <c r="B855" s="462"/>
      <c r="C855" s="671"/>
      <c r="D855" s="671"/>
      <c r="E855" s="462"/>
      <c r="F855" s="654"/>
      <c r="G855" s="650"/>
      <c r="H855" s="654"/>
      <c r="I855" s="654"/>
      <c r="J855" s="650"/>
      <c r="K855" s="650"/>
      <c r="L855" s="655"/>
      <c r="M855" s="655"/>
      <c r="N855" s="655"/>
      <c r="O855" s="655"/>
      <c r="P855" s="655"/>
      <c r="Q855" s="655"/>
      <c r="R855" s="655"/>
      <c r="S855" s="655"/>
      <c r="T855" s="655"/>
      <c r="U855" s="655"/>
      <c r="V855" s="655"/>
      <c r="W855" s="655"/>
      <c r="X855" s="655"/>
      <c r="Y855" s="655"/>
      <c r="Z855" s="655"/>
      <c r="AA855" s="655"/>
    </row>
    <row r="856">
      <c r="B856" s="462"/>
      <c r="C856" s="671"/>
      <c r="D856" s="671"/>
      <c r="E856" s="462"/>
      <c r="F856" s="654"/>
      <c r="G856" s="650"/>
      <c r="H856" s="654"/>
      <c r="I856" s="654"/>
      <c r="J856" s="650"/>
      <c r="K856" s="650"/>
      <c r="L856" s="655"/>
      <c r="M856" s="655"/>
      <c r="N856" s="655"/>
      <c r="O856" s="655"/>
      <c r="P856" s="655"/>
      <c r="Q856" s="655"/>
      <c r="R856" s="655"/>
      <c r="S856" s="655"/>
      <c r="T856" s="655"/>
      <c r="U856" s="655"/>
      <c r="V856" s="655"/>
      <c r="W856" s="655"/>
      <c r="X856" s="655"/>
      <c r="Y856" s="655"/>
      <c r="Z856" s="655"/>
      <c r="AA856" s="655"/>
    </row>
    <row r="857">
      <c r="B857" s="462"/>
      <c r="C857" s="671"/>
      <c r="D857" s="671"/>
      <c r="E857" s="462"/>
      <c r="F857" s="654"/>
      <c r="G857" s="650"/>
      <c r="H857" s="654"/>
      <c r="I857" s="654"/>
      <c r="J857" s="650"/>
      <c r="K857" s="650"/>
      <c r="L857" s="655"/>
      <c r="M857" s="655"/>
      <c r="N857" s="655"/>
      <c r="O857" s="655"/>
      <c r="P857" s="655"/>
      <c r="Q857" s="655"/>
      <c r="R857" s="655"/>
      <c r="S857" s="655"/>
      <c r="T857" s="655"/>
      <c r="U857" s="655"/>
      <c r="V857" s="655"/>
      <c r="W857" s="655"/>
      <c r="X857" s="655"/>
      <c r="Y857" s="655"/>
      <c r="Z857" s="655"/>
      <c r="AA857" s="655"/>
    </row>
    <row r="858">
      <c r="B858" s="462"/>
      <c r="C858" s="671"/>
      <c r="D858" s="671"/>
      <c r="E858" s="462"/>
      <c r="F858" s="654"/>
      <c r="G858" s="650"/>
      <c r="H858" s="654"/>
      <c r="I858" s="654"/>
      <c r="J858" s="650"/>
      <c r="K858" s="650"/>
      <c r="L858" s="655"/>
      <c r="M858" s="655"/>
      <c r="N858" s="655"/>
      <c r="O858" s="655"/>
      <c r="P858" s="655"/>
      <c r="Q858" s="655"/>
      <c r="R858" s="655"/>
      <c r="S858" s="655"/>
      <c r="T858" s="655"/>
      <c r="U858" s="655"/>
      <c r="V858" s="655"/>
      <c r="W858" s="655"/>
      <c r="X858" s="655"/>
      <c r="Y858" s="655"/>
      <c r="Z858" s="655"/>
      <c r="AA858" s="655"/>
    </row>
    <row r="859">
      <c r="B859" s="462"/>
      <c r="C859" s="671"/>
      <c r="D859" s="671"/>
      <c r="E859" s="462"/>
      <c r="F859" s="654"/>
      <c r="G859" s="650"/>
      <c r="H859" s="654"/>
      <c r="I859" s="654"/>
      <c r="J859" s="650"/>
      <c r="K859" s="650"/>
      <c r="L859" s="655"/>
      <c r="M859" s="655"/>
      <c r="N859" s="655"/>
      <c r="O859" s="655"/>
      <c r="P859" s="655"/>
      <c r="Q859" s="655"/>
      <c r="R859" s="655"/>
      <c r="S859" s="655"/>
      <c r="T859" s="655"/>
      <c r="U859" s="655"/>
      <c r="V859" s="655"/>
      <c r="W859" s="655"/>
      <c r="X859" s="655"/>
      <c r="Y859" s="655"/>
      <c r="Z859" s="655"/>
      <c r="AA859" s="655"/>
    </row>
    <row r="860">
      <c r="B860" s="462"/>
      <c r="C860" s="671"/>
      <c r="D860" s="671"/>
      <c r="E860" s="462"/>
      <c r="F860" s="654"/>
      <c r="G860" s="650"/>
      <c r="H860" s="654"/>
      <c r="I860" s="654"/>
      <c r="J860" s="650"/>
      <c r="K860" s="650"/>
      <c r="L860" s="655"/>
      <c r="M860" s="655"/>
      <c r="N860" s="655"/>
      <c r="O860" s="655"/>
      <c r="P860" s="655"/>
      <c r="Q860" s="655"/>
      <c r="R860" s="655"/>
      <c r="S860" s="655"/>
      <c r="T860" s="655"/>
      <c r="U860" s="655"/>
      <c r="V860" s="655"/>
      <c r="W860" s="655"/>
      <c r="X860" s="655"/>
      <c r="Y860" s="655"/>
      <c r="Z860" s="655"/>
      <c r="AA860" s="655"/>
    </row>
    <row r="861">
      <c r="B861" s="462"/>
      <c r="C861" s="671"/>
      <c r="D861" s="671"/>
      <c r="E861" s="462"/>
      <c r="F861" s="654"/>
      <c r="G861" s="650"/>
      <c r="H861" s="654"/>
      <c r="I861" s="654"/>
      <c r="J861" s="650"/>
      <c r="K861" s="650"/>
      <c r="L861" s="655"/>
      <c r="M861" s="655"/>
      <c r="N861" s="655"/>
      <c r="O861" s="655"/>
      <c r="P861" s="655"/>
      <c r="Q861" s="655"/>
      <c r="R861" s="655"/>
      <c r="S861" s="655"/>
      <c r="T861" s="655"/>
      <c r="U861" s="655"/>
      <c r="V861" s="655"/>
      <c r="W861" s="655"/>
      <c r="X861" s="655"/>
      <c r="Y861" s="655"/>
      <c r="Z861" s="655"/>
      <c r="AA861" s="655"/>
    </row>
    <row r="862">
      <c r="B862" s="462"/>
      <c r="C862" s="671"/>
      <c r="D862" s="671"/>
      <c r="E862" s="462"/>
      <c r="F862" s="654"/>
      <c r="G862" s="650"/>
      <c r="H862" s="654"/>
      <c r="I862" s="654"/>
      <c r="J862" s="650"/>
      <c r="K862" s="650"/>
      <c r="L862" s="655"/>
      <c r="M862" s="655"/>
      <c r="N862" s="655"/>
      <c r="O862" s="655"/>
      <c r="P862" s="655"/>
      <c r="Q862" s="655"/>
      <c r="R862" s="655"/>
      <c r="S862" s="655"/>
      <c r="T862" s="655"/>
      <c r="U862" s="655"/>
      <c r="V862" s="655"/>
      <c r="W862" s="655"/>
      <c r="X862" s="655"/>
      <c r="Y862" s="655"/>
      <c r="Z862" s="655"/>
      <c r="AA862" s="655"/>
    </row>
    <row r="863">
      <c r="B863" s="462"/>
      <c r="C863" s="671"/>
      <c r="D863" s="671"/>
      <c r="E863" s="462"/>
      <c r="F863" s="654"/>
      <c r="G863" s="650"/>
      <c r="H863" s="654"/>
      <c r="I863" s="654"/>
      <c r="J863" s="650"/>
      <c r="K863" s="650"/>
      <c r="L863" s="655"/>
      <c r="M863" s="655"/>
      <c r="N863" s="655"/>
      <c r="O863" s="655"/>
      <c r="P863" s="655"/>
      <c r="Q863" s="655"/>
      <c r="R863" s="655"/>
      <c r="S863" s="655"/>
      <c r="T863" s="655"/>
      <c r="U863" s="655"/>
      <c r="V863" s="655"/>
      <c r="W863" s="655"/>
      <c r="X863" s="655"/>
      <c r="Y863" s="655"/>
      <c r="Z863" s="655"/>
      <c r="AA863" s="655"/>
    </row>
    <row r="864">
      <c r="B864" s="462"/>
      <c r="C864" s="671"/>
      <c r="D864" s="671"/>
      <c r="E864" s="462"/>
      <c r="F864" s="654"/>
      <c r="G864" s="650"/>
      <c r="H864" s="654"/>
      <c r="I864" s="654"/>
      <c r="J864" s="650"/>
      <c r="K864" s="650"/>
      <c r="L864" s="655"/>
      <c r="M864" s="655"/>
      <c r="N864" s="655"/>
      <c r="O864" s="655"/>
      <c r="P864" s="655"/>
      <c r="Q864" s="655"/>
      <c r="R864" s="655"/>
      <c r="S864" s="655"/>
      <c r="T864" s="655"/>
      <c r="U864" s="655"/>
      <c r="V864" s="655"/>
      <c r="W864" s="655"/>
      <c r="X864" s="655"/>
      <c r="Y864" s="655"/>
      <c r="Z864" s="655"/>
      <c r="AA864" s="655"/>
    </row>
    <row r="865">
      <c r="B865" s="462"/>
      <c r="C865" s="671"/>
      <c r="D865" s="671"/>
      <c r="E865" s="462"/>
      <c r="F865" s="654"/>
      <c r="G865" s="650"/>
      <c r="H865" s="654"/>
      <c r="I865" s="654"/>
      <c r="J865" s="650"/>
      <c r="K865" s="650"/>
      <c r="L865" s="655"/>
      <c r="M865" s="655"/>
      <c r="N865" s="655"/>
      <c r="O865" s="655"/>
      <c r="P865" s="655"/>
      <c r="Q865" s="655"/>
      <c r="R865" s="655"/>
      <c r="S865" s="655"/>
      <c r="T865" s="655"/>
      <c r="U865" s="655"/>
      <c r="V865" s="655"/>
      <c r="W865" s="655"/>
      <c r="X865" s="655"/>
      <c r="Y865" s="655"/>
      <c r="Z865" s="655"/>
      <c r="AA865" s="655"/>
    </row>
    <row r="866">
      <c r="B866" s="462"/>
      <c r="C866" s="671"/>
      <c r="D866" s="671"/>
      <c r="E866" s="462"/>
      <c r="F866" s="654"/>
      <c r="G866" s="650"/>
      <c r="H866" s="654"/>
      <c r="I866" s="654"/>
      <c r="J866" s="650"/>
      <c r="K866" s="650"/>
      <c r="L866" s="655"/>
      <c r="M866" s="655"/>
      <c r="N866" s="655"/>
      <c r="O866" s="655"/>
      <c r="P866" s="655"/>
      <c r="Q866" s="655"/>
      <c r="R866" s="655"/>
      <c r="S866" s="655"/>
      <c r="T866" s="655"/>
      <c r="U866" s="655"/>
      <c r="V866" s="655"/>
      <c r="W866" s="655"/>
      <c r="X866" s="655"/>
      <c r="Y866" s="655"/>
      <c r="Z866" s="655"/>
      <c r="AA866" s="655"/>
    </row>
    <row r="867">
      <c r="B867" s="462"/>
      <c r="C867" s="671"/>
      <c r="D867" s="671"/>
      <c r="E867" s="462"/>
      <c r="F867" s="654"/>
      <c r="G867" s="650"/>
      <c r="H867" s="654"/>
      <c r="I867" s="654"/>
      <c r="J867" s="650"/>
      <c r="K867" s="650"/>
      <c r="L867" s="655"/>
      <c r="M867" s="655"/>
      <c r="N867" s="655"/>
      <c r="O867" s="655"/>
      <c r="P867" s="655"/>
      <c r="Q867" s="655"/>
      <c r="R867" s="655"/>
      <c r="S867" s="655"/>
      <c r="T867" s="655"/>
      <c r="U867" s="655"/>
      <c r="V867" s="655"/>
      <c r="W867" s="655"/>
      <c r="X867" s="655"/>
      <c r="Y867" s="655"/>
      <c r="Z867" s="655"/>
      <c r="AA867" s="655"/>
    </row>
    <row r="868">
      <c r="B868" s="462"/>
      <c r="C868" s="671"/>
      <c r="D868" s="671"/>
      <c r="E868" s="462"/>
      <c r="F868" s="654"/>
      <c r="G868" s="650"/>
      <c r="H868" s="654"/>
      <c r="I868" s="654"/>
      <c r="J868" s="650"/>
      <c r="K868" s="650"/>
      <c r="L868" s="655"/>
      <c r="M868" s="655"/>
      <c r="N868" s="655"/>
      <c r="O868" s="655"/>
      <c r="P868" s="655"/>
      <c r="Q868" s="655"/>
      <c r="R868" s="655"/>
      <c r="S868" s="655"/>
      <c r="T868" s="655"/>
      <c r="U868" s="655"/>
      <c r="V868" s="655"/>
      <c r="W868" s="655"/>
      <c r="X868" s="655"/>
      <c r="Y868" s="655"/>
      <c r="Z868" s="655"/>
      <c r="AA868" s="655"/>
    </row>
    <row r="869">
      <c r="B869" s="462"/>
      <c r="C869" s="671"/>
      <c r="D869" s="671"/>
      <c r="E869" s="462"/>
      <c r="F869" s="654"/>
      <c r="G869" s="650"/>
      <c r="H869" s="654"/>
      <c r="I869" s="654"/>
      <c r="J869" s="650"/>
      <c r="K869" s="650"/>
      <c r="L869" s="655"/>
      <c r="M869" s="655"/>
      <c r="N869" s="655"/>
      <c r="O869" s="655"/>
      <c r="P869" s="655"/>
      <c r="Q869" s="655"/>
      <c r="R869" s="655"/>
      <c r="S869" s="655"/>
      <c r="T869" s="655"/>
      <c r="U869" s="655"/>
      <c r="V869" s="655"/>
      <c r="W869" s="655"/>
      <c r="X869" s="655"/>
      <c r="Y869" s="655"/>
      <c r="Z869" s="655"/>
      <c r="AA869" s="655"/>
    </row>
    <row r="870">
      <c r="B870" s="462"/>
      <c r="C870" s="671"/>
      <c r="D870" s="671"/>
      <c r="E870" s="462"/>
      <c r="F870" s="654"/>
      <c r="G870" s="650"/>
      <c r="H870" s="654"/>
      <c r="I870" s="654"/>
      <c r="J870" s="650"/>
      <c r="K870" s="650"/>
      <c r="L870" s="655"/>
      <c r="M870" s="655"/>
      <c r="N870" s="655"/>
      <c r="O870" s="655"/>
      <c r="P870" s="655"/>
      <c r="Q870" s="655"/>
      <c r="R870" s="655"/>
      <c r="S870" s="655"/>
      <c r="T870" s="655"/>
      <c r="U870" s="655"/>
      <c r="V870" s="655"/>
      <c r="W870" s="655"/>
      <c r="X870" s="655"/>
      <c r="Y870" s="655"/>
      <c r="Z870" s="655"/>
      <c r="AA870" s="655"/>
    </row>
    <row r="871">
      <c r="B871" s="462"/>
      <c r="C871" s="671"/>
      <c r="D871" s="671"/>
      <c r="E871" s="462"/>
      <c r="F871" s="654"/>
      <c r="G871" s="650"/>
      <c r="H871" s="654"/>
      <c r="I871" s="654"/>
      <c r="J871" s="650"/>
      <c r="K871" s="650"/>
      <c r="L871" s="655"/>
      <c r="M871" s="655"/>
      <c r="N871" s="655"/>
      <c r="O871" s="655"/>
      <c r="P871" s="655"/>
      <c r="Q871" s="655"/>
      <c r="R871" s="655"/>
      <c r="S871" s="655"/>
      <c r="T871" s="655"/>
      <c r="U871" s="655"/>
      <c r="V871" s="655"/>
      <c r="W871" s="655"/>
      <c r="X871" s="655"/>
      <c r="Y871" s="655"/>
      <c r="Z871" s="655"/>
      <c r="AA871" s="655"/>
    </row>
    <row r="872">
      <c r="B872" s="462"/>
      <c r="C872" s="671"/>
      <c r="D872" s="671"/>
      <c r="E872" s="462"/>
      <c r="F872" s="654"/>
      <c r="G872" s="650"/>
      <c r="H872" s="654"/>
      <c r="I872" s="654"/>
      <c r="J872" s="650"/>
      <c r="K872" s="650"/>
      <c r="L872" s="655"/>
      <c r="M872" s="655"/>
      <c r="N872" s="655"/>
      <c r="O872" s="655"/>
      <c r="P872" s="655"/>
      <c r="Q872" s="655"/>
      <c r="R872" s="655"/>
      <c r="S872" s="655"/>
      <c r="T872" s="655"/>
      <c r="U872" s="655"/>
      <c r="V872" s="655"/>
      <c r="W872" s="655"/>
      <c r="X872" s="655"/>
      <c r="Y872" s="655"/>
      <c r="Z872" s="655"/>
      <c r="AA872" s="655"/>
    </row>
    <row r="873">
      <c r="B873" s="462"/>
      <c r="C873" s="671"/>
      <c r="D873" s="671"/>
      <c r="E873" s="462"/>
      <c r="F873" s="654"/>
      <c r="G873" s="650"/>
      <c r="H873" s="654"/>
      <c r="I873" s="654"/>
      <c r="J873" s="650"/>
      <c r="K873" s="650"/>
      <c r="L873" s="655"/>
      <c r="M873" s="655"/>
      <c r="N873" s="655"/>
      <c r="O873" s="655"/>
      <c r="P873" s="655"/>
      <c r="Q873" s="655"/>
      <c r="R873" s="655"/>
      <c r="S873" s="655"/>
      <c r="T873" s="655"/>
      <c r="U873" s="655"/>
      <c r="V873" s="655"/>
      <c r="W873" s="655"/>
      <c r="X873" s="655"/>
      <c r="Y873" s="655"/>
      <c r="Z873" s="655"/>
      <c r="AA873" s="655"/>
    </row>
    <row r="874">
      <c r="B874" s="462"/>
      <c r="C874" s="671"/>
      <c r="D874" s="671"/>
      <c r="E874" s="462"/>
      <c r="F874" s="654"/>
      <c r="G874" s="650"/>
      <c r="H874" s="654"/>
      <c r="I874" s="654"/>
      <c r="J874" s="650"/>
      <c r="K874" s="650"/>
      <c r="L874" s="655"/>
      <c r="M874" s="655"/>
      <c r="N874" s="655"/>
      <c r="O874" s="655"/>
      <c r="P874" s="655"/>
      <c r="Q874" s="655"/>
      <c r="R874" s="655"/>
      <c r="S874" s="655"/>
      <c r="T874" s="655"/>
      <c r="U874" s="655"/>
      <c r="V874" s="655"/>
      <c r="W874" s="655"/>
      <c r="X874" s="655"/>
      <c r="Y874" s="655"/>
      <c r="Z874" s="655"/>
      <c r="AA874" s="655"/>
    </row>
    <row r="875">
      <c r="B875" s="462"/>
      <c r="C875" s="671"/>
      <c r="D875" s="671"/>
      <c r="E875" s="462"/>
      <c r="F875" s="654"/>
      <c r="G875" s="650"/>
      <c r="H875" s="654"/>
      <c r="I875" s="654"/>
      <c r="J875" s="650"/>
      <c r="K875" s="650"/>
      <c r="L875" s="655"/>
      <c r="M875" s="655"/>
      <c r="N875" s="655"/>
      <c r="O875" s="655"/>
      <c r="P875" s="655"/>
      <c r="Q875" s="655"/>
      <c r="R875" s="655"/>
      <c r="S875" s="655"/>
      <c r="T875" s="655"/>
      <c r="U875" s="655"/>
      <c r="V875" s="655"/>
      <c r="W875" s="655"/>
      <c r="X875" s="655"/>
      <c r="Y875" s="655"/>
      <c r="Z875" s="655"/>
      <c r="AA875" s="655"/>
    </row>
    <row r="876">
      <c r="B876" s="462"/>
      <c r="C876" s="671"/>
      <c r="D876" s="671"/>
      <c r="E876" s="462"/>
      <c r="F876" s="654"/>
      <c r="G876" s="650"/>
      <c r="H876" s="654"/>
      <c r="I876" s="654"/>
      <c r="J876" s="650"/>
      <c r="K876" s="650"/>
      <c r="L876" s="655"/>
      <c r="M876" s="655"/>
      <c r="N876" s="655"/>
      <c r="O876" s="655"/>
      <c r="P876" s="655"/>
      <c r="Q876" s="655"/>
      <c r="R876" s="655"/>
      <c r="S876" s="655"/>
      <c r="T876" s="655"/>
      <c r="U876" s="655"/>
      <c r="V876" s="655"/>
      <c r="W876" s="655"/>
      <c r="X876" s="655"/>
      <c r="Y876" s="655"/>
      <c r="Z876" s="655"/>
      <c r="AA876" s="655"/>
    </row>
    <row r="877">
      <c r="B877" s="462"/>
      <c r="C877" s="671"/>
      <c r="D877" s="671"/>
      <c r="E877" s="462"/>
      <c r="F877" s="654"/>
      <c r="G877" s="650"/>
      <c r="H877" s="654"/>
      <c r="I877" s="654"/>
      <c r="J877" s="650"/>
      <c r="K877" s="650"/>
      <c r="L877" s="655"/>
      <c r="M877" s="655"/>
      <c r="N877" s="655"/>
      <c r="O877" s="655"/>
      <c r="P877" s="655"/>
      <c r="Q877" s="655"/>
      <c r="R877" s="655"/>
      <c r="S877" s="655"/>
      <c r="T877" s="655"/>
      <c r="U877" s="655"/>
      <c r="V877" s="655"/>
      <c r="W877" s="655"/>
      <c r="X877" s="655"/>
      <c r="Y877" s="655"/>
      <c r="Z877" s="655"/>
      <c r="AA877" s="655"/>
    </row>
    <row r="878">
      <c r="B878" s="462"/>
      <c r="C878" s="671"/>
      <c r="D878" s="671"/>
      <c r="E878" s="462"/>
      <c r="F878" s="654"/>
      <c r="G878" s="650"/>
      <c r="H878" s="654"/>
      <c r="I878" s="654"/>
      <c r="J878" s="650"/>
      <c r="K878" s="650"/>
      <c r="L878" s="655"/>
      <c r="M878" s="655"/>
      <c r="N878" s="655"/>
      <c r="O878" s="655"/>
      <c r="P878" s="655"/>
      <c r="Q878" s="655"/>
      <c r="R878" s="655"/>
      <c r="S878" s="655"/>
      <c r="T878" s="655"/>
      <c r="U878" s="655"/>
      <c r="V878" s="655"/>
      <c r="W878" s="655"/>
      <c r="X878" s="655"/>
      <c r="Y878" s="655"/>
      <c r="Z878" s="655"/>
      <c r="AA878" s="655"/>
    </row>
    <row r="879">
      <c r="B879" s="462"/>
      <c r="C879" s="671"/>
      <c r="D879" s="671"/>
      <c r="E879" s="462"/>
      <c r="F879" s="654"/>
      <c r="G879" s="650"/>
      <c r="H879" s="654"/>
      <c r="I879" s="654"/>
      <c r="J879" s="650"/>
      <c r="K879" s="650"/>
      <c r="L879" s="655"/>
      <c r="M879" s="655"/>
      <c r="N879" s="655"/>
      <c r="O879" s="655"/>
      <c r="P879" s="655"/>
      <c r="Q879" s="655"/>
      <c r="R879" s="655"/>
      <c r="S879" s="655"/>
      <c r="T879" s="655"/>
      <c r="U879" s="655"/>
      <c r="V879" s="655"/>
      <c r="W879" s="655"/>
      <c r="X879" s="655"/>
      <c r="Y879" s="655"/>
      <c r="Z879" s="655"/>
      <c r="AA879" s="655"/>
    </row>
    <row r="880">
      <c r="B880" s="462"/>
      <c r="C880" s="671"/>
      <c r="D880" s="671"/>
      <c r="E880" s="462"/>
      <c r="F880" s="654"/>
      <c r="G880" s="650"/>
      <c r="H880" s="654"/>
      <c r="I880" s="654"/>
      <c r="J880" s="650"/>
      <c r="K880" s="650"/>
      <c r="L880" s="655"/>
      <c r="M880" s="655"/>
      <c r="N880" s="655"/>
      <c r="O880" s="655"/>
      <c r="P880" s="655"/>
      <c r="Q880" s="655"/>
      <c r="R880" s="655"/>
      <c r="S880" s="655"/>
      <c r="T880" s="655"/>
      <c r="U880" s="655"/>
      <c r="V880" s="655"/>
      <c r="W880" s="655"/>
      <c r="X880" s="655"/>
      <c r="Y880" s="655"/>
      <c r="Z880" s="655"/>
      <c r="AA880" s="655"/>
    </row>
    <row r="881">
      <c r="B881" s="462"/>
      <c r="C881" s="671"/>
      <c r="D881" s="671"/>
      <c r="E881" s="462"/>
      <c r="F881" s="654"/>
      <c r="G881" s="650"/>
      <c r="H881" s="654"/>
      <c r="I881" s="654"/>
      <c r="J881" s="650"/>
      <c r="K881" s="650"/>
      <c r="L881" s="655"/>
      <c r="M881" s="655"/>
      <c r="N881" s="655"/>
      <c r="O881" s="655"/>
      <c r="P881" s="655"/>
      <c r="Q881" s="655"/>
      <c r="R881" s="655"/>
      <c r="S881" s="655"/>
      <c r="T881" s="655"/>
      <c r="U881" s="655"/>
      <c r="V881" s="655"/>
      <c r="W881" s="655"/>
      <c r="X881" s="655"/>
      <c r="Y881" s="655"/>
      <c r="Z881" s="655"/>
      <c r="AA881" s="655"/>
    </row>
    <row r="882">
      <c r="B882" s="462"/>
      <c r="C882" s="671"/>
      <c r="D882" s="671"/>
      <c r="E882" s="462"/>
      <c r="F882" s="654"/>
      <c r="G882" s="650"/>
      <c r="H882" s="654"/>
      <c r="I882" s="654"/>
      <c r="J882" s="650"/>
      <c r="K882" s="650"/>
      <c r="L882" s="655"/>
      <c r="M882" s="655"/>
      <c r="N882" s="655"/>
      <c r="O882" s="655"/>
      <c r="P882" s="655"/>
      <c r="Q882" s="655"/>
      <c r="R882" s="655"/>
      <c r="S882" s="655"/>
      <c r="T882" s="655"/>
      <c r="U882" s="655"/>
      <c r="V882" s="655"/>
      <c r="W882" s="655"/>
      <c r="X882" s="655"/>
      <c r="Y882" s="655"/>
      <c r="Z882" s="655"/>
      <c r="AA882" s="655"/>
    </row>
    <row r="883">
      <c r="B883" s="462"/>
      <c r="C883" s="671"/>
      <c r="D883" s="671"/>
      <c r="E883" s="462"/>
      <c r="F883" s="654"/>
      <c r="G883" s="650"/>
      <c r="H883" s="654"/>
      <c r="I883" s="654"/>
      <c r="J883" s="650"/>
      <c r="K883" s="650"/>
      <c r="L883" s="655"/>
      <c r="M883" s="655"/>
      <c r="N883" s="655"/>
      <c r="O883" s="655"/>
      <c r="P883" s="655"/>
      <c r="Q883" s="655"/>
      <c r="R883" s="655"/>
      <c r="S883" s="655"/>
      <c r="T883" s="655"/>
      <c r="U883" s="655"/>
      <c r="V883" s="655"/>
      <c r="W883" s="655"/>
      <c r="X883" s="655"/>
      <c r="Y883" s="655"/>
      <c r="Z883" s="655"/>
      <c r="AA883" s="655"/>
    </row>
    <row r="884">
      <c r="B884" s="462"/>
      <c r="C884" s="671"/>
      <c r="D884" s="671"/>
      <c r="E884" s="462"/>
      <c r="F884" s="654"/>
      <c r="G884" s="650"/>
      <c r="H884" s="654"/>
      <c r="I884" s="654"/>
      <c r="J884" s="650"/>
      <c r="K884" s="650"/>
      <c r="L884" s="655"/>
      <c r="M884" s="655"/>
      <c r="N884" s="655"/>
      <c r="O884" s="655"/>
      <c r="P884" s="655"/>
      <c r="Q884" s="655"/>
      <c r="R884" s="655"/>
      <c r="S884" s="655"/>
      <c r="T884" s="655"/>
      <c r="U884" s="655"/>
      <c r="V884" s="655"/>
      <c r="W884" s="655"/>
      <c r="X884" s="655"/>
      <c r="Y884" s="655"/>
      <c r="Z884" s="655"/>
      <c r="AA884" s="655"/>
    </row>
    <row r="885">
      <c r="B885" s="462"/>
      <c r="C885" s="671"/>
      <c r="D885" s="671"/>
      <c r="E885" s="462"/>
      <c r="F885" s="654"/>
      <c r="G885" s="650"/>
      <c r="H885" s="654"/>
      <c r="I885" s="654"/>
      <c r="J885" s="650"/>
      <c r="K885" s="650"/>
      <c r="L885" s="655"/>
      <c r="M885" s="655"/>
      <c r="N885" s="655"/>
      <c r="O885" s="655"/>
      <c r="P885" s="655"/>
      <c r="Q885" s="655"/>
      <c r="R885" s="655"/>
      <c r="S885" s="655"/>
      <c r="T885" s="655"/>
      <c r="U885" s="655"/>
      <c r="V885" s="655"/>
      <c r="W885" s="655"/>
      <c r="X885" s="655"/>
      <c r="Y885" s="655"/>
      <c r="Z885" s="655"/>
      <c r="AA885" s="655"/>
    </row>
    <row r="886">
      <c r="B886" s="462"/>
      <c r="C886" s="671"/>
      <c r="D886" s="671"/>
      <c r="E886" s="462"/>
      <c r="F886" s="654"/>
      <c r="G886" s="650"/>
      <c r="H886" s="654"/>
      <c r="I886" s="654"/>
      <c r="J886" s="650"/>
      <c r="K886" s="650"/>
      <c r="L886" s="655"/>
      <c r="M886" s="655"/>
      <c r="N886" s="655"/>
      <c r="O886" s="655"/>
      <c r="P886" s="655"/>
      <c r="Q886" s="655"/>
      <c r="R886" s="655"/>
      <c r="S886" s="655"/>
      <c r="T886" s="655"/>
      <c r="U886" s="655"/>
      <c r="V886" s="655"/>
      <c r="W886" s="655"/>
      <c r="X886" s="655"/>
      <c r="Y886" s="655"/>
      <c r="Z886" s="655"/>
      <c r="AA886" s="655"/>
    </row>
    <row r="887">
      <c r="B887" s="462"/>
      <c r="C887" s="671"/>
      <c r="D887" s="671"/>
      <c r="E887" s="462"/>
      <c r="F887" s="654"/>
      <c r="G887" s="650"/>
      <c r="H887" s="654"/>
      <c r="I887" s="654"/>
      <c r="J887" s="650"/>
      <c r="K887" s="650"/>
      <c r="L887" s="655"/>
      <c r="M887" s="655"/>
      <c r="N887" s="655"/>
      <c r="O887" s="655"/>
      <c r="P887" s="655"/>
      <c r="Q887" s="655"/>
      <c r="R887" s="655"/>
      <c r="S887" s="655"/>
      <c r="T887" s="655"/>
      <c r="U887" s="655"/>
      <c r="V887" s="655"/>
      <c r="W887" s="655"/>
      <c r="X887" s="655"/>
      <c r="Y887" s="655"/>
      <c r="Z887" s="655"/>
      <c r="AA887" s="655"/>
    </row>
    <row r="888">
      <c r="B888" s="462"/>
      <c r="C888" s="671"/>
      <c r="D888" s="671"/>
      <c r="E888" s="462"/>
      <c r="F888" s="654"/>
      <c r="G888" s="650"/>
      <c r="H888" s="654"/>
      <c r="I888" s="654"/>
      <c r="J888" s="650"/>
      <c r="K888" s="650"/>
      <c r="L888" s="655"/>
      <c r="M888" s="655"/>
      <c r="N888" s="655"/>
      <c r="O888" s="655"/>
      <c r="P888" s="655"/>
      <c r="Q888" s="655"/>
      <c r="R888" s="655"/>
      <c r="S888" s="655"/>
      <c r="T888" s="655"/>
      <c r="U888" s="655"/>
      <c r="V888" s="655"/>
      <c r="W888" s="655"/>
      <c r="X888" s="655"/>
      <c r="Y888" s="655"/>
      <c r="Z888" s="655"/>
      <c r="AA888" s="655"/>
    </row>
    <row r="889">
      <c r="B889" s="462"/>
      <c r="C889" s="671"/>
      <c r="D889" s="671"/>
      <c r="E889" s="462"/>
      <c r="F889" s="654"/>
      <c r="G889" s="650"/>
      <c r="H889" s="654"/>
      <c r="I889" s="654"/>
      <c r="J889" s="650"/>
      <c r="K889" s="650"/>
      <c r="L889" s="655"/>
      <c r="M889" s="655"/>
      <c r="N889" s="655"/>
      <c r="O889" s="655"/>
      <c r="P889" s="655"/>
      <c r="Q889" s="655"/>
      <c r="R889" s="655"/>
      <c r="S889" s="655"/>
      <c r="T889" s="655"/>
      <c r="U889" s="655"/>
      <c r="V889" s="655"/>
      <c r="W889" s="655"/>
      <c r="X889" s="655"/>
      <c r="Y889" s="655"/>
      <c r="Z889" s="655"/>
      <c r="AA889" s="655"/>
    </row>
    <row r="890">
      <c r="B890" s="462"/>
      <c r="C890" s="671"/>
      <c r="D890" s="671"/>
      <c r="E890" s="462"/>
      <c r="F890" s="654"/>
      <c r="G890" s="650"/>
      <c r="H890" s="654"/>
      <c r="I890" s="654"/>
      <c r="J890" s="650"/>
      <c r="K890" s="650"/>
      <c r="L890" s="655"/>
      <c r="M890" s="655"/>
      <c r="N890" s="655"/>
      <c r="O890" s="655"/>
      <c r="P890" s="655"/>
      <c r="Q890" s="655"/>
      <c r="R890" s="655"/>
      <c r="S890" s="655"/>
      <c r="T890" s="655"/>
      <c r="U890" s="655"/>
      <c r="V890" s="655"/>
      <c r="W890" s="655"/>
      <c r="X890" s="655"/>
      <c r="Y890" s="655"/>
      <c r="Z890" s="655"/>
      <c r="AA890" s="655"/>
    </row>
    <row r="891">
      <c r="B891" s="462"/>
      <c r="C891" s="671"/>
      <c r="D891" s="671"/>
      <c r="E891" s="462"/>
      <c r="F891" s="654"/>
      <c r="G891" s="650"/>
      <c r="H891" s="654"/>
      <c r="I891" s="654"/>
      <c r="J891" s="650"/>
      <c r="K891" s="650"/>
      <c r="L891" s="655"/>
      <c r="M891" s="655"/>
      <c r="N891" s="655"/>
      <c r="O891" s="655"/>
      <c r="P891" s="655"/>
      <c r="Q891" s="655"/>
      <c r="R891" s="655"/>
      <c r="S891" s="655"/>
      <c r="T891" s="655"/>
      <c r="U891" s="655"/>
      <c r="V891" s="655"/>
      <c r="W891" s="655"/>
      <c r="X891" s="655"/>
      <c r="Y891" s="655"/>
      <c r="Z891" s="655"/>
      <c r="AA891" s="655"/>
    </row>
    <row r="892">
      <c r="B892" s="462"/>
      <c r="C892" s="671"/>
      <c r="D892" s="671"/>
      <c r="E892" s="462"/>
      <c r="F892" s="654"/>
      <c r="G892" s="650"/>
      <c r="H892" s="654"/>
      <c r="I892" s="654"/>
      <c r="J892" s="650"/>
      <c r="K892" s="650"/>
      <c r="L892" s="655"/>
      <c r="M892" s="655"/>
      <c r="N892" s="655"/>
      <c r="O892" s="655"/>
      <c r="P892" s="655"/>
      <c r="Q892" s="655"/>
      <c r="R892" s="655"/>
      <c r="S892" s="655"/>
      <c r="T892" s="655"/>
      <c r="U892" s="655"/>
      <c r="V892" s="655"/>
      <c r="W892" s="655"/>
      <c r="X892" s="655"/>
      <c r="Y892" s="655"/>
      <c r="Z892" s="655"/>
      <c r="AA892" s="655"/>
    </row>
    <row r="893">
      <c r="B893" s="462"/>
      <c r="C893" s="671"/>
      <c r="D893" s="671"/>
      <c r="E893" s="462"/>
      <c r="F893" s="654"/>
      <c r="G893" s="650"/>
      <c r="H893" s="654"/>
      <c r="I893" s="654"/>
      <c r="J893" s="650"/>
      <c r="K893" s="650"/>
      <c r="L893" s="655"/>
      <c r="M893" s="655"/>
      <c r="N893" s="655"/>
      <c r="O893" s="655"/>
      <c r="P893" s="655"/>
      <c r="Q893" s="655"/>
      <c r="R893" s="655"/>
      <c r="S893" s="655"/>
      <c r="T893" s="655"/>
      <c r="U893" s="655"/>
      <c r="V893" s="655"/>
      <c r="W893" s="655"/>
      <c r="X893" s="655"/>
      <c r="Y893" s="655"/>
      <c r="Z893" s="655"/>
      <c r="AA893" s="655"/>
    </row>
    <row r="894">
      <c r="B894" s="462"/>
      <c r="C894" s="671"/>
      <c r="D894" s="671"/>
      <c r="E894" s="462"/>
      <c r="F894" s="654"/>
      <c r="G894" s="650"/>
      <c r="H894" s="654"/>
      <c r="I894" s="654"/>
      <c r="J894" s="650"/>
      <c r="K894" s="650"/>
      <c r="L894" s="655"/>
      <c r="M894" s="655"/>
      <c r="N894" s="655"/>
      <c r="O894" s="655"/>
      <c r="P894" s="655"/>
      <c r="Q894" s="655"/>
      <c r="R894" s="655"/>
      <c r="S894" s="655"/>
      <c r="T894" s="655"/>
      <c r="U894" s="655"/>
      <c r="V894" s="655"/>
      <c r="W894" s="655"/>
      <c r="X894" s="655"/>
      <c r="Y894" s="655"/>
      <c r="Z894" s="655"/>
      <c r="AA894" s="655"/>
    </row>
    <row r="895">
      <c r="B895" s="462"/>
      <c r="C895" s="671"/>
      <c r="D895" s="671"/>
      <c r="E895" s="462"/>
      <c r="F895" s="654"/>
      <c r="G895" s="650"/>
      <c r="H895" s="654"/>
      <c r="I895" s="654"/>
      <c r="J895" s="650"/>
      <c r="K895" s="650"/>
      <c r="L895" s="655"/>
      <c r="M895" s="655"/>
      <c r="N895" s="655"/>
      <c r="O895" s="655"/>
      <c r="P895" s="655"/>
      <c r="Q895" s="655"/>
      <c r="R895" s="655"/>
      <c r="S895" s="655"/>
      <c r="T895" s="655"/>
      <c r="U895" s="655"/>
      <c r="V895" s="655"/>
      <c r="W895" s="655"/>
      <c r="X895" s="655"/>
      <c r="Y895" s="655"/>
      <c r="Z895" s="655"/>
      <c r="AA895" s="655"/>
    </row>
    <row r="896">
      <c r="B896" s="462"/>
      <c r="C896" s="671"/>
      <c r="D896" s="671"/>
      <c r="E896" s="462"/>
      <c r="F896" s="654"/>
      <c r="G896" s="650"/>
      <c r="H896" s="654"/>
      <c r="I896" s="654"/>
      <c r="J896" s="650"/>
      <c r="K896" s="650"/>
      <c r="L896" s="655"/>
      <c r="M896" s="655"/>
      <c r="N896" s="655"/>
      <c r="O896" s="655"/>
      <c r="P896" s="655"/>
      <c r="Q896" s="655"/>
      <c r="R896" s="655"/>
      <c r="S896" s="655"/>
      <c r="T896" s="655"/>
      <c r="U896" s="655"/>
      <c r="V896" s="655"/>
      <c r="W896" s="655"/>
      <c r="X896" s="655"/>
      <c r="Y896" s="655"/>
      <c r="Z896" s="655"/>
      <c r="AA896" s="655"/>
    </row>
    <row r="897">
      <c r="B897" s="462"/>
      <c r="C897" s="671"/>
      <c r="D897" s="671"/>
      <c r="E897" s="462"/>
      <c r="F897" s="654"/>
      <c r="G897" s="650"/>
      <c r="H897" s="654"/>
      <c r="I897" s="654"/>
      <c r="J897" s="650"/>
      <c r="K897" s="650"/>
      <c r="L897" s="655"/>
      <c r="M897" s="655"/>
      <c r="N897" s="655"/>
      <c r="O897" s="655"/>
      <c r="P897" s="655"/>
      <c r="Q897" s="655"/>
      <c r="R897" s="655"/>
      <c r="S897" s="655"/>
      <c r="T897" s="655"/>
      <c r="U897" s="655"/>
      <c r="V897" s="655"/>
      <c r="W897" s="655"/>
      <c r="X897" s="655"/>
      <c r="Y897" s="655"/>
      <c r="Z897" s="655"/>
      <c r="AA897" s="655"/>
    </row>
    <row r="898">
      <c r="B898" s="462"/>
      <c r="C898" s="671"/>
      <c r="D898" s="671"/>
      <c r="E898" s="462"/>
      <c r="F898" s="654"/>
      <c r="G898" s="650"/>
      <c r="H898" s="654"/>
      <c r="I898" s="654"/>
      <c r="J898" s="650"/>
      <c r="K898" s="650"/>
      <c r="L898" s="655"/>
      <c r="M898" s="655"/>
      <c r="N898" s="655"/>
      <c r="O898" s="655"/>
      <c r="P898" s="655"/>
      <c r="Q898" s="655"/>
      <c r="R898" s="655"/>
      <c r="S898" s="655"/>
      <c r="T898" s="655"/>
      <c r="U898" s="655"/>
      <c r="V898" s="655"/>
      <c r="W898" s="655"/>
      <c r="X898" s="655"/>
      <c r="Y898" s="655"/>
      <c r="Z898" s="655"/>
      <c r="AA898" s="655"/>
    </row>
    <row r="899">
      <c r="B899" s="462"/>
      <c r="C899" s="671"/>
      <c r="D899" s="671"/>
      <c r="E899" s="462"/>
      <c r="F899" s="654"/>
      <c r="G899" s="650"/>
      <c r="H899" s="654"/>
      <c r="I899" s="654"/>
      <c r="J899" s="650"/>
      <c r="K899" s="650"/>
      <c r="L899" s="655"/>
      <c r="M899" s="655"/>
      <c r="N899" s="655"/>
      <c r="O899" s="655"/>
      <c r="P899" s="655"/>
      <c r="Q899" s="655"/>
      <c r="R899" s="655"/>
      <c r="S899" s="655"/>
      <c r="T899" s="655"/>
      <c r="U899" s="655"/>
      <c r="V899" s="655"/>
      <c r="W899" s="655"/>
      <c r="X899" s="655"/>
      <c r="Y899" s="655"/>
      <c r="Z899" s="655"/>
      <c r="AA899" s="655"/>
    </row>
    <row r="900">
      <c r="B900" s="462"/>
      <c r="C900" s="671"/>
      <c r="D900" s="671"/>
      <c r="E900" s="462"/>
      <c r="F900" s="654"/>
      <c r="G900" s="650"/>
      <c r="H900" s="654"/>
      <c r="I900" s="654"/>
      <c r="J900" s="650"/>
      <c r="K900" s="650"/>
      <c r="L900" s="655"/>
      <c r="M900" s="655"/>
      <c r="N900" s="655"/>
      <c r="O900" s="655"/>
      <c r="P900" s="655"/>
      <c r="Q900" s="655"/>
      <c r="R900" s="655"/>
      <c r="S900" s="655"/>
      <c r="T900" s="655"/>
      <c r="U900" s="655"/>
      <c r="V900" s="655"/>
      <c r="W900" s="655"/>
      <c r="X900" s="655"/>
      <c r="Y900" s="655"/>
      <c r="Z900" s="655"/>
      <c r="AA900" s="655"/>
    </row>
    <row r="901">
      <c r="B901" s="462"/>
      <c r="C901" s="671"/>
      <c r="D901" s="671"/>
      <c r="E901" s="462"/>
      <c r="F901" s="654"/>
      <c r="G901" s="650"/>
      <c r="H901" s="654"/>
      <c r="I901" s="654"/>
      <c r="J901" s="650"/>
      <c r="K901" s="650"/>
      <c r="L901" s="655"/>
      <c r="M901" s="655"/>
      <c r="N901" s="655"/>
      <c r="O901" s="655"/>
      <c r="P901" s="655"/>
      <c r="Q901" s="655"/>
      <c r="R901" s="655"/>
      <c r="S901" s="655"/>
      <c r="T901" s="655"/>
      <c r="U901" s="655"/>
      <c r="V901" s="655"/>
      <c r="W901" s="655"/>
      <c r="X901" s="655"/>
      <c r="Y901" s="655"/>
      <c r="Z901" s="655"/>
      <c r="AA901" s="655"/>
    </row>
    <row r="902">
      <c r="B902" s="462"/>
      <c r="C902" s="671"/>
      <c r="D902" s="671"/>
      <c r="E902" s="462"/>
      <c r="F902" s="654"/>
      <c r="G902" s="650"/>
      <c r="H902" s="654"/>
      <c r="I902" s="654"/>
      <c r="J902" s="650"/>
      <c r="K902" s="650"/>
      <c r="L902" s="655"/>
      <c r="M902" s="655"/>
      <c r="N902" s="655"/>
      <c r="O902" s="655"/>
      <c r="P902" s="655"/>
      <c r="Q902" s="655"/>
      <c r="R902" s="655"/>
      <c r="S902" s="655"/>
      <c r="T902" s="655"/>
      <c r="U902" s="655"/>
      <c r="V902" s="655"/>
      <c r="W902" s="655"/>
      <c r="X902" s="655"/>
      <c r="Y902" s="655"/>
      <c r="Z902" s="655"/>
      <c r="AA902" s="655"/>
    </row>
    <row r="903">
      <c r="B903" s="462"/>
      <c r="C903" s="671"/>
      <c r="D903" s="671"/>
      <c r="E903" s="462"/>
      <c r="F903" s="654"/>
      <c r="G903" s="650"/>
      <c r="H903" s="654"/>
      <c r="I903" s="654"/>
      <c r="J903" s="650"/>
      <c r="K903" s="650"/>
      <c r="L903" s="655"/>
      <c r="M903" s="655"/>
      <c r="N903" s="655"/>
      <c r="O903" s="655"/>
      <c r="P903" s="655"/>
      <c r="Q903" s="655"/>
      <c r="R903" s="655"/>
      <c r="S903" s="655"/>
      <c r="T903" s="655"/>
      <c r="U903" s="655"/>
      <c r="V903" s="655"/>
      <c r="W903" s="655"/>
      <c r="X903" s="655"/>
      <c r="Y903" s="655"/>
      <c r="Z903" s="655"/>
      <c r="AA903" s="655"/>
    </row>
    <row r="904">
      <c r="B904" s="462"/>
      <c r="C904" s="671"/>
      <c r="D904" s="671"/>
      <c r="E904" s="462"/>
      <c r="F904" s="654"/>
      <c r="G904" s="650"/>
      <c r="H904" s="654"/>
      <c r="I904" s="654"/>
      <c r="J904" s="650"/>
      <c r="K904" s="650"/>
      <c r="L904" s="655"/>
      <c r="M904" s="655"/>
      <c r="N904" s="655"/>
      <c r="O904" s="655"/>
      <c r="P904" s="655"/>
      <c r="Q904" s="655"/>
      <c r="R904" s="655"/>
      <c r="S904" s="655"/>
      <c r="T904" s="655"/>
      <c r="U904" s="655"/>
      <c r="V904" s="655"/>
      <c r="W904" s="655"/>
      <c r="X904" s="655"/>
      <c r="Y904" s="655"/>
      <c r="Z904" s="655"/>
      <c r="AA904" s="655"/>
    </row>
    <row r="905">
      <c r="B905" s="462"/>
      <c r="C905" s="671"/>
      <c r="D905" s="671"/>
      <c r="E905" s="462"/>
      <c r="F905" s="654"/>
      <c r="G905" s="650"/>
      <c r="H905" s="654"/>
      <c r="I905" s="654"/>
      <c r="J905" s="650"/>
      <c r="K905" s="650"/>
      <c r="L905" s="655"/>
      <c r="M905" s="655"/>
      <c r="N905" s="655"/>
      <c r="O905" s="655"/>
      <c r="P905" s="655"/>
      <c r="Q905" s="655"/>
      <c r="R905" s="655"/>
      <c r="S905" s="655"/>
      <c r="T905" s="655"/>
      <c r="U905" s="655"/>
      <c r="V905" s="655"/>
      <c r="W905" s="655"/>
      <c r="X905" s="655"/>
      <c r="Y905" s="655"/>
      <c r="Z905" s="655"/>
      <c r="AA905" s="655"/>
    </row>
    <row r="906">
      <c r="B906" s="462"/>
      <c r="C906" s="671"/>
      <c r="D906" s="671"/>
      <c r="E906" s="462"/>
      <c r="F906" s="654"/>
      <c r="G906" s="650"/>
      <c r="H906" s="654"/>
      <c r="I906" s="654"/>
      <c r="J906" s="650"/>
      <c r="K906" s="650"/>
      <c r="L906" s="655"/>
      <c r="M906" s="655"/>
      <c r="N906" s="655"/>
      <c r="O906" s="655"/>
      <c r="P906" s="655"/>
      <c r="Q906" s="655"/>
      <c r="R906" s="655"/>
      <c r="S906" s="655"/>
      <c r="T906" s="655"/>
      <c r="U906" s="655"/>
      <c r="V906" s="655"/>
      <c r="W906" s="655"/>
      <c r="X906" s="655"/>
      <c r="Y906" s="655"/>
      <c r="Z906" s="655"/>
      <c r="AA906" s="655"/>
    </row>
    <row r="907">
      <c r="B907" s="462"/>
      <c r="C907" s="671"/>
      <c r="D907" s="671"/>
      <c r="E907" s="462"/>
      <c r="F907" s="654"/>
      <c r="G907" s="650"/>
      <c r="H907" s="654"/>
      <c r="I907" s="654"/>
      <c r="J907" s="650"/>
      <c r="K907" s="650"/>
      <c r="L907" s="655"/>
      <c r="M907" s="655"/>
      <c r="N907" s="655"/>
      <c r="O907" s="655"/>
      <c r="P907" s="655"/>
      <c r="Q907" s="655"/>
      <c r="R907" s="655"/>
      <c r="S907" s="655"/>
      <c r="T907" s="655"/>
      <c r="U907" s="655"/>
      <c r="V907" s="655"/>
      <c r="W907" s="655"/>
      <c r="X907" s="655"/>
      <c r="Y907" s="655"/>
      <c r="Z907" s="655"/>
      <c r="AA907" s="655"/>
    </row>
    <row r="908">
      <c r="B908" s="462"/>
      <c r="C908" s="671"/>
      <c r="D908" s="671"/>
      <c r="E908" s="462"/>
      <c r="F908" s="654"/>
      <c r="G908" s="650"/>
      <c r="H908" s="654"/>
      <c r="I908" s="654"/>
      <c r="J908" s="650"/>
      <c r="K908" s="650"/>
      <c r="L908" s="655"/>
      <c r="M908" s="655"/>
      <c r="N908" s="655"/>
      <c r="O908" s="655"/>
      <c r="P908" s="655"/>
      <c r="Q908" s="655"/>
      <c r="R908" s="655"/>
      <c r="S908" s="655"/>
      <c r="T908" s="655"/>
      <c r="U908" s="655"/>
      <c r="V908" s="655"/>
      <c r="W908" s="655"/>
      <c r="X908" s="655"/>
      <c r="Y908" s="655"/>
      <c r="Z908" s="655"/>
      <c r="AA908" s="655"/>
    </row>
    <row r="909">
      <c r="B909" s="462"/>
      <c r="C909" s="671"/>
      <c r="D909" s="671"/>
      <c r="E909" s="462"/>
      <c r="F909" s="654"/>
      <c r="G909" s="650"/>
      <c r="H909" s="654"/>
      <c r="I909" s="654"/>
      <c r="J909" s="650"/>
      <c r="K909" s="650"/>
      <c r="L909" s="655"/>
      <c r="M909" s="655"/>
      <c r="N909" s="655"/>
      <c r="O909" s="655"/>
      <c r="P909" s="655"/>
      <c r="Q909" s="655"/>
      <c r="R909" s="655"/>
      <c r="S909" s="655"/>
      <c r="T909" s="655"/>
      <c r="U909" s="655"/>
      <c r="V909" s="655"/>
      <c r="W909" s="655"/>
      <c r="X909" s="655"/>
      <c r="Y909" s="655"/>
      <c r="Z909" s="655"/>
      <c r="AA909" s="655"/>
    </row>
    <row r="910">
      <c r="B910" s="462"/>
      <c r="C910" s="671"/>
      <c r="D910" s="671"/>
      <c r="E910" s="462"/>
      <c r="F910" s="654"/>
      <c r="G910" s="650"/>
      <c r="H910" s="654"/>
      <c r="I910" s="654"/>
      <c r="J910" s="650"/>
      <c r="K910" s="650"/>
      <c r="L910" s="655"/>
      <c r="M910" s="655"/>
      <c r="N910" s="655"/>
      <c r="O910" s="655"/>
      <c r="P910" s="655"/>
      <c r="Q910" s="655"/>
      <c r="R910" s="655"/>
      <c r="S910" s="655"/>
      <c r="T910" s="655"/>
      <c r="U910" s="655"/>
      <c r="V910" s="655"/>
      <c r="W910" s="655"/>
      <c r="X910" s="655"/>
      <c r="Y910" s="655"/>
      <c r="Z910" s="655"/>
      <c r="AA910" s="655"/>
    </row>
    <row r="911">
      <c r="B911" s="462"/>
      <c r="C911" s="671"/>
      <c r="D911" s="671"/>
      <c r="E911" s="462"/>
      <c r="F911" s="654"/>
      <c r="G911" s="650"/>
      <c r="H911" s="654"/>
      <c r="I911" s="654"/>
      <c r="J911" s="650"/>
      <c r="K911" s="650"/>
      <c r="L911" s="655"/>
      <c r="M911" s="655"/>
      <c r="N911" s="655"/>
      <c r="O911" s="655"/>
      <c r="P911" s="655"/>
      <c r="Q911" s="655"/>
      <c r="R911" s="655"/>
      <c r="S911" s="655"/>
      <c r="T911" s="655"/>
      <c r="U911" s="655"/>
      <c r="V911" s="655"/>
      <c r="W911" s="655"/>
      <c r="X911" s="655"/>
      <c r="Y911" s="655"/>
      <c r="Z911" s="655"/>
      <c r="AA911" s="655"/>
    </row>
    <row r="912">
      <c r="B912" s="462"/>
      <c r="C912" s="671"/>
      <c r="D912" s="671"/>
      <c r="E912" s="462"/>
      <c r="F912" s="654"/>
      <c r="G912" s="650"/>
      <c r="H912" s="654"/>
      <c r="I912" s="654"/>
      <c r="J912" s="650"/>
      <c r="K912" s="650"/>
      <c r="L912" s="655"/>
      <c r="M912" s="655"/>
      <c r="N912" s="655"/>
      <c r="O912" s="655"/>
      <c r="P912" s="655"/>
      <c r="Q912" s="655"/>
      <c r="R912" s="655"/>
      <c r="S912" s="655"/>
      <c r="T912" s="655"/>
      <c r="U912" s="655"/>
      <c r="V912" s="655"/>
      <c r="W912" s="655"/>
      <c r="X912" s="655"/>
      <c r="Y912" s="655"/>
      <c r="Z912" s="655"/>
      <c r="AA912" s="655"/>
    </row>
    <row r="913">
      <c r="B913" s="462"/>
      <c r="C913" s="671"/>
      <c r="D913" s="671"/>
      <c r="E913" s="462"/>
      <c r="F913" s="654"/>
      <c r="G913" s="650"/>
      <c r="H913" s="654"/>
      <c r="I913" s="654"/>
      <c r="J913" s="650"/>
      <c r="K913" s="650"/>
      <c r="L913" s="655"/>
      <c r="M913" s="655"/>
      <c r="N913" s="655"/>
      <c r="O913" s="655"/>
      <c r="P913" s="655"/>
      <c r="Q913" s="655"/>
      <c r="R913" s="655"/>
      <c r="S913" s="655"/>
      <c r="T913" s="655"/>
      <c r="U913" s="655"/>
      <c r="V913" s="655"/>
      <c r="W913" s="655"/>
      <c r="X913" s="655"/>
      <c r="Y913" s="655"/>
      <c r="Z913" s="655"/>
      <c r="AA913" s="655"/>
    </row>
    <row r="914">
      <c r="B914" s="462"/>
      <c r="C914" s="671"/>
      <c r="D914" s="671"/>
      <c r="E914" s="462"/>
      <c r="F914" s="654"/>
      <c r="G914" s="650"/>
      <c r="H914" s="654"/>
      <c r="I914" s="654"/>
      <c r="J914" s="650"/>
      <c r="K914" s="650"/>
      <c r="L914" s="655"/>
      <c r="M914" s="655"/>
      <c r="N914" s="655"/>
      <c r="O914" s="655"/>
      <c r="P914" s="655"/>
      <c r="Q914" s="655"/>
      <c r="R914" s="655"/>
      <c r="S914" s="655"/>
      <c r="T914" s="655"/>
      <c r="U914" s="655"/>
      <c r="V914" s="655"/>
      <c r="W914" s="655"/>
      <c r="X914" s="655"/>
      <c r="Y914" s="655"/>
      <c r="Z914" s="655"/>
      <c r="AA914" s="655"/>
    </row>
    <row r="915">
      <c r="B915" s="462"/>
      <c r="C915" s="671"/>
      <c r="D915" s="671"/>
      <c r="E915" s="462"/>
      <c r="F915" s="654"/>
      <c r="G915" s="650"/>
      <c r="H915" s="654"/>
      <c r="I915" s="654"/>
      <c r="J915" s="650"/>
      <c r="K915" s="650"/>
      <c r="L915" s="655"/>
      <c r="M915" s="655"/>
      <c r="N915" s="655"/>
      <c r="O915" s="655"/>
      <c r="P915" s="655"/>
      <c r="Q915" s="655"/>
      <c r="R915" s="655"/>
      <c r="S915" s="655"/>
      <c r="T915" s="655"/>
      <c r="U915" s="655"/>
      <c r="V915" s="655"/>
      <c r="W915" s="655"/>
      <c r="X915" s="655"/>
      <c r="Y915" s="655"/>
      <c r="Z915" s="655"/>
      <c r="AA915" s="655"/>
    </row>
    <row r="916">
      <c r="B916" s="462"/>
      <c r="C916" s="671"/>
      <c r="D916" s="671"/>
      <c r="E916" s="462"/>
      <c r="F916" s="654"/>
      <c r="G916" s="650"/>
      <c r="H916" s="654"/>
      <c r="I916" s="654"/>
      <c r="J916" s="650"/>
      <c r="K916" s="650"/>
      <c r="L916" s="655"/>
      <c r="M916" s="655"/>
      <c r="N916" s="655"/>
      <c r="O916" s="655"/>
      <c r="P916" s="655"/>
      <c r="Q916" s="655"/>
      <c r="R916" s="655"/>
      <c r="S916" s="655"/>
      <c r="T916" s="655"/>
      <c r="U916" s="655"/>
      <c r="V916" s="655"/>
      <c r="W916" s="655"/>
      <c r="X916" s="655"/>
      <c r="Y916" s="655"/>
      <c r="Z916" s="655"/>
      <c r="AA916" s="655"/>
    </row>
    <row r="917">
      <c r="B917" s="462"/>
      <c r="C917" s="671"/>
      <c r="D917" s="671"/>
      <c r="E917" s="462"/>
      <c r="F917" s="654"/>
      <c r="G917" s="650"/>
      <c r="H917" s="654"/>
      <c r="I917" s="654"/>
      <c r="J917" s="650"/>
      <c r="K917" s="650"/>
      <c r="L917" s="655"/>
      <c r="M917" s="655"/>
      <c r="N917" s="655"/>
      <c r="O917" s="655"/>
      <c r="P917" s="655"/>
      <c r="Q917" s="655"/>
      <c r="R917" s="655"/>
      <c r="S917" s="655"/>
      <c r="T917" s="655"/>
      <c r="U917" s="655"/>
      <c r="V917" s="655"/>
      <c r="W917" s="655"/>
      <c r="X917" s="655"/>
      <c r="Y917" s="655"/>
      <c r="Z917" s="655"/>
      <c r="AA917" s="655"/>
    </row>
    <row r="918">
      <c r="B918" s="462"/>
      <c r="C918" s="671"/>
      <c r="D918" s="671"/>
      <c r="E918" s="462"/>
      <c r="F918" s="654"/>
      <c r="G918" s="650"/>
      <c r="H918" s="654"/>
      <c r="I918" s="654"/>
      <c r="J918" s="650"/>
      <c r="K918" s="650"/>
      <c r="L918" s="655"/>
      <c r="M918" s="655"/>
      <c r="N918" s="655"/>
      <c r="O918" s="655"/>
      <c r="P918" s="655"/>
      <c r="Q918" s="655"/>
      <c r="R918" s="655"/>
      <c r="S918" s="655"/>
      <c r="T918" s="655"/>
      <c r="U918" s="655"/>
      <c r="V918" s="655"/>
      <c r="W918" s="655"/>
      <c r="X918" s="655"/>
      <c r="Y918" s="655"/>
      <c r="Z918" s="655"/>
      <c r="AA918" s="655"/>
    </row>
    <row r="919">
      <c r="B919" s="462"/>
      <c r="C919" s="671"/>
      <c r="D919" s="671"/>
      <c r="E919" s="462"/>
      <c r="F919" s="654"/>
      <c r="G919" s="650"/>
      <c r="H919" s="654"/>
      <c r="I919" s="654"/>
      <c r="J919" s="650"/>
      <c r="K919" s="650"/>
      <c r="L919" s="655"/>
      <c r="M919" s="655"/>
      <c r="N919" s="655"/>
      <c r="O919" s="655"/>
      <c r="P919" s="655"/>
      <c r="Q919" s="655"/>
      <c r="R919" s="655"/>
      <c r="S919" s="655"/>
      <c r="T919" s="655"/>
      <c r="U919" s="655"/>
      <c r="V919" s="655"/>
      <c r="W919" s="655"/>
      <c r="X919" s="655"/>
      <c r="Y919" s="655"/>
      <c r="Z919" s="655"/>
      <c r="AA919" s="655"/>
    </row>
    <row r="920">
      <c r="B920" s="462"/>
      <c r="C920" s="671"/>
      <c r="D920" s="671"/>
      <c r="E920" s="462"/>
      <c r="F920" s="654"/>
      <c r="G920" s="650"/>
      <c r="H920" s="654"/>
      <c r="I920" s="654"/>
      <c r="J920" s="650"/>
      <c r="K920" s="650"/>
      <c r="L920" s="655"/>
      <c r="M920" s="655"/>
      <c r="N920" s="655"/>
      <c r="O920" s="655"/>
      <c r="P920" s="655"/>
      <c r="Q920" s="655"/>
      <c r="R920" s="655"/>
      <c r="S920" s="655"/>
      <c r="T920" s="655"/>
      <c r="U920" s="655"/>
      <c r="V920" s="655"/>
      <c r="W920" s="655"/>
      <c r="X920" s="655"/>
      <c r="Y920" s="655"/>
      <c r="Z920" s="655"/>
      <c r="AA920" s="655"/>
    </row>
    <row r="921">
      <c r="B921" s="462"/>
      <c r="C921" s="671"/>
      <c r="D921" s="671"/>
      <c r="E921" s="462"/>
      <c r="F921" s="654"/>
      <c r="G921" s="650"/>
      <c r="H921" s="654"/>
      <c r="I921" s="654"/>
      <c r="J921" s="650"/>
      <c r="K921" s="650"/>
      <c r="L921" s="655"/>
      <c r="M921" s="655"/>
      <c r="N921" s="655"/>
      <c r="O921" s="655"/>
      <c r="P921" s="655"/>
      <c r="Q921" s="655"/>
      <c r="R921" s="655"/>
      <c r="S921" s="655"/>
      <c r="T921" s="655"/>
      <c r="U921" s="655"/>
      <c r="V921" s="655"/>
      <c r="W921" s="655"/>
      <c r="X921" s="655"/>
      <c r="Y921" s="655"/>
      <c r="Z921" s="655"/>
      <c r="AA921" s="655"/>
    </row>
    <row r="922">
      <c r="B922" s="462"/>
      <c r="C922" s="671"/>
      <c r="D922" s="671"/>
      <c r="E922" s="462"/>
      <c r="F922" s="654"/>
      <c r="G922" s="650"/>
      <c r="H922" s="654"/>
      <c r="I922" s="654"/>
      <c r="J922" s="650"/>
      <c r="K922" s="650"/>
      <c r="L922" s="655"/>
      <c r="M922" s="655"/>
      <c r="N922" s="655"/>
      <c r="O922" s="655"/>
      <c r="P922" s="655"/>
      <c r="Q922" s="655"/>
      <c r="R922" s="655"/>
      <c r="S922" s="655"/>
      <c r="T922" s="655"/>
      <c r="U922" s="655"/>
      <c r="V922" s="655"/>
      <c r="W922" s="655"/>
      <c r="X922" s="655"/>
      <c r="Y922" s="655"/>
      <c r="Z922" s="655"/>
      <c r="AA922" s="655"/>
    </row>
    <row r="923">
      <c r="B923" s="462"/>
      <c r="C923" s="671"/>
      <c r="D923" s="671"/>
      <c r="E923" s="462"/>
      <c r="F923" s="654"/>
      <c r="G923" s="650"/>
      <c r="H923" s="654"/>
      <c r="I923" s="654"/>
      <c r="J923" s="650"/>
      <c r="K923" s="650"/>
      <c r="L923" s="655"/>
      <c r="M923" s="655"/>
      <c r="N923" s="655"/>
      <c r="O923" s="655"/>
      <c r="P923" s="655"/>
      <c r="Q923" s="655"/>
      <c r="R923" s="655"/>
      <c r="S923" s="655"/>
      <c r="T923" s="655"/>
      <c r="U923" s="655"/>
      <c r="V923" s="655"/>
      <c r="W923" s="655"/>
      <c r="X923" s="655"/>
      <c r="Y923" s="655"/>
      <c r="Z923" s="655"/>
      <c r="AA923" s="655"/>
    </row>
    <row r="924">
      <c r="B924" s="462"/>
      <c r="C924" s="671"/>
      <c r="D924" s="671"/>
      <c r="E924" s="462"/>
      <c r="F924" s="654"/>
      <c r="G924" s="650"/>
      <c r="H924" s="654"/>
      <c r="I924" s="654"/>
      <c r="J924" s="650"/>
      <c r="K924" s="650"/>
      <c r="L924" s="655"/>
      <c r="M924" s="655"/>
      <c r="N924" s="655"/>
      <c r="O924" s="655"/>
      <c r="P924" s="655"/>
      <c r="Q924" s="655"/>
      <c r="R924" s="655"/>
      <c r="S924" s="655"/>
      <c r="T924" s="655"/>
      <c r="U924" s="655"/>
      <c r="V924" s="655"/>
      <c r="W924" s="655"/>
      <c r="X924" s="655"/>
      <c r="Y924" s="655"/>
      <c r="Z924" s="655"/>
      <c r="AA924" s="655"/>
    </row>
    <row r="925">
      <c r="B925" s="462"/>
      <c r="C925" s="671"/>
      <c r="D925" s="671"/>
      <c r="E925" s="462"/>
      <c r="F925" s="654"/>
      <c r="G925" s="650"/>
      <c r="H925" s="654"/>
      <c r="I925" s="654"/>
      <c r="J925" s="650"/>
      <c r="K925" s="650"/>
      <c r="L925" s="655"/>
      <c r="M925" s="655"/>
      <c r="N925" s="655"/>
      <c r="O925" s="655"/>
      <c r="P925" s="655"/>
      <c r="Q925" s="655"/>
      <c r="R925" s="655"/>
      <c r="S925" s="655"/>
      <c r="T925" s="655"/>
      <c r="U925" s="655"/>
      <c r="V925" s="655"/>
      <c r="W925" s="655"/>
      <c r="X925" s="655"/>
      <c r="Y925" s="655"/>
      <c r="Z925" s="655"/>
      <c r="AA925" s="655"/>
    </row>
    <row r="926">
      <c r="B926" s="462"/>
      <c r="C926" s="671"/>
      <c r="D926" s="671"/>
      <c r="E926" s="462"/>
      <c r="F926" s="654"/>
      <c r="G926" s="650"/>
      <c r="H926" s="654"/>
      <c r="I926" s="654"/>
      <c r="J926" s="650"/>
      <c r="K926" s="650"/>
      <c r="L926" s="655"/>
      <c r="M926" s="655"/>
      <c r="N926" s="655"/>
      <c r="O926" s="655"/>
      <c r="P926" s="655"/>
      <c r="Q926" s="655"/>
      <c r="R926" s="655"/>
      <c r="S926" s="655"/>
      <c r="T926" s="655"/>
      <c r="U926" s="655"/>
      <c r="V926" s="655"/>
      <c r="W926" s="655"/>
      <c r="X926" s="655"/>
      <c r="Y926" s="655"/>
      <c r="Z926" s="655"/>
      <c r="AA926" s="655"/>
    </row>
    <row r="927">
      <c r="B927" s="462"/>
      <c r="C927" s="671"/>
      <c r="D927" s="671"/>
      <c r="E927" s="462"/>
      <c r="F927" s="654"/>
      <c r="G927" s="650"/>
      <c r="H927" s="654"/>
      <c r="I927" s="654"/>
      <c r="J927" s="650"/>
      <c r="K927" s="650"/>
      <c r="L927" s="655"/>
      <c r="M927" s="655"/>
      <c r="N927" s="655"/>
      <c r="O927" s="655"/>
      <c r="P927" s="655"/>
      <c r="Q927" s="655"/>
      <c r="R927" s="655"/>
      <c r="S927" s="655"/>
      <c r="T927" s="655"/>
      <c r="U927" s="655"/>
      <c r="V927" s="655"/>
      <c r="W927" s="655"/>
      <c r="X927" s="655"/>
      <c r="Y927" s="655"/>
      <c r="Z927" s="655"/>
      <c r="AA927" s="655"/>
    </row>
    <row r="928">
      <c r="B928" s="462"/>
      <c r="C928" s="671"/>
      <c r="D928" s="671"/>
      <c r="E928" s="462"/>
      <c r="F928" s="654"/>
      <c r="G928" s="650"/>
      <c r="H928" s="654"/>
      <c r="I928" s="654"/>
      <c r="J928" s="650"/>
      <c r="K928" s="650"/>
      <c r="L928" s="655"/>
      <c r="M928" s="655"/>
      <c r="N928" s="655"/>
      <c r="O928" s="655"/>
      <c r="P928" s="655"/>
      <c r="Q928" s="655"/>
      <c r="R928" s="655"/>
      <c r="S928" s="655"/>
      <c r="T928" s="655"/>
      <c r="U928" s="655"/>
      <c r="V928" s="655"/>
      <c r="W928" s="655"/>
      <c r="X928" s="655"/>
      <c r="Y928" s="655"/>
      <c r="Z928" s="655"/>
      <c r="AA928" s="655"/>
    </row>
    <row r="929">
      <c r="B929" s="462"/>
      <c r="C929" s="671"/>
      <c r="D929" s="671"/>
      <c r="E929" s="462"/>
      <c r="F929" s="654"/>
      <c r="G929" s="650"/>
      <c r="H929" s="654"/>
      <c r="I929" s="654"/>
      <c r="J929" s="650"/>
      <c r="K929" s="650"/>
      <c r="L929" s="655"/>
      <c r="M929" s="655"/>
      <c r="N929" s="655"/>
      <c r="O929" s="655"/>
      <c r="P929" s="655"/>
      <c r="Q929" s="655"/>
      <c r="R929" s="655"/>
      <c r="S929" s="655"/>
      <c r="T929" s="655"/>
      <c r="U929" s="655"/>
      <c r="V929" s="655"/>
      <c r="W929" s="655"/>
      <c r="X929" s="655"/>
      <c r="Y929" s="655"/>
      <c r="Z929" s="655"/>
      <c r="AA929" s="655"/>
    </row>
    <row r="930">
      <c r="B930" s="462"/>
      <c r="C930" s="671"/>
      <c r="D930" s="671"/>
      <c r="E930" s="462"/>
      <c r="F930" s="654"/>
      <c r="G930" s="650"/>
      <c r="H930" s="654"/>
      <c r="I930" s="654"/>
      <c r="J930" s="650"/>
      <c r="K930" s="650"/>
      <c r="L930" s="655"/>
      <c r="M930" s="655"/>
      <c r="N930" s="655"/>
      <c r="O930" s="655"/>
      <c r="P930" s="655"/>
      <c r="Q930" s="655"/>
      <c r="R930" s="655"/>
      <c r="S930" s="655"/>
      <c r="T930" s="655"/>
      <c r="U930" s="655"/>
      <c r="V930" s="655"/>
      <c r="W930" s="655"/>
      <c r="X930" s="655"/>
      <c r="Y930" s="655"/>
      <c r="Z930" s="655"/>
      <c r="AA930" s="655"/>
    </row>
    <row r="931">
      <c r="B931" s="462"/>
      <c r="C931" s="671"/>
      <c r="D931" s="671"/>
      <c r="E931" s="462"/>
      <c r="F931" s="654"/>
      <c r="G931" s="650"/>
      <c r="H931" s="654"/>
      <c r="I931" s="654"/>
      <c r="J931" s="650"/>
      <c r="K931" s="650"/>
      <c r="L931" s="655"/>
      <c r="M931" s="655"/>
      <c r="N931" s="655"/>
      <c r="O931" s="655"/>
      <c r="P931" s="655"/>
      <c r="Q931" s="655"/>
      <c r="R931" s="655"/>
      <c r="S931" s="655"/>
      <c r="T931" s="655"/>
      <c r="U931" s="655"/>
      <c r="V931" s="655"/>
      <c r="W931" s="655"/>
      <c r="X931" s="655"/>
      <c r="Y931" s="655"/>
      <c r="Z931" s="655"/>
      <c r="AA931" s="655"/>
    </row>
    <row r="932">
      <c r="B932" s="462"/>
      <c r="C932" s="671"/>
      <c r="D932" s="671"/>
      <c r="E932" s="462"/>
      <c r="F932" s="654"/>
      <c r="G932" s="650"/>
      <c r="H932" s="654"/>
      <c r="I932" s="654"/>
      <c r="J932" s="650"/>
      <c r="K932" s="650"/>
      <c r="L932" s="655"/>
      <c r="M932" s="655"/>
      <c r="N932" s="655"/>
      <c r="O932" s="655"/>
      <c r="P932" s="655"/>
      <c r="Q932" s="655"/>
      <c r="R932" s="655"/>
      <c r="S932" s="655"/>
      <c r="T932" s="655"/>
      <c r="U932" s="655"/>
      <c r="V932" s="655"/>
      <c r="W932" s="655"/>
      <c r="X932" s="655"/>
      <c r="Y932" s="655"/>
      <c r="Z932" s="655"/>
      <c r="AA932" s="655"/>
    </row>
    <row r="933">
      <c r="B933" s="462"/>
      <c r="C933" s="671"/>
      <c r="D933" s="671"/>
      <c r="E933" s="462"/>
      <c r="F933" s="654"/>
      <c r="G933" s="650"/>
      <c r="H933" s="654"/>
      <c r="I933" s="654"/>
      <c r="J933" s="650"/>
      <c r="K933" s="650"/>
      <c r="L933" s="655"/>
      <c r="M933" s="655"/>
      <c r="N933" s="655"/>
      <c r="O933" s="655"/>
      <c r="P933" s="655"/>
      <c r="Q933" s="655"/>
      <c r="R933" s="655"/>
      <c r="S933" s="655"/>
      <c r="T933" s="655"/>
      <c r="U933" s="655"/>
      <c r="V933" s="655"/>
      <c r="W933" s="655"/>
      <c r="X933" s="655"/>
      <c r="Y933" s="655"/>
      <c r="Z933" s="655"/>
      <c r="AA933" s="655"/>
    </row>
    <row r="934">
      <c r="B934" s="462"/>
      <c r="C934" s="671"/>
      <c r="D934" s="671"/>
      <c r="E934" s="462"/>
      <c r="F934" s="654"/>
      <c r="G934" s="650"/>
      <c r="H934" s="654"/>
      <c r="I934" s="654"/>
      <c r="J934" s="650"/>
      <c r="K934" s="650"/>
      <c r="L934" s="655"/>
      <c r="M934" s="655"/>
      <c r="N934" s="655"/>
      <c r="O934" s="655"/>
      <c r="P934" s="655"/>
      <c r="Q934" s="655"/>
      <c r="R934" s="655"/>
      <c r="S934" s="655"/>
      <c r="T934" s="655"/>
      <c r="U934" s="655"/>
      <c r="V934" s="655"/>
      <c r="W934" s="655"/>
      <c r="X934" s="655"/>
      <c r="Y934" s="655"/>
      <c r="Z934" s="655"/>
      <c r="AA934" s="655"/>
    </row>
    <row r="935">
      <c r="B935" s="462"/>
      <c r="C935" s="671"/>
      <c r="D935" s="671"/>
      <c r="E935" s="462"/>
      <c r="F935" s="654"/>
      <c r="G935" s="650"/>
      <c r="H935" s="654"/>
      <c r="I935" s="654"/>
      <c r="J935" s="650"/>
      <c r="K935" s="650"/>
      <c r="L935" s="655"/>
      <c r="M935" s="655"/>
      <c r="N935" s="655"/>
      <c r="O935" s="655"/>
      <c r="P935" s="655"/>
      <c r="Q935" s="655"/>
      <c r="R935" s="655"/>
      <c r="S935" s="655"/>
      <c r="T935" s="655"/>
      <c r="U935" s="655"/>
      <c r="V935" s="655"/>
      <c r="W935" s="655"/>
      <c r="X935" s="655"/>
      <c r="Y935" s="655"/>
      <c r="Z935" s="655"/>
      <c r="AA935" s="655"/>
    </row>
    <row r="936">
      <c r="B936" s="462"/>
      <c r="C936" s="671"/>
      <c r="D936" s="671"/>
      <c r="E936" s="462"/>
      <c r="F936" s="654"/>
      <c r="G936" s="650"/>
      <c r="H936" s="654"/>
      <c r="I936" s="654"/>
      <c r="J936" s="650"/>
      <c r="K936" s="650"/>
      <c r="L936" s="655"/>
      <c r="M936" s="655"/>
      <c r="N936" s="655"/>
      <c r="O936" s="655"/>
      <c r="P936" s="655"/>
      <c r="Q936" s="655"/>
      <c r="R936" s="655"/>
      <c r="S936" s="655"/>
      <c r="T936" s="655"/>
      <c r="U936" s="655"/>
      <c r="V936" s="655"/>
      <c r="W936" s="655"/>
      <c r="X936" s="655"/>
      <c r="Y936" s="655"/>
      <c r="Z936" s="655"/>
      <c r="AA936" s="655"/>
    </row>
    <row r="937">
      <c r="B937" s="462"/>
      <c r="C937" s="671"/>
      <c r="D937" s="671"/>
      <c r="E937" s="462"/>
      <c r="F937" s="654"/>
      <c r="G937" s="650"/>
      <c r="H937" s="654"/>
      <c r="I937" s="654"/>
      <c r="J937" s="650"/>
      <c r="K937" s="650"/>
      <c r="L937" s="655"/>
      <c r="M937" s="655"/>
      <c r="N937" s="655"/>
      <c r="O937" s="655"/>
      <c r="P937" s="655"/>
      <c r="Q937" s="655"/>
      <c r="R937" s="655"/>
      <c r="S937" s="655"/>
      <c r="T937" s="655"/>
      <c r="U937" s="655"/>
      <c r="V937" s="655"/>
      <c r="W937" s="655"/>
      <c r="X937" s="655"/>
      <c r="Y937" s="655"/>
      <c r="Z937" s="655"/>
      <c r="AA937" s="655"/>
    </row>
    <row r="938">
      <c r="B938" s="462"/>
      <c r="C938" s="671"/>
      <c r="D938" s="671"/>
      <c r="E938" s="462"/>
      <c r="F938" s="654"/>
      <c r="G938" s="650"/>
      <c r="H938" s="654"/>
      <c r="I938" s="654"/>
      <c r="J938" s="650"/>
      <c r="K938" s="650"/>
      <c r="L938" s="655"/>
      <c r="M938" s="655"/>
      <c r="N938" s="655"/>
      <c r="O938" s="655"/>
      <c r="P938" s="655"/>
      <c r="Q938" s="655"/>
      <c r="R938" s="655"/>
      <c r="S938" s="655"/>
      <c r="T938" s="655"/>
      <c r="U938" s="655"/>
      <c r="V938" s="655"/>
      <c r="W938" s="655"/>
      <c r="X938" s="655"/>
      <c r="Y938" s="655"/>
      <c r="Z938" s="655"/>
      <c r="AA938" s="655"/>
    </row>
    <row r="939">
      <c r="B939" s="462"/>
      <c r="C939" s="671"/>
      <c r="D939" s="671"/>
      <c r="E939" s="462"/>
      <c r="F939" s="654"/>
      <c r="G939" s="650"/>
      <c r="H939" s="654"/>
      <c r="I939" s="654"/>
      <c r="J939" s="650"/>
      <c r="K939" s="650"/>
      <c r="L939" s="655"/>
      <c r="M939" s="655"/>
      <c r="N939" s="655"/>
      <c r="O939" s="655"/>
      <c r="P939" s="655"/>
      <c r="Q939" s="655"/>
      <c r="R939" s="655"/>
      <c r="S939" s="655"/>
      <c r="T939" s="655"/>
      <c r="U939" s="655"/>
      <c r="V939" s="655"/>
      <c r="W939" s="655"/>
      <c r="X939" s="655"/>
      <c r="Y939" s="655"/>
      <c r="Z939" s="655"/>
      <c r="AA939" s="655"/>
    </row>
    <row r="940">
      <c r="B940" s="462"/>
      <c r="C940" s="671"/>
      <c r="D940" s="671"/>
      <c r="E940" s="462"/>
      <c r="F940" s="654"/>
      <c r="G940" s="650"/>
      <c r="H940" s="654"/>
      <c r="I940" s="654"/>
      <c r="J940" s="650"/>
      <c r="K940" s="650"/>
      <c r="L940" s="655"/>
      <c r="M940" s="655"/>
      <c r="N940" s="655"/>
      <c r="O940" s="655"/>
      <c r="P940" s="655"/>
      <c r="Q940" s="655"/>
      <c r="R940" s="655"/>
      <c r="S940" s="655"/>
      <c r="T940" s="655"/>
      <c r="U940" s="655"/>
      <c r="V940" s="655"/>
      <c r="W940" s="655"/>
      <c r="X940" s="655"/>
      <c r="Y940" s="655"/>
      <c r="Z940" s="655"/>
      <c r="AA940" s="655"/>
    </row>
    <row r="941">
      <c r="B941" s="462"/>
      <c r="C941" s="671"/>
      <c r="D941" s="671"/>
      <c r="E941" s="462"/>
      <c r="F941" s="654"/>
      <c r="G941" s="650"/>
      <c r="H941" s="654"/>
      <c r="I941" s="654"/>
      <c r="J941" s="650"/>
      <c r="K941" s="650"/>
      <c r="L941" s="655"/>
      <c r="M941" s="655"/>
      <c r="N941" s="655"/>
      <c r="O941" s="655"/>
      <c r="P941" s="655"/>
      <c r="Q941" s="655"/>
      <c r="R941" s="655"/>
      <c r="S941" s="655"/>
      <c r="T941" s="655"/>
      <c r="U941" s="655"/>
      <c r="V941" s="655"/>
      <c r="W941" s="655"/>
      <c r="X941" s="655"/>
      <c r="Y941" s="655"/>
      <c r="Z941" s="655"/>
      <c r="AA941" s="655"/>
    </row>
    <row r="942">
      <c r="B942" s="462"/>
      <c r="C942" s="671"/>
      <c r="D942" s="671"/>
      <c r="E942" s="462"/>
      <c r="F942" s="654"/>
      <c r="G942" s="650"/>
      <c r="H942" s="654"/>
      <c r="I942" s="654"/>
      <c r="J942" s="650"/>
      <c r="K942" s="650"/>
      <c r="L942" s="655"/>
      <c r="M942" s="655"/>
      <c r="N942" s="655"/>
      <c r="O942" s="655"/>
      <c r="P942" s="655"/>
      <c r="Q942" s="655"/>
      <c r="R942" s="655"/>
      <c r="S942" s="655"/>
      <c r="T942" s="655"/>
      <c r="U942" s="655"/>
      <c r="V942" s="655"/>
      <c r="W942" s="655"/>
      <c r="X942" s="655"/>
      <c r="Y942" s="655"/>
      <c r="Z942" s="655"/>
      <c r="AA942" s="655"/>
    </row>
    <row r="943">
      <c r="B943" s="462"/>
      <c r="C943" s="671"/>
      <c r="D943" s="671"/>
      <c r="E943" s="462"/>
      <c r="F943" s="654"/>
      <c r="G943" s="650"/>
      <c r="H943" s="654"/>
      <c r="I943" s="654"/>
      <c r="J943" s="650"/>
      <c r="K943" s="650"/>
      <c r="L943" s="655"/>
      <c r="M943" s="655"/>
      <c r="N943" s="655"/>
      <c r="O943" s="655"/>
      <c r="P943" s="655"/>
      <c r="Q943" s="655"/>
      <c r="R943" s="655"/>
      <c r="S943" s="655"/>
      <c r="T943" s="655"/>
      <c r="U943" s="655"/>
      <c r="V943" s="655"/>
      <c r="W943" s="655"/>
      <c r="X943" s="655"/>
      <c r="Y943" s="655"/>
      <c r="Z943" s="655"/>
      <c r="AA943" s="655"/>
    </row>
    <row r="944">
      <c r="B944" s="462"/>
      <c r="C944" s="671"/>
      <c r="D944" s="671"/>
      <c r="E944" s="462"/>
      <c r="F944" s="654"/>
      <c r="G944" s="650"/>
      <c r="H944" s="654"/>
      <c r="I944" s="654"/>
      <c r="J944" s="650"/>
      <c r="K944" s="650"/>
      <c r="L944" s="655"/>
      <c r="M944" s="655"/>
      <c r="N944" s="655"/>
      <c r="O944" s="655"/>
      <c r="P944" s="655"/>
      <c r="Q944" s="655"/>
      <c r="R944" s="655"/>
      <c r="S944" s="655"/>
      <c r="T944" s="655"/>
      <c r="U944" s="655"/>
      <c r="V944" s="655"/>
      <c r="W944" s="655"/>
      <c r="X944" s="655"/>
      <c r="Y944" s="655"/>
      <c r="Z944" s="655"/>
      <c r="AA944" s="655"/>
    </row>
    <row r="945">
      <c r="B945" s="462"/>
      <c r="C945" s="671"/>
      <c r="D945" s="671"/>
      <c r="E945" s="462"/>
      <c r="F945" s="654"/>
      <c r="G945" s="650"/>
      <c r="H945" s="654"/>
      <c r="I945" s="654"/>
      <c r="J945" s="650"/>
      <c r="K945" s="650"/>
      <c r="L945" s="655"/>
      <c r="M945" s="655"/>
      <c r="N945" s="655"/>
      <c r="O945" s="655"/>
      <c r="P945" s="655"/>
      <c r="Q945" s="655"/>
      <c r="R945" s="655"/>
      <c r="S945" s="655"/>
      <c r="T945" s="655"/>
      <c r="U945" s="655"/>
      <c r="V945" s="655"/>
      <c r="W945" s="655"/>
      <c r="X945" s="655"/>
      <c r="Y945" s="655"/>
      <c r="Z945" s="655"/>
      <c r="AA945" s="655"/>
    </row>
    <row r="946">
      <c r="B946" s="462"/>
      <c r="C946" s="671"/>
      <c r="D946" s="671"/>
      <c r="E946" s="462"/>
      <c r="F946" s="654"/>
      <c r="G946" s="650"/>
      <c r="H946" s="654"/>
      <c r="I946" s="654"/>
      <c r="J946" s="650"/>
      <c r="K946" s="650"/>
      <c r="L946" s="655"/>
      <c r="M946" s="655"/>
      <c r="N946" s="655"/>
      <c r="O946" s="655"/>
      <c r="P946" s="655"/>
      <c r="Q946" s="655"/>
      <c r="R946" s="655"/>
      <c r="S946" s="655"/>
      <c r="T946" s="655"/>
      <c r="U946" s="655"/>
      <c r="V946" s="655"/>
      <c r="W946" s="655"/>
      <c r="X946" s="655"/>
      <c r="Y946" s="655"/>
      <c r="Z946" s="655"/>
      <c r="AA946" s="655"/>
    </row>
    <row r="947">
      <c r="B947" s="462"/>
      <c r="C947" s="671"/>
      <c r="D947" s="671"/>
      <c r="E947" s="462"/>
      <c r="F947" s="654"/>
      <c r="G947" s="650"/>
      <c r="H947" s="654"/>
      <c r="I947" s="654"/>
      <c r="J947" s="650"/>
      <c r="K947" s="650"/>
      <c r="L947" s="655"/>
      <c r="M947" s="655"/>
      <c r="N947" s="655"/>
      <c r="O947" s="655"/>
      <c r="P947" s="655"/>
      <c r="Q947" s="655"/>
      <c r="R947" s="655"/>
      <c r="S947" s="655"/>
      <c r="T947" s="655"/>
      <c r="U947" s="655"/>
      <c r="V947" s="655"/>
      <c r="W947" s="655"/>
      <c r="X947" s="655"/>
      <c r="Y947" s="655"/>
      <c r="Z947" s="655"/>
      <c r="AA947" s="655"/>
    </row>
    <row r="948">
      <c r="B948" s="462"/>
      <c r="C948" s="671"/>
      <c r="D948" s="671"/>
      <c r="E948" s="462"/>
      <c r="F948" s="654"/>
      <c r="G948" s="650"/>
      <c r="H948" s="654"/>
      <c r="I948" s="654"/>
      <c r="J948" s="650"/>
      <c r="K948" s="650"/>
      <c r="L948" s="655"/>
      <c r="M948" s="655"/>
      <c r="N948" s="655"/>
      <c r="O948" s="655"/>
      <c r="P948" s="655"/>
      <c r="Q948" s="655"/>
      <c r="R948" s="655"/>
      <c r="S948" s="655"/>
      <c r="T948" s="655"/>
      <c r="U948" s="655"/>
      <c r="V948" s="655"/>
      <c r="W948" s="655"/>
      <c r="X948" s="655"/>
      <c r="Y948" s="655"/>
      <c r="Z948" s="655"/>
      <c r="AA948" s="655"/>
    </row>
    <row r="949">
      <c r="B949" s="462"/>
      <c r="C949" s="671"/>
      <c r="D949" s="671"/>
      <c r="E949" s="462"/>
      <c r="F949" s="654"/>
      <c r="G949" s="650"/>
      <c r="H949" s="654"/>
      <c r="I949" s="654"/>
      <c r="J949" s="650"/>
      <c r="K949" s="650"/>
      <c r="L949" s="655"/>
      <c r="M949" s="655"/>
      <c r="N949" s="655"/>
      <c r="O949" s="655"/>
      <c r="P949" s="655"/>
      <c r="Q949" s="655"/>
      <c r="R949" s="655"/>
      <c r="S949" s="655"/>
      <c r="T949" s="655"/>
      <c r="U949" s="655"/>
      <c r="V949" s="655"/>
      <c r="W949" s="655"/>
      <c r="X949" s="655"/>
      <c r="Y949" s="655"/>
      <c r="Z949" s="655"/>
      <c r="AA949" s="655"/>
    </row>
    <row r="950">
      <c r="B950" s="462"/>
      <c r="C950" s="671"/>
      <c r="D950" s="671"/>
      <c r="E950" s="462"/>
      <c r="F950" s="654"/>
      <c r="G950" s="650"/>
      <c r="H950" s="654"/>
      <c r="I950" s="654"/>
      <c r="J950" s="650"/>
      <c r="K950" s="650"/>
      <c r="L950" s="655"/>
      <c r="M950" s="655"/>
      <c r="N950" s="655"/>
      <c r="O950" s="655"/>
      <c r="P950" s="655"/>
      <c r="Q950" s="655"/>
      <c r="R950" s="655"/>
      <c r="S950" s="655"/>
      <c r="T950" s="655"/>
      <c r="U950" s="655"/>
      <c r="V950" s="655"/>
      <c r="W950" s="655"/>
      <c r="X950" s="655"/>
      <c r="Y950" s="655"/>
      <c r="Z950" s="655"/>
      <c r="AA950" s="655"/>
    </row>
    <row r="951">
      <c r="B951" s="462"/>
      <c r="C951" s="671"/>
      <c r="D951" s="671"/>
      <c r="E951" s="462"/>
      <c r="F951" s="654"/>
      <c r="G951" s="650"/>
      <c r="H951" s="654"/>
      <c r="I951" s="654"/>
      <c r="J951" s="650"/>
      <c r="K951" s="650"/>
      <c r="L951" s="655"/>
      <c r="M951" s="655"/>
      <c r="N951" s="655"/>
      <c r="O951" s="655"/>
      <c r="P951" s="655"/>
      <c r="Q951" s="655"/>
      <c r="R951" s="655"/>
      <c r="S951" s="655"/>
      <c r="T951" s="655"/>
      <c r="U951" s="655"/>
      <c r="V951" s="655"/>
      <c r="W951" s="655"/>
      <c r="X951" s="655"/>
      <c r="Y951" s="655"/>
      <c r="Z951" s="655"/>
      <c r="AA951" s="655"/>
    </row>
    <row r="952">
      <c r="B952" s="462"/>
      <c r="C952" s="671"/>
      <c r="D952" s="671"/>
      <c r="E952" s="462"/>
      <c r="F952" s="654"/>
      <c r="G952" s="650"/>
      <c r="H952" s="654"/>
      <c r="I952" s="654"/>
      <c r="J952" s="650"/>
      <c r="K952" s="650"/>
      <c r="L952" s="655"/>
      <c r="M952" s="655"/>
      <c r="N952" s="655"/>
      <c r="O952" s="655"/>
      <c r="P952" s="655"/>
      <c r="Q952" s="655"/>
      <c r="R952" s="655"/>
      <c r="S952" s="655"/>
      <c r="T952" s="655"/>
      <c r="U952" s="655"/>
      <c r="V952" s="655"/>
      <c r="W952" s="655"/>
      <c r="X952" s="655"/>
      <c r="Y952" s="655"/>
      <c r="Z952" s="655"/>
      <c r="AA952" s="655"/>
    </row>
    <row r="953">
      <c r="B953" s="462"/>
      <c r="C953" s="671"/>
      <c r="D953" s="671"/>
      <c r="E953" s="462"/>
      <c r="F953" s="654"/>
      <c r="G953" s="650"/>
      <c r="H953" s="654"/>
      <c r="I953" s="654"/>
      <c r="J953" s="650"/>
      <c r="K953" s="650"/>
      <c r="L953" s="655"/>
      <c r="M953" s="655"/>
      <c r="N953" s="655"/>
      <c r="O953" s="655"/>
      <c r="P953" s="655"/>
      <c r="Q953" s="655"/>
      <c r="R953" s="655"/>
      <c r="S953" s="655"/>
      <c r="T953" s="655"/>
      <c r="U953" s="655"/>
      <c r="V953" s="655"/>
      <c r="W953" s="655"/>
      <c r="X953" s="655"/>
      <c r="Y953" s="655"/>
      <c r="Z953" s="655"/>
      <c r="AA953" s="655"/>
    </row>
    <row r="954">
      <c r="B954" s="462"/>
      <c r="C954" s="671"/>
      <c r="D954" s="671"/>
      <c r="E954" s="462"/>
      <c r="F954" s="654"/>
      <c r="G954" s="650"/>
      <c r="H954" s="654"/>
      <c r="I954" s="654"/>
      <c r="J954" s="650"/>
      <c r="K954" s="650"/>
      <c r="L954" s="655"/>
      <c r="M954" s="655"/>
      <c r="N954" s="655"/>
      <c r="O954" s="655"/>
      <c r="P954" s="655"/>
      <c r="Q954" s="655"/>
      <c r="R954" s="655"/>
      <c r="S954" s="655"/>
      <c r="T954" s="655"/>
      <c r="U954" s="655"/>
      <c r="V954" s="655"/>
      <c r="W954" s="655"/>
      <c r="X954" s="655"/>
      <c r="Y954" s="655"/>
      <c r="Z954" s="655"/>
      <c r="AA954" s="655"/>
    </row>
    <row r="955">
      <c r="B955" s="462"/>
      <c r="C955" s="671"/>
      <c r="D955" s="671"/>
      <c r="E955" s="462"/>
      <c r="F955" s="654"/>
      <c r="G955" s="650"/>
      <c r="H955" s="654"/>
      <c r="I955" s="654"/>
      <c r="J955" s="650"/>
      <c r="K955" s="650"/>
      <c r="L955" s="655"/>
      <c r="M955" s="655"/>
      <c r="N955" s="655"/>
      <c r="O955" s="655"/>
      <c r="P955" s="655"/>
      <c r="Q955" s="655"/>
      <c r="R955" s="655"/>
      <c r="S955" s="655"/>
      <c r="T955" s="655"/>
      <c r="U955" s="655"/>
      <c r="V955" s="655"/>
      <c r="W955" s="655"/>
      <c r="X955" s="655"/>
      <c r="Y955" s="655"/>
      <c r="Z955" s="655"/>
      <c r="AA955" s="655"/>
    </row>
    <row r="956">
      <c r="B956" s="462"/>
      <c r="C956" s="671"/>
      <c r="D956" s="671"/>
      <c r="E956" s="462"/>
      <c r="F956" s="654"/>
      <c r="G956" s="650"/>
      <c r="H956" s="654"/>
      <c r="I956" s="654"/>
      <c r="J956" s="650"/>
      <c r="K956" s="650"/>
      <c r="L956" s="655"/>
      <c r="M956" s="655"/>
      <c r="N956" s="655"/>
      <c r="O956" s="655"/>
      <c r="P956" s="655"/>
      <c r="Q956" s="655"/>
      <c r="R956" s="655"/>
      <c r="S956" s="655"/>
      <c r="T956" s="655"/>
      <c r="U956" s="655"/>
      <c r="V956" s="655"/>
      <c r="W956" s="655"/>
      <c r="X956" s="655"/>
      <c r="Y956" s="655"/>
      <c r="Z956" s="655"/>
      <c r="AA956" s="655"/>
    </row>
    <row r="957">
      <c r="B957" s="462"/>
      <c r="C957" s="671"/>
      <c r="D957" s="671"/>
      <c r="E957" s="462"/>
      <c r="F957" s="654"/>
      <c r="G957" s="650"/>
      <c r="H957" s="654"/>
      <c r="I957" s="654"/>
      <c r="J957" s="650"/>
      <c r="K957" s="650"/>
      <c r="L957" s="655"/>
      <c r="M957" s="655"/>
      <c r="N957" s="655"/>
      <c r="O957" s="655"/>
      <c r="P957" s="655"/>
      <c r="Q957" s="655"/>
      <c r="R957" s="655"/>
      <c r="S957" s="655"/>
      <c r="T957" s="655"/>
      <c r="U957" s="655"/>
      <c r="V957" s="655"/>
      <c r="W957" s="655"/>
      <c r="X957" s="655"/>
      <c r="Y957" s="655"/>
      <c r="Z957" s="655"/>
      <c r="AA957" s="655"/>
    </row>
    <row r="958">
      <c r="B958" s="462"/>
      <c r="C958" s="671"/>
      <c r="D958" s="671"/>
      <c r="E958" s="462"/>
      <c r="F958" s="654"/>
      <c r="G958" s="650"/>
      <c r="H958" s="654"/>
      <c r="I958" s="654"/>
      <c r="J958" s="650"/>
      <c r="K958" s="650"/>
      <c r="L958" s="655"/>
      <c r="M958" s="655"/>
      <c r="N958" s="655"/>
      <c r="O958" s="655"/>
      <c r="P958" s="655"/>
      <c r="Q958" s="655"/>
      <c r="R958" s="655"/>
      <c r="S958" s="655"/>
      <c r="T958" s="655"/>
      <c r="U958" s="655"/>
      <c r="V958" s="655"/>
      <c r="W958" s="655"/>
      <c r="X958" s="655"/>
      <c r="Y958" s="655"/>
      <c r="Z958" s="655"/>
      <c r="AA958" s="655"/>
    </row>
    <row r="959">
      <c r="B959" s="462"/>
      <c r="C959" s="671"/>
      <c r="D959" s="671"/>
      <c r="E959" s="462"/>
      <c r="F959" s="654"/>
      <c r="G959" s="650"/>
      <c r="H959" s="654"/>
      <c r="I959" s="654"/>
      <c r="J959" s="650"/>
      <c r="K959" s="650"/>
      <c r="L959" s="655"/>
      <c r="M959" s="655"/>
      <c r="N959" s="655"/>
      <c r="O959" s="655"/>
      <c r="P959" s="655"/>
      <c r="Q959" s="655"/>
      <c r="R959" s="655"/>
      <c r="S959" s="655"/>
      <c r="T959" s="655"/>
      <c r="U959" s="655"/>
      <c r="V959" s="655"/>
      <c r="W959" s="655"/>
      <c r="X959" s="655"/>
      <c r="Y959" s="655"/>
      <c r="Z959" s="655"/>
      <c r="AA959" s="655"/>
    </row>
    <row r="960">
      <c r="B960" s="462"/>
      <c r="C960" s="671"/>
      <c r="D960" s="671"/>
      <c r="E960" s="462"/>
      <c r="F960" s="654"/>
      <c r="G960" s="650"/>
      <c r="H960" s="654"/>
      <c r="I960" s="654"/>
      <c r="J960" s="650"/>
      <c r="K960" s="650"/>
      <c r="L960" s="655"/>
      <c r="M960" s="655"/>
      <c r="N960" s="655"/>
      <c r="O960" s="655"/>
      <c r="P960" s="655"/>
      <c r="Q960" s="655"/>
      <c r="R960" s="655"/>
      <c r="S960" s="655"/>
      <c r="T960" s="655"/>
      <c r="U960" s="655"/>
      <c r="V960" s="655"/>
      <c r="W960" s="655"/>
      <c r="X960" s="655"/>
      <c r="Y960" s="655"/>
      <c r="Z960" s="655"/>
      <c r="AA960" s="655"/>
    </row>
    <row r="961">
      <c r="B961" s="462"/>
      <c r="C961" s="671"/>
      <c r="D961" s="671"/>
      <c r="E961" s="462"/>
      <c r="F961" s="654"/>
      <c r="G961" s="650"/>
      <c r="H961" s="654"/>
      <c r="I961" s="654"/>
      <c r="J961" s="650"/>
      <c r="K961" s="650"/>
      <c r="L961" s="655"/>
      <c r="M961" s="655"/>
      <c r="N961" s="655"/>
      <c r="O961" s="655"/>
      <c r="P961" s="655"/>
      <c r="Q961" s="655"/>
      <c r="R961" s="655"/>
      <c r="S961" s="655"/>
      <c r="T961" s="655"/>
      <c r="U961" s="655"/>
      <c r="V961" s="655"/>
      <c r="W961" s="655"/>
      <c r="X961" s="655"/>
      <c r="Y961" s="655"/>
      <c r="Z961" s="655"/>
      <c r="AA961" s="655"/>
    </row>
    <row r="962">
      <c r="B962" s="462"/>
      <c r="C962" s="671"/>
      <c r="D962" s="671"/>
      <c r="E962" s="462"/>
      <c r="F962" s="654"/>
      <c r="G962" s="650"/>
      <c r="H962" s="654"/>
      <c r="I962" s="654"/>
      <c r="J962" s="650"/>
      <c r="K962" s="650"/>
      <c r="L962" s="655"/>
      <c r="M962" s="655"/>
      <c r="N962" s="655"/>
      <c r="O962" s="655"/>
      <c r="P962" s="655"/>
      <c r="Q962" s="655"/>
      <c r="R962" s="655"/>
      <c r="S962" s="655"/>
      <c r="T962" s="655"/>
      <c r="U962" s="655"/>
      <c r="V962" s="655"/>
      <c r="W962" s="655"/>
      <c r="X962" s="655"/>
      <c r="Y962" s="655"/>
      <c r="Z962" s="655"/>
      <c r="AA962" s="655"/>
    </row>
    <row r="963">
      <c r="B963" s="462"/>
      <c r="C963" s="671"/>
      <c r="D963" s="671"/>
      <c r="E963" s="462"/>
      <c r="F963" s="654"/>
      <c r="G963" s="650"/>
      <c r="H963" s="654"/>
      <c r="I963" s="654"/>
      <c r="J963" s="650"/>
      <c r="K963" s="650"/>
      <c r="L963" s="655"/>
      <c r="M963" s="655"/>
      <c r="N963" s="655"/>
      <c r="O963" s="655"/>
      <c r="P963" s="655"/>
      <c r="Q963" s="655"/>
      <c r="R963" s="655"/>
      <c r="S963" s="655"/>
      <c r="T963" s="655"/>
      <c r="U963" s="655"/>
      <c r="V963" s="655"/>
      <c r="W963" s="655"/>
      <c r="X963" s="655"/>
      <c r="Y963" s="655"/>
      <c r="Z963" s="655"/>
      <c r="AA963" s="655"/>
    </row>
    <row r="964">
      <c r="B964" s="462"/>
      <c r="C964" s="671"/>
      <c r="D964" s="671"/>
      <c r="E964" s="462"/>
      <c r="F964" s="654"/>
      <c r="G964" s="650"/>
      <c r="H964" s="654"/>
      <c r="I964" s="654"/>
      <c r="J964" s="650"/>
      <c r="K964" s="650"/>
      <c r="L964" s="655"/>
      <c r="M964" s="655"/>
      <c r="N964" s="655"/>
      <c r="O964" s="655"/>
      <c r="P964" s="655"/>
      <c r="Q964" s="655"/>
      <c r="R964" s="655"/>
      <c r="S964" s="655"/>
      <c r="T964" s="655"/>
      <c r="U964" s="655"/>
      <c r="V964" s="655"/>
      <c r="W964" s="655"/>
      <c r="X964" s="655"/>
      <c r="Y964" s="655"/>
      <c r="Z964" s="655"/>
      <c r="AA964" s="655"/>
    </row>
    <row r="965">
      <c r="B965" s="462"/>
      <c r="C965" s="671"/>
      <c r="D965" s="671"/>
      <c r="E965" s="462"/>
      <c r="F965" s="654"/>
      <c r="G965" s="650"/>
      <c r="H965" s="654"/>
      <c r="I965" s="654"/>
      <c r="J965" s="650"/>
      <c r="K965" s="650"/>
      <c r="L965" s="655"/>
      <c r="M965" s="655"/>
      <c r="N965" s="655"/>
      <c r="O965" s="655"/>
      <c r="P965" s="655"/>
      <c r="Q965" s="655"/>
      <c r="R965" s="655"/>
      <c r="S965" s="655"/>
      <c r="T965" s="655"/>
      <c r="U965" s="655"/>
      <c r="V965" s="655"/>
      <c r="W965" s="655"/>
      <c r="X965" s="655"/>
      <c r="Y965" s="655"/>
      <c r="Z965" s="655"/>
      <c r="AA965" s="655"/>
    </row>
    <row r="966">
      <c r="B966" s="462"/>
      <c r="C966" s="671"/>
      <c r="D966" s="671"/>
      <c r="E966" s="462"/>
      <c r="F966" s="654"/>
      <c r="G966" s="650"/>
      <c r="H966" s="654"/>
      <c r="I966" s="654"/>
      <c r="J966" s="650"/>
      <c r="K966" s="650"/>
      <c r="L966" s="655"/>
      <c r="M966" s="655"/>
      <c r="N966" s="655"/>
      <c r="O966" s="655"/>
      <c r="P966" s="655"/>
      <c r="Q966" s="655"/>
      <c r="R966" s="655"/>
      <c r="S966" s="655"/>
      <c r="T966" s="655"/>
      <c r="U966" s="655"/>
      <c r="V966" s="655"/>
      <c r="W966" s="655"/>
      <c r="X966" s="655"/>
      <c r="Y966" s="655"/>
      <c r="Z966" s="655"/>
      <c r="AA966" s="655"/>
    </row>
    <row r="967">
      <c r="B967" s="462"/>
      <c r="C967" s="671"/>
      <c r="D967" s="671"/>
      <c r="E967" s="462"/>
      <c r="F967" s="654"/>
      <c r="G967" s="650"/>
      <c r="H967" s="654"/>
      <c r="I967" s="654"/>
      <c r="J967" s="650"/>
      <c r="K967" s="650"/>
      <c r="L967" s="655"/>
      <c r="M967" s="655"/>
      <c r="N967" s="655"/>
      <c r="O967" s="655"/>
      <c r="P967" s="655"/>
      <c r="Q967" s="655"/>
      <c r="R967" s="655"/>
      <c r="S967" s="655"/>
      <c r="T967" s="655"/>
      <c r="U967" s="655"/>
      <c r="V967" s="655"/>
      <c r="W967" s="655"/>
      <c r="X967" s="655"/>
      <c r="Y967" s="655"/>
      <c r="Z967" s="655"/>
      <c r="AA967" s="655"/>
    </row>
    <row r="968">
      <c r="B968" s="462"/>
      <c r="C968" s="671"/>
      <c r="D968" s="671"/>
      <c r="E968" s="462"/>
      <c r="F968" s="654"/>
      <c r="G968" s="650"/>
      <c r="H968" s="654"/>
      <c r="I968" s="654"/>
      <c r="J968" s="650"/>
      <c r="K968" s="650"/>
      <c r="L968" s="655"/>
      <c r="M968" s="655"/>
      <c r="N968" s="655"/>
      <c r="O968" s="655"/>
      <c r="P968" s="655"/>
      <c r="Q968" s="655"/>
      <c r="R968" s="655"/>
      <c r="S968" s="655"/>
      <c r="T968" s="655"/>
      <c r="U968" s="655"/>
      <c r="V968" s="655"/>
      <c r="W968" s="655"/>
      <c r="X968" s="655"/>
      <c r="Y968" s="655"/>
      <c r="Z968" s="655"/>
      <c r="AA968" s="655"/>
    </row>
    <row r="969">
      <c r="B969" s="462"/>
      <c r="C969" s="671"/>
      <c r="D969" s="671"/>
      <c r="E969" s="462"/>
      <c r="F969" s="654"/>
      <c r="G969" s="650"/>
      <c r="H969" s="654"/>
      <c r="I969" s="654"/>
      <c r="J969" s="650"/>
      <c r="K969" s="650"/>
      <c r="L969" s="655"/>
      <c r="M969" s="655"/>
      <c r="N969" s="655"/>
      <c r="O969" s="655"/>
      <c r="P969" s="655"/>
      <c r="Q969" s="655"/>
      <c r="R969" s="655"/>
      <c r="S969" s="655"/>
      <c r="T969" s="655"/>
      <c r="U969" s="655"/>
      <c r="V969" s="655"/>
      <c r="W969" s="655"/>
      <c r="X969" s="655"/>
      <c r="Y969" s="655"/>
      <c r="Z969" s="655"/>
      <c r="AA969" s="655"/>
    </row>
    <row r="970">
      <c r="B970" s="462"/>
      <c r="C970" s="671"/>
      <c r="D970" s="671"/>
      <c r="E970" s="462"/>
      <c r="F970" s="654"/>
      <c r="G970" s="650"/>
      <c r="H970" s="654"/>
      <c r="I970" s="654"/>
      <c r="J970" s="650"/>
      <c r="K970" s="650"/>
      <c r="L970" s="655"/>
      <c r="M970" s="655"/>
      <c r="N970" s="655"/>
      <c r="O970" s="655"/>
      <c r="P970" s="655"/>
      <c r="Q970" s="655"/>
      <c r="R970" s="655"/>
      <c r="S970" s="655"/>
      <c r="T970" s="655"/>
      <c r="U970" s="655"/>
      <c r="V970" s="655"/>
      <c r="W970" s="655"/>
      <c r="X970" s="655"/>
      <c r="Y970" s="655"/>
      <c r="Z970" s="655"/>
      <c r="AA970" s="655"/>
    </row>
    <row r="971">
      <c r="B971" s="462"/>
      <c r="C971" s="671"/>
      <c r="D971" s="671"/>
      <c r="E971" s="462"/>
      <c r="F971" s="654"/>
      <c r="G971" s="650"/>
      <c r="H971" s="654"/>
      <c r="I971" s="654"/>
      <c r="J971" s="650"/>
      <c r="K971" s="650"/>
      <c r="L971" s="655"/>
      <c r="M971" s="655"/>
      <c r="N971" s="655"/>
      <c r="O971" s="655"/>
      <c r="P971" s="655"/>
      <c r="Q971" s="655"/>
      <c r="R971" s="655"/>
      <c r="S971" s="655"/>
      <c r="T971" s="655"/>
      <c r="U971" s="655"/>
      <c r="V971" s="655"/>
      <c r="W971" s="655"/>
      <c r="X971" s="655"/>
      <c r="Y971" s="655"/>
      <c r="Z971" s="655"/>
      <c r="AA971" s="655"/>
    </row>
    <row r="972">
      <c r="B972" s="462"/>
      <c r="C972" s="671"/>
      <c r="D972" s="671"/>
      <c r="E972" s="462"/>
      <c r="F972" s="654"/>
      <c r="G972" s="650"/>
      <c r="H972" s="654"/>
      <c r="I972" s="654"/>
      <c r="J972" s="650"/>
      <c r="K972" s="650"/>
      <c r="L972" s="655"/>
      <c r="M972" s="655"/>
      <c r="N972" s="655"/>
      <c r="O972" s="655"/>
      <c r="P972" s="655"/>
      <c r="Q972" s="655"/>
      <c r="R972" s="655"/>
      <c r="S972" s="655"/>
      <c r="T972" s="655"/>
      <c r="U972" s="655"/>
      <c r="V972" s="655"/>
      <c r="W972" s="655"/>
      <c r="X972" s="655"/>
      <c r="Y972" s="655"/>
      <c r="Z972" s="655"/>
      <c r="AA972" s="655"/>
    </row>
    <row r="973">
      <c r="B973" s="462"/>
      <c r="C973" s="671"/>
      <c r="D973" s="671"/>
      <c r="E973" s="462"/>
      <c r="F973" s="654"/>
      <c r="G973" s="650"/>
      <c r="H973" s="654"/>
      <c r="I973" s="654"/>
      <c r="J973" s="650"/>
      <c r="K973" s="650"/>
      <c r="L973" s="655"/>
      <c r="M973" s="655"/>
      <c r="N973" s="655"/>
      <c r="O973" s="655"/>
      <c r="P973" s="655"/>
      <c r="Q973" s="655"/>
      <c r="R973" s="655"/>
      <c r="S973" s="655"/>
      <c r="T973" s="655"/>
      <c r="U973" s="655"/>
      <c r="V973" s="655"/>
      <c r="W973" s="655"/>
      <c r="X973" s="655"/>
      <c r="Y973" s="655"/>
      <c r="Z973" s="655"/>
      <c r="AA973" s="655"/>
    </row>
    <row r="974">
      <c r="B974" s="462"/>
      <c r="C974" s="671"/>
      <c r="D974" s="671"/>
      <c r="E974" s="462"/>
      <c r="F974" s="654"/>
      <c r="G974" s="650"/>
      <c r="H974" s="654"/>
      <c r="I974" s="654"/>
      <c r="J974" s="650"/>
      <c r="K974" s="650"/>
      <c r="L974" s="655"/>
      <c r="M974" s="655"/>
      <c r="N974" s="655"/>
      <c r="O974" s="655"/>
      <c r="P974" s="655"/>
      <c r="Q974" s="655"/>
      <c r="R974" s="655"/>
      <c r="S974" s="655"/>
      <c r="T974" s="655"/>
      <c r="U974" s="655"/>
      <c r="V974" s="655"/>
      <c r="W974" s="655"/>
      <c r="X974" s="655"/>
      <c r="Y974" s="655"/>
      <c r="Z974" s="655"/>
      <c r="AA974" s="655"/>
    </row>
    <row r="975">
      <c r="B975" s="462"/>
      <c r="C975" s="671"/>
      <c r="D975" s="671"/>
      <c r="E975" s="462"/>
      <c r="F975" s="654"/>
      <c r="G975" s="650"/>
      <c r="H975" s="654"/>
      <c r="I975" s="654"/>
      <c r="J975" s="650"/>
      <c r="K975" s="650"/>
      <c r="L975" s="655"/>
      <c r="M975" s="655"/>
      <c r="N975" s="655"/>
      <c r="O975" s="655"/>
      <c r="P975" s="655"/>
      <c r="Q975" s="655"/>
      <c r="R975" s="655"/>
      <c r="S975" s="655"/>
      <c r="T975" s="655"/>
      <c r="U975" s="655"/>
      <c r="V975" s="655"/>
      <c r="W975" s="655"/>
      <c r="X975" s="655"/>
      <c r="Y975" s="655"/>
      <c r="Z975" s="655"/>
      <c r="AA975" s="655"/>
    </row>
    <row r="976">
      <c r="B976" s="462"/>
      <c r="C976" s="671"/>
      <c r="D976" s="671"/>
      <c r="E976" s="462"/>
      <c r="F976" s="654"/>
      <c r="G976" s="650"/>
      <c r="H976" s="654"/>
      <c r="I976" s="654"/>
      <c r="J976" s="650"/>
      <c r="K976" s="650"/>
      <c r="L976" s="655"/>
      <c r="M976" s="655"/>
      <c r="N976" s="655"/>
      <c r="O976" s="655"/>
      <c r="P976" s="655"/>
      <c r="Q976" s="655"/>
      <c r="R976" s="655"/>
      <c r="S976" s="655"/>
      <c r="T976" s="655"/>
      <c r="U976" s="655"/>
      <c r="V976" s="655"/>
      <c r="W976" s="655"/>
      <c r="X976" s="655"/>
      <c r="Y976" s="655"/>
      <c r="Z976" s="655"/>
      <c r="AA976" s="655"/>
    </row>
    <row r="977">
      <c r="B977" s="462"/>
      <c r="C977" s="671"/>
      <c r="D977" s="671"/>
      <c r="E977" s="462"/>
      <c r="F977" s="654"/>
      <c r="G977" s="650"/>
      <c r="H977" s="654"/>
      <c r="I977" s="654"/>
      <c r="J977" s="650"/>
      <c r="K977" s="650"/>
      <c r="L977" s="655"/>
      <c r="M977" s="655"/>
      <c r="N977" s="655"/>
      <c r="O977" s="655"/>
      <c r="P977" s="655"/>
      <c r="Q977" s="655"/>
      <c r="R977" s="655"/>
      <c r="S977" s="655"/>
      <c r="T977" s="655"/>
      <c r="U977" s="655"/>
      <c r="V977" s="655"/>
      <c r="W977" s="655"/>
      <c r="X977" s="655"/>
      <c r="Y977" s="655"/>
      <c r="Z977" s="655"/>
      <c r="AA977" s="655"/>
    </row>
    <row r="978">
      <c r="B978" s="462"/>
      <c r="C978" s="671"/>
      <c r="D978" s="671"/>
      <c r="E978" s="462"/>
      <c r="F978" s="654"/>
      <c r="G978" s="650"/>
      <c r="H978" s="654"/>
      <c r="I978" s="654"/>
      <c r="J978" s="650"/>
      <c r="K978" s="650"/>
      <c r="L978" s="655"/>
      <c r="M978" s="655"/>
      <c r="N978" s="655"/>
      <c r="O978" s="655"/>
      <c r="P978" s="655"/>
      <c r="Q978" s="655"/>
      <c r="R978" s="655"/>
      <c r="S978" s="655"/>
      <c r="T978" s="655"/>
      <c r="U978" s="655"/>
      <c r="V978" s="655"/>
      <c r="W978" s="655"/>
      <c r="X978" s="655"/>
      <c r="Y978" s="655"/>
      <c r="Z978" s="655"/>
      <c r="AA978" s="655"/>
    </row>
    <row r="979">
      <c r="B979" s="462"/>
      <c r="C979" s="671"/>
      <c r="D979" s="671"/>
      <c r="E979" s="462"/>
      <c r="F979" s="654"/>
      <c r="G979" s="650"/>
      <c r="H979" s="654"/>
      <c r="I979" s="654"/>
      <c r="J979" s="650"/>
      <c r="K979" s="650"/>
      <c r="L979" s="655"/>
      <c r="M979" s="655"/>
      <c r="N979" s="655"/>
      <c r="O979" s="655"/>
      <c r="P979" s="655"/>
      <c r="Q979" s="655"/>
      <c r="R979" s="655"/>
      <c r="S979" s="655"/>
      <c r="T979" s="655"/>
      <c r="U979" s="655"/>
      <c r="V979" s="655"/>
      <c r="W979" s="655"/>
      <c r="X979" s="655"/>
      <c r="Y979" s="655"/>
      <c r="Z979" s="655"/>
      <c r="AA979" s="655"/>
    </row>
    <row r="980">
      <c r="B980" s="462"/>
      <c r="C980" s="671"/>
      <c r="D980" s="671"/>
      <c r="E980" s="462"/>
      <c r="F980" s="654"/>
      <c r="G980" s="650"/>
      <c r="H980" s="654"/>
      <c r="I980" s="654"/>
      <c r="J980" s="650"/>
      <c r="K980" s="650"/>
      <c r="L980" s="655"/>
      <c r="M980" s="655"/>
      <c r="N980" s="655"/>
      <c r="O980" s="655"/>
      <c r="P980" s="655"/>
      <c r="Q980" s="655"/>
      <c r="R980" s="655"/>
      <c r="S980" s="655"/>
      <c r="T980" s="655"/>
      <c r="U980" s="655"/>
      <c r="V980" s="655"/>
      <c r="W980" s="655"/>
      <c r="X980" s="655"/>
      <c r="Y980" s="655"/>
      <c r="Z980" s="655"/>
      <c r="AA980" s="655"/>
    </row>
    <row r="981">
      <c r="B981" s="462"/>
      <c r="C981" s="671"/>
      <c r="D981" s="671"/>
      <c r="E981" s="462"/>
      <c r="F981" s="654"/>
      <c r="G981" s="650"/>
      <c r="H981" s="654"/>
      <c r="I981" s="654"/>
      <c r="J981" s="650"/>
      <c r="K981" s="650"/>
      <c r="L981" s="655"/>
      <c r="M981" s="655"/>
      <c r="N981" s="655"/>
      <c r="O981" s="655"/>
      <c r="P981" s="655"/>
      <c r="Q981" s="655"/>
      <c r="R981" s="655"/>
      <c r="S981" s="655"/>
      <c r="T981" s="655"/>
      <c r="U981" s="655"/>
      <c r="V981" s="655"/>
      <c r="W981" s="655"/>
      <c r="X981" s="655"/>
      <c r="Y981" s="655"/>
      <c r="Z981" s="655"/>
      <c r="AA981" s="655"/>
    </row>
    <row r="982">
      <c r="B982" s="462"/>
      <c r="C982" s="671"/>
      <c r="D982" s="671"/>
      <c r="E982" s="462"/>
      <c r="F982" s="654"/>
      <c r="G982" s="650"/>
      <c r="H982" s="654"/>
      <c r="I982" s="654"/>
      <c r="J982" s="650"/>
      <c r="K982" s="650"/>
      <c r="L982" s="655"/>
      <c r="M982" s="655"/>
      <c r="N982" s="655"/>
      <c r="O982" s="655"/>
      <c r="P982" s="655"/>
      <c r="Q982" s="655"/>
      <c r="R982" s="655"/>
      <c r="S982" s="655"/>
      <c r="T982" s="655"/>
      <c r="U982" s="655"/>
      <c r="V982" s="655"/>
      <c r="W982" s="655"/>
      <c r="X982" s="655"/>
      <c r="Y982" s="655"/>
      <c r="Z982" s="655"/>
      <c r="AA982" s="655"/>
    </row>
    <row r="983">
      <c r="B983" s="462"/>
      <c r="C983" s="671"/>
      <c r="D983" s="671"/>
      <c r="E983" s="462"/>
      <c r="F983" s="654"/>
      <c r="G983" s="650"/>
      <c r="H983" s="654"/>
      <c r="I983" s="654"/>
      <c r="J983" s="650"/>
      <c r="K983" s="650"/>
      <c r="L983" s="655"/>
      <c r="M983" s="655"/>
      <c r="N983" s="655"/>
      <c r="O983" s="655"/>
      <c r="P983" s="655"/>
      <c r="Q983" s="655"/>
      <c r="R983" s="655"/>
      <c r="S983" s="655"/>
      <c r="T983" s="655"/>
      <c r="U983" s="655"/>
      <c r="V983" s="655"/>
      <c r="W983" s="655"/>
      <c r="X983" s="655"/>
      <c r="Y983" s="655"/>
      <c r="Z983" s="655"/>
      <c r="AA983" s="655"/>
    </row>
    <row r="984">
      <c r="B984" s="462"/>
      <c r="C984" s="671"/>
      <c r="D984" s="671"/>
      <c r="E984" s="462"/>
      <c r="F984" s="654"/>
      <c r="G984" s="650"/>
      <c r="H984" s="654"/>
      <c r="I984" s="654"/>
      <c r="J984" s="650"/>
      <c r="K984" s="650"/>
      <c r="L984" s="655"/>
      <c r="M984" s="655"/>
      <c r="N984" s="655"/>
      <c r="O984" s="655"/>
      <c r="P984" s="655"/>
      <c r="Q984" s="655"/>
      <c r="R984" s="655"/>
      <c r="S984" s="655"/>
      <c r="T984" s="655"/>
      <c r="U984" s="655"/>
      <c r="V984" s="655"/>
      <c r="W984" s="655"/>
      <c r="X984" s="655"/>
      <c r="Y984" s="655"/>
      <c r="Z984" s="655"/>
      <c r="AA984" s="655"/>
    </row>
    <row r="985">
      <c r="B985" s="462"/>
      <c r="C985" s="671"/>
      <c r="D985" s="671"/>
      <c r="E985" s="462"/>
      <c r="F985" s="654"/>
      <c r="G985" s="650"/>
      <c r="H985" s="654"/>
      <c r="I985" s="654"/>
      <c r="J985" s="650"/>
      <c r="K985" s="650"/>
      <c r="L985" s="655"/>
      <c r="M985" s="655"/>
      <c r="N985" s="655"/>
      <c r="O985" s="655"/>
      <c r="P985" s="655"/>
      <c r="Q985" s="655"/>
      <c r="R985" s="655"/>
      <c r="S985" s="655"/>
      <c r="T985" s="655"/>
      <c r="U985" s="655"/>
      <c r="V985" s="655"/>
      <c r="W985" s="655"/>
      <c r="X985" s="655"/>
      <c r="Y985" s="655"/>
      <c r="Z985" s="655"/>
      <c r="AA985" s="655"/>
    </row>
    <row r="986">
      <c r="B986" s="462"/>
      <c r="C986" s="671"/>
      <c r="D986" s="671"/>
      <c r="E986" s="462"/>
      <c r="F986" s="654"/>
      <c r="G986" s="650"/>
      <c r="H986" s="654"/>
      <c r="I986" s="654"/>
      <c r="J986" s="650"/>
      <c r="K986" s="650"/>
      <c r="L986" s="655"/>
      <c r="M986" s="655"/>
      <c r="N986" s="655"/>
      <c r="O986" s="655"/>
      <c r="P986" s="655"/>
      <c r="Q986" s="655"/>
      <c r="R986" s="655"/>
      <c r="S986" s="655"/>
      <c r="T986" s="655"/>
      <c r="U986" s="655"/>
      <c r="V986" s="655"/>
      <c r="W986" s="655"/>
      <c r="X986" s="655"/>
      <c r="Y986" s="655"/>
      <c r="Z986" s="655"/>
      <c r="AA986" s="655"/>
    </row>
    <row r="987">
      <c r="B987" s="462"/>
      <c r="C987" s="671"/>
      <c r="D987" s="671"/>
      <c r="E987" s="462"/>
      <c r="F987" s="654"/>
      <c r="G987" s="650"/>
      <c r="H987" s="654"/>
      <c r="I987" s="654"/>
      <c r="J987" s="650"/>
      <c r="K987" s="650"/>
      <c r="L987" s="655"/>
      <c r="M987" s="655"/>
      <c r="N987" s="655"/>
      <c r="O987" s="655"/>
      <c r="P987" s="655"/>
      <c r="Q987" s="655"/>
      <c r="R987" s="655"/>
      <c r="S987" s="655"/>
      <c r="T987" s="655"/>
      <c r="U987" s="655"/>
      <c r="V987" s="655"/>
      <c r="W987" s="655"/>
      <c r="X987" s="655"/>
      <c r="Y987" s="655"/>
      <c r="Z987" s="655"/>
      <c r="AA987" s="655"/>
    </row>
    <row r="988">
      <c r="B988" s="462"/>
      <c r="C988" s="671"/>
      <c r="D988" s="671"/>
      <c r="E988" s="462"/>
      <c r="F988" s="654"/>
      <c r="G988" s="650"/>
      <c r="H988" s="654"/>
      <c r="I988" s="654"/>
      <c r="J988" s="650"/>
      <c r="K988" s="650"/>
      <c r="L988" s="655"/>
      <c r="M988" s="655"/>
      <c r="N988" s="655"/>
      <c r="O988" s="655"/>
      <c r="P988" s="655"/>
      <c r="Q988" s="655"/>
      <c r="R988" s="655"/>
      <c r="S988" s="655"/>
      <c r="T988" s="655"/>
      <c r="U988" s="655"/>
      <c r="V988" s="655"/>
      <c r="W988" s="655"/>
      <c r="X988" s="655"/>
      <c r="Y988" s="655"/>
      <c r="Z988" s="655"/>
      <c r="AA988" s="655"/>
    </row>
    <row r="989">
      <c r="B989" s="462"/>
      <c r="C989" s="671"/>
      <c r="D989" s="671"/>
      <c r="E989" s="462"/>
      <c r="F989" s="654"/>
      <c r="G989" s="650"/>
      <c r="H989" s="654"/>
      <c r="I989" s="654"/>
      <c r="J989" s="650"/>
      <c r="K989" s="650"/>
      <c r="L989" s="655"/>
      <c r="M989" s="655"/>
      <c r="N989" s="655"/>
      <c r="O989" s="655"/>
      <c r="P989" s="655"/>
      <c r="Q989" s="655"/>
      <c r="R989" s="655"/>
      <c r="S989" s="655"/>
      <c r="T989" s="655"/>
      <c r="U989" s="655"/>
      <c r="V989" s="655"/>
      <c r="W989" s="655"/>
      <c r="X989" s="655"/>
      <c r="Y989" s="655"/>
      <c r="Z989" s="655"/>
      <c r="AA989" s="655"/>
    </row>
    <row r="990">
      <c r="B990" s="462"/>
      <c r="C990" s="671"/>
      <c r="D990" s="671"/>
      <c r="E990" s="462"/>
      <c r="F990" s="654"/>
      <c r="G990" s="650"/>
      <c r="H990" s="654"/>
      <c r="I990" s="654"/>
      <c r="J990" s="650"/>
      <c r="K990" s="650"/>
      <c r="L990" s="655"/>
      <c r="M990" s="655"/>
      <c r="N990" s="655"/>
      <c r="O990" s="655"/>
      <c r="P990" s="655"/>
      <c r="Q990" s="655"/>
      <c r="R990" s="655"/>
      <c r="S990" s="655"/>
      <c r="T990" s="655"/>
      <c r="U990" s="655"/>
      <c r="V990" s="655"/>
      <c r="W990" s="655"/>
      <c r="X990" s="655"/>
      <c r="Y990" s="655"/>
      <c r="Z990" s="655"/>
      <c r="AA990" s="655"/>
    </row>
    <row r="991">
      <c r="B991" s="462"/>
      <c r="C991" s="671"/>
      <c r="D991" s="671"/>
      <c r="E991" s="462"/>
      <c r="F991" s="654"/>
      <c r="G991" s="650"/>
      <c r="H991" s="654"/>
      <c r="I991" s="654"/>
      <c r="J991" s="650"/>
      <c r="K991" s="650"/>
      <c r="L991" s="655"/>
      <c r="M991" s="655"/>
      <c r="N991" s="655"/>
      <c r="O991" s="655"/>
      <c r="P991" s="655"/>
      <c r="Q991" s="655"/>
      <c r="R991" s="655"/>
      <c r="S991" s="655"/>
      <c r="T991" s="655"/>
      <c r="U991" s="655"/>
      <c r="V991" s="655"/>
      <c r="W991" s="655"/>
      <c r="X991" s="655"/>
      <c r="Y991" s="655"/>
      <c r="Z991" s="655"/>
      <c r="AA991" s="655"/>
    </row>
    <row r="992">
      <c r="B992" s="462"/>
      <c r="C992" s="671"/>
      <c r="D992" s="671"/>
      <c r="E992" s="462"/>
      <c r="F992" s="654"/>
      <c r="G992" s="650"/>
      <c r="H992" s="654"/>
      <c r="I992" s="654"/>
      <c r="J992" s="650"/>
      <c r="K992" s="650"/>
      <c r="L992" s="655"/>
      <c r="M992" s="655"/>
      <c r="N992" s="655"/>
      <c r="O992" s="655"/>
      <c r="P992" s="655"/>
      <c r="Q992" s="655"/>
      <c r="R992" s="655"/>
      <c r="S992" s="655"/>
      <c r="T992" s="655"/>
      <c r="U992" s="655"/>
      <c r="V992" s="655"/>
      <c r="W992" s="655"/>
      <c r="X992" s="655"/>
      <c r="Y992" s="655"/>
      <c r="Z992" s="655"/>
      <c r="AA992" s="655"/>
    </row>
    <row r="993">
      <c r="B993" s="462"/>
      <c r="C993" s="671"/>
      <c r="D993" s="671"/>
      <c r="E993" s="462"/>
      <c r="F993" s="654"/>
      <c r="G993" s="650"/>
      <c r="H993" s="654"/>
      <c r="I993" s="654"/>
      <c r="J993" s="650"/>
      <c r="K993" s="650"/>
      <c r="L993" s="655"/>
      <c r="M993" s="655"/>
      <c r="N993" s="655"/>
      <c r="O993" s="655"/>
      <c r="P993" s="655"/>
      <c r="Q993" s="655"/>
      <c r="R993" s="655"/>
      <c r="S993" s="655"/>
      <c r="T993" s="655"/>
      <c r="U993" s="655"/>
      <c r="V993" s="655"/>
      <c r="W993" s="655"/>
      <c r="X993" s="655"/>
      <c r="Y993" s="655"/>
      <c r="Z993" s="655"/>
      <c r="AA993" s="655"/>
    </row>
    <row r="994">
      <c r="B994" s="462"/>
      <c r="C994" s="671"/>
      <c r="D994" s="671"/>
      <c r="E994" s="462"/>
      <c r="F994" s="654"/>
      <c r="G994" s="650"/>
      <c r="H994" s="654"/>
      <c r="I994" s="654"/>
      <c r="J994" s="650"/>
      <c r="K994" s="650"/>
      <c r="L994" s="655"/>
      <c r="M994" s="655"/>
      <c r="N994" s="655"/>
      <c r="O994" s="655"/>
      <c r="P994" s="655"/>
      <c r="Q994" s="655"/>
      <c r="R994" s="655"/>
      <c r="S994" s="655"/>
      <c r="T994" s="655"/>
      <c r="U994" s="655"/>
      <c r="V994" s="655"/>
      <c r="W994" s="655"/>
      <c r="X994" s="655"/>
      <c r="Y994" s="655"/>
      <c r="Z994" s="655"/>
      <c r="AA994" s="655"/>
    </row>
    <row r="995">
      <c r="B995" s="462"/>
      <c r="C995" s="671"/>
      <c r="D995" s="671"/>
      <c r="E995" s="462"/>
      <c r="F995" s="654"/>
      <c r="G995" s="650"/>
      <c r="H995" s="654"/>
      <c r="I995" s="654"/>
      <c r="J995" s="650"/>
      <c r="K995" s="650"/>
      <c r="L995" s="655"/>
      <c r="M995" s="655"/>
      <c r="N995" s="655"/>
      <c r="O995" s="655"/>
      <c r="P995" s="655"/>
      <c r="Q995" s="655"/>
      <c r="R995" s="655"/>
      <c r="S995" s="655"/>
      <c r="T995" s="655"/>
      <c r="U995" s="655"/>
      <c r="V995" s="655"/>
      <c r="W995" s="655"/>
      <c r="X995" s="655"/>
      <c r="Y995" s="655"/>
      <c r="Z995" s="655"/>
      <c r="AA995" s="655"/>
    </row>
    <row r="996">
      <c r="B996" s="462"/>
      <c r="C996" s="671"/>
      <c r="D996" s="671"/>
      <c r="E996" s="462"/>
      <c r="F996" s="654"/>
      <c r="G996" s="650"/>
      <c r="H996" s="654"/>
      <c r="I996" s="654"/>
      <c r="J996" s="650"/>
      <c r="K996" s="650"/>
      <c r="L996" s="655"/>
      <c r="M996" s="655"/>
      <c r="N996" s="655"/>
      <c r="O996" s="655"/>
      <c r="P996" s="655"/>
      <c r="Q996" s="655"/>
      <c r="R996" s="655"/>
      <c r="S996" s="655"/>
      <c r="T996" s="655"/>
      <c r="U996" s="655"/>
      <c r="V996" s="655"/>
      <c r="W996" s="655"/>
      <c r="X996" s="655"/>
      <c r="Y996" s="655"/>
      <c r="Z996" s="655"/>
      <c r="AA996" s="655"/>
    </row>
    <row r="997">
      <c r="B997" s="462"/>
      <c r="C997" s="671"/>
      <c r="D997" s="671"/>
      <c r="E997" s="462"/>
      <c r="F997" s="654"/>
      <c r="G997" s="650"/>
      <c r="H997" s="654"/>
      <c r="I997" s="654"/>
      <c r="J997" s="650"/>
      <c r="K997" s="650"/>
      <c r="L997" s="655"/>
      <c r="M997" s="655"/>
      <c r="N997" s="655"/>
      <c r="O997" s="655"/>
      <c r="P997" s="655"/>
      <c r="Q997" s="655"/>
      <c r="R997" s="655"/>
      <c r="S997" s="655"/>
      <c r="T997" s="655"/>
      <c r="U997" s="655"/>
      <c r="V997" s="655"/>
      <c r="W997" s="655"/>
      <c r="X997" s="655"/>
      <c r="Y997" s="655"/>
      <c r="Z997" s="655"/>
      <c r="AA997" s="655"/>
    </row>
    <row r="998">
      <c r="B998" s="462"/>
      <c r="C998" s="671"/>
      <c r="D998" s="671"/>
      <c r="E998" s="462"/>
      <c r="F998" s="654"/>
      <c r="G998" s="650"/>
      <c r="H998" s="654"/>
      <c r="I998" s="654"/>
      <c r="J998" s="650"/>
      <c r="K998" s="650"/>
      <c r="L998" s="655"/>
      <c r="M998" s="655"/>
      <c r="N998" s="655"/>
      <c r="O998" s="655"/>
      <c r="P998" s="655"/>
      <c r="Q998" s="655"/>
      <c r="R998" s="655"/>
      <c r="S998" s="655"/>
      <c r="T998" s="655"/>
      <c r="U998" s="655"/>
      <c r="V998" s="655"/>
      <c r="W998" s="655"/>
      <c r="X998" s="655"/>
      <c r="Y998" s="655"/>
      <c r="Z998" s="655"/>
      <c r="AA998" s="655"/>
    </row>
    <row r="999">
      <c r="B999" s="462"/>
      <c r="C999" s="671"/>
      <c r="D999" s="671"/>
      <c r="E999" s="462"/>
      <c r="F999" s="654"/>
      <c r="G999" s="650"/>
      <c r="H999" s="654"/>
      <c r="I999" s="654"/>
      <c r="J999" s="650"/>
      <c r="K999" s="650"/>
      <c r="L999" s="655"/>
      <c r="M999" s="655"/>
      <c r="N999" s="655"/>
      <c r="O999" s="655"/>
      <c r="P999" s="655"/>
      <c r="Q999" s="655"/>
      <c r="R999" s="655"/>
      <c r="S999" s="655"/>
      <c r="T999" s="655"/>
      <c r="U999" s="655"/>
      <c r="V999" s="655"/>
      <c r="W999" s="655"/>
      <c r="X999" s="655"/>
      <c r="Y999" s="655"/>
      <c r="Z999" s="655"/>
      <c r="AA999" s="655"/>
    </row>
    <row r="1000">
      <c r="B1000" s="462"/>
      <c r="C1000" s="671"/>
      <c r="D1000" s="671"/>
      <c r="E1000" s="462"/>
      <c r="F1000" s="654"/>
      <c r="G1000" s="650"/>
      <c r="H1000" s="654"/>
      <c r="I1000" s="654"/>
      <c r="J1000" s="650"/>
      <c r="K1000" s="650"/>
      <c r="L1000" s="655"/>
      <c r="M1000" s="655"/>
      <c r="N1000" s="655"/>
      <c r="O1000" s="655"/>
      <c r="P1000" s="655"/>
      <c r="Q1000" s="655"/>
      <c r="R1000" s="655"/>
      <c r="S1000" s="655"/>
      <c r="T1000" s="655"/>
      <c r="U1000" s="655"/>
      <c r="V1000" s="655"/>
      <c r="W1000" s="655"/>
      <c r="X1000" s="655"/>
      <c r="Y1000" s="655"/>
      <c r="Z1000" s="655"/>
      <c r="AA1000" s="655"/>
    </row>
    <row r="1001">
      <c r="B1001" s="462"/>
      <c r="C1001" s="671"/>
      <c r="D1001" s="671"/>
      <c r="E1001" s="462"/>
      <c r="F1001" s="654"/>
      <c r="G1001" s="650"/>
      <c r="H1001" s="654"/>
      <c r="I1001" s="654"/>
      <c r="J1001" s="650"/>
      <c r="K1001" s="650"/>
      <c r="L1001" s="655"/>
      <c r="M1001" s="655"/>
      <c r="N1001" s="655"/>
      <c r="O1001" s="655"/>
      <c r="P1001" s="655"/>
      <c r="Q1001" s="655"/>
      <c r="R1001" s="655"/>
      <c r="S1001" s="655"/>
      <c r="T1001" s="655"/>
      <c r="U1001" s="655"/>
      <c r="V1001" s="655"/>
      <c r="W1001" s="655"/>
      <c r="X1001" s="655"/>
      <c r="Y1001" s="655"/>
      <c r="Z1001" s="655"/>
      <c r="AA1001" s="655"/>
    </row>
    <row r="1002">
      <c r="B1002" s="462"/>
      <c r="C1002" s="671"/>
      <c r="D1002" s="671"/>
      <c r="E1002" s="462"/>
      <c r="F1002" s="654"/>
      <c r="G1002" s="650"/>
      <c r="H1002" s="654"/>
      <c r="I1002" s="654"/>
      <c r="J1002" s="650"/>
      <c r="K1002" s="650"/>
      <c r="L1002" s="655"/>
      <c r="M1002" s="655"/>
      <c r="N1002" s="655"/>
      <c r="O1002" s="655"/>
      <c r="P1002" s="655"/>
      <c r="Q1002" s="655"/>
      <c r="R1002" s="655"/>
      <c r="S1002" s="655"/>
      <c r="T1002" s="655"/>
      <c r="U1002" s="655"/>
      <c r="V1002" s="655"/>
      <c r="W1002" s="655"/>
      <c r="X1002" s="655"/>
      <c r="Y1002" s="655"/>
      <c r="Z1002" s="655"/>
      <c r="AA1002" s="655"/>
    </row>
    <row r="1003">
      <c r="B1003" s="462"/>
      <c r="C1003" s="671"/>
      <c r="D1003" s="671"/>
      <c r="E1003" s="462"/>
      <c r="F1003" s="654"/>
      <c r="G1003" s="650"/>
      <c r="H1003" s="654"/>
      <c r="I1003" s="654"/>
      <c r="J1003" s="650"/>
      <c r="K1003" s="650"/>
      <c r="L1003" s="655"/>
      <c r="M1003" s="655"/>
      <c r="N1003" s="655"/>
      <c r="O1003" s="655"/>
      <c r="P1003" s="655"/>
      <c r="Q1003" s="655"/>
      <c r="R1003" s="655"/>
      <c r="S1003" s="655"/>
      <c r="T1003" s="655"/>
      <c r="U1003" s="655"/>
      <c r="V1003" s="655"/>
      <c r="W1003" s="655"/>
      <c r="X1003" s="655"/>
      <c r="Y1003" s="655"/>
      <c r="Z1003" s="655"/>
      <c r="AA1003" s="655"/>
    </row>
    <row r="1004">
      <c r="B1004" s="462"/>
      <c r="C1004" s="671"/>
      <c r="D1004" s="671"/>
      <c r="E1004" s="462"/>
      <c r="F1004" s="654"/>
      <c r="G1004" s="650"/>
      <c r="H1004" s="654"/>
      <c r="I1004" s="654"/>
      <c r="J1004" s="650"/>
      <c r="K1004" s="650"/>
      <c r="L1004" s="655"/>
      <c r="M1004" s="655"/>
      <c r="N1004" s="655"/>
      <c r="O1004" s="655"/>
      <c r="P1004" s="655"/>
      <c r="Q1004" s="655"/>
      <c r="R1004" s="655"/>
      <c r="S1004" s="655"/>
      <c r="T1004" s="655"/>
      <c r="U1004" s="655"/>
      <c r="V1004" s="655"/>
      <c r="W1004" s="655"/>
      <c r="X1004" s="655"/>
      <c r="Y1004" s="655"/>
      <c r="Z1004" s="655"/>
      <c r="AA1004" s="655"/>
    </row>
    <row r="1005">
      <c r="B1005" s="462"/>
      <c r="C1005" s="671"/>
      <c r="D1005" s="671"/>
      <c r="E1005" s="462"/>
      <c r="F1005" s="654"/>
      <c r="G1005" s="650"/>
      <c r="H1005" s="654"/>
      <c r="I1005" s="654"/>
      <c r="J1005" s="650"/>
      <c r="K1005" s="650"/>
      <c r="L1005" s="655"/>
      <c r="M1005" s="655"/>
      <c r="N1005" s="655"/>
      <c r="O1005" s="655"/>
      <c r="P1005" s="655"/>
      <c r="Q1005" s="655"/>
      <c r="R1005" s="655"/>
      <c r="S1005" s="655"/>
      <c r="T1005" s="655"/>
      <c r="U1005" s="655"/>
      <c r="V1005" s="655"/>
      <c r="W1005" s="655"/>
      <c r="X1005" s="655"/>
      <c r="Y1005" s="655"/>
      <c r="Z1005" s="655"/>
      <c r="AA1005" s="655"/>
    </row>
    <row r="1006">
      <c r="B1006" s="462"/>
      <c r="C1006" s="671"/>
      <c r="D1006" s="671"/>
      <c r="E1006" s="462"/>
      <c r="F1006" s="654"/>
      <c r="G1006" s="650"/>
      <c r="H1006" s="654"/>
      <c r="I1006" s="654"/>
      <c r="J1006" s="650"/>
      <c r="K1006" s="650"/>
      <c r="L1006" s="655"/>
      <c r="M1006" s="655"/>
      <c r="N1006" s="655"/>
      <c r="O1006" s="655"/>
      <c r="P1006" s="655"/>
      <c r="Q1006" s="655"/>
      <c r="R1006" s="655"/>
      <c r="S1006" s="655"/>
      <c r="T1006" s="655"/>
      <c r="U1006" s="655"/>
      <c r="V1006" s="655"/>
      <c r="W1006" s="655"/>
      <c r="X1006" s="655"/>
      <c r="Y1006" s="655"/>
      <c r="Z1006" s="655"/>
      <c r="AA1006" s="655"/>
    </row>
    <row r="1007">
      <c r="B1007" s="462"/>
      <c r="C1007" s="671"/>
      <c r="D1007" s="671"/>
      <c r="E1007" s="462"/>
      <c r="F1007" s="654"/>
      <c r="G1007" s="650"/>
      <c r="H1007" s="654"/>
      <c r="I1007" s="654"/>
      <c r="J1007" s="650"/>
      <c r="K1007" s="650"/>
      <c r="L1007" s="655"/>
      <c r="M1007" s="655"/>
      <c r="N1007" s="655"/>
      <c r="O1007" s="655"/>
      <c r="P1007" s="655"/>
      <c r="Q1007" s="655"/>
      <c r="R1007" s="655"/>
      <c r="S1007" s="655"/>
      <c r="T1007" s="655"/>
      <c r="U1007" s="655"/>
      <c r="V1007" s="655"/>
      <c r="W1007" s="655"/>
      <c r="X1007" s="655"/>
      <c r="Y1007" s="655"/>
      <c r="Z1007" s="655"/>
      <c r="AA1007" s="655"/>
    </row>
  </sheetData>
  <autoFilter ref="$A$2:$AA$38"/>
  <hyperlinks>
    <hyperlink r:id="rId2" ref="B70"/>
  </hyperlinks>
  <drawing r:id="rId3"/>
  <legacy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25"/>
    <col customWidth="1" min="2" max="2" width="34.0"/>
    <col hidden="1" min="3" max="7" width="12.63"/>
    <col customWidth="1" hidden="1" min="8" max="12" width="15.0"/>
    <col customWidth="1" hidden="1" min="13" max="13" width="16.25"/>
    <col customWidth="1" hidden="1" min="14" max="14" width="15.0"/>
    <col hidden="1" min="15" max="22" width="12.63"/>
    <col customWidth="1" hidden="1" min="23" max="23" width="15.0"/>
    <col hidden="1" min="24" max="59" width="12.63"/>
  </cols>
  <sheetData>
    <row r="1" ht="20.25" customHeight="1">
      <c r="A1" s="122" t="s">
        <v>94</v>
      </c>
      <c r="B1" s="123"/>
      <c r="C1" s="124" t="s">
        <v>95</v>
      </c>
      <c r="D1" s="124" t="s">
        <v>96</v>
      </c>
      <c r="E1" s="124" t="s">
        <v>97</v>
      </c>
      <c r="F1" s="124" t="s">
        <v>98</v>
      </c>
      <c r="G1" s="124" t="s">
        <v>99</v>
      </c>
      <c r="H1" s="125" t="s">
        <v>100</v>
      </c>
      <c r="I1" s="123" t="s">
        <v>101</v>
      </c>
      <c r="J1" s="123" t="s">
        <v>102</v>
      </c>
      <c r="K1" s="123" t="s">
        <v>103</v>
      </c>
      <c r="L1" s="123" t="s">
        <v>104</v>
      </c>
      <c r="M1" s="123" t="s">
        <v>105</v>
      </c>
      <c r="N1" s="123" t="s">
        <v>106</v>
      </c>
      <c r="O1" s="123" t="s">
        <v>107</v>
      </c>
      <c r="P1" s="123" t="s">
        <v>108</v>
      </c>
      <c r="Q1" s="123" t="s">
        <v>109</v>
      </c>
      <c r="R1" s="123" t="s">
        <v>110</v>
      </c>
      <c r="S1" s="123" t="s">
        <v>111</v>
      </c>
      <c r="T1" s="123" t="s">
        <v>112</v>
      </c>
      <c r="U1" s="123" t="s">
        <v>113</v>
      </c>
      <c r="V1" s="123" t="s">
        <v>114</v>
      </c>
      <c r="W1" s="123" t="s">
        <v>115</v>
      </c>
      <c r="X1" s="123" t="s">
        <v>116</v>
      </c>
      <c r="Y1" s="123" t="s">
        <v>117</v>
      </c>
      <c r="Z1" s="123" t="s">
        <v>118</v>
      </c>
      <c r="AA1" s="126" t="s">
        <v>119</v>
      </c>
      <c r="AB1" s="126" t="s">
        <v>120</v>
      </c>
      <c r="AC1" s="126" t="s">
        <v>121</v>
      </c>
      <c r="AD1" s="126" t="s">
        <v>122</v>
      </c>
      <c r="AE1" s="126" t="s">
        <v>123</v>
      </c>
      <c r="AF1" s="126" t="s">
        <v>124</v>
      </c>
      <c r="AG1" s="126" t="s">
        <v>125</v>
      </c>
      <c r="AH1" s="127" t="s">
        <v>126</v>
      </c>
      <c r="AI1" s="126" t="s">
        <v>127</v>
      </c>
      <c r="AJ1" s="126" t="s">
        <v>128</v>
      </c>
      <c r="AK1" s="126" t="s">
        <v>129</v>
      </c>
      <c r="AL1" s="126" t="s">
        <v>130</v>
      </c>
      <c r="AM1" s="126" t="s">
        <v>131</v>
      </c>
      <c r="AN1" s="126" t="s">
        <v>132</v>
      </c>
      <c r="AO1" s="126" t="s">
        <v>133</v>
      </c>
      <c r="AP1" s="126" t="s">
        <v>134</v>
      </c>
      <c r="AQ1" s="126" t="s">
        <v>135</v>
      </c>
      <c r="AR1" s="126" t="s">
        <v>136</v>
      </c>
      <c r="AS1" s="126" t="s">
        <v>137</v>
      </c>
      <c r="AT1" s="126" t="s">
        <v>138</v>
      </c>
      <c r="AU1" s="126" t="s">
        <v>139</v>
      </c>
      <c r="AV1" s="126" t="s">
        <v>140</v>
      </c>
      <c r="AW1" s="126" t="s">
        <v>141</v>
      </c>
      <c r="AX1" s="126" t="s">
        <v>142</v>
      </c>
      <c r="AY1" s="126" t="s">
        <v>143</v>
      </c>
      <c r="AZ1" s="126" t="s">
        <v>144</v>
      </c>
      <c r="BA1" s="126" t="s">
        <v>145</v>
      </c>
      <c r="BB1" s="126" t="s">
        <v>146</v>
      </c>
      <c r="BC1" s="126" t="s">
        <v>147</v>
      </c>
      <c r="BD1" s="126" t="s">
        <v>148</v>
      </c>
      <c r="BE1" s="126" t="s">
        <v>149</v>
      </c>
      <c r="BF1" s="126" t="s">
        <v>150</v>
      </c>
      <c r="BG1" s="126" t="s">
        <v>151</v>
      </c>
      <c r="BH1" s="126" t="s">
        <v>152</v>
      </c>
      <c r="BI1" s="126" t="s">
        <v>153</v>
      </c>
      <c r="BJ1" s="126" t="s">
        <v>154</v>
      </c>
      <c r="BK1" s="128" t="s">
        <v>155</v>
      </c>
      <c r="BL1" s="126" t="s">
        <v>156</v>
      </c>
      <c r="BM1" s="126" t="s">
        <v>157</v>
      </c>
      <c r="BN1" s="126" t="s">
        <v>158</v>
      </c>
      <c r="BO1" s="126" t="s">
        <v>159</v>
      </c>
      <c r="BP1" s="126" t="s">
        <v>160</v>
      </c>
      <c r="BQ1" s="126" t="s">
        <v>161</v>
      </c>
      <c r="BR1" s="126" t="s">
        <v>162</v>
      </c>
      <c r="BS1" s="126" t="s">
        <v>163</v>
      </c>
      <c r="BT1" s="126" t="s">
        <v>164</v>
      </c>
      <c r="BU1" s="126" t="s">
        <v>165</v>
      </c>
      <c r="BV1" s="126" t="s">
        <v>166</v>
      </c>
      <c r="BW1" s="126" t="s">
        <v>167</v>
      </c>
    </row>
    <row r="2">
      <c r="A2" s="131" t="s">
        <v>195</v>
      </c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4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4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</row>
    <row r="3">
      <c r="A3" s="135" t="s">
        <v>196</v>
      </c>
      <c r="B3" s="136"/>
      <c r="C3" s="137"/>
      <c r="D3" s="137"/>
      <c r="E3" s="137"/>
      <c r="F3" s="137"/>
      <c r="G3" s="137"/>
      <c r="H3" s="137"/>
      <c r="I3" s="138"/>
      <c r="J3" s="138"/>
      <c r="K3" s="138"/>
      <c r="L3" s="138"/>
      <c r="M3" s="139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40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40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</row>
    <row r="4">
      <c r="A4" s="143"/>
      <c r="B4" s="144" t="s">
        <v>197</v>
      </c>
      <c r="C4" s="145">
        <v>10000.0</v>
      </c>
      <c r="D4" s="145">
        <v>10000.0</v>
      </c>
      <c r="E4" s="145">
        <v>10000.0</v>
      </c>
      <c r="F4" s="145">
        <v>10000.0</v>
      </c>
      <c r="G4" s="145">
        <v>10000.0</v>
      </c>
      <c r="H4" s="146">
        <v>10000.0</v>
      </c>
      <c r="I4" s="145">
        <v>10000.0</v>
      </c>
      <c r="J4" s="145">
        <f t="shared" ref="J4:P4" si="1">120000/12</f>
        <v>10000</v>
      </c>
      <c r="K4" s="145">
        <f t="shared" si="1"/>
        <v>10000</v>
      </c>
      <c r="L4" s="145">
        <f t="shared" si="1"/>
        <v>10000</v>
      </c>
      <c r="M4" s="145">
        <f t="shared" si="1"/>
        <v>10000</v>
      </c>
      <c r="N4" s="145">
        <f t="shared" si="1"/>
        <v>10000</v>
      </c>
      <c r="O4" s="145">
        <f t="shared" si="1"/>
        <v>10000</v>
      </c>
      <c r="P4" s="145">
        <f t="shared" si="1"/>
        <v>10000</v>
      </c>
      <c r="Q4" s="145">
        <f t="shared" ref="Q4:Y4" si="2">123000/12</f>
        <v>10250</v>
      </c>
      <c r="R4" s="145">
        <f t="shared" si="2"/>
        <v>10250</v>
      </c>
      <c r="S4" s="145">
        <f t="shared" si="2"/>
        <v>10250</v>
      </c>
      <c r="T4" s="145">
        <f t="shared" si="2"/>
        <v>10250</v>
      </c>
      <c r="U4" s="145">
        <f t="shared" si="2"/>
        <v>10250</v>
      </c>
      <c r="V4" s="145">
        <f t="shared" si="2"/>
        <v>10250</v>
      </c>
      <c r="W4" s="145">
        <f t="shared" si="2"/>
        <v>10250</v>
      </c>
      <c r="X4" s="145">
        <f t="shared" si="2"/>
        <v>10250</v>
      </c>
      <c r="Y4" s="145">
        <f t="shared" si="2"/>
        <v>10250</v>
      </c>
      <c r="Z4" s="685">
        <f t="shared" ref="Z4:AJ4" si="3">160000/12</f>
        <v>13333.33333</v>
      </c>
      <c r="AA4" s="685">
        <f t="shared" si="3"/>
        <v>13333.33333</v>
      </c>
      <c r="AB4" s="685">
        <f t="shared" si="3"/>
        <v>13333.33333</v>
      </c>
      <c r="AC4" s="685">
        <f t="shared" si="3"/>
        <v>13333.33333</v>
      </c>
      <c r="AD4" s="685">
        <f t="shared" si="3"/>
        <v>13333.33333</v>
      </c>
      <c r="AE4" s="685">
        <f t="shared" si="3"/>
        <v>13333.33333</v>
      </c>
      <c r="AF4" s="685">
        <f t="shared" si="3"/>
        <v>13333.33333</v>
      </c>
      <c r="AG4" s="685">
        <f t="shared" si="3"/>
        <v>13333.33333</v>
      </c>
      <c r="AH4" s="686">
        <f t="shared" si="3"/>
        <v>13333.33333</v>
      </c>
      <c r="AI4" s="685">
        <f t="shared" si="3"/>
        <v>13333.33333</v>
      </c>
      <c r="AJ4" s="685">
        <f t="shared" si="3"/>
        <v>13333.33333</v>
      </c>
      <c r="AK4" s="685">
        <f>165000/12</f>
        <v>13750</v>
      </c>
      <c r="AL4" s="685">
        <f t="shared" ref="AL4:AZ4" si="4">210000/12</f>
        <v>17500</v>
      </c>
      <c r="AM4" s="685">
        <f t="shared" si="4"/>
        <v>17500</v>
      </c>
      <c r="AN4" s="685">
        <f t="shared" si="4"/>
        <v>17500</v>
      </c>
      <c r="AO4" s="685">
        <f t="shared" si="4"/>
        <v>17500</v>
      </c>
      <c r="AP4" s="685">
        <f t="shared" si="4"/>
        <v>17500</v>
      </c>
      <c r="AQ4" s="685">
        <f t="shared" si="4"/>
        <v>17500</v>
      </c>
      <c r="AR4" s="685">
        <f t="shared" si="4"/>
        <v>17500</v>
      </c>
      <c r="AS4" s="685">
        <f t="shared" si="4"/>
        <v>17500</v>
      </c>
      <c r="AT4" s="685">
        <f t="shared" si="4"/>
        <v>17500</v>
      </c>
      <c r="AU4" s="685">
        <f t="shared" si="4"/>
        <v>17500</v>
      </c>
      <c r="AV4" s="685">
        <f t="shared" si="4"/>
        <v>17500</v>
      </c>
      <c r="AW4" s="685">
        <f t="shared" si="4"/>
        <v>17500</v>
      </c>
      <c r="AX4" s="685">
        <f t="shared" si="4"/>
        <v>17500</v>
      </c>
      <c r="AY4" s="685">
        <f t="shared" si="4"/>
        <v>17500</v>
      </c>
      <c r="AZ4" s="685">
        <f t="shared" si="4"/>
        <v>17500</v>
      </c>
      <c r="BA4" s="685">
        <f t="shared" ref="BA4:BE4" si="5">200000/12</f>
        <v>16666.66667</v>
      </c>
      <c r="BB4" s="685">
        <f t="shared" si="5"/>
        <v>16666.66667</v>
      </c>
      <c r="BC4" s="685">
        <f t="shared" si="5"/>
        <v>16666.66667</v>
      </c>
      <c r="BD4" s="685">
        <f t="shared" si="5"/>
        <v>16666.66667</v>
      </c>
      <c r="BE4" s="685">
        <f t="shared" si="5"/>
        <v>16666.66667</v>
      </c>
      <c r="BF4" s="161">
        <f t="shared" ref="BF4:BJ4" si="6">220000/12</f>
        <v>18333.33333</v>
      </c>
      <c r="BG4" s="161">
        <f t="shared" si="6"/>
        <v>18333.33333</v>
      </c>
      <c r="BH4" s="161">
        <f t="shared" si="6"/>
        <v>18333.33333</v>
      </c>
      <c r="BI4" s="161">
        <f t="shared" si="6"/>
        <v>18333.33333</v>
      </c>
      <c r="BJ4" s="161">
        <f t="shared" si="6"/>
        <v>18333.33333</v>
      </c>
      <c r="BK4" s="687"/>
      <c r="BL4" s="161">
        <f>220000/12</f>
        <v>18333.33333</v>
      </c>
      <c r="BM4" s="161">
        <f t="shared" ref="BM4:BW4" si="7">500000/12</f>
        <v>41666.66667</v>
      </c>
      <c r="BN4" s="161">
        <f t="shared" si="7"/>
        <v>41666.66667</v>
      </c>
      <c r="BO4" s="161">
        <f t="shared" si="7"/>
        <v>41666.66667</v>
      </c>
      <c r="BP4" s="161">
        <f t="shared" si="7"/>
        <v>41666.66667</v>
      </c>
      <c r="BQ4" s="161">
        <f t="shared" si="7"/>
        <v>41666.66667</v>
      </c>
      <c r="BR4" s="161">
        <f t="shared" si="7"/>
        <v>41666.66667</v>
      </c>
      <c r="BS4" s="161">
        <f t="shared" si="7"/>
        <v>41666.66667</v>
      </c>
      <c r="BT4" s="161">
        <f t="shared" si="7"/>
        <v>41666.66667</v>
      </c>
      <c r="BU4" s="161">
        <f t="shared" si="7"/>
        <v>41666.66667</v>
      </c>
      <c r="BV4" s="161">
        <f t="shared" si="7"/>
        <v>41666.66667</v>
      </c>
      <c r="BW4" s="161">
        <f t="shared" si="7"/>
        <v>41666.66667</v>
      </c>
    </row>
    <row r="5">
      <c r="A5" s="149"/>
      <c r="B5" s="137" t="s">
        <v>198</v>
      </c>
      <c r="C5" s="145">
        <v>0.0</v>
      </c>
      <c r="D5" s="145">
        <v>3000.0</v>
      </c>
      <c r="E5" s="145">
        <v>0.0</v>
      </c>
      <c r="F5" s="145">
        <v>0.0</v>
      </c>
      <c r="G5" s="145">
        <v>0.0</v>
      </c>
      <c r="H5" s="146">
        <v>0.0</v>
      </c>
      <c r="I5" s="145">
        <v>5000.0</v>
      </c>
      <c r="J5" s="145">
        <v>5000.0</v>
      </c>
      <c r="K5" s="145">
        <v>0.0</v>
      </c>
      <c r="L5" s="145">
        <v>0.0</v>
      </c>
      <c r="M5" s="145">
        <v>800.0</v>
      </c>
      <c r="N5" s="145">
        <f>500</f>
        <v>500</v>
      </c>
      <c r="O5" s="145">
        <v>0.0</v>
      </c>
      <c r="P5" s="145">
        <f>5000</f>
        <v>5000</v>
      </c>
      <c r="Q5" s="145">
        <v>0.0</v>
      </c>
      <c r="R5" s="145">
        <v>0.0</v>
      </c>
      <c r="S5" s="145">
        <v>0.0</v>
      </c>
      <c r="T5" s="145">
        <v>0.0</v>
      </c>
      <c r="U5" s="145">
        <v>0.0</v>
      </c>
      <c r="V5" s="145">
        <v>0.0</v>
      </c>
      <c r="W5" s="145">
        <v>0.0</v>
      </c>
      <c r="X5" s="145">
        <v>0.0</v>
      </c>
      <c r="Y5" s="145">
        <v>0.0</v>
      </c>
      <c r="Z5" s="145">
        <v>0.0</v>
      </c>
      <c r="AA5" s="145">
        <v>0.0</v>
      </c>
      <c r="AB5" s="145">
        <v>0.0</v>
      </c>
      <c r="AC5" s="145">
        <v>0.0</v>
      </c>
      <c r="AD5" s="145">
        <v>0.0</v>
      </c>
      <c r="AE5" s="145">
        <v>0.0</v>
      </c>
      <c r="AF5" s="145">
        <v>0.0</v>
      </c>
      <c r="AG5" s="145">
        <v>0.0</v>
      </c>
      <c r="AH5" s="146">
        <v>0.0</v>
      </c>
      <c r="AI5" s="145">
        <v>0.0</v>
      </c>
      <c r="AJ5" s="145">
        <v>0.0</v>
      </c>
      <c r="AK5" s="145">
        <v>0.0</v>
      </c>
      <c r="AL5" s="145">
        <v>0.0</v>
      </c>
      <c r="AM5" s="145">
        <v>0.0</v>
      </c>
      <c r="AN5" s="145">
        <v>0.0</v>
      </c>
      <c r="AO5" s="145">
        <v>0.0</v>
      </c>
      <c r="AP5" s="145">
        <v>0.0</v>
      </c>
      <c r="AQ5" s="145">
        <v>0.0</v>
      </c>
      <c r="AR5" s="145">
        <v>0.0</v>
      </c>
      <c r="AS5" s="145">
        <v>0.0</v>
      </c>
      <c r="AT5" s="145">
        <v>0.0</v>
      </c>
      <c r="AU5" s="145">
        <v>0.0</v>
      </c>
      <c r="AV5" s="145">
        <v>0.0</v>
      </c>
      <c r="AW5" s="145">
        <v>0.0</v>
      </c>
      <c r="AX5" s="145">
        <v>0.0</v>
      </c>
      <c r="AY5" s="145">
        <v>0.0</v>
      </c>
      <c r="AZ5" s="145">
        <v>0.0</v>
      </c>
      <c r="BA5" s="145">
        <v>0.0</v>
      </c>
      <c r="BB5" s="145">
        <v>0.0</v>
      </c>
      <c r="BC5" s="145">
        <v>0.0</v>
      </c>
      <c r="BD5" s="145">
        <v>0.0</v>
      </c>
      <c r="BE5" s="145">
        <v>0.0</v>
      </c>
      <c r="BF5" s="145">
        <v>0.0</v>
      </c>
      <c r="BG5" s="145">
        <v>0.0</v>
      </c>
      <c r="BH5" s="145">
        <v>0.0</v>
      </c>
      <c r="BI5" s="145">
        <v>0.0</v>
      </c>
      <c r="BJ5" s="145">
        <v>0.0</v>
      </c>
      <c r="BK5" s="689"/>
      <c r="BL5" s="156">
        <v>0.0</v>
      </c>
      <c r="BM5" s="156">
        <v>0.0</v>
      </c>
      <c r="BN5" s="156">
        <v>0.0</v>
      </c>
      <c r="BO5" s="156">
        <v>0.0</v>
      </c>
      <c r="BP5" s="156">
        <v>0.0</v>
      </c>
      <c r="BQ5" s="156">
        <v>0.0</v>
      </c>
      <c r="BR5" s="156">
        <v>0.0</v>
      </c>
      <c r="BS5" s="156">
        <v>0.0</v>
      </c>
      <c r="BT5" s="156">
        <v>0.0</v>
      </c>
      <c r="BU5" s="156">
        <v>0.0</v>
      </c>
      <c r="BV5" s="156">
        <v>0.0</v>
      </c>
      <c r="BW5" s="156">
        <v>0.0</v>
      </c>
    </row>
    <row r="6">
      <c r="A6" s="135" t="s">
        <v>199</v>
      </c>
      <c r="B6" s="136"/>
      <c r="C6" s="137"/>
      <c r="D6" s="137"/>
      <c r="E6" s="137"/>
      <c r="F6" s="137"/>
      <c r="G6" s="137"/>
      <c r="H6" s="137"/>
      <c r="I6" s="138"/>
      <c r="J6" s="138"/>
      <c r="K6" s="138"/>
      <c r="L6" s="138"/>
      <c r="M6" s="139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40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8"/>
      <c r="BK6" s="140"/>
      <c r="BL6" s="1103" t="s">
        <v>200</v>
      </c>
      <c r="BM6" s="138"/>
      <c r="BN6" s="138"/>
      <c r="BO6" s="138"/>
      <c r="BP6" s="138"/>
      <c r="BQ6" s="138"/>
      <c r="BR6" s="138"/>
      <c r="BS6" s="138"/>
      <c r="BT6" s="138"/>
      <c r="BU6" s="138"/>
      <c r="BV6" s="138"/>
      <c r="BW6" s="138"/>
    </row>
    <row r="7" ht="15.0" customHeight="1">
      <c r="A7" s="149"/>
      <c r="B7" s="137" t="s">
        <v>201</v>
      </c>
      <c r="C7" s="145">
        <v>0.0</v>
      </c>
      <c r="D7" s="145">
        <v>0.0</v>
      </c>
      <c r="E7" s="145">
        <v>0.0</v>
      </c>
      <c r="F7" s="145">
        <v>0.0</v>
      </c>
      <c r="G7" s="145">
        <v>0.0</v>
      </c>
      <c r="H7" s="146">
        <v>0.0</v>
      </c>
      <c r="I7" s="145">
        <v>0.0</v>
      </c>
      <c r="J7" s="145">
        <v>0.0</v>
      </c>
      <c r="K7" s="145">
        <v>0.0</v>
      </c>
      <c r="L7" s="145">
        <v>0.0</v>
      </c>
      <c r="M7" s="145">
        <v>0.0</v>
      </c>
      <c r="N7" s="145">
        <v>0.0</v>
      </c>
      <c r="O7" s="145">
        <v>0.0</v>
      </c>
      <c r="P7" s="161">
        <v>0.0</v>
      </c>
      <c r="Q7" s="690">
        <v>0.0</v>
      </c>
      <c r="R7" s="690">
        <v>0.0</v>
      </c>
      <c r="S7" s="690">
        <v>0.0</v>
      </c>
      <c r="T7" s="690">
        <f t="shared" ref="T7:W7" si="8">S7+S7*0.15</f>
        <v>0</v>
      </c>
      <c r="U7" s="691">
        <f t="shared" si="8"/>
        <v>0</v>
      </c>
      <c r="V7" s="150">
        <f t="shared" si="8"/>
        <v>0</v>
      </c>
      <c r="W7" s="150">
        <f t="shared" si="8"/>
        <v>0</v>
      </c>
      <c r="X7" s="151">
        <v>0.0</v>
      </c>
      <c r="Y7" s="151">
        <v>0.0</v>
      </c>
      <c r="Z7" s="691">
        <f t="shared" ref="Z7:AH7" si="9">Y7+Y7*0.1</f>
        <v>0</v>
      </c>
      <c r="AA7" s="691">
        <f t="shared" si="9"/>
        <v>0</v>
      </c>
      <c r="AB7" s="691">
        <f t="shared" si="9"/>
        <v>0</v>
      </c>
      <c r="AC7" s="691">
        <f t="shared" si="9"/>
        <v>0</v>
      </c>
      <c r="AD7" s="691">
        <f t="shared" si="9"/>
        <v>0</v>
      </c>
      <c r="AE7" s="691">
        <f t="shared" si="9"/>
        <v>0</v>
      </c>
      <c r="AF7" s="691">
        <f t="shared" si="9"/>
        <v>0</v>
      </c>
      <c r="AG7" s="691">
        <f t="shared" si="9"/>
        <v>0</v>
      </c>
      <c r="AH7" s="692">
        <f t="shared" si="9"/>
        <v>0</v>
      </c>
      <c r="AI7" s="691">
        <f t="shared" ref="AI7:AJ7" si="10">AG7+AG7*0.1</f>
        <v>0</v>
      </c>
      <c r="AJ7" s="691">
        <f t="shared" si="10"/>
        <v>0</v>
      </c>
      <c r="AK7" s="691">
        <f t="shared" ref="AK7:AT7" si="11">AJ7+AJ7*0.1</f>
        <v>0</v>
      </c>
      <c r="AL7" s="691">
        <f t="shared" si="11"/>
        <v>0</v>
      </c>
      <c r="AM7" s="691">
        <f t="shared" si="11"/>
        <v>0</v>
      </c>
      <c r="AN7" s="691">
        <f t="shared" si="11"/>
        <v>0</v>
      </c>
      <c r="AO7" s="691">
        <f t="shared" si="11"/>
        <v>0</v>
      </c>
      <c r="AP7" s="691">
        <f t="shared" si="11"/>
        <v>0</v>
      </c>
      <c r="AQ7" s="691">
        <f t="shared" si="11"/>
        <v>0</v>
      </c>
      <c r="AR7" s="691">
        <f t="shared" si="11"/>
        <v>0</v>
      </c>
      <c r="AS7" s="691">
        <f t="shared" si="11"/>
        <v>0</v>
      </c>
      <c r="AT7" s="691">
        <f t="shared" si="11"/>
        <v>0</v>
      </c>
      <c r="AU7" s="693">
        <v>0.0</v>
      </c>
      <c r="AV7" s="693">
        <v>0.0</v>
      </c>
      <c r="AW7" s="693">
        <v>0.0</v>
      </c>
      <c r="AX7" s="693">
        <v>0.0</v>
      </c>
      <c r="AY7" s="693">
        <v>0.0</v>
      </c>
      <c r="AZ7" s="693">
        <v>0.0</v>
      </c>
      <c r="BA7" s="693">
        <v>0.0</v>
      </c>
      <c r="BB7" s="693">
        <v>0.0</v>
      </c>
      <c r="BC7" s="693">
        <v>0.0</v>
      </c>
      <c r="BD7" s="693">
        <v>0.0</v>
      </c>
      <c r="BE7" s="693">
        <v>0.0</v>
      </c>
      <c r="BF7" s="693">
        <v>60000.0</v>
      </c>
      <c r="BG7" s="693">
        <v>0.0</v>
      </c>
      <c r="BH7" s="693">
        <v>0.0</v>
      </c>
      <c r="BI7" s="693">
        <v>0.0</v>
      </c>
      <c r="BJ7" s="693">
        <v>0.0</v>
      </c>
      <c r="BK7" s="694"/>
      <c r="BL7" s="693">
        <v>0.0</v>
      </c>
      <c r="BM7" s="693"/>
      <c r="BN7" s="693"/>
      <c r="BO7" s="693"/>
      <c r="BP7" s="693">
        <v>0.0</v>
      </c>
      <c r="BQ7" s="693">
        <v>0.0</v>
      </c>
      <c r="BR7" s="693">
        <v>0.0</v>
      </c>
      <c r="BS7" s="693">
        <v>0.0</v>
      </c>
      <c r="BT7" s="693">
        <v>0.0</v>
      </c>
      <c r="BU7" s="693">
        <v>0.0</v>
      </c>
      <c r="BV7" s="693">
        <v>0.0</v>
      </c>
      <c r="BW7" s="693">
        <v>0.0</v>
      </c>
    </row>
    <row r="8">
      <c r="A8" s="149"/>
      <c r="B8" s="137" t="s">
        <v>202</v>
      </c>
      <c r="C8" s="145"/>
      <c r="D8" s="145"/>
      <c r="E8" s="145"/>
      <c r="F8" s="145"/>
      <c r="G8" s="145"/>
      <c r="H8" s="146"/>
      <c r="I8" s="145"/>
      <c r="J8" s="145"/>
      <c r="K8" s="145"/>
      <c r="L8" s="145"/>
      <c r="M8" s="145"/>
      <c r="N8" s="145"/>
      <c r="O8" s="145">
        <f>1000</f>
        <v>1000</v>
      </c>
      <c r="P8" s="145">
        <f>2723</f>
        <v>2723</v>
      </c>
      <c r="Q8" s="145">
        <v>419.0</v>
      </c>
      <c r="R8" s="155">
        <f>200</f>
        <v>200</v>
      </c>
      <c r="S8" s="156">
        <f>900+2500</f>
        <v>3400</v>
      </c>
      <c r="T8" s="156">
        <v>0.0</v>
      </c>
      <c r="U8" s="145">
        <v>0.0</v>
      </c>
      <c r="V8" s="145">
        <v>300.0</v>
      </c>
      <c r="W8" s="145">
        <v>0.0</v>
      </c>
      <c r="X8" s="145">
        <v>0.0</v>
      </c>
      <c r="Y8" s="145">
        <v>5600.0</v>
      </c>
      <c r="Z8" s="145">
        <v>0.0</v>
      </c>
      <c r="AA8" s="155">
        <v>0.0</v>
      </c>
      <c r="AB8" s="145">
        <v>0.0</v>
      </c>
      <c r="AC8" s="157">
        <v>700.0</v>
      </c>
      <c r="AD8" s="145">
        <v>0.0</v>
      </c>
      <c r="AE8" s="145">
        <v>11000.0</v>
      </c>
      <c r="AF8" s="158">
        <v>1300.0</v>
      </c>
      <c r="AG8" s="159">
        <f>sum(1200,1200)</f>
        <v>2400</v>
      </c>
      <c r="AH8" s="160">
        <f>sum(7000,10000)</f>
        <v>17000</v>
      </c>
      <c r="AI8" s="161">
        <v>0.0</v>
      </c>
      <c r="AJ8" s="145">
        <v>0.0</v>
      </c>
      <c r="AK8" s="161">
        <f>2000+7700</f>
        <v>9700</v>
      </c>
      <c r="AL8" s="113">
        <v>0.0</v>
      </c>
      <c r="AM8" s="113">
        <v>0.0</v>
      </c>
      <c r="AN8" s="113">
        <v>10000.0</v>
      </c>
      <c r="AO8" s="113">
        <v>1000.0</v>
      </c>
      <c r="AP8" s="113">
        <v>21000.0</v>
      </c>
      <c r="AQ8" s="113">
        <v>0.0</v>
      </c>
      <c r="AR8" s="113">
        <v>0.0</v>
      </c>
      <c r="AS8" s="145">
        <v>0.0</v>
      </c>
      <c r="AT8" s="162">
        <f>sum(4751.11)</f>
        <v>4751.11</v>
      </c>
      <c r="AU8" s="145">
        <f>36000*0.45</f>
        <v>16200</v>
      </c>
      <c r="AV8" s="145">
        <v>0.0</v>
      </c>
      <c r="AW8" s="145">
        <v>0.0</v>
      </c>
      <c r="AX8" s="145">
        <f>SUM(1500,1844)</f>
        <v>3344</v>
      </c>
      <c r="AY8" s="156">
        <f>sum(1000,1800)</f>
        <v>2800</v>
      </c>
      <c r="AZ8" s="155">
        <v>16000.0</v>
      </c>
      <c r="BA8" s="161">
        <v>20000.0</v>
      </c>
      <c r="BB8" s="145">
        <v>0.0</v>
      </c>
      <c r="BC8" s="145">
        <v>2500.0</v>
      </c>
      <c r="BD8" s="163">
        <v>0.0</v>
      </c>
      <c r="BE8" s="113">
        <v>0.0</v>
      </c>
      <c r="BF8" s="113">
        <f>sum(-2000,-3000,-1200)</f>
        <v>-6200</v>
      </c>
      <c r="BG8" s="113">
        <f>sum(5000,2000)</f>
        <v>7000</v>
      </c>
      <c r="BH8" s="145">
        <f>sum(10000,1000)</f>
        <v>11000</v>
      </c>
      <c r="BI8" s="145">
        <v>0.0</v>
      </c>
      <c r="BJ8" s="156">
        <v>0.0</v>
      </c>
      <c r="BK8" s="146"/>
      <c r="BL8" s="156">
        <f>sum(200000,12000)</f>
        <v>212000</v>
      </c>
      <c r="BM8" s="156">
        <v>100000.0</v>
      </c>
      <c r="BN8" s="145">
        <v>0.0</v>
      </c>
      <c r="BO8" s="145">
        <v>0.0</v>
      </c>
      <c r="BP8" s="145">
        <v>0.0</v>
      </c>
      <c r="BQ8" s="145">
        <v>0.0</v>
      </c>
      <c r="BR8" s="145">
        <v>0.0</v>
      </c>
      <c r="BS8" s="145">
        <v>0.0</v>
      </c>
      <c r="BT8" s="145">
        <v>0.0</v>
      </c>
      <c r="BU8" s="145">
        <v>0.0</v>
      </c>
      <c r="BV8" s="145">
        <v>0.0</v>
      </c>
      <c r="BW8" s="145">
        <v>0.0</v>
      </c>
    </row>
    <row r="9">
      <c r="A9" s="166"/>
      <c r="B9" s="167"/>
      <c r="C9" s="168"/>
      <c r="D9" s="168"/>
      <c r="E9" s="168"/>
      <c r="F9" s="168"/>
      <c r="G9" s="168"/>
      <c r="H9" s="169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9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9"/>
      <c r="BL9" s="168"/>
      <c r="BM9" s="168"/>
      <c r="BN9" s="168"/>
      <c r="BO9" s="168"/>
      <c r="BP9" s="168"/>
      <c r="BQ9" s="168"/>
      <c r="BR9" s="168"/>
      <c r="BS9" s="168"/>
      <c r="BT9" s="168"/>
      <c r="BU9" s="168"/>
      <c r="BV9" s="168"/>
      <c r="BW9" s="168"/>
    </row>
    <row r="10">
      <c r="A10" s="171" t="s">
        <v>203</v>
      </c>
      <c r="B10" s="172"/>
      <c r="C10" s="173">
        <f t="shared" ref="C10:O10" si="12">sum(C4:C7)</f>
        <v>10000</v>
      </c>
      <c r="D10" s="173">
        <f t="shared" si="12"/>
        <v>13000</v>
      </c>
      <c r="E10" s="173">
        <f t="shared" si="12"/>
        <v>10000</v>
      </c>
      <c r="F10" s="173">
        <f t="shared" si="12"/>
        <v>10000</v>
      </c>
      <c r="G10" s="173">
        <f t="shared" si="12"/>
        <v>10000</v>
      </c>
      <c r="H10" s="174">
        <f t="shared" si="12"/>
        <v>10000</v>
      </c>
      <c r="I10" s="173">
        <f t="shared" si="12"/>
        <v>15000</v>
      </c>
      <c r="J10" s="173">
        <f t="shared" si="12"/>
        <v>15000</v>
      </c>
      <c r="K10" s="173">
        <f t="shared" si="12"/>
        <v>10000</v>
      </c>
      <c r="L10" s="173">
        <f t="shared" si="12"/>
        <v>10000</v>
      </c>
      <c r="M10" s="173">
        <f t="shared" si="12"/>
        <v>10800</v>
      </c>
      <c r="N10" s="173">
        <f t="shared" si="12"/>
        <v>10500</v>
      </c>
      <c r="O10" s="173">
        <f t="shared" si="12"/>
        <v>10000</v>
      </c>
      <c r="P10" s="173">
        <f t="shared" ref="P10:BJ10" si="13">sum(P4:P8)</f>
        <v>17723</v>
      </c>
      <c r="Q10" s="173">
        <f t="shared" si="13"/>
        <v>10669</v>
      </c>
      <c r="R10" s="173">
        <f t="shared" si="13"/>
        <v>10450</v>
      </c>
      <c r="S10" s="173">
        <f t="shared" si="13"/>
        <v>13650</v>
      </c>
      <c r="T10" s="173">
        <f t="shared" si="13"/>
        <v>10250</v>
      </c>
      <c r="U10" s="173">
        <f t="shared" si="13"/>
        <v>10250</v>
      </c>
      <c r="V10" s="173">
        <f t="shared" si="13"/>
        <v>10550</v>
      </c>
      <c r="W10" s="173">
        <f t="shared" si="13"/>
        <v>10250</v>
      </c>
      <c r="X10" s="173">
        <f t="shared" si="13"/>
        <v>10250</v>
      </c>
      <c r="Y10" s="173">
        <f t="shared" si="13"/>
        <v>15850</v>
      </c>
      <c r="Z10" s="173">
        <f t="shared" si="13"/>
        <v>13333.33333</v>
      </c>
      <c r="AA10" s="173">
        <f t="shared" si="13"/>
        <v>13333.33333</v>
      </c>
      <c r="AB10" s="173">
        <f t="shared" si="13"/>
        <v>13333.33333</v>
      </c>
      <c r="AC10" s="173">
        <f t="shared" si="13"/>
        <v>14033.33333</v>
      </c>
      <c r="AD10" s="173">
        <f t="shared" si="13"/>
        <v>13333.33333</v>
      </c>
      <c r="AE10" s="173">
        <f t="shared" si="13"/>
        <v>24333.33333</v>
      </c>
      <c r="AF10" s="173">
        <f t="shared" si="13"/>
        <v>14633.33333</v>
      </c>
      <c r="AG10" s="173">
        <f t="shared" si="13"/>
        <v>15733.33333</v>
      </c>
      <c r="AH10" s="174">
        <f t="shared" si="13"/>
        <v>30333.33333</v>
      </c>
      <c r="AI10" s="173">
        <f t="shared" si="13"/>
        <v>13333.33333</v>
      </c>
      <c r="AJ10" s="173">
        <f t="shared" si="13"/>
        <v>13333.33333</v>
      </c>
      <c r="AK10" s="173">
        <f t="shared" si="13"/>
        <v>23450</v>
      </c>
      <c r="AL10" s="173">
        <f t="shared" si="13"/>
        <v>17500</v>
      </c>
      <c r="AM10" s="173">
        <f t="shared" si="13"/>
        <v>17500</v>
      </c>
      <c r="AN10" s="173">
        <f t="shared" si="13"/>
        <v>27500</v>
      </c>
      <c r="AO10" s="173">
        <f t="shared" si="13"/>
        <v>18500</v>
      </c>
      <c r="AP10" s="173">
        <f t="shared" si="13"/>
        <v>38500</v>
      </c>
      <c r="AQ10" s="173">
        <f t="shared" si="13"/>
        <v>17500</v>
      </c>
      <c r="AR10" s="173">
        <f t="shared" si="13"/>
        <v>17500</v>
      </c>
      <c r="AS10" s="173">
        <f t="shared" si="13"/>
        <v>17500</v>
      </c>
      <c r="AT10" s="173">
        <f t="shared" si="13"/>
        <v>22251.11</v>
      </c>
      <c r="AU10" s="173">
        <f t="shared" si="13"/>
        <v>33700</v>
      </c>
      <c r="AV10" s="173">
        <f t="shared" si="13"/>
        <v>17500</v>
      </c>
      <c r="AW10" s="173">
        <f t="shared" si="13"/>
        <v>17500</v>
      </c>
      <c r="AX10" s="173">
        <f t="shared" si="13"/>
        <v>20844</v>
      </c>
      <c r="AY10" s="173">
        <f t="shared" si="13"/>
        <v>20300</v>
      </c>
      <c r="AZ10" s="173">
        <f t="shared" si="13"/>
        <v>33500</v>
      </c>
      <c r="BA10" s="173">
        <f t="shared" si="13"/>
        <v>36666.66667</v>
      </c>
      <c r="BB10" s="173">
        <f t="shared" si="13"/>
        <v>16666.66667</v>
      </c>
      <c r="BC10" s="173">
        <f t="shared" si="13"/>
        <v>19166.66667</v>
      </c>
      <c r="BD10" s="173">
        <f t="shared" si="13"/>
        <v>16666.66667</v>
      </c>
      <c r="BE10" s="173">
        <f t="shared" si="13"/>
        <v>16666.66667</v>
      </c>
      <c r="BF10" s="173">
        <f t="shared" si="13"/>
        <v>72133.33333</v>
      </c>
      <c r="BG10" s="173">
        <f t="shared" si="13"/>
        <v>25333.33333</v>
      </c>
      <c r="BH10" s="173">
        <f t="shared" si="13"/>
        <v>29333.33333</v>
      </c>
      <c r="BI10" s="173">
        <f t="shared" si="13"/>
        <v>18333.33333</v>
      </c>
      <c r="BJ10" s="173">
        <f t="shared" si="13"/>
        <v>18333.33333</v>
      </c>
      <c r="BK10" s="174"/>
      <c r="BL10" s="173">
        <f t="shared" ref="BL10:BW10" si="14">sum(BL4:BL8)</f>
        <v>230333.3333</v>
      </c>
      <c r="BM10" s="173">
        <f t="shared" si="14"/>
        <v>141666.6667</v>
      </c>
      <c r="BN10" s="173">
        <f t="shared" si="14"/>
        <v>41666.66667</v>
      </c>
      <c r="BO10" s="173">
        <f t="shared" si="14"/>
        <v>41666.66667</v>
      </c>
      <c r="BP10" s="173">
        <f t="shared" si="14"/>
        <v>41666.66667</v>
      </c>
      <c r="BQ10" s="173">
        <f t="shared" si="14"/>
        <v>41666.66667</v>
      </c>
      <c r="BR10" s="173">
        <f t="shared" si="14"/>
        <v>41666.66667</v>
      </c>
      <c r="BS10" s="173">
        <f t="shared" si="14"/>
        <v>41666.66667</v>
      </c>
      <c r="BT10" s="173">
        <f t="shared" si="14"/>
        <v>41666.66667</v>
      </c>
      <c r="BU10" s="173">
        <f t="shared" si="14"/>
        <v>41666.66667</v>
      </c>
      <c r="BV10" s="173">
        <f t="shared" si="14"/>
        <v>41666.66667</v>
      </c>
      <c r="BW10" s="173">
        <f t="shared" si="14"/>
        <v>41666.66667</v>
      </c>
    </row>
    <row r="11">
      <c r="A11" s="171" t="s">
        <v>204</v>
      </c>
      <c r="B11" s="172"/>
      <c r="C11" s="137">
        <f>C10*0.38</f>
        <v>3800</v>
      </c>
      <c r="D11" s="137">
        <f t="shared" ref="D11:L11" si="15">D10*0.34</f>
        <v>4420</v>
      </c>
      <c r="E11" s="137">
        <f t="shared" si="15"/>
        <v>3400</v>
      </c>
      <c r="F11" s="137">
        <f t="shared" si="15"/>
        <v>3400</v>
      </c>
      <c r="G11" s="137">
        <f t="shared" si="15"/>
        <v>3400</v>
      </c>
      <c r="H11" s="175">
        <f t="shared" si="15"/>
        <v>3400</v>
      </c>
      <c r="I11" s="137">
        <f t="shared" si="15"/>
        <v>5100</v>
      </c>
      <c r="J11" s="137">
        <f t="shared" si="15"/>
        <v>5100</v>
      </c>
      <c r="K11" s="137">
        <f t="shared" si="15"/>
        <v>3400</v>
      </c>
      <c r="L11" s="137">
        <f t="shared" si="15"/>
        <v>3400</v>
      </c>
      <c r="M11" s="137">
        <f t="shared" ref="M11:N11" si="16">sum(M4:M7)*0.34</f>
        <v>3672</v>
      </c>
      <c r="N11" s="137">
        <f t="shared" si="16"/>
        <v>3570</v>
      </c>
      <c r="O11" s="137">
        <f>sum(O4:O7)*0.34+O5*0.41</f>
        <v>3400</v>
      </c>
      <c r="P11" s="137">
        <f>P4*0.34+P5*0.41+P7*0.34</f>
        <v>5450</v>
      </c>
      <c r="Q11" s="137">
        <f t="shared" ref="Q11:BE11" si="17">sum(Q4:Q7)*0.34+Q5*0.41</f>
        <v>3485</v>
      </c>
      <c r="R11" s="137">
        <f t="shared" si="17"/>
        <v>3485</v>
      </c>
      <c r="S11" s="137">
        <f t="shared" si="17"/>
        <v>3485</v>
      </c>
      <c r="T11" s="137">
        <f t="shared" si="17"/>
        <v>3485</v>
      </c>
      <c r="U11" s="137">
        <f t="shared" si="17"/>
        <v>3485</v>
      </c>
      <c r="V11" s="137">
        <f t="shared" si="17"/>
        <v>3485</v>
      </c>
      <c r="W11" s="137">
        <f t="shared" si="17"/>
        <v>3485</v>
      </c>
      <c r="X11" s="137">
        <f t="shared" si="17"/>
        <v>3485</v>
      </c>
      <c r="Y11" s="137">
        <f t="shared" si="17"/>
        <v>3485</v>
      </c>
      <c r="Z11" s="137">
        <f t="shared" si="17"/>
        <v>4533.333333</v>
      </c>
      <c r="AA11" s="137">
        <f t="shared" si="17"/>
        <v>4533.333333</v>
      </c>
      <c r="AB11" s="137">
        <f t="shared" si="17"/>
        <v>4533.333333</v>
      </c>
      <c r="AC11" s="137">
        <f t="shared" si="17"/>
        <v>4533.333333</v>
      </c>
      <c r="AD11" s="137">
        <f t="shared" si="17"/>
        <v>4533.333333</v>
      </c>
      <c r="AE11" s="137">
        <f t="shared" si="17"/>
        <v>4533.333333</v>
      </c>
      <c r="AF11" s="137">
        <f t="shared" si="17"/>
        <v>4533.333333</v>
      </c>
      <c r="AG11" s="137">
        <f t="shared" si="17"/>
        <v>4533.333333</v>
      </c>
      <c r="AH11" s="175">
        <f t="shared" si="17"/>
        <v>4533.333333</v>
      </c>
      <c r="AI11" s="137">
        <f t="shared" si="17"/>
        <v>4533.333333</v>
      </c>
      <c r="AJ11" s="137">
        <f t="shared" si="17"/>
        <v>4533.333333</v>
      </c>
      <c r="AK11" s="137">
        <f t="shared" si="17"/>
        <v>4675</v>
      </c>
      <c r="AL11" s="137">
        <f t="shared" si="17"/>
        <v>5950</v>
      </c>
      <c r="AM11" s="137">
        <f t="shared" si="17"/>
        <v>5950</v>
      </c>
      <c r="AN11" s="137">
        <f t="shared" si="17"/>
        <v>5950</v>
      </c>
      <c r="AO11" s="137">
        <f t="shared" si="17"/>
        <v>5950</v>
      </c>
      <c r="AP11" s="137">
        <f t="shared" si="17"/>
        <v>5950</v>
      </c>
      <c r="AQ11" s="137">
        <f t="shared" si="17"/>
        <v>5950</v>
      </c>
      <c r="AR11" s="137">
        <f t="shared" si="17"/>
        <v>5950</v>
      </c>
      <c r="AS11" s="137">
        <f t="shared" si="17"/>
        <v>5950</v>
      </c>
      <c r="AT11" s="137">
        <f t="shared" si="17"/>
        <v>5950</v>
      </c>
      <c r="AU11" s="137">
        <f t="shared" si="17"/>
        <v>5950</v>
      </c>
      <c r="AV11" s="137">
        <f t="shared" si="17"/>
        <v>5950</v>
      </c>
      <c r="AW11" s="137">
        <f t="shared" si="17"/>
        <v>5950</v>
      </c>
      <c r="AX11" s="137">
        <f t="shared" si="17"/>
        <v>5950</v>
      </c>
      <c r="AY11" s="137">
        <f t="shared" si="17"/>
        <v>5950</v>
      </c>
      <c r="AZ11" s="137">
        <f t="shared" si="17"/>
        <v>5950</v>
      </c>
      <c r="BA11" s="137">
        <f t="shared" si="17"/>
        <v>5666.666667</v>
      </c>
      <c r="BB11" s="137">
        <f t="shared" si="17"/>
        <v>5666.666667</v>
      </c>
      <c r="BC11" s="137">
        <f t="shared" si="17"/>
        <v>5666.666667</v>
      </c>
      <c r="BD11" s="137">
        <f t="shared" si="17"/>
        <v>5666.666667</v>
      </c>
      <c r="BE11" s="137">
        <f t="shared" si="17"/>
        <v>5666.666667</v>
      </c>
      <c r="BF11" s="137">
        <f>sum(BF4:BF7)*0.34+BF5*0.52</f>
        <v>26633.33333</v>
      </c>
      <c r="BG11" s="137">
        <f t="shared" ref="BG11:BJ11" si="18">sum(BG4:BG7)*0.34+BG5*0.41</f>
        <v>6233.333333</v>
      </c>
      <c r="BH11" s="137">
        <f t="shared" si="18"/>
        <v>6233.333333</v>
      </c>
      <c r="BI11" s="137">
        <f t="shared" si="18"/>
        <v>6233.333333</v>
      </c>
      <c r="BJ11" s="137">
        <f t="shared" si="18"/>
        <v>6233.333333</v>
      </c>
      <c r="BK11" s="175"/>
      <c r="BL11" s="137">
        <f t="shared" ref="BL11:BW11" si="19">sum(BL4:BL7)*0.34+BL5*0.41</f>
        <v>6233.333333</v>
      </c>
      <c r="BM11" s="137">
        <f t="shared" si="19"/>
        <v>14166.66667</v>
      </c>
      <c r="BN11" s="137">
        <f t="shared" si="19"/>
        <v>14166.66667</v>
      </c>
      <c r="BO11" s="137">
        <f t="shared" si="19"/>
        <v>14166.66667</v>
      </c>
      <c r="BP11" s="137">
        <f t="shared" si="19"/>
        <v>14166.66667</v>
      </c>
      <c r="BQ11" s="137">
        <f t="shared" si="19"/>
        <v>14166.66667</v>
      </c>
      <c r="BR11" s="137">
        <f t="shared" si="19"/>
        <v>14166.66667</v>
      </c>
      <c r="BS11" s="137">
        <f t="shared" si="19"/>
        <v>14166.66667</v>
      </c>
      <c r="BT11" s="137">
        <f t="shared" si="19"/>
        <v>14166.66667</v>
      </c>
      <c r="BU11" s="137">
        <f t="shared" si="19"/>
        <v>14166.66667</v>
      </c>
      <c r="BV11" s="137">
        <f t="shared" si="19"/>
        <v>14166.66667</v>
      </c>
      <c r="BW11" s="137">
        <f t="shared" si="19"/>
        <v>14166.66667</v>
      </c>
    </row>
    <row r="12">
      <c r="A12" s="171" t="s">
        <v>205</v>
      </c>
      <c r="B12" s="172"/>
      <c r="C12" s="137"/>
      <c r="D12" s="137"/>
      <c r="E12" s="137"/>
      <c r="F12" s="137"/>
      <c r="G12" s="137"/>
      <c r="H12" s="175"/>
      <c r="I12" s="137"/>
      <c r="J12" s="137"/>
      <c r="K12" s="137"/>
      <c r="L12" s="137"/>
      <c r="M12" s="137"/>
      <c r="N12" s="137"/>
      <c r="O12" s="137">
        <f t="shared" ref="O12:P12" si="20">O4*0.04</f>
        <v>400</v>
      </c>
      <c r="P12" s="137">
        <f t="shared" si="20"/>
        <v>400</v>
      </c>
      <c r="Q12" s="137">
        <f t="shared" ref="Q12:Y12" si="21">Q4*0.03</f>
        <v>307.5</v>
      </c>
      <c r="R12" s="137">
        <f t="shared" si="21"/>
        <v>307.5</v>
      </c>
      <c r="S12" s="137">
        <f t="shared" si="21"/>
        <v>307.5</v>
      </c>
      <c r="T12" s="137">
        <f t="shared" si="21"/>
        <v>307.5</v>
      </c>
      <c r="U12" s="137">
        <f t="shared" si="21"/>
        <v>307.5</v>
      </c>
      <c r="V12" s="137">
        <f t="shared" si="21"/>
        <v>307.5</v>
      </c>
      <c r="W12" s="137">
        <f t="shared" si="21"/>
        <v>307.5</v>
      </c>
      <c r="X12" s="137">
        <f t="shared" si="21"/>
        <v>307.5</v>
      </c>
      <c r="Y12" s="137">
        <f t="shared" si="21"/>
        <v>307.5</v>
      </c>
      <c r="Z12" s="137">
        <f t="shared" ref="Z12:AA12" si="22">Z4*0</f>
        <v>0</v>
      </c>
      <c r="AA12" s="137">
        <f t="shared" si="22"/>
        <v>0</v>
      </c>
      <c r="AB12" s="137">
        <v>0.0</v>
      </c>
      <c r="AC12" s="137">
        <f>AC4*0.025</f>
        <v>333.3333333</v>
      </c>
      <c r="AD12" s="137">
        <f t="shared" ref="AD12:AE12" si="23">AD4*0.004</f>
        <v>53.33333333</v>
      </c>
      <c r="AE12" s="137">
        <f t="shared" si="23"/>
        <v>53.33333333</v>
      </c>
      <c r="AF12" s="137">
        <f t="shared" ref="AF12:AH12" si="24">AF4*0</f>
        <v>0</v>
      </c>
      <c r="AG12" s="137">
        <f t="shared" si="24"/>
        <v>0</v>
      </c>
      <c r="AH12" s="175">
        <f t="shared" si="24"/>
        <v>0</v>
      </c>
      <c r="AI12" s="137">
        <f t="shared" ref="AI12:AJ12" si="25">AI4*0.025</f>
        <v>333.3333333</v>
      </c>
      <c r="AJ12" s="137">
        <f t="shared" si="25"/>
        <v>333.3333333</v>
      </c>
      <c r="AK12" s="137">
        <f t="shared" ref="AK12:BJ12" si="26">AK4*0</f>
        <v>0</v>
      </c>
      <c r="AL12" s="137">
        <f t="shared" si="26"/>
        <v>0</v>
      </c>
      <c r="AM12" s="137">
        <f t="shared" si="26"/>
        <v>0</v>
      </c>
      <c r="AN12" s="137">
        <f t="shared" si="26"/>
        <v>0</v>
      </c>
      <c r="AO12" s="137">
        <f t="shared" si="26"/>
        <v>0</v>
      </c>
      <c r="AP12" s="137">
        <f t="shared" si="26"/>
        <v>0</v>
      </c>
      <c r="AQ12" s="137">
        <f t="shared" si="26"/>
        <v>0</v>
      </c>
      <c r="AR12" s="137">
        <f t="shared" si="26"/>
        <v>0</v>
      </c>
      <c r="AS12" s="137">
        <f t="shared" si="26"/>
        <v>0</v>
      </c>
      <c r="AT12" s="137">
        <f t="shared" si="26"/>
        <v>0</v>
      </c>
      <c r="AU12" s="137">
        <f t="shared" si="26"/>
        <v>0</v>
      </c>
      <c r="AV12" s="137">
        <f t="shared" si="26"/>
        <v>0</v>
      </c>
      <c r="AW12" s="137">
        <f t="shared" si="26"/>
        <v>0</v>
      </c>
      <c r="AX12" s="137">
        <f t="shared" si="26"/>
        <v>0</v>
      </c>
      <c r="AY12" s="137">
        <f t="shared" si="26"/>
        <v>0</v>
      </c>
      <c r="AZ12" s="137">
        <f t="shared" si="26"/>
        <v>0</v>
      </c>
      <c r="BA12" s="137">
        <f t="shared" si="26"/>
        <v>0</v>
      </c>
      <c r="BB12" s="137">
        <f t="shared" si="26"/>
        <v>0</v>
      </c>
      <c r="BC12" s="137">
        <f t="shared" si="26"/>
        <v>0</v>
      </c>
      <c r="BD12" s="137">
        <f t="shared" si="26"/>
        <v>0</v>
      </c>
      <c r="BE12" s="137">
        <f t="shared" si="26"/>
        <v>0</v>
      </c>
      <c r="BF12" s="137">
        <f t="shared" si="26"/>
        <v>0</v>
      </c>
      <c r="BG12" s="137">
        <f t="shared" si="26"/>
        <v>0</v>
      </c>
      <c r="BH12" s="137">
        <f t="shared" si="26"/>
        <v>0</v>
      </c>
      <c r="BI12" s="137">
        <f t="shared" si="26"/>
        <v>0</v>
      </c>
      <c r="BJ12" s="137">
        <f t="shared" si="26"/>
        <v>0</v>
      </c>
      <c r="BK12" s="175"/>
      <c r="BL12" s="137">
        <f t="shared" ref="BL12:BW12" si="27">BL4*0</f>
        <v>0</v>
      </c>
      <c r="BM12" s="137">
        <f t="shared" si="27"/>
        <v>0</v>
      </c>
      <c r="BN12" s="137">
        <f t="shared" si="27"/>
        <v>0</v>
      </c>
      <c r="BO12" s="137">
        <f t="shared" si="27"/>
        <v>0</v>
      </c>
      <c r="BP12" s="137">
        <f t="shared" si="27"/>
        <v>0</v>
      </c>
      <c r="BQ12" s="137">
        <f t="shared" si="27"/>
        <v>0</v>
      </c>
      <c r="BR12" s="137">
        <f t="shared" si="27"/>
        <v>0</v>
      </c>
      <c r="BS12" s="137">
        <f t="shared" si="27"/>
        <v>0</v>
      </c>
      <c r="BT12" s="137">
        <f t="shared" si="27"/>
        <v>0</v>
      </c>
      <c r="BU12" s="137">
        <f t="shared" si="27"/>
        <v>0</v>
      </c>
      <c r="BV12" s="137">
        <f t="shared" si="27"/>
        <v>0</v>
      </c>
      <c r="BW12" s="137">
        <f t="shared" si="27"/>
        <v>0</v>
      </c>
    </row>
    <row r="13">
      <c r="A13" s="171" t="s">
        <v>206</v>
      </c>
      <c r="B13" s="176"/>
      <c r="C13" s="177">
        <f t="shared" ref="C13:L13" si="28">C10-C11+C5</f>
        <v>6200</v>
      </c>
      <c r="D13" s="177">
        <f t="shared" si="28"/>
        <v>11580</v>
      </c>
      <c r="E13" s="177">
        <f t="shared" si="28"/>
        <v>6600</v>
      </c>
      <c r="F13" s="177">
        <f t="shared" si="28"/>
        <v>6600</v>
      </c>
      <c r="G13" s="177">
        <f t="shared" si="28"/>
        <v>6600</v>
      </c>
      <c r="H13" s="178">
        <f t="shared" si="28"/>
        <v>6600</v>
      </c>
      <c r="I13" s="177">
        <f t="shared" si="28"/>
        <v>14900</v>
      </c>
      <c r="J13" s="177">
        <f t="shared" si="28"/>
        <v>14900</v>
      </c>
      <c r="K13" s="177">
        <f t="shared" si="28"/>
        <v>6600</v>
      </c>
      <c r="L13" s="177">
        <f t="shared" si="28"/>
        <v>6600</v>
      </c>
      <c r="M13" s="177">
        <f t="shared" ref="M13:N13" si="29">M10-M11</f>
        <v>7128</v>
      </c>
      <c r="N13" s="177">
        <f t="shared" si="29"/>
        <v>6930</v>
      </c>
      <c r="O13" s="177">
        <f>O4+O7+O5-O11-O12+O8</f>
        <v>7200</v>
      </c>
      <c r="P13" s="179">
        <f t="shared" ref="P13:BJ13" si="30">P10-P11-P12</f>
        <v>11873</v>
      </c>
      <c r="Q13" s="179">
        <f t="shared" si="30"/>
        <v>6876.5</v>
      </c>
      <c r="R13" s="179">
        <f t="shared" si="30"/>
        <v>6657.5</v>
      </c>
      <c r="S13" s="179">
        <f t="shared" si="30"/>
        <v>9857.5</v>
      </c>
      <c r="T13" s="179">
        <f t="shared" si="30"/>
        <v>6457.5</v>
      </c>
      <c r="U13" s="179">
        <f t="shared" si="30"/>
        <v>6457.5</v>
      </c>
      <c r="V13" s="179">
        <f t="shared" si="30"/>
        <v>6757.5</v>
      </c>
      <c r="W13" s="179">
        <f t="shared" si="30"/>
        <v>6457.5</v>
      </c>
      <c r="X13" s="179">
        <f t="shared" si="30"/>
        <v>6457.5</v>
      </c>
      <c r="Y13" s="179">
        <f t="shared" si="30"/>
        <v>12057.5</v>
      </c>
      <c r="Z13" s="179">
        <f t="shared" si="30"/>
        <v>8800</v>
      </c>
      <c r="AA13" s="179">
        <f t="shared" si="30"/>
        <v>8800</v>
      </c>
      <c r="AB13" s="179">
        <f t="shared" si="30"/>
        <v>8800</v>
      </c>
      <c r="AC13" s="179">
        <f t="shared" si="30"/>
        <v>9166.666667</v>
      </c>
      <c r="AD13" s="179">
        <f t="shared" si="30"/>
        <v>8746.666667</v>
      </c>
      <c r="AE13" s="179">
        <f t="shared" si="30"/>
        <v>19746.66667</v>
      </c>
      <c r="AF13" s="179">
        <f t="shared" si="30"/>
        <v>10100</v>
      </c>
      <c r="AG13" s="179">
        <f t="shared" si="30"/>
        <v>11200</v>
      </c>
      <c r="AH13" s="180">
        <f t="shared" si="30"/>
        <v>25800</v>
      </c>
      <c r="AI13" s="179">
        <f t="shared" si="30"/>
        <v>8466.666667</v>
      </c>
      <c r="AJ13" s="179">
        <f t="shared" si="30"/>
        <v>8466.666667</v>
      </c>
      <c r="AK13" s="179">
        <f t="shared" si="30"/>
        <v>18775</v>
      </c>
      <c r="AL13" s="179">
        <f t="shared" si="30"/>
        <v>11550</v>
      </c>
      <c r="AM13" s="179">
        <f t="shared" si="30"/>
        <v>11550</v>
      </c>
      <c r="AN13" s="179">
        <f t="shared" si="30"/>
        <v>21550</v>
      </c>
      <c r="AO13" s="179">
        <f t="shared" si="30"/>
        <v>12550</v>
      </c>
      <c r="AP13" s="179">
        <f t="shared" si="30"/>
        <v>32550</v>
      </c>
      <c r="AQ13" s="179">
        <f t="shared" si="30"/>
        <v>11550</v>
      </c>
      <c r="AR13" s="179">
        <f t="shared" si="30"/>
        <v>11550</v>
      </c>
      <c r="AS13" s="179">
        <f t="shared" si="30"/>
        <v>11550</v>
      </c>
      <c r="AT13" s="179">
        <f t="shared" si="30"/>
        <v>16301.11</v>
      </c>
      <c r="AU13" s="179">
        <f t="shared" si="30"/>
        <v>27750</v>
      </c>
      <c r="AV13" s="179">
        <f t="shared" si="30"/>
        <v>11550</v>
      </c>
      <c r="AW13" s="179">
        <f t="shared" si="30"/>
        <v>11550</v>
      </c>
      <c r="AX13" s="179">
        <f t="shared" si="30"/>
        <v>14894</v>
      </c>
      <c r="AY13" s="179">
        <f t="shared" si="30"/>
        <v>14350</v>
      </c>
      <c r="AZ13" s="179">
        <f t="shared" si="30"/>
        <v>27550</v>
      </c>
      <c r="BA13" s="179">
        <f t="shared" si="30"/>
        <v>31000</v>
      </c>
      <c r="BB13" s="179">
        <f t="shared" si="30"/>
        <v>11000</v>
      </c>
      <c r="BC13" s="179">
        <f t="shared" si="30"/>
        <v>13500</v>
      </c>
      <c r="BD13" s="179">
        <f t="shared" si="30"/>
        <v>11000</v>
      </c>
      <c r="BE13" s="179">
        <f t="shared" si="30"/>
        <v>11000</v>
      </c>
      <c r="BF13" s="179">
        <f t="shared" si="30"/>
        <v>45500</v>
      </c>
      <c r="BG13" s="179">
        <f t="shared" si="30"/>
        <v>19100</v>
      </c>
      <c r="BH13" s="179">
        <f t="shared" si="30"/>
        <v>23100</v>
      </c>
      <c r="BI13" s="179">
        <f t="shared" si="30"/>
        <v>12100</v>
      </c>
      <c r="BJ13" s="179">
        <f t="shared" si="30"/>
        <v>12100</v>
      </c>
      <c r="BK13" s="180"/>
      <c r="BL13" s="179">
        <f t="shared" ref="BL13:BW13" si="31">BL10-BL11-BL12</f>
        <v>224100</v>
      </c>
      <c r="BM13" s="179">
        <f t="shared" si="31"/>
        <v>127500</v>
      </c>
      <c r="BN13" s="179">
        <f t="shared" si="31"/>
        <v>27500</v>
      </c>
      <c r="BO13" s="179">
        <f t="shared" si="31"/>
        <v>27500</v>
      </c>
      <c r="BP13" s="179">
        <f t="shared" si="31"/>
        <v>27500</v>
      </c>
      <c r="BQ13" s="179">
        <f t="shared" si="31"/>
        <v>27500</v>
      </c>
      <c r="BR13" s="179">
        <f t="shared" si="31"/>
        <v>27500</v>
      </c>
      <c r="BS13" s="179">
        <f t="shared" si="31"/>
        <v>27500</v>
      </c>
      <c r="BT13" s="179">
        <f t="shared" si="31"/>
        <v>27500</v>
      </c>
      <c r="BU13" s="179">
        <f t="shared" si="31"/>
        <v>27500</v>
      </c>
      <c r="BV13" s="179">
        <f t="shared" si="31"/>
        <v>27500</v>
      </c>
      <c r="BW13" s="179">
        <f t="shared" si="31"/>
        <v>27500</v>
      </c>
    </row>
    <row r="14">
      <c r="A14" s="181"/>
      <c r="B14" s="182"/>
      <c r="C14" s="183"/>
      <c r="D14" s="183"/>
      <c r="E14" s="183"/>
      <c r="F14" s="183"/>
      <c r="G14" s="183"/>
      <c r="H14" s="184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4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4"/>
      <c r="BL14" s="183"/>
      <c r="BM14" s="183"/>
      <c r="BN14" s="183"/>
      <c r="BO14" s="183"/>
      <c r="BP14" s="183"/>
      <c r="BQ14" s="183"/>
      <c r="BR14" s="183"/>
      <c r="BS14" s="183"/>
      <c r="BT14" s="183"/>
      <c r="BU14" s="183"/>
      <c r="BV14" s="183"/>
      <c r="BW14" s="183"/>
    </row>
    <row r="15">
      <c r="A15" s="186" t="s">
        <v>207</v>
      </c>
      <c r="B15" s="187"/>
      <c r="C15" s="133"/>
      <c r="D15" s="133"/>
      <c r="E15" s="133"/>
      <c r="F15" s="133"/>
      <c r="G15" s="133"/>
      <c r="H15" s="134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4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4"/>
      <c r="BL15" s="133"/>
      <c r="BM15" s="133"/>
      <c r="BN15" s="133"/>
      <c r="BO15" s="133"/>
      <c r="BP15" s="133"/>
      <c r="BQ15" s="133"/>
      <c r="BR15" s="133"/>
      <c r="BS15" s="133"/>
      <c r="BT15" s="133"/>
      <c r="BU15" s="133"/>
      <c r="BV15" s="133"/>
      <c r="BW15" s="133"/>
    </row>
    <row r="16">
      <c r="A16" s="135" t="s">
        <v>208</v>
      </c>
      <c r="B16" s="136"/>
      <c r="C16" s="137"/>
      <c r="D16" s="137"/>
      <c r="E16" s="137"/>
      <c r="F16" s="137"/>
      <c r="G16" s="137"/>
      <c r="H16" s="137"/>
      <c r="I16" s="138"/>
      <c r="J16" s="138"/>
      <c r="K16" s="138"/>
      <c r="L16" s="138"/>
      <c r="M16" s="139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40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40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</row>
    <row r="17">
      <c r="A17" s="188" t="s">
        <v>209</v>
      </c>
      <c r="B17" s="144" t="s">
        <v>210</v>
      </c>
      <c r="C17" s="137">
        <v>1450.0</v>
      </c>
      <c r="D17" s="137">
        <v>1450.0</v>
      </c>
      <c r="E17" s="137">
        <v>1450.0</v>
      </c>
      <c r="F17" s="137">
        <v>1450.0</v>
      </c>
      <c r="G17" s="137">
        <v>1450.0</v>
      </c>
      <c r="H17" s="175">
        <f>1450+350</f>
        <v>1800</v>
      </c>
      <c r="I17" s="137">
        <f>1853+569</f>
        <v>2422</v>
      </c>
      <c r="J17" s="137">
        <v>0.0</v>
      </c>
      <c r="K17" s="137">
        <v>1000.0</v>
      </c>
      <c r="L17" s="137">
        <f>3383-1500</f>
        <v>1883</v>
      </c>
      <c r="M17" s="137">
        <f>1954</f>
        <v>1954</v>
      </c>
      <c r="N17" s="137">
        <v>1900.0</v>
      </c>
      <c r="O17" s="137">
        <v>1900.0</v>
      </c>
      <c r="P17" s="137">
        <v>1900.0</v>
      </c>
      <c r="Q17" s="137">
        <v>1900.0</v>
      </c>
      <c r="R17" s="137">
        <v>1921.0</v>
      </c>
      <c r="S17" s="137">
        <v>1921.0</v>
      </c>
      <c r="T17" s="189">
        <f>1921</f>
        <v>1921</v>
      </c>
      <c r="U17" s="190">
        <v>120.0</v>
      </c>
      <c r="V17" s="190">
        <f>120+700</f>
        <v>820</v>
      </c>
      <c r="W17" s="191">
        <f>sum(120+700)</f>
        <v>820</v>
      </c>
      <c r="X17" s="137">
        <f>sum(336,1740)</f>
        <v>2076</v>
      </c>
      <c r="Y17" s="137">
        <f>sum(1740)</f>
        <v>1740</v>
      </c>
      <c r="Z17" s="137">
        <v>1571.7</v>
      </c>
      <c r="AA17" s="137">
        <f t="shared" ref="AA17:AG17" si="32">sum(1740)</f>
        <v>1740</v>
      </c>
      <c r="AB17" s="137">
        <f t="shared" si="32"/>
        <v>1740</v>
      </c>
      <c r="AC17" s="137">
        <f t="shared" si="32"/>
        <v>1740</v>
      </c>
      <c r="AD17" s="137">
        <f t="shared" si="32"/>
        <v>1740</v>
      </c>
      <c r="AE17" s="137">
        <f t="shared" si="32"/>
        <v>1740</v>
      </c>
      <c r="AF17" s="137">
        <f t="shared" si="32"/>
        <v>1740</v>
      </c>
      <c r="AG17" s="137">
        <f t="shared" si="32"/>
        <v>1740</v>
      </c>
      <c r="AH17" s="175">
        <f>sum(4000,1700)</f>
        <v>5700</v>
      </c>
      <c r="AI17" s="137">
        <f>sum(2000)</f>
        <v>2000</v>
      </c>
      <c r="AJ17" s="137">
        <f t="shared" ref="AJ17:AT17" si="33">sum(2700)</f>
        <v>2700</v>
      </c>
      <c r="AK17" s="137">
        <f t="shared" si="33"/>
        <v>2700</v>
      </c>
      <c r="AL17" s="137">
        <f t="shared" si="33"/>
        <v>2700</v>
      </c>
      <c r="AM17" s="137">
        <f t="shared" si="33"/>
        <v>2700</v>
      </c>
      <c r="AN17" s="137">
        <f t="shared" si="33"/>
        <v>2700</v>
      </c>
      <c r="AO17" s="137">
        <f t="shared" si="33"/>
        <v>2700</v>
      </c>
      <c r="AP17" s="137">
        <f t="shared" si="33"/>
        <v>2700</v>
      </c>
      <c r="AQ17" s="137">
        <f t="shared" si="33"/>
        <v>2700</v>
      </c>
      <c r="AR17" s="137">
        <f t="shared" si="33"/>
        <v>2700</v>
      </c>
      <c r="AS17" s="137">
        <f t="shared" si="33"/>
        <v>2700</v>
      </c>
      <c r="AT17" s="137">
        <f t="shared" si="33"/>
        <v>2700</v>
      </c>
      <c r="AU17" s="137">
        <f t="shared" ref="AU17:AZ17" si="34">sum(2800)</f>
        <v>2800</v>
      </c>
      <c r="AV17" s="137">
        <f t="shared" si="34"/>
        <v>2800</v>
      </c>
      <c r="AW17" s="137">
        <f t="shared" si="34"/>
        <v>2800</v>
      </c>
      <c r="AX17" s="137">
        <f t="shared" si="34"/>
        <v>2800</v>
      </c>
      <c r="AY17" s="137">
        <f t="shared" si="34"/>
        <v>2800</v>
      </c>
      <c r="AZ17" s="137">
        <f t="shared" si="34"/>
        <v>2800</v>
      </c>
      <c r="BA17" s="137">
        <f t="shared" ref="BA17:BJ17" si="35">-sum(2800)</f>
        <v>-2800</v>
      </c>
      <c r="BB17" s="137">
        <f t="shared" si="35"/>
        <v>-2800</v>
      </c>
      <c r="BC17" s="137">
        <f t="shared" si="35"/>
        <v>-2800</v>
      </c>
      <c r="BD17" s="137">
        <f t="shared" si="35"/>
        <v>-2800</v>
      </c>
      <c r="BE17" s="137">
        <f t="shared" si="35"/>
        <v>-2800</v>
      </c>
      <c r="BF17" s="137">
        <f t="shared" si="35"/>
        <v>-2800</v>
      </c>
      <c r="BG17" s="137">
        <f t="shared" si="35"/>
        <v>-2800</v>
      </c>
      <c r="BH17" s="137">
        <f t="shared" si="35"/>
        <v>-2800</v>
      </c>
      <c r="BI17" s="137">
        <f t="shared" si="35"/>
        <v>-2800</v>
      </c>
      <c r="BJ17" s="137">
        <f t="shared" si="35"/>
        <v>-2800</v>
      </c>
      <c r="BK17" s="175"/>
      <c r="BL17" s="137">
        <f>-sum(2800)</f>
        <v>-2800</v>
      </c>
      <c r="BM17" s="137">
        <f>-sum(7000)</f>
        <v>-7000</v>
      </c>
      <c r="BN17" s="137">
        <f t="shared" ref="BN17:BO17" si="36">-sum(2800)</f>
        <v>-2800</v>
      </c>
      <c r="BO17" s="137">
        <f t="shared" si="36"/>
        <v>-2800</v>
      </c>
      <c r="BP17" s="194">
        <v>-4000.0</v>
      </c>
      <c r="BQ17" s="194">
        <v>-4000.0</v>
      </c>
      <c r="BR17" s="194">
        <v>-4000.0</v>
      </c>
      <c r="BS17" s="194">
        <v>-4000.0</v>
      </c>
      <c r="BT17" s="194">
        <v>-4000.0</v>
      </c>
      <c r="BU17" s="194">
        <v>-4000.0</v>
      </c>
      <c r="BV17" s="194">
        <v>-4000.0</v>
      </c>
      <c r="BW17" s="194">
        <v>-4000.0</v>
      </c>
    </row>
    <row r="18">
      <c r="A18" s="149"/>
      <c r="B18" s="144" t="s">
        <v>568</v>
      </c>
      <c r="C18" s="145">
        <v>9.0</v>
      </c>
      <c r="D18" s="145">
        <v>9.0</v>
      </c>
      <c r="E18" s="145">
        <v>9.0</v>
      </c>
      <c r="F18" s="145">
        <v>9.0</v>
      </c>
      <c r="G18" s="145">
        <v>9.0</v>
      </c>
      <c r="H18" s="146">
        <v>9.0</v>
      </c>
      <c r="I18" s="145">
        <v>9.0</v>
      </c>
      <c r="J18" s="145">
        <f t="shared" ref="J18:L18" si="37">18.42/2</f>
        <v>9.21</v>
      </c>
      <c r="K18" s="145">
        <f t="shared" si="37"/>
        <v>9.21</v>
      </c>
      <c r="L18" s="145">
        <f t="shared" si="37"/>
        <v>9.21</v>
      </c>
      <c r="M18" s="145">
        <v>11.0</v>
      </c>
      <c r="N18" s="145">
        <f t="shared" ref="N18:T18" si="38">18.42/2</f>
        <v>9.21</v>
      </c>
      <c r="O18" s="145">
        <f t="shared" si="38"/>
        <v>9.21</v>
      </c>
      <c r="P18" s="145">
        <f t="shared" si="38"/>
        <v>9.21</v>
      </c>
      <c r="Q18" s="145">
        <f t="shared" si="38"/>
        <v>9.21</v>
      </c>
      <c r="R18" s="145">
        <f t="shared" si="38"/>
        <v>9.21</v>
      </c>
      <c r="S18" s="145">
        <f t="shared" si="38"/>
        <v>9.21</v>
      </c>
      <c r="T18" s="145">
        <f t="shared" si="38"/>
        <v>9.21</v>
      </c>
      <c r="U18" s="695">
        <v>0.0</v>
      </c>
      <c r="V18" s="695">
        <v>0.0</v>
      </c>
      <c r="W18" s="145">
        <v>0.0</v>
      </c>
      <c r="X18" s="145">
        <v>0.0</v>
      </c>
      <c r="Y18" s="145">
        <v>0.0</v>
      </c>
      <c r="Z18" s="145">
        <v>0.0</v>
      </c>
      <c r="AA18" s="145">
        <v>9.0</v>
      </c>
      <c r="AB18" s="145">
        <v>9.0</v>
      </c>
      <c r="AC18" s="145">
        <v>0.0</v>
      </c>
      <c r="AD18" s="145">
        <v>0.0</v>
      </c>
      <c r="AE18" s="145">
        <v>0.0</v>
      </c>
      <c r="AF18" s="145">
        <v>0.0</v>
      </c>
      <c r="AG18" s="145">
        <v>0.0</v>
      </c>
      <c r="AH18" s="146">
        <v>0.0</v>
      </c>
      <c r="AI18" s="145">
        <v>0.0</v>
      </c>
      <c r="AJ18" s="145">
        <v>0.0</v>
      </c>
      <c r="AK18" s="145">
        <v>0.0</v>
      </c>
      <c r="AL18" s="145">
        <v>0.0</v>
      </c>
      <c r="AM18" s="145">
        <v>0.0</v>
      </c>
      <c r="AN18" s="145">
        <v>0.0</v>
      </c>
      <c r="AO18" s="145">
        <v>0.0</v>
      </c>
      <c r="AP18" s="145">
        <v>0.0</v>
      </c>
      <c r="AQ18" s="145">
        <v>0.0</v>
      </c>
      <c r="AR18" s="145">
        <v>0.0</v>
      </c>
      <c r="AS18" s="145">
        <v>0.0</v>
      </c>
      <c r="AT18" s="145">
        <v>0.0</v>
      </c>
      <c r="AU18" s="145">
        <v>0.0</v>
      </c>
      <c r="AV18" s="145">
        <v>0.0</v>
      </c>
      <c r="AW18" s="145">
        <v>0.0</v>
      </c>
      <c r="AX18" s="145">
        <v>0.0</v>
      </c>
      <c r="AY18" s="145">
        <v>0.0</v>
      </c>
      <c r="AZ18" s="145">
        <v>0.0</v>
      </c>
      <c r="BA18" s="145">
        <v>0.0</v>
      </c>
      <c r="BB18" s="145">
        <v>0.0</v>
      </c>
      <c r="BC18" s="145">
        <v>0.0</v>
      </c>
      <c r="BD18" s="145">
        <v>0.0</v>
      </c>
      <c r="BE18" s="145">
        <v>0.0</v>
      </c>
      <c r="BF18" s="145">
        <v>0.0</v>
      </c>
      <c r="BG18" s="145">
        <v>0.0</v>
      </c>
      <c r="BH18" s="145">
        <v>0.0</v>
      </c>
      <c r="BI18" s="145">
        <v>0.0</v>
      </c>
      <c r="BJ18" s="145">
        <v>0.0</v>
      </c>
      <c r="BK18" s="146"/>
      <c r="BL18" s="145">
        <v>0.0</v>
      </c>
      <c r="BM18" s="145">
        <v>0.0</v>
      </c>
      <c r="BN18" s="145">
        <v>0.0</v>
      </c>
      <c r="BO18" s="145">
        <v>0.0</v>
      </c>
      <c r="BP18" s="145">
        <v>0.0</v>
      </c>
      <c r="BQ18" s="145">
        <v>0.0</v>
      </c>
      <c r="BR18" s="145">
        <v>0.0</v>
      </c>
      <c r="BS18" s="145">
        <v>0.0</v>
      </c>
      <c r="BT18" s="145">
        <v>0.0</v>
      </c>
      <c r="BU18" s="145">
        <v>0.0</v>
      </c>
      <c r="BV18" s="145">
        <v>0.0</v>
      </c>
      <c r="BW18" s="145">
        <v>0.0</v>
      </c>
    </row>
    <row r="19">
      <c r="A19" s="149"/>
      <c r="B19" s="144" t="s">
        <v>211</v>
      </c>
      <c r="C19" s="137"/>
      <c r="D19" s="137"/>
      <c r="E19" s="137"/>
      <c r="F19" s="137"/>
      <c r="G19" s="137"/>
      <c r="H19" s="175"/>
      <c r="I19" s="137">
        <v>100.0</v>
      </c>
      <c r="J19" s="137">
        <v>35.0</v>
      </c>
      <c r="K19" s="137">
        <v>90.0</v>
      </c>
      <c r="L19" s="137">
        <f>90</f>
        <v>90</v>
      </c>
      <c r="M19" s="137">
        <v>20.0</v>
      </c>
      <c r="N19" s="137">
        <v>90.0</v>
      </c>
      <c r="O19" s="137">
        <v>90.0</v>
      </c>
      <c r="P19" s="137">
        <v>90.0</v>
      </c>
      <c r="Q19" s="137">
        <v>90.0</v>
      </c>
      <c r="R19" s="137">
        <v>90.0</v>
      </c>
      <c r="S19" s="137">
        <v>90.0</v>
      </c>
      <c r="T19" s="137">
        <v>90.0</v>
      </c>
      <c r="U19" s="191">
        <v>0.0</v>
      </c>
      <c r="V19" s="191">
        <v>0.0</v>
      </c>
      <c r="W19" s="145">
        <v>0.0</v>
      </c>
      <c r="X19" s="145">
        <v>0.0</v>
      </c>
      <c r="Y19" s="137">
        <v>90.0</v>
      </c>
      <c r="Z19" s="137">
        <v>90.0</v>
      </c>
      <c r="AA19" s="137">
        <v>90.0</v>
      </c>
      <c r="AB19" s="137">
        <v>90.0</v>
      </c>
      <c r="AC19" s="137">
        <v>90.0</v>
      </c>
      <c r="AD19" s="137">
        <v>90.0</v>
      </c>
      <c r="AE19" s="137">
        <v>90.0</v>
      </c>
      <c r="AF19" s="137">
        <v>90.0</v>
      </c>
      <c r="AG19" s="137">
        <v>90.0</v>
      </c>
      <c r="AH19" s="175">
        <v>90.0</v>
      </c>
      <c r="AI19" s="137">
        <v>90.0</v>
      </c>
      <c r="AJ19" s="137">
        <v>90.0</v>
      </c>
      <c r="AK19" s="137">
        <v>90.0</v>
      </c>
      <c r="AL19" s="137">
        <v>90.0</v>
      </c>
      <c r="AM19" s="137">
        <v>90.0</v>
      </c>
      <c r="AN19" s="137">
        <v>90.0</v>
      </c>
      <c r="AO19" s="137">
        <v>90.0</v>
      </c>
      <c r="AP19" s="137">
        <v>90.0</v>
      </c>
      <c r="AQ19" s="137">
        <v>90.0</v>
      </c>
      <c r="AR19" s="137">
        <v>90.0</v>
      </c>
      <c r="AS19" s="137">
        <v>90.0</v>
      </c>
      <c r="AT19" s="137">
        <v>90.0</v>
      </c>
      <c r="AU19" s="137">
        <v>90.0</v>
      </c>
      <c r="AV19" s="137">
        <v>90.0</v>
      </c>
      <c r="AW19" s="137">
        <v>90.0</v>
      </c>
      <c r="AX19" s="137">
        <v>90.0</v>
      </c>
      <c r="AY19" s="137">
        <v>90.0</v>
      </c>
      <c r="AZ19" s="137">
        <v>90.0</v>
      </c>
      <c r="BA19" s="137">
        <v>-90.0</v>
      </c>
      <c r="BB19" s="137">
        <v>-90.0</v>
      </c>
      <c r="BC19" s="137">
        <v>-90.0</v>
      </c>
      <c r="BD19" s="137">
        <v>-90.0</v>
      </c>
      <c r="BE19" s="137">
        <v>-90.0</v>
      </c>
      <c r="BF19" s="137">
        <v>-90.0</v>
      </c>
      <c r="BG19" s="137">
        <v>-90.0</v>
      </c>
      <c r="BH19" s="137">
        <v>-90.0</v>
      </c>
      <c r="BI19" s="137">
        <v>-90.0</v>
      </c>
      <c r="BJ19" s="137">
        <v>-90.0</v>
      </c>
      <c r="BK19" s="175"/>
      <c r="BL19" s="137">
        <v>-90.0</v>
      </c>
      <c r="BM19" s="137">
        <v>-90.0</v>
      </c>
      <c r="BN19" s="137">
        <v>-90.0</v>
      </c>
      <c r="BO19" s="137">
        <v>-90.0</v>
      </c>
      <c r="BP19" s="137">
        <v>-90.0</v>
      </c>
      <c r="BQ19" s="137">
        <v>-90.0</v>
      </c>
      <c r="BR19" s="137">
        <v>-90.0</v>
      </c>
      <c r="BS19" s="137">
        <v>-90.0</v>
      </c>
      <c r="BT19" s="137">
        <v>-90.0</v>
      </c>
      <c r="BU19" s="137">
        <v>-90.0</v>
      </c>
      <c r="BV19" s="137">
        <v>-90.0</v>
      </c>
      <c r="BW19" s="137">
        <v>-90.0</v>
      </c>
    </row>
    <row r="20">
      <c r="A20" s="149"/>
      <c r="B20" s="144" t="s">
        <v>212</v>
      </c>
      <c r="C20" s="145">
        <f t="shared" ref="C20:T20" si="39">62.95/2</f>
        <v>31.475</v>
      </c>
      <c r="D20" s="145">
        <f t="shared" si="39"/>
        <v>31.475</v>
      </c>
      <c r="E20" s="145">
        <f t="shared" si="39"/>
        <v>31.475</v>
      </c>
      <c r="F20" s="145">
        <f t="shared" si="39"/>
        <v>31.475</v>
      </c>
      <c r="G20" s="145">
        <f t="shared" si="39"/>
        <v>31.475</v>
      </c>
      <c r="H20" s="146">
        <f t="shared" si="39"/>
        <v>31.475</v>
      </c>
      <c r="I20" s="145">
        <f t="shared" si="39"/>
        <v>31.475</v>
      </c>
      <c r="J20" s="145">
        <f t="shared" si="39"/>
        <v>31.475</v>
      </c>
      <c r="K20" s="145">
        <f t="shared" si="39"/>
        <v>31.475</v>
      </c>
      <c r="L20" s="145">
        <f t="shared" si="39"/>
        <v>31.475</v>
      </c>
      <c r="M20" s="145">
        <f t="shared" si="39"/>
        <v>31.475</v>
      </c>
      <c r="N20" s="145">
        <f t="shared" si="39"/>
        <v>31.475</v>
      </c>
      <c r="O20" s="145">
        <f t="shared" si="39"/>
        <v>31.475</v>
      </c>
      <c r="P20" s="145">
        <f t="shared" si="39"/>
        <v>31.475</v>
      </c>
      <c r="Q20" s="145">
        <f t="shared" si="39"/>
        <v>31.475</v>
      </c>
      <c r="R20" s="145">
        <f t="shared" si="39"/>
        <v>31.475</v>
      </c>
      <c r="S20" s="145">
        <f t="shared" si="39"/>
        <v>31.475</v>
      </c>
      <c r="T20" s="145">
        <f t="shared" si="39"/>
        <v>31.475</v>
      </c>
      <c r="U20" s="145">
        <v>0.0</v>
      </c>
      <c r="V20" s="145">
        <v>0.0</v>
      </c>
      <c r="W20" s="145">
        <v>0.0</v>
      </c>
      <c r="X20" s="145">
        <v>0.0</v>
      </c>
      <c r="Y20" s="145">
        <f>62.95/2</f>
        <v>31.475</v>
      </c>
      <c r="Z20" s="145">
        <f>91/2</f>
        <v>45.5</v>
      </c>
      <c r="AA20" s="145">
        <f t="shared" ref="AA20:AG20" si="40">62.95/2</f>
        <v>31.475</v>
      </c>
      <c r="AB20" s="145">
        <f t="shared" si="40"/>
        <v>31.475</v>
      </c>
      <c r="AC20" s="145">
        <f t="shared" si="40"/>
        <v>31.475</v>
      </c>
      <c r="AD20" s="145">
        <f t="shared" si="40"/>
        <v>31.475</v>
      </c>
      <c r="AE20" s="145">
        <f t="shared" si="40"/>
        <v>31.475</v>
      </c>
      <c r="AF20" s="145">
        <f t="shared" si="40"/>
        <v>31.475</v>
      </c>
      <c r="AG20" s="145">
        <f t="shared" si="40"/>
        <v>31.475</v>
      </c>
      <c r="AH20" s="146">
        <f>0</f>
        <v>0</v>
      </c>
      <c r="AI20" s="145">
        <f t="shared" ref="AI20:AZ20" si="41">100/2</f>
        <v>50</v>
      </c>
      <c r="AJ20" s="145">
        <f t="shared" si="41"/>
        <v>50</v>
      </c>
      <c r="AK20" s="145">
        <f t="shared" si="41"/>
        <v>50</v>
      </c>
      <c r="AL20" s="145">
        <f t="shared" si="41"/>
        <v>50</v>
      </c>
      <c r="AM20" s="145">
        <f t="shared" si="41"/>
        <v>50</v>
      </c>
      <c r="AN20" s="145">
        <f t="shared" si="41"/>
        <v>50</v>
      </c>
      <c r="AO20" s="145">
        <f t="shared" si="41"/>
        <v>50</v>
      </c>
      <c r="AP20" s="145">
        <f t="shared" si="41"/>
        <v>50</v>
      </c>
      <c r="AQ20" s="145">
        <f t="shared" si="41"/>
        <v>50</v>
      </c>
      <c r="AR20" s="145">
        <f t="shared" si="41"/>
        <v>50</v>
      </c>
      <c r="AS20" s="145">
        <f t="shared" si="41"/>
        <v>50</v>
      </c>
      <c r="AT20" s="145">
        <f t="shared" si="41"/>
        <v>50</v>
      </c>
      <c r="AU20" s="145">
        <f t="shared" si="41"/>
        <v>50</v>
      </c>
      <c r="AV20" s="145">
        <f t="shared" si="41"/>
        <v>50</v>
      </c>
      <c r="AW20" s="145">
        <f t="shared" si="41"/>
        <v>50</v>
      </c>
      <c r="AX20" s="145">
        <f t="shared" si="41"/>
        <v>50</v>
      </c>
      <c r="AY20" s="145">
        <f t="shared" si="41"/>
        <v>50</v>
      </c>
      <c r="AZ20" s="145">
        <f t="shared" si="41"/>
        <v>50</v>
      </c>
      <c r="BA20" s="145">
        <f t="shared" ref="BA20:BJ20" si="42">-100/2</f>
        <v>-50</v>
      </c>
      <c r="BB20" s="145">
        <f t="shared" si="42"/>
        <v>-50</v>
      </c>
      <c r="BC20" s="145">
        <f t="shared" si="42"/>
        <v>-50</v>
      </c>
      <c r="BD20" s="145">
        <f t="shared" si="42"/>
        <v>-50</v>
      </c>
      <c r="BE20" s="145">
        <f t="shared" si="42"/>
        <v>-50</v>
      </c>
      <c r="BF20" s="145">
        <f t="shared" si="42"/>
        <v>-50</v>
      </c>
      <c r="BG20" s="145">
        <f t="shared" si="42"/>
        <v>-50</v>
      </c>
      <c r="BH20" s="145">
        <f t="shared" si="42"/>
        <v>-50</v>
      </c>
      <c r="BI20" s="145">
        <f t="shared" si="42"/>
        <v>-50</v>
      </c>
      <c r="BJ20" s="145">
        <f t="shared" si="42"/>
        <v>-50</v>
      </c>
      <c r="BK20" s="146"/>
      <c r="BL20" s="145">
        <f t="shared" ref="BL20:BW20" si="43">-100/2</f>
        <v>-50</v>
      </c>
      <c r="BM20" s="145">
        <f t="shared" si="43"/>
        <v>-50</v>
      </c>
      <c r="BN20" s="145">
        <f t="shared" si="43"/>
        <v>-50</v>
      </c>
      <c r="BO20" s="145">
        <f t="shared" si="43"/>
        <v>-50</v>
      </c>
      <c r="BP20" s="145">
        <f t="shared" si="43"/>
        <v>-50</v>
      </c>
      <c r="BQ20" s="145">
        <f t="shared" si="43"/>
        <v>-50</v>
      </c>
      <c r="BR20" s="145">
        <f t="shared" si="43"/>
        <v>-50</v>
      </c>
      <c r="BS20" s="145">
        <f t="shared" si="43"/>
        <v>-50</v>
      </c>
      <c r="BT20" s="145">
        <f t="shared" si="43"/>
        <v>-50</v>
      </c>
      <c r="BU20" s="145">
        <f t="shared" si="43"/>
        <v>-50</v>
      </c>
      <c r="BV20" s="145">
        <f t="shared" si="43"/>
        <v>-50</v>
      </c>
      <c r="BW20" s="145">
        <f t="shared" si="43"/>
        <v>-50</v>
      </c>
    </row>
    <row r="21">
      <c r="A21" s="149"/>
      <c r="B21" s="144" t="s">
        <v>22</v>
      </c>
      <c r="C21" s="137"/>
      <c r="D21" s="137"/>
      <c r="E21" s="137"/>
      <c r="F21" s="137"/>
      <c r="G21" s="137"/>
      <c r="H21" s="175"/>
      <c r="I21" s="137">
        <v>400.0</v>
      </c>
      <c r="J21" s="137">
        <f>75*4</f>
        <v>300</v>
      </c>
      <c r="K21" s="137">
        <f>50*4</f>
        <v>200</v>
      </c>
      <c r="L21" s="137">
        <f t="shared" ref="L21:O21" si="44">55*4</f>
        <v>220</v>
      </c>
      <c r="M21" s="137">
        <f t="shared" si="44"/>
        <v>220</v>
      </c>
      <c r="N21" s="137">
        <f t="shared" si="44"/>
        <v>220</v>
      </c>
      <c r="O21" s="137">
        <f t="shared" si="44"/>
        <v>220</v>
      </c>
      <c r="P21" s="137">
        <f>60*4</f>
        <v>240</v>
      </c>
      <c r="Q21" s="137">
        <f>200+150+250</f>
        <v>600</v>
      </c>
      <c r="R21" s="137">
        <f>195+200+150</f>
        <v>545</v>
      </c>
      <c r="S21" s="137">
        <f>100*4</f>
        <v>400</v>
      </c>
      <c r="T21" s="137">
        <f t="shared" ref="T21:AJ21" si="45">60*4</f>
        <v>240</v>
      </c>
      <c r="U21" s="137">
        <f t="shared" si="45"/>
        <v>240</v>
      </c>
      <c r="V21" s="137">
        <f t="shared" si="45"/>
        <v>240</v>
      </c>
      <c r="W21" s="137">
        <f t="shared" si="45"/>
        <v>240</v>
      </c>
      <c r="X21" s="137">
        <f t="shared" si="45"/>
        <v>240</v>
      </c>
      <c r="Y21" s="137">
        <f t="shared" si="45"/>
        <v>240</v>
      </c>
      <c r="Z21" s="137">
        <f t="shared" si="45"/>
        <v>240</v>
      </c>
      <c r="AA21" s="137">
        <f t="shared" si="45"/>
        <v>240</v>
      </c>
      <c r="AB21" s="137">
        <f t="shared" si="45"/>
        <v>240</v>
      </c>
      <c r="AC21" s="137">
        <f t="shared" si="45"/>
        <v>240</v>
      </c>
      <c r="AD21" s="137">
        <f t="shared" si="45"/>
        <v>240</v>
      </c>
      <c r="AE21" s="137">
        <f t="shared" si="45"/>
        <v>240</v>
      </c>
      <c r="AF21" s="137">
        <f t="shared" si="45"/>
        <v>240</v>
      </c>
      <c r="AG21" s="137">
        <f t="shared" si="45"/>
        <v>240</v>
      </c>
      <c r="AH21" s="175">
        <f t="shared" si="45"/>
        <v>240</v>
      </c>
      <c r="AI21" s="137">
        <f t="shared" si="45"/>
        <v>240</v>
      </c>
      <c r="AJ21" s="137">
        <f t="shared" si="45"/>
        <v>240</v>
      </c>
      <c r="AK21" s="137">
        <f t="shared" ref="AK21:AZ21" si="46">100*4</f>
        <v>400</v>
      </c>
      <c r="AL21" s="137">
        <f t="shared" si="46"/>
        <v>400</v>
      </c>
      <c r="AM21" s="137">
        <f t="shared" si="46"/>
        <v>400</v>
      </c>
      <c r="AN21" s="137">
        <f t="shared" si="46"/>
        <v>400</v>
      </c>
      <c r="AO21" s="137">
        <f t="shared" si="46"/>
        <v>400</v>
      </c>
      <c r="AP21" s="137">
        <f t="shared" si="46"/>
        <v>400</v>
      </c>
      <c r="AQ21" s="137">
        <f t="shared" si="46"/>
        <v>400</v>
      </c>
      <c r="AR21" s="137">
        <f t="shared" si="46"/>
        <v>400</v>
      </c>
      <c r="AS21" s="137">
        <f t="shared" si="46"/>
        <v>400</v>
      </c>
      <c r="AT21" s="137">
        <f t="shared" si="46"/>
        <v>400</v>
      </c>
      <c r="AU21" s="137">
        <f t="shared" si="46"/>
        <v>400</v>
      </c>
      <c r="AV21" s="137">
        <f t="shared" si="46"/>
        <v>400</v>
      </c>
      <c r="AW21" s="137">
        <f t="shared" si="46"/>
        <v>400</v>
      </c>
      <c r="AX21" s="137">
        <f t="shared" si="46"/>
        <v>400</v>
      </c>
      <c r="AY21" s="137">
        <f t="shared" si="46"/>
        <v>400</v>
      </c>
      <c r="AZ21" s="137">
        <f t="shared" si="46"/>
        <v>400</v>
      </c>
      <c r="BA21" s="137">
        <f t="shared" ref="BA21:BJ21" si="47">-100*4</f>
        <v>-400</v>
      </c>
      <c r="BB21" s="137">
        <f t="shared" si="47"/>
        <v>-400</v>
      </c>
      <c r="BC21" s="137">
        <f t="shared" si="47"/>
        <v>-400</v>
      </c>
      <c r="BD21" s="137">
        <f t="shared" si="47"/>
        <v>-400</v>
      </c>
      <c r="BE21" s="137">
        <f t="shared" si="47"/>
        <v>-400</v>
      </c>
      <c r="BF21" s="137">
        <f t="shared" si="47"/>
        <v>-400</v>
      </c>
      <c r="BG21" s="137">
        <f t="shared" si="47"/>
        <v>-400</v>
      </c>
      <c r="BH21" s="137">
        <f t="shared" si="47"/>
        <v>-400</v>
      </c>
      <c r="BI21" s="137">
        <f t="shared" si="47"/>
        <v>-400</v>
      </c>
      <c r="BJ21" s="137">
        <f t="shared" si="47"/>
        <v>-400</v>
      </c>
      <c r="BK21" s="175"/>
      <c r="BL21" s="137">
        <f t="shared" ref="BL21:BW21" si="48">-100*4</f>
        <v>-400</v>
      </c>
      <c r="BM21" s="137">
        <f t="shared" si="48"/>
        <v>-400</v>
      </c>
      <c r="BN21" s="137">
        <f t="shared" si="48"/>
        <v>-400</v>
      </c>
      <c r="BO21" s="137">
        <f t="shared" si="48"/>
        <v>-400</v>
      </c>
      <c r="BP21" s="137">
        <f t="shared" si="48"/>
        <v>-400</v>
      </c>
      <c r="BQ21" s="137">
        <f t="shared" si="48"/>
        <v>-400</v>
      </c>
      <c r="BR21" s="137">
        <f t="shared" si="48"/>
        <v>-400</v>
      </c>
      <c r="BS21" s="137">
        <f t="shared" si="48"/>
        <v>-400</v>
      </c>
      <c r="BT21" s="137">
        <f t="shared" si="48"/>
        <v>-400</v>
      </c>
      <c r="BU21" s="137">
        <f t="shared" si="48"/>
        <v>-400</v>
      </c>
      <c r="BV21" s="137">
        <f t="shared" si="48"/>
        <v>-400</v>
      </c>
      <c r="BW21" s="137">
        <f t="shared" si="48"/>
        <v>-400</v>
      </c>
    </row>
    <row r="22">
      <c r="A22" s="188" t="s">
        <v>213</v>
      </c>
      <c r="B22" s="144" t="s">
        <v>214</v>
      </c>
      <c r="C22" s="145"/>
      <c r="D22" s="145"/>
      <c r="E22" s="145">
        <v>100.0</v>
      </c>
      <c r="F22" s="145">
        <v>128.79</v>
      </c>
      <c r="G22" s="145">
        <v>120.0</v>
      </c>
      <c r="H22" s="146">
        <f>120+500</f>
        <v>620</v>
      </c>
      <c r="I22" s="145">
        <v>120.64</v>
      </c>
      <c r="J22" s="145">
        <v>120.64</v>
      </c>
      <c r="K22" s="145">
        <v>120.64</v>
      </c>
      <c r="L22" s="145">
        <v>150.0</v>
      </c>
      <c r="M22" s="145">
        <v>120.64</v>
      </c>
      <c r="N22" s="145">
        <v>120.64</v>
      </c>
      <c r="O22" s="145">
        <v>120.0</v>
      </c>
      <c r="P22" s="145">
        <v>120.0</v>
      </c>
      <c r="Q22" s="145">
        <v>120.0</v>
      </c>
      <c r="R22" s="145">
        <v>120.0</v>
      </c>
      <c r="S22" s="145">
        <v>120.0</v>
      </c>
      <c r="T22" s="145">
        <v>120.0</v>
      </c>
      <c r="U22" s="145">
        <v>120.0</v>
      </c>
      <c r="V22" s="145">
        <v>120.0</v>
      </c>
      <c r="W22" s="145">
        <v>120.0</v>
      </c>
      <c r="X22" s="145">
        <v>120.0</v>
      </c>
      <c r="Y22" s="145">
        <v>150.0</v>
      </c>
      <c r="Z22" s="145">
        <v>185.09</v>
      </c>
      <c r="AA22" s="145">
        <v>185.09</v>
      </c>
      <c r="AB22" s="145">
        <v>185.09</v>
      </c>
      <c r="AC22" s="145">
        <v>185.09</v>
      </c>
      <c r="AD22" s="145">
        <v>185.09</v>
      </c>
      <c r="AE22" s="145">
        <v>185.09</v>
      </c>
      <c r="AF22" s="145">
        <v>185.09</v>
      </c>
      <c r="AG22" s="145">
        <v>185.09</v>
      </c>
      <c r="AH22" s="146">
        <v>185.09</v>
      </c>
      <c r="AI22" s="145">
        <v>185.09</v>
      </c>
      <c r="AJ22" s="145">
        <v>185.09</v>
      </c>
      <c r="AK22" s="145">
        <v>0.0</v>
      </c>
      <c r="AL22" s="145">
        <v>0.0</v>
      </c>
      <c r="AM22" s="145">
        <v>0.0</v>
      </c>
      <c r="AN22" s="145">
        <v>0.0</v>
      </c>
      <c r="AO22" s="145">
        <v>0.0</v>
      </c>
      <c r="AP22" s="145">
        <v>0.0</v>
      </c>
      <c r="AQ22" s="145">
        <v>0.0</v>
      </c>
      <c r="AR22" s="145">
        <v>0.0</v>
      </c>
      <c r="AS22" s="145">
        <v>0.0</v>
      </c>
      <c r="AT22" s="145">
        <v>0.0</v>
      </c>
      <c r="AU22" s="145">
        <v>0.0</v>
      </c>
      <c r="AV22" s="145">
        <v>0.0</v>
      </c>
      <c r="AW22" s="145">
        <v>150.0</v>
      </c>
      <c r="AX22" s="145">
        <v>150.0</v>
      </c>
      <c r="AY22" s="145">
        <v>150.0</v>
      </c>
      <c r="AZ22" s="145">
        <v>150.0</v>
      </c>
      <c r="BA22" s="145">
        <v>-150.0</v>
      </c>
      <c r="BB22" s="145">
        <v>-150.0</v>
      </c>
      <c r="BC22" s="145">
        <v>-150.0</v>
      </c>
      <c r="BD22" s="145">
        <v>-150.0</v>
      </c>
      <c r="BE22" s="145">
        <v>-150.0</v>
      </c>
      <c r="BF22" s="145">
        <v>-150.0</v>
      </c>
      <c r="BG22" s="145">
        <v>-150.0</v>
      </c>
      <c r="BH22" s="145">
        <v>-150.0</v>
      </c>
      <c r="BI22" s="145">
        <v>-150.0</v>
      </c>
      <c r="BJ22" s="145">
        <v>-150.0</v>
      </c>
      <c r="BK22" s="146"/>
      <c r="BL22" s="145">
        <v>-150.0</v>
      </c>
      <c r="BM22" s="145">
        <v>-150.0</v>
      </c>
      <c r="BN22" s="145">
        <v>-150.0</v>
      </c>
      <c r="BO22" s="145">
        <v>-150.0</v>
      </c>
      <c r="BP22" s="145">
        <v>-150.0</v>
      </c>
      <c r="BQ22" s="145">
        <v>-150.0</v>
      </c>
      <c r="BR22" s="145">
        <v>-150.0</v>
      </c>
      <c r="BS22" s="145">
        <v>-150.0</v>
      </c>
      <c r="BT22" s="145">
        <v>-150.0</v>
      </c>
      <c r="BU22" s="145">
        <v>-150.0</v>
      </c>
      <c r="BV22" s="145">
        <v>-150.0</v>
      </c>
      <c r="BW22" s="145">
        <v>-150.0</v>
      </c>
    </row>
    <row r="23">
      <c r="A23" s="188" t="s">
        <v>215</v>
      </c>
      <c r="B23" s="144" t="s">
        <v>215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>
        <v>0.0</v>
      </c>
      <c r="O23" s="137">
        <v>0.0</v>
      </c>
      <c r="P23" s="137">
        <v>0.0</v>
      </c>
      <c r="Q23" s="137">
        <v>0.0</v>
      </c>
      <c r="R23" s="137">
        <v>0.0</v>
      </c>
      <c r="S23" s="189">
        <v>0.0</v>
      </c>
      <c r="T23" s="193">
        <v>200.0</v>
      </c>
      <c r="U23" s="189">
        <v>0.0</v>
      </c>
      <c r="V23" s="137">
        <f>sum(116,60,300,300)</f>
        <v>776</v>
      </c>
      <c r="W23" s="137">
        <f>sum(343,60,75)</f>
        <v>478</v>
      </c>
      <c r="X23" s="137">
        <f>sum(343,180,150)</f>
        <v>673</v>
      </c>
      <c r="Y23" s="137">
        <f t="shared" ref="Y23:AH23" si="49">sum(343,180,100)</f>
        <v>623</v>
      </c>
      <c r="Z23" s="137">
        <f t="shared" si="49"/>
        <v>623</v>
      </c>
      <c r="AA23" s="137">
        <f t="shared" si="49"/>
        <v>623</v>
      </c>
      <c r="AB23" s="137">
        <f t="shared" si="49"/>
        <v>623</v>
      </c>
      <c r="AC23" s="137">
        <f t="shared" si="49"/>
        <v>623</v>
      </c>
      <c r="AD23" s="137">
        <f t="shared" si="49"/>
        <v>623</v>
      </c>
      <c r="AE23" s="137">
        <f t="shared" si="49"/>
        <v>623</v>
      </c>
      <c r="AF23" s="194">
        <f t="shared" si="49"/>
        <v>623</v>
      </c>
      <c r="AG23" s="194">
        <f t="shared" si="49"/>
        <v>623</v>
      </c>
      <c r="AH23" s="195">
        <f t="shared" si="49"/>
        <v>623</v>
      </c>
      <c r="AI23" s="137">
        <v>400.0</v>
      </c>
      <c r="AJ23" s="137">
        <v>0.0</v>
      </c>
      <c r="AK23" s="137">
        <v>0.0</v>
      </c>
      <c r="AL23" s="137">
        <v>175.0</v>
      </c>
      <c r="AM23" s="137">
        <v>0.0</v>
      </c>
      <c r="AN23" s="137">
        <v>0.0</v>
      </c>
      <c r="AO23" s="137">
        <v>0.0</v>
      </c>
      <c r="AP23" s="137">
        <v>0.0</v>
      </c>
      <c r="AQ23" s="137">
        <v>0.0</v>
      </c>
      <c r="AR23" s="137">
        <v>0.0</v>
      </c>
      <c r="AS23" s="137">
        <v>0.0</v>
      </c>
      <c r="AT23" s="137">
        <v>0.0</v>
      </c>
      <c r="AU23" s="137">
        <v>0.0</v>
      </c>
      <c r="AV23" s="137">
        <v>0.0</v>
      </c>
      <c r="AW23" s="137">
        <v>0.0</v>
      </c>
      <c r="AX23" s="137">
        <v>0.0</v>
      </c>
      <c r="AY23" s="137">
        <v>0.0</v>
      </c>
      <c r="AZ23" s="137">
        <v>0.0</v>
      </c>
      <c r="BA23" s="137">
        <v>0.0</v>
      </c>
      <c r="BB23" s="137">
        <v>0.0</v>
      </c>
      <c r="BC23" s="137">
        <v>0.0</v>
      </c>
      <c r="BD23" s="137">
        <v>0.0</v>
      </c>
      <c r="BE23" s="137">
        <v>0.0</v>
      </c>
      <c r="BF23" s="137">
        <v>0.0</v>
      </c>
      <c r="BG23" s="137">
        <v>0.0</v>
      </c>
      <c r="BH23" s="137">
        <v>0.0</v>
      </c>
      <c r="BI23" s="137">
        <v>-150.0</v>
      </c>
      <c r="BJ23" s="137">
        <v>-300.0</v>
      </c>
      <c r="BK23" s="175"/>
      <c r="BL23" s="137">
        <v>0.0</v>
      </c>
      <c r="BM23" s="137">
        <v>0.0</v>
      </c>
      <c r="BN23" s="137">
        <v>0.0</v>
      </c>
      <c r="BO23" s="137">
        <v>0.0</v>
      </c>
      <c r="BP23" s="137">
        <v>0.0</v>
      </c>
      <c r="BQ23" s="137">
        <v>0.0</v>
      </c>
      <c r="BR23" s="137">
        <v>0.0</v>
      </c>
      <c r="BS23" s="137">
        <v>0.0</v>
      </c>
      <c r="BT23" s="137">
        <v>0.0</v>
      </c>
      <c r="BU23" s="137">
        <v>0.0</v>
      </c>
      <c r="BV23" s="137">
        <v>0.0</v>
      </c>
      <c r="BW23" s="137">
        <v>0.0</v>
      </c>
    </row>
    <row r="24">
      <c r="A24" s="188" t="s">
        <v>216</v>
      </c>
      <c r="B24" s="144" t="s">
        <v>217</v>
      </c>
      <c r="C24" s="137"/>
      <c r="D24" s="137"/>
      <c r="E24" s="137"/>
      <c r="F24" s="137"/>
      <c r="G24" s="137"/>
      <c r="H24" s="137"/>
      <c r="I24" s="137"/>
      <c r="J24" s="137">
        <f>170*4-20</f>
        <v>660</v>
      </c>
      <c r="K24" s="137">
        <f t="shared" ref="K24:L24" si="50">22*7*4</f>
        <v>616</v>
      </c>
      <c r="L24" s="137">
        <f t="shared" si="50"/>
        <v>616</v>
      </c>
      <c r="M24" s="137">
        <f t="shared" ref="M24:N24" si="51">20*4*4</f>
        <v>320</v>
      </c>
      <c r="N24" s="137">
        <f t="shared" si="51"/>
        <v>320</v>
      </c>
      <c r="O24" s="137">
        <f>15*7*4</f>
        <v>420</v>
      </c>
      <c r="P24" s="137">
        <f>15*30</f>
        <v>450</v>
      </c>
      <c r="Q24" s="137">
        <f>15*5</f>
        <v>75</v>
      </c>
      <c r="R24" s="137">
        <f t="shared" ref="R24:S24" si="52">10*4</f>
        <v>40</v>
      </c>
      <c r="S24" s="137">
        <f t="shared" si="52"/>
        <v>40</v>
      </c>
      <c r="T24" s="137">
        <f>10*20</f>
        <v>200</v>
      </c>
      <c r="U24" s="137">
        <f>10*10</f>
        <v>100</v>
      </c>
      <c r="V24" s="137">
        <v>0.0</v>
      </c>
      <c r="W24" s="137">
        <v>0.0</v>
      </c>
      <c r="X24" s="137">
        <v>25.0</v>
      </c>
      <c r="Y24" s="137">
        <v>25.0</v>
      </c>
      <c r="Z24" s="137">
        <v>25.0</v>
      </c>
      <c r="AA24" s="137">
        <v>25.0</v>
      </c>
      <c r="AB24" s="137">
        <v>25.0</v>
      </c>
      <c r="AC24" s="137">
        <v>25.0</v>
      </c>
      <c r="AD24" s="137">
        <v>25.0</v>
      </c>
      <c r="AE24" s="137">
        <v>25.0</v>
      </c>
      <c r="AF24" s="137">
        <v>25.0</v>
      </c>
      <c r="AG24" s="137">
        <v>25.0</v>
      </c>
      <c r="AH24" s="175">
        <v>100.0</v>
      </c>
      <c r="AI24" s="137">
        <v>200.0</v>
      </c>
      <c r="AJ24" s="137">
        <v>100.0</v>
      </c>
      <c r="AK24" s="137">
        <v>100.0</v>
      </c>
      <c r="AL24" s="137">
        <v>100.0</v>
      </c>
      <c r="AM24" s="137">
        <v>100.0</v>
      </c>
      <c r="AN24" s="137">
        <v>100.0</v>
      </c>
      <c r="AO24" s="137">
        <v>100.0</v>
      </c>
      <c r="AP24" s="137">
        <v>100.0</v>
      </c>
      <c r="AQ24" s="137">
        <v>100.0</v>
      </c>
      <c r="AR24" s="137">
        <v>100.0</v>
      </c>
      <c r="AS24" s="137">
        <v>100.0</v>
      </c>
      <c r="AT24" s="137">
        <v>100.0</v>
      </c>
      <c r="AU24" s="137">
        <v>100.0</v>
      </c>
      <c r="AV24" s="137">
        <v>100.0</v>
      </c>
      <c r="AW24" s="137">
        <v>100.0</v>
      </c>
      <c r="AX24" s="137">
        <v>100.0</v>
      </c>
      <c r="AY24" s="137">
        <v>100.0</v>
      </c>
      <c r="AZ24" s="137">
        <v>100.0</v>
      </c>
      <c r="BA24" s="137">
        <v>-100.0</v>
      </c>
      <c r="BB24" s="137">
        <v>-100.0</v>
      </c>
      <c r="BC24" s="137">
        <v>-100.0</v>
      </c>
      <c r="BD24" s="137">
        <v>-100.0</v>
      </c>
      <c r="BE24" s="137">
        <v>-200.0</v>
      </c>
      <c r="BF24" s="137">
        <v>-200.0</v>
      </c>
      <c r="BG24" s="137">
        <v>-200.0</v>
      </c>
      <c r="BH24" s="137">
        <v>-200.0</v>
      </c>
      <c r="BI24" s="137">
        <v>-200.0</v>
      </c>
      <c r="BJ24" s="137">
        <v>-200.0</v>
      </c>
      <c r="BK24" s="175"/>
      <c r="BL24" s="137">
        <v>-200.0</v>
      </c>
      <c r="BM24" s="137">
        <v>-200.0</v>
      </c>
      <c r="BN24" s="137">
        <v>-200.0</v>
      </c>
      <c r="BO24" s="137">
        <v>-200.0</v>
      </c>
      <c r="BP24" s="137">
        <v>-200.0</v>
      </c>
      <c r="BQ24" s="137">
        <v>-200.0</v>
      </c>
      <c r="BR24" s="137">
        <v>-200.0</v>
      </c>
      <c r="BS24" s="137">
        <v>-200.0</v>
      </c>
      <c r="BT24" s="137">
        <v>-200.0</v>
      </c>
      <c r="BU24" s="137">
        <v>-200.0</v>
      </c>
      <c r="BV24" s="137">
        <v>-200.0</v>
      </c>
      <c r="BW24" s="137">
        <v>-200.0</v>
      </c>
    </row>
    <row r="25">
      <c r="A25" s="149"/>
      <c r="B25" s="144" t="s">
        <v>218</v>
      </c>
      <c r="C25" s="137">
        <v>200.0</v>
      </c>
      <c r="D25" s="137">
        <v>200.0</v>
      </c>
      <c r="E25" s="137">
        <v>100.0</v>
      </c>
      <c r="F25" s="137">
        <v>200.0</v>
      </c>
      <c r="G25" s="137">
        <v>200.0</v>
      </c>
      <c r="H25" s="175">
        <v>200.0</v>
      </c>
      <c r="I25" s="137">
        <f>8*4*4+20*4</f>
        <v>208</v>
      </c>
      <c r="J25" s="137">
        <f>8*7*4</f>
        <v>224</v>
      </c>
      <c r="K25" s="137">
        <f>8*4*4</f>
        <v>128</v>
      </c>
      <c r="L25" s="137">
        <f>8*7*4</f>
        <v>224</v>
      </c>
      <c r="M25" s="137">
        <f>8*4*4</f>
        <v>128</v>
      </c>
      <c r="N25" s="137">
        <f>8*5*4</f>
        <v>160</v>
      </c>
      <c r="O25" s="137">
        <f>8*7*4</f>
        <v>224</v>
      </c>
      <c r="P25" s="137">
        <f>8*5*4</f>
        <v>160</v>
      </c>
      <c r="Q25" s="137">
        <f>40</f>
        <v>40</v>
      </c>
      <c r="R25" s="137">
        <f t="shared" ref="R25:S25" si="53">0</f>
        <v>0</v>
      </c>
      <c r="S25" s="137">
        <f t="shared" si="53"/>
        <v>0</v>
      </c>
      <c r="T25" s="137">
        <v>0.0</v>
      </c>
      <c r="U25" s="137">
        <v>0.0</v>
      </c>
      <c r="V25" s="137">
        <v>0.0</v>
      </c>
      <c r="W25" s="137">
        <v>0.0</v>
      </c>
      <c r="X25" s="137">
        <v>0.0</v>
      </c>
      <c r="Y25" s="137">
        <v>0.0</v>
      </c>
      <c r="Z25" s="137">
        <v>0.0</v>
      </c>
      <c r="AA25" s="137">
        <v>0.0</v>
      </c>
      <c r="AB25" s="137">
        <v>0.0</v>
      </c>
      <c r="AC25" s="137">
        <v>0.0</v>
      </c>
      <c r="AD25" s="137">
        <v>0.0</v>
      </c>
      <c r="AE25" s="137">
        <v>0.0</v>
      </c>
      <c r="AF25" s="137">
        <v>0.0</v>
      </c>
      <c r="AG25" s="137">
        <v>0.0</v>
      </c>
      <c r="AH25" s="175">
        <v>50.0</v>
      </c>
      <c r="AI25" s="137">
        <v>50.0</v>
      </c>
      <c r="AJ25" s="137">
        <v>50.0</v>
      </c>
      <c r="AK25" s="137">
        <v>50.0</v>
      </c>
      <c r="AL25" s="137">
        <v>50.0</v>
      </c>
      <c r="AM25" s="137">
        <v>25.0</v>
      </c>
      <c r="AN25" s="137">
        <v>25.0</v>
      </c>
      <c r="AO25" s="137">
        <v>25.0</v>
      </c>
      <c r="AP25" s="137">
        <v>50.0</v>
      </c>
      <c r="AQ25" s="137">
        <v>50.0</v>
      </c>
      <c r="AR25" s="137">
        <v>50.0</v>
      </c>
      <c r="AS25" s="137">
        <v>50.0</v>
      </c>
      <c r="AT25" s="137">
        <v>50.0</v>
      </c>
      <c r="AU25" s="137">
        <v>50.0</v>
      </c>
      <c r="AV25" s="137">
        <v>50.0</v>
      </c>
      <c r="AW25" s="137">
        <v>50.0</v>
      </c>
      <c r="AX25" s="137">
        <v>50.0</v>
      </c>
      <c r="AY25" s="137">
        <v>50.0</v>
      </c>
      <c r="AZ25" s="137">
        <v>50.0</v>
      </c>
      <c r="BA25" s="137">
        <v>-50.0</v>
      </c>
      <c r="BB25" s="137">
        <v>-50.0</v>
      </c>
      <c r="BC25" s="137">
        <v>-50.0</v>
      </c>
      <c r="BD25" s="137">
        <v>-50.0</v>
      </c>
      <c r="BE25" s="137">
        <v>-50.0</v>
      </c>
      <c r="BF25" s="137">
        <v>-50.0</v>
      </c>
      <c r="BG25" s="137">
        <v>-50.0</v>
      </c>
      <c r="BH25" s="137">
        <v>-50.0</v>
      </c>
      <c r="BI25" s="137">
        <v>-50.0</v>
      </c>
      <c r="BJ25" s="137">
        <v>-50.0</v>
      </c>
      <c r="BK25" s="175"/>
      <c r="BL25" s="137">
        <v>-50.0</v>
      </c>
      <c r="BM25" s="137">
        <v>-50.0</v>
      </c>
      <c r="BN25" s="137">
        <v>-50.0</v>
      </c>
      <c r="BO25" s="137">
        <v>-50.0</v>
      </c>
      <c r="BP25" s="137">
        <v>-50.0</v>
      </c>
      <c r="BQ25" s="137">
        <v>-50.0</v>
      </c>
      <c r="BR25" s="137">
        <v>-50.0</v>
      </c>
      <c r="BS25" s="137">
        <v>-50.0</v>
      </c>
      <c r="BT25" s="137">
        <v>-50.0</v>
      </c>
      <c r="BU25" s="137">
        <v>-50.0</v>
      </c>
      <c r="BV25" s="137">
        <v>-50.0</v>
      </c>
      <c r="BW25" s="137">
        <v>-50.0</v>
      </c>
    </row>
    <row r="26">
      <c r="A26" s="188"/>
      <c r="B26" s="136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96">
        <f t="shared" ref="P26:AZ26" si="54">sum(P17:P25)/P13</f>
        <v>0.2527318285</v>
      </c>
      <c r="Q26" s="196">
        <f t="shared" si="54"/>
        <v>0.4167359849</v>
      </c>
      <c r="R26" s="196">
        <f t="shared" si="54"/>
        <v>0.4140720991</v>
      </c>
      <c r="S26" s="196">
        <f t="shared" si="54"/>
        <v>0.2649439513</v>
      </c>
      <c r="T26" s="196">
        <f t="shared" si="54"/>
        <v>0.4354138599</v>
      </c>
      <c r="U26" s="196">
        <f t="shared" si="54"/>
        <v>0.08981804104</v>
      </c>
      <c r="V26" s="196">
        <f t="shared" si="54"/>
        <v>0.2894561598</v>
      </c>
      <c r="W26" s="196">
        <f t="shared" si="54"/>
        <v>0.2567557104</v>
      </c>
      <c r="X26" s="196">
        <f t="shared" si="54"/>
        <v>0.485327139</v>
      </c>
      <c r="Y26" s="196">
        <f t="shared" si="54"/>
        <v>0.2404706614</v>
      </c>
      <c r="Z26" s="196">
        <f t="shared" si="54"/>
        <v>0.3159420455</v>
      </c>
      <c r="AA26" s="196">
        <f t="shared" si="54"/>
        <v>0.3344960227</v>
      </c>
      <c r="AB26" s="196">
        <f t="shared" si="54"/>
        <v>0.3344960227</v>
      </c>
      <c r="AC26" s="196">
        <f t="shared" si="54"/>
        <v>0.3201343636</v>
      </c>
      <c r="AD26" s="196">
        <f t="shared" si="54"/>
        <v>0.3355066692</v>
      </c>
      <c r="AE26" s="196">
        <f t="shared" si="54"/>
        <v>0.1486106516</v>
      </c>
      <c r="AF26" s="196">
        <f t="shared" si="54"/>
        <v>0.2905509901</v>
      </c>
      <c r="AG26" s="196">
        <f t="shared" si="54"/>
        <v>0.2620147321</v>
      </c>
      <c r="AH26" s="197">
        <f t="shared" si="54"/>
        <v>0.2708562016</v>
      </c>
      <c r="AI26" s="196">
        <f t="shared" si="54"/>
        <v>0.3797350394</v>
      </c>
      <c r="AJ26" s="196">
        <f t="shared" si="54"/>
        <v>0.4033570866</v>
      </c>
      <c r="AK26" s="196">
        <f t="shared" si="54"/>
        <v>0.1805592543</v>
      </c>
      <c r="AL26" s="196">
        <f t="shared" si="54"/>
        <v>0.3086580087</v>
      </c>
      <c r="AM26" s="196">
        <f t="shared" si="54"/>
        <v>0.2913419913</v>
      </c>
      <c r="AN26" s="196">
        <f t="shared" si="54"/>
        <v>0.1561484919</v>
      </c>
      <c r="AO26" s="196">
        <f t="shared" si="54"/>
        <v>0.26812749</v>
      </c>
      <c r="AP26" s="196">
        <f t="shared" si="54"/>
        <v>0.1041474654</v>
      </c>
      <c r="AQ26" s="196">
        <f t="shared" si="54"/>
        <v>0.2935064935</v>
      </c>
      <c r="AR26" s="196">
        <f t="shared" si="54"/>
        <v>0.2935064935</v>
      </c>
      <c r="AS26" s="196">
        <f t="shared" si="54"/>
        <v>0.2935064935</v>
      </c>
      <c r="AT26" s="196">
        <f t="shared" si="54"/>
        <v>0.2079612983</v>
      </c>
      <c r="AU26" s="196">
        <f t="shared" si="54"/>
        <v>0.1257657658</v>
      </c>
      <c r="AV26" s="196">
        <f t="shared" si="54"/>
        <v>0.3021645022</v>
      </c>
      <c r="AW26" s="196">
        <f t="shared" si="54"/>
        <v>0.3151515152</v>
      </c>
      <c r="AX26" s="196">
        <f t="shared" si="54"/>
        <v>0.2443937156</v>
      </c>
      <c r="AY26" s="196">
        <f t="shared" si="54"/>
        <v>0.2536585366</v>
      </c>
      <c r="AZ26" s="196">
        <f t="shared" si="54"/>
        <v>0.132123412</v>
      </c>
      <c r="BA26" s="196"/>
      <c r="BB26" s="196"/>
      <c r="BC26" s="196"/>
      <c r="BD26" s="196"/>
      <c r="BE26" s="196"/>
      <c r="BF26" s="196"/>
      <c r="BG26" s="196"/>
      <c r="BH26" s="196"/>
      <c r="BI26" s="196"/>
      <c r="BJ26" s="196"/>
      <c r="BK26" s="197"/>
      <c r="BL26" s="196"/>
      <c r="BM26" s="196"/>
      <c r="BN26" s="196"/>
      <c r="BO26" s="196"/>
      <c r="BP26" s="196"/>
      <c r="BQ26" s="196"/>
      <c r="BR26" s="196"/>
      <c r="BS26" s="196"/>
      <c r="BT26" s="196"/>
      <c r="BU26" s="196"/>
      <c r="BV26" s="196"/>
      <c r="BW26" s="196"/>
    </row>
    <row r="27">
      <c r="A27" s="135" t="s">
        <v>219</v>
      </c>
      <c r="C27" s="137"/>
      <c r="D27" s="137"/>
      <c r="E27" s="137"/>
      <c r="F27" s="137"/>
      <c r="G27" s="137"/>
      <c r="H27" s="137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40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40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</row>
    <row r="28">
      <c r="A28" s="188" t="s">
        <v>220</v>
      </c>
      <c r="B28" s="144" t="s">
        <v>221</v>
      </c>
      <c r="C28" s="137">
        <v>1150.0</v>
      </c>
      <c r="D28" s="137">
        <v>1000.0</v>
      </c>
      <c r="E28" s="137">
        <v>1000.0</v>
      </c>
      <c r="F28" s="137">
        <v>1120.0</v>
      </c>
      <c r="G28" s="137">
        <v>1000.0</v>
      </c>
      <c r="H28" s="175">
        <v>500.0</v>
      </c>
      <c r="I28" s="137">
        <f>160*4</f>
        <v>640</v>
      </c>
      <c r="J28" s="137">
        <f>125*4</f>
        <v>500</v>
      </c>
      <c r="K28" s="137">
        <f>25*7*4</f>
        <v>700</v>
      </c>
      <c r="L28" s="137">
        <f>50*7*4</f>
        <v>1400</v>
      </c>
      <c r="M28" s="137">
        <f>25*7*4</f>
        <v>700</v>
      </c>
      <c r="N28" s="137">
        <v>1500.0</v>
      </c>
      <c r="O28" s="137">
        <f>30*5*4</f>
        <v>600</v>
      </c>
      <c r="P28" s="137">
        <f>30*20</f>
        <v>600</v>
      </c>
      <c r="Q28" s="137">
        <f>20*10</f>
        <v>200</v>
      </c>
      <c r="R28" s="137">
        <f>10*20</f>
        <v>200</v>
      </c>
      <c r="S28" s="137">
        <f>5*20</f>
        <v>100</v>
      </c>
      <c r="T28" s="137">
        <f>20*20</f>
        <v>400</v>
      </c>
      <c r="U28" s="137">
        <f t="shared" ref="U28:X28" si="55">15*20</f>
        <v>300</v>
      </c>
      <c r="V28" s="137">
        <f t="shared" si="55"/>
        <v>300</v>
      </c>
      <c r="W28" s="137">
        <f t="shared" si="55"/>
        <v>300</v>
      </c>
      <c r="X28" s="137">
        <f t="shared" si="55"/>
        <v>300</v>
      </c>
      <c r="Y28" s="137">
        <f>50*20</f>
        <v>1000</v>
      </c>
      <c r="Z28" s="137">
        <f>45*20</f>
        <v>900</v>
      </c>
      <c r="AA28" s="137">
        <f t="shared" ref="AA28:AB28" si="56">25*20</f>
        <v>500</v>
      </c>
      <c r="AB28" s="137">
        <f t="shared" si="56"/>
        <v>500</v>
      </c>
      <c r="AC28" s="137">
        <f>45*20</f>
        <v>900</v>
      </c>
      <c r="AD28" s="137">
        <f t="shared" ref="AD28:AH28" si="57">25*20</f>
        <v>500</v>
      </c>
      <c r="AE28" s="137">
        <f t="shared" si="57"/>
        <v>500</v>
      </c>
      <c r="AF28" s="137">
        <f t="shared" si="57"/>
        <v>500</v>
      </c>
      <c r="AG28" s="137">
        <f t="shared" si="57"/>
        <v>500</v>
      </c>
      <c r="AH28" s="175">
        <f t="shared" si="57"/>
        <v>500</v>
      </c>
      <c r="AI28" s="137">
        <f t="shared" ref="AI28:AK28" si="58">45*20</f>
        <v>900</v>
      </c>
      <c r="AJ28" s="137">
        <f t="shared" si="58"/>
        <v>900</v>
      </c>
      <c r="AK28" s="137">
        <f t="shared" si="58"/>
        <v>900</v>
      </c>
      <c r="AL28" s="137">
        <f t="shared" ref="AL28:AO28" si="59">75*20</f>
        <v>1500</v>
      </c>
      <c r="AM28" s="137">
        <f t="shared" si="59"/>
        <v>1500</v>
      </c>
      <c r="AN28" s="137">
        <f t="shared" si="59"/>
        <v>1500</v>
      </c>
      <c r="AO28" s="137">
        <f t="shared" si="59"/>
        <v>1500</v>
      </c>
      <c r="AP28" s="137">
        <f>150*20</f>
        <v>3000</v>
      </c>
      <c r="AQ28" s="137">
        <f t="shared" ref="AQ28:AZ28" si="60">75*20</f>
        <v>1500</v>
      </c>
      <c r="AR28" s="137">
        <f t="shared" si="60"/>
        <v>1500</v>
      </c>
      <c r="AS28" s="137">
        <f t="shared" si="60"/>
        <v>1500</v>
      </c>
      <c r="AT28" s="137">
        <f t="shared" si="60"/>
        <v>1500</v>
      </c>
      <c r="AU28" s="137">
        <f t="shared" si="60"/>
        <v>1500</v>
      </c>
      <c r="AV28" s="137">
        <f t="shared" si="60"/>
        <v>1500</v>
      </c>
      <c r="AW28" s="137">
        <f t="shared" si="60"/>
        <v>1500</v>
      </c>
      <c r="AX28" s="137">
        <f t="shared" si="60"/>
        <v>1500</v>
      </c>
      <c r="AY28" s="137">
        <f t="shared" si="60"/>
        <v>1500</v>
      </c>
      <c r="AZ28" s="137">
        <f t="shared" si="60"/>
        <v>1500</v>
      </c>
      <c r="BA28" s="137">
        <f t="shared" ref="BA28:BJ28" si="61">-75*20</f>
        <v>-1500</v>
      </c>
      <c r="BB28" s="137">
        <f t="shared" si="61"/>
        <v>-1500</v>
      </c>
      <c r="BC28" s="137">
        <f t="shared" si="61"/>
        <v>-1500</v>
      </c>
      <c r="BD28" s="137">
        <f t="shared" si="61"/>
        <v>-1500</v>
      </c>
      <c r="BE28" s="137">
        <f t="shared" si="61"/>
        <v>-1500</v>
      </c>
      <c r="BF28" s="137">
        <f t="shared" si="61"/>
        <v>-1500</v>
      </c>
      <c r="BG28" s="137">
        <f t="shared" si="61"/>
        <v>-1500</v>
      </c>
      <c r="BH28" s="137">
        <f t="shared" si="61"/>
        <v>-1500</v>
      </c>
      <c r="BI28" s="137">
        <f t="shared" si="61"/>
        <v>-1500</v>
      </c>
      <c r="BJ28" s="137">
        <f t="shared" si="61"/>
        <v>-1500</v>
      </c>
      <c r="BK28" s="175"/>
      <c r="BL28" s="137">
        <f t="shared" ref="BL28:BW28" si="62">-75*20</f>
        <v>-1500</v>
      </c>
      <c r="BM28" s="137">
        <f t="shared" si="62"/>
        <v>-1500</v>
      </c>
      <c r="BN28" s="137">
        <f t="shared" si="62"/>
        <v>-1500</v>
      </c>
      <c r="BO28" s="137">
        <f t="shared" si="62"/>
        <v>-1500</v>
      </c>
      <c r="BP28" s="137">
        <f t="shared" si="62"/>
        <v>-1500</v>
      </c>
      <c r="BQ28" s="137">
        <f t="shared" si="62"/>
        <v>-1500</v>
      </c>
      <c r="BR28" s="137">
        <f t="shared" si="62"/>
        <v>-1500</v>
      </c>
      <c r="BS28" s="137">
        <f t="shared" si="62"/>
        <v>-1500</v>
      </c>
      <c r="BT28" s="137">
        <f t="shared" si="62"/>
        <v>-1500</v>
      </c>
      <c r="BU28" s="137">
        <f t="shared" si="62"/>
        <v>-1500</v>
      </c>
      <c r="BV28" s="137">
        <f t="shared" si="62"/>
        <v>-1500</v>
      </c>
      <c r="BW28" s="137">
        <f t="shared" si="62"/>
        <v>-1500</v>
      </c>
    </row>
    <row r="29">
      <c r="A29" s="149"/>
      <c r="B29" s="144" t="s">
        <v>222</v>
      </c>
      <c r="C29" s="137"/>
      <c r="D29" s="137"/>
      <c r="E29" s="137"/>
      <c r="F29" s="137"/>
      <c r="G29" s="137"/>
      <c r="H29" s="175"/>
      <c r="I29" s="137">
        <f>100*4</f>
        <v>400</v>
      </c>
      <c r="J29" s="137">
        <f>200*4</f>
        <v>800</v>
      </c>
      <c r="K29" s="137">
        <f t="shared" ref="K29:L29" si="63">50*2*2*4</f>
        <v>800</v>
      </c>
      <c r="L29" s="137">
        <f t="shared" si="63"/>
        <v>800</v>
      </c>
      <c r="M29" s="137">
        <f>40*2*4</f>
        <v>320</v>
      </c>
      <c r="N29" s="137">
        <f t="shared" ref="N29:O29" si="64">50*2*4</f>
        <v>400</v>
      </c>
      <c r="O29" s="137">
        <f t="shared" si="64"/>
        <v>400</v>
      </c>
      <c r="P29" s="137">
        <f>100*4</f>
        <v>400</v>
      </c>
      <c r="Q29" s="137">
        <f>45*2</f>
        <v>90</v>
      </c>
      <c r="R29" s="137">
        <f>20*8</f>
        <v>160</v>
      </c>
      <c r="S29" s="137">
        <f>30*8</f>
        <v>240</v>
      </c>
      <c r="T29" s="137">
        <f>45*8</f>
        <v>360</v>
      </c>
      <c r="U29" s="137">
        <f>20*8</f>
        <v>160</v>
      </c>
      <c r="V29" s="137">
        <f>45*8</f>
        <v>360</v>
      </c>
      <c r="W29" s="137">
        <f t="shared" ref="W29:X29" si="65">40*8</f>
        <v>320</v>
      </c>
      <c r="X29" s="137">
        <f t="shared" si="65"/>
        <v>320</v>
      </c>
      <c r="Y29" s="137">
        <f t="shared" ref="Y29:AA29" si="66">100*8</f>
        <v>800</v>
      </c>
      <c r="Z29" s="137">
        <f t="shared" si="66"/>
        <v>800</v>
      </c>
      <c r="AA29" s="137">
        <f t="shared" si="66"/>
        <v>800</v>
      </c>
      <c r="AB29" s="137">
        <f>100*8+300</f>
        <v>1100</v>
      </c>
      <c r="AC29" s="137">
        <f>100*8</f>
        <v>800</v>
      </c>
      <c r="AD29" s="137">
        <f t="shared" ref="AD29:AH29" si="67">75*8</f>
        <v>600</v>
      </c>
      <c r="AE29" s="137">
        <f t="shared" si="67"/>
        <v>600</v>
      </c>
      <c r="AF29" s="137">
        <f t="shared" si="67"/>
        <v>600</v>
      </c>
      <c r="AG29" s="137">
        <f t="shared" si="67"/>
        <v>600</v>
      </c>
      <c r="AH29" s="175">
        <f t="shared" si="67"/>
        <v>600</v>
      </c>
      <c r="AI29" s="137">
        <f>100*10</f>
        <v>1000</v>
      </c>
      <c r="AJ29" s="137">
        <f t="shared" ref="AJ29:AO29" si="68">100*8</f>
        <v>800</v>
      </c>
      <c r="AK29" s="137">
        <f t="shared" si="68"/>
        <v>800</v>
      </c>
      <c r="AL29" s="137">
        <f t="shared" si="68"/>
        <v>800</v>
      </c>
      <c r="AM29" s="137">
        <f t="shared" si="68"/>
        <v>800</v>
      </c>
      <c r="AN29" s="137">
        <f t="shared" si="68"/>
        <v>800</v>
      </c>
      <c r="AO29" s="137">
        <f t="shared" si="68"/>
        <v>800</v>
      </c>
      <c r="AP29" s="137">
        <f>150*8</f>
        <v>1200</v>
      </c>
      <c r="AQ29" s="137">
        <f t="shared" ref="AQ29:AZ29" si="69">100*8</f>
        <v>800</v>
      </c>
      <c r="AR29" s="137">
        <f t="shared" si="69"/>
        <v>800</v>
      </c>
      <c r="AS29" s="137">
        <f t="shared" si="69"/>
        <v>800</v>
      </c>
      <c r="AT29" s="137">
        <f t="shared" si="69"/>
        <v>800</v>
      </c>
      <c r="AU29" s="137">
        <f t="shared" si="69"/>
        <v>800</v>
      </c>
      <c r="AV29" s="137">
        <f t="shared" si="69"/>
        <v>800</v>
      </c>
      <c r="AW29" s="137">
        <f t="shared" si="69"/>
        <v>800</v>
      </c>
      <c r="AX29" s="137">
        <f t="shared" si="69"/>
        <v>800</v>
      </c>
      <c r="AY29" s="137">
        <f t="shared" si="69"/>
        <v>800</v>
      </c>
      <c r="AZ29" s="137">
        <f t="shared" si="69"/>
        <v>800</v>
      </c>
      <c r="BA29" s="137">
        <f t="shared" ref="BA29:BJ29" si="70">-100*8</f>
        <v>-800</v>
      </c>
      <c r="BB29" s="137">
        <f t="shared" si="70"/>
        <v>-800</v>
      </c>
      <c r="BC29" s="137">
        <f t="shared" si="70"/>
        <v>-800</v>
      </c>
      <c r="BD29" s="137">
        <f t="shared" si="70"/>
        <v>-800</v>
      </c>
      <c r="BE29" s="137">
        <f t="shared" si="70"/>
        <v>-800</v>
      </c>
      <c r="BF29" s="137">
        <f t="shared" si="70"/>
        <v>-800</v>
      </c>
      <c r="BG29" s="137">
        <f t="shared" si="70"/>
        <v>-800</v>
      </c>
      <c r="BH29" s="137">
        <f t="shared" si="70"/>
        <v>-800</v>
      </c>
      <c r="BI29" s="137">
        <f t="shared" si="70"/>
        <v>-800</v>
      </c>
      <c r="BJ29" s="137">
        <f t="shared" si="70"/>
        <v>-800</v>
      </c>
      <c r="BK29" s="175"/>
      <c r="BL29" s="137">
        <f t="shared" ref="BL29:BW29" si="71">-100*8</f>
        <v>-800</v>
      </c>
      <c r="BM29" s="137">
        <f t="shared" si="71"/>
        <v>-800</v>
      </c>
      <c r="BN29" s="137">
        <f t="shared" si="71"/>
        <v>-800</v>
      </c>
      <c r="BO29" s="137">
        <f t="shared" si="71"/>
        <v>-800</v>
      </c>
      <c r="BP29" s="137">
        <f t="shared" si="71"/>
        <v>-800</v>
      </c>
      <c r="BQ29" s="137">
        <f t="shared" si="71"/>
        <v>-800</v>
      </c>
      <c r="BR29" s="137">
        <f t="shared" si="71"/>
        <v>-800</v>
      </c>
      <c r="BS29" s="137">
        <f t="shared" si="71"/>
        <v>-800</v>
      </c>
      <c r="BT29" s="137">
        <f t="shared" si="71"/>
        <v>-800</v>
      </c>
      <c r="BU29" s="137">
        <f t="shared" si="71"/>
        <v>-800</v>
      </c>
      <c r="BV29" s="137">
        <f t="shared" si="71"/>
        <v>-800</v>
      </c>
      <c r="BW29" s="137">
        <f t="shared" si="71"/>
        <v>-800</v>
      </c>
    </row>
    <row r="30">
      <c r="A30" s="199"/>
      <c r="B30" s="144" t="s">
        <v>223</v>
      </c>
      <c r="C30" s="137">
        <v>0.0</v>
      </c>
      <c r="D30" s="137">
        <v>0.0</v>
      </c>
      <c r="E30" s="137">
        <v>0.0</v>
      </c>
      <c r="F30" s="137">
        <v>0.0</v>
      </c>
      <c r="G30" s="137">
        <v>0.0</v>
      </c>
      <c r="H30" s="175">
        <v>0.0</v>
      </c>
      <c r="I30" s="137">
        <v>0.0</v>
      </c>
      <c r="J30" s="137">
        <v>0.0</v>
      </c>
      <c r="K30" s="137">
        <v>0.0</v>
      </c>
      <c r="L30" s="137">
        <v>0.0</v>
      </c>
      <c r="M30" s="137">
        <v>0.0</v>
      </c>
      <c r="N30" s="194">
        <v>200.0</v>
      </c>
      <c r="O30" s="194">
        <v>400.0</v>
      </c>
      <c r="P30" s="113">
        <v>0.0</v>
      </c>
      <c r="Q30" s="137">
        <v>0.0</v>
      </c>
      <c r="R30" s="137">
        <v>0.0</v>
      </c>
      <c r="S30" s="137">
        <v>0.0</v>
      </c>
      <c r="T30" s="137">
        <v>0.0</v>
      </c>
      <c r="U30" s="137">
        <v>0.0</v>
      </c>
      <c r="V30" s="137">
        <v>0.0</v>
      </c>
      <c r="W30" s="137">
        <v>0.0</v>
      </c>
      <c r="X30" s="137">
        <v>0.0</v>
      </c>
      <c r="Y30" s="137">
        <v>0.0</v>
      </c>
      <c r="Z30" s="137">
        <v>0.0</v>
      </c>
      <c r="AA30" s="137">
        <v>0.0</v>
      </c>
      <c r="AB30" s="137">
        <v>0.0</v>
      </c>
      <c r="AC30" s="137">
        <v>0.0</v>
      </c>
      <c r="AD30" s="137">
        <v>0.0</v>
      </c>
      <c r="AE30" s="137">
        <v>0.0</v>
      </c>
      <c r="AF30" s="137">
        <v>0.0</v>
      </c>
      <c r="AG30" s="137">
        <v>0.0</v>
      </c>
      <c r="AH30" s="175">
        <v>0.0</v>
      </c>
      <c r="AI30" s="137">
        <v>0.0</v>
      </c>
      <c r="AJ30" s="137">
        <v>0.0</v>
      </c>
      <c r="AK30" s="137">
        <v>0.0</v>
      </c>
      <c r="AL30" s="137">
        <v>0.0</v>
      </c>
      <c r="AM30" s="137">
        <v>0.0</v>
      </c>
      <c r="AN30" s="137">
        <v>0.0</v>
      </c>
      <c r="AO30" s="137">
        <v>0.0</v>
      </c>
      <c r="AP30" s="137">
        <v>0.0</v>
      </c>
      <c r="AQ30" s="137">
        <v>0.0</v>
      </c>
      <c r="AR30" s="137">
        <v>0.0</v>
      </c>
      <c r="AS30" s="137">
        <v>0.0</v>
      </c>
      <c r="AT30" s="137">
        <v>0.0</v>
      </c>
      <c r="AU30" s="137">
        <v>0.0</v>
      </c>
      <c r="AV30" s="137">
        <v>0.0</v>
      </c>
      <c r="AW30" s="137">
        <v>200.0</v>
      </c>
      <c r="AX30" s="137">
        <v>200.0</v>
      </c>
      <c r="AY30" s="137">
        <v>200.0</v>
      </c>
      <c r="AZ30" s="137">
        <v>200.0</v>
      </c>
      <c r="BA30" s="137">
        <v>-200.0</v>
      </c>
      <c r="BB30" s="137">
        <v>-200.0</v>
      </c>
      <c r="BC30" s="137">
        <v>-200.0</v>
      </c>
      <c r="BD30" s="137">
        <v>-200.0</v>
      </c>
      <c r="BE30" s="137">
        <v>-200.0</v>
      </c>
      <c r="BF30" s="137">
        <v>-200.0</v>
      </c>
      <c r="BG30" s="137">
        <v>-200.0</v>
      </c>
      <c r="BH30" s="137">
        <v>-200.0</v>
      </c>
      <c r="BI30" s="137">
        <v>-200.0</v>
      </c>
      <c r="BJ30" s="137">
        <v>-200.0</v>
      </c>
      <c r="BK30" s="175"/>
      <c r="BL30" s="137">
        <v>-200.0</v>
      </c>
      <c r="BM30" s="137">
        <v>-200.0</v>
      </c>
      <c r="BN30" s="137">
        <v>-200.0</v>
      </c>
      <c r="BO30" s="137">
        <v>-200.0</v>
      </c>
      <c r="BP30" s="137">
        <v>-200.0</v>
      </c>
      <c r="BQ30" s="137">
        <v>-200.0</v>
      </c>
      <c r="BR30" s="137">
        <v>-200.0</v>
      </c>
      <c r="BS30" s="137">
        <v>-200.0</v>
      </c>
      <c r="BT30" s="137">
        <v>-200.0</v>
      </c>
      <c r="BU30" s="137">
        <v>-200.0</v>
      </c>
      <c r="BV30" s="137">
        <v>-200.0</v>
      </c>
      <c r="BW30" s="137">
        <v>-200.0</v>
      </c>
    </row>
    <row r="31">
      <c r="A31" s="199"/>
      <c r="B31" s="144" t="s">
        <v>569</v>
      </c>
      <c r="C31" s="137">
        <v>10.0</v>
      </c>
      <c r="D31" s="137">
        <v>10.0</v>
      </c>
      <c r="E31" s="137">
        <v>10.0</v>
      </c>
      <c r="F31" s="137">
        <v>10.0</v>
      </c>
      <c r="G31" s="137">
        <f t="shared" ref="G31:H31" si="72">10+5+20</f>
        <v>35</v>
      </c>
      <c r="H31" s="137">
        <f t="shared" si="72"/>
        <v>35</v>
      </c>
      <c r="I31" s="137">
        <f>10+20+60</f>
        <v>90</v>
      </c>
      <c r="J31" s="137">
        <f>10+20+30+15</f>
        <v>75</v>
      </c>
      <c r="K31" s="137">
        <f>10+5+20+30</f>
        <v>65</v>
      </c>
      <c r="L31" s="137">
        <f t="shared" ref="L31:O31" si="73">10+5+20+60</f>
        <v>95</v>
      </c>
      <c r="M31" s="137">
        <f t="shared" si="73"/>
        <v>95</v>
      </c>
      <c r="N31" s="137">
        <f t="shared" si="73"/>
        <v>95</v>
      </c>
      <c r="O31" s="137">
        <f t="shared" si="73"/>
        <v>95</v>
      </c>
      <c r="P31" s="137">
        <f>10+5+20+60+4+4</f>
        <v>103</v>
      </c>
      <c r="Q31" s="137">
        <f>10+5+20+60+35.68</f>
        <v>130.68</v>
      </c>
      <c r="R31" s="137">
        <f>10+5+20+60</f>
        <v>95</v>
      </c>
      <c r="S31" s="137">
        <f t="shared" ref="S31:U31" si="74">10+13+20+60</f>
        <v>103</v>
      </c>
      <c r="T31" s="137">
        <f t="shared" si="74"/>
        <v>103</v>
      </c>
      <c r="U31" s="137">
        <f t="shared" si="74"/>
        <v>103</v>
      </c>
      <c r="V31" s="137">
        <f>sum(10,13,20,60,4,15,20)</f>
        <v>142</v>
      </c>
      <c r="W31" s="137">
        <f>sum(10,13,20,60,4,15,70)</f>
        <v>192</v>
      </c>
      <c r="X31" s="137">
        <f t="shared" ref="X31:Y31" si="75">sum(10,13,20,60,4,15,0)</f>
        <v>122</v>
      </c>
      <c r="Y31" s="137">
        <f t="shared" si="75"/>
        <v>122</v>
      </c>
      <c r="Z31" s="137">
        <f t="shared" ref="Z31:AZ31" si="76">sum(10,13,60,4,15,0)</f>
        <v>102</v>
      </c>
      <c r="AA31" s="137">
        <f t="shared" si="76"/>
        <v>102</v>
      </c>
      <c r="AB31" s="137">
        <f t="shared" si="76"/>
        <v>102</v>
      </c>
      <c r="AC31" s="137">
        <f t="shared" si="76"/>
        <v>102</v>
      </c>
      <c r="AD31" s="137">
        <f t="shared" si="76"/>
        <v>102</v>
      </c>
      <c r="AE31" s="137">
        <f t="shared" si="76"/>
        <v>102</v>
      </c>
      <c r="AF31" s="137">
        <f t="shared" si="76"/>
        <v>102</v>
      </c>
      <c r="AG31" s="137">
        <f t="shared" si="76"/>
        <v>102</v>
      </c>
      <c r="AH31" s="175">
        <f t="shared" si="76"/>
        <v>102</v>
      </c>
      <c r="AI31" s="137">
        <f t="shared" si="76"/>
        <v>102</v>
      </c>
      <c r="AJ31" s="137">
        <f t="shared" si="76"/>
        <v>102</v>
      </c>
      <c r="AK31" s="137">
        <f t="shared" si="76"/>
        <v>102</v>
      </c>
      <c r="AL31" s="137">
        <f t="shared" si="76"/>
        <v>102</v>
      </c>
      <c r="AM31" s="137">
        <f t="shared" si="76"/>
        <v>102</v>
      </c>
      <c r="AN31" s="137">
        <f t="shared" si="76"/>
        <v>102</v>
      </c>
      <c r="AO31" s="137">
        <f t="shared" si="76"/>
        <v>102</v>
      </c>
      <c r="AP31" s="137">
        <f t="shared" si="76"/>
        <v>102</v>
      </c>
      <c r="AQ31" s="137">
        <f t="shared" si="76"/>
        <v>102</v>
      </c>
      <c r="AR31" s="137">
        <f t="shared" si="76"/>
        <v>102</v>
      </c>
      <c r="AS31" s="137">
        <f t="shared" si="76"/>
        <v>102</v>
      </c>
      <c r="AT31" s="137">
        <f t="shared" si="76"/>
        <v>102</v>
      </c>
      <c r="AU31" s="137">
        <f t="shared" si="76"/>
        <v>102</v>
      </c>
      <c r="AV31" s="137">
        <f t="shared" si="76"/>
        <v>102</v>
      </c>
      <c r="AW31" s="137">
        <f t="shared" si="76"/>
        <v>102</v>
      </c>
      <c r="AX31" s="137">
        <f t="shared" si="76"/>
        <v>102</v>
      </c>
      <c r="AY31" s="137">
        <f t="shared" si="76"/>
        <v>102</v>
      </c>
      <c r="AZ31" s="137">
        <f t="shared" si="76"/>
        <v>102</v>
      </c>
      <c r="BA31" s="137">
        <f t="shared" ref="BA31:BJ31" si="77">-sum(10,13,60,4,15,0)</f>
        <v>-102</v>
      </c>
      <c r="BB31" s="137">
        <f t="shared" si="77"/>
        <v>-102</v>
      </c>
      <c r="BC31" s="137">
        <f t="shared" si="77"/>
        <v>-102</v>
      </c>
      <c r="BD31" s="137">
        <f t="shared" si="77"/>
        <v>-102</v>
      </c>
      <c r="BE31" s="137">
        <f t="shared" si="77"/>
        <v>-102</v>
      </c>
      <c r="BF31" s="137">
        <f t="shared" si="77"/>
        <v>-102</v>
      </c>
      <c r="BG31" s="137">
        <f t="shared" si="77"/>
        <v>-102</v>
      </c>
      <c r="BH31" s="137">
        <f t="shared" si="77"/>
        <v>-102</v>
      </c>
      <c r="BI31" s="137">
        <f t="shared" si="77"/>
        <v>-102</v>
      </c>
      <c r="BJ31" s="137">
        <f t="shared" si="77"/>
        <v>-102</v>
      </c>
      <c r="BK31" s="175"/>
      <c r="BL31" s="137">
        <f t="shared" ref="BL31:BO31" si="78">-sum(10,13,60,4,15,0)</f>
        <v>-102</v>
      </c>
      <c r="BM31" s="137">
        <f t="shared" si="78"/>
        <v>-102</v>
      </c>
      <c r="BN31" s="137">
        <f t="shared" si="78"/>
        <v>-102</v>
      </c>
      <c r="BO31" s="137">
        <f t="shared" si="78"/>
        <v>-102</v>
      </c>
      <c r="BP31" s="194">
        <v>-5000.0</v>
      </c>
      <c r="BQ31" s="137">
        <f t="shared" ref="BQ31:BW31" si="79">-sum(10,13,60,4,15,0)</f>
        <v>-102</v>
      </c>
      <c r="BR31" s="137">
        <f t="shared" si="79"/>
        <v>-102</v>
      </c>
      <c r="BS31" s="137">
        <f t="shared" si="79"/>
        <v>-102</v>
      </c>
      <c r="BT31" s="137">
        <f t="shared" si="79"/>
        <v>-102</v>
      </c>
      <c r="BU31" s="137">
        <f t="shared" si="79"/>
        <v>-102</v>
      </c>
      <c r="BV31" s="137">
        <f t="shared" si="79"/>
        <v>-102</v>
      </c>
      <c r="BW31" s="137">
        <f t="shared" si="79"/>
        <v>-102</v>
      </c>
    </row>
    <row r="32">
      <c r="A32" s="199"/>
      <c r="B32" s="144" t="s">
        <v>225</v>
      </c>
      <c r="C32" s="137">
        <v>0.0</v>
      </c>
      <c r="D32" s="137">
        <v>0.0</v>
      </c>
      <c r="E32" s="137">
        <v>500.0</v>
      </c>
      <c r="F32" s="137">
        <v>500.0</v>
      </c>
      <c r="G32" s="137">
        <v>0.0</v>
      </c>
      <c r="H32" s="175">
        <v>0.0</v>
      </c>
      <c r="I32" s="137">
        <v>0.0</v>
      </c>
      <c r="J32" s="194">
        <v>500.0</v>
      </c>
      <c r="K32" s="194">
        <v>450.0</v>
      </c>
      <c r="L32" s="194">
        <v>300.0</v>
      </c>
      <c r="M32" s="194">
        <v>200.0</v>
      </c>
      <c r="N32" s="194">
        <v>100.0</v>
      </c>
      <c r="O32" s="137">
        <v>0.0</v>
      </c>
      <c r="P32" s="194">
        <f>250+179</f>
        <v>429</v>
      </c>
      <c r="Q32" s="200">
        <v>0.0</v>
      </c>
      <c r="R32" s="189">
        <f>260*2</f>
        <v>520</v>
      </c>
      <c r="S32" s="189">
        <v>0.0</v>
      </c>
      <c r="T32" s="189">
        <f>sum(500/2,185,25,84,257)</f>
        <v>801</v>
      </c>
      <c r="U32" s="189">
        <f>sum(270,250)</f>
        <v>520</v>
      </c>
      <c r="V32" s="193">
        <f>sum(300,600,240)</f>
        <v>1140</v>
      </c>
      <c r="W32" s="194">
        <f>375+74</f>
        <v>449</v>
      </c>
      <c r="X32" s="193">
        <v>0.0</v>
      </c>
      <c r="Y32" s="137">
        <v>0.0</v>
      </c>
      <c r="Z32" s="201">
        <f>sum(548.5,400,55.1,92.1,169.66,100)</f>
        <v>1365.36</v>
      </c>
      <c r="AA32" s="201">
        <f>'Travel Expenses - Tulum'!C32-Z32</f>
        <v>2256.425</v>
      </c>
      <c r="AB32" s="137">
        <v>90.0</v>
      </c>
      <c r="AC32" s="201">
        <v>1200.0</v>
      </c>
      <c r="AD32" s="137">
        <v>0.0</v>
      </c>
      <c r="AE32" s="202">
        <v>500.0</v>
      </c>
      <c r="AF32" s="137">
        <v>0.0</v>
      </c>
      <c r="AG32" s="137">
        <v>0.0</v>
      </c>
      <c r="AH32" s="175">
        <v>0.0</v>
      </c>
      <c r="AI32" s="137">
        <v>0.0</v>
      </c>
      <c r="AJ32" s="137">
        <v>0.0</v>
      </c>
      <c r="AK32" s="137">
        <v>0.0</v>
      </c>
      <c r="AL32" s="137">
        <f>1500+600</f>
        <v>2100</v>
      </c>
      <c r="AM32" s="137">
        <v>0.0</v>
      </c>
      <c r="AN32" s="137">
        <v>0.0</v>
      </c>
      <c r="AO32" s="137">
        <v>0.0</v>
      </c>
      <c r="AP32" s="137">
        <v>0.0</v>
      </c>
      <c r="AQ32" s="137">
        <v>0.0</v>
      </c>
      <c r="AR32" s="137">
        <v>0.0</v>
      </c>
      <c r="AS32" s="137">
        <v>0.0</v>
      </c>
      <c r="AT32" s="137">
        <v>0.0</v>
      </c>
      <c r="AU32" s="137">
        <v>0.0</v>
      </c>
      <c r="AV32" s="137">
        <v>0.0</v>
      </c>
      <c r="AW32" s="137">
        <v>0.0</v>
      </c>
      <c r="AX32" s="137">
        <v>0.0</v>
      </c>
      <c r="AY32" s="137">
        <v>0.0</v>
      </c>
      <c r="AZ32" s="137">
        <f>sum(650,375,300)</f>
        <v>1325</v>
      </c>
      <c r="BA32" s="137">
        <v>0.0</v>
      </c>
      <c r="BB32" s="137">
        <v>0.0</v>
      </c>
      <c r="BC32" s="203">
        <f>-1700</f>
        <v>-1700</v>
      </c>
      <c r="BD32" s="203">
        <f>-sum(3000,4396)</f>
        <v>-7396</v>
      </c>
      <c r="BE32" s="137">
        <v>0.0</v>
      </c>
      <c r="BF32" s="194">
        <v>300.0</v>
      </c>
      <c r="BG32" s="137">
        <v>0.0</v>
      </c>
      <c r="BH32" s="137">
        <v>0.0</v>
      </c>
      <c r="BI32" s="137">
        <v>0.0</v>
      </c>
      <c r="BJ32" s="194">
        <v>-1000.0</v>
      </c>
      <c r="BK32" s="175"/>
      <c r="BL32" s="194">
        <f>-5000</f>
        <v>-5000</v>
      </c>
      <c r="BM32" s="137">
        <v>0.0</v>
      </c>
      <c r="BN32" s="137">
        <v>0.0</v>
      </c>
      <c r="BO32" s="137">
        <v>0.0</v>
      </c>
      <c r="BP32" s="137">
        <v>0.0</v>
      </c>
      <c r="BQ32" s="194">
        <v>-7500.0</v>
      </c>
      <c r="BR32" s="137">
        <v>0.0</v>
      </c>
      <c r="BS32" s="137">
        <v>0.0</v>
      </c>
      <c r="BT32" s="137">
        <v>0.0</v>
      </c>
      <c r="BU32" s="137">
        <v>0.0</v>
      </c>
      <c r="BV32" s="137">
        <v>0.0</v>
      </c>
      <c r="BW32" s="137">
        <v>0.0</v>
      </c>
    </row>
    <row r="33">
      <c r="A33" s="188" t="s">
        <v>209</v>
      </c>
      <c r="B33" s="144" t="s">
        <v>226</v>
      </c>
      <c r="C33" s="137"/>
      <c r="D33" s="137"/>
      <c r="E33" s="137"/>
      <c r="F33" s="137"/>
      <c r="G33" s="137"/>
      <c r="H33" s="137"/>
      <c r="I33" s="137">
        <v>600.0</v>
      </c>
      <c r="J33" s="137">
        <v>0.0</v>
      </c>
      <c r="K33" s="137">
        <v>0.0</v>
      </c>
      <c r="L33" s="137">
        <v>0.0</v>
      </c>
      <c r="M33" s="137">
        <v>0.0</v>
      </c>
      <c r="N33" s="137">
        <v>0.0</v>
      </c>
      <c r="O33" s="137">
        <v>0.0</v>
      </c>
      <c r="P33" s="137">
        <f>43+83</f>
        <v>126</v>
      </c>
      <c r="Q33" s="137">
        <f>90+266+80</f>
        <v>436</v>
      </c>
      <c r="R33" s="137">
        <v>0.0</v>
      </c>
      <c r="S33" s="137">
        <v>0.0</v>
      </c>
      <c r="T33" s="137">
        <v>0.0</v>
      </c>
      <c r="U33" s="137">
        <v>0.0</v>
      </c>
      <c r="V33" s="137">
        <v>0.0</v>
      </c>
      <c r="W33" s="137">
        <v>0.0</v>
      </c>
      <c r="X33" s="137">
        <v>1000.0</v>
      </c>
      <c r="Y33" s="137">
        <v>0.0</v>
      </c>
      <c r="Z33" s="137">
        <f>sum(250,100,250)</f>
        <v>600</v>
      </c>
      <c r="AA33" s="137">
        <v>0.0</v>
      </c>
      <c r="AB33" s="137">
        <v>0.0</v>
      </c>
      <c r="AC33" s="137">
        <v>0.0</v>
      </c>
      <c r="AD33" s="137">
        <v>0.0</v>
      </c>
      <c r="AE33" s="137">
        <v>0.0</v>
      </c>
      <c r="AF33" s="137">
        <v>0.0</v>
      </c>
      <c r="AG33" s="137">
        <v>0.0</v>
      </c>
      <c r="AH33" s="175">
        <v>2000.0</v>
      </c>
      <c r="AI33" s="137">
        <v>0.0</v>
      </c>
      <c r="AJ33" s="137">
        <v>0.0</v>
      </c>
      <c r="AK33" s="137">
        <v>0.0</v>
      </c>
      <c r="AL33" s="137">
        <v>25.0</v>
      </c>
      <c r="AM33" s="137">
        <v>0.0</v>
      </c>
      <c r="AN33" s="137">
        <v>0.0</v>
      </c>
      <c r="AO33" s="137">
        <v>0.0</v>
      </c>
      <c r="AP33" s="137">
        <v>0.0</v>
      </c>
      <c r="AQ33" s="137">
        <v>0.0</v>
      </c>
      <c r="AR33" s="137">
        <v>0.0</v>
      </c>
      <c r="AS33" s="137">
        <v>0.0</v>
      </c>
      <c r="AT33" s="137">
        <v>0.0</v>
      </c>
      <c r="AU33" s="137">
        <v>0.0</v>
      </c>
      <c r="AV33" s="137">
        <v>0.0</v>
      </c>
      <c r="AW33" s="137">
        <v>50.0</v>
      </c>
      <c r="AX33" s="137">
        <v>50.0</v>
      </c>
      <c r="AY33" s="137">
        <v>50.0</v>
      </c>
      <c r="AZ33" s="137">
        <v>50.0</v>
      </c>
      <c r="BA33" s="137">
        <v>-50.0</v>
      </c>
      <c r="BB33" s="137">
        <v>-50.0</v>
      </c>
      <c r="BC33" s="137">
        <v>-50.0</v>
      </c>
      <c r="BD33" s="110">
        <v>0.0</v>
      </c>
      <c r="BE33" s="137">
        <v>0.0</v>
      </c>
      <c r="BF33" s="137">
        <v>-50.0</v>
      </c>
      <c r="BG33" s="137">
        <f>sum(-50,-500)</f>
        <v>-550</v>
      </c>
      <c r="BH33" s="137">
        <v>-50.0</v>
      </c>
      <c r="BI33" s="137">
        <v>-50.0</v>
      </c>
      <c r="BJ33" s="137">
        <v>-50.0</v>
      </c>
      <c r="BK33" s="175"/>
      <c r="BL33" s="137">
        <v>-500.0</v>
      </c>
      <c r="BM33" s="1104">
        <v>-5000.0</v>
      </c>
      <c r="BN33" s="137">
        <v>-50.0</v>
      </c>
      <c r="BO33" s="137">
        <v>-50.0</v>
      </c>
      <c r="BP33" s="137">
        <v>-50.0</v>
      </c>
      <c r="BQ33" s="137">
        <v>-50.0</v>
      </c>
      <c r="BR33" s="137">
        <v>-50.0</v>
      </c>
      <c r="BS33" s="137">
        <v>-50.0</v>
      </c>
      <c r="BT33" s="137">
        <v>-50.0</v>
      </c>
      <c r="BU33" s="137">
        <v>-50.0</v>
      </c>
      <c r="BV33" s="137">
        <v>-50.0</v>
      </c>
      <c r="BW33" s="137">
        <v>-50.0</v>
      </c>
    </row>
    <row r="34" ht="15.75" customHeight="1">
      <c r="A34" s="149"/>
      <c r="B34" s="144" t="s">
        <v>227</v>
      </c>
      <c r="C34" s="137"/>
      <c r="D34" s="137"/>
      <c r="E34" s="137"/>
      <c r="F34" s="137"/>
      <c r="G34" s="137"/>
      <c r="H34" s="137"/>
      <c r="I34" s="137">
        <v>10.0</v>
      </c>
      <c r="J34" s="137">
        <v>0.0</v>
      </c>
      <c r="K34" s="137">
        <f>12*2</f>
        <v>24</v>
      </c>
      <c r="L34" s="137">
        <v>0.0</v>
      </c>
      <c r="M34" s="137">
        <v>0.0</v>
      </c>
      <c r="N34" s="137">
        <f t="shared" ref="N34:O34" si="80">12*1</f>
        <v>12</v>
      </c>
      <c r="O34" s="137">
        <f t="shared" si="80"/>
        <v>12</v>
      </c>
      <c r="P34" s="137">
        <f>13</f>
        <v>13</v>
      </c>
      <c r="Q34" s="137">
        <v>0.0</v>
      </c>
      <c r="R34" s="137">
        <f t="shared" ref="R34:AJ34" si="81">12*1</f>
        <v>12</v>
      </c>
      <c r="S34" s="137">
        <f t="shared" si="81"/>
        <v>12</v>
      </c>
      <c r="T34" s="137">
        <f t="shared" si="81"/>
        <v>12</v>
      </c>
      <c r="U34" s="137">
        <f t="shared" si="81"/>
        <v>12</v>
      </c>
      <c r="V34" s="137">
        <f t="shared" si="81"/>
        <v>12</v>
      </c>
      <c r="W34" s="137">
        <f t="shared" si="81"/>
        <v>12</v>
      </c>
      <c r="X34" s="137">
        <f t="shared" si="81"/>
        <v>12</v>
      </c>
      <c r="Y34" s="137">
        <f t="shared" si="81"/>
        <v>12</v>
      </c>
      <c r="Z34" s="137">
        <f t="shared" si="81"/>
        <v>12</v>
      </c>
      <c r="AA34" s="137">
        <f t="shared" si="81"/>
        <v>12</v>
      </c>
      <c r="AB34" s="137">
        <f t="shared" si="81"/>
        <v>12</v>
      </c>
      <c r="AC34" s="137">
        <f t="shared" si="81"/>
        <v>12</v>
      </c>
      <c r="AD34" s="137">
        <f t="shared" si="81"/>
        <v>12</v>
      </c>
      <c r="AE34" s="137">
        <f t="shared" si="81"/>
        <v>12</v>
      </c>
      <c r="AF34" s="137">
        <f t="shared" si="81"/>
        <v>12</v>
      </c>
      <c r="AG34" s="137">
        <f t="shared" si="81"/>
        <v>12</v>
      </c>
      <c r="AH34" s="175">
        <f t="shared" si="81"/>
        <v>12</v>
      </c>
      <c r="AI34" s="137">
        <f t="shared" si="81"/>
        <v>12</v>
      </c>
      <c r="AJ34" s="137">
        <f t="shared" si="81"/>
        <v>12</v>
      </c>
      <c r="AK34" s="137">
        <v>0.0</v>
      </c>
      <c r="AL34" s="137">
        <v>0.0</v>
      </c>
      <c r="AM34" s="137">
        <f t="shared" ref="AM34:AR34" si="82">12*1</f>
        <v>12</v>
      </c>
      <c r="AN34" s="137">
        <f t="shared" si="82"/>
        <v>12</v>
      </c>
      <c r="AO34" s="137">
        <f t="shared" si="82"/>
        <v>12</v>
      </c>
      <c r="AP34" s="137">
        <f t="shared" si="82"/>
        <v>12</v>
      </c>
      <c r="AQ34" s="137">
        <f t="shared" si="82"/>
        <v>12</v>
      </c>
      <c r="AR34" s="137">
        <f t="shared" si="82"/>
        <v>12</v>
      </c>
      <c r="AS34" s="137">
        <v>50.0</v>
      </c>
      <c r="AT34" s="137">
        <f t="shared" ref="AT34:AZ34" si="83">12*1</f>
        <v>12</v>
      </c>
      <c r="AU34" s="137">
        <f t="shared" si="83"/>
        <v>12</v>
      </c>
      <c r="AV34" s="137">
        <f t="shared" si="83"/>
        <v>12</v>
      </c>
      <c r="AW34" s="137">
        <f t="shared" si="83"/>
        <v>12</v>
      </c>
      <c r="AX34" s="137">
        <f t="shared" si="83"/>
        <v>12</v>
      </c>
      <c r="AY34" s="137">
        <f t="shared" si="83"/>
        <v>12</v>
      </c>
      <c r="AZ34" s="137">
        <f t="shared" si="83"/>
        <v>12</v>
      </c>
      <c r="BA34" s="137">
        <f t="shared" ref="BA34:BJ34" si="84">-20*1</f>
        <v>-20</v>
      </c>
      <c r="BB34" s="137">
        <f t="shared" si="84"/>
        <v>-20</v>
      </c>
      <c r="BC34" s="137">
        <f t="shared" si="84"/>
        <v>-20</v>
      </c>
      <c r="BD34" s="137">
        <f t="shared" si="84"/>
        <v>-20</v>
      </c>
      <c r="BE34" s="137">
        <f t="shared" si="84"/>
        <v>-20</v>
      </c>
      <c r="BF34" s="137">
        <f t="shared" si="84"/>
        <v>-20</v>
      </c>
      <c r="BG34" s="137">
        <f t="shared" si="84"/>
        <v>-20</v>
      </c>
      <c r="BH34" s="137">
        <f t="shared" si="84"/>
        <v>-20</v>
      </c>
      <c r="BI34" s="137">
        <f t="shared" si="84"/>
        <v>-20</v>
      </c>
      <c r="BJ34" s="137">
        <f t="shared" si="84"/>
        <v>-20</v>
      </c>
      <c r="BK34" s="175"/>
      <c r="BL34" s="137">
        <f t="shared" ref="BL34:BW34" si="85">-20*1</f>
        <v>-20</v>
      </c>
      <c r="BM34" s="137">
        <f t="shared" si="85"/>
        <v>-20</v>
      </c>
      <c r="BN34" s="137">
        <f t="shared" si="85"/>
        <v>-20</v>
      </c>
      <c r="BO34" s="137">
        <f t="shared" si="85"/>
        <v>-20</v>
      </c>
      <c r="BP34" s="137">
        <f t="shared" si="85"/>
        <v>-20</v>
      </c>
      <c r="BQ34" s="137">
        <f t="shared" si="85"/>
        <v>-20</v>
      </c>
      <c r="BR34" s="137">
        <f t="shared" si="85"/>
        <v>-20</v>
      </c>
      <c r="BS34" s="137">
        <f t="shared" si="85"/>
        <v>-20</v>
      </c>
      <c r="BT34" s="137">
        <f t="shared" si="85"/>
        <v>-20</v>
      </c>
      <c r="BU34" s="137">
        <f t="shared" si="85"/>
        <v>-20</v>
      </c>
      <c r="BV34" s="137">
        <f t="shared" si="85"/>
        <v>-20</v>
      </c>
      <c r="BW34" s="137">
        <f t="shared" si="85"/>
        <v>-20</v>
      </c>
    </row>
    <row r="35">
      <c r="A35" s="149"/>
      <c r="B35" s="144" t="s">
        <v>29</v>
      </c>
      <c r="C35" s="137"/>
      <c r="D35" s="137"/>
      <c r="E35" s="137"/>
      <c r="F35" s="137"/>
      <c r="G35" s="137"/>
      <c r="H35" s="137"/>
      <c r="I35" s="137">
        <v>100.0</v>
      </c>
      <c r="J35" s="137">
        <v>60.0</v>
      </c>
      <c r="K35" s="137">
        <v>250.0</v>
      </c>
      <c r="L35" s="137">
        <v>0.0</v>
      </c>
      <c r="M35" s="137">
        <v>50.0</v>
      </c>
      <c r="N35" s="137">
        <v>0.0</v>
      </c>
      <c r="O35" s="137">
        <v>100.0</v>
      </c>
      <c r="P35" s="137">
        <v>0.0</v>
      </c>
      <c r="Q35" s="137">
        <v>0.0</v>
      </c>
      <c r="R35" s="137">
        <v>0.0</v>
      </c>
      <c r="S35" s="137">
        <v>0.0</v>
      </c>
      <c r="T35" s="137">
        <v>300.0</v>
      </c>
      <c r="U35" s="137">
        <v>100.0</v>
      </c>
      <c r="V35" s="137">
        <v>100.0</v>
      </c>
      <c r="W35" s="137">
        <v>100.0</v>
      </c>
      <c r="X35" s="137">
        <v>100.0</v>
      </c>
      <c r="Y35" s="137">
        <v>100.0</v>
      </c>
      <c r="Z35" s="137">
        <v>100.0</v>
      </c>
      <c r="AA35" s="137">
        <v>100.0</v>
      </c>
      <c r="AB35" s="137">
        <v>100.0</v>
      </c>
      <c r="AC35" s="137">
        <v>100.0</v>
      </c>
      <c r="AD35" s="137">
        <v>100.0</v>
      </c>
      <c r="AE35" s="137">
        <v>100.0</v>
      </c>
      <c r="AF35" s="137">
        <v>100.0</v>
      </c>
      <c r="AG35" s="137">
        <v>100.0</v>
      </c>
      <c r="AH35" s="175">
        <v>100.0</v>
      </c>
      <c r="AI35" s="137">
        <v>100.0</v>
      </c>
      <c r="AJ35" s="137">
        <v>100.0</v>
      </c>
      <c r="AK35" s="137">
        <v>100.0</v>
      </c>
      <c r="AL35" s="137">
        <v>300.0</v>
      </c>
      <c r="AM35" s="137">
        <v>300.0</v>
      </c>
      <c r="AN35" s="137">
        <v>300.0</v>
      </c>
      <c r="AO35" s="137">
        <v>300.0</v>
      </c>
      <c r="AP35" s="137">
        <v>300.0</v>
      </c>
      <c r="AQ35" s="137">
        <v>300.0</v>
      </c>
      <c r="AR35" s="137">
        <v>300.0</v>
      </c>
      <c r="AS35" s="137">
        <v>300.0</v>
      </c>
      <c r="AT35" s="137">
        <v>300.0</v>
      </c>
      <c r="AU35" s="137">
        <v>300.0</v>
      </c>
      <c r="AV35" s="137">
        <v>300.0</v>
      </c>
      <c r="AW35" s="137">
        <v>300.0</v>
      </c>
      <c r="AX35" s="137">
        <v>300.0</v>
      </c>
      <c r="AY35" s="137">
        <v>300.0</v>
      </c>
      <c r="AZ35" s="137">
        <v>300.0</v>
      </c>
      <c r="BA35" s="137">
        <v>-500.0</v>
      </c>
      <c r="BB35" s="137">
        <v>-500.0</v>
      </c>
      <c r="BC35" s="137">
        <v>-500.0</v>
      </c>
      <c r="BD35" s="137">
        <v>-500.0</v>
      </c>
      <c r="BE35" s="137">
        <v>-500.0</v>
      </c>
      <c r="BF35" s="137">
        <v>-200.0</v>
      </c>
      <c r="BG35" s="137">
        <v>-500.0</v>
      </c>
      <c r="BH35" s="137">
        <v>-500.0</v>
      </c>
      <c r="BI35" s="137">
        <v>-500.0</v>
      </c>
      <c r="BJ35" s="137">
        <v>-500.0</v>
      </c>
      <c r="BK35" s="175"/>
      <c r="BL35" s="137">
        <v>-500.0</v>
      </c>
      <c r="BM35" s="137">
        <v>-500.0</v>
      </c>
      <c r="BN35" s="137">
        <v>-500.0</v>
      </c>
      <c r="BO35" s="137">
        <v>-500.0</v>
      </c>
      <c r="BP35" s="137">
        <v>-500.0</v>
      </c>
      <c r="BQ35" s="137">
        <v>-500.0</v>
      </c>
      <c r="BR35" s="137">
        <v>-500.0</v>
      </c>
      <c r="BS35" s="137">
        <v>-500.0</v>
      </c>
      <c r="BT35" s="137">
        <v>-500.0</v>
      </c>
      <c r="BU35" s="137">
        <v>-500.0</v>
      </c>
      <c r="BV35" s="137">
        <v>-500.0</v>
      </c>
      <c r="BW35" s="137">
        <v>-500.0</v>
      </c>
    </row>
    <row r="36">
      <c r="A36" s="206" t="s">
        <v>228</v>
      </c>
      <c r="B36" s="144" t="s">
        <v>229</v>
      </c>
      <c r="C36" s="137">
        <v>0.0</v>
      </c>
      <c r="D36" s="137">
        <v>0.0</v>
      </c>
      <c r="E36" s="137">
        <v>0.0</v>
      </c>
      <c r="F36" s="137">
        <v>0.0</v>
      </c>
      <c r="G36" s="137">
        <v>0.0</v>
      </c>
      <c r="H36" s="175">
        <v>0.0</v>
      </c>
      <c r="I36" s="137">
        <v>25.0</v>
      </c>
      <c r="J36" s="137">
        <v>0.0</v>
      </c>
      <c r="K36" s="137">
        <v>0.0</v>
      </c>
      <c r="L36" s="137">
        <v>0.0</v>
      </c>
      <c r="M36" s="137">
        <v>0.0</v>
      </c>
      <c r="N36" s="137">
        <v>0.0</v>
      </c>
      <c r="O36" s="137">
        <v>0.0</v>
      </c>
      <c r="P36" s="137">
        <v>0.0</v>
      </c>
      <c r="Q36" s="137">
        <v>0.0</v>
      </c>
      <c r="R36" s="137">
        <v>0.0</v>
      </c>
      <c r="S36" s="137">
        <v>0.0</v>
      </c>
      <c r="T36" s="137">
        <v>0.0</v>
      </c>
      <c r="U36" s="137">
        <v>0.0</v>
      </c>
      <c r="V36" s="137">
        <v>0.0</v>
      </c>
      <c r="W36" s="137">
        <v>0.0</v>
      </c>
      <c r="X36" s="137">
        <v>0.0</v>
      </c>
      <c r="Y36" s="137">
        <v>0.0</v>
      </c>
      <c r="Z36" s="137">
        <v>0.0</v>
      </c>
      <c r="AA36" s="137">
        <v>0.0</v>
      </c>
      <c r="AB36" s="137">
        <v>0.0</v>
      </c>
      <c r="AC36" s="137">
        <v>0.0</v>
      </c>
      <c r="AD36" s="137">
        <v>0.0</v>
      </c>
      <c r="AE36" s="137">
        <v>0.0</v>
      </c>
      <c r="AF36" s="137">
        <v>0.0</v>
      </c>
      <c r="AG36" s="137">
        <v>0.0</v>
      </c>
      <c r="AH36" s="175">
        <v>0.0</v>
      </c>
      <c r="AI36" s="137">
        <v>0.0</v>
      </c>
      <c r="AJ36" s="137">
        <v>0.0</v>
      </c>
      <c r="AK36" s="137">
        <v>0.0</v>
      </c>
      <c r="AL36" s="137">
        <v>0.0</v>
      </c>
      <c r="AM36" s="137">
        <v>0.0</v>
      </c>
      <c r="AN36" s="137">
        <v>0.0</v>
      </c>
      <c r="AO36" s="137">
        <v>0.0</v>
      </c>
      <c r="AP36" s="137">
        <v>0.0</v>
      </c>
      <c r="AQ36" s="137">
        <v>0.0</v>
      </c>
      <c r="AR36" s="137">
        <v>0.0</v>
      </c>
      <c r="AS36" s="137">
        <v>0.0</v>
      </c>
      <c r="AT36" s="137">
        <v>0.0</v>
      </c>
      <c r="AU36" s="137">
        <v>0.0</v>
      </c>
      <c r="AV36" s="137">
        <v>0.0</v>
      </c>
      <c r="AW36" s="137">
        <v>0.0</v>
      </c>
      <c r="AX36" s="137">
        <v>0.0</v>
      </c>
      <c r="AY36" s="137">
        <v>0.0</v>
      </c>
      <c r="AZ36" s="137">
        <v>0.0</v>
      </c>
      <c r="BA36" s="137">
        <v>0.0</v>
      </c>
      <c r="BB36" s="137">
        <v>0.0</v>
      </c>
      <c r="BC36" s="137">
        <v>0.0</v>
      </c>
      <c r="BD36" s="137">
        <v>0.0</v>
      </c>
      <c r="BE36" s="137">
        <v>0.0</v>
      </c>
      <c r="BF36" s="137">
        <v>0.0</v>
      </c>
      <c r="BG36" s="137">
        <v>0.0</v>
      </c>
      <c r="BH36" s="137">
        <v>0.0</v>
      </c>
      <c r="BI36" s="137">
        <v>0.0</v>
      </c>
      <c r="BJ36" s="137">
        <v>0.0</v>
      </c>
      <c r="BK36" s="175"/>
      <c r="BL36" s="137">
        <v>0.0</v>
      </c>
      <c r="BM36" s="194">
        <v>-10000.0</v>
      </c>
      <c r="BN36" s="137">
        <v>0.0</v>
      </c>
      <c r="BO36" s="137">
        <v>0.0</v>
      </c>
      <c r="BP36" s="137">
        <v>0.0</v>
      </c>
      <c r="BQ36" s="137">
        <v>0.0</v>
      </c>
      <c r="BR36" s="137">
        <v>0.0</v>
      </c>
      <c r="BS36" s="137">
        <v>0.0</v>
      </c>
      <c r="BT36" s="137">
        <v>0.0</v>
      </c>
      <c r="BU36" s="137">
        <v>0.0</v>
      </c>
      <c r="BV36" s="137">
        <v>0.0</v>
      </c>
      <c r="BW36" s="137">
        <v>0.0</v>
      </c>
    </row>
    <row r="37">
      <c r="A37" s="199"/>
      <c r="B37" s="144" t="s">
        <v>30</v>
      </c>
      <c r="C37" s="137"/>
      <c r="D37" s="137"/>
      <c r="E37" s="137"/>
      <c r="F37" s="137"/>
      <c r="G37" s="137"/>
      <c r="H37" s="175"/>
      <c r="I37" s="137"/>
      <c r="J37" s="137">
        <v>0.0</v>
      </c>
      <c r="K37" s="137">
        <v>0.0</v>
      </c>
      <c r="L37" s="137">
        <v>0.0</v>
      </c>
      <c r="M37" s="137">
        <v>0.0</v>
      </c>
      <c r="N37" s="137">
        <v>0.0</v>
      </c>
      <c r="O37" s="137">
        <v>0.0</v>
      </c>
      <c r="P37" s="137">
        <v>0.0</v>
      </c>
      <c r="Q37" s="137">
        <v>0.0</v>
      </c>
      <c r="R37" s="137">
        <v>0.0</v>
      </c>
      <c r="S37" s="137">
        <v>0.0</v>
      </c>
      <c r="T37" s="137">
        <v>0.0</v>
      </c>
      <c r="U37" s="192">
        <v>0.0</v>
      </c>
      <c r="V37" s="194">
        <f>490</f>
        <v>490</v>
      </c>
      <c r="W37" s="137">
        <v>0.0</v>
      </c>
      <c r="X37" s="137">
        <v>0.0</v>
      </c>
      <c r="Y37" s="137">
        <v>0.0</v>
      </c>
      <c r="Z37" s="137">
        <v>0.0</v>
      </c>
      <c r="AA37" s="137">
        <v>0.0</v>
      </c>
      <c r="AB37" s="137">
        <v>0.0</v>
      </c>
      <c r="AC37" s="137">
        <v>0.0</v>
      </c>
      <c r="AD37" s="137">
        <v>0.0</v>
      </c>
      <c r="AE37" s="137">
        <v>0.0</v>
      </c>
      <c r="AF37" s="137">
        <v>0.0</v>
      </c>
      <c r="AG37" s="137">
        <v>0.0</v>
      </c>
      <c r="AH37" s="175">
        <v>0.0</v>
      </c>
      <c r="AI37" s="137">
        <v>0.0</v>
      </c>
      <c r="AJ37" s="137">
        <v>0.0</v>
      </c>
      <c r="AK37" s="137">
        <v>250.0</v>
      </c>
      <c r="AL37" s="137">
        <v>0.0</v>
      </c>
      <c r="AM37" s="137">
        <v>0.0</v>
      </c>
      <c r="AN37" s="137">
        <v>0.0</v>
      </c>
      <c r="AO37" s="137">
        <v>0.0</v>
      </c>
      <c r="AP37" s="137">
        <v>0.0</v>
      </c>
      <c r="AQ37" s="137">
        <v>0.0</v>
      </c>
      <c r="AR37" s="137">
        <v>0.0</v>
      </c>
      <c r="AS37" s="137">
        <v>0.0</v>
      </c>
      <c r="AT37" s="137">
        <v>0.0</v>
      </c>
      <c r="AU37" s="137">
        <v>0.0</v>
      </c>
      <c r="AV37" s="137">
        <v>0.0</v>
      </c>
      <c r="AW37" s="137">
        <v>0.0</v>
      </c>
      <c r="AX37" s="137">
        <v>0.0</v>
      </c>
      <c r="AY37" s="137">
        <v>0.0</v>
      </c>
      <c r="AZ37" s="137">
        <v>0.0</v>
      </c>
      <c r="BA37" s="137">
        <v>0.0</v>
      </c>
      <c r="BB37" s="137">
        <v>0.0</v>
      </c>
      <c r="BC37" s="137">
        <v>0.0</v>
      </c>
      <c r="BD37" s="137">
        <v>0.0</v>
      </c>
      <c r="BE37" s="137">
        <v>0.0</v>
      </c>
      <c r="BF37" s="137">
        <v>0.0</v>
      </c>
      <c r="BG37" s="137">
        <v>0.0</v>
      </c>
      <c r="BH37" s="137">
        <v>0.0</v>
      </c>
      <c r="BI37" s="137">
        <v>0.0</v>
      </c>
      <c r="BJ37" s="137">
        <v>0.0</v>
      </c>
      <c r="BK37" s="175"/>
      <c r="BL37" s="137">
        <v>0.0</v>
      </c>
      <c r="BM37" s="137">
        <v>0.0</v>
      </c>
      <c r="BN37" s="137">
        <v>0.0</v>
      </c>
      <c r="BO37" s="137">
        <v>0.0</v>
      </c>
      <c r="BP37" s="137">
        <v>0.0</v>
      </c>
      <c r="BQ37" s="137">
        <v>0.0</v>
      </c>
      <c r="BR37" s="137">
        <v>0.0</v>
      </c>
      <c r="BS37" s="137">
        <v>0.0</v>
      </c>
      <c r="BT37" s="137">
        <v>0.0</v>
      </c>
      <c r="BU37" s="137">
        <v>0.0</v>
      </c>
      <c r="BV37" s="137">
        <v>0.0</v>
      </c>
      <c r="BW37" s="137">
        <v>0.0</v>
      </c>
    </row>
    <row r="38">
      <c r="A38" s="149"/>
      <c r="B38" s="144" t="s">
        <v>230</v>
      </c>
      <c r="C38" s="137"/>
      <c r="D38" s="137"/>
      <c r="E38" s="137"/>
      <c r="F38" s="137"/>
      <c r="G38" s="137"/>
      <c r="H38" s="137"/>
      <c r="I38" s="137">
        <v>100.0</v>
      </c>
      <c r="J38" s="137">
        <f>60+20+350</f>
        <v>430</v>
      </c>
      <c r="K38" s="137">
        <v>50.0</v>
      </c>
      <c r="L38" s="137">
        <v>60.0</v>
      </c>
      <c r="M38" s="137">
        <v>60.0</v>
      </c>
      <c r="N38" s="137">
        <v>95.0</v>
      </c>
      <c r="O38" s="137">
        <v>100.0</v>
      </c>
      <c r="P38" s="137">
        <v>100.0</v>
      </c>
      <c r="Q38" s="137">
        <v>60.0</v>
      </c>
      <c r="R38" s="137">
        <v>0.0</v>
      </c>
      <c r="S38" s="137">
        <v>0.0</v>
      </c>
      <c r="T38" s="137">
        <v>100.0</v>
      </c>
      <c r="U38" s="137">
        <v>50.0</v>
      </c>
      <c r="V38" s="137">
        <v>100.0</v>
      </c>
      <c r="W38" s="137">
        <v>100.0</v>
      </c>
      <c r="X38" s="137">
        <v>100.0</v>
      </c>
      <c r="Y38" s="137">
        <v>100.0</v>
      </c>
      <c r="Z38" s="137">
        <v>100.0</v>
      </c>
      <c r="AA38" s="137">
        <v>100.0</v>
      </c>
      <c r="AB38" s="137">
        <v>100.0</v>
      </c>
      <c r="AC38" s="137">
        <v>100.0</v>
      </c>
      <c r="AD38" s="137">
        <v>100.0</v>
      </c>
      <c r="AE38" s="137">
        <v>100.0</v>
      </c>
      <c r="AF38" s="137">
        <v>100.0</v>
      </c>
      <c r="AG38" s="137">
        <v>100.0</v>
      </c>
      <c r="AH38" s="175">
        <v>100.0</v>
      </c>
      <c r="AI38" s="137">
        <v>100.0</v>
      </c>
      <c r="AJ38" s="137">
        <v>100.0</v>
      </c>
      <c r="AK38" s="137">
        <v>100.0</v>
      </c>
      <c r="AL38" s="137">
        <v>100.0</v>
      </c>
      <c r="AM38" s="137">
        <v>100.0</v>
      </c>
      <c r="AN38" s="137">
        <v>100.0</v>
      </c>
      <c r="AO38" s="137">
        <v>100.0</v>
      </c>
      <c r="AP38" s="137">
        <v>100.0</v>
      </c>
      <c r="AQ38" s="137">
        <v>100.0</v>
      </c>
      <c r="AR38" s="137">
        <v>100.0</v>
      </c>
      <c r="AS38" s="137">
        <v>100.0</v>
      </c>
      <c r="AT38" s="137">
        <v>100.0</v>
      </c>
      <c r="AU38" s="137">
        <v>100.0</v>
      </c>
      <c r="AV38" s="137">
        <v>100.0</v>
      </c>
      <c r="AW38" s="137">
        <v>100.0</v>
      </c>
      <c r="AX38" s="137">
        <v>100.0</v>
      </c>
      <c r="AY38" s="137">
        <v>100.0</v>
      </c>
      <c r="AZ38" s="137">
        <v>100.0</v>
      </c>
      <c r="BA38" s="137">
        <v>-100.0</v>
      </c>
      <c r="BB38" s="137">
        <v>-100.0</v>
      </c>
      <c r="BC38" s="137">
        <v>-100.0</v>
      </c>
      <c r="BD38" s="137">
        <v>-100.0</v>
      </c>
      <c r="BE38" s="137">
        <v>-100.0</v>
      </c>
      <c r="BF38" s="137">
        <v>-100.0</v>
      </c>
      <c r="BG38" s="137">
        <v>-100.0</v>
      </c>
      <c r="BH38" s="137">
        <v>-100.0</v>
      </c>
      <c r="BI38" s="137">
        <v>-100.0</v>
      </c>
      <c r="BJ38" s="137">
        <v>-100.0</v>
      </c>
      <c r="BK38" s="175"/>
      <c r="BL38" s="137">
        <v>-100.0</v>
      </c>
      <c r="BM38" s="137">
        <v>-100.0</v>
      </c>
      <c r="BN38" s="137">
        <v>-100.0</v>
      </c>
      <c r="BO38" s="137">
        <v>-100.0</v>
      </c>
      <c r="BP38" s="137">
        <v>-100.0</v>
      </c>
      <c r="BQ38" s="137">
        <v>-100.0</v>
      </c>
      <c r="BR38" s="137">
        <v>-100.0</v>
      </c>
      <c r="BS38" s="137">
        <v>-100.0</v>
      </c>
      <c r="BT38" s="137">
        <v>-100.0</v>
      </c>
      <c r="BU38" s="137">
        <v>-100.0</v>
      </c>
      <c r="BV38" s="137">
        <v>-100.0</v>
      </c>
      <c r="BW38" s="137">
        <v>-100.0</v>
      </c>
    </row>
    <row r="39">
      <c r="A39" s="199"/>
      <c r="B39" s="144" t="s">
        <v>231</v>
      </c>
      <c r="C39" s="137">
        <v>0.0</v>
      </c>
      <c r="D39" s="137">
        <v>0.0</v>
      </c>
      <c r="E39" s="137">
        <v>0.0</v>
      </c>
      <c r="F39" s="137">
        <v>0.0</v>
      </c>
      <c r="G39" s="137">
        <v>0.0</v>
      </c>
      <c r="H39" s="175">
        <v>0.0</v>
      </c>
      <c r="I39" s="137">
        <v>0.0</v>
      </c>
      <c r="J39" s="137">
        <v>0.0</v>
      </c>
      <c r="K39" s="137">
        <v>0.0</v>
      </c>
      <c r="L39" s="137">
        <v>0.0</v>
      </c>
      <c r="M39" s="137">
        <v>0.0</v>
      </c>
      <c r="N39" s="137">
        <v>0.0</v>
      </c>
      <c r="O39" s="137">
        <v>0.0</v>
      </c>
      <c r="P39" s="137">
        <v>0.0</v>
      </c>
      <c r="Q39" s="137">
        <v>0.0</v>
      </c>
      <c r="R39" s="137">
        <v>0.0</v>
      </c>
      <c r="S39" s="137">
        <v>0.0</v>
      </c>
      <c r="T39" s="137">
        <v>0.0</v>
      </c>
      <c r="U39" s="137">
        <v>0.0</v>
      </c>
      <c r="V39" s="137">
        <v>0.0</v>
      </c>
      <c r="W39" s="137">
        <v>0.0</v>
      </c>
      <c r="X39" s="137">
        <v>0.0</v>
      </c>
      <c r="Y39" s="137">
        <v>0.0</v>
      </c>
      <c r="Z39" s="137">
        <v>0.0</v>
      </c>
      <c r="AA39" s="137">
        <v>0.0</v>
      </c>
      <c r="AB39" s="137">
        <v>0.0</v>
      </c>
      <c r="AC39" s="137">
        <v>0.0</v>
      </c>
      <c r="AD39" s="137">
        <v>0.0</v>
      </c>
      <c r="AE39" s="137">
        <v>0.0</v>
      </c>
      <c r="AF39" s="137">
        <v>0.0</v>
      </c>
      <c r="AG39" s="137">
        <v>0.0</v>
      </c>
      <c r="AH39" s="175">
        <v>100.0</v>
      </c>
      <c r="AI39" s="137">
        <v>300.0</v>
      </c>
      <c r="AJ39" s="137">
        <v>100.0</v>
      </c>
      <c r="AK39" s="137">
        <v>175.0</v>
      </c>
      <c r="AL39" s="137">
        <v>175.0</v>
      </c>
      <c r="AM39" s="137">
        <v>175.0</v>
      </c>
      <c r="AN39" s="137">
        <v>175.0</v>
      </c>
      <c r="AO39" s="137">
        <v>175.0</v>
      </c>
      <c r="AP39" s="137">
        <v>175.0</v>
      </c>
      <c r="AQ39" s="137">
        <v>175.0</v>
      </c>
      <c r="AR39" s="137">
        <v>175.0</v>
      </c>
      <c r="AS39" s="137">
        <v>175.0</v>
      </c>
      <c r="AT39" s="137">
        <v>175.0</v>
      </c>
      <c r="AU39" s="137">
        <v>175.0</v>
      </c>
      <c r="AV39" s="137">
        <v>175.0</v>
      </c>
      <c r="AW39" s="137">
        <v>175.0</v>
      </c>
      <c r="AX39" s="137">
        <v>175.0</v>
      </c>
      <c r="AY39" s="137">
        <v>175.0</v>
      </c>
      <c r="AZ39" s="137">
        <v>175.0</v>
      </c>
      <c r="BA39" s="137">
        <v>-175.0</v>
      </c>
      <c r="BB39" s="137">
        <v>-175.0</v>
      </c>
      <c r="BC39" s="137">
        <v>-175.0</v>
      </c>
      <c r="BD39" s="137">
        <v>-175.0</v>
      </c>
      <c r="BE39" s="191">
        <f>sum(-175,-1200)</f>
        <v>-1375</v>
      </c>
      <c r="BF39" s="194">
        <f>sum(-175)</f>
        <v>-175</v>
      </c>
      <c r="BG39" s="194">
        <f>sum(-175,-185)</f>
        <v>-360</v>
      </c>
      <c r="BH39" s="137">
        <f t="shared" ref="BH39:BI39" si="86">sum(-175)</f>
        <v>-175</v>
      </c>
      <c r="BI39" s="137">
        <f t="shared" si="86"/>
        <v>-175</v>
      </c>
      <c r="BJ39" s="194">
        <f>sum(-175,-800/2)</f>
        <v>-575</v>
      </c>
      <c r="BK39" s="195"/>
      <c r="BL39" s="137">
        <f t="shared" ref="BL39:BW39" si="87">sum(-175)</f>
        <v>-175</v>
      </c>
      <c r="BM39" s="194">
        <f t="shared" si="87"/>
        <v>-175</v>
      </c>
      <c r="BN39" s="194">
        <f t="shared" si="87"/>
        <v>-175</v>
      </c>
      <c r="BO39" s="194">
        <f t="shared" si="87"/>
        <v>-175</v>
      </c>
      <c r="BP39" s="194">
        <f t="shared" si="87"/>
        <v>-175</v>
      </c>
      <c r="BQ39" s="194">
        <f t="shared" si="87"/>
        <v>-175</v>
      </c>
      <c r="BR39" s="194">
        <f t="shared" si="87"/>
        <v>-175</v>
      </c>
      <c r="BS39" s="194">
        <f t="shared" si="87"/>
        <v>-175</v>
      </c>
      <c r="BT39" s="194">
        <f t="shared" si="87"/>
        <v>-175</v>
      </c>
      <c r="BU39" s="194">
        <f t="shared" si="87"/>
        <v>-175</v>
      </c>
      <c r="BV39" s="194">
        <f t="shared" si="87"/>
        <v>-175</v>
      </c>
      <c r="BW39" s="194">
        <f t="shared" si="87"/>
        <v>-175</v>
      </c>
    </row>
    <row r="40">
      <c r="A40" s="188" t="s">
        <v>232</v>
      </c>
      <c r="B40" s="144" t="s">
        <v>233</v>
      </c>
      <c r="C40" s="137"/>
      <c r="D40" s="137"/>
      <c r="E40" s="137">
        <v>50.0</v>
      </c>
      <c r="F40" s="137">
        <v>50.0</v>
      </c>
      <c r="G40" s="137">
        <v>50.0</v>
      </c>
      <c r="H40" s="137">
        <v>50.0</v>
      </c>
      <c r="I40" s="137">
        <v>100.0</v>
      </c>
      <c r="J40" s="137">
        <f>30+40</f>
        <v>70</v>
      </c>
      <c r="K40" s="137">
        <v>0.0</v>
      </c>
      <c r="L40" s="137">
        <v>50.0</v>
      </c>
      <c r="M40" s="137">
        <v>50.0</v>
      </c>
      <c r="N40" s="137">
        <v>20.0</v>
      </c>
      <c r="O40" s="137">
        <v>0.0</v>
      </c>
      <c r="P40" s="137">
        <v>50.0</v>
      </c>
      <c r="Q40" s="137">
        <v>30.0</v>
      </c>
      <c r="R40" s="137">
        <f>15+35</f>
        <v>50</v>
      </c>
      <c r="S40" s="137">
        <v>10.0</v>
      </c>
      <c r="T40" s="137">
        <v>40.0</v>
      </c>
      <c r="U40" s="137">
        <v>30.0</v>
      </c>
      <c r="V40" s="137">
        <f>sum(30,100)</f>
        <v>130</v>
      </c>
      <c r="W40" s="137">
        <v>30.0</v>
      </c>
      <c r="X40" s="137">
        <v>30.0</v>
      </c>
      <c r="Y40" s="137">
        <v>30.0</v>
      </c>
      <c r="Z40" s="137">
        <v>10.0</v>
      </c>
      <c r="AA40" s="137">
        <v>10.0</v>
      </c>
      <c r="AB40" s="137">
        <v>10.0</v>
      </c>
      <c r="AC40" s="137">
        <v>10.0</v>
      </c>
      <c r="AD40" s="137">
        <v>10.0</v>
      </c>
      <c r="AE40" s="137">
        <v>10.0</v>
      </c>
      <c r="AF40" s="137">
        <v>10.0</v>
      </c>
      <c r="AG40" s="137">
        <v>10.0</v>
      </c>
      <c r="AH40" s="175">
        <v>10.0</v>
      </c>
      <c r="AI40" s="137">
        <v>10.0</v>
      </c>
      <c r="AJ40" s="137">
        <v>10.0</v>
      </c>
      <c r="AK40" s="137">
        <v>10.0</v>
      </c>
      <c r="AL40" s="137">
        <v>10.0</v>
      </c>
      <c r="AM40" s="137">
        <v>10.0</v>
      </c>
      <c r="AN40" s="137">
        <v>10.0</v>
      </c>
      <c r="AO40" s="137">
        <v>10.0</v>
      </c>
      <c r="AP40" s="137">
        <v>10.0</v>
      </c>
      <c r="AQ40" s="137">
        <v>10.0</v>
      </c>
      <c r="AR40" s="137">
        <v>10.0</v>
      </c>
      <c r="AS40" s="137">
        <v>0.0</v>
      </c>
      <c r="AT40" s="137">
        <v>10.0</v>
      </c>
      <c r="AU40" s="137">
        <v>10.0</v>
      </c>
      <c r="AV40" s="137">
        <v>10.0</v>
      </c>
      <c r="AW40" s="137">
        <v>30.0</v>
      </c>
      <c r="AX40" s="137">
        <v>30.0</v>
      </c>
      <c r="AY40" s="137">
        <v>30.0</v>
      </c>
      <c r="AZ40" s="137">
        <v>30.0</v>
      </c>
      <c r="BA40" s="137">
        <v>-30.0</v>
      </c>
      <c r="BB40" s="137">
        <v>-30.0</v>
      </c>
      <c r="BC40" s="137">
        <v>-30.0</v>
      </c>
      <c r="BD40" s="137">
        <f t="shared" ref="BD40:BJ40" si="88">sum(-30,-50)</f>
        <v>-80</v>
      </c>
      <c r="BE40" s="137">
        <f t="shared" si="88"/>
        <v>-80</v>
      </c>
      <c r="BF40" s="137">
        <f t="shared" si="88"/>
        <v>-80</v>
      </c>
      <c r="BG40" s="137">
        <f t="shared" si="88"/>
        <v>-80</v>
      </c>
      <c r="BH40" s="137">
        <f t="shared" si="88"/>
        <v>-80</v>
      </c>
      <c r="BI40" s="137">
        <f t="shared" si="88"/>
        <v>-80</v>
      </c>
      <c r="BJ40" s="137">
        <f t="shared" si="88"/>
        <v>-80</v>
      </c>
      <c r="BK40" s="175"/>
      <c r="BL40" s="137">
        <v>-150.0</v>
      </c>
      <c r="BM40" s="137">
        <v>-150.0</v>
      </c>
      <c r="BN40" s="137">
        <v>-150.0</v>
      </c>
      <c r="BO40" s="137">
        <v>-150.0</v>
      </c>
      <c r="BP40" s="137">
        <v>-150.0</v>
      </c>
      <c r="BQ40" s="137">
        <v>-150.0</v>
      </c>
      <c r="BR40" s="137">
        <v>-150.0</v>
      </c>
      <c r="BS40" s="137">
        <v>-150.0</v>
      </c>
      <c r="BT40" s="137">
        <v>-150.0</v>
      </c>
      <c r="BU40" s="137">
        <v>-150.0</v>
      </c>
      <c r="BV40" s="137">
        <v>-150.0</v>
      </c>
      <c r="BW40" s="137">
        <v>-150.0</v>
      </c>
    </row>
    <row r="41">
      <c r="A41" s="199"/>
      <c r="B41" s="144" t="s">
        <v>234</v>
      </c>
      <c r="C41" s="137"/>
      <c r="D41" s="137"/>
      <c r="E41" s="137"/>
      <c r="F41" s="137"/>
      <c r="G41" s="137"/>
      <c r="H41" s="175"/>
      <c r="I41" s="137"/>
      <c r="J41" s="137"/>
      <c r="K41" s="137">
        <v>0.0</v>
      </c>
      <c r="L41" s="137">
        <v>0.0</v>
      </c>
      <c r="M41" s="137">
        <v>0.0</v>
      </c>
      <c r="N41" s="194">
        <v>250.0</v>
      </c>
      <c r="O41" s="137">
        <v>0.0</v>
      </c>
      <c r="P41" s="194">
        <v>200.0</v>
      </c>
      <c r="Q41" s="189">
        <v>0.0</v>
      </c>
      <c r="R41" s="137">
        <v>0.0</v>
      </c>
      <c r="S41" s="193">
        <f>0</f>
        <v>0</v>
      </c>
      <c r="T41" s="193">
        <f>840+450</f>
        <v>1290</v>
      </c>
      <c r="U41" s="137">
        <v>0.0</v>
      </c>
      <c r="V41" s="137">
        <v>0.0</v>
      </c>
      <c r="W41" s="137">
        <v>0.0</v>
      </c>
      <c r="X41" s="137">
        <v>0.0</v>
      </c>
      <c r="Y41" s="137">
        <v>0.0</v>
      </c>
      <c r="Z41" s="137">
        <v>0.0</v>
      </c>
      <c r="AA41" s="137">
        <v>0.0</v>
      </c>
      <c r="AB41" s="137">
        <v>0.0</v>
      </c>
      <c r="AC41" s="137">
        <v>0.0</v>
      </c>
      <c r="AD41" s="137">
        <v>0.0</v>
      </c>
      <c r="AE41" s="137">
        <v>0.0</v>
      </c>
      <c r="AF41" s="137">
        <v>0.0</v>
      </c>
      <c r="AG41" s="137">
        <v>0.0</v>
      </c>
      <c r="AH41" s="175">
        <v>0.0</v>
      </c>
      <c r="AI41" s="137">
        <v>0.0</v>
      </c>
      <c r="AJ41" s="137">
        <v>0.0</v>
      </c>
      <c r="AK41" s="137">
        <v>0.0</v>
      </c>
      <c r="AL41" s="137">
        <v>0.0</v>
      </c>
      <c r="AM41" s="137">
        <v>0.0</v>
      </c>
      <c r="AN41" s="137">
        <v>0.0</v>
      </c>
      <c r="AO41" s="137">
        <v>0.0</v>
      </c>
      <c r="AP41" s="137">
        <v>0.0</v>
      </c>
      <c r="AQ41" s="137">
        <v>0.0</v>
      </c>
      <c r="AR41" s="137">
        <v>0.0</v>
      </c>
      <c r="AS41" s="137">
        <v>0.0</v>
      </c>
      <c r="AT41" s="137">
        <v>0.0</v>
      </c>
      <c r="AU41" s="137">
        <v>0.0</v>
      </c>
      <c r="AV41" s="137">
        <v>0.0</v>
      </c>
      <c r="AW41" s="137">
        <v>0.0</v>
      </c>
      <c r="AX41" s="137">
        <v>0.0</v>
      </c>
      <c r="AY41" s="137">
        <v>0.0</v>
      </c>
      <c r="AZ41" s="137">
        <v>0.0</v>
      </c>
      <c r="BA41" s="137">
        <v>0.0</v>
      </c>
      <c r="BB41" s="137">
        <v>0.0</v>
      </c>
      <c r="BC41" s="137">
        <v>0.0</v>
      </c>
      <c r="BD41" s="137">
        <v>0.0</v>
      </c>
      <c r="BE41" s="137">
        <v>0.0</v>
      </c>
      <c r="BF41" s="137">
        <v>0.0</v>
      </c>
      <c r="BG41" s="137">
        <v>0.0</v>
      </c>
      <c r="BH41" s="137">
        <v>0.0</v>
      </c>
      <c r="BI41" s="137">
        <v>0.0</v>
      </c>
      <c r="BJ41" s="137">
        <v>0.0</v>
      </c>
      <c r="BK41" s="175"/>
      <c r="BL41" s="137">
        <v>0.0</v>
      </c>
      <c r="BM41" s="137">
        <v>0.0</v>
      </c>
      <c r="BN41" s="137">
        <v>0.0</v>
      </c>
      <c r="BO41" s="137">
        <v>0.0</v>
      </c>
      <c r="BP41" s="137">
        <v>0.0</v>
      </c>
      <c r="BQ41" s="137">
        <v>0.0</v>
      </c>
      <c r="BR41" s="137">
        <v>0.0</v>
      </c>
      <c r="BS41" s="137">
        <v>0.0</v>
      </c>
      <c r="BT41" s="137">
        <v>0.0</v>
      </c>
      <c r="BU41" s="137">
        <v>0.0</v>
      </c>
      <c r="BV41" s="137">
        <v>0.0</v>
      </c>
      <c r="BW41" s="137">
        <v>0.0</v>
      </c>
    </row>
    <row r="42">
      <c r="A42" s="199"/>
      <c r="B42" s="144" t="s">
        <v>235</v>
      </c>
      <c r="C42" s="137"/>
      <c r="D42" s="137"/>
      <c r="E42" s="137"/>
      <c r="F42" s="137"/>
      <c r="G42" s="137"/>
      <c r="H42" s="175"/>
      <c r="I42" s="137"/>
      <c r="J42" s="137"/>
      <c r="K42" s="137"/>
      <c r="L42" s="137"/>
      <c r="M42" s="137"/>
      <c r="N42" s="194"/>
      <c r="O42" s="137"/>
      <c r="P42" s="194"/>
      <c r="Q42" s="189"/>
      <c r="R42" s="137"/>
      <c r="S42" s="193"/>
      <c r="T42" s="193"/>
      <c r="U42" s="137"/>
      <c r="V42" s="137"/>
      <c r="W42" s="137"/>
      <c r="X42" s="194">
        <f>272+375</f>
        <v>647</v>
      </c>
      <c r="Y42" s="137">
        <v>0.0</v>
      </c>
      <c r="Z42" s="137">
        <v>0.0</v>
      </c>
      <c r="AA42" s="137">
        <v>0.0</v>
      </c>
      <c r="AB42" s="137">
        <v>0.0</v>
      </c>
      <c r="AC42" s="137">
        <v>0.0</v>
      </c>
      <c r="AD42" s="137">
        <v>0.0</v>
      </c>
      <c r="AE42" s="137">
        <v>0.0</v>
      </c>
      <c r="AF42" s="137">
        <v>0.0</v>
      </c>
      <c r="AG42" s="137">
        <v>0.0</v>
      </c>
      <c r="AH42" s="175">
        <v>0.0</v>
      </c>
      <c r="AI42" s="137">
        <v>0.0</v>
      </c>
      <c r="AJ42" s="137">
        <v>0.0</v>
      </c>
      <c r="AK42" s="137">
        <v>0.0</v>
      </c>
      <c r="AL42" s="137">
        <v>0.0</v>
      </c>
      <c r="AM42" s="137">
        <v>0.0</v>
      </c>
      <c r="AN42" s="137">
        <v>0.0</v>
      </c>
      <c r="AO42" s="137">
        <v>0.0</v>
      </c>
      <c r="AP42" s="137">
        <v>0.0</v>
      </c>
      <c r="AQ42" s="137">
        <v>0.0</v>
      </c>
      <c r="AR42" s="137">
        <v>0.0</v>
      </c>
      <c r="AS42" s="137">
        <v>0.0</v>
      </c>
      <c r="AT42" s="137">
        <v>0.0</v>
      </c>
      <c r="AU42" s="137">
        <v>0.0</v>
      </c>
      <c r="AV42" s="137">
        <v>0.0</v>
      </c>
      <c r="AW42" s="137">
        <v>0.0</v>
      </c>
      <c r="AX42" s="137">
        <v>0.0</v>
      </c>
      <c r="AY42" s="137">
        <v>0.0</v>
      </c>
      <c r="AZ42" s="137">
        <v>0.0</v>
      </c>
      <c r="BA42" s="137">
        <v>0.0</v>
      </c>
      <c r="BB42" s="137">
        <v>0.0</v>
      </c>
      <c r="BC42" s="137">
        <v>0.0</v>
      </c>
      <c r="BD42" s="137">
        <v>0.0</v>
      </c>
      <c r="BE42" s="137">
        <v>0.0</v>
      </c>
      <c r="BF42" s="137">
        <v>0.0</v>
      </c>
      <c r="BG42" s="137">
        <v>0.0</v>
      </c>
      <c r="BH42" s="137">
        <v>0.0</v>
      </c>
      <c r="BI42" s="137">
        <v>0.0</v>
      </c>
      <c r="BJ42" s="137">
        <v>0.0</v>
      </c>
      <c r="BK42" s="175"/>
      <c r="BL42" s="137">
        <v>0.0</v>
      </c>
      <c r="BM42" s="137">
        <v>0.0</v>
      </c>
      <c r="BN42" s="137">
        <v>0.0</v>
      </c>
      <c r="BO42" s="137">
        <v>0.0</v>
      </c>
      <c r="BP42" s="137">
        <v>0.0</v>
      </c>
      <c r="BQ42" s="137">
        <v>0.0</v>
      </c>
      <c r="BR42" s="137">
        <v>0.0</v>
      </c>
      <c r="BS42" s="137">
        <v>0.0</v>
      </c>
      <c r="BT42" s="137">
        <v>0.0</v>
      </c>
      <c r="BU42" s="137">
        <v>0.0</v>
      </c>
      <c r="BV42" s="137">
        <v>0.0</v>
      </c>
      <c r="BW42" s="137">
        <v>0.0</v>
      </c>
    </row>
    <row r="43">
      <c r="A43" s="199"/>
      <c r="B43" s="144" t="s">
        <v>31</v>
      </c>
      <c r="C43" s="137"/>
      <c r="D43" s="137"/>
      <c r="E43" s="137"/>
      <c r="F43" s="137"/>
      <c r="G43" s="137"/>
      <c r="H43" s="175"/>
      <c r="I43" s="137"/>
      <c r="J43" s="137"/>
      <c r="K43" s="137"/>
      <c r="L43" s="137"/>
      <c r="M43" s="137"/>
      <c r="N43" s="194"/>
      <c r="O43" s="137"/>
      <c r="P43" s="194"/>
      <c r="Q43" s="189"/>
      <c r="R43" s="137"/>
      <c r="S43" s="193"/>
      <c r="T43" s="194">
        <v>0.0</v>
      </c>
      <c r="U43" s="192">
        <v>0.0</v>
      </c>
      <c r="V43" s="137">
        <v>0.0</v>
      </c>
      <c r="W43" s="137">
        <v>0.0</v>
      </c>
      <c r="X43" s="194">
        <f>sum(700/2,50,500)</f>
        <v>900</v>
      </c>
      <c r="Y43" s="137">
        <v>0.0</v>
      </c>
      <c r="Z43" s="137">
        <v>0.0</v>
      </c>
      <c r="AA43" s="137">
        <v>0.0</v>
      </c>
      <c r="AB43" s="137">
        <v>0.0</v>
      </c>
      <c r="AC43" s="137">
        <v>0.0</v>
      </c>
      <c r="AD43" s="137">
        <v>0.0</v>
      </c>
      <c r="AE43" s="137">
        <v>0.0</v>
      </c>
      <c r="AF43" s="137">
        <v>0.0</v>
      </c>
      <c r="AG43" s="137">
        <v>0.0</v>
      </c>
      <c r="AH43" s="175">
        <v>0.0</v>
      </c>
      <c r="AI43" s="137">
        <v>0.0</v>
      </c>
      <c r="AJ43" s="137">
        <v>0.0</v>
      </c>
      <c r="AK43" s="137">
        <v>0.0</v>
      </c>
      <c r="AL43" s="137">
        <v>1500.0</v>
      </c>
      <c r="AM43" s="137">
        <v>0.0</v>
      </c>
      <c r="AN43" s="137">
        <v>0.0</v>
      </c>
      <c r="AO43" s="137">
        <v>0.0</v>
      </c>
      <c r="AP43" s="137">
        <v>0.0</v>
      </c>
      <c r="AQ43" s="137">
        <v>0.0</v>
      </c>
      <c r="AR43" s="137">
        <v>0.0</v>
      </c>
      <c r="AS43" s="137">
        <v>0.0</v>
      </c>
      <c r="AT43" s="137">
        <v>0.0</v>
      </c>
      <c r="AU43" s="137">
        <v>0.0</v>
      </c>
      <c r="AV43" s="137">
        <v>0.0</v>
      </c>
      <c r="AW43" s="137">
        <v>0.0</v>
      </c>
      <c r="AX43" s="194">
        <v>500.0</v>
      </c>
      <c r="AY43" s="137">
        <v>0.0</v>
      </c>
      <c r="AZ43" s="137">
        <v>0.0</v>
      </c>
      <c r="BA43" s="137">
        <v>0.0</v>
      </c>
      <c r="BB43" s="137">
        <v>0.0</v>
      </c>
      <c r="BC43" s="137">
        <v>0.0</v>
      </c>
      <c r="BD43" s="137">
        <v>0.0</v>
      </c>
      <c r="BE43" s="137">
        <v>0.0</v>
      </c>
      <c r="BF43" s="137">
        <v>0.0</v>
      </c>
      <c r="BG43" s="137">
        <v>0.0</v>
      </c>
      <c r="BH43" s="137">
        <v>0.0</v>
      </c>
      <c r="BI43" s="137">
        <v>0.0</v>
      </c>
      <c r="BJ43" s="194">
        <v>-3500.0</v>
      </c>
      <c r="BK43" s="175"/>
      <c r="BL43" s="194">
        <v>-3500.0</v>
      </c>
      <c r="BM43" s="137">
        <v>0.0</v>
      </c>
      <c r="BN43" s="137">
        <v>0.0</v>
      </c>
      <c r="BO43" s="137">
        <v>0.0</v>
      </c>
      <c r="BP43" s="137">
        <v>0.0</v>
      </c>
      <c r="BQ43" s="137">
        <v>0.0</v>
      </c>
      <c r="BR43" s="137">
        <v>0.0</v>
      </c>
      <c r="BS43" s="137">
        <v>0.0</v>
      </c>
      <c r="BT43" s="137">
        <v>0.0</v>
      </c>
      <c r="BU43" s="137">
        <v>0.0</v>
      </c>
      <c r="BV43" s="137">
        <v>0.0</v>
      </c>
      <c r="BW43" s="137">
        <v>0.0</v>
      </c>
    </row>
    <row r="44">
      <c r="A44" s="208"/>
      <c r="B44" s="209"/>
      <c r="C44" s="168"/>
      <c r="D44" s="210"/>
      <c r="E44" s="210"/>
      <c r="F44" s="210"/>
      <c r="G44" s="210"/>
      <c r="H44" s="211"/>
      <c r="I44" s="210"/>
      <c r="J44" s="210"/>
      <c r="K44" s="210"/>
      <c r="L44" s="210"/>
      <c r="M44" s="210"/>
      <c r="N44" s="210"/>
      <c r="O44" s="210"/>
      <c r="P44" s="212">
        <f>sum(P17:P41)/P13</f>
        <v>0.4229712568</v>
      </c>
      <c r="Q44" s="212">
        <f t="shared" ref="Q44:S44" si="89">sum(Q28:Q41)/Q13</f>
        <v>0.1376688722</v>
      </c>
      <c r="R44" s="212">
        <f t="shared" si="89"/>
        <v>0.1557641757</v>
      </c>
      <c r="S44" s="212">
        <f t="shared" si="89"/>
        <v>0.04717220391</v>
      </c>
      <c r="T44" s="212">
        <f t="shared" ref="T44:AZ44" si="90">sum(T28:T43)/T13</f>
        <v>0.5274487031</v>
      </c>
      <c r="U44" s="212">
        <f t="shared" si="90"/>
        <v>0.1974448316</v>
      </c>
      <c r="V44" s="212">
        <f t="shared" si="90"/>
        <v>0.4105068442</v>
      </c>
      <c r="W44" s="212">
        <f t="shared" si="90"/>
        <v>0.2327526132</v>
      </c>
      <c r="X44" s="212">
        <f t="shared" si="90"/>
        <v>0.5468060395</v>
      </c>
      <c r="Y44" s="212">
        <f t="shared" si="90"/>
        <v>0.1794733568</v>
      </c>
      <c r="Z44" s="212">
        <f t="shared" si="90"/>
        <v>0.4533363636</v>
      </c>
      <c r="AA44" s="212">
        <f t="shared" si="90"/>
        <v>0.4409573864</v>
      </c>
      <c r="AB44" s="212">
        <f t="shared" si="90"/>
        <v>0.2288636364</v>
      </c>
      <c r="AC44" s="212">
        <f t="shared" si="90"/>
        <v>0.3517090909</v>
      </c>
      <c r="AD44" s="212">
        <f t="shared" si="90"/>
        <v>0.162804878</v>
      </c>
      <c r="AE44" s="212">
        <f t="shared" si="90"/>
        <v>0.0974341661</v>
      </c>
      <c r="AF44" s="212">
        <f t="shared" si="90"/>
        <v>0.140990099</v>
      </c>
      <c r="AG44" s="212">
        <f t="shared" si="90"/>
        <v>0.1271428571</v>
      </c>
      <c r="AH44" s="213">
        <f t="shared" si="90"/>
        <v>0.1365891473</v>
      </c>
      <c r="AI44" s="212">
        <f t="shared" si="90"/>
        <v>0.2981102362</v>
      </c>
      <c r="AJ44" s="212">
        <f t="shared" si="90"/>
        <v>0.2508661417</v>
      </c>
      <c r="AK44" s="212">
        <f t="shared" si="90"/>
        <v>0.1298002663</v>
      </c>
      <c r="AL44" s="212">
        <f t="shared" si="90"/>
        <v>0.5724675325</v>
      </c>
      <c r="AM44" s="212">
        <f t="shared" si="90"/>
        <v>0.2596536797</v>
      </c>
      <c r="AN44" s="212">
        <f t="shared" si="90"/>
        <v>0.1391647332</v>
      </c>
      <c r="AO44" s="212">
        <f t="shared" si="90"/>
        <v>0.2389641434</v>
      </c>
      <c r="AP44" s="212">
        <f t="shared" si="90"/>
        <v>0.1505069124</v>
      </c>
      <c r="AQ44" s="212">
        <f t="shared" si="90"/>
        <v>0.2596536797</v>
      </c>
      <c r="AR44" s="212">
        <f t="shared" si="90"/>
        <v>0.2596536797</v>
      </c>
      <c r="AS44" s="212">
        <f t="shared" si="90"/>
        <v>0.2620779221</v>
      </c>
      <c r="AT44" s="212">
        <f t="shared" si="90"/>
        <v>0.1839752017</v>
      </c>
      <c r="AU44" s="212">
        <f t="shared" si="90"/>
        <v>0.1080720721</v>
      </c>
      <c r="AV44" s="212">
        <f t="shared" si="90"/>
        <v>0.2596536797</v>
      </c>
      <c r="AW44" s="212">
        <f t="shared" si="90"/>
        <v>0.283030303</v>
      </c>
      <c r="AX44" s="212">
        <f t="shared" si="90"/>
        <v>0.2530549214</v>
      </c>
      <c r="AY44" s="212">
        <f t="shared" si="90"/>
        <v>0.227804878</v>
      </c>
      <c r="AZ44" s="212">
        <f t="shared" si="90"/>
        <v>0.1667513612</v>
      </c>
      <c r="BA44" s="212"/>
      <c r="BB44" s="212"/>
      <c r="BC44" s="212"/>
      <c r="BD44" s="212"/>
      <c r="BE44" s="212"/>
      <c r="BF44" s="212"/>
      <c r="BG44" s="212"/>
      <c r="BH44" s="212"/>
      <c r="BI44" s="212"/>
      <c r="BJ44" s="212"/>
      <c r="BK44" s="213"/>
      <c r="BL44" s="212"/>
      <c r="BM44" s="212"/>
      <c r="BN44" s="212"/>
      <c r="BO44" s="212"/>
      <c r="BP44" s="212"/>
      <c r="BQ44" s="212"/>
      <c r="BR44" s="212"/>
      <c r="BS44" s="212"/>
      <c r="BT44" s="212"/>
      <c r="BU44" s="212"/>
      <c r="BV44" s="212"/>
      <c r="BW44" s="212"/>
    </row>
    <row r="45">
      <c r="A45" s="171" t="s">
        <v>236</v>
      </c>
      <c r="B45" s="172"/>
      <c r="C45" s="137">
        <f t="shared" ref="C45:G45" si="91">sum(C17:C40)</f>
        <v>2850.475</v>
      </c>
      <c r="D45" s="137">
        <f t="shared" si="91"/>
        <v>2700.475</v>
      </c>
      <c r="E45" s="137">
        <f t="shared" si="91"/>
        <v>3250.475</v>
      </c>
      <c r="F45" s="137">
        <f t="shared" si="91"/>
        <v>3499.265</v>
      </c>
      <c r="G45" s="137">
        <f t="shared" si="91"/>
        <v>2895.475</v>
      </c>
      <c r="H45" s="175">
        <f t="shared" ref="H45:M45" si="92">sum(H23:H40)</f>
        <v>785</v>
      </c>
      <c r="I45" s="137">
        <f t="shared" si="92"/>
        <v>2273</v>
      </c>
      <c r="J45" s="137">
        <f t="shared" si="92"/>
        <v>3319</v>
      </c>
      <c r="K45" s="137">
        <f t="shared" si="92"/>
        <v>3083</v>
      </c>
      <c r="L45" s="137">
        <f t="shared" si="92"/>
        <v>3545</v>
      </c>
      <c r="M45" s="137">
        <f t="shared" si="92"/>
        <v>1923</v>
      </c>
      <c r="N45" s="137">
        <f t="shared" ref="N45:O45" si="93">sum(N23:N41)</f>
        <v>3152</v>
      </c>
      <c r="O45" s="137">
        <f t="shared" si="93"/>
        <v>2351</v>
      </c>
      <c r="P45" s="137">
        <f t="shared" ref="P45:S45" si="94">sum(P17:P41)</f>
        <v>5021.937732</v>
      </c>
      <c r="Q45" s="137">
        <f t="shared" si="94"/>
        <v>3812.781736</v>
      </c>
      <c r="R45" s="137">
        <f t="shared" si="94"/>
        <v>3794.099072</v>
      </c>
      <c r="S45" s="137">
        <f t="shared" si="94"/>
        <v>3076.949944</v>
      </c>
      <c r="T45" s="137">
        <f t="shared" ref="T45:X45" si="95">sum(T17:T43)</f>
        <v>6218.120414</v>
      </c>
      <c r="U45" s="137">
        <f t="shared" si="95"/>
        <v>1855.089818</v>
      </c>
      <c r="V45" s="137">
        <f t="shared" si="95"/>
        <v>4730.289456</v>
      </c>
      <c r="W45" s="137">
        <f t="shared" si="95"/>
        <v>3161.256756</v>
      </c>
      <c r="X45" s="137">
        <f t="shared" si="95"/>
        <v>6665.485327</v>
      </c>
      <c r="Y45" s="137">
        <f t="shared" ref="Y45:BJ45" si="96">sum(Y17:Y25,Y28:Y43)</f>
        <v>5063.475</v>
      </c>
      <c r="Z45" s="137">
        <f t="shared" si="96"/>
        <v>6769.65</v>
      </c>
      <c r="AA45" s="137">
        <f t="shared" si="96"/>
        <v>6823.99</v>
      </c>
      <c r="AB45" s="137">
        <f t="shared" si="96"/>
        <v>4957.565</v>
      </c>
      <c r="AC45" s="137">
        <f t="shared" si="96"/>
        <v>6158.565</v>
      </c>
      <c r="AD45" s="137">
        <f t="shared" si="96"/>
        <v>4358.565</v>
      </c>
      <c r="AE45" s="137">
        <f t="shared" si="96"/>
        <v>4858.565</v>
      </c>
      <c r="AF45" s="137">
        <f t="shared" si="96"/>
        <v>4358.565</v>
      </c>
      <c r="AG45" s="137">
        <f t="shared" si="96"/>
        <v>4358.565</v>
      </c>
      <c r="AH45" s="175">
        <f t="shared" si="96"/>
        <v>10512.09</v>
      </c>
      <c r="AI45" s="137">
        <f t="shared" si="96"/>
        <v>5739.09</v>
      </c>
      <c r="AJ45" s="137">
        <f t="shared" si="96"/>
        <v>5539.09</v>
      </c>
      <c r="AK45" s="137">
        <f t="shared" si="96"/>
        <v>5827</v>
      </c>
      <c r="AL45" s="137">
        <f t="shared" si="96"/>
        <v>10177</v>
      </c>
      <c r="AM45" s="137">
        <f t="shared" si="96"/>
        <v>6364</v>
      </c>
      <c r="AN45" s="137">
        <f t="shared" si="96"/>
        <v>6364</v>
      </c>
      <c r="AO45" s="137">
        <f t="shared" si="96"/>
        <v>6364</v>
      </c>
      <c r="AP45" s="137">
        <f t="shared" si="96"/>
        <v>8289</v>
      </c>
      <c r="AQ45" s="137">
        <f t="shared" si="96"/>
        <v>6389</v>
      </c>
      <c r="AR45" s="137">
        <f t="shared" si="96"/>
        <v>6389</v>
      </c>
      <c r="AS45" s="137">
        <f t="shared" si="96"/>
        <v>6417</v>
      </c>
      <c r="AT45" s="137">
        <f t="shared" si="96"/>
        <v>6389</v>
      </c>
      <c r="AU45" s="137">
        <f t="shared" si="96"/>
        <v>6489</v>
      </c>
      <c r="AV45" s="137">
        <f t="shared" si="96"/>
        <v>6489</v>
      </c>
      <c r="AW45" s="137">
        <f t="shared" si="96"/>
        <v>6909</v>
      </c>
      <c r="AX45" s="137">
        <f t="shared" si="96"/>
        <v>7409</v>
      </c>
      <c r="AY45" s="137">
        <f t="shared" si="96"/>
        <v>6909</v>
      </c>
      <c r="AZ45" s="137">
        <f t="shared" si="96"/>
        <v>8234</v>
      </c>
      <c r="BA45" s="137">
        <f t="shared" si="96"/>
        <v>-7117</v>
      </c>
      <c r="BB45" s="137">
        <f t="shared" si="96"/>
        <v>-7117</v>
      </c>
      <c r="BC45" s="137">
        <f t="shared" si="96"/>
        <v>-8817</v>
      </c>
      <c r="BD45" s="137">
        <f t="shared" si="96"/>
        <v>-14513</v>
      </c>
      <c r="BE45" s="137">
        <f t="shared" si="96"/>
        <v>-8417</v>
      </c>
      <c r="BF45" s="137">
        <f t="shared" si="96"/>
        <v>-6667</v>
      </c>
      <c r="BG45" s="137">
        <f t="shared" si="96"/>
        <v>-7952</v>
      </c>
      <c r="BH45" s="137">
        <f t="shared" si="96"/>
        <v>-7267</v>
      </c>
      <c r="BI45" s="137">
        <f t="shared" si="96"/>
        <v>-7417</v>
      </c>
      <c r="BJ45" s="137">
        <f t="shared" si="96"/>
        <v>-12467</v>
      </c>
      <c r="BK45" s="175"/>
      <c r="BL45" s="137">
        <f t="shared" ref="BL45:BW45" si="97">sum(BL17:BL25,BL28:BL43)</f>
        <v>-16287</v>
      </c>
      <c r="BM45" s="137">
        <f t="shared" si="97"/>
        <v>-26487</v>
      </c>
      <c r="BN45" s="137">
        <f t="shared" si="97"/>
        <v>-7337</v>
      </c>
      <c r="BO45" s="137">
        <f t="shared" si="97"/>
        <v>-7337</v>
      </c>
      <c r="BP45" s="137">
        <f t="shared" si="97"/>
        <v>-13435</v>
      </c>
      <c r="BQ45" s="137">
        <f t="shared" si="97"/>
        <v>-16037</v>
      </c>
      <c r="BR45" s="137">
        <f t="shared" si="97"/>
        <v>-8537</v>
      </c>
      <c r="BS45" s="137">
        <f t="shared" si="97"/>
        <v>-8537</v>
      </c>
      <c r="BT45" s="137">
        <f t="shared" si="97"/>
        <v>-8537</v>
      </c>
      <c r="BU45" s="137">
        <f t="shared" si="97"/>
        <v>-8537</v>
      </c>
      <c r="BV45" s="137">
        <f t="shared" si="97"/>
        <v>-8537</v>
      </c>
      <c r="BW45" s="137">
        <f t="shared" si="97"/>
        <v>-8537</v>
      </c>
    </row>
    <row r="46">
      <c r="A46" s="215"/>
      <c r="B46" s="183"/>
      <c r="C46" s="183"/>
      <c r="D46" s="183"/>
      <c r="E46" s="183"/>
      <c r="F46" s="183"/>
      <c r="G46" s="183"/>
      <c r="H46" s="184"/>
      <c r="I46" s="183"/>
      <c r="J46" s="183"/>
      <c r="K46" s="183"/>
      <c r="L46" s="183"/>
      <c r="M46" s="183"/>
      <c r="N46" s="183"/>
      <c r="O46" s="183"/>
      <c r="P46" s="183"/>
      <c r="Q46" s="216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4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  <c r="BA46" s="183"/>
      <c r="BB46" s="183"/>
      <c r="BC46" s="183"/>
      <c r="BD46" s="183"/>
      <c r="BE46" s="183"/>
      <c r="BF46" s="183"/>
      <c r="BG46" s="183"/>
      <c r="BH46" s="183"/>
      <c r="BI46" s="183"/>
      <c r="BJ46" s="183"/>
      <c r="BK46" s="184"/>
      <c r="BL46" s="183"/>
      <c r="BM46" s="183"/>
      <c r="BN46" s="183"/>
      <c r="BO46" s="183"/>
      <c r="BP46" s="183"/>
      <c r="BQ46" s="183"/>
      <c r="BR46" s="183"/>
      <c r="BS46" s="183"/>
      <c r="BT46" s="183"/>
      <c r="BU46" s="183"/>
      <c r="BV46" s="183"/>
      <c r="BW46" s="183"/>
    </row>
    <row r="47">
      <c r="A47" s="186" t="s">
        <v>943</v>
      </c>
      <c r="B47" s="187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4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4"/>
      <c r="BL47" s="133"/>
      <c r="BM47" s="133"/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</row>
    <row r="48">
      <c r="A48" s="135" t="s">
        <v>944</v>
      </c>
      <c r="B48" s="136"/>
      <c r="C48" s="137"/>
      <c r="D48" s="137"/>
      <c r="E48" s="137"/>
      <c r="F48" s="137"/>
      <c r="G48" s="137"/>
      <c r="H48" s="137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40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40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</row>
    <row r="49">
      <c r="A49" s="199"/>
      <c r="B49" s="144" t="s">
        <v>239</v>
      </c>
      <c r="C49" s="137">
        <v>2500.0</v>
      </c>
      <c r="D49" s="137">
        <v>4500.0</v>
      </c>
      <c r="E49" s="137">
        <v>2800.0</v>
      </c>
      <c r="F49" s="137">
        <v>2800.0</v>
      </c>
      <c r="G49" s="137">
        <v>2000.0</v>
      </c>
      <c r="H49" s="175">
        <v>3093.0</v>
      </c>
      <c r="I49" s="137">
        <v>1600.0</v>
      </c>
      <c r="J49" s="137">
        <f>'PAYMENT SCHEDULE'!C13+'PAYMENT SCHEDULE'!C29</f>
        <v>3200</v>
      </c>
      <c r="K49" s="194">
        <f>LIABILITIES!E26</f>
        <v>1000</v>
      </c>
      <c r="L49" s="194">
        <f>LIABILITIES!E26</f>
        <v>1000</v>
      </c>
      <c r="M49" s="217" t="str">
        <f>'PAYMENT SCHEDULE'!C33</f>
        <v/>
      </c>
      <c r="N49" s="194">
        <f>N13*0.25</f>
        <v>1732.5</v>
      </c>
      <c r="O49" s="194">
        <f>O13*0.35</f>
        <v>2520</v>
      </c>
      <c r="P49" s="194">
        <v>5956.0</v>
      </c>
      <c r="Q49" s="194">
        <v>2008.0</v>
      </c>
      <c r="R49" s="194">
        <f>R13*0.4</f>
        <v>2663</v>
      </c>
      <c r="S49" s="194">
        <v>5600.0</v>
      </c>
      <c r="T49" s="194">
        <f>T13*0.25</f>
        <v>1614.375</v>
      </c>
      <c r="U49" s="194">
        <f>U13*0.4</f>
        <v>2583</v>
      </c>
      <c r="V49" s="194">
        <f>3397</f>
        <v>3397</v>
      </c>
      <c r="W49" s="194">
        <f>W13*0.3</f>
        <v>1937.25</v>
      </c>
      <c r="X49" s="137">
        <f>X$13*0.11</f>
        <v>710.325</v>
      </c>
      <c r="Y49" s="137">
        <f t="shared" ref="Y49:Z49" si="98">Y$13*0.1</f>
        <v>1205.75</v>
      </c>
      <c r="Z49" s="137">
        <f t="shared" si="98"/>
        <v>880</v>
      </c>
      <c r="AA49" s="202">
        <f>AA$13*0.33</f>
        <v>2904</v>
      </c>
      <c r="AB49" s="203">
        <f t="shared" ref="AB49:AC49" si="99">AB$13*0.2</f>
        <v>1760</v>
      </c>
      <c r="AC49" s="203">
        <f t="shared" si="99"/>
        <v>1833.333333</v>
      </c>
      <c r="AD49" s="203">
        <f>AD$13*0.25</f>
        <v>2186.666667</v>
      </c>
      <c r="AE49" s="203">
        <f>AE$13*0.7</f>
        <v>13822.66667</v>
      </c>
      <c r="AF49" s="137">
        <f>AF$13*0.25</f>
        <v>2525</v>
      </c>
      <c r="AG49" s="137">
        <f t="shared" ref="AG49:AH49" si="100">AG$13*0.15</f>
        <v>1680</v>
      </c>
      <c r="AH49" s="175">
        <f t="shared" si="100"/>
        <v>3870</v>
      </c>
      <c r="AI49" s="137">
        <f t="shared" ref="AI49:AK49" si="101">AI$13*0.18</f>
        <v>1524</v>
      </c>
      <c r="AJ49" s="137">
        <f t="shared" si="101"/>
        <v>1524</v>
      </c>
      <c r="AK49" s="137">
        <f t="shared" si="101"/>
        <v>3379.5</v>
      </c>
      <c r="AL49" s="137">
        <f>AL$13*0.05</f>
        <v>577.5</v>
      </c>
      <c r="AM49" s="137">
        <f>AM$13*0.1</f>
        <v>1155</v>
      </c>
      <c r="AN49" s="137">
        <f>AN$13*0.4</f>
        <v>8620</v>
      </c>
      <c r="AO49" s="137">
        <f>AO$13*0.1</f>
        <v>1255</v>
      </c>
      <c r="AP49" s="137">
        <f>17000</f>
        <v>17000</v>
      </c>
      <c r="AQ49" s="137">
        <f>AQ$13*0.1</f>
        <v>1155</v>
      </c>
      <c r="AR49" s="137">
        <f t="shared" ref="AR49:AS49" si="102">AR$13*0.3</f>
        <v>3465</v>
      </c>
      <c r="AS49" s="137">
        <f t="shared" si="102"/>
        <v>3465</v>
      </c>
      <c r="AT49" s="137">
        <f>AT$13*0.5</f>
        <v>8150.555</v>
      </c>
      <c r="AU49" s="137">
        <f>AU$13*0.2</f>
        <v>5550</v>
      </c>
      <c r="AV49" s="137">
        <f>AV$13*0.1</f>
        <v>1155</v>
      </c>
      <c r="AW49" s="137">
        <f>AW$13*0.1+2530</f>
        <v>3685</v>
      </c>
      <c r="AX49" s="194">
        <f>AX$13*0.1+2000</f>
        <v>3489.4</v>
      </c>
      <c r="AY49" s="137">
        <f>AY$13*0.1</f>
        <v>1435</v>
      </c>
      <c r="AZ49" s="218">
        <v>16000.0</v>
      </c>
      <c r="BA49" s="137">
        <v>-15000.0</v>
      </c>
      <c r="BB49" s="137">
        <v>-2400.0</v>
      </c>
      <c r="BC49" s="137">
        <v>-5000.0</v>
      </c>
      <c r="BD49" s="137">
        <v>-2400.0</v>
      </c>
      <c r="BE49" s="137">
        <v>-2400.0</v>
      </c>
      <c r="BF49" s="137">
        <v>-5000.0</v>
      </c>
      <c r="BG49" s="137">
        <f>-4500</f>
        <v>-4500</v>
      </c>
      <c r="BH49" s="194">
        <f>sum(-2500)</f>
        <v>-2500</v>
      </c>
      <c r="BI49" s="194">
        <f>sum(-4500)</f>
        <v>-4500</v>
      </c>
      <c r="BJ49" s="194">
        <f>sum(-8000)</f>
        <v>-8000</v>
      </c>
      <c r="BK49" s="175"/>
      <c r="BL49" s="194">
        <f>sum(-91000,-92499)</f>
        <v>-183499</v>
      </c>
      <c r="BM49" s="137">
        <v>0.0</v>
      </c>
      <c r="BN49" s="137">
        <v>0.0</v>
      </c>
      <c r="BO49" s="137">
        <v>0.0</v>
      </c>
      <c r="BP49" s="137">
        <v>0.0</v>
      </c>
      <c r="BQ49" s="137">
        <v>0.0</v>
      </c>
      <c r="BR49" s="137">
        <v>0.0</v>
      </c>
      <c r="BS49" s="137">
        <v>0.0</v>
      </c>
      <c r="BT49" s="137">
        <v>0.0</v>
      </c>
      <c r="BU49" s="137">
        <v>0.0</v>
      </c>
      <c r="BV49" s="137">
        <v>0.0</v>
      </c>
      <c r="BW49" s="137">
        <v>0.0</v>
      </c>
    </row>
    <row r="50">
      <c r="A50" s="135" t="s">
        <v>945</v>
      </c>
      <c r="B50" s="136"/>
      <c r="C50" s="137"/>
      <c r="D50" s="137"/>
      <c r="E50" s="137"/>
      <c r="F50" s="137"/>
      <c r="G50" s="137"/>
      <c r="H50" s="137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40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40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</row>
    <row r="51">
      <c r="A51" s="219"/>
      <c r="B51" s="220" t="s">
        <v>241</v>
      </c>
      <c r="C51" s="137"/>
      <c r="D51" s="137"/>
      <c r="E51" s="137"/>
      <c r="F51" s="137"/>
      <c r="G51" s="137"/>
      <c r="H51" s="175"/>
      <c r="I51" s="137">
        <v>0.0</v>
      </c>
      <c r="J51" s="137">
        <v>0.0</v>
      </c>
      <c r="K51" s="137">
        <f t="shared" ref="K51:L51" si="103">K13*0</f>
        <v>0</v>
      </c>
      <c r="L51" s="137">
        <f t="shared" si="103"/>
        <v>0</v>
      </c>
      <c r="M51" s="137">
        <v>0.0</v>
      </c>
      <c r="N51" s="137">
        <v>25.0</v>
      </c>
      <c r="O51" s="137">
        <v>25.0</v>
      </c>
      <c r="P51" s="137">
        <v>20.0</v>
      </c>
      <c r="Q51" s="137">
        <v>25.0</v>
      </c>
      <c r="R51" s="137">
        <v>0.0</v>
      </c>
      <c r="S51" s="137">
        <v>0.0</v>
      </c>
      <c r="T51" s="137">
        <v>0.0</v>
      </c>
      <c r="U51" s="137">
        <v>0.0</v>
      </c>
      <c r="V51" s="137">
        <v>0.0</v>
      </c>
      <c r="W51" s="137">
        <v>0.0</v>
      </c>
      <c r="X51" s="137">
        <f t="shared" ref="X51:Y51" si="104">$X$13*0.03</f>
        <v>193.725</v>
      </c>
      <c r="Y51" s="137">
        <f t="shared" si="104"/>
        <v>193.725</v>
      </c>
      <c r="Z51" s="137">
        <f t="shared" ref="Z51:Z52" si="112">$X$13*0.1</f>
        <v>645.75</v>
      </c>
      <c r="AA51" s="137">
        <f t="shared" ref="AA51:AC51" si="105">$X$13*0.03</f>
        <v>193.725</v>
      </c>
      <c r="AB51" s="137">
        <f t="shared" si="105"/>
        <v>193.725</v>
      </c>
      <c r="AC51" s="137">
        <f t="shared" si="105"/>
        <v>193.725</v>
      </c>
      <c r="AD51" s="137">
        <f t="shared" ref="AD51:AH51" si="106">$X$13*0</f>
        <v>0</v>
      </c>
      <c r="AE51" s="137">
        <f t="shared" si="106"/>
        <v>0</v>
      </c>
      <c r="AF51" s="137">
        <f t="shared" si="106"/>
        <v>0</v>
      </c>
      <c r="AG51" s="137">
        <f t="shared" si="106"/>
        <v>0</v>
      </c>
      <c r="AH51" s="175">
        <f t="shared" si="106"/>
        <v>0</v>
      </c>
      <c r="AI51" s="137">
        <f t="shared" ref="AI51:AJ51" si="107">$X$13*0.03</f>
        <v>193.725</v>
      </c>
      <c r="AJ51" s="137">
        <f t="shared" si="107"/>
        <v>193.725</v>
      </c>
      <c r="AK51" s="137">
        <f t="shared" ref="AK51:AM51" si="108">$X$13*0.032</f>
        <v>206.64</v>
      </c>
      <c r="AL51" s="137">
        <f t="shared" si="108"/>
        <v>206.64</v>
      </c>
      <c r="AM51" s="137">
        <f t="shared" si="108"/>
        <v>206.64</v>
      </c>
      <c r="AN51" s="137">
        <f t="shared" ref="AN51:AR51" si="109">$X$13*0.05</f>
        <v>322.875</v>
      </c>
      <c r="AO51" s="137">
        <f t="shared" si="109"/>
        <v>322.875</v>
      </c>
      <c r="AP51" s="137">
        <f t="shared" si="109"/>
        <v>322.875</v>
      </c>
      <c r="AQ51" s="137">
        <f t="shared" si="109"/>
        <v>322.875</v>
      </c>
      <c r="AR51" s="137">
        <f t="shared" si="109"/>
        <v>322.875</v>
      </c>
      <c r="AS51" s="137">
        <f>$X$13*0</f>
        <v>0</v>
      </c>
      <c r="AT51" s="137">
        <f t="shared" ref="AT51:AV51" si="110">$X$13*0.05</f>
        <v>322.875</v>
      </c>
      <c r="AU51" s="137">
        <f t="shared" si="110"/>
        <v>322.875</v>
      </c>
      <c r="AV51" s="137">
        <f t="shared" si="110"/>
        <v>322.875</v>
      </c>
      <c r="AW51" s="137">
        <v>0.0</v>
      </c>
      <c r="AX51" s="137">
        <v>0.0</v>
      </c>
      <c r="AY51" s="137">
        <v>0.0</v>
      </c>
      <c r="AZ51" s="137">
        <v>0.0</v>
      </c>
      <c r="BA51" s="137">
        <v>0.0</v>
      </c>
      <c r="BB51" s="137">
        <v>0.0</v>
      </c>
      <c r="BC51" s="137">
        <v>0.0</v>
      </c>
      <c r="BD51" s="137">
        <v>0.0</v>
      </c>
      <c r="BE51" s="137">
        <v>0.0</v>
      </c>
      <c r="BF51" s="137">
        <v>0.0</v>
      </c>
      <c r="BG51" s="137">
        <v>0.0</v>
      </c>
      <c r="BH51" s="137">
        <v>0.0</v>
      </c>
      <c r="BI51" s="137">
        <v>0.0</v>
      </c>
      <c r="BJ51" s="137">
        <v>0.0</v>
      </c>
      <c r="BK51" s="175"/>
      <c r="BL51" s="137">
        <v>-500.0</v>
      </c>
      <c r="BM51" s="137">
        <v>-500.0</v>
      </c>
      <c r="BN51" s="137">
        <v>-500.0</v>
      </c>
      <c r="BO51" s="137">
        <v>-500.0</v>
      </c>
      <c r="BP51" s="137">
        <v>-500.0</v>
      </c>
      <c r="BQ51" s="137">
        <v>-500.0</v>
      </c>
      <c r="BR51" s="137">
        <v>-500.0</v>
      </c>
      <c r="BS51" s="137">
        <v>-500.0</v>
      </c>
      <c r="BT51" s="137">
        <v>-500.0</v>
      </c>
      <c r="BU51" s="137">
        <v>-500.0</v>
      </c>
      <c r="BV51" s="137">
        <v>-500.0</v>
      </c>
      <c r="BW51" s="137">
        <v>-500.0</v>
      </c>
    </row>
    <row r="52">
      <c r="A52" s="219"/>
      <c r="B52" s="221" t="s">
        <v>242</v>
      </c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>
        <v>0.0</v>
      </c>
      <c r="S52" s="137">
        <v>500.0</v>
      </c>
      <c r="T52" s="137">
        <f>T13*0.02</f>
        <v>129.15</v>
      </c>
      <c r="U52" s="137">
        <f>U13*0.0387</f>
        <v>249.90525</v>
      </c>
      <c r="V52" s="137">
        <v>200.0</v>
      </c>
      <c r="W52" s="137">
        <v>200.0</v>
      </c>
      <c r="X52" s="137">
        <f t="shared" ref="X52:Y52" si="111">$X$13*0.04</f>
        <v>258.3</v>
      </c>
      <c r="Y52" s="137">
        <f t="shared" si="111"/>
        <v>258.3</v>
      </c>
      <c r="Z52" s="137">
        <f t="shared" si="112"/>
        <v>645.75</v>
      </c>
      <c r="AA52" s="137">
        <f>$X$13*0.047</f>
        <v>303.5025</v>
      </c>
      <c r="AB52" s="137">
        <f t="shared" ref="AB52:AC52" si="113">$X$13*0.04</f>
        <v>258.3</v>
      </c>
      <c r="AC52" s="137">
        <f t="shared" si="113"/>
        <v>258.3</v>
      </c>
      <c r="AD52" s="137">
        <f>$X$13*0.05</f>
        <v>322.875</v>
      </c>
      <c r="AE52" s="137">
        <f>$X$13*0.063</f>
        <v>406.8225</v>
      </c>
      <c r="AF52" s="137">
        <f t="shared" ref="AF52:AG52" si="114">$X$13*0.2</f>
        <v>1291.5</v>
      </c>
      <c r="AG52" s="137">
        <f t="shared" si="114"/>
        <v>1291.5</v>
      </c>
      <c r="AH52" s="175">
        <f>$X$13*0</f>
        <v>0</v>
      </c>
      <c r="AI52" s="137">
        <f t="shared" ref="AI52:AM52" si="115">$X$13*0.04</f>
        <v>258.3</v>
      </c>
      <c r="AJ52" s="137">
        <f t="shared" si="115"/>
        <v>258.3</v>
      </c>
      <c r="AK52" s="137">
        <f t="shared" si="115"/>
        <v>258.3</v>
      </c>
      <c r="AL52" s="137">
        <f t="shared" si="115"/>
        <v>258.3</v>
      </c>
      <c r="AM52" s="137">
        <f t="shared" si="115"/>
        <v>258.3</v>
      </c>
      <c r="AN52" s="137">
        <f t="shared" ref="AN52:AW52" si="116">$X$13*0.05</f>
        <v>322.875</v>
      </c>
      <c r="AO52" s="137">
        <f t="shared" si="116"/>
        <v>322.875</v>
      </c>
      <c r="AP52" s="137">
        <f t="shared" si="116"/>
        <v>322.875</v>
      </c>
      <c r="AQ52" s="137">
        <f t="shared" si="116"/>
        <v>322.875</v>
      </c>
      <c r="AR52" s="137">
        <f t="shared" si="116"/>
        <v>322.875</v>
      </c>
      <c r="AS52" s="137">
        <f t="shared" si="116"/>
        <v>322.875</v>
      </c>
      <c r="AT52" s="137">
        <f t="shared" si="116"/>
        <v>322.875</v>
      </c>
      <c r="AU52" s="137">
        <f t="shared" si="116"/>
        <v>322.875</v>
      </c>
      <c r="AV52" s="137">
        <f t="shared" si="116"/>
        <v>322.875</v>
      </c>
      <c r="AW52" s="137">
        <f t="shared" si="116"/>
        <v>322.875</v>
      </c>
      <c r="AX52" s="137">
        <f t="shared" ref="AX52:AY52" si="117">$X$13*0</f>
        <v>0</v>
      </c>
      <c r="AY52" s="137">
        <f t="shared" si="117"/>
        <v>0</v>
      </c>
      <c r="AZ52" s="137">
        <f>$X$13*0.05</f>
        <v>322.875</v>
      </c>
      <c r="BA52" s="137">
        <v>0.0</v>
      </c>
      <c r="BB52" s="137">
        <v>0.0</v>
      </c>
      <c r="BC52" s="137">
        <v>-100.0</v>
      </c>
      <c r="BD52" s="137">
        <v>-100.0</v>
      </c>
      <c r="BE52" s="137">
        <v>-100.0</v>
      </c>
      <c r="BF52" s="137">
        <v>-100.0</v>
      </c>
      <c r="BG52" s="137">
        <v>-100.0</v>
      </c>
      <c r="BH52" s="137">
        <v>-100.0</v>
      </c>
      <c r="BI52" s="137">
        <v>-100.0</v>
      </c>
      <c r="BJ52" s="137">
        <v>-100.0</v>
      </c>
      <c r="BK52" s="175"/>
      <c r="BL52" s="137">
        <v>-100.0</v>
      </c>
      <c r="BM52" s="137">
        <v>-500.0</v>
      </c>
      <c r="BN52" s="137">
        <v>-500.0</v>
      </c>
      <c r="BO52" s="137">
        <v>-500.0</v>
      </c>
      <c r="BP52" s="137">
        <v>-500.0</v>
      </c>
      <c r="BQ52" s="137">
        <v>-500.0</v>
      </c>
      <c r="BR52" s="137">
        <v>-500.0</v>
      </c>
      <c r="BS52" s="137">
        <v>-500.0</v>
      </c>
      <c r="BT52" s="137">
        <v>-500.0</v>
      </c>
      <c r="BU52" s="137">
        <v>-500.0</v>
      </c>
      <c r="BV52" s="137">
        <v>-500.0</v>
      </c>
      <c r="BW52" s="137">
        <v>-500.0</v>
      </c>
    </row>
    <row r="53">
      <c r="A53" s="135" t="s">
        <v>946</v>
      </c>
      <c r="B53" s="136"/>
      <c r="C53" s="137"/>
      <c r="D53" s="137"/>
      <c r="E53" s="137"/>
      <c r="F53" s="137"/>
      <c r="G53" s="137"/>
      <c r="H53" s="137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40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40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</row>
    <row r="54">
      <c r="A54" s="219"/>
      <c r="B54" s="223" t="s">
        <v>581</v>
      </c>
      <c r="C54" s="137"/>
      <c r="D54" s="137"/>
      <c r="E54" s="137"/>
      <c r="F54" s="137"/>
      <c r="G54" s="137"/>
      <c r="H54" s="137"/>
      <c r="I54" s="137"/>
      <c r="J54" s="137"/>
      <c r="K54" s="137">
        <v>0.0</v>
      </c>
      <c r="L54" s="137">
        <f>150+345</f>
        <v>495</v>
      </c>
      <c r="M54" s="137">
        <v>0.0</v>
      </c>
      <c r="N54" s="137">
        <v>0.0</v>
      </c>
      <c r="O54" s="137">
        <f>O13*0</f>
        <v>0</v>
      </c>
      <c r="P54" s="137">
        <v>78.0</v>
      </c>
      <c r="Q54" s="137">
        <v>0.0</v>
      </c>
      <c r="R54" s="137">
        <v>0.0</v>
      </c>
      <c r="S54" s="137">
        <v>50.0</v>
      </c>
      <c r="T54" s="137">
        <f t="shared" ref="T54:W54" si="118">$Q13*0</f>
        <v>0</v>
      </c>
      <c r="U54" s="137">
        <f t="shared" si="118"/>
        <v>0</v>
      </c>
      <c r="V54" s="137">
        <f t="shared" si="118"/>
        <v>0</v>
      </c>
      <c r="W54" s="137">
        <f t="shared" si="118"/>
        <v>0</v>
      </c>
      <c r="X54" s="137">
        <f t="shared" ref="X54:AA54" si="119">$X$13*0.01</f>
        <v>64.575</v>
      </c>
      <c r="Y54" s="137">
        <f t="shared" si="119"/>
        <v>64.575</v>
      </c>
      <c r="Z54" s="137">
        <f t="shared" si="119"/>
        <v>64.575</v>
      </c>
      <c r="AA54" s="137">
        <f t="shared" si="119"/>
        <v>64.575</v>
      </c>
      <c r="AB54" s="194">
        <f t="shared" ref="AB54:AF54" si="120">$X$13*0</f>
        <v>0</v>
      </c>
      <c r="AC54" s="137">
        <f t="shared" si="120"/>
        <v>0</v>
      </c>
      <c r="AD54" s="137">
        <f t="shared" si="120"/>
        <v>0</v>
      </c>
      <c r="AE54" s="137">
        <f t="shared" si="120"/>
        <v>0</v>
      </c>
      <c r="AF54" s="137">
        <f t="shared" si="120"/>
        <v>0</v>
      </c>
      <c r="AG54" s="224">
        <f>sum(2500,1200)</f>
        <v>3700</v>
      </c>
      <c r="AH54" s="224">
        <f>sum(2500,500,5000)</f>
        <v>8000</v>
      </c>
      <c r="AI54" s="137">
        <f>2000</f>
        <v>2000</v>
      </c>
      <c r="AJ54" s="137">
        <f t="shared" ref="AJ54:AK54" si="121">$X$13*0</f>
        <v>0</v>
      </c>
      <c r="AK54" s="137">
        <f t="shared" si="121"/>
        <v>0</v>
      </c>
      <c r="AL54" s="137">
        <f>7000</f>
        <v>7000</v>
      </c>
      <c r="AM54" s="194">
        <v>3600.0</v>
      </c>
      <c r="AN54" s="194">
        <v>3500.0</v>
      </c>
      <c r="AO54" s="137">
        <f>$X$13*0</f>
        <v>0</v>
      </c>
      <c r="AP54" s="137">
        <f>6000</f>
        <v>6000</v>
      </c>
      <c r="AQ54" s="137">
        <f>$X$13*0</f>
        <v>0</v>
      </c>
      <c r="AR54" s="137">
        <f>$X$13*1</f>
        <v>6457.5</v>
      </c>
      <c r="AS54" s="137">
        <f t="shared" ref="AS54:AT54" si="122">$X$13*0</f>
        <v>0</v>
      </c>
      <c r="AT54" s="137">
        <f t="shared" si="122"/>
        <v>0</v>
      </c>
      <c r="AU54" s="137">
        <v>10000.0</v>
      </c>
      <c r="AV54" s="137">
        <v>0.0</v>
      </c>
      <c r="AW54" s="137">
        <f>$X$13*0</f>
        <v>0</v>
      </c>
      <c r="AX54" s="137">
        <v>1000.0</v>
      </c>
      <c r="AY54" s="194">
        <v>900.0</v>
      </c>
      <c r="AZ54" s="194">
        <v>900.0</v>
      </c>
      <c r="BA54" s="137">
        <f>-sum(3509,1490,500)</f>
        <v>-5499</v>
      </c>
      <c r="BB54" s="137">
        <f>-800</f>
        <v>-800</v>
      </c>
      <c r="BC54" s="137">
        <f>sum(-800,-1200)</f>
        <v>-2000</v>
      </c>
      <c r="BD54" s="137">
        <f>sum(-800)</f>
        <v>-800</v>
      </c>
      <c r="BE54" s="137">
        <f>sum(-6200,-800)</f>
        <v>-7000</v>
      </c>
      <c r="BF54" s="203">
        <f>sum(-400,-7400,-25000)</f>
        <v>-32800</v>
      </c>
      <c r="BG54" s="203">
        <f>sum(-800,-5000)</f>
        <v>-5800</v>
      </c>
      <c r="BH54" s="137">
        <f>sum(-400,-400,-12000)</f>
        <v>-12800</v>
      </c>
      <c r="BI54" s="137">
        <f t="shared" ref="BI54:BJ54" si="123">sum(0)</f>
        <v>0</v>
      </c>
      <c r="BJ54" s="137">
        <f t="shared" si="123"/>
        <v>0</v>
      </c>
      <c r="BK54" s="175"/>
      <c r="BL54" s="137">
        <v>0.0</v>
      </c>
      <c r="BM54" s="137">
        <v>0.0</v>
      </c>
      <c r="BN54" s="137">
        <v>0.0</v>
      </c>
      <c r="BO54" s="137">
        <v>0.0</v>
      </c>
      <c r="BP54" s="137">
        <v>0.0</v>
      </c>
      <c r="BQ54" s="137">
        <v>0.0</v>
      </c>
      <c r="BR54" s="137">
        <f t="shared" ref="BR54:BW54" si="124">sum(-400)</f>
        <v>-400</v>
      </c>
      <c r="BS54" s="137">
        <f t="shared" si="124"/>
        <v>-400</v>
      </c>
      <c r="BT54" s="137">
        <f t="shared" si="124"/>
        <v>-400</v>
      </c>
      <c r="BU54" s="137">
        <f t="shared" si="124"/>
        <v>-400</v>
      </c>
      <c r="BV54" s="137">
        <f t="shared" si="124"/>
        <v>-400</v>
      </c>
      <c r="BW54" s="137">
        <f t="shared" si="124"/>
        <v>-400</v>
      </c>
    </row>
    <row r="55">
      <c r="A55" s="219"/>
      <c r="B55" s="223" t="s">
        <v>246</v>
      </c>
      <c r="C55" s="137"/>
      <c r="D55" s="137"/>
      <c r="E55" s="137"/>
      <c r="F55" s="137"/>
      <c r="G55" s="137"/>
      <c r="H55" s="137"/>
      <c r="I55" s="137"/>
      <c r="J55" s="137">
        <v>0.0</v>
      </c>
      <c r="K55" s="137">
        <v>0.0</v>
      </c>
      <c r="L55" s="137">
        <v>0.0</v>
      </c>
      <c r="M55" s="137">
        <f>M13*0</f>
        <v>0</v>
      </c>
      <c r="N55" s="137">
        <v>0.0</v>
      </c>
      <c r="O55" s="137">
        <f>O10*0</f>
        <v>0</v>
      </c>
      <c r="P55" s="137">
        <v>0.0</v>
      </c>
      <c r="Q55" s="137">
        <f>175+100</f>
        <v>275</v>
      </c>
      <c r="R55" s="137">
        <f>R13*0.0063</f>
        <v>41.94225</v>
      </c>
      <c r="S55" s="137">
        <v>300.0</v>
      </c>
      <c r="T55" s="137">
        <f>T13*0.02</f>
        <v>129.15</v>
      </c>
      <c r="U55" s="137">
        <v>120.0</v>
      </c>
      <c r="V55" s="137">
        <v>100.0</v>
      </c>
      <c r="W55" s="222">
        <f>sum(100,-790)</f>
        <v>-690</v>
      </c>
      <c r="X55" s="137">
        <f t="shared" ref="X55:Y55" si="125">$X$13*0.02</f>
        <v>129.15</v>
      </c>
      <c r="Y55" s="137">
        <f t="shared" si="125"/>
        <v>129.15</v>
      </c>
      <c r="Z55" s="137">
        <f>$X$13*0.05</f>
        <v>322.875</v>
      </c>
      <c r="AA55" s="137">
        <f t="shared" ref="AA55:AF55" si="126">$X$13*0.02</f>
        <v>129.15</v>
      </c>
      <c r="AB55" s="137">
        <f t="shared" si="126"/>
        <v>129.15</v>
      </c>
      <c r="AC55" s="137">
        <f t="shared" si="126"/>
        <v>129.15</v>
      </c>
      <c r="AD55" s="137">
        <f t="shared" si="126"/>
        <v>129.15</v>
      </c>
      <c r="AE55" s="137">
        <f t="shared" si="126"/>
        <v>129.15</v>
      </c>
      <c r="AF55" s="137">
        <f t="shared" si="126"/>
        <v>129.15</v>
      </c>
      <c r="AG55" s="137">
        <f t="shared" ref="AG55:AH55" si="127">$X$13*0</f>
        <v>0</v>
      </c>
      <c r="AH55" s="175">
        <f t="shared" si="127"/>
        <v>0</v>
      </c>
      <c r="AI55" s="137">
        <f t="shared" ref="AI55:AR55" si="128">$X$13*0.02</f>
        <v>129.15</v>
      </c>
      <c r="AJ55" s="137">
        <f t="shared" si="128"/>
        <v>129.15</v>
      </c>
      <c r="AK55" s="137">
        <f t="shared" si="128"/>
        <v>129.15</v>
      </c>
      <c r="AL55" s="137">
        <f t="shared" si="128"/>
        <v>129.15</v>
      </c>
      <c r="AM55" s="137">
        <f t="shared" si="128"/>
        <v>129.15</v>
      </c>
      <c r="AN55" s="137">
        <f t="shared" si="128"/>
        <v>129.15</v>
      </c>
      <c r="AO55" s="137">
        <f t="shared" si="128"/>
        <v>129.15</v>
      </c>
      <c r="AP55" s="137">
        <f t="shared" si="128"/>
        <v>129.15</v>
      </c>
      <c r="AQ55" s="137">
        <f t="shared" si="128"/>
        <v>129.15</v>
      </c>
      <c r="AR55" s="137">
        <f t="shared" si="128"/>
        <v>129.15</v>
      </c>
      <c r="AS55" s="137">
        <v>0.0</v>
      </c>
      <c r="AT55" s="137">
        <f t="shared" ref="AT55:AW55" si="129">$X$13*0.02</f>
        <v>129.15</v>
      </c>
      <c r="AU55" s="137">
        <f t="shared" si="129"/>
        <v>129.15</v>
      </c>
      <c r="AV55" s="137">
        <f t="shared" si="129"/>
        <v>129.15</v>
      </c>
      <c r="AW55" s="137">
        <f t="shared" si="129"/>
        <v>129.15</v>
      </c>
      <c r="AX55" s="137">
        <v>0.0</v>
      </c>
      <c r="AY55" s="137">
        <v>0.0</v>
      </c>
      <c r="AZ55" s="137">
        <f>$X$13*0.02</f>
        <v>129.15</v>
      </c>
      <c r="BA55" s="137">
        <v>-400.0</v>
      </c>
      <c r="BB55" s="137">
        <v>-400.0</v>
      </c>
      <c r="BC55" s="137">
        <v>0.0</v>
      </c>
      <c r="BD55" s="137">
        <v>0.0</v>
      </c>
      <c r="BE55" s="137">
        <v>0.0</v>
      </c>
      <c r="BF55" s="137">
        <v>0.0</v>
      </c>
      <c r="BG55" s="137">
        <v>0.0</v>
      </c>
      <c r="BH55" s="137">
        <v>0.0</v>
      </c>
      <c r="BI55" s="137">
        <v>0.0</v>
      </c>
      <c r="BJ55" s="137">
        <v>0.0</v>
      </c>
      <c r="BK55" s="175"/>
      <c r="BL55" s="137">
        <v>-2500.0</v>
      </c>
      <c r="BM55" s="194">
        <v>-5000.0</v>
      </c>
      <c r="BN55" s="194">
        <v>-5000.0</v>
      </c>
      <c r="BO55" s="194">
        <v>-5000.0</v>
      </c>
      <c r="BP55" s="194">
        <v>-5000.0</v>
      </c>
      <c r="BQ55" s="194">
        <v>-5000.0</v>
      </c>
      <c r="BR55" s="194">
        <v>-5000.0</v>
      </c>
      <c r="BS55" s="194">
        <v>-5000.0</v>
      </c>
      <c r="BT55" s="194">
        <v>-5000.0</v>
      </c>
      <c r="BU55" s="137">
        <v>-500.0</v>
      </c>
      <c r="BV55" s="137">
        <v>-500.0</v>
      </c>
      <c r="BW55" s="137">
        <v>-500.0</v>
      </c>
    </row>
    <row r="56">
      <c r="A56" s="219"/>
      <c r="B56" s="223" t="s">
        <v>247</v>
      </c>
      <c r="C56" s="137"/>
      <c r="D56" s="137"/>
      <c r="E56" s="137"/>
      <c r="F56" s="137"/>
      <c r="G56" s="137"/>
      <c r="H56" s="137"/>
      <c r="I56" s="137"/>
      <c r="J56" s="137">
        <v>0.0</v>
      </c>
      <c r="K56" s="137">
        <v>0.0</v>
      </c>
      <c r="L56" s="137">
        <v>0.0</v>
      </c>
      <c r="M56" s="137">
        <v>0.0</v>
      </c>
      <c r="N56" s="137">
        <v>0.0</v>
      </c>
      <c r="O56" s="137">
        <f>O13*0</f>
        <v>0</v>
      </c>
      <c r="P56" s="137">
        <v>500.0</v>
      </c>
      <c r="Q56" s="137">
        <f>25+100+100+450</f>
        <v>675</v>
      </c>
      <c r="R56" s="137">
        <f>R13*0.065</f>
        <v>432.7375</v>
      </c>
      <c r="S56" s="137">
        <v>225.0</v>
      </c>
      <c r="T56" s="137">
        <f>T13*0.02</f>
        <v>129.15</v>
      </c>
      <c r="U56" s="137">
        <v>0.0</v>
      </c>
      <c r="V56" s="137">
        <v>200.0</v>
      </c>
      <c r="W56" s="137">
        <v>100.0</v>
      </c>
      <c r="X56" s="137">
        <f t="shared" ref="X56:Y56" si="130">$X$13*0.06</f>
        <v>387.45</v>
      </c>
      <c r="Y56" s="137">
        <f t="shared" si="130"/>
        <v>387.45</v>
      </c>
      <c r="Z56" s="137">
        <f>$X$13*0.1</f>
        <v>645.75</v>
      </c>
      <c r="AA56" s="194">
        <f>AA13*0.1</f>
        <v>880</v>
      </c>
      <c r="AB56" s="137">
        <f>$X$13*0.07</f>
        <v>452.025</v>
      </c>
      <c r="AC56" s="137">
        <f>$X$13*0.06</f>
        <v>387.45</v>
      </c>
      <c r="AD56" s="137">
        <f>$X$13*0.08</f>
        <v>516.6</v>
      </c>
      <c r="AE56" s="137">
        <f t="shared" ref="AE56:AF56" si="131">$X$13*0.06</f>
        <v>387.45</v>
      </c>
      <c r="AF56" s="137">
        <f t="shared" si="131"/>
        <v>387.45</v>
      </c>
      <c r="AG56" s="137">
        <f t="shared" ref="AG56:AH56" si="132">$X$13*0</f>
        <v>0</v>
      </c>
      <c r="AH56" s="175">
        <f t="shared" si="132"/>
        <v>0</v>
      </c>
      <c r="AI56" s="137">
        <f t="shared" ref="AI56:AO56" si="133">$X$13*0.078</f>
        <v>503.685</v>
      </c>
      <c r="AJ56" s="137">
        <f t="shared" si="133"/>
        <v>503.685</v>
      </c>
      <c r="AK56" s="137">
        <f t="shared" si="133"/>
        <v>503.685</v>
      </c>
      <c r="AL56" s="137">
        <f t="shared" si="133"/>
        <v>503.685</v>
      </c>
      <c r="AM56" s="137">
        <f t="shared" si="133"/>
        <v>503.685</v>
      </c>
      <c r="AN56" s="137">
        <f t="shared" si="133"/>
        <v>503.685</v>
      </c>
      <c r="AO56" s="137">
        <f t="shared" si="133"/>
        <v>503.685</v>
      </c>
      <c r="AP56" s="137">
        <f>$X$13*0.5</f>
        <v>3228.75</v>
      </c>
      <c r="AQ56" s="137">
        <f t="shared" ref="AQ56:AW56" si="134">$X$13*0.078</f>
        <v>503.685</v>
      </c>
      <c r="AR56" s="137">
        <f t="shared" si="134"/>
        <v>503.685</v>
      </c>
      <c r="AS56" s="137">
        <f t="shared" si="134"/>
        <v>503.685</v>
      </c>
      <c r="AT56" s="137">
        <f t="shared" si="134"/>
        <v>503.685</v>
      </c>
      <c r="AU56" s="137">
        <f t="shared" si="134"/>
        <v>503.685</v>
      </c>
      <c r="AV56" s="137">
        <f t="shared" si="134"/>
        <v>503.685</v>
      </c>
      <c r="AW56" s="137">
        <f t="shared" si="134"/>
        <v>503.685</v>
      </c>
      <c r="AX56" s="137">
        <v>0.0</v>
      </c>
      <c r="AY56" s="137">
        <v>0.0</v>
      </c>
      <c r="AZ56" s="137">
        <f>$X$13*0.078</f>
        <v>503.685</v>
      </c>
      <c r="BA56" s="137">
        <v>-500.0</v>
      </c>
      <c r="BB56" s="137">
        <v>-500.0</v>
      </c>
      <c r="BC56" s="137">
        <v>0.0</v>
      </c>
      <c r="BD56" s="137">
        <v>0.0</v>
      </c>
      <c r="BE56" s="137">
        <v>0.0</v>
      </c>
      <c r="BF56" s="137">
        <v>0.0</v>
      </c>
      <c r="BG56" s="137">
        <v>0.0</v>
      </c>
      <c r="BH56" s="137">
        <v>0.0</v>
      </c>
      <c r="BI56" s="137">
        <v>-500.0</v>
      </c>
      <c r="BJ56" s="137">
        <v>-500.0</v>
      </c>
      <c r="BK56" s="175"/>
      <c r="BL56" s="137">
        <v>-10000.0</v>
      </c>
      <c r="BM56" s="194">
        <v>-10000.0</v>
      </c>
      <c r="BN56" s="194">
        <v>-10000.0</v>
      </c>
      <c r="BO56" s="194">
        <v>-10000.0</v>
      </c>
      <c r="BP56" s="194">
        <v>-5000.0</v>
      </c>
      <c r="BQ56" s="194">
        <v>-5000.0</v>
      </c>
      <c r="BR56" s="194">
        <v>-5000.0</v>
      </c>
      <c r="BS56" s="194">
        <v>-5000.0</v>
      </c>
      <c r="BT56" s="194">
        <v>-5000.0</v>
      </c>
      <c r="BU56" s="137">
        <v>-500.0</v>
      </c>
      <c r="BV56" s="137">
        <v>-500.0</v>
      </c>
      <c r="BW56" s="137">
        <v>-500.0</v>
      </c>
    </row>
    <row r="57">
      <c r="A57" s="228"/>
      <c r="B57" s="696" t="s">
        <v>248</v>
      </c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>
        <f t="shared" ref="M57:N57" si="135">M4*0.03</f>
        <v>300</v>
      </c>
      <c r="N57" s="222">
        <f t="shared" si="135"/>
        <v>300</v>
      </c>
      <c r="O57" s="222">
        <f t="shared" ref="O57:BB57" si="136">O12</f>
        <v>400</v>
      </c>
      <c r="P57" s="222">
        <f t="shared" si="136"/>
        <v>400</v>
      </c>
      <c r="Q57" s="222">
        <f t="shared" si="136"/>
        <v>307.5</v>
      </c>
      <c r="R57" s="222">
        <f t="shared" si="136"/>
        <v>307.5</v>
      </c>
      <c r="S57" s="222">
        <f t="shared" si="136"/>
        <v>307.5</v>
      </c>
      <c r="T57" s="222">
        <f t="shared" si="136"/>
        <v>307.5</v>
      </c>
      <c r="U57" s="222">
        <f t="shared" si="136"/>
        <v>307.5</v>
      </c>
      <c r="V57" s="222">
        <f t="shared" si="136"/>
        <v>307.5</v>
      </c>
      <c r="W57" s="222">
        <f t="shared" si="136"/>
        <v>307.5</v>
      </c>
      <c r="X57" s="222">
        <f t="shared" si="136"/>
        <v>307.5</v>
      </c>
      <c r="Y57" s="222">
        <f t="shared" si="136"/>
        <v>307.5</v>
      </c>
      <c r="Z57" s="222">
        <f t="shared" si="136"/>
        <v>0</v>
      </c>
      <c r="AA57" s="222">
        <f t="shared" si="136"/>
        <v>0</v>
      </c>
      <c r="AB57" s="222">
        <f t="shared" si="136"/>
        <v>0</v>
      </c>
      <c r="AC57" s="222">
        <f t="shared" si="136"/>
        <v>333.3333333</v>
      </c>
      <c r="AD57" s="222">
        <f t="shared" si="136"/>
        <v>53.33333333</v>
      </c>
      <c r="AE57" s="222">
        <f t="shared" si="136"/>
        <v>53.33333333</v>
      </c>
      <c r="AF57" s="222">
        <f t="shared" si="136"/>
        <v>0</v>
      </c>
      <c r="AG57" s="222">
        <f t="shared" si="136"/>
        <v>0</v>
      </c>
      <c r="AH57" s="230">
        <f t="shared" si="136"/>
        <v>0</v>
      </c>
      <c r="AI57" s="222">
        <f t="shared" si="136"/>
        <v>333.3333333</v>
      </c>
      <c r="AJ57" s="222">
        <f t="shared" si="136"/>
        <v>333.3333333</v>
      </c>
      <c r="AK57" s="222">
        <f t="shared" si="136"/>
        <v>0</v>
      </c>
      <c r="AL57" s="222">
        <f t="shared" si="136"/>
        <v>0</v>
      </c>
      <c r="AM57" s="222">
        <f t="shared" si="136"/>
        <v>0</v>
      </c>
      <c r="AN57" s="222">
        <f t="shared" si="136"/>
        <v>0</v>
      </c>
      <c r="AO57" s="222">
        <f t="shared" si="136"/>
        <v>0</v>
      </c>
      <c r="AP57" s="222">
        <f t="shared" si="136"/>
        <v>0</v>
      </c>
      <c r="AQ57" s="222">
        <f t="shared" si="136"/>
        <v>0</v>
      </c>
      <c r="AR57" s="222">
        <f t="shared" si="136"/>
        <v>0</v>
      </c>
      <c r="AS57" s="222">
        <f t="shared" si="136"/>
        <v>0</v>
      </c>
      <c r="AT57" s="222">
        <f t="shared" si="136"/>
        <v>0</v>
      </c>
      <c r="AU57" s="222">
        <f t="shared" si="136"/>
        <v>0</v>
      </c>
      <c r="AV57" s="222">
        <f t="shared" si="136"/>
        <v>0</v>
      </c>
      <c r="AW57" s="222">
        <f t="shared" si="136"/>
        <v>0</v>
      </c>
      <c r="AX57" s="222">
        <f t="shared" si="136"/>
        <v>0</v>
      </c>
      <c r="AY57" s="222">
        <f t="shared" si="136"/>
        <v>0</v>
      </c>
      <c r="AZ57" s="222">
        <f t="shared" si="136"/>
        <v>0</v>
      </c>
      <c r="BA57" s="137">
        <f t="shared" si="136"/>
        <v>0</v>
      </c>
      <c r="BB57" s="137">
        <f t="shared" si="136"/>
        <v>0</v>
      </c>
      <c r="BC57" s="137">
        <v>0.0</v>
      </c>
      <c r="BD57" s="137">
        <v>0.0</v>
      </c>
      <c r="BE57" s="137">
        <v>0.0</v>
      </c>
      <c r="BF57" s="137">
        <v>0.0</v>
      </c>
      <c r="BG57" s="137">
        <f t="shared" ref="BG57:BH57" si="137">-0</f>
        <v>0</v>
      </c>
      <c r="BH57" s="137">
        <f t="shared" si="137"/>
        <v>0</v>
      </c>
      <c r="BI57" s="137">
        <f t="shared" ref="BI57:BJ57" si="138">0</f>
        <v>0</v>
      </c>
      <c r="BJ57" s="137">
        <f t="shared" si="138"/>
        <v>0</v>
      </c>
      <c r="BK57" s="175"/>
      <c r="BL57" s="137">
        <f t="shared" ref="BL57:BQ57" si="139">-1000</f>
        <v>-1000</v>
      </c>
      <c r="BM57" s="194">
        <f t="shared" si="139"/>
        <v>-1000</v>
      </c>
      <c r="BN57" s="194">
        <f t="shared" si="139"/>
        <v>-1000</v>
      </c>
      <c r="BO57" s="194">
        <f t="shared" si="139"/>
        <v>-1000</v>
      </c>
      <c r="BP57" s="194">
        <f t="shared" si="139"/>
        <v>-1000</v>
      </c>
      <c r="BQ57" s="194">
        <f t="shared" si="139"/>
        <v>-1000</v>
      </c>
      <c r="BR57" s="137">
        <v>-500.0</v>
      </c>
      <c r="BS57" s="137">
        <v>-500.0</v>
      </c>
      <c r="BT57" s="137">
        <v>-500.0</v>
      </c>
      <c r="BU57" s="137">
        <v>-500.0</v>
      </c>
      <c r="BV57" s="137">
        <v>-500.0</v>
      </c>
      <c r="BW57" s="137">
        <v>-500.0</v>
      </c>
    </row>
    <row r="58">
      <c r="A58" s="228"/>
      <c r="B58" s="696" t="s">
        <v>249</v>
      </c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  <c r="Z58" s="222"/>
      <c r="AA58" s="222"/>
      <c r="AB58" s="222"/>
      <c r="AC58" s="222"/>
      <c r="AD58" s="222"/>
      <c r="AE58" s="222"/>
      <c r="AF58" s="222"/>
      <c r="AG58" s="222"/>
      <c r="AH58" s="230"/>
      <c r="AI58" s="222"/>
      <c r="AJ58" s="222"/>
      <c r="AK58" s="222"/>
      <c r="AL58" s="222"/>
      <c r="AM58" s="222"/>
      <c r="AN58" s="222"/>
      <c r="AO58" s="222"/>
      <c r="AP58" s="222"/>
      <c r="AQ58" s="222"/>
      <c r="AR58" s="222"/>
      <c r="AS58" s="222"/>
      <c r="AT58" s="222"/>
      <c r="AU58" s="222"/>
      <c r="AV58" s="222"/>
      <c r="AW58" s="222"/>
      <c r="AX58" s="222"/>
      <c r="AY58" s="222"/>
      <c r="AZ58" s="222"/>
      <c r="BA58" s="137"/>
      <c r="BB58" s="137"/>
      <c r="BC58" s="137"/>
      <c r="BD58" s="137"/>
      <c r="BE58" s="137"/>
      <c r="BF58" s="137"/>
      <c r="BG58" s="137"/>
      <c r="BH58" s="137">
        <v>0.0</v>
      </c>
      <c r="BI58" s="137">
        <v>0.0</v>
      </c>
      <c r="BJ58" s="137">
        <v>0.0</v>
      </c>
      <c r="BK58" s="175"/>
      <c r="BL58" s="137">
        <v>-500.0</v>
      </c>
      <c r="BM58" s="194">
        <v>-500.0</v>
      </c>
      <c r="BN58" s="194">
        <v>-500.0</v>
      </c>
      <c r="BO58" s="194">
        <v>-500.0</v>
      </c>
      <c r="BP58" s="194">
        <v>-500.0</v>
      </c>
      <c r="BQ58" s="194">
        <v>-500.0</v>
      </c>
      <c r="BR58" s="194">
        <v>-500.0</v>
      </c>
      <c r="BS58" s="194">
        <v>-500.0</v>
      </c>
      <c r="BT58" s="194">
        <v>-500.0</v>
      </c>
      <c r="BU58" s="194">
        <v>-500.0</v>
      </c>
      <c r="BV58" s="194">
        <v>-500.0</v>
      </c>
      <c r="BW58" s="194">
        <v>-500.0</v>
      </c>
    </row>
    <row r="59">
      <c r="A59" s="171" t="s">
        <v>947</v>
      </c>
      <c r="B59" s="176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75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75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</row>
    <row r="60">
      <c r="A60" s="199"/>
      <c r="B60" s="137" t="s">
        <v>251</v>
      </c>
      <c r="C60" s="137"/>
      <c r="D60" s="137"/>
      <c r="E60" s="137"/>
      <c r="F60" s="137"/>
      <c r="G60" s="137"/>
      <c r="H60" s="175"/>
      <c r="I60" s="137">
        <v>0.0</v>
      </c>
      <c r="J60" s="137">
        <v>0.0</v>
      </c>
      <c r="K60" s="137">
        <f t="shared" ref="K60:L60" si="140">K14*0</f>
        <v>0</v>
      </c>
      <c r="L60" s="137">
        <f t="shared" si="140"/>
        <v>0</v>
      </c>
      <c r="M60" s="137">
        <v>0.0</v>
      </c>
      <c r="N60" s="137">
        <v>0.0</v>
      </c>
      <c r="O60" s="137">
        <f>O13*0.01</f>
        <v>72</v>
      </c>
      <c r="P60" s="137">
        <v>0.0</v>
      </c>
      <c r="Q60" s="137">
        <f>70+20+20</f>
        <v>110</v>
      </c>
      <c r="R60" s="137">
        <v>0.0</v>
      </c>
      <c r="S60" s="137">
        <v>0.0</v>
      </c>
      <c r="T60" s="137">
        <v>125.0</v>
      </c>
      <c r="U60" s="137">
        <v>0.0</v>
      </c>
      <c r="V60" s="137">
        <f t="shared" ref="V60:W60" si="141">V13*0.01</f>
        <v>67.575</v>
      </c>
      <c r="W60" s="137">
        <f t="shared" si="141"/>
        <v>64.575</v>
      </c>
      <c r="X60" s="137">
        <f t="shared" ref="X60:Z60" si="142">X13*0.02</f>
        <v>129.15</v>
      </c>
      <c r="Y60" s="137">
        <f t="shared" si="142"/>
        <v>241.15</v>
      </c>
      <c r="Z60" s="137">
        <f t="shared" si="142"/>
        <v>176</v>
      </c>
      <c r="AA60" s="137">
        <f>AA13*0</f>
        <v>0</v>
      </c>
      <c r="AB60" s="137">
        <f>AB13*0.02</f>
        <v>176</v>
      </c>
      <c r="AC60" s="137">
        <f t="shared" ref="AC60:AE60" si="143">AC13*0.01</f>
        <v>91.66666667</v>
      </c>
      <c r="AD60" s="137">
        <f t="shared" si="143"/>
        <v>87.46666667</v>
      </c>
      <c r="AE60" s="137">
        <f t="shared" si="143"/>
        <v>197.4666667</v>
      </c>
      <c r="AF60" s="137">
        <f t="shared" ref="AF60:AH60" si="144">AF13*0</f>
        <v>0</v>
      </c>
      <c r="AG60" s="137">
        <f t="shared" si="144"/>
        <v>0</v>
      </c>
      <c r="AH60" s="175">
        <f t="shared" si="144"/>
        <v>0</v>
      </c>
      <c r="AI60" s="137">
        <f t="shared" ref="AI60:AN60" si="145">AI13*0.01</f>
        <v>84.66666667</v>
      </c>
      <c r="AJ60" s="137">
        <f t="shared" si="145"/>
        <v>84.66666667</v>
      </c>
      <c r="AK60" s="137">
        <f t="shared" si="145"/>
        <v>187.75</v>
      </c>
      <c r="AL60" s="137">
        <f t="shared" si="145"/>
        <v>115.5</v>
      </c>
      <c r="AM60" s="137">
        <f t="shared" si="145"/>
        <v>115.5</v>
      </c>
      <c r="AN60" s="137">
        <f t="shared" si="145"/>
        <v>215.5</v>
      </c>
      <c r="AO60" s="137">
        <f>AO13*0</f>
        <v>0</v>
      </c>
      <c r="AP60" s="137">
        <f>1000</f>
        <v>1000</v>
      </c>
      <c r="AQ60" s="137">
        <f t="shared" ref="AQ60:AR60" si="146">AQ13*0.01</f>
        <v>115.5</v>
      </c>
      <c r="AR60" s="137">
        <f t="shared" si="146"/>
        <v>115.5</v>
      </c>
      <c r="AS60" s="137">
        <v>400.0</v>
      </c>
      <c r="AT60" s="137">
        <v>0.0</v>
      </c>
      <c r="AU60" s="137">
        <f t="shared" ref="AU60:AX60" si="147">AU13*0.01</f>
        <v>277.5</v>
      </c>
      <c r="AV60" s="137">
        <f t="shared" si="147"/>
        <v>115.5</v>
      </c>
      <c r="AW60" s="137">
        <f t="shared" si="147"/>
        <v>115.5</v>
      </c>
      <c r="AX60" s="137">
        <f t="shared" si="147"/>
        <v>148.94</v>
      </c>
      <c r="AY60" s="137">
        <f t="shared" ref="AY60:BA60" si="148">AY13*0</f>
        <v>0</v>
      </c>
      <c r="AZ60" s="137">
        <f t="shared" si="148"/>
        <v>0</v>
      </c>
      <c r="BA60" s="137">
        <f t="shared" si="148"/>
        <v>0</v>
      </c>
      <c r="BB60" s="137">
        <f t="shared" ref="BB60:BE60" si="149">-100</f>
        <v>-100</v>
      </c>
      <c r="BC60" s="137">
        <f t="shared" si="149"/>
        <v>-100</v>
      </c>
      <c r="BD60" s="137">
        <f t="shared" si="149"/>
        <v>-100</v>
      </c>
      <c r="BE60" s="137">
        <f t="shared" si="149"/>
        <v>-100</v>
      </c>
      <c r="BF60" s="137">
        <f t="shared" ref="BF60:BH60" si="150">-50</f>
        <v>-50</v>
      </c>
      <c r="BG60" s="137">
        <f t="shared" si="150"/>
        <v>-50</v>
      </c>
      <c r="BH60" s="137">
        <f t="shared" si="150"/>
        <v>-50</v>
      </c>
      <c r="BI60" s="137">
        <f t="shared" ref="BI60:BJ60" si="151">-100</f>
        <v>-100</v>
      </c>
      <c r="BJ60" s="137">
        <f t="shared" si="151"/>
        <v>-100</v>
      </c>
      <c r="BK60" s="175"/>
      <c r="BL60" s="137">
        <v>-200.0</v>
      </c>
      <c r="BM60" s="137">
        <v>-200.0</v>
      </c>
      <c r="BN60" s="137">
        <v>-200.0</v>
      </c>
      <c r="BO60" s="137">
        <v>-200.0</v>
      </c>
      <c r="BP60" s="137">
        <v>-200.0</v>
      </c>
      <c r="BQ60" s="137">
        <v>-200.0</v>
      </c>
      <c r="BR60" s="137">
        <v>-200.0</v>
      </c>
      <c r="BS60" s="137">
        <v>-200.0</v>
      </c>
      <c r="BT60" s="137">
        <v>-200.0</v>
      </c>
      <c r="BU60" s="137">
        <v>-200.0</v>
      </c>
      <c r="BV60" s="137">
        <v>-200.0</v>
      </c>
      <c r="BW60" s="137">
        <v>-200.0</v>
      </c>
    </row>
    <row r="61">
      <c r="A61" s="234" t="s">
        <v>252</v>
      </c>
      <c r="B61" s="235"/>
      <c r="C61" s="236" t="str">
        <f>C13-C45-#REF!-C49+'BUDGET 2018 (Archive)'!O35</f>
        <v>#REF!</v>
      </c>
      <c r="D61" s="236" t="str">
        <f>D13-D45-#REF!-D49+'BUDGET 2018 (Archive)'!P35</f>
        <v>#REF!</v>
      </c>
      <c r="E61" s="236" t="str">
        <f>E13-E45-#REF!-E49+'BUDGET 2018 (Archive)'!Q35</f>
        <v>#REF!</v>
      </c>
      <c r="F61" s="236" t="str">
        <f>F13-F45-#REF!-F49+'BUDGET 2018 (Archive)'!R35</f>
        <v>#REF!</v>
      </c>
      <c r="G61" s="236" t="str">
        <f>G13-G45-#REF!-G49+'BUDGET 2018 (Archive)'!S35</f>
        <v>#REF!</v>
      </c>
      <c r="H61" s="237" t="str">
        <f>H13-H45-#REF!-H49+'BUDGET 2018 (Archive)'!T35</f>
        <v>#REF!</v>
      </c>
      <c r="I61" s="236" t="str">
        <f>H61+I13-I45-#REF!-#REF!-I49</f>
        <v>#REF!</v>
      </c>
      <c r="J61" s="236">
        <f t="shared" ref="J61:L61" si="152">sum(J49:J60)</f>
        <v>3200</v>
      </c>
      <c r="K61" s="236">
        <f t="shared" si="152"/>
        <v>1000</v>
      </c>
      <c r="L61" s="236">
        <f t="shared" si="152"/>
        <v>1495</v>
      </c>
      <c r="M61" s="236">
        <f t="shared" ref="M61:O61" si="153">sum(M49:M56)+M60</f>
        <v>0</v>
      </c>
      <c r="N61" s="236">
        <f t="shared" si="153"/>
        <v>1757.5</v>
      </c>
      <c r="O61" s="236">
        <f t="shared" si="153"/>
        <v>2617</v>
      </c>
      <c r="P61" s="236">
        <f>sum(P49:P60)</f>
        <v>6954</v>
      </c>
      <c r="Q61" s="236">
        <f t="shared" ref="Q61:W61" si="154">sum(Q49:Q56)+Q60</f>
        <v>3093</v>
      </c>
      <c r="R61" s="236">
        <f t="shared" si="154"/>
        <v>3137.67975</v>
      </c>
      <c r="S61" s="236">
        <f t="shared" si="154"/>
        <v>6675</v>
      </c>
      <c r="T61" s="236">
        <f t="shared" si="154"/>
        <v>2126.825</v>
      </c>
      <c r="U61" s="236">
        <f t="shared" si="154"/>
        <v>2952.90525</v>
      </c>
      <c r="V61" s="236">
        <f t="shared" si="154"/>
        <v>3964.575</v>
      </c>
      <c r="W61" s="236">
        <f t="shared" si="154"/>
        <v>1611.825</v>
      </c>
      <c r="X61" s="236">
        <f t="shared" ref="X61:AO61" si="155">sum(X49:X57)</f>
        <v>2051.025</v>
      </c>
      <c r="Y61" s="236">
        <f t="shared" si="155"/>
        <v>2546.45</v>
      </c>
      <c r="Z61" s="236">
        <f t="shared" si="155"/>
        <v>3204.7</v>
      </c>
      <c r="AA61" s="236">
        <f t="shared" si="155"/>
        <v>4474.9525</v>
      </c>
      <c r="AB61" s="236">
        <f t="shared" si="155"/>
        <v>2793.2</v>
      </c>
      <c r="AC61" s="236">
        <f t="shared" si="155"/>
        <v>3135.291667</v>
      </c>
      <c r="AD61" s="236">
        <f t="shared" si="155"/>
        <v>3208.625</v>
      </c>
      <c r="AE61" s="236">
        <f t="shared" si="155"/>
        <v>14799.4225</v>
      </c>
      <c r="AF61" s="236">
        <f t="shared" si="155"/>
        <v>4333.1</v>
      </c>
      <c r="AG61" s="236">
        <f t="shared" si="155"/>
        <v>6671.5</v>
      </c>
      <c r="AH61" s="237">
        <f t="shared" si="155"/>
        <v>11870</v>
      </c>
      <c r="AI61" s="236">
        <f t="shared" si="155"/>
        <v>4942.193333</v>
      </c>
      <c r="AJ61" s="236">
        <f t="shared" si="155"/>
        <v>2942.193333</v>
      </c>
      <c r="AK61" s="236">
        <f t="shared" si="155"/>
        <v>4477.275</v>
      </c>
      <c r="AL61" s="236">
        <f t="shared" si="155"/>
        <v>8675.275</v>
      </c>
      <c r="AM61" s="236">
        <f t="shared" si="155"/>
        <v>5852.775</v>
      </c>
      <c r="AN61" s="236">
        <f t="shared" si="155"/>
        <v>13398.585</v>
      </c>
      <c r="AO61" s="236">
        <f t="shared" si="155"/>
        <v>2533.585</v>
      </c>
      <c r="AP61" s="236">
        <f>sum(AP49:AP60)</f>
        <v>28003.65</v>
      </c>
      <c r="AQ61" s="236">
        <f t="shared" ref="AQ61:AZ61" si="156">sum(AQ49:AQ57)</f>
        <v>2433.585</v>
      </c>
      <c r="AR61" s="236">
        <f t="shared" si="156"/>
        <v>11201.085</v>
      </c>
      <c r="AS61" s="236">
        <f t="shared" si="156"/>
        <v>4291.56</v>
      </c>
      <c r="AT61" s="236">
        <f t="shared" si="156"/>
        <v>9429.14</v>
      </c>
      <c r="AU61" s="236">
        <f t="shared" si="156"/>
        <v>16828.585</v>
      </c>
      <c r="AV61" s="236">
        <f t="shared" si="156"/>
        <v>2433.585</v>
      </c>
      <c r="AW61" s="236">
        <f t="shared" si="156"/>
        <v>4640.71</v>
      </c>
      <c r="AX61" s="236">
        <f t="shared" si="156"/>
        <v>4489.4</v>
      </c>
      <c r="AY61" s="236">
        <f t="shared" si="156"/>
        <v>2335</v>
      </c>
      <c r="AZ61" s="236">
        <f t="shared" si="156"/>
        <v>17855.71</v>
      </c>
      <c r="BA61" s="238">
        <f t="shared" ref="BA61:BJ61" si="157">sum(BA49:BA60)</f>
        <v>-21399</v>
      </c>
      <c r="BB61" s="238">
        <f t="shared" si="157"/>
        <v>-4200</v>
      </c>
      <c r="BC61" s="238">
        <f t="shared" si="157"/>
        <v>-7200</v>
      </c>
      <c r="BD61" s="238">
        <f t="shared" si="157"/>
        <v>-3400</v>
      </c>
      <c r="BE61" s="238">
        <f t="shared" si="157"/>
        <v>-9600</v>
      </c>
      <c r="BF61" s="238">
        <f t="shared" si="157"/>
        <v>-37950</v>
      </c>
      <c r="BG61" s="238">
        <f t="shared" si="157"/>
        <v>-10450</v>
      </c>
      <c r="BH61" s="238">
        <f t="shared" si="157"/>
        <v>-15450</v>
      </c>
      <c r="BI61" s="238">
        <f t="shared" si="157"/>
        <v>-5200</v>
      </c>
      <c r="BJ61" s="238">
        <f t="shared" si="157"/>
        <v>-8700</v>
      </c>
      <c r="BK61" s="239"/>
      <c r="BL61" s="238">
        <f t="shared" ref="BL61:BW61" si="158">sum(BL49:BL60)</f>
        <v>-198299</v>
      </c>
      <c r="BM61" s="238">
        <f t="shared" si="158"/>
        <v>-17700</v>
      </c>
      <c r="BN61" s="238">
        <f t="shared" si="158"/>
        <v>-17700</v>
      </c>
      <c r="BO61" s="238">
        <f t="shared" si="158"/>
        <v>-17700</v>
      </c>
      <c r="BP61" s="238">
        <f t="shared" si="158"/>
        <v>-12700</v>
      </c>
      <c r="BQ61" s="238">
        <f t="shared" si="158"/>
        <v>-12700</v>
      </c>
      <c r="BR61" s="238">
        <f t="shared" si="158"/>
        <v>-12600</v>
      </c>
      <c r="BS61" s="238">
        <f t="shared" si="158"/>
        <v>-12600</v>
      </c>
      <c r="BT61" s="238">
        <f t="shared" si="158"/>
        <v>-12600</v>
      </c>
      <c r="BU61" s="238">
        <f t="shared" si="158"/>
        <v>-3600</v>
      </c>
      <c r="BV61" s="238">
        <f t="shared" si="158"/>
        <v>-3600</v>
      </c>
      <c r="BW61" s="238">
        <f t="shared" si="158"/>
        <v>-3600</v>
      </c>
    </row>
    <row r="62">
      <c r="A62" s="240"/>
      <c r="B62" s="241"/>
      <c r="C62" s="177"/>
      <c r="D62" s="177"/>
      <c r="E62" s="177"/>
      <c r="F62" s="177"/>
      <c r="G62" s="177"/>
      <c r="H62" s="178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78"/>
      <c r="AI62" s="177"/>
      <c r="AJ62" s="177"/>
      <c r="AK62" s="177"/>
      <c r="AL62" s="177"/>
      <c r="AM62" s="177"/>
      <c r="AN62" s="177"/>
      <c r="AO62" s="177"/>
      <c r="AP62" s="177"/>
      <c r="AQ62" s="177"/>
      <c r="AR62" s="177"/>
      <c r="AS62" s="177"/>
      <c r="AT62" s="177"/>
      <c r="AU62" s="177"/>
      <c r="AV62" s="177"/>
      <c r="AW62" s="177"/>
      <c r="AX62" s="177"/>
      <c r="AY62" s="177"/>
      <c r="AZ62" s="177"/>
      <c r="BA62" s="177"/>
      <c r="BB62" s="177"/>
      <c r="BC62" s="177"/>
      <c r="BD62" s="177"/>
      <c r="BE62" s="177"/>
      <c r="BF62" s="177"/>
      <c r="BG62" s="177"/>
      <c r="BH62" s="177"/>
      <c r="BI62" s="177"/>
      <c r="BJ62" s="177"/>
      <c r="BK62" s="178"/>
      <c r="BL62" s="177"/>
      <c r="BM62" s="177"/>
      <c r="BN62" s="177"/>
      <c r="BO62" s="177"/>
      <c r="BP62" s="177"/>
      <c r="BQ62" s="177"/>
      <c r="BR62" s="177"/>
      <c r="BS62" s="177"/>
      <c r="BT62" s="177"/>
      <c r="BU62" s="177"/>
      <c r="BV62" s="177"/>
      <c r="BW62" s="177"/>
    </row>
    <row r="63">
      <c r="A63" s="243"/>
      <c r="B63" s="244"/>
      <c r="C63" s="245"/>
      <c r="D63" s="245"/>
      <c r="E63" s="245"/>
      <c r="F63" s="245"/>
      <c r="G63" s="245"/>
      <c r="H63" s="246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  <c r="AB63" s="245"/>
      <c r="AC63" s="245"/>
      <c r="AD63" s="245"/>
      <c r="AE63" s="245"/>
      <c r="AF63" s="245"/>
      <c r="AG63" s="245"/>
      <c r="AH63" s="246"/>
      <c r="AI63" s="245"/>
      <c r="AJ63" s="245"/>
      <c r="AK63" s="245"/>
      <c r="AL63" s="245"/>
      <c r="AM63" s="245"/>
      <c r="AN63" s="245"/>
      <c r="AO63" s="245"/>
      <c r="AP63" s="245"/>
      <c r="AQ63" s="245"/>
      <c r="AR63" s="245"/>
      <c r="AS63" s="245"/>
      <c r="AT63" s="245"/>
      <c r="AU63" s="245"/>
      <c r="AV63" s="245"/>
      <c r="AW63" s="245"/>
      <c r="AX63" s="245"/>
      <c r="AY63" s="245"/>
      <c r="AZ63" s="245"/>
      <c r="BA63" s="245"/>
      <c r="BB63" s="245"/>
      <c r="BC63" s="245"/>
      <c r="BD63" s="245"/>
      <c r="BE63" s="245"/>
      <c r="BF63" s="245"/>
      <c r="BG63" s="245"/>
      <c r="BH63" s="245"/>
      <c r="BI63" s="245"/>
      <c r="BJ63" s="245"/>
      <c r="BK63" s="246"/>
      <c r="BL63" s="245"/>
      <c r="BM63" s="245"/>
      <c r="BN63" s="245"/>
      <c r="BO63" s="245"/>
      <c r="BP63" s="245"/>
      <c r="BQ63" s="245"/>
      <c r="BR63" s="245"/>
      <c r="BS63" s="245"/>
      <c r="BT63" s="245"/>
      <c r="BU63" s="245"/>
      <c r="BV63" s="245"/>
      <c r="BW63" s="245"/>
    </row>
    <row r="64">
      <c r="A64" s="249" t="s">
        <v>253</v>
      </c>
      <c r="B64" s="250"/>
      <c r="C64" s="177"/>
      <c r="D64" s="177"/>
      <c r="E64" s="177"/>
      <c r="F64" s="177"/>
      <c r="G64" s="177"/>
      <c r="H64" s="178"/>
      <c r="I64" s="177"/>
      <c r="J64" s="177" t="str">
        <f t="shared" ref="J64:K64" si="159">J13-#REF!-J45-J61</f>
        <v>#REF!</v>
      </c>
      <c r="K64" s="177" t="str">
        <f t="shared" si="159"/>
        <v>#REF!</v>
      </c>
      <c r="L64" s="177" t="str">
        <f t="shared" ref="L64:M64" si="160">L13-#REF!-L45-L61+K64</f>
        <v>#REF!</v>
      </c>
      <c r="M64" s="177" t="str">
        <f t="shared" si="160"/>
        <v>#REF!</v>
      </c>
      <c r="N64" s="177">
        <f>N13-N45-N61</f>
        <v>2020.5</v>
      </c>
      <c r="O64" s="177">
        <f>N64+O13-O45-O61</f>
        <v>4252.5</v>
      </c>
      <c r="P64" s="177">
        <f>P13-P45-P61+P57</f>
        <v>297.0622682</v>
      </c>
      <c r="Q64" s="177">
        <f t="shared" ref="Q64:R64" si="161">Q13-Q45-Q61+Q57+P64</f>
        <v>575.2805322</v>
      </c>
      <c r="R64" s="177">
        <f t="shared" si="161"/>
        <v>608.5017101</v>
      </c>
      <c r="S64" s="177">
        <f>S13-S45-S61+S57+100</f>
        <v>513.050056</v>
      </c>
      <c r="T64" s="177">
        <f t="shared" ref="T64:W64" si="162">T13-T45-T61+T57+S64</f>
        <v>-1066.895358</v>
      </c>
      <c r="U64" s="177">
        <f t="shared" si="162"/>
        <v>890.1095741</v>
      </c>
      <c r="V64" s="177">
        <f t="shared" si="162"/>
        <v>-739.754882</v>
      </c>
      <c r="W64" s="177">
        <f t="shared" si="162"/>
        <v>1252.163362</v>
      </c>
      <c r="X64" s="177">
        <f>X13-X45-X61+X57</f>
        <v>-1951.510327</v>
      </c>
      <c r="Y64" s="177">
        <f t="shared" ref="Y64:AH64" si="163">Y13-Y45-Y61+Y57+X64</f>
        <v>2803.564673</v>
      </c>
      <c r="Z64" s="177">
        <f t="shared" si="163"/>
        <v>1629.214673</v>
      </c>
      <c r="AA64" s="177">
        <f t="shared" si="163"/>
        <v>-869.7278271</v>
      </c>
      <c r="AB64" s="177">
        <f t="shared" si="163"/>
        <v>179.5071729</v>
      </c>
      <c r="AC64" s="177">
        <f t="shared" si="163"/>
        <v>385.6505062</v>
      </c>
      <c r="AD64" s="177">
        <f t="shared" si="163"/>
        <v>1618.460506</v>
      </c>
      <c r="AE64" s="177">
        <f t="shared" si="163"/>
        <v>1760.473006</v>
      </c>
      <c r="AF64" s="177">
        <f t="shared" si="163"/>
        <v>3168.808006</v>
      </c>
      <c r="AG64" s="177">
        <f t="shared" si="163"/>
        <v>3338.743006</v>
      </c>
      <c r="AH64" s="178">
        <f t="shared" si="163"/>
        <v>6756.653006</v>
      </c>
      <c r="AI64" s="177">
        <f>AI13-AI45-AI61+AI57+AG64</f>
        <v>1457.459673</v>
      </c>
      <c r="AJ64" s="177">
        <f t="shared" ref="AJ64:AK64" si="164">AJ13-AJ45-AJ61+AJ57</f>
        <v>318.7166667</v>
      </c>
      <c r="AK64" s="177">
        <f t="shared" si="164"/>
        <v>8470.725</v>
      </c>
      <c r="AL64" s="177">
        <f t="shared" ref="AL64:AU64" si="165">AL13-AL45-AL61+AL57+AK64</f>
        <v>1168.45</v>
      </c>
      <c r="AM64" s="177">
        <f t="shared" si="165"/>
        <v>501.675</v>
      </c>
      <c r="AN64" s="177">
        <f t="shared" si="165"/>
        <v>2289.09</v>
      </c>
      <c r="AO64" s="177">
        <f t="shared" si="165"/>
        <v>5941.505</v>
      </c>
      <c r="AP64" s="177">
        <f t="shared" si="165"/>
        <v>2198.855</v>
      </c>
      <c r="AQ64" s="177">
        <f t="shared" si="165"/>
        <v>4926.27</v>
      </c>
      <c r="AR64" s="177">
        <f t="shared" si="165"/>
        <v>-1113.815</v>
      </c>
      <c r="AS64" s="177">
        <f t="shared" si="165"/>
        <v>-272.375</v>
      </c>
      <c r="AT64" s="177">
        <f t="shared" si="165"/>
        <v>210.595</v>
      </c>
      <c r="AU64" s="177">
        <f t="shared" si="165"/>
        <v>4643.01</v>
      </c>
      <c r="AV64" s="177">
        <f>0</f>
        <v>0</v>
      </c>
      <c r="AW64" s="177">
        <f t="shared" ref="AW64:AY64" si="166">AW13-AW45-AW61+AW57</f>
        <v>0.29</v>
      </c>
      <c r="AX64" s="177">
        <f t="shared" si="166"/>
        <v>2995.6</v>
      </c>
      <c r="AY64" s="177">
        <f t="shared" si="166"/>
        <v>5106</v>
      </c>
      <c r="AZ64" s="177">
        <f>AZ13-AZ45-AZ61+AZ57+AY64</f>
        <v>6566.29</v>
      </c>
      <c r="BA64" s="177">
        <f>sum(BA13,BA45,BA61)</f>
        <v>2484</v>
      </c>
      <c r="BB64" s="177">
        <f t="shared" ref="BB64:BE64" si="167">sum(BB13,BB45,BB61,BA64)</f>
        <v>2167</v>
      </c>
      <c r="BC64" s="177">
        <f t="shared" si="167"/>
        <v>-350</v>
      </c>
      <c r="BD64" s="177">
        <f t="shared" si="167"/>
        <v>-7263</v>
      </c>
      <c r="BE64" s="177">
        <f t="shared" si="167"/>
        <v>-14280</v>
      </c>
      <c r="BF64" s="177">
        <f>sum(BF13,BF45,BF61)</f>
        <v>883</v>
      </c>
      <c r="BG64" s="177">
        <f t="shared" ref="BG64:BJ64" si="168">sum(BG13,BG45,BG61,BF64)</f>
        <v>1581</v>
      </c>
      <c r="BH64" s="177">
        <f t="shared" si="168"/>
        <v>1964</v>
      </c>
      <c r="BI64" s="177">
        <f t="shared" si="168"/>
        <v>1447</v>
      </c>
      <c r="BJ64" s="177">
        <f t="shared" si="168"/>
        <v>-7620</v>
      </c>
      <c r="BK64" s="178"/>
      <c r="BL64" s="177">
        <f>sum(BL13,BL45,BL61,BJ64)</f>
        <v>1894</v>
      </c>
      <c r="BM64" s="177">
        <f t="shared" ref="BM64:BW64" si="169">sum(BM13,BM45,BM61,BL64)</f>
        <v>85207</v>
      </c>
      <c r="BN64" s="177">
        <f t="shared" si="169"/>
        <v>87670</v>
      </c>
      <c r="BO64" s="177">
        <f t="shared" si="169"/>
        <v>90133</v>
      </c>
      <c r="BP64" s="177">
        <f t="shared" si="169"/>
        <v>91498</v>
      </c>
      <c r="BQ64" s="177">
        <f t="shared" si="169"/>
        <v>90261</v>
      </c>
      <c r="BR64" s="177">
        <f t="shared" si="169"/>
        <v>96624</v>
      </c>
      <c r="BS64" s="177">
        <f t="shared" si="169"/>
        <v>102987</v>
      </c>
      <c r="BT64" s="177">
        <f t="shared" si="169"/>
        <v>109350</v>
      </c>
      <c r="BU64" s="177">
        <f t="shared" si="169"/>
        <v>124713</v>
      </c>
      <c r="BV64" s="177">
        <f t="shared" si="169"/>
        <v>140076</v>
      </c>
      <c r="BW64" s="177">
        <f t="shared" si="169"/>
        <v>155439</v>
      </c>
    </row>
    <row r="65">
      <c r="A65" s="251"/>
      <c r="B65" s="252"/>
      <c r="C65" s="177"/>
      <c r="D65" s="177"/>
      <c r="E65" s="177"/>
      <c r="F65" s="177"/>
      <c r="G65" s="177"/>
      <c r="H65" s="178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8"/>
      <c r="AI65" s="177"/>
      <c r="AJ65" s="177"/>
      <c r="AK65" s="177"/>
      <c r="AL65" s="177"/>
      <c r="AM65" s="177"/>
      <c r="AN65" s="177"/>
      <c r="AO65" s="177"/>
      <c r="AP65" s="177"/>
      <c r="AQ65" s="177"/>
      <c r="AR65" s="177"/>
      <c r="AS65" s="177"/>
      <c r="AT65" s="177"/>
      <c r="AU65" s="177"/>
      <c r="AV65" s="177"/>
      <c r="AW65" s="177"/>
      <c r="AX65" s="177"/>
      <c r="AY65" s="177"/>
      <c r="AZ65" s="177"/>
      <c r="BA65" s="177"/>
      <c r="BB65" s="177"/>
      <c r="BC65" s="177"/>
      <c r="BD65" s="177"/>
      <c r="BE65" s="177"/>
      <c r="BF65" s="177"/>
      <c r="BG65" s="177"/>
      <c r="BH65" s="177"/>
      <c r="BI65" s="177"/>
      <c r="BJ65" s="177"/>
      <c r="BK65" s="178"/>
      <c r="BL65" s="177"/>
      <c r="BM65" s="177"/>
      <c r="BN65" s="177"/>
      <c r="BO65" s="177"/>
      <c r="BP65" s="177"/>
      <c r="BQ65" s="177"/>
      <c r="BR65" s="177"/>
      <c r="BS65" s="177"/>
      <c r="BT65" s="177"/>
      <c r="BU65" s="177"/>
      <c r="BV65" s="177"/>
      <c r="BW65" s="177"/>
    </row>
    <row r="66">
      <c r="A66" s="251"/>
      <c r="B66" s="252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177"/>
      <c r="AZ66" s="177"/>
      <c r="BA66" s="177"/>
      <c r="BB66" s="177"/>
      <c r="BC66" s="177"/>
      <c r="BD66" s="179"/>
      <c r="BF66" s="177"/>
      <c r="BG66" s="177"/>
      <c r="BH66" s="177"/>
      <c r="BI66" s="177"/>
      <c r="BJ66" s="177"/>
      <c r="BK66" s="178"/>
      <c r="BL66" s="177"/>
      <c r="BM66" s="177"/>
      <c r="BN66" s="177"/>
      <c r="BO66" s="177"/>
      <c r="BP66" s="177"/>
      <c r="BQ66" s="177"/>
      <c r="BR66" s="177"/>
      <c r="BS66" s="177"/>
      <c r="BT66" s="177"/>
      <c r="BU66" s="177"/>
      <c r="BV66" s="177"/>
      <c r="BW66" s="177"/>
    </row>
    <row r="67">
      <c r="A67" s="251"/>
      <c r="B67" s="252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  <c r="AJ67" s="177"/>
      <c r="AK67" s="177"/>
      <c r="AL67" s="177"/>
      <c r="AM67" s="177"/>
      <c r="AN67" s="177"/>
      <c r="AO67" s="177"/>
      <c r="AP67" s="177"/>
      <c r="AQ67" s="177"/>
      <c r="AR67" s="177"/>
      <c r="AS67" s="177"/>
      <c r="AT67" s="177"/>
      <c r="AU67" s="177"/>
      <c r="AV67" s="177"/>
      <c r="AW67" s="177"/>
      <c r="AX67" s="177"/>
      <c r="AY67" s="177"/>
      <c r="AZ67" s="177"/>
      <c r="BA67" s="177"/>
      <c r="BB67" s="177"/>
      <c r="BC67" s="177"/>
      <c r="BD67" s="177"/>
      <c r="BE67" s="179"/>
      <c r="BF67" s="177"/>
      <c r="BG67" s="177"/>
      <c r="BH67" s="177"/>
      <c r="BI67" s="177"/>
      <c r="BJ67" s="177"/>
      <c r="BK67" s="246"/>
      <c r="BL67" s="177"/>
      <c r="BM67" s="177"/>
      <c r="BN67" s="177"/>
      <c r="BO67" s="177"/>
      <c r="BP67" s="177"/>
      <c r="BQ67" s="177"/>
      <c r="BR67" s="177"/>
      <c r="BS67" s="177"/>
      <c r="BT67" s="177"/>
      <c r="BU67" s="177"/>
      <c r="BV67" s="177"/>
      <c r="BW67" s="177"/>
    </row>
  </sheetData>
  <conditionalFormatting sqref="J64:BW64">
    <cfRule type="cellIs" dxfId="0" priority="1" operator="greaterThan">
      <formula>0</formula>
    </cfRule>
  </conditionalFormatting>
  <conditionalFormatting sqref="J64:BW64">
    <cfRule type="cellIs" dxfId="1" priority="2" operator="lessThan">
      <formula>0</formula>
    </cfRule>
  </conditionalFormatting>
  <conditionalFormatting sqref="Q26:BW26">
    <cfRule type="cellIs" dxfId="2" priority="3" operator="lessThanOrEqual">
      <formula>"50%"</formula>
    </cfRule>
  </conditionalFormatting>
  <conditionalFormatting sqref="Q26:BW26">
    <cfRule type="cellIs" dxfId="3" priority="4" operator="greaterThanOrEqual">
      <formula>"50%"</formula>
    </cfRule>
  </conditionalFormatting>
  <conditionalFormatting sqref="Q44:BW44">
    <cfRule type="cellIs" dxfId="2" priority="5" operator="lessThanOrEqual">
      <formula>"30%"</formula>
    </cfRule>
  </conditionalFormatting>
  <conditionalFormatting sqref="Q44:BW44">
    <cfRule type="cellIs" dxfId="3" priority="6" operator="greaterThanOrEqual">
      <formula>"30%"</formula>
    </cfRule>
  </conditionalFormatting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25"/>
    <col customWidth="1" min="2" max="2" width="34.0"/>
    <col hidden="1" min="3" max="7" width="12.63"/>
    <col customWidth="1" hidden="1" min="8" max="12" width="15.0"/>
    <col customWidth="1" hidden="1" min="13" max="13" width="16.25"/>
    <col customWidth="1" hidden="1" min="14" max="14" width="15.0"/>
    <col hidden="1" min="15" max="22" width="12.63"/>
    <col customWidth="1" hidden="1" min="23" max="23" width="15.0"/>
    <col hidden="1" min="24" max="52" width="12.63"/>
  </cols>
  <sheetData>
    <row r="1" ht="20.25" customHeight="1">
      <c r="A1" s="122" t="s">
        <v>94</v>
      </c>
      <c r="B1" s="123"/>
      <c r="C1" s="124" t="s">
        <v>95</v>
      </c>
      <c r="D1" s="124" t="s">
        <v>96</v>
      </c>
      <c r="E1" s="124" t="s">
        <v>97</v>
      </c>
      <c r="F1" s="124" t="s">
        <v>98</v>
      </c>
      <c r="G1" s="124" t="s">
        <v>99</v>
      </c>
      <c r="H1" s="125" t="s">
        <v>100</v>
      </c>
      <c r="I1" s="123" t="s">
        <v>101</v>
      </c>
      <c r="J1" s="123" t="s">
        <v>102</v>
      </c>
      <c r="K1" s="123" t="s">
        <v>103</v>
      </c>
      <c r="L1" s="123" t="s">
        <v>104</v>
      </c>
      <c r="M1" s="123" t="s">
        <v>105</v>
      </c>
      <c r="N1" s="123" t="s">
        <v>106</v>
      </c>
      <c r="O1" s="123" t="s">
        <v>107</v>
      </c>
      <c r="P1" s="123" t="s">
        <v>108</v>
      </c>
      <c r="Q1" s="123" t="s">
        <v>109</v>
      </c>
      <c r="R1" s="123" t="s">
        <v>110</v>
      </c>
      <c r="S1" s="123" t="s">
        <v>111</v>
      </c>
      <c r="T1" s="123" t="s">
        <v>112</v>
      </c>
      <c r="U1" s="123" t="s">
        <v>113</v>
      </c>
      <c r="V1" s="123" t="s">
        <v>114</v>
      </c>
      <c r="W1" s="123" t="s">
        <v>115</v>
      </c>
      <c r="X1" s="123" t="s">
        <v>116</v>
      </c>
      <c r="Y1" s="123" t="s">
        <v>117</v>
      </c>
      <c r="Z1" s="123" t="s">
        <v>118</v>
      </c>
      <c r="AA1" s="126" t="s">
        <v>119</v>
      </c>
      <c r="AB1" s="126" t="s">
        <v>120</v>
      </c>
      <c r="AC1" s="126" t="s">
        <v>121</v>
      </c>
      <c r="AD1" s="126" t="s">
        <v>122</v>
      </c>
      <c r="AE1" s="126" t="s">
        <v>123</v>
      </c>
      <c r="AF1" s="126" t="s">
        <v>124</v>
      </c>
      <c r="AG1" s="126" t="s">
        <v>125</v>
      </c>
      <c r="AH1" s="127" t="s">
        <v>126</v>
      </c>
      <c r="AI1" s="126" t="s">
        <v>127</v>
      </c>
      <c r="AJ1" s="126" t="s">
        <v>128</v>
      </c>
      <c r="AK1" s="126" t="s">
        <v>129</v>
      </c>
      <c r="AL1" s="126" t="s">
        <v>130</v>
      </c>
      <c r="AM1" s="126" t="s">
        <v>131</v>
      </c>
      <c r="AN1" s="126" t="s">
        <v>132</v>
      </c>
      <c r="AO1" s="126" t="s">
        <v>133</v>
      </c>
      <c r="AP1" s="126" t="s">
        <v>134</v>
      </c>
      <c r="AQ1" s="126" t="s">
        <v>135</v>
      </c>
      <c r="AR1" s="126" t="s">
        <v>136</v>
      </c>
      <c r="AS1" s="126" t="s">
        <v>137</v>
      </c>
      <c r="AT1" s="126" t="s">
        <v>138</v>
      </c>
      <c r="AU1" s="126" t="s">
        <v>139</v>
      </c>
      <c r="AV1" s="126" t="s">
        <v>140</v>
      </c>
      <c r="AW1" s="126" t="s">
        <v>141</v>
      </c>
      <c r="AX1" s="126" t="s">
        <v>142</v>
      </c>
      <c r="AY1" s="126" t="s">
        <v>143</v>
      </c>
      <c r="AZ1" s="126" t="s">
        <v>144</v>
      </c>
      <c r="BA1" s="126" t="s">
        <v>145</v>
      </c>
      <c r="BB1" s="126" t="s">
        <v>146</v>
      </c>
      <c r="BC1" s="126" t="s">
        <v>147</v>
      </c>
      <c r="BD1" s="126" t="s">
        <v>148</v>
      </c>
      <c r="BE1" s="126" t="s">
        <v>149</v>
      </c>
      <c r="BF1" s="126" t="s">
        <v>149</v>
      </c>
      <c r="BG1" s="126" t="s">
        <v>150</v>
      </c>
      <c r="BH1" s="126" t="s">
        <v>151</v>
      </c>
      <c r="BI1" s="126" t="s">
        <v>152</v>
      </c>
      <c r="BJ1" s="126" t="s">
        <v>153</v>
      </c>
      <c r="BK1" s="126" t="s">
        <v>154</v>
      </c>
    </row>
    <row r="2">
      <c r="A2" s="131" t="s">
        <v>195</v>
      </c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4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</row>
    <row r="3">
      <c r="A3" s="135" t="s">
        <v>196</v>
      </c>
      <c r="B3" s="136"/>
      <c r="C3" s="137"/>
      <c r="D3" s="137"/>
      <c r="E3" s="137"/>
      <c r="F3" s="137"/>
      <c r="G3" s="137"/>
      <c r="H3" s="137"/>
      <c r="I3" s="138"/>
      <c r="J3" s="138"/>
      <c r="K3" s="138"/>
      <c r="L3" s="138"/>
      <c r="M3" s="139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40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</row>
    <row r="4">
      <c r="A4" s="143"/>
      <c r="B4" s="144" t="s">
        <v>197</v>
      </c>
      <c r="C4" s="145">
        <v>10000.0</v>
      </c>
      <c r="D4" s="145">
        <v>10000.0</v>
      </c>
      <c r="E4" s="145">
        <v>10000.0</v>
      </c>
      <c r="F4" s="145">
        <v>10000.0</v>
      </c>
      <c r="G4" s="145">
        <v>10000.0</v>
      </c>
      <c r="H4" s="146">
        <v>10000.0</v>
      </c>
      <c r="I4" s="145">
        <v>10000.0</v>
      </c>
      <c r="J4" s="145">
        <f t="shared" ref="J4:P4" si="1">120000/12</f>
        <v>10000</v>
      </c>
      <c r="K4" s="145">
        <f t="shared" si="1"/>
        <v>10000</v>
      </c>
      <c r="L4" s="145">
        <f t="shared" si="1"/>
        <v>10000</v>
      </c>
      <c r="M4" s="145">
        <f t="shared" si="1"/>
        <v>10000</v>
      </c>
      <c r="N4" s="145">
        <f t="shared" si="1"/>
        <v>10000</v>
      </c>
      <c r="O4" s="145">
        <f t="shared" si="1"/>
        <v>10000</v>
      </c>
      <c r="P4" s="145">
        <f t="shared" si="1"/>
        <v>10000</v>
      </c>
      <c r="Q4" s="145">
        <f t="shared" ref="Q4:Y4" si="2">123000/12</f>
        <v>10250</v>
      </c>
      <c r="R4" s="145">
        <f t="shared" si="2"/>
        <v>10250</v>
      </c>
      <c r="S4" s="145">
        <f t="shared" si="2"/>
        <v>10250</v>
      </c>
      <c r="T4" s="145">
        <f t="shared" si="2"/>
        <v>10250</v>
      </c>
      <c r="U4" s="145">
        <f t="shared" si="2"/>
        <v>10250</v>
      </c>
      <c r="V4" s="145">
        <f t="shared" si="2"/>
        <v>10250</v>
      </c>
      <c r="W4" s="145">
        <f t="shared" si="2"/>
        <v>10250</v>
      </c>
      <c r="X4" s="145">
        <f t="shared" si="2"/>
        <v>10250</v>
      </c>
      <c r="Y4" s="145">
        <f t="shared" si="2"/>
        <v>10250</v>
      </c>
      <c r="Z4" s="685">
        <f t="shared" ref="Z4:AJ4" si="3">160000/12</f>
        <v>13333.33333</v>
      </c>
      <c r="AA4" s="685">
        <f t="shared" si="3"/>
        <v>13333.33333</v>
      </c>
      <c r="AB4" s="685">
        <f t="shared" si="3"/>
        <v>13333.33333</v>
      </c>
      <c r="AC4" s="685">
        <f t="shared" si="3"/>
        <v>13333.33333</v>
      </c>
      <c r="AD4" s="685">
        <f t="shared" si="3"/>
        <v>13333.33333</v>
      </c>
      <c r="AE4" s="685">
        <f t="shared" si="3"/>
        <v>13333.33333</v>
      </c>
      <c r="AF4" s="685">
        <f t="shared" si="3"/>
        <v>13333.33333</v>
      </c>
      <c r="AG4" s="685">
        <f t="shared" si="3"/>
        <v>13333.33333</v>
      </c>
      <c r="AH4" s="686">
        <f t="shared" si="3"/>
        <v>13333.33333</v>
      </c>
      <c r="AI4" s="685">
        <f t="shared" si="3"/>
        <v>13333.33333</v>
      </c>
      <c r="AJ4" s="685">
        <f t="shared" si="3"/>
        <v>13333.33333</v>
      </c>
      <c r="AK4" s="685">
        <f>165000/12</f>
        <v>13750</v>
      </c>
      <c r="AL4" s="685">
        <f t="shared" ref="AL4:AZ4" si="4">210000/12</f>
        <v>17500</v>
      </c>
      <c r="AM4" s="685">
        <f t="shared" si="4"/>
        <v>17500</v>
      </c>
      <c r="AN4" s="685">
        <f t="shared" si="4"/>
        <v>17500</v>
      </c>
      <c r="AO4" s="685">
        <f t="shared" si="4"/>
        <v>17500</v>
      </c>
      <c r="AP4" s="685">
        <f t="shared" si="4"/>
        <v>17500</v>
      </c>
      <c r="AQ4" s="685">
        <f t="shared" si="4"/>
        <v>17500</v>
      </c>
      <c r="AR4" s="685">
        <f t="shared" si="4"/>
        <v>17500</v>
      </c>
      <c r="AS4" s="685">
        <f t="shared" si="4"/>
        <v>17500</v>
      </c>
      <c r="AT4" s="685">
        <f t="shared" si="4"/>
        <v>17500</v>
      </c>
      <c r="AU4" s="685">
        <f t="shared" si="4"/>
        <v>17500</v>
      </c>
      <c r="AV4" s="685">
        <f t="shared" si="4"/>
        <v>17500</v>
      </c>
      <c r="AW4" s="685">
        <f t="shared" si="4"/>
        <v>17500</v>
      </c>
      <c r="AX4" s="685">
        <f t="shared" si="4"/>
        <v>17500</v>
      </c>
      <c r="AY4" s="685">
        <f t="shared" si="4"/>
        <v>17500</v>
      </c>
      <c r="AZ4" s="685">
        <f t="shared" si="4"/>
        <v>17500</v>
      </c>
      <c r="BA4" s="685">
        <f t="shared" ref="BA4:BD4" si="5">200000/12</f>
        <v>16666.66667</v>
      </c>
      <c r="BB4" s="685">
        <f t="shared" si="5"/>
        <v>16666.66667</v>
      </c>
      <c r="BC4" s="685">
        <f t="shared" si="5"/>
        <v>16666.66667</v>
      </c>
      <c r="BD4" s="685">
        <f t="shared" si="5"/>
        <v>16666.66667</v>
      </c>
      <c r="BE4" s="161">
        <f t="shared" ref="BE4:BK4" si="6">250000/12</f>
        <v>20833.33333</v>
      </c>
      <c r="BF4" s="161">
        <f t="shared" si="6"/>
        <v>20833.33333</v>
      </c>
      <c r="BG4" s="161">
        <f t="shared" si="6"/>
        <v>20833.33333</v>
      </c>
      <c r="BH4" s="161">
        <f t="shared" si="6"/>
        <v>20833.33333</v>
      </c>
      <c r="BI4" s="161">
        <f t="shared" si="6"/>
        <v>20833.33333</v>
      </c>
      <c r="BJ4" s="161">
        <f t="shared" si="6"/>
        <v>20833.33333</v>
      </c>
      <c r="BK4" s="161">
        <f t="shared" si="6"/>
        <v>20833.33333</v>
      </c>
    </row>
    <row r="5">
      <c r="A5" s="149"/>
      <c r="B5" s="137" t="s">
        <v>198</v>
      </c>
      <c r="C5" s="145">
        <v>0.0</v>
      </c>
      <c r="D5" s="145">
        <v>3000.0</v>
      </c>
      <c r="E5" s="145">
        <v>0.0</v>
      </c>
      <c r="F5" s="145">
        <v>0.0</v>
      </c>
      <c r="G5" s="145">
        <v>0.0</v>
      </c>
      <c r="H5" s="146">
        <v>0.0</v>
      </c>
      <c r="I5" s="145">
        <v>5000.0</v>
      </c>
      <c r="J5" s="145">
        <v>5000.0</v>
      </c>
      <c r="K5" s="145">
        <v>0.0</v>
      </c>
      <c r="L5" s="145">
        <v>0.0</v>
      </c>
      <c r="M5" s="145">
        <v>800.0</v>
      </c>
      <c r="N5" s="145">
        <f>500</f>
        <v>500</v>
      </c>
      <c r="O5" s="145">
        <v>0.0</v>
      </c>
      <c r="P5" s="145">
        <f>5000</f>
        <v>5000</v>
      </c>
      <c r="Q5" s="145">
        <v>0.0</v>
      </c>
      <c r="R5" s="145">
        <v>0.0</v>
      </c>
      <c r="S5" s="145">
        <v>0.0</v>
      </c>
      <c r="T5" s="145">
        <v>0.0</v>
      </c>
      <c r="U5" s="145">
        <v>0.0</v>
      </c>
      <c r="V5" s="145">
        <v>0.0</v>
      </c>
      <c r="W5" s="145">
        <v>0.0</v>
      </c>
      <c r="X5" s="145">
        <v>0.0</v>
      </c>
      <c r="Y5" s="145">
        <v>0.0</v>
      </c>
      <c r="Z5" s="145">
        <v>0.0</v>
      </c>
      <c r="AA5" s="145">
        <v>0.0</v>
      </c>
      <c r="AB5" s="145">
        <v>0.0</v>
      </c>
      <c r="AC5" s="145">
        <v>0.0</v>
      </c>
      <c r="AD5" s="145">
        <v>0.0</v>
      </c>
      <c r="AE5" s="145">
        <v>0.0</v>
      </c>
      <c r="AF5" s="145">
        <v>0.0</v>
      </c>
      <c r="AG5" s="145">
        <v>0.0</v>
      </c>
      <c r="AH5" s="146">
        <v>0.0</v>
      </c>
      <c r="AI5" s="145">
        <v>0.0</v>
      </c>
      <c r="AJ5" s="145">
        <v>0.0</v>
      </c>
      <c r="AK5" s="145">
        <v>0.0</v>
      </c>
      <c r="AL5" s="145">
        <v>0.0</v>
      </c>
      <c r="AM5" s="145">
        <v>0.0</v>
      </c>
      <c r="AN5" s="145">
        <v>0.0</v>
      </c>
      <c r="AO5" s="145">
        <v>0.0</v>
      </c>
      <c r="AP5" s="145">
        <v>0.0</v>
      </c>
      <c r="AQ5" s="145">
        <v>0.0</v>
      </c>
      <c r="AR5" s="145">
        <v>0.0</v>
      </c>
      <c r="AS5" s="145">
        <v>0.0</v>
      </c>
      <c r="AT5" s="145">
        <v>0.0</v>
      </c>
      <c r="AU5" s="145">
        <v>0.0</v>
      </c>
      <c r="AV5" s="145">
        <v>0.0</v>
      </c>
      <c r="AW5" s="145">
        <v>0.0</v>
      </c>
      <c r="AX5" s="145">
        <v>0.0</v>
      </c>
      <c r="AY5" s="145">
        <v>0.0</v>
      </c>
      <c r="AZ5" s="145">
        <v>0.0</v>
      </c>
      <c r="BA5" s="145">
        <v>0.0</v>
      </c>
      <c r="BB5" s="145">
        <v>0.0</v>
      </c>
      <c r="BC5" s="145">
        <v>0.0</v>
      </c>
      <c r="BD5" s="145">
        <v>0.0</v>
      </c>
      <c r="BE5" s="145">
        <v>0.0</v>
      </c>
      <c r="BF5" s="145">
        <v>0.0</v>
      </c>
      <c r="BG5" s="145">
        <v>0.0</v>
      </c>
      <c r="BH5" s="145">
        <v>0.0</v>
      </c>
      <c r="BI5" s="145">
        <v>0.0</v>
      </c>
      <c r="BJ5" s="145">
        <v>0.0</v>
      </c>
      <c r="BK5" s="145">
        <v>0.0</v>
      </c>
    </row>
    <row r="6">
      <c r="A6" s="135" t="s">
        <v>199</v>
      </c>
      <c r="B6" s="136"/>
      <c r="C6" s="137"/>
      <c r="D6" s="137"/>
      <c r="E6" s="137"/>
      <c r="F6" s="137"/>
      <c r="G6" s="137"/>
      <c r="H6" s="137"/>
      <c r="I6" s="138"/>
      <c r="J6" s="138"/>
      <c r="K6" s="138"/>
      <c r="L6" s="138"/>
      <c r="M6" s="139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40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8"/>
      <c r="BK6" s="138"/>
    </row>
    <row r="7" ht="15.0" customHeight="1">
      <c r="A7" s="149"/>
      <c r="B7" s="137" t="s">
        <v>201</v>
      </c>
      <c r="C7" s="145">
        <v>0.0</v>
      </c>
      <c r="D7" s="145">
        <v>0.0</v>
      </c>
      <c r="E7" s="145">
        <v>0.0</v>
      </c>
      <c r="F7" s="145">
        <v>0.0</v>
      </c>
      <c r="G7" s="145">
        <v>0.0</v>
      </c>
      <c r="H7" s="146">
        <v>0.0</v>
      </c>
      <c r="I7" s="145">
        <v>0.0</v>
      </c>
      <c r="J7" s="145">
        <v>0.0</v>
      </c>
      <c r="K7" s="145">
        <v>0.0</v>
      </c>
      <c r="L7" s="145">
        <v>0.0</v>
      </c>
      <c r="M7" s="145">
        <v>0.0</v>
      </c>
      <c r="N7" s="145">
        <v>0.0</v>
      </c>
      <c r="O7" s="145">
        <v>0.0</v>
      </c>
      <c r="P7" s="161">
        <v>0.0</v>
      </c>
      <c r="Q7" s="690">
        <v>0.0</v>
      </c>
      <c r="R7" s="690">
        <v>0.0</v>
      </c>
      <c r="S7" s="690">
        <v>0.0</v>
      </c>
      <c r="T7" s="690">
        <f t="shared" ref="T7:W7" si="7">S7+S7*0.15</f>
        <v>0</v>
      </c>
      <c r="U7" s="691">
        <f t="shared" si="7"/>
        <v>0</v>
      </c>
      <c r="V7" s="150">
        <f t="shared" si="7"/>
        <v>0</v>
      </c>
      <c r="W7" s="150">
        <f t="shared" si="7"/>
        <v>0</v>
      </c>
      <c r="X7" s="151">
        <v>0.0</v>
      </c>
      <c r="Y7" s="151">
        <v>0.0</v>
      </c>
      <c r="Z7" s="691">
        <f t="shared" ref="Z7:AH7" si="8">Y7+Y7*0.1</f>
        <v>0</v>
      </c>
      <c r="AA7" s="691">
        <f t="shared" si="8"/>
        <v>0</v>
      </c>
      <c r="AB7" s="691">
        <f t="shared" si="8"/>
        <v>0</v>
      </c>
      <c r="AC7" s="691">
        <f t="shared" si="8"/>
        <v>0</v>
      </c>
      <c r="AD7" s="691">
        <f t="shared" si="8"/>
        <v>0</v>
      </c>
      <c r="AE7" s="691">
        <f t="shared" si="8"/>
        <v>0</v>
      </c>
      <c r="AF7" s="691">
        <f t="shared" si="8"/>
        <v>0</v>
      </c>
      <c r="AG7" s="691">
        <f t="shared" si="8"/>
        <v>0</v>
      </c>
      <c r="AH7" s="692">
        <f t="shared" si="8"/>
        <v>0</v>
      </c>
      <c r="AI7" s="691">
        <f t="shared" ref="AI7:AJ7" si="9">AG7+AG7*0.1</f>
        <v>0</v>
      </c>
      <c r="AJ7" s="691">
        <f t="shared" si="9"/>
        <v>0</v>
      </c>
      <c r="AK7" s="691">
        <f t="shared" ref="AK7:AT7" si="10">AJ7+AJ7*0.1</f>
        <v>0</v>
      </c>
      <c r="AL7" s="691">
        <f t="shared" si="10"/>
        <v>0</v>
      </c>
      <c r="AM7" s="691">
        <f t="shared" si="10"/>
        <v>0</v>
      </c>
      <c r="AN7" s="691">
        <f t="shared" si="10"/>
        <v>0</v>
      </c>
      <c r="AO7" s="691">
        <f t="shared" si="10"/>
        <v>0</v>
      </c>
      <c r="AP7" s="691">
        <f t="shared" si="10"/>
        <v>0</v>
      </c>
      <c r="AQ7" s="691">
        <f t="shared" si="10"/>
        <v>0</v>
      </c>
      <c r="AR7" s="691">
        <f t="shared" si="10"/>
        <v>0</v>
      </c>
      <c r="AS7" s="691">
        <f t="shared" si="10"/>
        <v>0</v>
      </c>
      <c r="AT7" s="691">
        <f t="shared" si="10"/>
        <v>0</v>
      </c>
      <c r="AU7" s="693">
        <v>0.0</v>
      </c>
      <c r="AV7" s="693">
        <v>0.0</v>
      </c>
      <c r="AW7" s="693">
        <v>0.0</v>
      </c>
      <c r="AX7" s="693">
        <v>0.0</v>
      </c>
      <c r="AY7" s="693">
        <v>0.0</v>
      </c>
      <c r="AZ7" s="693">
        <v>0.0</v>
      </c>
      <c r="BA7" s="693">
        <v>0.0</v>
      </c>
      <c r="BB7" s="693">
        <v>0.0</v>
      </c>
      <c r="BC7" s="693">
        <v>0.0</v>
      </c>
      <c r="BD7" s="693">
        <v>0.0</v>
      </c>
      <c r="BE7" s="693">
        <v>0.0</v>
      </c>
      <c r="BF7" s="693">
        <v>0.0</v>
      </c>
      <c r="BG7" s="693">
        <v>0.0</v>
      </c>
      <c r="BH7" s="693">
        <v>0.0</v>
      </c>
      <c r="BI7" s="693">
        <v>0.0</v>
      </c>
      <c r="BJ7" s="693">
        <v>0.0</v>
      </c>
      <c r="BK7" s="693">
        <v>0.0</v>
      </c>
    </row>
    <row r="8">
      <c r="A8" s="149"/>
      <c r="B8" s="137" t="s">
        <v>202</v>
      </c>
      <c r="C8" s="145"/>
      <c r="D8" s="145"/>
      <c r="E8" s="145"/>
      <c r="F8" s="145"/>
      <c r="G8" s="145"/>
      <c r="H8" s="146"/>
      <c r="I8" s="145"/>
      <c r="J8" s="145"/>
      <c r="K8" s="145"/>
      <c r="L8" s="145"/>
      <c r="M8" s="145"/>
      <c r="N8" s="145"/>
      <c r="O8" s="145">
        <f>1000</f>
        <v>1000</v>
      </c>
      <c r="P8" s="145">
        <f>2723</f>
        <v>2723</v>
      </c>
      <c r="Q8" s="145">
        <v>419.0</v>
      </c>
      <c r="R8" s="155">
        <f>200</f>
        <v>200</v>
      </c>
      <c r="S8" s="156">
        <f>900+2500</f>
        <v>3400</v>
      </c>
      <c r="T8" s="156">
        <v>0.0</v>
      </c>
      <c r="U8" s="145">
        <v>0.0</v>
      </c>
      <c r="V8" s="145">
        <v>300.0</v>
      </c>
      <c r="W8" s="145">
        <v>0.0</v>
      </c>
      <c r="X8" s="145">
        <v>0.0</v>
      </c>
      <c r="Y8" s="145">
        <v>5600.0</v>
      </c>
      <c r="Z8" s="145">
        <v>0.0</v>
      </c>
      <c r="AA8" s="155">
        <v>0.0</v>
      </c>
      <c r="AB8" s="145">
        <v>0.0</v>
      </c>
      <c r="AC8" s="157">
        <v>700.0</v>
      </c>
      <c r="AD8" s="145">
        <v>0.0</v>
      </c>
      <c r="AE8" s="145">
        <v>11000.0</v>
      </c>
      <c r="AF8" s="158">
        <v>1300.0</v>
      </c>
      <c r="AG8" s="159">
        <f>sum(1200,1200)</f>
        <v>2400</v>
      </c>
      <c r="AH8" s="160">
        <f>sum(7000,10000)</f>
        <v>17000</v>
      </c>
      <c r="AI8" s="161">
        <v>0.0</v>
      </c>
      <c r="AJ8" s="145">
        <v>0.0</v>
      </c>
      <c r="AK8" s="161">
        <f>2000+7700</f>
        <v>9700</v>
      </c>
      <c r="AL8" s="113">
        <v>0.0</v>
      </c>
      <c r="AM8" s="113">
        <v>0.0</v>
      </c>
      <c r="AN8" s="113">
        <v>10000.0</v>
      </c>
      <c r="AO8" s="113">
        <v>1000.0</v>
      </c>
      <c r="AP8" s="113">
        <v>21000.0</v>
      </c>
      <c r="AQ8" s="113">
        <v>0.0</v>
      </c>
      <c r="AR8" s="113">
        <v>0.0</v>
      </c>
      <c r="AS8" s="145">
        <v>0.0</v>
      </c>
      <c r="AT8" s="162">
        <f>sum(4751.11)</f>
        <v>4751.11</v>
      </c>
      <c r="AU8" s="145">
        <f>36000*0.45</f>
        <v>16200</v>
      </c>
      <c r="AV8" s="145">
        <v>0.0</v>
      </c>
      <c r="AW8" s="145">
        <v>0.0</v>
      </c>
      <c r="AX8" s="145">
        <f>SUM(1500,1844)</f>
        <v>3344</v>
      </c>
      <c r="AY8" s="156">
        <f>sum(1000,1800)</f>
        <v>2800</v>
      </c>
      <c r="AZ8" s="155">
        <v>16000.0</v>
      </c>
      <c r="BA8" s="161">
        <v>20000.0</v>
      </c>
      <c r="BB8" s="145">
        <v>0.0</v>
      </c>
      <c r="BC8" s="145">
        <v>0.0</v>
      </c>
      <c r="BD8" s="156">
        <v>300000.0</v>
      </c>
      <c r="BE8" s="145">
        <v>0.0</v>
      </c>
      <c r="BF8" s="145">
        <v>0.0</v>
      </c>
      <c r="BG8" s="145">
        <v>0.0</v>
      </c>
      <c r="BH8" s="145">
        <v>0.0</v>
      </c>
      <c r="BI8" s="145">
        <v>0.0</v>
      </c>
      <c r="BJ8" s="145">
        <v>0.0</v>
      </c>
      <c r="BK8" s="145">
        <v>0.0</v>
      </c>
    </row>
    <row r="9">
      <c r="A9" s="166"/>
      <c r="B9" s="167"/>
      <c r="C9" s="168"/>
      <c r="D9" s="168"/>
      <c r="E9" s="168"/>
      <c r="F9" s="168"/>
      <c r="G9" s="168"/>
      <c r="H9" s="169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9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/>
    </row>
    <row r="10">
      <c r="A10" s="171" t="s">
        <v>203</v>
      </c>
      <c r="B10" s="172"/>
      <c r="C10" s="173">
        <f t="shared" ref="C10:O10" si="11">sum(C4:C7)</f>
        <v>10000</v>
      </c>
      <c r="D10" s="173">
        <f t="shared" si="11"/>
        <v>13000</v>
      </c>
      <c r="E10" s="173">
        <f t="shared" si="11"/>
        <v>10000</v>
      </c>
      <c r="F10" s="173">
        <f t="shared" si="11"/>
        <v>10000</v>
      </c>
      <c r="G10" s="173">
        <f t="shared" si="11"/>
        <v>10000</v>
      </c>
      <c r="H10" s="174">
        <f t="shared" si="11"/>
        <v>10000</v>
      </c>
      <c r="I10" s="173">
        <f t="shared" si="11"/>
        <v>15000</v>
      </c>
      <c r="J10" s="173">
        <f t="shared" si="11"/>
        <v>15000</v>
      </c>
      <c r="K10" s="173">
        <f t="shared" si="11"/>
        <v>10000</v>
      </c>
      <c r="L10" s="173">
        <f t="shared" si="11"/>
        <v>10000</v>
      </c>
      <c r="M10" s="173">
        <f t="shared" si="11"/>
        <v>10800</v>
      </c>
      <c r="N10" s="173">
        <f t="shared" si="11"/>
        <v>10500</v>
      </c>
      <c r="O10" s="173">
        <f t="shared" si="11"/>
        <v>10000</v>
      </c>
      <c r="P10" s="173">
        <f t="shared" ref="P10:BK10" si="12">sum(P4:P8)</f>
        <v>17723</v>
      </c>
      <c r="Q10" s="173">
        <f t="shared" si="12"/>
        <v>10669</v>
      </c>
      <c r="R10" s="173">
        <f t="shared" si="12"/>
        <v>10450</v>
      </c>
      <c r="S10" s="173">
        <f t="shared" si="12"/>
        <v>13650</v>
      </c>
      <c r="T10" s="173">
        <f t="shared" si="12"/>
        <v>10250</v>
      </c>
      <c r="U10" s="173">
        <f t="shared" si="12"/>
        <v>10250</v>
      </c>
      <c r="V10" s="173">
        <f t="shared" si="12"/>
        <v>10550</v>
      </c>
      <c r="W10" s="173">
        <f t="shared" si="12"/>
        <v>10250</v>
      </c>
      <c r="X10" s="173">
        <f t="shared" si="12"/>
        <v>10250</v>
      </c>
      <c r="Y10" s="173">
        <f t="shared" si="12"/>
        <v>15850</v>
      </c>
      <c r="Z10" s="173">
        <f t="shared" si="12"/>
        <v>13333.33333</v>
      </c>
      <c r="AA10" s="173">
        <f t="shared" si="12"/>
        <v>13333.33333</v>
      </c>
      <c r="AB10" s="173">
        <f t="shared" si="12"/>
        <v>13333.33333</v>
      </c>
      <c r="AC10" s="173">
        <f t="shared" si="12"/>
        <v>14033.33333</v>
      </c>
      <c r="AD10" s="173">
        <f t="shared" si="12"/>
        <v>13333.33333</v>
      </c>
      <c r="AE10" s="173">
        <f t="shared" si="12"/>
        <v>24333.33333</v>
      </c>
      <c r="AF10" s="173">
        <f t="shared" si="12"/>
        <v>14633.33333</v>
      </c>
      <c r="AG10" s="173">
        <f t="shared" si="12"/>
        <v>15733.33333</v>
      </c>
      <c r="AH10" s="174">
        <f t="shared" si="12"/>
        <v>30333.33333</v>
      </c>
      <c r="AI10" s="173">
        <f t="shared" si="12"/>
        <v>13333.33333</v>
      </c>
      <c r="AJ10" s="173">
        <f t="shared" si="12"/>
        <v>13333.33333</v>
      </c>
      <c r="AK10" s="173">
        <f t="shared" si="12"/>
        <v>23450</v>
      </c>
      <c r="AL10" s="173">
        <f t="shared" si="12"/>
        <v>17500</v>
      </c>
      <c r="AM10" s="173">
        <f t="shared" si="12"/>
        <v>17500</v>
      </c>
      <c r="AN10" s="173">
        <f t="shared" si="12"/>
        <v>27500</v>
      </c>
      <c r="AO10" s="173">
        <f t="shared" si="12"/>
        <v>18500</v>
      </c>
      <c r="AP10" s="173">
        <f t="shared" si="12"/>
        <v>38500</v>
      </c>
      <c r="AQ10" s="173">
        <f t="shared" si="12"/>
        <v>17500</v>
      </c>
      <c r="AR10" s="173">
        <f t="shared" si="12"/>
        <v>17500</v>
      </c>
      <c r="AS10" s="173">
        <f t="shared" si="12"/>
        <v>17500</v>
      </c>
      <c r="AT10" s="173">
        <f t="shared" si="12"/>
        <v>22251.11</v>
      </c>
      <c r="AU10" s="173">
        <f t="shared" si="12"/>
        <v>33700</v>
      </c>
      <c r="AV10" s="173">
        <f t="shared" si="12"/>
        <v>17500</v>
      </c>
      <c r="AW10" s="173">
        <f t="shared" si="12"/>
        <v>17500</v>
      </c>
      <c r="AX10" s="173">
        <f t="shared" si="12"/>
        <v>20844</v>
      </c>
      <c r="AY10" s="173">
        <f t="shared" si="12"/>
        <v>20300</v>
      </c>
      <c r="AZ10" s="173">
        <f t="shared" si="12"/>
        <v>33500</v>
      </c>
      <c r="BA10" s="173">
        <f t="shared" si="12"/>
        <v>36666.66667</v>
      </c>
      <c r="BB10" s="173">
        <f t="shared" si="12"/>
        <v>16666.66667</v>
      </c>
      <c r="BC10" s="173">
        <f t="shared" si="12"/>
        <v>16666.66667</v>
      </c>
      <c r="BD10" s="173">
        <f t="shared" si="12"/>
        <v>316666.6667</v>
      </c>
      <c r="BE10" s="173">
        <f t="shared" si="12"/>
        <v>20833.33333</v>
      </c>
      <c r="BF10" s="173">
        <f t="shared" si="12"/>
        <v>20833.33333</v>
      </c>
      <c r="BG10" s="173">
        <f t="shared" si="12"/>
        <v>20833.33333</v>
      </c>
      <c r="BH10" s="173">
        <f t="shared" si="12"/>
        <v>20833.33333</v>
      </c>
      <c r="BI10" s="173">
        <f t="shared" si="12"/>
        <v>20833.33333</v>
      </c>
      <c r="BJ10" s="173">
        <f t="shared" si="12"/>
        <v>20833.33333</v>
      </c>
      <c r="BK10" s="173">
        <f t="shared" si="12"/>
        <v>20833.33333</v>
      </c>
    </row>
    <row r="11">
      <c r="A11" s="171" t="s">
        <v>204</v>
      </c>
      <c r="B11" s="172"/>
      <c r="C11" s="137">
        <f>C10*0.38</f>
        <v>3800</v>
      </c>
      <c r="D11" s="137">
        <f t="shared" ref="D11:L11" si="13">D10*0.34</f>
        <v>4420</v>
      </c>
      <c r="E11" s="137">
        <f t="shared" si="13"/>
        <v>3400</v>
      </c>
      <c r="F11" s="137">
        <f t="shared" si="13"/>
        <v>3400</v>
      </c>
      <c r="G11" s="137">
        <f t="shared" si="13"/>
        <v>3400</v>
      </c>
      <c r="H11" s="175">
        <f t="shared" si="13"/>
        <v>3400</v>
      </c>
      <c r="I11" s="137">
        <f t="shared" si="13"/>
        <v>5100</v>
      </c>
      <c r="J11" s="137">
        <f t="shared" si="13"/>
        <v>5100</v>
      </c>
      <c r="K11" s="137">
        <f t="shared" si="13"/>
        <v>3400</v>
      </c>
      <c r="L11" s="137">
        <f t="shared" si="13"/>
        <v>3400</v>
      </c>
      <c r="M11" s="137">
        <f t="shared" ref="M11:N11" si="14">sum(M4:M7)*0.34</f>
        <v>3672</v>
      </c>
      <c r="N11" s="137">
        <f t="shared" si="14"/>
        <v>3570</v>
      </c>
      <c r="O11" s="137">
        <f>sum(O4:O7)*0.34+O5*0.41</f>
        <v>3400</v>
      </c>
      <c r="P11" s="137">
        <f>P4*0.34+P5*0.41+P7*0.34</f>
        <v>5450</v>
      </c>
      <c r="Q11" s="137">
        <f t="shared" ref="Q11:BK11" si="15">sum(Q4:Q7)*0.34+Q5*0.41</f>
        <v>3485</v>
      </c>
      <c r="R11" s="137">
        <f t="shared" si="15"/>
        <v>3485</v>
      </c>
      <c r="S11" s="137">
        <f t="shared" si="15"/>
        <v>3485</v>
      </c>
      <c r="T11" s="137">
        <f t="shared" si="15"/>
        <v>3485</v>
      </c>
      <c r="U11" s="137">
        <f t="shared" si="15"/>
        <v>3485</v>
      </c>
      <c r="V11" s="137">
        <f t="shared" si="15"/>
        <v>3485</v>
      </c>
      <c r="W11" s="137">
        <f t="shared" si="15"/>
        <v>3485</v>
      </c>
      <c r="X11" s="137">
        <f t="shared" si="15"/>
        <v>3485</v>
      </c>
      <c r="Y11" s="137">
        <f t="shared" si="15"/>
        <v>3485</v>
      </c>
      <c r="Z11" s="137">
        <f t="shared" si="15"/>
        <v>4533.333333</v>
      </c>
      <c r="AA11" s="137">
        <f t="shared" si="15"/>
        <v>4533.333333</v>
      </c>
      <c r="AB11" s="137">
        <f t="shared" si="15"/>
        <v>4533.333333</v>
      </c>
      <c r="AC11" s="137">
        <f t="shared" si="15"/>
        <v>4533.333333</v>
      </c>
      <c r="AD11" s="137">
        <f t="shared" si="15"/>
        <v>4533.333333</v>
      </c>
      <c r="AE11" s="137">
        <f t="shared" si="15"/>
        <v>4533.333333</v>
      </c>
      <c r="AF11" s="137">
        <f t="shared" si="15"/>
        <v>4533.333333</v>
      </c>
      <c r="AG11" s="137">
        <f t="shared" si="15"/>
        <v>4533.333333</v>
      </c>
      <c r="AH11" s="175">
        <f t="shared" si="15"/>
        <v>4533.333333</v>
      </c>
      <c r="AI11" s="137">
        <f t="shared" si="15"/>
        <v>4533.333333</v>
      </c>
      <c r="AJ11" s="137">
        <f t="shared" si="15"/>
        <v>4533.333333</v>
      </c>
      <c r="AK11" s="137">
        <f t="shared" si="15"/>
        <v>4675</v>
      </c>
      <c r="AL11" s="137">
        <f t="shared" si="15"/>
        <v>5950</v>
      </c>
      <c r="AM11" s="137">
        <f t="shared" si="15"/>
        <v>5950</v>
      </c>
      <c r="AN11" s="137">
        <f t="shared" si="15"/>
        <v>5950</v>
      </c>
      <c r="AO11" s="137">
        <f t="shared" si="15"/>
        <v>5950</v>
      </c>
      <c r="AP11" s="137">
        <f t="shared" si="15"/>
        <v>5950</v>
      </c>
      <c r="AQ11" s="137">
        <f t="shared" si="15"/>
        <v>5950</v>
      </c>
      <c r="AR11" s="137">
        <f t="shared" si="15"/>
        <v>5950</v>
      </c>
      <c r="AS11" s="137">
        <f t="shared" si="15"/>
        <v>5950</v>
      </c>
      <c r="AT11" s="137">
        <f t="shared" si="15"/>
        <v>5950</v>
      </c>
      <c r="AU11" s="137">
        <f t="shared" si="15"/>
        <v>5950</v>
      </c>
      <c r="AV11" s="137">
        <f t="shared" si="15"/>
        <v>5950</v>
      </c>
      <c r="AW11" s="137">
        <f t="shared" si="15"/>
        <v>5950</v>
      </c>
      <c r="AX11" s="137">
        <f t="shared" si="15"/>
        <v>5950</v>
      </c>
      <c r="AY11" s="137">
        <f t="shared" si="15"/>
        <v>5950</v>
      </c>
      <c r="AZ11" s="137">
        <f t="shared" si="15"/>
        <v>5950</v>
      </c>
      <c r="BA11" s="137">
        <f t="shared" si="15"/>
        <v>5666.666667</v>
      </c>
      <c r="BB11" s="137">
        <f t="shared" si="15"/>
        <v>5666.666667</v>
      </c>
      <c r="BC11" s="137">
        <f t="shared" si="15"/>
        <v>5666.666667</v>
      </c>
      <c r="BD11" s="137">
        <f t="shared" si="15"/>
        <v>5666.666667</v>
      </c>
      <c r="BE11" s="137">
        <f t="shared" si="15"/>
        <v>7083.333333</v>
      </c>
      <c r="BF11" s="137">
        <f t="shared" si="15"/>
        <v>7083.333333</v>
      </c>
      <c r="BG11" s="137">
        <f t="shared" si="15"/>
        <v>7083.333333</v>
      </c>
      <c r="BH11" s="137">
        <f t="shared" si="15"/>
        <v>7083.333333</v>
      </c>
      <c r="BI11" s="137">
        <f t="shared" si="15"/>
        <v>7083.333333</v>
      </c>
      <c r="BJ11" s="137">
        <f t="shared" si="15"/>
        <v>7083.333333</v>
      </c>
      <c r="BK11" s="137">
        <f t="shared" si="15"/>
        <v>7083.333333</v>
      </c>
    </row>
    <row r="12">
      <c r="A12" s="171" t="s">
        <v>205</v>
      </c>
      <c r="B12" s="172"/>
      <c r="C12" s="137"/>
      <c r="D12" s="137"/>
      <c r="E12" s="137"/>
      <c r="F12" s="137"/>
      <c r="G12" s="137"/>
      <c r="H12" s="175"/>
      <c r="I12" s="137"/>
      <c r="J12" s="137"/>
      <c r="K12" s="137"/>
      <c r="L12" s="137"/>
      <c r="M12" s="137"/>
      <c r="N12" s="137"/>
      <c r="O12" s="137">
        <f t="shared" ref="O12:P12" si="16">O4*0.04</f>
        <v>400</v>
      </c>
      <c r="P12" s="137">
        <f t="shared" si="16"/>
        <v>400</v>
      </c>
      <c r="Q12" s="137">
        <f t="shared" ref="Q12:Y12" si="17">Q4*0.03</f>
        <v>307.5</v>
      </c>
      <c r="R12" s="137">
        <f t="shared" si="17"/>
        <v>307.5</v>
      </c>
      <c r="S12" s="137">
        <f t="shared" si="17"/>
        <v>307.5</v>
      </c>
      <c r="T12" s="137">
        <f t="shared" si="17"/>
        <v>307.5</v>
      </c>
      <c r="U12" s="137">
        <f t="shared" si="17"/>
        <v>307.5</v>
      </c>
      <c r="V12" s="137">
        <f t="shared" si="17"/>
        <v>307.5</v>
      </c>
      <c r="W12" s="137">
        <f t="shared" si="17"/>
        <v>307.5</v>
      </c>
      <c r="X12" s="137">
        <f t="shared" si="17"/>
        <v>307.5</v>
      </c>
      <c r="Y12" s="137">
        <f t="shared" si="17"/>
        <v>307.5</v>
      </c>
      <c r="Z12" s="137">
        <f t="shared" ref="Z12:AA12" si="18">Z4*0</f>
        <v>0</v>
      </c>
      <c r="AA12" s="137">
        <f t="shared" si="18"/>
        <v>0</v>
      </c>
      <c r="AB12" s="137">
        <v>0.0</v>
      </c>
      <c r="AC12" s="137">
        <f>AC4*0.025</f>
        <v>333.3333333</v>
      </c>
      <c r="AD12" s="137">
        <f t="shared" ref="AD12:AE12" si="19">AD4*0.004</f>
        <v>53.33333333</v>
      </c>
      <c r="AE12" s="137">
        <f t="shared" si="19"/>
        <v>53.33333333</v>
      </c>
      <c r="AF12" s="137">
        <f t="shared" ref="AF12:AH12" si="20">AF4*0</f>
        <v>0</v>
      </c>
      <c r="AG12" s="137">
        <f t="shared" si="20"/>
        <v>0</v>
      </c>
      <c r="AH12" s="175">
        <f t="shared" si="20"/>
        <v>0</v>
      </c>
      <c r="AI12" s="137">
        <f t="shared" ref="AI12:AJ12" si="21">AI4*0.025</f>
        <v>333.3333333</v>
      </c>
      <c r="AJ12" s="137">
        <f t="shared" si="21"/>
        <v>333.3333333</v>
      </c>
      <c r="AK12" s="137">
        <f t="shared" ref="AK12:BK12" si="22">AK4*0</f>
        <v>0</v>
      </c>
      <c r="AL12" s="137">
        <f t="shared" si="22"/>
        <v>0</v>
      </c>
      <c r="AM12" s="137">
        <f t="shared" si="22"/>
        <v>0</v>
      </c>
      <c r="AN12" s="137">
        <f t="shared" si="22"/>
        <v>0</v>
      </c>
      <c r="AO12" s="137">
        <f t="shared" si="22"/>
        <v>0</v>
      </c>
      <c r="AP12" s="137">
        <f t="shared" si="22"/>
        <v>0</v>
      </c>
      <c r="AQ12" s="137">
        <f t="shared" si="22"/>
        <v>0</v>
      </c>
      <c r="AR12" s="137">
        <f t="shared" si="22"/>
        <v>0</v>
      </c>
      <c r="AS12" s="137">
        <f t="shared" si="22"/>
        <v>0</v>
      </c>
      <c r="AT12" s="137">
        <f t="shared" si="22"/>
        <v>0</v>
      </c>
      <c r="AU12" s="137">
        <f t="shared" si="22"/>
        <v>0</v>
      </c>
      <c r="AV12" s="137">
        <f t="shared" si="22"/>
        <v>0</v>
      </c>
      <c r="AW12" s="137">
        <f t="shared" si="22"/>
        <v>0</v>
      </c>
      <c r="AX12" s="137">
        <f t="shared" si="22"/>
        <v>0</v>
      </c>
      <c r="AY12" s="137">
        <f t="shared" si="22"/>
        <v>0</v>
      </c>
      <c r="AZ12" s="137">
        <f t="shared" si="22"/>
        <v>0</v>
      </c>
      <c r="BA12" s="137">
        <f t="shared" si="22"/>
        <v>0</v>
      </c>
      <c r="BB12" s="137">
        <f t="shared" si="22"/>
        <v>0</v>
      </c>
      <c r="BC12" s="137">
        <f t="shared" si="22"/>
        <v>0</v>
      </c>
      <c r="BD12" s="137">
        <f t="shared" si="22"/>
        <v>0</v>
      </c>
      <c r="BE12" s="137">
        <f t="shared" si="22"/>
        <v>0</v>
      </c>
      <c r="BF12" s="137">
        <f t="shared" si="22"/>
        <v>0</v>
      </c>
      <c r="BG12" s="137">
        <f t="shared" si="22"/>
        <v>0</v>
      </c>
      <c r="BH12" s="137">
        <f t="shared" si="22"/>
        <v>0</v>
      </c>
      <c r="BI12" s="137">
        <f t="shared" si="22"/>
        <v>0</v>
      </c>
      <c r="BJ12" s="137">
        <f t="shared" si="22"/>
        <v>0</v>
      </c>
      <c r="BK12" s="137">
        <f t="shared" si="22"/>
        <v>0</v>
      </c>
    </row>
    <row r="13">
      <c r="A13" s="171" t="s">
        <v>206</v>
      </c>
      <c r="B13" s="176"/>
      <c r="C13" s="177">
        <f t="shared" ref="C13:L13" si="23">C10-C11+C5</f>
        <v>6200</v>
      </c>
      <c r="D13" s="177">
        <f t="shared" si="23"/>
        <v>11580</v>
      </c>
      <c r="E13" s="177">
        <f t="shared" si="23"/>
        <v>6600</v>
      </c>
      <c r="F13" s="177">
        <f t="shared" si="23"/>
        <v>6600</v>
      </c>
      <c r="G13" s="177">
        <f t="shared" si="23"/>
        <v>6600</v>
      </c>
      <c r="H13" s="178">
        <f t="shared" si="23"/>
        <v>6600</v>
      </c>
      <c r="I13" s="177">
        <f t="shared" si="23"/>
        <v>14900</v>
      </c>
      <c r="J13" s="177">
        <f t="shared" si="23"/>
        <v>14900</v>
      </c>
      <c r="K13" s="177">
        <f t="shared" si="23"/>
        <v>6600</v>
      </c>
      <c r="L13" s="177">
        <f t="shared" si="23"/>
        <v>6600</v>
      </c>
      <c r="M13" s="177">
        <f t="shared" ref="M13:N13" si="24">M10-M11</f>
        <v>7128</v>
      </c>
      <c r="N13" s="177">
        <f t="shared" si="24"/>
        <v>6930</v>
      </c>
      <c r="O13" s="177">
        <f>O4+O7+O5-O11-O12+O8</f>
        <v>7200</v>
      </c>
      <c r="P13" s="179">
        <f t="shared" ref="P13:BK13" si="25">P10-P11-P12</f>
        <v>11873</v>
      </c>
      <c r="Q13" s="179">
        <f t="shared" si="25"/>
        <v>6876.5</v>
      </c>
      <c r="R13" s="179">
        <f t="shared" si="25"/>
        <v>6657.5</v>
      </c>
      <c r="S13" s="179">
        <f t="shared" si="25"/>
        <v>9857.5</v>
      </c>
      <c r="T13" s="179">
        <f t="shared" si="25"/>
        <v>6457.5</v>
      </c>
      <c r="U13" s="179">
        <f t="shared" si="25"/>
        <v>6457.5</v>
      </c>
      <c r="V13" s="179">
        <f t="shared" si="25"/>
        <v>6757.5</v>
      </c>
      <c r="W13" s="179">
        <f t="shared" si="25"/>
        <v>6457.5</v>
      </c>
      <c r="X13" s="179">
        <f t="shared" si="25"/>
        <v>6457.5</v>
      </c>
      <c r="Y13" s="179">
        <f t="shared" si="25"/>
        <v>12057.5</v>
      </c>
      <c r="Z13" s="179">
        <f t="shared" si="25"/>
        <v>8800</v>
      </c>
      <c r="AA13" s="179">
        <f t="shared" si="25"/>
        <v>8800</v>
      </c>
      <c r="AB13" s="179">
        <f t="shared" si="25"/>
        <v>8800</v>
      </c>
      <c r="AC13" s="179">
        <f t="shared" si="25"/>
        <v>9166.666667</v>
      </c>
      <c r="AD13" s="179">
        <f t="shared" si="25"/>
        <v>8746.666667</v>
      </c>
      <c r="AE13" s="179">
        <f t="shared" si="25"/>
        <v>19746.66667</v>
      </c>
      <c r="AF13" s="179">
        <f t="shared" si="25"/>
        <v>10100</v>
      </c>
      <c r="AG13" s="179">
        <f t="shared" si="25"/>
        <v>11200</v>
      </c>
      <c r="AH13" s="180">
        <f t="shared" si="25"/>
        <v>25800</v>
      </c>
      <c r="AI13" s="179">
        <f t="shared" si="25"/>
        <v>8466.666667</v>
      </c>
      <c r="AJ13" s="179">
        <f t="shared" si="25"/>
        <v>8466.666667</v>
      </c>
      <c r="AK13" s="179">
        <f t="shared" si="25"/>
        <v>18775</v>
      </c>
      <c r="AL13" s="179">
        <f t="shared" si="25"/>
        <v>11550</v>
      </c>
      <c r="AM13" s="179">
        <f t="shared" si="25"/>
        <v>11550</v>
      </c>
      <c r="AN13" s="179">
        <f t="shared" si="25"/>
        <v>21550</v>
      </c>
      <c r="AO13" s="179">
        <f t="shared" si="25"/>
        <v>12550</v>
      </c>
      <c r="AP13" s="179">
        <f t="shared" si="25"/>
        <v>32550</v>
      </c>
      <c r="AQ13" s="179">
        <f t="shared" si="25"/>
        <v>11550</v>
      </c>
      <c r="AR13" s="179">
        <f t="shared" si="25"/>
        <v>11550</v>
      </c>
      <c r="AS13" s="179">
        <f t="shared" si="25"/>
        <v>11550</v>
      </c>
      <c r="AT13" s="179">
        <f t="shared" si="25"/>
        <v>16301.11</v>
      </c>
      <c r="AU13" s="179">
        <f t="shared" si="25"/>
        <v>27750</v>
      </c>
      <c r="AV13" s="179">
        <f t="shared" si="25"/>
        <v>11550</v>
      </c>
      <c r="AW13" s="179">
        <f t="shared" si="25"/>
        <v>11550</v>
      </c>
      <c r="AX13" s="179">
        <f t="shared" si="25"/>
        <v>14894</v>
      </c>
      <c r="AY13" s="179">
        <f t="shared" si="25"/>
        <v>14350</v>
      </c>
      <c r="AZ13" s="179">
        <f t="shared" si="25"/>
        <v>27550</v>
      </c>
      <c r="BA13" s="179">
        <f t="shared" si="25"/>
        <v>31000</v>
      </c>
      <c r="BB13" s="179">
        <f t="shared" si="25"/>
        <v>11000</v>
      </c>
      <c r="BC13" s="179">
        <f t="shared" si="25"/>
        <v>11000</v>
      </c>
      <c r="BD13" s="699">
        <f t="shared" si="25"/>
        <v>311000</v>
      </c>
      <c r="BE13" s="699">
        <f t="shared" si="25"/>
        <v>13750</v>
      </c>
      <c r="BF13" s="699">
        <f t="shared" si="25"/>
        <v>13750</v>
      </c>
      <c r="BG13" s="179">
        <f t="shared" si="25"/>
        <v>13750</v>
      </c>
      <c r="BH13" s="179">
        <f t="shared" si="25"/>
        <v>13750</v>
      </c>
      <c r="BI13" s="179">
        <f t="shared" si="25"/>
        <v>13750</v>
      </c>
      <c r="BJ13" s="179">
        <f t="shared" si="25"/>
        <v>13750</v>
      </c>
      <c r="BK13" s="179">
        <f t="shared" si="25"/>
        <v>13750</v>
      </c>
    </row>
    <row r="14">
      <c r="A14" s="181"/>
      <c r="B14" s="182"/>
      <c r="C14" s="183"/>
      <c r="D14" s="183"/>
      <c r="E14" s="183"/>
      <c r="F14" s="183"/>
      <c r="G14" s="183"/>
      <c r="H14" s="184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4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</row>
    <row r="15">
      <c r="A15" s="186" t="s">
        <v>207</v>
      </c>
      <c r="B15" s="187"/>
      <c r="C15" s="133"/>
      <c r="D15" s="133"/>
      <c r="E15" s="133"/>
      <c r="F15" s="133"/>
      <c r="G15" s="133"/>
      <c r="H15" s="134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4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</row>
    <row r="16">
      <c r="A16" s="135" t="s">
        <v>208</v>
      </c>
      <c r="B16" s="136"/>
      <c r="C16" s="137"/>
      <c r="D16" s="137"/>
      <c r="E16" s="137"/>
      <c r="F16" s="137"/>
      <c r="G16" s="137"/>
      <c r="H16" s="137"/>
      <c r="I16" s="138"/>
      <c r="J16" s="138"/>
      <c r="K16" s="138"/>
      <c r="L16" s="138"/>
      <c r="M16" s="139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40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</row>
    <row r="17">
      <c r="A17" s="188" t="s">
        <v>209</v>
      </c>
      <c r="B17" s="144" t="s">
        <v>210</v>
      </c>
      <c r="C17" s="137">
        <v>1450.0</v>
      </c>
      <c r="D17" s="137">
        <v>1450.0</v>
      </c>
      <c r="E17" s="137">
        <v>1450.0</v>
      </c>
      <c r="F17" s="137">
        <v>1450.0</v>
      </c>
      <c r="G17" s="137">
        <v>1450.0</v>
      </c>
      <c r="H17" s="175">
        <f>1450+350</f>
        <v>1800</v>
      </c>
      <c r="I17" s="137">
        <f>1853+569</f>
        <v>2422</v>
      </c>
      <c r="J17" s="137">
        <v>0.0</v>
      </c>
      <c r="K17" s="137">
        <v>1000.0</v>
      </c>
      <c r="L17" s="137">
        <f>3383-1500</f>
        <v>1883</v>
      </c>
      <c r="M17" s="137">
        <f>1954</f>
        <v>1954</v>
      </c>
      <c r="N17" s="137">
        <v>1900.0</v>
      </c>
      <c r="O17" s="137">
        <v>1900.0</v>
      </c>
      <c r="P17" s="137">
        <v>1900.0</v>
      </c>
      <c r="Q17" s="137">
        <v>1900.0</v>
      </c>
      <c r="R17" s="137">
        <v>1921.0</v>
      </c>
      <c r="S17" s="137">
        <v>1921.0</v>
      </c>
      <c r="T17" s="189">
        <f>1921</f>
        <v>1921</v>
      </c>
      <c r="U17" s="190">
        <v>120.0</v>
      </c>
      <c r="V17" s="190">
        <f>120+700</f>
        <v>820</v>
      </c>
      <c r="W17" s="191">
        <f>sum(120+700)</f>
        <v>820</v>
      </c>
      <c r="X17" s="137">
        <f>sum(336,1740)</f>
        <v>2076</v>
      </c>
      <c r="Y17" s="137">
        <f>sum(1740)</f>
        <v>1740</v>
      </c>
      <c r="Z17" s="137">
        <v>1571.7</v>
      </c>
      <c r="AA17" s="137">
        <f t="shared" ref="AA17:AG17" si="26">sum(1740)</f>
        <v>1740</v>
      </c>
      <c r="AB17" s="137">
        <f t="shared" si="26"/>
        <v>1740</v>
      </c>
      <c r="AC17" s="137">
        <f t="shared" si="26"/>
        <v>1740</v>
      </c>
      <c r="AD17" s="137">
        <f t="shared" si="26"/>
        <v>1740</v>
      </c>
      <c r="AE17" s="137">
        <f t="shared" si="26"/>
        <v>1740</v>
      </c>
      <c r="AF17" s="137">
        <f t="shared" si="26"/>
        <v>1740</v>
      </c>
      <c r="AG17" s="137">
        <f t="shared" si="26"/>
        <v>1740</v>
      </c>
      <c r="AH17" s="175">
        <f>sum(4000,1700)</f>
        <v>5700</v>
      </c>
      <c r="AI17" s="137">
        <f>sum(2000)</f>
        <v>2000</v>
      </c>
      <c r="AJ17" s="137">
        <f t="shared" ref="AJ17:AT17" si="27">sum(2700)</f>
        <v>2700</v>
      </c>
      <c r="AK17" s="137">
        <f t="shared" si="27"/>
        <v>2700</v>
      </c>
      <c r="AL17" s="137">
        <f t="shared" si="27"/>
        <v>2700</v>
      </c>
      <c r="AM17" s="137">
        <f t="shared" si="27"/>
        <v>2700</v>
      </c>
      <c r="AN17" s="137">
        <f t="shared" si="27"/>
        <v>2700</v>
      </c>
      <c r="AO17" s="137">
        <f t="shared" si="27"/>
        <v>2700</v>
      </c>
      <c r="AP17" s="137">
        <f t="shared" si="27"/>
        <v>2700</v>
      </c>
      <c r="AQ17" s="137">
        <f t="shared" si="27"/>
        <v>2700</v>
      </c>
      <c r="AR17" s="137">
        <f t="shared" si="27"/>
        <v>2700</v>
      </c>
      <c r="AS17" s="137">
        <f t="shared" si="27"/>
        <v>2700</v>
      </c>
      <c r="AT17" s="137">
        <f t="shared" si="27"/>
        <v>2700</v>
      </c>
      <c r="AU17" s="137">
        <f t="shared" ref="AU17:AZ17" si="28">sum(2800)</f>
        <v>2800</v>
      </c>
      <c r="AV17" s="137">
        <f t="shared" si="28"/>
        <v>2800</v>
      </c>
      <c r="AW17" s="137">
        <f t="shared" si="28"/>
        <v>2800</v>
      </c>
      <c r="AX17" s="137">
        <f t="shared" si="28"/>
        <v>2800</v>
      </c>
      <c r="AY17" s="137">
        <f t="shared" si="28"/>
        <v>2800</v>
      </c>
      <c r="AZ17" s="137">
        <f t="shared" si="28"/>
        <v>2800</v>
      </c>
      <c r="BA17" s="137">
        <f t="shared" ref="BA17:BK17" si="29">-sum(2800)</f>
        <v>-2800</v>
      </c>
      <c r="BB17" s="137">
        <f t="shared" si="29"/>
        <v>-2800</v>
      </c>
      <c r="BC17" s="137">
        <f t="shared" si="29"/>
        <v>-2800</v>
      </c>
      <c r="BD17" s="137">
        <f t="shared" si="29"/>
        <v>-2800</v>
      </c>
      <c r="BE17" s="137">
        <f t="shared" si="29"/>
        <v>-2800</v>
      </c>
      <c r="BF17" s="137">
        <f t="shared" si="29"/>
        <v>-2800</v>
      </c>
      <c r="BG17" s="137">
        <f t="shared" si="29"/>
        <v>-2800</v>
      </c>
      <c r="BH17" s="137">
        <f t="shared" si="29"/>
        <v>-2800</v>
      </c>
      <c r="BI17" s="137">
        <f t="shared" si="29"/>
        <v>-2800</v>
      </c>
      <c r="BJ17" s="137">
        <f t="shared" si="29"/>
        <v>-2800</v>
      </c>
      <c r="BK17" s="137">
        <f t="shared" si="29"/>
        <v>-2800</v>
      </c>
    </row>
    <row r="18">
      <c r="A18" s="149"/>
      <c r="B18" s="144" t="s">
        <v>568</v>
      </c>
      <c r="C18" s="145">
        <v>9.0</v>
      </c>
      <c r="D18" s="145">
        <v>9.0</v>
      </c>
      <c r="E18" s="145">
        <v>9.0</v>
      </c>
      <c r="F18" s="145">
        <v>9.0</v>
      </c>
      <c r="G18" s="145">
        <v>9.0</v>
      </c>
      <c r="H18" s="146">
        <v>9.0</v>
      </c>
      <c r="I18" s="145">
        <v>9.0</v>
      </c>
      <c r="J18" s="145">
        <f t="shared" ref="J18:L18" si="30">18.42/2</f>
        <v>9.21</v>
      </c>
      <c r="K18" s="145">
        <f t="shared" si="30"/>
        <v>9.21</v>
      </c>
      <c r="L18" s="145">
        <f t="shared" si="30"/>
        <v>9.21</v>
      </c>
      <c r="M18" s="145">
        <v>11.0</v>
      </c>
      <c r="N18" s="145">
        <f t="shared" ref="N18:T18" si="31">18.42/2</f>
        <v>9.21</v>
      </c>
      <c r="O18" s="145">
        <f t="shared" si="31"/>
        <v>9.21</v>
      </c>
      <c r="P18" s="145">
        <f t="shared" si="31"/>
        <v>9.21</v>
      </c>
      <c r="Q18" s="145">
        <f t="shared" si="31"/>
        <v>9.21</v>
      </c>
      <c r="R18" s="145">
        <f t="shared" si="31"/>
        <v>9.21</v>
      </c>
      <c r="S18" s="145">
        <f t="shared" si="31"/>
        <v>9.21</v>
      </c>
      <c r="T18" s="145">
        <f t="shared" si="31"/>
        <v>9.21</v>
      </c>
      <c r="U18" s="695">
        <v>0.0</v>
      </c>
      <c r="V18" s="695">
        <v>0.0</v>
      </c>
      <c r="W18" s="145">
        <v>0.0</v>
      </c>
      <c r="X18" s="145">
        <v>0.0</v>
      </c>
      <c r="Y18" s="145">
        <v>0.0</v>
      </c>
      <c r="Z18" s="145">
        <v>0.0</v>
      </c>
      <c r="AA18" s="145">
        <v>9.0</v>
      </c>
      <c r="AB18" s="145">
        <v>9.0</v>
      </c>
      <c r="AC18" s="145">
        <v>0.0</v>
      </c>
      <c r="AD18" s="145">
        <v>0.0</v>
      </c>
      <c r="AE18" s="145">
        <v>0.0</v>
      </c>
      <c r="AF18" s="145">
        <v>0.0</v>
      </c>
      <c r="AG18" s="145">
        <v>0.0</v>
      </c>
      <c r="AH18" s="146">
        <v>0.0</v>
      </c>
      <c r="AI18" s="145">
        <v>0.0</v>
      </c>
      <c r="AJ18" s="145">
        <v>0.0</v>
      </c>
      <c r="AK18" s="145">
        <v>0.0</v>
      </c>
      <c r="AL18" s="145">
        <v>0.0</v>
      </c>
      <c r="AM18" s="145">
        <v>0.0</v>
      </c>
      <c r="AN18" s="145">
        <v>0.0</v>
      </c>
      <c r="AO18" s="145">
        <v>0.0</v>
      </c>
      <c r="AP18" s="145">
        <v>0.0</v>
      </c>
      <c r="AQ18" s="145">
        <v>0.0</v>
      </c>
      <c r="AR18" s="145">
        <v>0.0</v>
      </c>
      <c r="AS18" s="145">
        <v>0.0</v>
      </c>
      <c r="AT18" s="145">
        <v>0.0</v>
      </c>
      <c r="AU18" s="145">
        <v>0.0</v>
      </c>
      <c r="AV18" s="145">
        <v>0.0</v>
      </c>
      <c r="AW18" s="145">
        <v>0.0</v>
      </c>
      <c r="AX18" s="145">
        <v>0.0</v>
      </c>
      <c r="AY18" s="145">
        <v>0.0</v>
      </c>
      <c r="AZ18" s="145">
        <v>0.0</v>
      </c>
      <c r="BA18" s="145">
        <v>0.0</v>
      </c>
      <c r="BB18" s="145">
        <v>0.0</v>
      </c>
      <c r="BC18" s="145">
        <v>0.0</v>
      </c>
      <c r="BD18" s="145">
        <v>0.0</v>
      </c>
      <c r="BE18" s="145">
        <v>0.0</v>
      </c>
      <c r="BF18" s="145">
        <v>0.0</v>
      </c>
      <c r="BG18" s="145">
        <v>0.0</v>
      </c>
      <c r="BH18" s="145">
        <v>0.0</v>
      </c>
      <c r="BI18" s="145">
        <v>0.0</v>
      </c>
      <c r="BJ18" s="145">
        <v>0.0</v>
      </c>
      <c r="BK18" s="145">
        <v>0.0</v>
      </c>
    </row>
    <row r="19">
      <c r="A19" s="149"/>
      <c r="B19" s="144" t="s">
        <v>211</v>
      </c>
      <c r="C19" s="137"/>
      <c r="D19" s="137"/>
      <c r="E19" s="137"/>
      <c r="F19" s="137"/>
      <c r="G19" s="137"/>
      <c r="H19" s="175"/>
      <c r="I19" s="137">
        <v>100.0</v>
      </c>
      <c r="J19" s="137">
        <v>35.0</v>
      </c>
      <c r="K19" s="137">
        <v>90.0</v>
      </c>
      <c r="L19" s="137">
        <f>90</f>
        <v>90</v>
      </c>
      <c r="M19" s="137">
        <v>20.0</v>
      </c>
      <c r="N19" s="137">
        <v>90.0</v>
      </c>
      <c r="O19" s="137">
        <v>90.0</v>
      </c>
      <c r="P19" s="137">
        <v>90.0</v>
      </c>
      <c r="Q19" s="137">
        <v>90.0</v>
      </c>
      <c r="R19" s="137">
        <v>90.0</v>
      </c>
      <c r="S19" s="137">
        <v>90.0</v>
      </c>
      <c r="T19" s="137">
        <v>90.0</v>
      </c>
      <c r="U19" s="191">
        <v>0.0</v>
      </c>
      <c r="V19" s="191">
        <v>0.0</v>
      </c>
      <c r="W19" s="145">
        <v>0.0</v>
      </c>
      <c r="X19" s="145">
        <v>0.0</v>
      </c>
      <c r="Y19" s="137">
        <v>90.0</v>
      </c>
      <c r="Z19" s="137">
        <v>90.0</v>
      </c>
      <c r="AA19" s="137">
        <v>90.0</v>
      </c>
      <c r="AB19" s="137">
        <v>90.0</v>
      </c>
      <c r="AC19" s="137">
        <v>90.0</v>
      </c>
      <c r="AD19" s="137">
        <v>90.0</v>
      </c>
      <c r="AE19" s="137">
        <v>90.0</v>
      </c>
      <c r="AF19" s="137">
        <v>90.0</v>
      </c>
      <c r="AG19" s="137">
        <v>90.0</v>
      </c>
      <c r="AH19" s="175">
        <v>90.0</v>
      </c>
      <c r="AI19" s="137">
        <v>90.0</v>
      </c>
      <c r="AJ19" s="137">
        <v>90.0</v>
      </c>
      <c r="AK19" s="137">
        <v>90.0</v>
      </c>
      <c r="AL19" s="137">
        <v>90.0</v>
      </c>
      <c r="AM19" s="137">
        <v>90.0</v>
      </c>
      <c r="AN19" s="137">
        <v>90.0</v>
      </c>
      <c r="AO19" s="137">
        <v>90.0</v>
      </c>
      <c r="AP19" s="137">
        <v>90.0</v>
      </c>
      <c r="AQ19" s="137">
        <v>90.0</v>
      </c>
      <c r="AR19" s="137">
        <v>90.0</v>
      </c>
      <c r="AS19" s="137">
        <v>90.0</v>
      </c>
      <c r="AT19" s="137">
        <v>90.0</v>
      </c>
      <c r="AU19" s="137">
        <v>90.0</v>
      </c>
      <c r="AV19" s="137">
        <v>90.0</v>
      </c>
      <c r="AW19" s="137">
        <v>90.0</v>
      </c>
      <c r="AX19" s="137">
        <v>90.0</v>
      </c>
      <c r="AY19" s="137">
        <v>90.0</v>
      </c>
      <c r="AZ19" s="137">
        <v>90.0</v>
      </c>
      <c r="BA19" s="137">
        <v>-90.0</v>
      </c>
      <c r="BB19" s="137">
        <v>-90.0</v>
      </c>
      <c r="BC19" s="137">
        <v>-90.0</v>
      </c>
      <c r="BD19" s="137">
        <v>-90.0</v>
      </c>
      <c r="BE19" s="137">
        <v>-90.0</v>
      </c>
      <c r="BF19" s="137">
        <v>-90.0</v>
      </c>
      <c r="BG19" s="137">
        <v>-90.0</v>
      </c>
      <c r="BH19" s="137">
        <v>-90.0</v>
      </c>
      <c r="BI19" s="137">
        <v>-90.0</v>
      </c>
      <c r="BJ19" s="137">
        <v>-90.0</v>
      </c>
      <c r="BK19" s="137">
        <v>-90.0</v>
      </c>
    </row>
    <row r="20">
      <c r="A20" s="149"/>
      <c r="B20" s="144" t="s">
        <v>212</v>
      </c>
      <c r="C20" s="145">
        <f t="shared" ref="C20:T20" si="32">62.95/2</f>
        <v>31.475</v>
      </c>
      <c r="D20" s="145">
        <f t="shared" si="32"/>
        <v>31.475</v>
      </c>
      <c r="E20" s="145">
        <f t="shared" si="32"/>
        <v>31.475</v>
      </c>
      <c r="F20" s="145">
        <f t="shared" si="32"/>
        <v>31.475</v>
      </c>
      <c r="G20" s="145">
        <f t="shared" si="32"/>
        <v>31.475</v>
      </c>
      <c r="H20" s="146">
        <f t="shared" si="32"/>
        <v>31.475</v>
      </c>
      <c r="I20" s="145">
        <f t="shared" si="32"/>
        <v>31.475</v>
      </c>
      <c r="J20" s="145">
        <f t="shared" si="32"/>
        <v>31.475</v>
      </c>
      <c r="K20" s="145">
        <f t="shared" si="32"/>
        <v>31.475</v>
      </c>
      <c r="L20" s="145">
        <f t="shared" si="32"/>
        <v>31.475</v>
      </c>
      <c r="M20" s="145">
        <f t="shared" si="32"/>
        <v>31.475</v>
      </c>
      <c r="N20" s="145">
        <f t="shared" si="32"/>
        <v>31.475</v>
      </c>
      <c r="O20" s="145">
        <f t="shared" si="32"/>
        <v>31.475</v>
      </c>
      <c r="P20" s="145">
        <f t="shared" si="32"/>
        <v>31.475</v>
      </c>
      <c r="Q20" s="145">
        <f t="shared" si="32"/>
        <v>31.475</v>
      </c>
      <c r="R20" s="145">
        <f t="shared" si="32"/>
        <v>31.475</v>
      </c>
      <c r="S20" s="145">
        <f t="shared" si="32"/>
        <v>31.475</v>
      </c>
      <c r="T20" s="145">
        <f t="shared" si="32"/>
        <v>31.475</v>
      </c>
      <c r="U20" s="145">
        <v>0.0</v>
      </c>
      <c r="V20" s="145">
        <v>0.0</v>
      </c>
      <c r="W20" s="145">
        <v>0.0</v>
      </c>
      <c r="X20" s="145">
        <v>0.0</v>
      </c>
      <c r="Y20" s="145">
        <f>62.95/2</f>
        <v>31.475</v>
      </c>
      <c r="Z20" s="145">
        <f>91/2</f>
        <v>45.5</v>
      </c>
      <c r="AA20" s="145">
        <f t="shared" ref="AA20:AG20" si="33">62.95/2</f>
        <v>31.475</v>
      </c>
      <c r="AB20" s="145">
        <f t="shared" si="33"/>
        <v>31.475</v>
      </c>
      <c r="AC20" s="145">
        <f t="shared" si="33"/>
        <v>31.475</v>
      </c>
      <c r="AD20" s="145">
        <f t="shared" si="33"/>
        <v>31.475</v>
      </c>
      <c r="AE20" s="145">
        <f t="shared" si="33"/>
        <v>31.475</v>
      </c>
      <c r="AF20" s="145">
        <f t="shared" si="33"/>
        <v>31.475</v>
      </c>
      <c r="AG20" s="145">
        <f t="shared" si="33"/>
        <v>31.475</v>
      </c>
      <c r="AH20" s="146">
        <f>0</f>
        <v>0</v>
      </c>
      <c r="AI20" s="145">
        <f t="shared" ref="AI20:AZ20" si="34">100/2</f>
        <v>50</v>
      </c>
      <c r="AJ20" s="145">
        <f t="shared" si="34"/>
        <v>50</v>
      </c>
      <c r="AK20" s="145">
        <f t="shared" si="34"/>
        <v>50</v>
      </c>
      <c r="AL20" s="145">
        <f t="shared" si="34"/>
        <v>50</v>
      </c>
      <c r="AM20" s="145">
        <f t="shared" si="34"/>
        <v>50</v>
      </c>
      <c r="AN20" s="145">
        <f t="shared" si="34"/>
        <v>50</v>
      </c>
      <c r="AO20" s="145">
        <f t="shared" si="34"/>
        <v>50</v>
      </c>
      <c r="AP20" s="145">
        <f t="shared" si="34"/>
        <v>50</v>
      </c>
      <c r="AQ20" s="145">
        <f t="shared" si="34"/>
        <v>50</v>
      </c>
      <c r="AR20" s="145">
        <f t="shared" si="34"/>
        <v>50</v>
      </c>
      <c r="AS20" s="145">
        <f t="shared" si="34"/>
        <v>50</v>
      </c>
      <c r="AT20" s="145">
        <f t="shared" si="34"/>
        <v>50</v>
      </c>
      <c r="AU20" s="145">
        <f t="shared" si="34"/>
        <v>50</v>
      </c>
      <c r="AV20" s="145">
        <f t="shared" si="34"/>
        <v>50</v>
      </c>
      <c r="AW20" s="145">
        <f t="shared" si="34"/>
        <v>50</v>
      </c>
      <c r="AX20" s="145">
        <f t="shared" si="34"/>
        <v>50</v>
      </c>
      <c r="AY20" s="145">
        <f t="shared" si="34"/>
        <v>50</v>
      </c>
      <c r="AZ20" s="145">
        <f t="shared" si="34"/>
        <v>50</v>
      </c>
      <c r="BA20" s="145">
        <f t="shared" ref="BA20:BK20" si="35">-100/2</f>
        <v>-50</v>
      </c>
      <c r="BB20" s="145">
        <f t="shared" si="35"/>
        <v>-50</v>
      </c>
      <c r="BC20" s="145">
        <f t="shared" si="35"/>
        <v>-50</v>
      </c>
      <c r="BD20" s="145">
        <f t="shared" si="35"/>
        <v>-50</v>
      </c>
      <c r="BE20" s="145">
        <f t="shared" si="35"/>
        <v>-50</v>
      </c>
      <c r="BF20" s="145">
        <f t="shared" si="35"/>
        <v>-50</v>
      </c>
      <c r="BG20" s="145">
        <f t="shared" si="35"/>
        <v>-50</v>
      </c>
      <c r="BH20" s="145">
        <f t="shared" si="35"/>
        <v>-50</v>
      </c>
      <c r="BI20" s="145">
        <f t="shared" si="35"/>
        <v>-50</v>
      </c>
      <c r="BJ20" s="145">
        <f t="shared" si="35"/>
        <v>-50</v>
      </c>
      <c r="BK20" s="145">
        <f t="shared" si="35"/>
        <v>-50</v>
      </c>
    </row>
    <row r="21">
      <c r="A21" s="149"/>
      <c r="B21" s="144" t="s">
        <v>22</v>
      </c>
      <c r="C21" s="137"/>
      <c r="D21" s="137"/>
      <c r="E21" s="137"/>
      <c r="F21" s="137"/>
      <c r="G21" s="137"/>
      <c r="H21" s="175"/>
      <c r="I21" s="137">
        <v>400.0</v>
      </c>
      <c r="J21" s="137">
        <f>75*4</f>
        <v>300</v>
      </c>
      <c r="K21" s="137">
        <f>50*4</f>
        <v>200</v>
      </c>
      <c r="L21" s="137">
        <f t="shared" ref="L21:O21" si="36">55*4</f>
        <v>220</v>
      </c>
      <c r="M21" s="137">
        <f t="shared" si="36"/>
        <v>220</v>
      </c>
      <c r="N21" s="137">
        <f t="shared" si="36"/>
        <v>220</v>
      </c>
      <c r="O21" s="137">
        <f t="shared" si="36"/>
        <v>220</v>
      </c>
      <c r="P21" s="137">
        <f>60*4</f>
        <v>240</v>
      </c>
      <c r="Q21" s="137">
        <f>200+150+250</f>
        <v>600</v>
      </c>
      <c r="R21" s="137">
        <f>195+200+150</f>
        <v>545</v>
      </c>
      <c r="S21" s="137">
        <f>100*4</f>
        <v>400</v>
      </c>
      <c r="T21" s="137">
        <f t="shared" ref="T21:AJ21" si="37">60*4</f>
        <v>240</v>
      </c>
      <c r="U21" s="137">
        <f t="shared" si="37"/>
        <v>240</v>
      </c>
      <c r="V21" s="137">
        <f t="shared" si="37"/>
        <v>240</v>
      </c>
      <c r="W21" s="137">
        <f t="shared" si="37"/>
        <v>240</v>
      </c>
      <c r="X21" s="137">
        <f t="shared" si="37"/>
        <v>240</v>
      </c>
      <c r="Y21" s="137">
        <f t="shared" si="37"/>
        <v>240</v>
      </c>
      <c r="Z21" s="137">
        <f t="shared" si="37"/>
        <v>240</v>
      </c>
      <c r="AA21" s="137">
        <f t="shared" si="37"/>
        <v>240</v>
      </c>
      <c r="AB21" s="137">
        <f t="shared" si="37"/>
        <v>240</v>
      </c>
      <c r="AC21" s="137">
        <f t="shared" si="37"/>
        <v>240</v>
      </c>
      <c r="AD21" s="137">
        <f t="shared" si="37"/>
        <v>240</v>
      </c>
      <c r="AE21" s="137">
        <f t="shared" si="37"/>
        <v>240</v>
      </c>
      <c r="AF21" s="137">
        <f t="shared" si="37"/>
        <v>240</v>
      </c>
      <c r="AG21" s="137">
        <f t="shared" si="37"/>
        <v>240</v>
      </c>
      <c r="AH21" s="175">
        <f t="shared" si="37"/>
        <v>240</v>
      </c>
      <c r="AI21" s="137">
        <f t="shared" si="37"/>
        <v>240</v>
      </c>
      <c r="AJ21" s="137">
        <f t="shared" si="37"/>
        <v>240</v>
      </c>
      <c r="AK21" s="137">
        <f t="shared" ref="AK21:AZ21" si="38">100*4</f>
        <v>400</v>
      </c>
      <c r="AL21" s="137">
        <f t="shared" si="38"/>
        <v>400</v>
      </c>
      <c r="AM21" s="137">
        <f t="shared" si="38"/>
        <v>400</v>
      </c>
      <c r="AN21" s="137">
        <f t="shared" si="38"/>
        <v>400</v>
      </c>
      <c r="AO21" s="137">
        <f t="shared" si="38"/>
        <v>400</v>
      </c>
      <c r="AP21" s="137">
        <f t="shared" si="38"/>
        <v>400</v>
      </c>
      <c r="AQ21" s="137">
        <f t="shared" si="38"/>
        <v>400</v>
      </c>
      <c r="AR21" s="137">
        <f t="shared" si="38"/>
        <v>400</v>
      </c>
      <c r="AS21" s="137">
        <f t="shared" si="38"/>
        <v>400</v>
      </c>
      <c r="AT21" s="137">
        <f t="shared" si="38"/>
        <v>400</v>
      </c>
      <c r="AU21" s="137">
        <f t="shared" si="38"/>
        <v>400</v>
      </c>
      <c r="AV21" s="137">
        <f t="shared" si="38"/>
        <v>400</v>
      </c>
      <c r="AW21" s="137">
        <f t="shared" si="38"/>
        <v>400</v>
      </c>
      <c r="AX21" s="137">
        <f t="shared" si="38"/>
        <v>400</v>
      </c>
      <c r="AY21" s="137">
        <f t="shared" si="38"/>
        <v>400</v>
      </c>
      <c r="AZ21" s="137">
        <f t="shared" si="38"/>
        <v>400</v>
      </c>
      <c r="BA21" s="137">
        <f t="shared" ref="BA21:BK21" si="39">-100*4</f>
        <v>-400</v>
      </c>
      <c r="BB21" s="137">
        <f t="shared" si="39"/>
        <v>-400</v>
      </c>
      <c r="BC21" s="137">
        <f t="shared" si="39"/>
        <v>-400</v>
      </c>
      <c r="BD21" s="137">
        <f t="shared" si="39"/>
        <v>-400</v>
      </c>
      <c r="BE21" s="137">
        <f t="shared" si="39"/>
        <v>-400</v>
      </c>
      <c r="BF21" s="137">
        <f t="shared" si="39"/>
        <v>-400</v>
      </c>
      <c r="BG21" s="137">
        <f t="shared" si="39"/>
        <v>-400</v>
      </c>
      <c r="BH21" s="137">
        <f t="shared" si="39"/>
        <v>-400</v>
      </c>
      <c r="BI21" s="137">
        <f t="shared" si="39"/>
        <v>-400</v>
      </c>
      <c r="BJ21" s="137">
        <f t="shared" si="39"/>
        <v>-400</v>
      </c>
      <c r="BK21" s="137">
        <f t="shared" si="39"/>
        <v>-400</v>
      </c>
    </row>
    <row r="22">
      <c r="A22" s="188" t="s">
        <v>213</v>
      </c>
      <c r="B22" s="144" t="s">
        <v>214</v>
      </c>
      <c r="C22" s="145"/>
      <c r="D22" s="145"/>
      <c r="E22" s="145">
        <v>100.0</v>
      </c>
      <c r="F22" s="145">
        <v>128.79</v>
      </c>
      <c r="G22" s="145">
        <v>120.0</v>
      </c>
      <c r="H22" s="146">
        <f>120+500</f>
        <v>620</v>
      </c>
      <c r="I22" s="145">
        <v>120.64</v>
      </c>
      <c r="J22" s="145">
        <v>120.64</v>
      </c>
      <c r="K22" s="145">
        <v>120.64</v>
      </c>
      <c r="L22" s="145">
        <v>150.0</v>
      </c>
      <c r="M22" s="145">
        <v>120.64</v>
      </c>
      <c r="N22" s="145">
        <v>120.64</v>
      </c>
      <c r="O22" s="145">
        <v>120.0</v>
      </c>
      <c r="P22" s="145">
        <v>120.0</v>
      </c>
      <c r="Q22" s="145">
        <v>120.0</v>
      </c>
      <c r="R22" s="145">
        <v>120.0</v>
      </c>
      <c r="S22" s="145">
        <v>120.0</v>
      </c>
      <c r="T22" s="145">
        <v>120.0</v>
      </c>
      <c r="U22" s="145">
        <v>120.0</v>
      </c>
      <c r="V22" s="145">
        <v>120.0</v>
      </c>
      <c r="W22" s="145">
        <v>120.0</v>
      </c>
      <c r="X22" s="145">
        <v>120.0</v>
      </c>
      <c r="Y22" s="145">
        <v>150.0</v>
      </c>
      <c r="Z22" s="145">
        <v>185.09</v>
      </c>
      <c r="AA22" s="145">
        <v>185.09</v>
      </c>
      <c r="AB22" s="145">
        <v>185.09</v>
      </c>
      <c r="AC22" s="145">
        <v>185.09</v>
      </c>
      <c r="AD22" s="145">
        <v>185.09</v>
      </c>
      <c r="AE22" s="145">
        <v>185.09</v>
      </c>
      <c r="AF22" s="145">
        <v>185.09</v>
      </c>
      <c r="AG22" s="145">
        <v>185.09</v>
      </c>
      <c r="AH22" s="146">
        <v>185.09</v>
      </c>
      <c r="AI22" s="145">
        <v>185.09</v>
      </c>
      <c r="AJ22" s="145">
        <v>185.09</v>
      </c>
      <c r="AK22" s="145">
        <v>0.0</v>
      </c>
      <c r="AL22" s="145">
        <v>0.0</v>
      </c>
      <c r="AM22" s="145">
        <v>0.0</v>
      </c>
      <c r="AN22" s="145">
        <v>0.0</v>
      </c>
      <c r="AO22" s="145">
        <v>0.0</v>
      </c>
      <c r="AP22" s="145">
        <v>0.0</v>
      </c>
      <c r="AQ22" s="145">
        <v>0.0</v>
      </c>
      <c r="AR22" s="145">
        <v>0.0</v>
      </c>
      <c r="AS22" s="145">
        <v>0.0</v>
      </c>
      <c r="AT22" s="145">
        <v>0.0</v>
      </c>
      <c r="AU22" s="145">
        <v>0.0</v>
      </c>
      <c r="AV22" s="145">
        <v>0.0</v>
      </c>
      <c r="AW22" s="145">
        <v>150.0</v>
      </c>
      <c r="AX22" s="145">
        <v>150.0</v>
      </c>
      <c r="AY22" s="145">
        <v>150.0</v>
      </c>
      <c r="AZ22" s="145">
        <v>150.0</v>
      </c>
      <c r="BA22" s="145">
        <v>-150.0</v>
      </c>
      <c r="BB22" s="145">
        <v>-150.0</v>
      </c>
      <c r="BC22" s="145">
        <v>-150.0</v>
      </c>
      <c r="BD22" s="145">
        <v>-150.0</v>
      </c>
      <c r="BE22" s="145">
        <v>-150.0</v>
      </c>
      <c r="BF22" s="145">
        <v>-150.0</v>
      </c>
      <c r="BG22" s="145">
        <v>-150.0</v>
      </c>
      <c r="BH22" s="145">
        <v>-150.0</v>
      </c>
      <c r="BI22" s="145">
        <v>-150.0</v>
      </c>
      <c r="BJ22" s="145">
        <v>-150.0</v>
      </c>
      <c r="BK22" s="145">
        <v>-150.0</v>
      </c>
    </row>
    <row r="23">
      <c r="A23" s="188" t="s">
        <v>215</v>
      </c>
      <c r="B23" s="144" t="s">
        <v>215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>
        <v>0.0</v>
      </c>
      <c r="O23" s="137">
        <v>0.0</v>
      </c>
      <c r="P23" s="137">
        <v>0.0</v>
      </c>
      <c r="Q23" s="137">
        <v>0.0</v>
      </c>
      <c r="R23" s="137">
        <v>0.0</v>
      </c>
      <c r="S23" s="189">
        <v>0.0</v>
      </c>
      <c r="T23" s="193">
        <v>200.0</v>
      </c>
      <c r="U23" s="189">
        <v>0.0</v>
      </c>
      <c r="V23" s="137">
        <f>sum(116,60,300,300)</f>
        <v>776</v>
      </c>
      <c r="W23" s="137">
        <f>sum(343,60,75)</f>
        <v>478</v>
      </c>
      <c r="X23" s="137">
        <f>sum(343,180,150)</f>
        <v>673</v>
      </c>
      <c r="Y23" s="137">
        <f t="shared" ref="Y23:AH23" si="40">sum(343,180,100)</f>
        <v>623</v>
      </c>
      <c r="Z23" s="137">
        <f t="shared" si="40"/>
        <v>623</v>
      </c>
      <c r="AA23" s="137">
        <f t="shared" si="40"/>
        <v>623</v>
      </c>
      <c r="AB23" s="137">
        <f t="shared" si="40"/>
        <v>623</v>
      </c>
      <c r="AC23" s="137">
        <f t="shared" si="40"/>
        <v>623</v>
      </c>
      <c r="AD23" s="137">
        <f t="shared" si="40"/>
        <v>623</v>
      </c>
      <c r="AE23" s="137">
        <f t="shared" si="40"/>
        <v>623</v>
      </c>
      <c r="AF23" s="194">
        <f t="shared" si="40"/>
        <v>623</v>
      </c>
      <c r="AG23" s="194">
        <f t="shared" si="40"/>
        <v>623</v>
      </c>
      <c r="AH23" s="195">
        <f t="shared" si="40"/>
        <v>623</v>
      </c>
      <c r="AI23" s="137">
        <v>400.0</v>
      </c>
      <c r="AJ23" s="137">
        <v>0.0</v>
      </c>
      <c r="AK23" s="137">
        <v>0.0</v>
      </c>
      <c r="AL23" s="137">
        <v>175.0</v>
      </c>
      <c r="AM23" s="137">
        <v>0.0</v>
      </c>
      <c r="AN23" s="137">
        <v>0.0</v>
      </c>
      <c r="AO23" s="137">
        <v>0.0</v>
      </c>
      <c r="AP23" s="137">
        <v>0.0</v>
      </c>
      <c r="AQ23" s="137">
        <v>0.0</v>
      </c>
      <c r="AR23" s="137">
        <v>0.0</v>
      </c>
      <c r="AS23" s="137">
        <v>0.0</v>
      </c>
      <c r="AT23" s="137">
        <v>0.0</v>
      </c>
      <c r="AU23" s="137">
        <v>0.0</v>
      </c>
      <c r="AV23" s="137">
        <v>0.0</v>
      </c>
      <c r="AW23" s="137">
        <v>0.0</v>
      </c>
      <c r="AX23" s="137">
        <v>0.0</v>
      </c>
      <c r="AY23" s="137">
        <v>0.0</v>
      </c>
      <c r="AZ23" s="137">
        <v>0.0</v>
      </c>
      <c r="BA23" s="137">
        <v>0.0</v>
      </c>
      <c r="BB23" s="137">
        <v>0.0</v>
      </c>
      <c r="BC23" s="137">
        <v>0.0</v>
      </c>
      <c r="BD23" s="137">
        <v>0.0</v>
      </c>
      <c r="BE23" s="137">
        <v>0.0</v>
      </c>
      <c r="BF23" s="137">
        <v>0.0</v>
      </c>
      <c r="BG23" s="137">
        <v>0.0</v>
      </c>
      <c r="BH23" s="137">
        <v>0.0</v>
      </c>
      <c r="BI23" s="137">
        <v>0.0</v>
      </c>
      <c r="BJ23" s="137">
        <v>0.0</v>
      </c>
      <c r="BK23" s="137">
        <v>0.0</v>
      </c>
    </row>
    <row r="24">
      <c r="A24" s="188" t="s">
        <v>216</v>
      </c>
      <c r="B24" s="144" t="s">
        <v>217</v>
      </c>
      <c r="C24" s="137"/>
      <c r="D24" s="137"/>
      <c r="E24" s="137"/>
      <c r="F24" s="137"/>
      <c r="G24" s="137"/>
      <c r="H24" s="137"/>
      <c r="I24" s="137"/>
      <c r="J24" s="137">
        <f>170*4-20</f>
        <v>660</v>
      </c>
      <c r="K24" s="137">
        <f t="shared" ref="K24:L24" si="41">22*7*4</f>
        <v>616</v>
      </c>
      <c r="L24" s="137">
        <f t="shared" si="41"/>
        <v>616</v>
      </c>
      <c r="M24" s="137">
        <f t="shared" ref="M24:N24" si="42">20*4*4</f>
        <v>320</v>
      </c>
      <c r="N24" s="137">
        <f t="shared" si="42"/>
        <v>320</v>
      </c>
      <c r="O24" s="137">
        <f>15*7*4</f>
        <v>420</v>
      </c>
      <c r="P24" s="137">
        <f>15*30</f>
        <v>450</v>
      </c>
      <c r="Q24" s="137">
        <f>15*5</f>
        <v>75</v>
      </c>
      <c r="R24" s="137">
        <f t="shared" ref="R24:S24" si="43">10*4</f>
        <v>40</v>
      </c>
      <c r="S24" s="137">
        <f t="shared" si="43"/>
        <v>40</v>
      </c>
      <c r="T24" s="137">
        <f>10*20</f>
        <v>200</v>
      </c>
      <c r="U24" s="137">
        <f>10*10</f>
        <v>100</v>
      </c>
      <c r="V24" s="137">
        <v>0.0</v>
      </c>
      <c r="W24" s="137">
        <v>0.0</v>
      </c>
      <c r="X24" s="137">
        <v>25.0</v>
      </c>
      <c r="Y24" s="137">
        <v>25.0</v>
      </c>
      <c r="Z24" s="137">
        <v>25.0</v>
      </c>
      <c r="AA24" s="137">
        <v>25.0</v>
      </c>
      <c r="AB24" s="137">
        <v>25.0</v>
      </c>
      <c r="AC24" s="137">
        <v>25.0</v>
      </c>
      <c r="AD24" s="137">
        <v>25.0</v>
      </c>
      <c r="AE24" s="137">
        <v>25.0</v>
      </c>
      <c r="AF24" s="137">
        <v>25.0</v>
      </c>
      <c r="AG24" s="137">
        <v>25.0</v>
      </c>
      <c r="AH24" s="175">
        <v>100.0</v>
      </c>
      <c r="AI24" s="137">
        <v>200.0</v>
      </c>
      <c r="AJ24" s="137">
        <v>100.0</v>
      </c>
      <c r="AK24" s="137">
        <v>100.0</v>
      </c>
      <c r="AL24" s="137">
        <v>100.0</v>
      </c>
      <c r="AM24" s="137">
        <v>100.0</v>
      </c>
      <c r="AN24" s="137">
        <v>100.0</v>
      </c>
      <c r="AO24" s="137">
        <v>100.0</v>
      </c>
      <c r="AP24" s="137">
        <v>100.0</v>
      </c>
      <c r="AQ24" s="137">
        <v>100.0</v>
      </c>
      <c r="AR24" s="137">
        <v>100.0</v>
      </c>
      <c r="AS24" s="137">
        <v>100.0</v>
      </c>
      <c r="AT24" s="137">
        <v>100.0</v>
      </c>
      <c r="AU24" s="137">
        <v>100.0</v>
      </c>
      <c r="AV24" s="137">
        <v>100.0</v>
      </c>
      <c r="AW24" s="137">
        <v>100.0</v>
      </c>
      <c r="AX24" s="137">
        <v>100.0</v>
      </c>
      <c r="AY24" s="137">
        <v>100.0</v>
      </c>
      <c r="AZ24" s="137">
        <v>100.0</v>
      </c>
      <c r="BA24" s="137">
        <v>-100.0</v>
      </c>
      <c r="BB24" s="137">
        <v>-100.0</v>
      </c>
      <c r="BC24" s="137">
        <v>-100.0</v>
      </c>
      <c r="BD24" s="137">
        <v>-100.0</v>
      </c>
      <c r="BE24" s="137">
        <v>-100.0</v>
      </c>
      <c r="BF24" s="137">
        <v>-100.0</v>
      </c>
      <c r="BG24" s="137">
        <v>-100.0</v>
      </c>
      <c r="BH24" s="137">
        <v>-100.0</v>
      </c>
      <c r="BI24" s="137">
        <v>-100.0</v>
      </c>
      <c r="BJ24" s="137">
        <v>-100.0</v>
      </c>
      <c r="BK24" s="137">
        <v>-100.0</v>
      </c>
    </row>
    <row r="25">
      <c r="A25" s="149"/>
      <c r="B25" s="144" t="s">
        <v>218</v>
      </c>
      <c r="C25" s="137">
        <v>200.0</v>
      </c>
      <c r="D25" s="137">
        <v>200.0</v>
      </c>
      <c r="E25" s="137">
        <v>100.0</v>
      </c>
      <c r="F25" s="137">
        <v>200.0</v>
      </c>
      <c r="G25" s="137">
        <v>200.0</v>
      </c>
      <c r="H25" s="175">
        <v>200.0</v>
      </c>
      <c r="I25" s="137">
        <f>8*4*4+20*4</f>
        <v>208</v>
      </c>
      <c r="J25" s="137">
        <f>8*7*4</f>
        <v>224</v>
      </c>
      <c r="K25" s="137">
        <f>8*4*4</f>
        <v>128</v>
      </c>
      <c r="L25" s="137">
        <f>8*7*4</f>
        <v>224</v>
      </c>
      <c r="M25" s="137">
        <f>8*4*4</f>
        <v>128</v>
      </c>
      <c r="N25" s="137">
        <f>8*5*4</f>
        <v>160</v>
      </c>
      <c r="O25" s="137">
        <f>8*7*4</f>
        <v>224</v>
      </c>
      <c r="P25" s="137">
        <f>8*5*4</f>
        <v>160</v>
      </c>
      <c r="Q25" s="137">
        <f>40</f>
        <v>40</v>
      </c>
      <c r="R25" s="137">
        <f t="shared" ref="R25:S25" si="44">0</f>
        <v>0</v>
      </c>
      <c r="S25" s="137">
        <f t="shared" si="44"/>
        <v>0</v>
      </c>
      <c r="T25" s="137">
        <v>0.0</v>
      </c>
      <c r="U25" s="137">
        <v>0.0</v>
      </c>
      <c r="V25" s="137">
        <v>0.0</v>
      </c>
      <c r="W25" s="137">
        <v>0.0</v>
      </c>
      <c r="X25" s="137">
        <v>0.0</v>
      </c>
      <c r="Y25" s="137">
        <v>0.0</v>
      </c>
      <c r="Z25" s="137">
        <v>0.0</v>
      </c>
      <c r="AA25" s="137">
        <v>0.0</v>
      </c>
      <c r="AB25" s="137">
        <v>0.0</v>
      </c>
      <c r="AC25" s="137">
        <v>0.0</v>
      </c>
      <c r="AD25" s="137">
        <v>0.0</v>
      </c>
      <c r="AE25" s="137">
        <v>0.0</v>
      </c>
      <c r="AF25" s="137">
        <v>0.0</v>
      </c>
      <c r="AG25" s="137">
        <v>0.0</v>
      </c>
      <c r="AH25" s="175">
        <v>50.0</v>
      </c>
      <c r="AI25" s="137">
        <v>50.0</v>
      </c>
      <c r="AJ25" s="137">
        <v>50.0</v>
      </c>
      <c r="AK25" s="137">
        <v>50.0</v>
      </c>
      <c r="AL25" s="137">
        <v>50.0</v>
      </c>
      <c r="AM25" s="137">
        <v>25.0</v>
      </c>
      <c r="AN25" s="137">
        <v>25.0</v>
      </c>
      <c r="AO25" s="137">
        <v>25.0</v>
      </c>
      <c r="AP25" s="137">
        <v>50.0</v>
      </c>
      <c r="AQ25" s="137">
        <v>50.0</v>
      </c>
      <c r="AR25" s="137">
        <v>50.0</v>
      </c>
      <c r="AS25" s="137">
        <v>50.0</v>
      </c>
      <c r="AT25" s="137">
        <v>50.0</v>
      </c>
      <c r="AU25" s="137">
        <v>50.0</v>
      </c>
      <c r="AV25" s="137">
        <v>50.0</v>
      </c>
      <c r="AW25" s="137">
        <v>50.0</v>
      </c>
      <c r="AX25" s="137">
        <v>50.0</v>
      </c>
      <c r="AY25" s="137">
        <v>50.0</v>
      </c>
      <c r="AZ25" s="137">
        <v>50.0</v>
      </c>
      <c r="BA25" s="137">
        <v>-50.0</v>
      </c>
      <c r="BB25" s="137">
        <v>-50.0</v>
      </c>
      <c r="BC25" s="137">
        <v>-50.0</v>
      </c>
      <c r="BD25" s="137">
        <v>-50.0</v>
      </c>
      <c r="BE25" s="137">
        <v>-50.0</v>
      </c>
      <c r="BF25" s="137">
        <v>-50.0</v>
      </c>
      <c r="BG25" s="137">
        <v>-50.0</v>
      </c>
      <c r="BH25" s="137">
        <v>-50.0</v>
      </c>
      <c r="BI25" s="137">
        <v>-50.0</v>
      </c>
      <c r="BJ25" s="137">
        <v>-50.0</v>
      </c>
      <c r="BK25" s="137">
        <v>-50.0</v>
      </c>
    </row>
    <row r="26">
      <c r="A26" s="188"/>
      <c r="B26" s="136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96">
        <f t="shared" ref="P26:AZ26" si="45">sum(P17:P25)/P13</f>
        <v>0.2527318285</v>
      </c>
      <c r="Q26" s="196">
        <f t="shared" si="45"/>
        <v>0.4167359849</v>
      </c>
      <c r="R26" s="196">
        <f t="shared" si="45"/>
        <v>0.4140720991</v>
      </c>
      <c r="S26" s="196">
        <f t="shared" si="45"/>
        <v>0.2649439513</v>
      </c>
      <c r="T26" s="196">
        <f t="shared" si="45"/>
        <v>0.4354138599</v>
      </c>
      <c r="U26" s="196">
        <f t="shared" si="45"/>
        <v>0.08981804104</v>
      </c>
      <c r="V26" s="196">
        <f t="shared" si="45"/>
        <v>0.2894561598</v>
      </c>
      <c r="W26" s="196">
        <f t="shared" si="45"/>
        <v>0.2567557104</v>
      </c>
      <c r="X26" s="196">
        <f t="shared" si="45"/>
        <v>0.485327139</v>
      </c>
      <c r="Y26" s="196">
        <f t="shared" si="45"/>
        <v>0.2404706614</v>
      </c>
      <c r="Z26" s="196">
        <f t="shared" si="45"/>
        <v>0.3159420455</v>
      </c>
      <c r="AA26" s="196">
        <f t="shared" si="45"/>
        <v>0.3344960227</v>
      </c>
      <c r="AB26" s="196">
        <f t="shared" si="45"/>
        <v>0.3344960227</v>
      </c>
      <c r="AC26" s="196">
        <f t="shared" si="45"/>
        <v>0.3201343636</v>
      </c>
      <c r="AD26" s="196">
        <f t="shared" si="45"/>
        <v>0.3355066692</v>
      </c>
      <c r="AE26" s="196">
        <f t="shared" si="45"/>
        <v>0.1486106516</v>
      </c>
      <c r="AF26" s="196">
        <f t="shared" si="45"/>
        <v>0.2905509901</v>
      </c>
      <c r="AG26" s="196">
        <f t="shared" si="45"/>
        <v>0.2620147321</v>
      </c>
      <c r="AH26" s="197">
        <f t="shared" si="45"/>
        <v>0.2708562016</v>
      </c>
      <c r="AI26" s="196">
        <f t="shared" si="45"/>
        <v>0.3797350394</v>
      </c>
      <c r="AJ26" s="196">
        <f t="shared" si="45"/>
        <v>0.4033570866</v>
      </c>
      <c r="AK26" s="196">
        <f t="shared" si="45"/>
        <v>0.1805592543</v>
      </c>
      <c r="AL26" s="196">
        <f t="shared" si="45"/>
        <v>0.3086580087</v>
      </c>
      <c r="AM26" s="196">
        <f t="shared" si="45"/>
        <v>0.2913419913</v>
      </c>
      <c r="AN26" s="196">
        <f t="shared" si="45"/>
        <v>0.1561484919</v>
      </c>
      <c r="AO26" s="196">
        <f t="shared" si="45"/>
        <v>0.26812749</v>
      </c>
      <c r="AP26" s="196">
        <f t="shared" si="45"/>
        <v>0.1041474654</v>
      </c>
      <c r="AQ26" s="196">
        <f t="shared" si="45"/>
        <v>0.2935064935</v>
      </c>
      <c r="AR26" s="196">
        <f t="shared" si="45"/>
        <v>0.2935064935</v>
      </c>
      <c r="AS26" s="196">
        <f t="shared" si="45"/>
        <v>0.2935064935</v>
      </c>
      <c r="AT26" s="196">
        <f t="shared" si="45"/>
        <v>0.2079612983</v>
      </c>
      <c r="AU26" s="196">
        <f t="shared" si="45"/>
        <v>0.1257657658</v>
      </c>
      <c r="AV26" s="196">
        <f t="shared" si="45"/>
        <v>0.3021645022</v>
      </c>
      <c r="AW26" s="196">
        <f t="shared" si="45"/>
        <v>0.3151515152</v>
      </c>
      <c r="AX26" s="196">
        <f t="shared" si="45"/>
        <v>0.2443937156</v>
      </c>
      <c r="AY26" s="196">
        <f t="shared" si="45"/>
        <v>0.2536585366</v>
      </c>
      <c r="AZ26" s="196">
        <f t="shared" si="45"/>
        <v>0.132123412</v>
      </c>
      <c r="BA26" s="196"/>
      <c r="BB26" s="196"/>
      <c r="BC26" s="196"/>
      <c r="BD26" s="196"/>
      <c r="BE26" s="196"/>
      <c r="BF26" s="196"/>
      <c r="BG26" s="196"/>
      <c r="BH26" s="196"/>
      <c r="BI26" s="196"/>
      <c r="BJ26" s="196"/>
      <c r="BK26" s="196"/>
    </row>
    <row r="27">
      <c r="A27" s="135" t="s">
        <v>219</v>
      </c>
      <c r="C27" s="137"/>
      <c r="D27" s="137"/>
      <c r="E27" s="137"/>
      <c r="F27" s="137"/>
      <c r="G27" s="137"/>
      <c r="H27" s="137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40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</row>
    <row r="28">
      <c r="A28" s="188" t="s">
        <v>220</v>
      </c>
      <c r="B28" s="144" t="s">
        <v>221</v>
      </c>
      <c r="C28" s="137">
        <v>1150.0</v>
      </c>
      <c r="D28" s="137">
        <v>1000.0</v>
      </c>
      <c r="E28" s="137">
        <v>1000.0</v>
      </c>
      <c r="F28" s="137">
        <v>1120.0</v>
      </c>
      <c r="G28" s="137">
        <v>1000.0</v>
      </c>
      <c r="H28" s="175">
        <v>500.0</v>
      </c>
      <c r="I28" s="137">
        <f>160*4</f>
        <v>640</v>
      </c>
      <c r="J28" s="137">
        <f>125*4</f>
        <v>500</v>
      </c>
      <c r="K28" s="137">
        <f>25*7*4</f>
        <v>700</v>
      </c>
      <c r="L28" s="137">
        <f>50*7*4</f>
        <v>1400</v>
      </c>
      <c r="M28" s="137">
        <f>25*7*4</f>
        <v>700</v>
      </c>
      <c r="N28" s="137">
        <v>1500.0</v>
      </c>
      <c r="O28" s="137">
        <f>30*5*4</f>
        <v>600</v>
      </c>
      <c r="P28" s="137">
        <f>30*20</f>
        <v>600</v>
      </c>
      <c r="Q28" s="137">
        <f>20*10</f>
        <v>200</v>
      </c>
      <c r="R28" s="137">
        <f>10*20</f>
        <v>200</v>
      </c>
      <c r="S28" s="137">
        <f>5*20</f>
        <v>100</v>
      </c>
      <c r="T28" s="137">
        <f>20*20</f>
        <v>400</v>
      </c>
      <c r="U28" s="137">
        <f t="shared" ref="U28:X28" si="46">15*20</f>
        <v>300</v>
      </c>
      <c r="V28" s="137">
        <f t="shared" si="46"/>
        <v>300</v>
      </c>
      <c r="W28" s="137">
        <f t="shared" si="46"/>
        <v>300</v>
      </c>
      <c r="X28" s="137">
        <f t="shared" si="46"/>
        <v>300</v>
      </c>
      <c r="Y28" s="137">
        <f>50*20</f>
        <v>1000</v>
      </c>
      <c r="Z28" s="137">
        <f>45*20</f>
        <v>900</v>
      </c>
      <c r="AA28" s="137">
        <f t="shared" ref="AA28:AB28" si="47">25*20</f>
        <v>500</v>
      </c>
      <c r="AB28" s="137">
        <f t="shared" si="47"/>
        <v>500</v>
      </c>
      <c r="AC28" s="137">
        <f>45*20</f>
        <v>900</v>
      </c>
      <c r="AD28" s="137">
        <f t="shared" ref="AD28:AH28" si="48">25*20</f>
        <v>500</v>
      </c>
      <c r="AE28" s="137">
        <f t="shared" si="48"/>
        <v>500</v>
      </c>
      <c r="AF28" s="137">
        <f t="shared" si="48"/>
        <v>500</v>
      </c>
      <c r="AG28" s="137">
        <f t="shared" si="48"/>
        <v>500</v>
      </c>
      <c r="AH28" s="175">
        <f t="shared" si="48"/>
        <v>500</v>
      </c>
      <c r="AI28" s="137">
        <f t="shared" ref="AI28:AK28" si="49">45*20</f>
        <v>900</v>
      </c>
      <c r="AJ28" s="137">
        <f t="shared" si="49"/>
        <v>900</v>
      </c>
      <c r="AK28" s="137">
        <f t="shared" si="49"/>
        <v>900</v>
      </c>
      <c r="AL28" s="137">
        <f t="shared" ref="AL28:AO28" si="50">75*20</f>
        <v>1500</v>
      </c>
      <c r="AM28" s="137">
        <f t="shared" si="50"/>
        <v>1500</v>
      </c>
      <c r="AN28" s="137">
        <f t="shared" si="50"/>
        <v>1500</v>
      </c>
      <c r="AO28" s="137">
        <f t="shared" si="50"/>
        <v>1500</v>
      </c>
      <c r="AP28" s="137">
        <f>150*20</f>
        <v>3000</v>
      </c>
      <c r="AQ28" s="137">
        <f t="shared" ref="AQ28:AZ28" si="51">75*20</f>
        <v>1500</v>
      </c>
      <c r="AR28" s="137">
        <f t="shared" si="51"/>
        <v>1500</v>
      </c>
      <c r="AS28" s="137">
        <f t="shared" si="51"/>
        <v>1500</v>
      </c>
      <c r="AT28" s="137">
        <f t="shared" si="51"/>
        <v>1500</v>
      </c>
      <c r="AU28" s="137">
        <f t="shared" si="51"/>
        <v>1500</v>
      </c>
      <c r="AV28" s="137">
        <f t="shared" si="51"/>
        <v>1500</v>
      </c>
      <c r="AW28" s="137">
        <f t="shared" si="51"/>
        <v>1500</v>
      </c>
      <c r="AX28" s="137">
        <f t="shared" si="51"/>
        <v>1500</v>
      </c>
      <c r="AY28" s="137">
        <f t="shared" si="51"/>
        <v>1500</v>
      </c>
      <c r="AZ28" s="137">
        <f t="shared" si="51"/>
        <v>1500</v>
      </c>
      <c r="BA28" s="137">
        <f t="shared" ref="BA28:BK28" si="52">-75*20</f>
        <v>-1500</v>
      </c>
      <c r="BB28" s="137">
        <f t="shared" si="52"/>
        <v>-1500</v>
      </c>
      <c r="BC28" s="137">
        <f t="shared" si="52"/>
        <v>-1500</v>
      </c>
      <c r="BD28" s="137">
        <f t="shared" si="52"/>
        <v>-1500</v>
      </c>
      <c r="BE28" s="137">
        <f t="shared" si="52"/>
        <v>-1500</v>
      </c>
      <c r="BF28" s="137">
        <f t="shared" si="52"/>
        <v>-1500</v>
      </c>
      <c r="BG28" s="137">
        <f t="shared" si="52"/>
        <v>-1500</v>
      </c>
      <c r="BH28" s="137">
        <f t="shared" si="52"/>
        <v>-1500</v>
      </c>
      <c r="BI28" s="137">
        <f t="shared" si="52"/>
        <v>-1500</v>
      </c>
      <c r="BJ28" s="137">
        <f t="shared" si="52"/>
        <v>-1500</v>
      </c>
      <c r="BK28" s="137">
        <f t="shared" si="52"/>
        <v>-1500</v>
      </c>
    </row>
    <row r="29">
      <c r="A29" s="149"/>
      <c r="B29" s="144" t="s">
        <v>222</v>
      </c>
      <c r="C29" s="137"/>
      <c r="D29" s="137"/>
      <c r="E29" s="137"/>
      <c r="F29" s="137"/>
      <c r="G29" s="137"/>
      <c r="H29" s="175"/>
      <c r="I29" s="137">
        <f>100*4</f>
        <v>400</v>
      </c>
      <c r="J29" s="137">
        <f>200*4</f>
        <v>800</v>
      </c>
      <c r="K29" s="137">
        <f t="shared" ref="K29:L29" si="53">50*2*2*4</f>
        <v>800</v>
      </c>
      <c r="L29" s="137">
        <f t="shared" si="53"/>
        <v>800</v>
      </c>
      <c r="M29" s="137">
        <f>40*2*4</f>
        <v>320</v>
      </c>
      <c r="N29" s="137">
        <f t="shared" ref="N29:O29" si="54">50*2*4</f>
        <v>400</v>
      </c>
      <c r="O29" s="137">
        <f t="shared" si="54"/>
        <v>400</v>
      </c>
      <c r="P29" s="137">
        <f>100*4</f>
        <v>400</v>
      </c>
      <c r="Q29" s="137">
        <f>45*2</f>
        <v>90</v>
      </c>
      <c r="R29" s="137">
        <f>20*8</f>
        <v>160</v>
      </c>
      <c r="S29" s="137">
        <f>30*8</f>
        <v>240</v>
      </c>
      <c r="T29" s="137">
        <f>45*8</f>
        <v>360</v>
      </c>
      <c r="U29" s="137">
        <f>20*8</f>
        <v>160</v>
      </c>
      <c r="V29" s="137">
        <f>45*8</f>
        <v>360</v>
      </c>
      <c r="W29" s="137">
        <f t="shared" ref="W29:X29" si="55">40*8</f>
        <v>320</v>
      </c>
      <c r="X29" s="137">
        <f t="shared" si="55"/>
        <v>320</v>
      </c>
      <c r="Y29" s="137">
        <f t="shared" ref="Y29:AA29" si="56">100*8</f>
        <v>800</v>
      </c>
      <c r="Z29" s="137">
        <f t="shared" si="56"/>
        <v>800</v>
      </c>
      <c r="AA29" s="137">
        <f t="shared" si="56"/>
        <v>800</v>
      </c>
      <c r="AB29" s="137">
        <f>100*8+300</f>
        <v>1100</v>
      </c>
      <c r="AC29" s="137">
        <f>100*8</f>
        <v>800</v>
      </c>
      <c r="AD29" s="137">
        <f t="shared" ref="AD29:AH29" si="57">75*8</f>
        <v>600</v>
      </c>
      <c r="AE29" s="137">
        <f t="shared" si="57"/>
        <v>600</v>
      </c>
      <c r="AF29" s="137">
        <f t="shared" si="57"/>
        <v>600</v>
      </c>
      <c r="AG29" s="137">
        <f t="shared" si="57"/>
        <v>600</v>
      </c>
      <c r="AH29" s="175">
        <f t="shared" si="57"/>
        <v>600</v>
      </c>
      <c r="AI29" s="137">
        <f>100*10</f>
        <v>1000</v>
      </c>
      <c r="AJ29" s="137">
        <f t="shared" ref="AJ29:AO29" si="58">100*8</f>
        <v>800</v>
      </c>
      <c r="AK29" s="137">
        <f t="shared" si="58"/>
        <v>800</v>
      </c>
      <c r="AL29" s="137">
        <f t="shared" si="58"/>
        <v>800</v>
      </c>
      <c r="AM29" s="137">
        <f t="shared" si="58"/>
        <v>800</v>
      </c>
      <c r="AN29" s="137">
        <f t="shared" si="58"/>
        <v>800</v>
      </c>
      <c r="AO29" s="137">
        <f t="shared" si="58"/>
        <v>800</v>
      </c>
      <c r="AP29" s="137">
        <f>150*8</f>
        <v>1200</v>
      </c>
      <c r="AQ29" s="137">
        <f t="shared" ref="AQ29:AZ29" si="59">100*8</f>
        <v>800</v>
      </c>
      <c r="AR29" s="137">
        <f t="shared" si="59"/>
        <v>800</v>
      </c>
      <c r="AS29" s="137">
        <f t="shared" si="59"/>
        <v>800</v>
      </c>
      <c r="AT29" s="137">
        <f t="shared" si="59"/>
        <v>800</v>
      </c>
      <c r="AU29" s="137">
        <f t="shared" si="59"/>
        <v>800</v>
      </c>
      <c r="AV29" s="137">
        <f t="shared" si="59"/>
        <v>800</v>
      </c>
      <c r="AW29" s="137">
        <f t="shared" si="59"/>
        <v>800</v>
      </c>
      <c r="AX29" s="137">
        <f t="shared" si="59"/>
        <v>800</v>
      </c>
      <c r="AY29" s="137">
        <f t="shared" si="59"/>
        <v>800</v>
      </c>
      <c r="AZ29" s="137">
        <f t="shared" si="59"/>
        <v>800</v>
      </c>
      <c r="BA29" s="137">
        <f t="shared" ref="BA29:BK29" si="60">-100*8</f>
        <v>-800</v>
      </c>
      <c r="BB29" s="137">
        <f t="shared" si="60"/>
        <v>-800</v>
      </c>
      <c r="BC29" s="137">
        <f t="shared" si="60"/>
        <v>-800</v>
      </c>
      <c r="BD29" s="137">
        <f t="shared" si="60"/>
        <v>-800</v>
      </c>
      <c r="BE29" s="137">
        <f t="shared" si="60"/>
        <v>-800</v>
      </c>
      <c r="BF29" s="137">
        <f t="shared" si="60"/>
        <v>-800</v>
      </c>
      <c r="BG29" s="137">
        <f t="shared" si="60"/>
        <v>-800</v>
      </c>
      <c r="BH29" s="137">
        <f t="shared" si="60"/>
        <v>-800</v>
      </c>
      <c r="BI29" s="137">
        <f t="shared" si="60"/>
        <v>-800</v>
      </c>
      <c r="BJ29" s="137">
        <f t="shared" si="60"/>
        <v>-800</v>
      </c>
      <c r="BK29" s="137">
        <f t="shared" si="60"/>
        <v>-800</v>
      </c>
    </row>
    <row r="30">
      <c r="A30" s="199"/>
      <c r="B30" s="144" t="s">
        <v>223</v>
      </c>
      <c r="C30" s="137">
        <v>0.0</v>
      </c>
      <c r="D30" s="137">
        <v>0.0</v>
      </c>
      <c r="E30" s="137">
        <v>0.0</v>
      </c>
      <c r="F30" s="137">
        <v>0.0</v>
      </c>
      <c r="G30" s="137">
        <v>0.0</v>
      </c>
      <c r="H30" s="175">
        <v>0.0</v>
      </c>
      <c r="I30" s="137">
        <v>0.0</v>
      </c>
      <c r="J30" s="137">
        <v>0.0</v>
      </c>
      <c r="K30" s="137">
        <v>0.0</v>
      </c>
      <c r="L30" s="137">
        <v>0.0</v>
      </c>
      <c r="M30" s="137">
        <v>0.0</v>
      </c>
      <c r="N30" s="194">
        <v>200.0</v>
      </c>
      <c r="O30" s="194">
        <v>400.0</v>
      </c>
      <c r="P30" s="113">
        <v>0.0</v>
      </c>
      <c r="Q30" s="137">
        <v>0.0</v>
      </c>
      <c r="R30" s="137">
        <v>0.0</v>
      </c>
      <c r="S30" s="137">
        <v>0.0</v>
      </c>
      <c r="T30" s="137">
        <v>0.0</v>
      </c>
      <c r="U30" s="137">
        <v>0.0</v>
      </c>
      <c r="V30" s="137">
        <v>0.0</v>
      </c>
      <c r="W30" s="137">
        <v>0.0</v>
      </c>
      <c r="X30" s="137">
        <v>0.0</v>
      </c>
      <c r="Y30" s="137">
        <v>0.0</v>
      </c>
      <c r="Z30" s="137">
        <v>0.0</v>
      </c>
      <c r="AA30" s="137">
        <v>0.0</v>
      </c>
      <c r="AB30" s="137">
        <v>0.0</v>
      </c>
      <c r="AC30" s="137">
        <v>0.0</v>
      </c>
      <c r="AD30" s="137">
        <v>0.0</v>
      </c>
      <c r="AE30" s="137">
        <v>0.0</v>
      </c>
      <c r="AF30" s="137">
        <v>0.0</v>
      </c>
      <c r="AG30" s="137">
        <v>0.0</v>
      </c>
      <c r="AH30" s="175">
        <v>0.0</v>
      </c>
      <c r="AI30" s="137">
        <v>0.0</v>
      </c>
      <c r="AJ30" s="137">
        <v>0.0</v>
      </c>
      <c r="AK30" s="137">
        <v>0.0</v>
      </c>
      <c r="AL30" s="137">
        <v>0.0</v>
      </c>
      <c r="AM30" s="137">
        <v>0.0</v>
      </c>
      <c r="AN30" s="137">
        <v>0.0</v>
      </c>
      <c r="AO30" s="137">
        <v>0.0</v>
      </c>
      <c r="AP30" s="137">
        <v>0.0</v>
      </c>
      <c r="AQ30" s="137">
        <v>0.0</v>
      </c>
      <c r="AR30" s="137">
        <v>0.0</v>
      </c>
      <c r="AS30" s="137">
        <v>0.0</v>
      </c>
      <c r="AT30" s="137">
        <v>0.0</v>
      </c>
      <c r="AU30" s="137">
        <v>0.0</v>
      </c>
      <c r="AV30" s="137">
        <v>0.0</v>
      </c>
      <c r="AW30" s="137">
        <v>200.0</v>
      </c>
      <c r="AX30" s="137">
        <v>200.0</v>
      </c>
      <c r="AY30" s="137">
        <v>200.0</v>
      </c>
      <c r="AZ30" s="137">
        <v>200.0</v>
      </c>
      <c r="BA30" s="137">
        <v>-200.0</v>
      </c>
      <c r="BB30" s="137">
        <v>-200.0</v>
      </c>
      <c r="BC30" s="137">
        <v>-200.0</v>
      </c>
      <c r="BD30" s="137">
        <v>-200.0</v>
      </c>
      <c r="BE30" s="137">
        <v>-200.0</v>
      </c>
      <c r="BF30" s="137">
        <v>-200.0</v>
      </c>
      <c r="BG30" s="137">
        <v>-200.0</v>
      </c>
      <c r="BH30" s="137">
        <v>-200.0</v>
      </c>
      <c r="BI30" s="137">
        <v>-200.0</v>
      </c>
      <c r="BJ30" s="137">
        <v>-200.0</v>
      </c>
      <c r="BK30" s="137">
        <v>-200.0</v>
      </c>
    </row>
    <row r="31">
      <c r="A31" s="199"/>
      <c r="B31" s="144" t="s">
        <v>569</v>
      </c>
      <c r="C31" s="137">
        <v>10.0</v>
      </c>
      <c r="D31" s="137">
        <v>10.0</v>
      </c>
      <c r="E31" s="137">
        <v>10.0</v>
      </c>
      <c r="F31" s="137">
        <v>10.0</v>
      </c>
      <c r="G31" s="137">
        <f t="shared" ref="G31:H31" si="61">10+5+20</f>
        <v>35</v>
      </c>
      <c r="H31" s="137">
        <f t="shared" si="61"/>
        <v>35</v>
      </c>
      <c r="I31" s="137">
        <f>10+20+60</f>
        <v>90</v>
      </c>
      <c r="J31" s="137">
        <f>10+20+30+15</f>
        <v>75</v>
      </c>
      <c r="K31" s="137">
        <f>10+5+20+30</f>
        <v>65</v>
      </c>
      <c r="L31" s="137">
        <f t="shared" ref="L31:O31" si="62">10+5+20+60</f>
        <v>95</v>
      </c>
      <c r="M31" s="137">
        <f t="shared" si="62"/>
        <v>95</v>
      </c>
      <c r="N31" s="137">
        <f t="shared" si="62"/>
        <v>95</v>
      </c>
      <c r="O31" s="137">
        <f t="shared" si="62"/>
        <v>95</v>
      </c>
      <c r="P31" s="137">
        <f>10+5+20+60+4+4</f>
        <v>103</v>
      </c>
      <c r="Q31" s="137">
        <f>10+5+20+60+35.68</f>
        <v>130.68</v>
      </c>
      <c r="R31" s="137">
        <f>10+5+20+60</f>
        <v>95</v>
      </c>
      <c r="S31" s="137">
        <f t="shared" ref="S31:U31" si="63">10+13+20+60</f>
        <v>103</v>
      </c>
      <c r="T31" s="137">
        <f t="shared" si="63"/>
        <v>103</v>
      </c>
      <c r="U31" s="137">
        <f t="shared" si="63"/>
        <v>103</v>
      </c>
      <c r="V31" s="137">
        <f>sum(10,13,20,60,4,15,20)</f>
        <v>142</v>
      </c>
      <c r="W31" s="137">
        <f>sum(10,13,20,60,4,15,70)</f>
        <v>192</v>
      </c>
      <c r="X31" s="137">
        <f t="shared" ref="X31:Y31" si="64">sum(10,13,20,60,4,15,0)</f>
        <v>122</v>
      </c>
      <c r="Y31" s="137">
        <f t="shared" si="64"/>
        <v>122</v>
      </c>
      <c r="Z31" s="137">
        <f t="shared" ref="Z31:AZ31" si="65">sum(10,13,60,4,15,0)</f>
        <v>102</v>
      </c>
      <c r="AA31" s="137">
        <f t="shared" si="65"/>
        <v>102</v>
      </c>
      <c r="AB31" s="137">
        <f t="shared" si="65"/>
        <v>102</v>
      </c>
      <c r="AC31" s="137">
        <f t="shared" si="65"/>
        <v>102</v>
      </c>
      <c r="AD31" s="137">
        <f t="shared" si="65"/>
        <v>102</v>
      </c>
      <c r="AE31" s="137">
        <f t="shared" si="65"/>
        <v>102</v>
      </c>
      <c r="AF31" s="137">
        <f t="shared" si="65"/>
        <v>102</v>
      </c>
      <c r="AG31" s="137">
        <f t="shared" si="65"/>
        <v>102</v>
      </c>
      <c r="AH31" s="175">
        <f t="shared" si="65"/>
        <v>102</v>
      </c>
      <c r="AI31" s="137">
        <f t="shared" si="65"/>
        <v>102</v>
      </c>
      <c r="AJ31" s="137">
        <f t="shared" si="65"/>
        <v>102</v>
      </c>
      <c r="AK31" s="137">
        <f t="shared" si="65"/>
        <v>102</v>
      </c>
      <c r="AL31" s="137">
        <f t="shared" si="65"/>
        <v>102</v>
      </c>
      <c r="AM31" s="137">
        <f t="shared" si="65"/>
        <v>102</v>
      </c>
      <c r="AN31" s="137">
        <f t="shared" si="65"/>
        <v>102</v>
      </c>
      <c r="AO31" s="137">
        <f t="shared" si="65"/>
        <v>102</v>
      </c>
      <c r="AP31" s="137">
        <f t="shared" si="65"/>
        <v>102</v>
      </c>
      <c r="AQ31" s="137">
        <f t="shared" si="65"/>
        <v>102</v>
      </c>
      <c r="AR31" s="137">
        <f t="shared" si="65"/>
        <v>102</v>
      </c>
      <c r="AS31" s="137">
        <f t="shared" si="65"/>
        <v>102</v>
      </c>
      <c r="AT31" s="137">
        <f t="shared" si="65"/>
        <v>102</v>
      </c>
      <c r="AU31" s="137">
        <f t="shared" si="65"/>
        <v>102</v>
      </c>
      <c r="AV31" s="137">
        <f t="shared" si="65"/>
        <v>102</v>
      </c>
      <c r="AW31" s="137">
        <f t="shared" si="65"/>
        <v>102</v>
      </c>
      <c r="AX31" s="137">
        <f t="shared" si="65"/>
        <v>102</v>
      </c>
      <c r="AY31" s="137">
        <f t="shared" si="65"/>
        <v>102</v>
      </c>
      <c r="AZ31" s="137">
        <f t="shared" si="65"/>
        <v>102</v>
      </c>
      <c r="BA31" s="137">
        <f t="shared" ref="BA31:BK31" si="66">-sum(10,13,60,4,15,0)</f>
        <v>-102</v>
      </c>
      <c r="BB31" s="137">
        <f t="shared" si="66"/>
        <v>-102</v>
      </c>
      <c r="BC31" s="137">
        <f t="shared" si="66"/>
        <v>-102</v>
      </c>
      <c r="BD31" s="137">
        <f t="shared" si="66"/>
        <v>-102</v>
      </c>
      <c r="BE31" s="137">
        <f t="shared" si="66"/>
        <v>-102</v>
      </c>
      <c r="BF31" s="137">
        <f t="shared" si="66"/>
        <v>-102</v>
      </c>
      <c r="BG31" s="137">
        <f t="shared" si="66"/>
        <v>-102</v>
      </c>
      <c r="BH31" s="137">
        <f t="shared" si="66"/>
        <v>-102</v>
      </c>
      <c r="BI31" s="137">
        <f t="shared" si="66"/>
        <v>-102</v>
      </c>
      <c r="BJ31" s="137">
        <f t="shared" si="66"/>
        <v>-102</v>
      </c>
      <c r="BK31" s="137">
        <f t="shared" si="66"/>
        <v>-102</v>
      </c>
    </row>
    <row r="32">
      <c r="A32" s="199"/>
      <c r="B32" s="144" t="s">
        <v>225</v>
      </c>
      <c r="C32" s="137">
        <v>0.0</v>
      </c>
      <c r="D32" s="137">
        <v>0.0</v>
      </c>
      <c r="E32" s="137">
        <v>500.0</v>
      </c>
      <c r="F32" s="137">
        <v>500.0</v>
      </c>
      <c r="G32" s="137">
        <v>0.0</v>
      </c>
      <c r="H32" s="175">
        <v>0.0</v>
      </c>
      <c r="I32" s="137">
        <v>0.0</v>
      </c>
      <c r="J32" s="194">
        <v>500.0</v>
      </c>
      <c r="K32" s="194">
        <v>450.0</v>
      </c>
      <c r="L32" s="194">
        <v>300.0</v>
      </c>
      <c r="M32" s="194">
        <v>200.0</v>
      </c>
      <c r="N32" s="194">
        <v>100.0</v>
      </c>
      <c r="O32" s="137">
        <v>0.0</v>
      </c>
      <c r="P32" s="194">
        <f>250+179</f>
        <v>429</v>
      </c>
      <c r="Q32" s="200">
        <v>0.0</v>
      </c>
      <c r="R32" s="189">
        <f>260*2</f>
        <v>520</v>
      </c>
      <c r="S32" s="189">
        <v>0.0</v>
      </c>
      <c r="T32" s="189">
        <f>sum(500/2,185,25,84,257)</f>
        <v>801</v>
      </c>
      <c r="U32" s="189">
        <f>sum(270,250)</f>
        <v>520</v>
      </c>
      <c r="V32" s="193">
        <f>sum(300,600,240)</f>
        <v>1140</v>
      </c>
      <c r="W32" s="194">
        <f>375+74</f>
        <v>449</v>
      </c>
      <c r="X32" s="193">
        <v>0.0</v>
      </c>
      <c r="Y32" s="137">
        <v>0.0</v>
      </c>
      <c r="Z32" s="201">
        <f>sum(548.5,400,55.1,92.1,169.66,100)</f>
        <v>1365.36</v>
      </c>
      <c r="AA32" s="201">
        <f>'Travel Expenses - Tulum'!C32-Z32</f>
        <v>2256.425</v>
      </c>
      <c r="AB32" s="137">
        <v>90.0</v>
      </c>
      <c r="AC32" s="201">
        <v>1200.0</v>
      </c>
      <c r="AD32" s="137">
        <v>0.0</v>
      </c>
      <c r="AE32" s="202">
        <v>500.0</v>
      </c>
      <c r="AF32" s="137">
        <v>0.0</v>
      </c>
      <c r="AG32" s="137">
        <v>0.0</v>
      </c>
      <c r="AH32" s="175">
        <v>0.0</v>
      </c>
      <c r="AI32" s="137">
        <v>0.0</v>
      </c>
      <c r="AJ32" s="137">
        <v>0.0</v>
      </c>
      <c r="AK32" s="137">
        <v>0.0</v>
      </c>
      <c r="AL32" s="137">
        <f>1500+600</f>
        <v>2100</v>
      </c>
      <c r="AM32" s="137">
        <v>0.0</v>
      </c>
      <c r="AN32" s="137">
        <v>0.0</v>
      </c>
      <c r="AO32" s="137">
        <v>0.0</v>
      </c>
      <c r="AP32" s="137">
        <v>0.0</v>
      </c>
      <c r="AQ32" s="137">
        <v>0.0</v>
      </c>
      <c r="AR32" s="137">
        <v>0.0</v>
      </c>
      <c r="AS32" s="137">
        <v>0.0</v>
      </c>
      <c r="AT32" s="137">
        <v>0.0</v>
      </c>
      <c r="AU32" s="137">
        <v>0.0</v>
      </c>
      <c r="AV32" s="137">
        <v>0.0</v>
      </c>
      <c r="AW32" s="137">
        <v>0.0</v>
      </c>
      <c r="AX32" s="137">
        <v>0.0</v>
      </c>
      <c r="AY32" s="137">
        <v>0.0</v>
      </c>
      <c r="AZ32" s="137">
        <f>sum(650,375,300)</f>
        <v>1325</v>
      </c>
      <c r="BA32" s="137">
        <v>0.0</v>
      </c>
      <c r="BB32" s="137">
        <v>0.0</v>
      </c>
      <c r="BC32" s="203">
        <f>-1700</f>
        <v>-1700</v>
      </c>
      <c r="BD32" s="203">
        <f>-sum(3000)</f>
        <v>-3000</v>
      </c>
      <c r="BE32" s="137">
        <v>0.0</v>
      </c>
      <c r="BF32" s="137">
        <v>0.0</v>
      </c>
      <c r="BG32" s="137">
        <v>0.0</v>
      </c>
      <c r="BH32" s="137">
        <v>0.0</v>
      </c>
      <c r="BI32" s="137">
        <v>0.0</v>
      </c>
      <c r="BJ32" s="137">
        <v>0.0</v>
      </c>
      <c r="BK32" s="137">
        <v>0.0</v>
      </c>
    </row>
    <row r="33">
      <c r="A33" s="188" t="s">
        <v>209</v>
      </c>
      <c r="B33" s="144" t="s">
        <v>226</v>
      </c>
      <c r="C33" s="137"/>
      <c r="D33" s="137"/>
      <c r="E33" s="137"/>
      <c r="F33" s="137"/>
      <c r="G33" s="137"/>
      <c r="H33" s="137"/>
      <c r="I33" s="137">
        <v>600.0</v>
      </c>
      <c r="J33" s="137">
        <v>0.0</v>
      </c>
      <c r="K33" s="137">
        <v>0.0</v>
      </c>
      <c r="L33" s="137">
        <v>0.0</v>
      </c>
      <c r="M33" s="137">
        <v>0.0</v>
      </c>
      <c r="N33" s="137">
        <v>0.0</v>
      </c>
      <c r="O33" s="137">
        <v>0.0</v>
      </c>
      <c r="P33" s="137">
        <f>43+83</f>
        <v>126</v>
      </c>
      <c r="Q33" s="137">
        <f>90+266+80</f>
        <v>436</v>
      </c>
      <c r="R33" s="137">
        <v>0.0</v>
      </c>
      <c r="S33" s="137">
        <v>0.0</v>
      </c>
      <c r="T33" s="137">
        <v>0.0</v>
      </c>
      <c r="U33" s="137">
        <v>0.0</v>
      </c>
      <c r="V33" s="137">
        <v>0.0</v>
      </c>
      <c r="W33" s="137">
        <v>0.0</v>
      </c>
      <c r="X33" s="137">
        <v>1000.0</v>
      </c>
      <c r="Y33" s="137">
        <v>0.0</v>
      </c>
      <c r="Z33" s="137">
        <f>sum(250,100,250)</f>
        <v>600</v>
      </c>
      <c r="AA33" s="137">
        <v>0.0</v>
      </c>
      <c r="AB33" s="137">
        <v>0.0</v>
      </c>
      <c r="AC33" s="137">
        <v>0.0</v>
      </c>
      <c r="AD33" s="137">
        <v>0.0</v>
      </c>
      <c r="AE33" s="137">
        <v>0.0</v>
      </c>
      <c r="AF33" s="137">
        <v>0.0</v>
      </c>
      <c r="AG33" s="137">
        <v>0.0</v>
      </c>
      <c r="AH33" s="175">
        <v>2000.0</v>
      </c>
      <c r="AI33" s="137">
        <v>0.0</v>
      </c>
      <c r="AJ33" s="137">
        <v>0.0</v>
      </c>
      <c r="AK33" s="137">
        <v>0.0</v>
      </c>
      <c r="AL33" s="137">
        <v>25.0</v>
      </c>
      <c r="AM33" s="137">
        <v>0.0</v>
      </c>
      <c r="AN33" s="137">
        <v>0.0</v>
      </c>
      <c r="AO33" s="137">
        <v>0.0</v>
      </c>
      <c r="AP33" s="137">
        <v>0.0</v>
      </c>
      <c r="AQ33" s="137">
        <v>0.0</v>
      </c>
      <c r="AR33" s="137">
        <v>0.0</v>
      </c>
      <c r="AS33" s="137">
        <v>0.0</v>
      </c>
      <c r="AT33" s="137">
        <v>0.0</v>
      </c>
      <c r="AU33" s="137">
        <v>0.0</v>
      </c>
      <c r="AV33" s="137">
        <v>0.0</v>
      </c>
      <c r="AW33" s="137">
        <v>50.0</v>
      </c>
      <c r="AX33" s="137">
        <v>50.0</v>
      </c>
      <c r="AY33" s="137">
        <v>50.0</v>
      </c>
      <c r="AZ33" s="137">
        <v>50.0</v>
      </c>
      <c r="BA33" s="137">
        <v>-50.0</v>
      </c>
      <c r="BB33" s="137">
        <v>-50.0</v>
      </c>
      <c r="BC33" s="137">
        <v>-50.0</v>
      </c>
      <c r="BD33" s="203">
        <f>-1500</f>
        <v>-1500</v>
      </c>
      <c r="BE33" s="137">
        <v>-50.0</v>
      </c>
      <c r="BF33" s="137">
        <v>-50.0</v>
      </c>
      <c r="BG33" s="137">
        <v>-50.0</v>
      </c>
      <c r="BH33" s="137">
        <v>-50.0</v>
      </c>
      <c r="BI33" s="137">
        <v>-50.0</v>
      </c>
      <c r="BJ33" s="137">
        <v>-50.0</v>
      </c>
      <c r="BK33" s="137">
        <v>-50.0</v>
      </c>
    </row>
    <row r="34" ht="15.75" customHeight="1">
      <c r="A34" s="149"/>
      <c r="B34" s="144" t="s">
        <v>227</v>
      </c>
      <c r="C34" s="137"/>
      <c r="D34" s="137"/>
      <c r="E34" s="137"/>
      <c r="F34" s="137"/>
      <c r="G34" s="137"/>
      <c r="H34" s="137"/>
      <c r="I34" s="137">
        <v>10.0</v>
      </c>
      <c r="J34" s="137">
        <v>0.0</v>
      </c>
      <c r="K34" s="137">
        <f>12*2</f>
        <v>24</v>
      </c>
      <c r="L34" s="137">
        <v>0.0</v>
      </c>
      <c r="M34" s="137">
        <v>0.0</v>
      </c>
      <c r="N34" s="137">
        <f t="shared" ref="N34:O34" si="67">12*1</f>
        <v>12</v>
      </c>
      <c r="O34" s="137">
        <f t="shared" si="67"/>
        <v>12</v>
      </c>
      <c r="P34" s="137">
        <f>13</f>
        <v>13</v>
      </c>
      <c r="Q34" s="137">
        <v>0.0</v>
      </c>
      <c r="R34" s="137">
        <f t="shared" ref="R34:AJ34" si="68">12*1</f>
        <v>12</v>
      </c>
      <c r="S34" s="137">
        <f t="shared" si="68"/>
        <v>12</v>
      </c>
      <c r="T34" s="137">
        <f t="shared" si="68"/>
        <v>12</v>
      </c>
      <c r="U34" s="137">
        <f t="shared" si="68"/>
        <v>12</v>
      </c>
      <c r="V34" s="137">
        <f t="shared" si="68"/>
        <v>12</v>
      </c>
      <c r="W34" s="137">
        <f t="shared" si="68"/>
        <v>12</v>
      </c>
      <c r="X34" s="137">
        <f t="shared" si="68"/>
        <v>12</v>
      </c>
      <c r="Y34" s="137">
        <f t="shared" si="68"/>
        <v>12</v>
      </c>
      <c r="Z34" s="137">
        <f t="shared" si="68"/>
        <v>12</v>
      </c>
      <c r="AA34" s="137">
        <f t="shared" si="68"/>
        <v>12</v>
      </c>
      <c r="AB34" s="137">
        <f t="shared" si="68"/>
        <v>12</v>
      </c>
      <c r="AC34" s="137">
        <f t="shared" si="68"/>
        <v>12</v>
      </c>
      <c r="AD34" s="137">
        <f t="shared" si="68"/>
        <v>12</v>
      </c>
      <c r="AE34" s="137">
        <f t="shared" si="68"/>
        <v>12</v>
      </c>
      <c r="AF34" s="137">
        <f t="shared" si="68"/>
        <v>12</v>
      </c>
      <c r="AG34" s="137">
        <f t="shared" si="68"/>
        <v>12</v>
      </c>
      <c r="AH34" s="175">
        <f t="shared" si="68"/>
        <v>12</v>
      </c>
      <c r="AI34" s="137">
        <f t="shared" si="68"/>
        <v>12</v>
      </c>
      <c r="AJ34" s="137">
        <f t="shared" si="68"/>
        <v>12</v>
      </c>
      <c r="AK34" s="137">
        <v>0.0</v>
      </c>
      <c r="AL34" s="137">
        <v>0.0</v>
      </c>
      <c r="AM34" s="137">
        <f t="shared" ref="AM34:AR34" si="69">12*1</f>
        <v>12</v>
      </c>
      <c r="AN34" s="137">
        <f t="shared" si="69"/>
        <v>12</v>
      </c>
      <c r="AO34" s="137">
        <f t="shared" si="69"/>
        <v>12</v>
      </c>
      <c r="AP34" s="137">
        <f t="shared" si="69"/>
        <v>12</v>
      </c>
      <c r="AQ34" s="137">
        <f t="shared" si="69"/>
        <v>12</v>
      </c>
      <c r="AR34" s="137">
        <f t="shared" si="69"/>
        <v>12</v>
      </c>
      <c r="AS34" s="137">
        <v>50.0</v>
      </c>
      <c r="AT34" s="137">
        <f t="shared" ref="AT34:AZ34" si="70">12*1</f>
        <v>12</v>
      </c>
      <c r="AU34" s="137">
        <f t="shared" si="70"/>
        <v>12</v>
      </c>
      <c r="AV34" s="137">
        <f t="shared" si="70"/>
        <v>12</v>
      </c>
      <c r="AW34" s="137">
        <f t="shared" si="70"/>
        <v>12</v>
      </c>
      <c r="AX34" s="137">
        <f t="shared" si="70"/>
        <v>12</v>
      </c>
      <c r="AY34" s="137">
        <f t="shared" si="70"/>
        <v>12</v>
      </c>
      <c r="AZ34" s="137">
        <f t="shared" si="70"/>
        <v>12</v>
      </c>
      <c r="BA34" s="137">
        <f t="shared" ref="BA34:BK34" si="71">-20*1</f>
        <v>-20</v>
      </c>
      <c r="BB34" s="137">
        <f t="shared" si="71"/>
        <v>-20</v>
      </c>
      <c r="BC34" s="137">
        <f t="shared" si="71"/>
        <v>-20</v>
      </c>
      <c r="BD34" s="137">
        <f t="shared" si="71"/>
        <v>-20</v>
      </c>
      <c r="BE34" s="137">
        <f t="shared" si="71"/>
        <v>-20</v>
      </c>
      <c r="BF34" s="137">
        <f t="shared" si="71"/>
        <v>-20</v>
      </c>
      <c r="BG34" s="137">
        <f t="shared" si="71"/>
        <v>-20</v>
      </c>
      <c r="BH34" s="137">
        <f t="shared" si="71"/>
        <v>-20</v>
      </c>
      <c r="BI34" s="137">
        <f t="shared" si="71"/>
        <v>-20</v>
      </c>
      <c r="BJ34" s="137">
        <f t="shared" si="71"/>
        <v>-20</v>
      </c>
      <c r="BK34" s="137">
        <f t="shared" si="71"/>
        <v>-20</v>
      </c>
    </row>
    <row r="35">
      <c r="A35" s="149"/>
      <c r="B35" s="144" t="s">
        <v>29</v>
      </c>
      <c r="C35" s="137"/>
      <c r="D35" s="137"/>
      <c r="E35" s="137"/>
      <c r="F35" s="137"/>
      <c r="G35" s="137"/>
      <c r="H35" s="137"/>
      <c r="I35" s="137">
        <v>100.0</v>
      </c>
      <c r="J35" s="137">
        <v>60.0</v>
      </c>
      <c r="K35" s="137">
        <v>250.0</v>
      </c>
      <c r="L35" s="137">
        <v>0.0</v>
      </c>
      <c r="M35" s="137">
        <v>50.0</v>
      </c>
      <c r="N35" s="137">
        <v>0.0</v>
      </c>
      <c r="O35" s="137">
        <v>100.0</v>
      </c>
      <c r="P35" s="137">
        <v>0.0</v>
      </c>
      <c r="Q35" s="137">
        <v>0.0</v>
      </c>
      <c r="R35" s="137">
        <v>0.0</v>
      </c>
      <c r="S35" s="137">
        <v>0.0</v>
      </c>
      <c r="T35" s="137">
        <v>300.0</v>
      </c>
      <c r="U35" s="137">
        <v>100.0</v>
      </c>
      <c r="V35" s="137">
        <v>100.0</v>
      </c>
      <c r="W35" s="137">
        <v>100.0</v>
      </c>
      <c r="X35" s="137">
        <v>100.0</v>
      </c>
      <c r="Y35" s="137">
        <v>100.0</v>
      </c>
      <c r="Z35" s="137">
        <v>100.0</v>
      </c>
      <c r="AA35" s="137">
        <v>100.0</v>
      </c>
      <c r="AB35" s="137">
        <v>100.0</v>
      </c>
      <c r="AC35" s="137">
        <v>100.0</v>
      </c>
      <c r="AD35" s="137">
        <v>100.0</v>
      </c>
      <c r="AE35" s="137">
        <v>100.0</v>
      </c>
      <c r="AF35" s="137">
        <v>100.0</v>
      </c>
      <c r="AG35" s="137">
        <v>100.0</v>
      </c>
      <c r="AH35" s="175">
        <v>100.0</v>
      </c>
      <c r="AI35" s="137">
        <v>100.0</v>
      </c>
      <c r="AJ35" s="137">
        <v>100.0</v>
      </c>
      <c r="AK35" s="137">
        <v>100.0</v>
      </c>
      <c r="AL35" s="137">
        <v>300.0</v>
      </c>
      <c r="AM35" s="137">
        <v>300.0</v>
      </c>
      <c r="AN35" s="137">
        <v>300.0</v>
      </c>
      <c r="AO35" s="137">
        <v>300.0</v>
      </c>
      <c r="AP35" s="137">
        <v>300.0</v>
      </c>
      <c r="AQ35" s="137">
        <v>300.0</v>
      </c>
      <c r="AR35" s="137">
        <v>300.0</v>
      </c>
      <c r="AS35" s="137">
        <v>300.0</v>
      </c>
      <c r="AT35" s="137">
        <v>300.0</v>
      </c>
      <c r="AU35" s="137">
        <v>300.0</v>
      </c>
      <c r="AV35" s="137">
        <v>300.0</v>
      </c>
      <c r="AW35" s="137">
        <v>300.0</v>
      </c>
      <c r="AX35" s="137">
        <v>300.0</v>
      </c>
      <c r="AY35" s="137">
        <v>300.0</v>
      </c>
      <c r="AZ35" s="137">
        <v>300.0</v>
      </c>
      <c r="BA35" s="137">
        <v>-500.0</v>
      </c>
      <c r="BB35" s="137">
        <v>-500.0</v>
      </c>
      <c r="BC35" s="137">
        <v>-500.0</v>
      </c>
      <c r="BD35" s="137">
        <v>-500.0</v>
      </c>
      <c r="BE35" s="137">
        <v>-500.0</v>
      </c>
      <c r="BF35" s="137">
        <v>-500.0</v>
      </c>
      <c r="BG35" s="137">
        <v>-500.0</v>
      </c>
      <c r="BH35" s="137">
        <v>-500.0</v>
      </c>
      <c r="BI35" s="137">
        <v>-500.0</v>
      </c>
      <c r="BJ35" s="137">
        <v>-500.0</v>
      </c>
      <c r="BK35" s="137">
        <v>-500.0</v>
      </c>
    </row>
    <row r="36">
      <c r="A36" s="206" t="s">
        <v>228</v>
      </c>
      <c r="B36" s="144" t="s">
        <v>229</v>
      </c>
      <c r="C36" s="137">
        <v>0.0</v>
      </c>
      <c r="D36" s="137">
        <v>0.0</v>
      </c>
      <c r="E36" s="137">
        <v>0.0</v>
      </c>
      <c r="F36" s="137">
        <v>0.0</v>
      </c>
      <c r="G36" s="137">
        <v>0.0</v>
      </c>
      <c r="H36" s="175">
        <v>0.0</v>
      </c>
      <c r="I36" s="137">
        <v>25.0</v>
      </c>
      <c r="J36" s="137">
        <v>0.0</v>
      </c>
      <c r="K36" s="137">
        <v>0.0</v>
      </c>
      <c r="L36" s="137">
        <v>0.0</v>
      </c>
      <c r="M36" s="137">
        <v>0.0</v>
      </c>
      <c r="N36" s="137">
        <v>0.0</v>
      </c>
      <c r="O36" s="137">
        <v>0.0</v>
      </c>
      <c r="P36" s="137">
        <v>0.0</v>
      </c>
      <c r="Q36" s="137">
        <v>0.0</v>
      </c>
      <c r="R36" s="137">
        <v>0.0</v>
      </c>
      <c r="S36" s="137">
        <v>0.0</v>
      </c>
      <c r="T36" s="137">
        <v>0.0</v>
      </c>
      <c r="U36" s="137">
        <v>0.0</v>
      </c>
      <c r="V36" s="137">
        <v>0.0</v>
      </c>
      <c r="W36" s="137">
        <v>0.0</v>
      </c>
      <c r="X36" s="137">
        <v>0.0</v>
      </c>
      <c r="Y36" s="137">
        <v>0.0</v>
      </c>
      <c r="Z36" s="137">
        <v>0.0</v>
      </c>
      <c r="AA36" s="137">
        <v>0.0</v>
      </c>
      <c r="AB36" s="137">
        <v>0.0</v>
      </c>
      <c r="AC36" s="137">
        <v>0.0</v>
      </c>
      <c r="AD36" s="137">
        <v>0.0</v>
      </c>
      <c r="AE36" s="137">
        <v>0.0</v>
      </c>
      <c r="AF36" s="137">
        <v>0.0</v>
      </c>
      <c r="AG36" s="137">
        <v>0.0</v>
      </c>
      <c r="AH36" s="175">
        <v>0.0</v>
      </c>
      <c r="AI36" s="137">
        <v>0.0</v>
      </c>
      <c r="AJ36" s="137">
        <v>0.0</v>
      </c>
      <c r="AK36" s="137">
        <v>0.0</v>
      </c>
      <c r="AL36" s="137">
        <v>0.0</v>
      </c>
      <c r="AM36" s="137">
        <v>0.0</v>
      </c>
      <c r="AN36" s="137">
        <v>0.0</v>
      </c>
      <c r="AO36" s="137">
        <v>0.0</v>
      </c>
      <c r="AP36" s="137">
        <v>0.0</v>
      </c>
      <c r="AQ36" s="137">
        <v>0.0</v>
      </c>
      <c r="AR36" s="137">
        <v>0.0</v>
      </c>
      <c r="AS36" s="137">
        <v>0.0</v>
      </c>
      <c r="AT36" s="137">
        <v>0.0</v>
      </c>
      <c r="AU36" s="137">
        <v>0.0</v>
      </c>
      <c r="AV36" s="137">
        <v>0.0</v>
      </c>
      <c r="AW36" s="137">
        <v>0.0</v>
      </c>
      <c r="AX36" s="137">
        <v>0.0</v>
      </c>
      <c r="AY36" s="137">
        <v>0.0</v>
      </c>
      <c r="AZ36" s="137">
        <v>0.0</v>
      </c>
      <c r="BA36" s="137">
        <v>0.0</v>
      </c>
      <c r="BB36" s="137">
        <v>0.0</v>
      </c>
      <c r="BC36" s="137">
        <v>0.0</v>
      </c>
      <c r="BD36" s="137">
        <v>0.0</v>
      </c>
      <c r="BE36" s="137">
        <v>0.0</v>
      </c>
      <c r="BF36" s="137">
        <v>0.0</v>
      </c>
      <c r="BG36" s="137">
        <v>0.0</v>
      </c>
      <c r="BH36" s="137">
        <v>0.0</v>
      </c>
      <c r="BI36" s="137">
        <v>0.0</v>
      </c>
      <c r="BJ36" s="137">
        <v>0.0</v>
      </c>
      <c r="BK36" s="137">
        <v>0.0</v>
      </c>
    </row>
    <row r="37">
      <c r="A37" s="199"/>
      <c r="B37" s="144" t="s">
        <v>30</v>
      </c>
      <c r="C37" s="137"/>
      <c r="D37" s="137"/>
      <c r="E37" s="137"/>
      <c r="F37" s="137"/>
      <c r="G37" s="137"/>
      <c r="H37" s="175"/>
      <c r="I37" s="137"/>
      <c r="J37" s="137">
        <v>0.0</v>
      </c>
      <c r="K37" s="137">
        <v>0.0</v>
      </c>
      <c r="L37" s="137">
        <v>0.0</v>
      </c>
      <c r="M37" s="137">
        <v>0.0</v>
      </c>
      <c r="N37" s="137">
        <v>0.0</v>
      </c>
      <c r="O37" s="137">
        <v>0.0</v>
      </c>
      <c r="P37" s="137">
        <v>0.0</v>
      </c>
      <c r="Q37" s="137">
        <v>0.0</v>
      </c>
      <c r="R37" s="137">
        <v>0.0</v>
      </c>
      <c r="S37" s="137">
        <v>0.0</v>
      </c>
      <c r="T37" s="137">
        <v>0.0</v>
      </c>
      <c r="U37" s="192">
        <v>0.0</v>
      </c>
      <c r="V37" s="194">
        <f>490</f>
        <v>490</v>
      </c>
      <c r="W37" s="137">
        <v>0.0</v>
      </c>
      <c r="X37" s="137">
        <v>0.0</v>
      </c>
      <c r="Y37" s="137">
        <v>0.0</v>
      </c>
      <c r="Z37" s="137">
        <v>0.0</v>
      </c>
      <c r="AA37" s="137">
        <v>0.0</v>
      </c>
      <c r="AB37" s="137">
        <v>0.0</v>
      </c>
      <c r="AC37" s="137">
        <v>0.0</v>
      </c>
      <c r="AD37" s="137">
        <v>0.0</v>
      </c>
      <c r="AE37" s="137">
        <v>0.0</v>
      </c>
      <c r="AF37" s="137">
        <v>0.0</v>
      </c>
      <c r="AG37" s="137">
        <v>0.0</v>
      </c>
      <c r="AH37" s="175">
        <v>0.0</v>
      </c>
      <c r="AI37" s="137">
        <v>0.0</v>
      </c>
      <c r="AJ37" s="137">
        <v>0.0</v>
      </c>
      <c r="AK37" s="137">
        <v>250.0</v>
      </c>
      <c r="AL37" s="137">
        <v>0.0</v>
      </c>
      <c r="AM37" s="137">
        <v>0.0</v>
      </c>
      <c r="AN37" s="137">
        <v>0.0</v>
      </c>
      <c r="AO37" s="137">
        <v>0.0</v>
      </c>
      <c r="AP37" s="137">
        <v>0.0</v>
      </c>
      <c r="AQ37" s="137">
        <v>0.0</v>
      </c>
      <c r="AR37" s="137">
        <v>0.0</v>
      </c>
      <c r="AS37" s="137">
        <v>0.0</v>
      </c>
      <c r="AT37" s="137">
        <v>0.0</v>
      </c>
      <c r="AU37" s="137">
        <v>0.0</v>
      </c>
      <c r="AV37" s="137">
        <v>0.0</v>
      </c>
      <c r="AW37" s="137">
        <v>0.0</v>
      </c>
      <c r="AX37" s="137">
        <v>0.0</v>
      </c>
      <c r="AY37" s="137">
        <v>0.0</v>
      </c>
      <c r="AZ37" s="137">
        <v>0.0</v>
      </c>
      <c r="BA37" s="137">
        <v>0.0</v>
      </c>
      <c r="BB37" s="137">
        <v>0.0</v>
      </c>
      <c r="BC37" s="137">
        <v>0.0</v>
      </c>
      <c r="BD37" s="137">
        <v>0.0</v>
      </c>
      <c r="BE37" s="137">
        <v>0.0</v>
      </c>
      <c r="BF37" s="137">
        <v>0.0</v>
      </c>
      <c r="BG37" s="137">
        <v>0.0</v>
      </c>
      <c r="BH37" s="137">
        <v>0.0</v>
      </c>
      <c r="BI37" s="137">
        <v>0.0</v>
      </c>
      <c r="BJ37" s="137">
        <v>0.0</v>
      </c>
      <c r="BK37" s="137">
        <v>0.0</v>
      </c>
    </row>
    <row r="38">
      <c r="A38" s="149"/>
      <c r="B38" s="144" t="s">
        <v>230</v>
      </c>
      <c r="C38" s="137"/>
      <c r="D38" s="137"/>
      <c r="E38" s="137"/>
      <c r="F38" s="137"/>
      <c r="G38" s="137"/>
      <c r="H38" s="137"/>
      <c r="I38" s="137">
        <v>100.0</v>
      </c>
      <c r="J38" s="137">
        <f>60+20+350</f>
        <v>430</v>
      </c>
      <c r="K38" s="137">
        <v>50.0</v>
      </c>
      <c r="L38" s="137">
        <v>60.0</v>
      </c>
      <c r="M38" s="137">
        <v>60.0</v>
      </c>
      <c r="N38" s="137">
        <v>95.0</v>
      </c>
      <c r="O38" s="137">
        <v>100.0</v>
      </c>
      <c r="P38" s="137">
        <v>100.0</v>
      </c>
      <c r="Q38" s="137">
        <v>60.0</v>
      </c>
      <c r="R38" s="137">
        <v>0.0</v>
      </c>
      <c r="S38" s="137">
        <v>0.0</v>
      </c>
      <c r="T38" s="137">
        <v>100.0</v>
      </c>
      <c r="U38" s="137">
        <v>50.0</v>
      </c>
      <c r="V38" s="137">
        <v>100.0</v>
      </c>
      <c r="W38" s="137">
        <v>100.0</v>
      </c>
      <c r="X38" s="137">
        <v>100.0</v>
      </c>
      <c r="Y38" s="137">
        <v>100.0</v>
      </c>
      <c r="Z38" s="137">
        <v>100.0</v>
      </c>
      <c r="AA38" s="137">
        <v>100.0</v>
      </c>
      <c r="AB38" s="137">
        <v>100.0</v>
      </c>
      <c r="AC38" s="137">
        <v>100.0</v>
      </c>
      <c r="AD38" s="137">
        <v>100.0</v>
      </c>
      <c r="AE38" s="137">
        <v>100.0</v>
      </c>
      <c r="AF38" s="137">
        <v>100.0</v>
      </c>
      <c r="AG38" s="137">
        <v>100.0</v>
      </c>
      <c r="AH38" s="175">
        <v>100.0</v>
      </c>
      <c r="AI38" s="137">
        <v>100.0</v>
      </c>
      <c r="AJ38" s="137">
        <v>100.0</v>
      </c>
      <c r="AK38" s="137">
        <v>100.0</v>
      </c>
      <c r="AL38" s="137">
        <v>100.0</v>
      </c>
      <c r="AM38" s="137">
        <v>100.0</v>
      </c>
      <c r="AN38" s="137">
        <v>100.0</v>
      </c>
      <c r="AO38" s="137">
        <v>100.0</v>
      </c>
      <c r="AP38" s="137">
        <v>100.0</v>
      </c>
      <c r="AQ38" s="137">
        <v>100.0</v>
      </c>
      <c r="AR38" s="137">
        <v>100.0</v>
      </c>
      <c r="AS38" s="137">
        <v>100.0</v>
      </c>
      <c r="AT38" s="137">
        <v>100.0</v>
      </c>
      <c r="AU38" s="137">
        <v>100.0</v>
      </c>
      <c r="AV38" s="137">
        <v>100.0</v>
      </c>
      <c r="AW38" s="137">
        <v>100.0</v>
      </c>
      <c r="AX38" s="137">
        <v>100.0</v>
      </c>
      <c r="AY38" s="137">
        <v>100.0</v>
      </c>
      <c r="AZ38" s="137">
        <v>100.0</v>
      </c>
      <c r="BA38" s="137">
        <v>-100.0</v>
      </c>
      <c r="BB38" s="137">
        <v>-100.0</v>
      </c>
      <c r="BC38" s="137">
        <v>-100.0</v>
      </c>
      <c r="BD38" s="137">
        <v>-100.0</v>
      </c>
      <c r="BE38" s="137">
        <v>-100.0</v>
      </c>
      <c r="BF38" s="137">
        <v>-100.0</v>
      </c>
      <c r="BG38" s="137">
        <v>-100.0</v>
      </c>
      <c r="BH38" s="137">
        <v>-100.0</v>
      </c>
      <c r="BI38" s="137">
        <v>-100.0</v>
      </c>
      <c r="BJ38" s="137">
        <v>-100.0</v>
      </c>
      <c r="BK38" s="137">
        <v>-100.0</v>
      </c>
    </row>
    <row r="39">
      <c r="A39" s="199"/>
      <c r="B39" s="144" t="s">
        <v>231</v>
      </c>
      <c r="C39" s="137">
        <v>0.0</v>
      </c>
      <c r="D39" s="137">
        <v>0.0</v>
      </c>
      <c r="E39" s="137">
        <v>0.0</v>
      </c>
      <c r="F39" s="137">
        <v>0.0</v>
      </c>
      <c r="G39" s="137">
        <v>0.0</v>
      </c>
      <c r="H39" s="175">
        <v>0.0</v>
      </c>
      <c r="I39" s="137">
        <v>0.0</v>
      </c>
      <c r="J39" s="137">
        <v>0.0</v>
      </c>
      <c r="K39" s="137">
        <v>0.0</v>
      </c>
      <c r="L39" s="137">
        <v>0.0</v>
      </c>
      <c r="M39" s="137">
        <v>0.0</v>
      </c>
      <c r="N39" s="137">
        <v>0.0</v>
      </c>
      <c r="O39" s="137">
        <v>0.0</v>
      </c>
      <c r="P39" s="137">
        <v>0.0</v>
      </c>
      <c r="Q39" s="137">
        <v>0.0</v>
      </c>
      <c r="R39" s="137">
        <v>0.0</v>
      </c>
      <c r="S39" s="137">
        <v>0.0</v>
      </c>
      <c r="T39" s="137">
        <v>0.0</v>
      </c>
      <c r="U39" s="137">
        <v>0.0</v>
      </c>
      <c r="V39" s="137">
        <v>0.0</v>
      </c>
      <c r="W39" s="137">
        <v>0.0</v>
      </c>
      <c r="X39" s="137">
        <v>0.0</v>
      </c>
      <c r="Y39" s="137">
        <v>0.0</v>
      </c>
      <c r="Z39" s="137">
        <v>0.0</v>
      </c>
      <c r="AA39" s="137">
        <v>0.0</v>
      </c>
      <c r="AB39" s="137">
        <v>0.0</v>
      </c>
      <c r="AC39" s="137">
        <v>0.0</v>
      </c>
      <c r="AD39" s="137">
        <v>0.0</v>
      </c>
      <c r="AE39" s="137">
        <v>0.0</v>
      </c>
      <c r="AF39" s="137">
        <v>0.0</v>
      </c>
      <c r="AG39" s="137">
        <v>0.0</v>
      </c>
      <c r="AH39" s="175">
        <v>100.0</v>
      </c>
      <c r="AI39" s="137">
        <v>300.0</v>
      </c>
      <c r="AJ39" s="137">
        <v>100.0</v>
      </c>
      <c r="AK39" s="137">
        <v>175.0</v>
      </c>
      <c r="AL39" s="137">
        <v>175.0</v>
      </c>
      <c r="AM39" s="137">
        <v>175.0</v>
      </c>
      <c r="AN39" s="137">
        <v>175.0</v>
      </c>
      <c r="AO39" s="137">
        <v>175.0</v>
      </c>
      <c r="AP39" s="137">
        <v>175.0</v>
      </c>
      <c r="AQ39" s="137">
        <v>175.0</v>
      </c>
      <c r="AR39" s="137">
        <v>175.0</v>
      </c>
      <c r="AS39" s="137">
        <v>175.0</v>
      </c>
      <c r="AT39" s="137">
        <v>175.0</v>
      </c>
      <c r="AU39" s="137">
        <v>175.0</v>
      </c>
      <c r="AV39" s="137">
        <v>175.0</v>
      </c>
      <c r="AW39" s="137">
        <v>175.0</v>
      </c>
      <c r="AX39" s="137">
        <v>175.0</v>
      </c>
      <c r="AY39" s="137">
        <v>175.0</v>
      </c>
      <c r="AZ39" s="137">
        <v>175.0</v>
      </c>
      <c r="BA39" s="137">
        <v>-175.0</v>
      </c>
      <c r="BB39" s="137">
        <v>-175.0</v>
      </c>
      <c r="BC39" s="137">
        <v>-175.0</v>
      </c>
      <c r="BD39" s="137">
        <v>-175.0</v>
      </c>
      <c r="BE39" s="137">
        <v>-175.0</v>
      </c>
      <c r="BF39" s="137">
        <v>-175.0</v>
      </c>
      <c r="BG39" s="137">
        <v>-175.0</v>
      </c>
      <c r="BH39" s="137">
        <v>-175.0</v>
      </c>
      <c r="BI39" s="137">
        <v>-175.0</v>
      </c>
      <c r="BJ39" s="137">
        <v>-175.0</v>
      </c>
      <c r="BK39" s="137">
        <v>-175.0</v>
      </c>
    </row>
    <row r="40">
      <c r="A40" s="188" t="s">
        <v>232</v>
      </c>
      <c r="B40" s="144" t="s">
        <v>233</v>
      </c>
      <c r="C40" s="137"/>
      <c r="D40" s="137"/>
      <c r="E40" s="137">
        <v>50.0</v>
      </c>
      <c r="F40" s="137">
        <v>50.0</v>
      </c>
      <c r="G40" s="137">
        <v>50.0</v>
      </c>
      <c r="H40" s="137">
        <v>50.0</v>
      </c>
      <c r="I40" s="137">
        <v>100.0</v>
      </c>
      <c r="J40" s="137">
        <f>30+40</f>
        <v>70</v>
      </c>
      <c r="K40" s="137">
        <v>0.0</v>
      </c>
      <c r="L40" s="137">
        <v>50.0</v>
      </c>
      <c r="M40" s="137">
        <v>50.0</v>
      </c>
      <c r="N40" s="137">
        <v>20.0</v>
      </c>
      <c r="O40" s="137">
        <v>0.0</v>
      </c>
      <c r="P40" s="137">
        <v>50.0</v>
      </c>
      <c r="Q40" s="137">
        <v>30.0</v>
      </c>
      <c r="R40" s="137">
        <f>15+35</f>
        <v>50</v>
      </c>
      <c r="S40" s="137">
        <v>10.0</v>
      </c>
      <c r="T40" s="137">
        <v>40.0</v>
      </c>
      <c r="U40" s="137">
        <v>30.0</v>
      </c>
      <c r="V40" s="137">
        <f>sum(30,100)</f>
        <v>130</v>
      </c>
      <c r="W40" s="137">
        <v>30.0</v>
      </c>
      <c r="X40" s="137">
        <v>30.0</v>
      </c>
      <c r="Y40" s="137">
        <v>30.0</v>
      </c>
      <c r="Z40" s="137">
        <v>10.0</v>
      </c>
      <c r="AA40" s="137">
        <v>10.0</v>
      </c>
      <c r="AB40" s="137">
        <v>10.0</v>
      </c>
      <c r="AC40" s="137">
        <v>10.0</v>
      </c>
      <c r="AD40" s="137">
        <v>10.0</v>
      </c>
      <c r="AE40" s="137">
        <v>10.0</v>
      </c>
      <c r="AF40" s="137">
        <v>10.0</v>
      </c>
      <c r="AG40" s="137">
        <v>10.0</v>
      </c>
      <c r="AH40" s="175">
        <v>10.0</v>
      </c>
      <c r="AI40" s="137">
        <v>10.0</v>
      </c>
      <c r="AJ40" s="137">
        <v>10.0</v>
      </c>
      <c r="AK40" s="137">
        <v>10.0</v>
      </c>
      <c r="AL40" s="137">
        <v>10.0</v>
      </c>
      <c r="AM40" s="137">
        <v>10.0</v>
      </c>
      <c r="AN40" s="137">
        <v>10.0</v>
      </c>
      <c r="AO40" s="137">
        <v>10.0</v>
      </c>
      <c r="AP40" s="137">
        <v>10.0</v>
      </c>
      <c r="AQ40" s="137">
        <v>10.0</v>
      </c>
      <c r="AR40" s="137">
        <v>10.0</v>
      </c>
      <c r="AS40" s="137">
        <v>0.0</v>
      </c>
      <c r="AT40" s="137">
        <v>10.0</v>
      </c>
      <c r="AU40" s="137">
        <v>10.0</v>
      </c>
      <c r="AV40" s="137">
        <v>10.0</v>
      </c>
      <c r="AW40" s="137">
        <v>30.0</v>
      </c>
      <c r="AX40" s="137">
        <v>30.0</v>
      </c>
      <c r="AY40" s="137">
        <v>30.0</v>
      </c>
      <c r="AZ40" s="137">
        <v>30.0</v>
      </c>
      <c r="BA40" s="137">
        <v>-30.0</v>
      </c>
      <c r="BB40" s="137">
        <v>-30.0</v>
      </c>
      <c r="BC40" s="137">
        <v>-30.0</v>
      </c>
      <c r="BD40" s="137">
        <v>-30.0</v>
      </c>
      <c r="BE40" s="137">
        <v>-30.0</v>
      </c>
      <c r="BF40" s="137">
        <v>-30.0</v>
      </c>
      <c r="BG40" s="137">
        <v>-30.0</v>
      </c>
      <c r="BH40" s="137">
        <v>-30.0</v>
      </c>
      <c r="BI40" s="137">
        <v>-30.0</v>
      </c>
      <c r="BJ40" s="137">
        <v>-30.0</v>
      </c>
      <c r="BK40" s="137">
        <v>-30.0</v>
      </c>
    </row>
    <row r="41">
      <c r="A41" s="199"/>
      <c r="B41" s="144" t="s">
        <v>234</v>
      </c>
      <c r="C41" s="137"/>
      <c r="D41" s="137"/>
      <c r="E41" s="137"/>
      <c r="F41" s="137"/>
      <c r="G41" s="137"/>
      <c r="H41" s="175"/>
      <c r="I41" s="137"/>
      <c r="J41" s="137"/>
      <c r="K41" s="137">
        <v>0.0</v>
      </c>
      <c r="L41" s="137">
        <v>0.0</v>
      </c>
      <c r="M41" s="137">
        <v>0.0</v>
      </c>
      <c r="N41" s="194">
        <v>250.0</v>
      </c>
      <c r="O41" s="137">
        <v>0.0</v>
      </c>
      <c r="P41" s="194">
        <v>200.0</v>
      </c>
      <c r="Q41" s="189">
        <v>0.0</v>
      </c>
      <c r="R41" s="137">
        <v>0.0</v>
      </c>
      <c r="S41" s="193">
        <f>0</f>
        <v>0</v>
      </c>
      <c r="T41" s="193">
        <f>840+450</f>
        <v>1290</v>
      </c>
      <c r="U41" s="137">
        <v>0.0</v>
      </c>
      <c r="V41" s="137">
        <v>0.0</v>
      </c>
      <c r="W41" s="137">
        <v>0.0</v>
      </c>
      <c r="X41" s="137">
        <v>0.0</v>
      </c>
      <c r="Y41" s="137">
        <v>0.0</v>
      </c>
      <c r="Z41" s="137">
        <v>0.0</v>
      </c>
      <c r="AA41" s="137">
        <v>0.0</v>
      </c>
      <c r="AB41" s="137">
        <v>0.0</v>
      </c>
      <c r="AC41" s="137">
        <v>0.0</v>
      </c>
      <c r="AD41" s="137">
        <v>0.0</v>
      </c>
      <c r="AE41" s="137">
        <v>0.0</v>
      </c>
      <c r="AF41" s="137">
        <v>0.0</v>
      </c>
      <c r="AG41" s="137">
        <v>0.0</v>
      </c>
      <c r="AH41" s="175">
        <v>0.0</v>
      </c>
      <c r="AI41" s="137">
        <v>0.0</v>
      </c>
      <c r="AJ41" s="137">
        <v>0.0</v>
      </c>
      <c r="AK41" s="137">
        <v>0.0</v>
      </c>
      <c r="AL41" s="137">
        <v>0.0</v>
      </c>
      <c r="AM41" s="137">
        <v>0.0</v>
      </c>
      <c r="AN41" s="137">
        <v>0.0</v>
      </c>
      <c r="AO41" s="137">
        <v>0.0</v>
      </c>
      <c r="AP41" s="137">
        <v>0.0</v>
      </c>
      <c r="AQ41" s="137">
        <v>0.0</v>
      </c>
      <c r="AR41" s="137">
        <v>0.0</v>
      </c>
      <c r="AS41" s="137">
        <v>0.0</v>
      </c>
      <c r="AT41" s="137">
        <v>0.0</v>
      </c>
      <c r="AU41" s="137">
        <v>0.0</v>
      </c>
      <c r="AV41" s="137">
        <v>0.0</v>
      </c>
      <c r="AW41" s="137">
        <v>0.0</v>
      </c>
      <c r="AX41" s="137">
        <v>0.0</v>
      </c>
      <c r="AY41" s="137">
        <v>0.0</v>
      </c>
      <c r="AZ41" s="137">
        <v>0.0</v>
      </c>
      <c r="BA41" s="137">
        <v>0.0</v>
      </c>
      <c r="BB41" s="137">
        <v>0.0</v>
      </c>
      <c r="BC41" s="137">
        <v>0.0</v>
      </c>
      <c r="BD41" s="137">
        <v>0.0</v>
      </c>
      <c r="BE41" s="137">
        <v>0.0</v>
      </c>
      <c r="BF41" s="137">
        <v>0.0</v>
      </c>
      <c r="BG41" s="137">
        <v>0.0</v>
      </c>
      <c r="BH41" s="137">
        <v>0.0</v>
      </c>
      <c r="BI41" s="137">
        <v>0.0</v>
      </c>
      <c r="BJ41" s="137">
        <v>0.0</v>
      </c>
      <c r="BK41" s="137">
        <v>0.0</v>
      </c>
    </row>
    <row r="42">
      <c r="A42" s="199"/>
      <c r="B42" s="144" t="s">
        <v>235</v>
      </c>
      <c r="C42" s="137"/>
      <c r="D42" s="137"/>
      <c r="E42" s="137"/>
      <c r="F42" s="137"/>
      <c r="G42" s="137"/>
      <c r="H42" s="175"/>
      <c r="I42" s="137"/>
      <c r="J42" s="137"/>
      <c r="K42" s="137"/>
      <c r="L42" s="137"/>
      <c r="M42" s="137"/>
      <c r="N42" s="194"/>
      <c r="O42" s="137"/>
      <c r="P42" s="194"/>
      <c r="Q42" s="189"/>
      <c r="R42" s="137"/>
      <c r="S42" s="193"/>
      <c r="T42" s="193"/>
      <c r="U42" s="137"/>
      <c r="V42" s="137"/>
      <c r="W42" s="137"/>
      <c r="X42" s="194">
        <f>272+375</f>
        <v>647</v>
      </c>
      <c r="Y42" s="137">
        <v>0.0</v>
      </c>
      <c r="Z42" s="137">
        <v>0.0</v>
      </c>
      <c r="AA42" s="137">
        <v>0.0</v>
      </c>
      <c r="AB42" s="137">
        <v>0.0</v>
      </c>
      <c r="AC42" s="137">
        <v>0.0</v>
      </c>
      <c r="AD42" s="137">
        <v>0.0</v>
      </c>
      <c r="AE42" s="137">
        <v>0.0</v>
      </c>
      <c r="AF42" s="137">
        <v>0.0</v>
      </c>
      <c r="AG42" s="137">
        <v>0.0</v>
      </c>
      <c r="AH42" s="175">
        <v>0.0</v>
      </c>
      <c r="AI42" s="137">
        <v>0.0</v>
      </c>
      <c r="AJ42" s="137">
        <v>0.0</v>
      </c>
      <c r="AK42" s="137">
        <v>0.0</v>
      </c>
      <c r="AL42" s="137">
        <v>0.0</v>
      </c>
      <c r="AM42" s="137">
        <v>0.0</v>
      </c>
      <c r="AN42" s="137">
        <v>0.0</v>
      </c>
      <c r="AO42" s="137">
        <v>0.0</v>
      </c>
      <c r="AP42" s="137">
        <v>0.0</v>
      </c>
      <c r="AQ42" s="137">
        <v>0.0</v>
      </c>
      <c r="AR42" s="137">
        <v>0.0</v>
      </c>
      <c r="AS42" s="137">
        <v>0.0</v>
      </c>
      <c r="AT42" s="137">
        <v>0.0</v>
      </c>
      <c r="AU42" s="137">
        <v>0.0</v>
      </c>
      <c r="AV42" s="137">
        <v>0.0</v>
      </c>
      <c r="AW42" s="137">
        <v>0.0</v>
      </c>
      <c r="AX42" s="137">
        <v>0.0</v>
      </c>
      <c r="AY42" s="137">
        <v>0.0</v>
      </c>
      <c r="AZ42" s="137">
        <v>0.0</v>
      </c>
      <c r="BA42" s="137">
        <v>0.0</v>
      </c>
      <c r="BB42" s="137">
        <v>0.0</v>
      </c>
      <c r="BC42" s="137">
        <v>0.0</v>
      </c>
      <c r="BD42" s="137">
        <v>0.0</v>
      </c>
      <c r="BE42" s="137">
        <v>0.0</v>
      </c>
      <c r="BF42" s="137">
        <v>0.0</v>
      </c>
      <c r="BG42" s="137">
        <v>0.0</v>
      </c>
      <c r="BH42" s="137">
        <v>0.0</v>
      </c>
      <c r="BI42" s="137">
        <v>0.0</v>
      </c>
      <c r="BJ42" s="137">
        <v>0.0</v>
      </c>
      <c r="BK42" s="137">
        <v>0.0</v>
      </c>
    </row>
    <row r="43">
      <c r="A43" s="199"/>
      <c r="B43" s="144" t="s">
        <v>31</v>
      </c>
      <c r="C43" s="137"/>
      <c r="D43" s="137"/>
      <c r="E43" s="137"/>
      <c r="F43" s="137"/>
      <c r="G43" s="137"/>
      <c r="H43" s="175"/>
      <c r="I43" s="137"/>
      <c r="J43" s="137"/>
      <c r="K43" s="137"/>
      <c r="L43" s="137"/>
      <c r="M43" s="137"/>
      <c r="N43" s="194"/>
      <c r="O43" s="137"/>
      <c r="P43" s="194"/>
      <c r="Q43" s="189"/>
      <c r="R43" s="137"/>
      <c r="S43" s="193"/>
      <c r="T43" s="194">
        <v>0.0</v>
      </c>
      <c r="U43" s="192">
        <v>0.0</v>
      </c>
      <c r="V43" s="137">
        <v>0.0</v>
      </c>
      <c r="W43" s="137">
        <v>0.0</v>
      </c>
      <c r="X43" s="194">
        <f>sum(700/2,50,500)</f>
        <v>900</v>
      </c>
      <c r="Y43" s="137">
        <v>0.0</v>
      </c>
      <c r="Z43" s="137">
        <v>0.0</v>
      </c>
      <c r="AA43" s="137">
        <v>0.0</v>
      </c>
      <c r="AB43" s="137">
        <v>0.0</v>
      </c>
      <c r="AC43" s="137">
        <v>0.0</v>
      </c>
      <c r="AD43" s="137">
        <v>0.0</v>
      </c>
      <c r="AE43" s="137">
        <v>0.0</v>
      </c>
      <c r="AF43" s="137">
        <v>0.0</v>
      </c>
      <c r="AG43" s="137">
        <v>0.0</v>
      </c>
      <c r="AH43" s="175">
        <v>0.0</v>
      </c>
      <c r="AI43" s="137">
        <v>0.0</v>
      </c>
      <c r="AJ43" s="137">
        <v>0.0</v>
      </c>
      <c r="AK43" s="137">
        <v>0.0</v>
      </c>
      <c r="AL43" s="137">
        <v>1500.0</v>
      </c>
      <c r="AM43" s="137">
        <v>0.0</v>
      </c>
      <c r="AN43" s="137">
        <v>0.0</v>
      </c>
      <c r="AO43" s="137">
        <v>0.0</v>
      </c>
      <c r="AP43" s="137">
        <v>0.0</v>
      </c>
      <c r="AQ43" s="137">
        <v>0.0</v>
      </c>
      <c r="AR43" s="137">
        <v>0.0</v>
      </c>
      <c r="AS43" s="137">
        <v>0.0</v>
      </c>
      <c r="AT43" s="137">
        <v>0.0</v>
      </c>
      <c r="AU43" s="137">
        <v>0.0</v>
      </c>
      <c r="AV43" s="137">
        <v>0.0</v>
      </c>
      <c r="AW43" s="137">
        <v>0.0</v>
      </c>
      <c r="AX43" s="194">
        <v>500.0</v>
      </c>
      <c r="AY43" s="137">
        <v>0.0</v>
      </c>
      <c r="AZ43" s="137">
        <v>0.0</v>
      </c>
      <c r="BA43" s="137">
        <v>0.0</v>
      </c>
      <c r="BB43" s="137">
        <v>0.0</v>
      </c>
      <c r="BC43" s="137">
        <v>0.0</v>
      </c>
      <c r="BD43" s="137">
        <v>0.0</v>
      </c>
      <c r="BE43" s="137">
        <v>0.0</v>
      </c>
      <c r="BF43" s="137">
        <v>0.0</v>
      </c>
      <c r="BG43" s="137">
        <v>0.0</v>
      </c>
      <c r="BH43" s="137">
        <v>0.0</v>
      </c>
      <c r="BI43" s="137">
        <v>0.0</v>
      </c>
      <c r="BJ43" s="137">
        <v>0.0</v>
      </c>
      <c r="BK43" s="137">
        <v>0.0</v>
      </c>
    </row>
    <row r="44">
      <c r="A44" s="208"/>
      <c r="B44" s="209"/>
      <c r="C44" s="168"/>
      <c r="D44" s="210"/>
      <c r="E44" s="210"/>
      <c r="F44" s="210"/>
      <c r="G44" s="210"/>
      <c r="H44" s="211"/>
      <c r="I44" s="210"/>
      <c r="J44" s="210"/>
      <c r="K44" s="210"/>
      <c r="L44" s="210"/>
      <c r="M44" s="210"/>
      <c r="N44" s="210"/>
      <c r="O44" s="210"/>
      <c r="P44" s="212">
        <f>sum(P17:P41)/P13</f>
        <v>0.4229712568</v>
      </c>
      <c r="Q44" s="212">
        <f t="shared" ref="Q44:S44" si="72">sum(Q28:Q41)/Q13</f>
        <v>0.1376688722</v>
      </c>
      <c r="R44" s="212">
        <f t="shared" si="72"/>
        <v>0.1557641757</v>
      </c>
      <c r="S44" s="212">
        <f t="shared" si="72"/>
        <v>0.04717220391</v>
      </c>
      <c r="T44" s="212">
        <f t="shared" ref="T44:AZ44" si="73">sum(T28:T43)/T13</f>
        <v>0.5274487031</v>
      </c>
      <c r="U44" s="212">
        <f t="shared" si="73"/>
        <v>0.1974448316</v>
      </c>
      <c r="V44" s="212">
        <f t="shared" si="73"/>
        <v>0.4105068442</v>
      </c>
      <c r="W44" s="212">
        <f t="shared" si="73"/>
        <v>0.2327526132</v>
      </c>
      <c r="X44" s="212">
        <f t="shared" si="73"/>
        <v>0.5468060395</v>
      </c>
      <c r="Y44" s="212">
        <f t="shared" si="73"/>
        <v>0.1794733568</v>
      </c>
      <c r="Z44" s="212">
        <f t="shared" si="73"/>
        <v>0.4533363636</v>
      </c>
      <c r="AA44" s="212">
        <f t="shared" si="73"/>
        <v>0.4409573864</v>
      </c>
      <c r="AB44" s="212">
        <f t="shared" si="73"/>
        <v>0.2288636364</v>
      </c>
      <c r="AC44" s="212">
        <f t="shared" si="73"/>
        <v>0.3517090909</v>
      </c>
      <c r="AD44" s="212">
        <f t="shared" si="73"/>
        <v>0.162804878</v>
      </c>
      <c r="AE44" s="212">
        <f t="shared" si="73"/>
        <v>0.0974341661</v>
      </c>
      <c r="AF44" s="212">
        <f t="shared" si="73"/>
        <v>0.140990099</v>
      </c>
      <c r="AG44" s="212">
        <f t="shared" si="73"/>
        <v>0.1271428571</v>
      </c>
      <c r="AH44" s="213">
        <f t="shared" si="73"/>
        <v>0.1365891473</v>
      </c>
      <c r="AI44" s="212">
        <f t="shared" si="73"/>
        <v>0.2981102362</v>
      </c>
      <c r="AJ44" s="212">
        <f t="shared" si="73"/>
        <v>0.2508661417</v>
      </c>
      <c r="AK44" s="212">
        <f t="shared" si="73"/>
        <v>0.1298002663</v>
      </c>
      <c r="AL44" s="212">
        <f t="shared" si="73"/>
        <v>0.5724675325</v>
      </c>
      <c r="AM44" s="212">
        <f t="shared" si="73"/>
        <v>0.2596536797</v>
      </c>
      <c r="AN44" s="212">
        <f t="shared" si="73"/>
        <v>0.1391647332</v>
      </c>
      <c r="AO44" s="212">
        <f t="shared" si="73"/>
        <v>0.2389641434</v>
      </c>
      <c r="AP44" s="212">
        <f t="shared" si="73"/>
        <v>0.1505069124</v>
      </c>
      <c r="AQ44" s="212">
        <f t="shared" si="73"/>
        <v>0.2596536797</v>
      </c>
      <c r="AR44" s="212">
        <f t="shared" si="73"/>
        <v>0.2596536797</v>
      </c>
      <c r="AS44" s="212">
        <f t="shared" si="73"/>
        <v>0.2620779221</v>
      </c>
      <c r="AT44" s="212">
        <f t="shared" si="73"/>
        <v>0.1839752017</v>
      </c>
      <c r="AU44" s="212">
        <f t="shared" si="73"/>
        <v>0.1080720721</v>
      </c>
      <c r="AV44" s="212">
        <f t="shared" si="73"/>
        <v>0.2596536797</v>
      </c>
      <c r="AW44" s="212">
        <f t="shared" si="73"/>
        <v>0.283030303</v>
      </c>
      <c r="AX44" s="212">
        <f t="shared" si="73"/>
        <v>0.2530549214</v>
      </c>
      <c r="AY44" s="212">
        <f t="shared" si="73"/>
        <v>0.227804878</v>
      </c>
      <c r="AZ44" s="212">
        <f t="shared" si="73"/>
        <v>0.1667513612</v>
      </c>
      <c r="BA44" s="212"/>
      <c r="BB44" s="212"/>
      <c r="BC44" s="212"/>
      <c r="BD44" s="212"/>
      <c r="BE44" s="212"/>
      <c r="BF44" s="212"/>
      <c r="BG44" s="212"/>
      <c r="BH44" s="212"/>
      <c r="BI44" s="212"/>
      <c r="BJ44" s="212"/>
      <c r="BK44" s="212"/>
    </row>
    <row r="45">
      <c r="A45" s="171" t="s">
        <v>236</v>
      </c>
      <c r="B45" s="172"/>
      <c r="C45" s="137">
        <f t="shared" ref="C45:G45" si="74">sum(C17:C40)</f>
        <v>2850.475</v>
      </c>
      <c r="D45" s="137">
        <f t="shared" si="74"/>
        <v>2700.475</v>
      </c>
      <c r="E45" s="137">
        <f t="shared" si="74"/>
        <v>3250.475</v>
      </c>
      <c r="F45" s="137">
        <f t="shared" si="74"/>
        <v>3499.265</v>
      </c>
      <c r="G45" s="137">
        <f t="shared" si="74"/>
        <v>2895.475</v>
      </c>
      <c r="H45" s="175">
        <f t="shared" ref="H45:M45" si="75">sum(H23:H40)</f>
        <v>785</v>
      </c>
      <c r="I45" s="137">
        <f t="shared" si="75"/>
        <v>2273</v>
      </c>
      <c r="J45" s="137">
        <f t="shared" si="75"/>
        <v>3319</v>
      </c>
      <c r="K45" s="137">
        <f t="shared" si="75"/>
        <v>3083</v>
      </c>
      <c r="L45" s="137">
        <f t="shared" si="75"/>
        <v>3545</v>
      </c>
      <c r="M45" s="137">
        <f t="shared" si="75"/>
        <v>1923</v>
      </c>
      <c r="N45" s="137">
        <f t="shared" ref="N45:O45" si="76">sum(N23:N41)</f>
        <v>3152</v>
      </c>
      <c r="O45" s="137">
        <f t="shared" si="76"/>
        <v>2351</v>
      </c>
      <c r="P45" s="137">
        <f t="shared" ref="P45:S45" si="77">sum(P17:P41)</f>
        <v>5021.937732</v>
      </c>
      <c r="Q45" s="137">
        <f t="shared" si="77"/>
        <v>3812.781736</v>
      </c>
      <c r="R45" s="137">
        <f t="shared" si="77"/>
        <v>3794.099072</v>
      </c>
      <c r="S45" s="137">
        <f t="shared" si="77"/>
        <v>3076.949944</v>
      </c>
      <c r="T45" s="137">
        <f t="shared" ref="T45:X45" si="78">sum(T17:T43)</f>
        <v>6218.120414</v>
      </c>
      <c r="U45" s="137">
        <f t="shared" si="78"/>
        <v>1855.089818</v>
      </c>
      <c r="V45" s="137">
        <f t="shared" si="78"/>
        <v>4730.289456</v>
      </c>
      <c r="W45" s="137">
        <f t="shared" si="78"/>
        <v>3161.256756</v>
      </c>
      <c r="X45" s="137">
        <f t="shared" si="78"/>
        <v>6665.485327</v>
      </c>
      <c r="Y45" s="137">
        <f t="shared" ref="Y45:BK45" si="79">sum(Y17:Y25,Y28:Y43)</f>
        <v>5063.475</v>
      </c>
      <c r="Z45" s="137">
        <f t="shared" si="79"/>
        <v>6769.65</v>
      </c>
      <c r="AA45" s="137">
        <f t="shared" si="79"/>
        <v>6823.99</v>
      </c>
      <c r="AB45" s="137">
        <f t="shared" si="79"/>
        <v>4957.565</v>
      </c>
      <c r="AC45" s="137">
        <f t="shared" si="79"/>
        <v>6158.565</v>
      </c>
      <c r="AD45" s="137">
        <f t="shared" si="79"/>
        <v>4358.565</v>
      </c>
      <c r="AE45" s="137">
        <f t="shared" si="79"/>
        <v>4858.565</v>
      </c>
      <c r="AF45" s="137">
        <f t="shared" si="79"/>
        <v>4358.565</v>
      </c>
      <c r="AG45" s="137">
        <f t="shared" si="79"/>
        <v>4358.565</v>
      </c>
      <c r="AH45" s="175">
        <f t="shared" si="79"/>
        <v>10512.09</v>
      </c>
      <c r="AI45" s="137">
        <f t="shared" si="79"/>
        <v>5739.09</v>
      </c>
      <c r="AJ45" s="137">
        <f t="shared" si="79"/>
        <v>5539.09</v>
      </c>
      <c r="AK45" s="137">
        <f t="shared" si="79"/>
        <v>5827</v>
      </c>
      <c r="AL45" s="137">
        <f t="shared" si="79"/>
        <v>10177</v>
      </c>
      <c r="AM45" s="137">
        <f t="shared" si="79"/>
        <v>6364</v>
      </c>
      <c r="AN45" s="137">
        <f t="shared" si="79"/>
        <v>6364</v>
      </c>
      <c r="AO45" s="137">
        <f t="shared" si="79"/>
        <v>6364</v>
      </c>
      <c r="AP45" s="137">
        <f t="shared" si="79"/>
        <v>8289</v>
      </c>
      <c r="AQ45" s="137">
        <f t="shared" si="79"/>
        <v>6389</v>
      </c>
      <c r="AR45" s="137">
        <f t="shared" si="79"/>
        <v>6389</v>
      </c>
      <c r="AS45" s="137">
        <f t="shared" si="79"/>
        <v>6417</v>
      </c>
      <c r="AT45" s="137">
        <f t="shared" si="79"/>
        <v>6389</v>
      </c>
      <c r="AU45" s="137">
        <f t="shared" si="79"/>
        <v>6489</v>
      </c>
      <c r="AV45" s="137">
        <f t="shared" si="79"/>
        <v>6489</v>
      </c>
      <c r="AW45" s="137">
        <f t="shared" si="79"/>
        <v>6909</v>
      </c>
      <c r="AX45" s="137">
        <f t="shared" si="79"/>
        <v>7409</v>
      </c>
      <c r="AY45" s="137">
        <f t="shared" si="79"/>
        <v>6909</v>
      </c>
      <c r="AZ45" s="137">
        <f t="shared" si="79"/>
        <v>8234</v>
      </c>
      <c r="BA45" s="137">
        <f t="shared" si="79"/>
        <v>-7117</v>
      </c>
      <c r="BB45" s="137">
        <f t="shared" si="79"/>
        <v>-7117</v>
      </c>
      <c r="BC45" s="137">
        <f t="shared" si="79"/>
        <v>-8817</v>
      </c>
      <c r="BD45" s="137">
        <f t="shared" si="79"/>
        <v>-11567</v>
      </c>
      <c r="BE45" s="137">
        <f t="shared" si="79"/>
        <v>-7117</v>
      </c>
      <c r="BF45" s="137">
        <f t="shared" si="79"/>
        <v>-7117</v>
      </c>
      <c r="BG45" s="137">
        <f t="shared" si="79"/>
        <v>-7117</v>
      </c>
      <c r="BH45" s="137">
        <f t="shared" si="79"/>
        <v>-7117</v>
      </c>
      <c r="BI45" s="137">
        <f t="shared" si="79"/>
        <v>-7117</v>
      </c>
      <c r="BJ45" s="137">
        <f t="shared" si="79"/>
        <v>-7117</v>
      </c>
      <c r="BK45" s="137">
        <f t="shared" si="79"/>
        <v>-7117</v>
      </c>
    </row>
    <row r="46">
      <c r="A46" s="215"/>
      <c r="B46" s="183"/>
      <c r="C46" s="183"/>
      <c r="D46" s="183"/>
      <c r="E46" s="183"/>
      <c r="F46" s="183"/>
      <c r="G46" s="183"/>
      <c r="H46" s="184"/>
      <c r="I46" s="183"/>
      <c r="J46" s="183"/>
      <c r="K46" s="183"/>
      <c r="L46" s="183"/>
      <c r="M46" s="183"/>
      <c r="N46" s="183"/>
      <c r="O46" s="183"/>
      <c r="P46" s="183"/>
      <c r="Q46" s="216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4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  <c r="BA46" s="183"/>
      <c r="BB46" s="183"/>
      <c r="BC46" s="183"/>
      <c r="BD46" s="183"/>
      <c r="BE46" s="183"/>
      <c r="BF46" s="183"/>
      <c r="BG46" s="183"/>
      <c r="BH46" s="183"/>
      <c r="BI46" s="183"/>
      <c r="BJ46" s="183"/>
      <c r="BK46" s="183"/>
    </row>
    <row r="47">
      <c r="A47" s="186" t="s">
        <v>948</v>
      </c>
      <c r="B47" s="187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4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</row>
    <row r="48">
      <c r="A48" s="135" t="s">
        <v>949</v>
      </c>
      <c r="B48" s="136"/>
      <c r="C48" s="137"/>
      <c r="D48" s="137"/>
      <c r="E48" s="137"/>
      <c r="F48" s="137"/>
      <c r="G48" s="137"/>
      <c r="H48" s="137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40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</row>
    <row r="49">
      <c r="A49" s="199"/>
      <c r="B49" s="144" t="s">
        <v>239</v>
      </c>
      <c r="C49" s="137">
        <v>2500.0</v>
      </c>
      <c r="D49" s="137">
        <v>4500.0</v>
      </c>
      <c r="E49" s="137">
        <v>2800.0</v>
      </c>
      <c r="F49" s="137">
        <v>2800.0</v>
      </c>
      <c r="G49" s="137">
        <v>2000.0</v>
      </c>
      <c r="H49" s="175">
        <v>3093.0</v>
      </c>
      <c r="I49" s="137">
        <v>1600.0</v>
      </c>
      <c r="J49" s="137">
        <f>'PAYMENT SCHEDULE'!C13+'PAYMENT SCHEDULE'!C29</f>
        <v>3200</v>
      </c>
      <c r="K49" s="194">
        <f>LIABILITIES!E26</f>
        <v>1000</v>
      </c>
      <c r="L49" s="194">
        <f>LIABILITIES!E26</f>
        <v>1000</v>
      </c>
      <c r="M49" s="217" t="str">
        <f>'PAYMENT SCHEDULE'!C33</f>
        <v/>
      </c>
      <c r="N49" s="194">
        <f>N13*0.25</f>
        <v>1732.5</v>
      </c>
      <c r="O49" s="194">
        <f>O13*0.35</f>
        <v>2520</v>
      </c>
      <c r="P49" s="194">
        <v>5956.0</v>
      </c>
      <c r="Q49" s="194">
        <v>2008.0</v>
      </c>
      <c r="R49" s="194">
        <f>R13*0.4</f>
        <v>2663</v>
      </c>
      <c r="S49" s="194">
        <v>5600.0</v>
      </c>
      <c r="T49" s="194">
        <f>T13*0.25</f>
        <v>1614.375</v>
      </c>
      <c r="U49" s="194">
        <f>U13*0.4</f>
        <v>2583</v>
      </c>
      <c r="V49" s="194">
        <f>3397</f>
        <v>3397</v>
      </c>
      <c r="W49" s="194">
        <f>W13*0.3</f>
        <v>1937.25</v>
      </c>
      <c r="X49" s="137">
        <f>X$13*0.11</f>
        <v>710.325</v>
      </c>
      <c r="Y49" s="137">
        <f t="shared" ref="Y49:Z49" si="80">Y$13*0.1</f>
        <v>1205.75</v>
      </c>
      <c r="Z49" s="137">
        <f t="shared" si="80"/>
        <v>880</v>
      </c>
      <c r="AA49" s="202">
        <f>AA$13*0.33</f>
        <v>2904</v>
      </c>
      <c r="AB49" s="203">
        <f t="shared" ref="AB49:AC49" si="81">AB$13*0.2</f>
        <v>1760</v>
      </c>
      <c r="AC49" s="203">
        <f t="shared" si="81"/>
        <v>1833.333333</v>
      </c>
      <c r="AD49" s="203">
        <f>AD$13*0.25</f>
        <v>2186.666667</v>
      </c>
      <c r="AE49" s="203">
        <f>AE$13*0.7</f>
        <v>13822.66667</v>
      </c>
      <c r="AF49" s="137">
        <f>AF$13*0.25</f>
        <v>2525</v>
      </c>
      <c r="AG49" s="137">
        <f t="shared" ref="AG49:AH49" si="82">AG$13*0.15</f>
        <v>1680</v>
      </c>
      <c r="AH49" s="175">
        <f t="shared" si="82"/>
        <v>3870</v>
      </c>
      <c r="AI49" s="137">
        <f t="shared" ref="AI49:AK49" si="83">AI$13*0.18</f>
        <v>1524</v>
      </c>
      <c r="AJ49" s="137">
        <f t="shared" si="83"/>
        <v>1524</v>
      </c>
      <c r="AK49" s="137">
        <f t="shared" si="83"/>
        <v>3379.5</v>
      </c>
      <c r="AL49" s="137">
        <f>AL$13*0.05</f>
        <v>577.5</v>
      </c>
      <c r="AM49" s="137">
        <f>AM$13*0.1</f>
        <v>1155</v>
      </c>
      <c r="AN49" s="137">
        <f>AN$13*0.4</f>
        <v>8620</v>
      </c>
      <c r="AO49" s="137">
        <f>AO$13*0.1</f>
        <v>1255</v>
      </c>
      <c r="AP49" s="137">
        <f>17000</f>
        <v>17000</v>
      </c>
      <c r="AQ49" s="137">
        <f>AQ$13*0.1</f>
        <v>1155</v>
      </c>
      <c r="AR49" s="137">
        <f t="shared" ref="AR49:AS49" si="84">AR$13*0.3</f>
        <v>3465</v>
      </c>
      <c r="AS49" s="137">
        <f t="shared" si="84"/>
        <v>3465</v>
      </c>
      <c r="AT49" s="137">
        <f>AT$13*0.5</f>
        <v>8150.555</v>
      </c>
      <c r="AU49" s="137">
        <f>AU$13*0.2</f>
        <v>5550</v>
      </c>
      <c r="AV49" s="137">
        <f>AV$13*0.1</f>
        <v>1155</v>
      </c>
      <c r="AW49" s="137">
        <f>AW$13*0.1+2530</f>
        <v>3685</v>
      </c>
      <c r="AX49" s="194">
        <f>AX$13*0.1+2000</f>
        <v>3489.4</v>
      </c>
      <c r="AY49" s="137">
        <f>AY$13*0.1</f>
        <v>1435</v>
      </c>
      <c r="AZ49" s="218">
        <v>16000.0</v>
      </c>
      <c r="BA49" s="137">
        <v>-15000.0</v>
      </c>
      <c r="BB49" s="137">
        <v>-2400.0</v>
      </c>
      <c r="BC49" s="137">
        <v>-2400.0</v>
      </c>
      <c r="BD49" s="137" t="str">
        <f>sum(LIABILITIES!C26,FUNDS!C16)</f>
        <v>#REF!</v>
      </c>
      <c r="BE49" s="137">
        <v>0.0</v>
      </c>
      <c r="BF49" s="137">
        <v>0.0</v>
      </c>
      <c r="BG49" s="137">
        <v>0.0</v>
      </c>
      <c r="BH49" s="137">
        <v>0.0</v>
      </c>
      <c r="BI49" s="137">
        <v>0.0</v>
      </c>
      <c r="BJ49" s="137">
        <v>0.0</v>
      </c>
      <c r="BK49" s="137">
        <v>0.0</v>
      </c>
    </row>
    <row r="50">
      <c r="A50" s="135" t="s">
        <v>950</v>
      </c>
      <c r="B50" s="136"/>
      <c r="C50" s="137"/>
      <c r="D50" s="137"/>
      <c r="E50" s="137"/>
      <c r="F50" s="137"/>
      <c r="G50" s="137"/>
      <c r="H50" s="137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40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</row>
    <row r="51">
      <c r="A51" s="219"/>
      <c r="B51" s="220" t="s">
        <v>241</v>
      </c>
      <c r="C51" s="137"/>
      <c r="D51" s="137"/>
      <c r="E51" s="137"/>
      <c r="F51" s="137"/>
      <c r="G51" s="137"/>
      <c r="H51" s="175"/>
      <c r="I51" s="137">
        <v>0.0</v>
      </c>
      <c r="J51" s="137">
        <v>0.0</v>
      </c>
      <c r="K51" s="137">
        <f t="shared" ref="K51:L51" si="85">K13*0</f>
        <v>0</v>
      </c>
      <c r="L51" s="137">
        <f t="shared" si="85"/>
        <v>0</v>
      </c>
      <c r="M51" s="137">
        <v>0.0</v>
      </c>
      <c r="N51" s="137">
        <v>25.0</v>
      </c>
      <c r="O51" s="137">
        <v>25.0</v>
      </c>
      <c r="P51" s="137">
        <v>20.0</v>
      </c>
      <c r="Q51" s="137">
        <v>25.0</v>
      </c>
      <c r="R51" s="137">
        <v>0.0</v>
      </c>
      <c r="S51" s="137">
        <v>0.0</v>
      </c>
      <c r="T51" s="137">
        <v>0.0</v>
      </c>
      <c r="U51" s="137">
        <v>0.0</v>
      </c>
      <c r="V51" s="137">
        <v>0.0</v>
      </c>
      <c r="W51" s="137">
        <v>0.0</v>
      </c>
      <c r="X51" s="137">
        <f t="shared" ref="X51:Y51" si="86">$X$13*0.03</f>
        <v>193.725</v>
      </c>
      <c r="Y51" s="137">
        <f t="shared" si="86"/>
        <v>193.725</v>
      </c>
      <c r="Z51" s="137">
        <f t="shared" ref="Z51:Z52" si="95">$X$13*0.1</f>
        <v>645.75</v>
      </c>
      <c r="AA51" s="137">
        <f t="shared" ref="AA51:AC51" si="87">$X$13*0.03</f>
        <v>193.725</v>
      </c>
      <c r="AB51" s="137">
        <f t="shared" si="87"/>
        <v>193.725</v>
      </c>
      <c r="AC51" s="137">
        <f t="shared" si="87"/>
        <v>193.725</v>
      </c>
      <c r="AD51" s="137">
        <f t="shared" ref="AD51:AH51" si="88">$X$13*0</f>
        <v>0</v>
      </c>
      <c r="AE51" s="137">
        <f t="shared" si="88"/>
        <v>0</v>
      </c>
      <c r="AF51" s="137">
        <f t="shared" si="88"/>
        <v>0</v>
      </c>
      <c r="AG51" s="137">
        <f t="shared" si="88"/>
        <v>0</v>
      </c>
      <c r="AH51" s="175">
        <f t="shared" si="88"/>
        <v>0</v>
      </c>
      <c r="AI51" s="137">
        <f t="shared" ref="AI51:AJ51" si="89">$X$13*0.03</f>
        <v>193.725</v>
      </c>
      <c r="AJ51" s="137">
        <f t="shared" si="89"/>
        <v>193.725</v>
      </c>
      <c r="AK51" s="137">
        <f t="shared" ref="AK51:AM51" si="90">$X$13*0.032</f>
        <v>206.64</v>
      </c>
      <c r="AL51" s="137">
        <f t="shared" si="90"/>
        <v>206.64</v>
      </c>
      <c r="AM51" s="137">
        <f t="shared" si="90"/>
        <v>206.64</v>
      </c>
      <c r="AN51" s="137">
        <f t="shared" ref="AN51:AR51" si="91">$X$13*0.05</f>
        <v>322.875</v>
      </c>
      <c r="AO51" s="137">
        <f t="shared" si="91"/>
        <v>322.875</v>
      </c>
      <c r="AP51" s="137">
        <f t="shared" si="91"/>
        <v>322.875</v>
      </c>
      <c r="AQ51" s="137">
        <f t="shared" si="91"/>
        <v>322.875</v>
      </c>
      <c r="AR51" s="137">
        <f t="shared" si="91"/>
        <v>322.875</v>
      </c>
      <c r="AS51" s="137">
        <f>$X$13*0</f>
        <v>0</v>
      </c>
      <c r="AT51" s="137">
        <f t="shared" ref="AT51:AV51" si="92">$X$13*0.05</f>
        <v>322.875</v>
      </c>
      <c r="AU51" s="137">
        <f t="shared" si="92"/>
        <v>322.875</v>
      </c>
      <c r="AV51" s="137">
        <f t="shared" si="92"/>
        <v>322.875</v>
      </c>
      <c r="AW51" s="137">
        <v>0.0</v>
      </c>
      <c r="AX51" s="137">
        <v>0.0</v>
      </c>
      <c r="AY51" s="137">
        <v>0.0</v>
      </c>
      <c r="AZ51" s="137">
        <v>0.0</v>
      </c>
      <c r="BA51" s="137">
        <v>0.0</v>
      </c>
      <c r="BB51" s="137">
        <v>0.0</v>
      </c>
      <c r="BC51" s="137">
        <f t="shared" ref="BC51:BK51" si="93">-$X$13*0.1</f>
        <v>-645.75</v>
      </c>
      <c r="BD51" s="137">
        <f t="shared" si="93"/>
        <v>-645.75</v>
      </c>
      <c r="BE51" s="137">
        <f t="shared" si="93"/>
        <v>-645.75</v>
      </c>
      <c r="BF51" s="137">
        <f t="shared" si="93"/>
        <v>-645.75</v>
      </c>
      <c r="BG51" s="137">
        <f t="shared" si="93"/>
        <v>-645.75</v>
      </c>
      <c r="BH51" s="137">
        <f t="shared" si="93"/>
        <v>-645.75</v>
      </c>
      <c r="BI51" s="137">
        <f t="shared" si="93"/>
        <v>-645.75</v>
      </c>
      <c r="BJ51" s="137">
        <f t="shared" si="93"/>
        <v>-645.75</v>
      </c>
      <c r="BK51" s="137">
        <f t="shared" si="93"/>
        <v>-645.75</v>
      </c>
    </row>
    <row r="52">
      <c r="A52" s="219"/>
      <c r="B52" s="221" t="s">
        <v>242</v>
      </c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>
        <v>0.0</v>
      </c>
      <c r="S52" s="137">
        <v>500.0</v>
      </c>
      <c r="T52" s="137">
        <f>T13*0.02</f>
        <v>129.15</v>
      </c>
      <c r="U52" s="137">
        <f>U13*0.0387</f>
        <v>249.90525</v>
      </c>
      <c r="V52" s="137">
        <v>200.0</v>
      </c>
      <c r="W52" s="137">
        <v>200.0</v>
      </c>
      <c r="X52" s="137">
        <f t="shared" ref="X52:Y52" si="94">$X$13*0.04</f>
        <v>258.3</v>
      </c>
      <c r="Y52" s="137">
        <f t="shared" si="94"/>
        <v>258.3</v>
      </c>
      <c r="Z52" s="137">
        <f t="shared" si="95"/>
        <v>645.75</v>
      </c>
      <c r="AA52" s="137">
        <f>$X$13*0.047</f>
        <v>303.5025</v>
      </c>
      <c r="AB52" s="137">
        <f t="shared" ref="AB52:AC52" si="96">$X$13*0.04</f>
        <v>258.3</v>
      </c>
      <c r="AC52" s="137">
        <f t="shared" si="96"/>
        <v>258.3</v>
      </c>
      <c r="AD52" s="137">
        <f>$X$13*0.05</f>
        <v>322.875</v>
      </c>
      <c r="AE52" s="137">
        <f>$X$13*0.063</f>
        <v>406.8225</v>
      </c>
      <c r="AF52" s="137">
        <f t="shared" ref="AF52:AG52" si="97">$X$13*0.2</f>
        <v>1291.5</v>
      </c>
      <c r="AG52" s="137">
        <f t="shared" si="97"/>
        <v>1291.5</v>
      </c>
      <c r="AH52" s="175">
        <f>$X$13*0</f>
        <v>0</v>
      </c>
      <c r="AI52" s="137">
        <f t="shared" ref="AI52:AM52" si="98">$X$13*0.04</f>
        <v>258.3</v>
      </c>
      <c r="AJ52" s="137">
        <f t="shared" si="98"/>
        <v>258.3</v>
      </c>
      <c r="AK52" s="137">
        <f t="shared" si="98"/>
        <v>258.3</v>
      </c>
      <c r="AL52" s="137">
        <f t="shared" si="98"/>
        <v>258.3</v>
      </c>
      <c r="AM52" s="137">
        <f t="shared" si="98"/>
        <v>258.3</v>
      </c>
      <c r="AN52" s="137">
        <f t="shared" ref="AN52:AW52" si="99">$X$13*0.05</f>
        <v>322.875</v>
      </c>
      <c r="AO52" s="137">
        <f t="shared" si="99"/>
        <v>322.875</v>
      </c>
      <c r="AP52" s="137">
        <f t="shared" si="99"/>
        <v>322.875</v>
      </c>
      <c r="AQ52" s="137">
        <f t="shared" si="99"/>
        <v>322.875</v>
      </c>
      <c r="AR52" s="137">
        <f t="shared" si="99"/>
        <v>322.875</v>
      </c>
      <c r="AS52" s="137">
        <f t="shared" si="99"/>
        <v>322.875</v>
      </c>
      <c r="AT52" s="137">
        <f t="shared" si="99"/>
        <v>322.875</v>
      </c>
      <c r="AU52" s="137">
        <f t="shared" si="99"/>
        <v>322.875</v>
      </c>
      <c r="AV52" s="137">
        <f t="shared" si="99"/>
        <v>322.875</v>
      </c>
      <c r="AW52" s="137">
        <f t="shared" si="99"/>
        <v>322.875</v>
      </c>
      <c r="AX52" s="137">
        <f t="shared" ref="AX52:AY52" si="100">$X$13*0</f>
        <v>0</v>
      </c>
      <c r="AY52" s="137">
        <f t="shared" si="100"/>
        <v>0</v>
      </c>
      <c r="AZ52" s="137">
        <f>$X$13*0.05</f>
        <v>322.875</v>
      </c>
      <c r="BA52" s="137">
        <v>0.0</v>
      </c>
      <c r="BB52" s="137">
        <v>0.0</v>
      </c>
      <c r="BC52" s="137">
        <v>-500.0</v>
      </c>
      <c r="BD52" s="137">
        <v>-500.0</v>
      </c>
      <c r="BE52" s="137">
        <v>-500.0</v>
      </c>
      <c r="BF52" s="137">
        <v>-500.0</v>
      </c>
      <c r="BG52" s="137">
        <v>-500.0</v>
      </c>
      <c r="BH52" s="137">
        <v>-500.0</v>
      </c>
      <c r="BI52" s="137">
        <v>-500.0</v>
      </c>
      <c r="BJ52" s="137">
        <v>-500.0</v>
      </c>
      <c r="BK52" s="137">
        <v>-500.0</v>
      </c>
    </row>
    <row r="53">
      <c r="A53" s="135" t="s">
        <v>951</v>
      </c>
      <c r="B53" s="136"/>
      <c r="C53" s="137"/>
      <c r="D53" s="137"/>
      <c r="E53" s="137"/>
      <c r="F53" s="137"/>
      <c r="G53" s="137"/>
      <c r="H53" s="137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40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</row>
    <row r="54">
      <c r="A54" s="219"/>
      <c r="B54" s="223" t="s">
        <v>581</v>
      </c>
      <c r="C54" s="137"/>
      <c r="D54" s="137"/>
      <c r="E54" s="137"/>
      <c r="F54" s="137"/>
      <c r="G54" s="137"/>
      <c r="H54" s="137"/>
      <c r="I54" s="137"/>
      <c r="J54" s="137"/>
      <c r="K54" s="137">
        <v>0.0</v>
      </c>
      <c r="L54" s="137">
        <f>150+345</f>
        <v>495</v>
      </c>
      <c r="M54" s="137">
        <v>0.0</v>
      </c>
      <c r="N54" s="137">
        <v>0.0</v>
      </c>
      <c r="O54" s="137">
        <f>O13*0</f>
        <v>0</v>
      </c>
      <c r="P54" s="137">
        <v>78.0</v>
      </c>
      <c r="Q54" s="137">
        <v>0.0</v>
      </c>
      <c r="R54" s="137">
        <v>0.0</v>
      </c>
      <c r="S54" s="137">
        <v>50.0</v>
      </c>
      <c r="T54" s="137">
        <f t="shared" ref="T54:W54" si="101">$Q13*0</f>
        <v>0</v>
      </c>
      <c r="U54" s="137">
        <f t="shared" si="101"/>
        <v>0</v>
      </c>
      <c r="V54" s="137">
        <f t="shared" si="101"/>
        <v>0</v>
      </c>
      <c r="W54" s="137">
        <f t="shared" si="101"/>
        <v>0</v>
      </c>
      <c r="X54" s="137">
        <f t="shared" ref="X54:AA54" si="102">$X$13*0.01</f>
        <v>64.575</v>
      </c>
      <c r="Y54" s="137">
        <f t="shared" si="102"/>
        <v>64.575</v>
      </c>
      <c r="Z54" s="137">
        <f t="shared" si="102"/>
        <v>64.575</v>
      </c>
      <c r="AA54" s="137">
        <f t="shared" si="102"/>
        <v>64.575</v>
      </c>
      <c r="AB54" s="194">
        <f t="shared" ref="AB54:AF54" si="103">$X$13*0</f>
        <v>0</v>
      </c>
      <c r="AC54" s="137">
        <f t="shared" si="103"/>
        <v>0</v>
      </c>
      <c r="AD54" s="137">
        <f t="shared" si="103"/>
        <v>0</v>
      </c>
      <c r="AE54" s="137">
        <f t="shared" si="103"/>
        <v>0</v>
      </c>
      <c r="AF54" s="137">
        <f t="shared" si="103"/>
        <v>0</v>
      </c>
      <c r="AG54" s="224">
        <f>sum(2500,1200)</f>
        <v>3700</v>
      </c>
      <c r="AH54" s="224">
        <f>sum(2500,500,5000)</f>
        <v>8000</v>
      </c>
      <c r="AI54" s="137">
        <f>2000</f>
        <v>2000</v>
      </c>
      <c r="AJ54" s="137">
        <f t="shared" ref="AJ54:AK54" si="104">$X$13*0</f>
        <v>0</v>
      </c>
      <c r="AK54" s="137">
        <f t="shared" si="104"/>
        <v>0</v>
      </c>
      <c r="AL54" s="137">
        <f>7000</f>
        <v>7000</v>
      </c>
      <c r="AM54" s="194">
        <v>3600.0</v>
      </c>
      <c r="AN54" s="194">
        <v>3500.0</v>
      </c>
      <c r="AO54" s="137">
        <f>$X$13*0</f>
        <v>0</v>
      </c>
      <c r="AP54" s="137">
        <f>6000</f>
        <v>6000</v>
      </c>
      <c r="AQ54" s="137">
        <f>$X$13*0</f>
        <v>0</v>
      </c>
      <c r="AR54" s="137">
        <f>$X$13*1</f>
        <v>6457.5</v>
      </c>
      <c r="AS54" s="137">
        <f t="shared" ref="AS54:AT54" si="105">$X$13*0</f>
        <v>0</v>
      </c>
      <c r="AT54" s="137">
        <f t="shared" si="105"/>
        <v>0</v>
      </c>
      <c r="AU54" s="137">
        <v>10000.0</v>
      </c>
      <c r="AV54" s="137">
        <v>0.0</v>
      </c>
      <c r="AW54" s="137">
        <f>$X$13*0</f>
        <v>0</v>
      </c>
      <c r="AX54" s="137">
        <v>1000.0</v>
      </c>
      <c r="AY54" s="194">
        <v>900.0</v>
      </c>
      <c r="AZ54" s="194">
        <v>900.0</v>
      </c>
      <c r="BA54" s="137">
        <f>-sum(3509,1490,500)</f>
        <v>-5499</v>
      </c>
      <c r="BB54" s="137">
        <f t="shared" ref="BB54:BC54" si="106">-800</f>
        <v>-800</v>
      </c>
      <c r="BC54" s="137">
        <f t="shared" si="106"/>
        <v>-800</v>
      </c>
      <c r="BD54" s="137">
        <v>0.0</v>
      </c>
      <c r="BE54" s="137">
        <v>0.0</v>
      </c>
      <c r="BF54" s="137">
        <v>0.0</v>
      </c>
      <c r="BG54" s="137">
        <v>0.0</v>
      </c>
      <c r="BH54" s="137">
        <v>0.0</v>
      </c>
      <c r="BI54" s="137">
        <v>0.0</v>
      </c>
      <c r="BJ54" s="137">
        <v>0.0</v>
      </c>
      <c r="BK54" s="137">
        <v>0.0</v>
      </c>
    </row>
    <row r="55">
      <c r="A55" s="219"/>
      <c r="B55" s="223" t="s">
        <v>246</v>
      </c>
      <c r="C55" s="137"/>
      <c r="D55" s="137"/>
      <c r="E55" s="137"/>
      <c r="F55" s="137"/>
      <c r="G55" s="137"/>
      <c r="H55" s="137"/>
      <c r="I55" s="137"/>
      <c r="J55" s="137">
        <v>0.0</v>
      </c>
      <c r="K55" s="137">
        <v>0.0</v>
      </c>
      <c r="L55" s="137">
        <v>0.0</v>
      </c>
      <c r="M55" s="137">
        <f>M13*0</f>
        <v>0</v>
      </c>
      <c r="N55" s="137">
        <v>0.0</v>
      </c>
      <c r="O55" s="137">
        <f>O10*0</f>
        <v>0</v>
      </c>
      <c r="P55" s="137">
        <v>0.0</v>
      </c>
      <c r="Q55" s="137">
        <f>175+100</f>
        <v>275</v>
      </c>
      <c r="R55" s="137">
        <f>R13*0.0063</f>
        <v>41.94225</v>
      </c>
      <c r="S55" s="137">
        <v>300.0</v>
      </c>
      <c r="T55" s="137">
        <f>T13*0.02</f>
        <v>129.15</v>
      </c>
      <c r="U55" s="137">
        <v>120.0</v>
      </c>
      <c r="V55" s="137">
        <v>100.0</v>
      </c>
      <c r="W55" s="222">
        <f>sum(100,-790)</f>
        <v>-690</v>
      </c>
      <c r="X55" s="137">
        <f t="shared" ref="X55:Y55" si="107">$X$13*0.02</f>
        <v>129.15</v>
      </c>
      <c r="Y55" s="137">
        <f t="shared" si="107"/>
        <v>129.15</v>
      </c>
      <c r="Z55" s="137">
        <f>$X$13*0.05</f>
        <v>322.875</v>
      </c>
      <c r="AA55" s="137">
        <f t="shared" ref="AA55:AF55" si="108">$X$13*0.02</f>
        <v>129.15</v>
      </c>
      <c r="AB55" s="137">
        <f t="shared" si="108"/>
        <v>129.15</v>
      </c>
      <c r="AC55" s="137">
        <f t="shared" si="108"/>
        <v>129.15</v>
      </c>
      <c r="AD55" s="137">
        <f t="shared" si="108"/>
        <v>129.15</v>
      </c>
      <c r="AE55" s="137">
        <f t="shared" si="108"/>
        <v>129.15</v>
      </c>
      <c r="AF55" s="137">
        <f t="shared" si="108"/>
        <v>129.15</v>
      </c>
      <c r="AG55" s="137">
        <f t="shared" ref="AG55:AH55" si="109">$X$13*0</f>
        <v>0</v>
      </c>
      <c r="AH55" s="175">
        <f t="shared" si="109"/>
        <v>0</v>
      </c>
      <c r="AI55" s="137">
        <f t="shared" ref="AI55:AR55" si="110">$X$13*0.02</f>
        <v>129.15</v>
      </c>
      <c r="AJ55" s="137">
        <f t="shared" si="110"/>
        <v>129.15</v>
      </c>
      <c r="AK55" s="137">
        <f t="shared" si="110"/>
        <v>129.15</v>
      </c>
      <c r="AL55" s="137">
        <f t="shared" si="110"/>
        <v>129.15</v>
      </c>
      <c r="AM55" s="137">
        <f t="shared" si="110"/>
        <v>129.15</v>
      </c>
      <c r="AN55" s="137">
        <f t="shared" si="110"/>
        <v>129.15</v>
      </c>
      <c r="AO55" s="137">
        <f t="shared" si="110"/>
        <v>129.15</v>
      </c>
      <c r="AP55" s="137">
        <f t="shared" si="110"/>
        <v>129.15</v>
      </c>
      <c r="AQ55" s="137">
        <f t="shared" si="110"/>
        <v>129.15</v>
      </c>
      <c r="AR55" s="137">
        <f t="shared" si="110"/>
        <v>129.15</v>
      </c>
      <c r="AS55" s="137">
        <v>0.0</v>
      </c>
      <c r="AT55" s="137">
        <f t="shared" ref="AT55:AW55" si="111">$X$13*0.02</f>
        <v>129.15</v>
      </c>
      <c r="AU55" s="137">
        <f t="shared" si="111"/>
        <v>129.15</v>
      </c>
      <c r="AV55" s="137">
        <f t="shared" si="111"/>
        <v>129.15</v>
      </c>
      <c r="AW55" s="137">
        <f t="shared" si="111"/>
        <v>129.15</v>
      </c>
      <c r="AX55" s="137">
        <v>0.0</v>
      </c>
      <c r="AY55" s="137">
        <v>0.0</v>
      </c>
      <c r="AZ55" s="137">
        <f>$X$13*0.02</f>
        <v>129.15</v>
      </c>
      <c r="BA55" s="137">
        <v>-400.0</v>
      </c>
      <c r="BB55" s="137">
        <v>-400.0</v>
      </c>
      <c r="BC55" s="137">
        <v>-400.0</v>
      </c>
      <c r="BD55" s="137">
        <v>-400.0</v>
      </c>
      <c r="BE55" s="137">
        <v>-400.0</v>
      </c>
      <c r="BF55" s="137">
        <v>-400.0</v>
      </c>
      <c r="BG55" s="137">
        <v>-400.0</v>
      </c>
      <c r="BH55" s="137">
        <v>-400.0</v>
      </c>
      <c r="BI55" s="137">
        <v>-400.0</v>
      </c>
      <c r="BJ55" s="137">
        <v>-400.0</v>
      </c>
      <c r="BK55" s="137">
        <v>-400.0</v>
      </c>
    </row>
    <row r="56">
      <c r="A56" s="219"/>
      <c r="B56" s="223" t="s">
        <v>247</v>
      </c>
      <c r="C56" s="137"/>
      <c r="D56" s="137"/>
      <c r="E56" s="137"/>
      <c r="F56" s="137"/>
      <c r="G56" s="137"/>
      <c r="H56" s="137"/>
      <c r="I56" s="137"/>
      <c r="J56" s="137">
        <v>0.0</v>
      </c>
      <c r="K56" s="137">
        <v>0.0</v>
      </c>
      <c r="L56" s="137">
        <v>0.0</v>
      </c>
      <c r="M56" s="137">
        <v>0.0</v>
      </c>
      <c r="N56" s="137">
        <v>0.0</v>
      </c>
      <c r="O56" s="137">
        <f>O13*0</f>
        <v>0</v>
      </c>
      <c r="P56" s="137">
        <v>500.0</v>
      </c>
      <c r="Q56" s="137">
        <f>25+100+100+450</f>
        <v>675</v>
      </c>
      <c r="R56" s="137">
        <f>R13*0.065</f>
        <v>432.7375</v>
      </c>
      <c r="S56" s="137">
        <v>225.0</v>
      </c>
      <c r="T56" s="137">
        <f>T13*0.02</f>
        <v>129.15</v>
      </c>
      <c r="U56" s="137">
        <v>0.0</v>
      </c>
      <c r="V56" s="137">
        <v>200.0</v>
      </c>
      <c r="W56" s="137">
        <v>100.0</v>
      </c>
      <c r="X56" s="137">
        <f t="shared" ref="X56:Y56" si="112">$X$13*0.06</f>
        <v>387.45</v>
      </c>
      <c r="Y56" s="137">
        <f t="shared" si="112"/>
        <v>387.45</v>
      </c>
      <c r="Z56" s="137">
        <f>$X$13*0.1</f>
        <v>645.75</v>
      </c>
      <c r="AA56" s="194">
        <f>AA13*0.1</f>
        <v>880</v>
      </c>
      <c r="AB56" s="137">
        <f>$X$13*0.07</f>
        <v>452.025</v>
      </c>
      <c r="AC56" s="137">
        <f>$X$13*0.06</f>
        <v>387.45</v>
      </c>
      <c r="AD56" s="137">
        <f>$X$13*0.08</f>
        <v>516.6</v>
      </c>
      <c r="AE56" s="137">
        <f t="shared" ref="AE56:AF56" si="113">$X$13*0.06</f>
        <v>387.45</v>
      </c>
      <c r="AF56" s="137">
        <f t="shared" si="113"/>
        <v>387.45</v>
      </c>
      <c r="AG56" s="137">
        <f t="shared" ref="AG56:AH56" si="114">$X$13*0</f>
        <v>0</v>
      </c>
      <c r="AH56" s="175">
        <f t="shared" si="114"/>
        <v>0</v>
      </c>
      <c r="AI56" s="137">
        <f t="shared" ref="AI56:AO56" si="115">$X$13*0.078</f>
        <v>503.685</v>
      </c>
      <c r="AJ56" s="137">
        <f t="shared" si="115"/>
        <v>503.685</v>
      </c>
      <c r="AK56" s="137">
        <f t="shared" si="115"/>
        <v>503.685</v>
      </c>
      <c r="AL56" s="137">
        <f t="shared" si="115"/>
        <v>503.685</v>
      </c>
      <c r="AM56" s="137">
        <f t="shared" si="115"/>
        <v>503.685</v>
      </c>
      <c r="AN56" s="137">
        <f t="shared" si="115"/>
        <v>503.685</v>
      </c>
      <c r="AO56" s="137">
        <f t="shared" si="115"/>
        <v>503.685</v>
      </c>
      <c r="AP56" s="137">
        <f>$X$13*0.5</f>
        <v>3228.75</v>
      </c>
      <c r="AQ56" s="137">
        <f t="shared" ref="AQ56:AW56" si="116">$X$13*0.078</f>
        <v>503.685</v>
      </c>
      <c r="AR56" s="137">
        <f t="shared" si="116"/>
        <v>503.685</v>
      </c>
      <c r="AS56" s="137">
        <f t="shared" si="116"/>
        <v>503.685</v>
      </c>
      <c r="AT56" s="137">
        <f t="shared" si="116"/>
        <v>503.685</v>
      </c>
      <c r="AU56" s="137">
        <f t="shared" si="116"/>
        <v>503.685</v>
      </c>
      <c r="AV56" s="137">
        <f t="shared" si="116"/>
        <v>503.685</v>
      </c>
      <c r="AW56" s="137">
        <f t="shared" si="116"/>
        <v>503.685</v>
      </c>
      <c r="AX56" s="137">
        <v>0.0</v>
      </c>
      <c r="AY56" s="137">
        <v>0.0</v>
      </c>
      <c r="AZ56" s="137">
        <f>$X$13*0.078</f>
        <v>503.685</v>
      </c>
      <c r="BA56" s="137">
        <v>-500.0</v>
      </c>
      <c r="BB56" s="137">
        <v>-500.0</v>
      </c>
      <c r="BC56" s="137">
        <v>-500.0</v>
      </c>
      <c r="BD56" s="137">
        <v>-500.0</v>
      </c>
      <c r="BE56" s="137">
        <v>-500.0</v>
      </c>
      <c r="BF56" s="137">
        <v>-500.0</v>
      </c>
      <c r="BG56" s="137">
        <v>-500.0</v>
      </c>
      <c r="BH56" s="137">
        <v>-500.0</v>
      </c>
      <c r="BI56" s="137">
        <v>-500.0</v>
      </c>
      <c r="BJ56" s="137">
        <v>-500.0</v>
      </c>
      <c r="BK56" s="137">
        <v>-500.0</v>
      </c>
    </row>
    <row r="57">
      <c r="A57" s="228"/>
      <c r="B57" s="696" t="s">
        <v>248</v>
      </c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>
        <f t="shared" ref="M57:N57" si="117">M4*0.03</f>
        <v>300</v>
      </c>
      <c r="N57" s="222">
        <f t="shared" si="117"/>
        <v>300</v>
      </c>
      <c r="O57" s="222">
        <f t="shared" ref="O57:BB57" si="118">O12</f>
        <v>400</v>
      </c>
      <c r="P57" s="222">
        <f t="shared" si="118"/>
        <v>400</v>
      </c>
      <c r="Q57" s="222">
        <f t="shared" si="118"/>
        <v>307.5</v>
      </c>
      <c r="R57" s="222">
        <f t="shared" si="118"/>
        <v>307.5</v>
      </c>
      <c r="S57" s="222">
        <f t="shared" si="118"/>
        <v>307.5</v>
      </c>
      <c r="T57" s="222">
        <f t="shared" si="118"/>
        <v>307.5</v>
      </c>
      <c r="U57" s="222">
        <f t="shared" si="118"/>
        <v>307.5</v>
      </c>
      <c r="V57" s="222">
        <f t="shared" si="118"/>
        <v>307.5</v>
      </c>
      <c r="W57" s="222">
        <f t="shared" si="118"/>
        <v>307.5</v>
      </c>
      <c r="X57" s="222">
        <f t="shared" si="118"/>
        <v>307.5</v>
      </c>
      <c r="Y57" s="222">
        <f t="shared" si="118"/>
        <v>307.5</v>
      </c>
      <c r="Z57" s="222">
        <f t="shared" si="118"/>
        <v>0</v>
      </c>
      <c r="AA57" s="222">
        <f t="shared" si="118"/>
        <v>0</v>
      </c>
      <c r="AB57" s="222">
        <f t="shared" si="118"/>
        <v>0</v>
      </c>
      <c r="AC57" s="222">
        <f t="shared" si="118"/>
        <v>333.3333333</v>
      </c>
      <c r="AD57" s="222">
        <f t="shared" si="118"/>
        <v>53.33333333</v>
      </c>
      <c r="AE57" s="222">
        <f t="shared" si="118"/>
        <v>53.33333333</v>
      </c>
      <c r="AF57" s="222">
        <f t="shared" si="118"/>
        <v>0</v>
      </c>
      <c r="AG57" s="222">
        <f t="shared" si="118"/>
        <v>0</v>
      </c>
      <c r="AH57" s="230">
        <f t="shared" si="118"/>
        <v>0</v>
      </c>
      <c r="AI57" s="222">
        <f t="shared" si="118"/>
        <v>333.3333333</v>
      </c>
      <c r="AJ57" s="222">
        <f t="shared" si="118"/>
        <v>333.3333333</v>
      </c>
      <c r="AK57" s="222">
        <f t="shared" si="118"/>
        <v>0</v>
      </c>
      <c r="AL57" s="222">
        <f t="shared" si="118"/>
        <v>0</v>
      </c>
      <c r="AM57" s="222">
        <f t="shared" si="118"/>
        <v>0</v>
      </c>
      <c r="AN57" s="222">
        <f t="shared" si="118"/>
        <v>0</v>
      </c>
      <c r="AO57" s="222">
        <f t="shared" si="118"/>
        <v>0</v>
      </c>
      <c r="AP57" s="222">
        <f t="shared" si="118"/>
        <v>0</v>
      </c>
      <c r="AQ57" s="222">
        <f t="shared" si="118"/>
        <v>0</v>
      </c>
      <c r="AR57" s="222">
        <f t="shared" si="118"/>
        <v>0</v>
      </c>
      <c r="AS57" s="222">
        <f t="shared" si="118"/>
        <v>0</v>
      </c>
      <c r="AT57" s="222">
        <f t="shared" si="118"/>
        <v>0</v>
      </c>
      <c r="AU57" s="222">
        <f t="shared" si="118"/>
        <v>0</v>
      </c>
      <c r="AV57" s="222">
        <f t="shared" si="118"/>
        <v>0</v>
      </c>
      <c r="AW57" s="222">
        <f t="shared" si="118"/>
        <v>0</v>
      </c>
      <c r="AX57" s="222">
        <f t="shared" si="118"/>
        <v>0</v>
      </c>
      <c r="AY57" s="222">
        <f t="shared" si="118"/>
        <v>0</v>
      </c>
      <c r="AZ57" s="222">
        <f t="shared" si="118"/>
        <v>0</v>
      </c>
      <c r="BA57" s="137">
        <f t="shared" si="118"/>
        <v>0</v>
      </c>
      <c r="BB57" s="137">
        <f t="shared" si="118"/>
        <v>0</v>
      </c>
      <c r="BC57" s="137">
        <f t="shared" ref="BC57:BK57" si="119">-500</f>
        <v>-500</v>
      </c>
      <c r="BD57" s="137">
        <f t="shared" si="119"/>
        <v>-500</v>
      </c>
      <c r="BE57" s="137">
        <f t="shared" si="119"/>
        <v>-500</v>
      </c>
      <c r="BF57" s="137">
        <f t="shared" si="119"/>
        <v>-500</v>
      </c>
      <c r="BG57" s="137">
        <f t="shared" si="119"/>
        <v>-500</v>
      </c>
      <c r="BH57" s="137">
        <f t="shared" si="119"/>
        <v>-500</v>
      </c>
      <c r="BI57" s="137">
        <f t="shared" si="119"/>
        <v>-500</v>
      </c>
      <c r="BJ57" s="137">
        <f t="shared" si="119"/>
        <v>-500</v>
      </c>
      <c r="BK57" s="137">
        <f t="shared" si="119"/>
        <v>-500</v>
      </c>
    </row>
    <row r="58">
      <c r="A58" s="171" t="s">
        <v>952</v>
      </c>
      <c r="B58" s="176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75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</row>
    <row r="59">
      <c r="A59" s="199"/>
      <c r="B59" s="137" t="s">
        <v>251</v>
      </c>
      <c r="C59" s="137"/>
      <c r="D59" s="137"/>
      <c r="E59" s="137"/>
      <c r="F59" s="137"/>
      <c r="G59" s="137"/>
      <c r="H59" s="175"/>
      <c r="I59" s="137">
        <v>0.0</v>
      </c>
      <c r="J59" s="137">
        <v>0.0</v>
      </c>
      <c r="K59" s="137">
        <f t="shared" ref="K59:L59" si="120">K14*0</f>
        <v>0</v>
      </c>
      <c r="L59" s="137">
        <f t="shared" si="120"/>
        <v>0</v>
      </c>
      <c r="M59" s="137">
        <v>0.0</v>
      </c>
      <c r="N59" s="137">
        <v>0.0</v>
      </c>
      <c r="O59" s="137">
        <f>O13*0.01</f>
        <v>72</v>
      </c>
      <c r="P59" s="137">
        <v>0.0</v>
      </c>
      <c r="Q59" s="137">
        <f>70+20+20</f>
        <v>110</v>
      </c>
      <c r="R59" s="137">
        <v>0.0</v>
      </c>
      <c r="S59" s="137">
        <v>0.0</v>
      </c>
      <c r="T59" s="137">
        <v>125.0</v>
      </c>
      <c r="U59" s="137">
        <v>0.0</v>
      </c>
      <c r="V59" s="137">
        <f t="shared" ref="V59:W59" si="121">V13*0.01</f>
        <v>67.575</v>
      </c>
      <c r="W59" s="137">
        <f t="shared" si="121"/>
        <v>64.575</v>
      </c>
      <c r="X59" s="137">
        <f t="shared" ref="X59:Z59" si="122">X13*0.02</f>
        <v>129.15</v>
      </c>
      <c r="Y59" s="137">
        <f t="shared" si="122"/>
        <v>241.15</v>
      </c>
      <c r="Z59" s="137">
        <f t="shared" si="122"/>
        <v>176</v>
      </c>
      <c r="AA59" s="137">
        <f>AA13*0</f>
        <v>0</v>
      </c>
      <c r="AB59" s="137">
        <f>AB13*0.02</f>
        <v>176</v>
      </c>
      <c r="AC59" s="137">
        <f t="shared" ref="AC59:AE59" si="123">AC13*0.01</f>
        <v>91.66666667</v>
      </c>
      <c r="AD59" s="137">
        <f t="shared" si="123"/>
        <v>87.46666667</v>
      </c>
      <c r="AE59" s="137">
        <f t="shared" si="123"/>
        <v>197.4666667</v>
      </c>
      <c r="AF59" s="137">
        <f t="shared" ref="AF59:AH59" si="124">AF13*0</f>
        <v>0</v>
      </c>
      <c r="AG59" s="137">
        <f t="shared" si="124"/>
        <v>0</v>
      </c>
      <c r="AH59" s="175">
        <f t="shared" si="124"/>
        <v>0</v>
      </c>
      <c r="AI59" s="137">
        <f t="shared" ref="AI59:AN59" si="125">AI13*0.01</f>
        <v>84.66666667</v>
      </c>
      <c r="AJ59" s="137">
        <f t="shared" si="125"/>
        <v>84.66666667</v>
      </c>
      <c r="AK59" s="137">
        <f t="shared" si="125"/>
        <v>187.75</v>
      </c>
      <c r="AL59" s="137">
        <f t="shared" si="125"/>
        <v>115.5</v>
      </c>
      <c r="AM59" s="137">
        <f t="shared" si="125"/>
        <v>115.5</v>
      </c>
      <c r="AN59" s="137">
        <f t="shared" si="125"/>
        <v>215.5</v>
      </c>
      <c r="AO59" s="137">
        <f>AO13*0</f>
        <v>0</v>
      </c>
      <c r="AP59" s="137">
        <f>1000</f>
        <v>1000</v>
      </c>
      <c r="AQ59" s="137">
        <f t="shared" ref="AQ59:AR59" si="126">AQ13*0.01</f>
        <v>115.5</v>
      </c>
      <c r="AR59" s="137">
        <f t="shared" si="126"/>
        <v>115.5</v>
      </c>
      <c r="AS59" s="137">
        <v>400.0</v>
      </c>
      <c r="AT59" s="137">
        <v>0.0</v>
      </c>
      <c r="AU59" s="137">
        <f t="shared" ref="AU59:AX59" si="127">AU13*0.01</f>
        <v>277.5</v>
      </c>
      <c r="AV59" s="137">
        <f t="shared" si="127"/>
        <v>115.5</v>
      </c>
      <c r="AW59" s="137">
        <f t="shared" si="127"/>
        <v>115.5</v>
      </c>
      <c r="AX59" s="137">
        <f t="shared" si="127"/>
        <v>148.94</v>
      </c>
      <c r="AY59" s="137">
        <f t="shared" ref="AY59:BA59" si="128">AY13*0</f>
        <v>0</v>
      </c>
      <c r="AZ59" s="137">
        <f t="shared" si="128"/>
        <v>0</v>
      </c>
      <c r="BA59" s="137">
        <f t="shared" si="128"/>
        <v>0</v>
      </c>
      <c r="BB59" s="137">
        <f t="shared" ref="BB59:BK59" si="129">-100</f>
        <v>-100</v>
      </c>
      <c r="BC59" s="137">
        <f t="shared" si="129"/>
        <v>-100</v>
      </c>
      <c r="BD59" s="137">
        <f t="shared" si="129"/>
        <v>-100</v>
      </c>
      <c r="BE59" s="137">
        <f t="shared" si="129"/>
        <v>-100</v>
      </c>
      <c r="BF59" s="137">
        <f t="shared" si="129"/>
        <v>-100</v>
      </c>
      <c r="BG59" s="137">
        <f t="shared" si="129"/>
        <v>-100</v>
      </c>
      <c r="BH59" s="137">
        <f t="shared" si="129"/>
        <v>-100</v>
      </c>
      <c r="BI59" s="137">
        <f t="shared" si="129"/>
        <v>-100</v>
      </c>
      <c r="BJ59" s="137">
        <f t="shared" si="129"/>
        <v>-100</v>
      </c>
      <c r="BK59" s="137">
        <f t="shared" si="129"/>
        <v>-100</v>
      </c>
    </row>
    <row r="60">
      <c r="A60" s="234" t="s">
        <v>252</v>
      </c>
      <c r="B60" s="235"/>
      <c r="C60" s="236" t="str">
        <f>C13-C45-#REF!-C49+'BUDGET 2018 (Archive)'!O35</f>
        <v>#REF!</v>
      </c>
      <c r="D60" s="236" t="str">
        <f>D13-D45-#REF!-D49+'BUDGET 2018 (Archive)'!P35</f>
        <v>#REF!</v>
      </c>
      <c r="E60" s="236" t="str">
        <f>E13-E45-#REF!-E49+'BUDGET 2018 (Archive)'!Q35</f>
        <v>#REF!</v>
      </c>
      <c r="F60" s="236" t="str">
        <f>F13-F45-#REF!-F49+'BUDGET 2018 (Archive)'!R35</f>
        <v>#REF!</v>
      </c>
      <c r="G60" s="236" t="str">
        <f>G13-G45-#REF!-G49+'BUDGET 2018 (Archive)'!S35</f>
        <v>#REF!</v>
      </c>
      <c r="H60" s="237" t="str">
        <f>H13-H45-#REF!-H49+'BUDGET 2018 (Archive)'!T35</f>
        <v>#REF!</v>
      </c>
      <c r="I60" s="236" t="str">
        <f>H60+I13-I45-#REF!-#REF!-I49</f>
        <v>#REF!</v>
      </c>
      <c r="J60" s="236">
        <f t="shared" ref="J60:L60" si="130">sum(J49:J59)</f>
        <v>3200</v>
      </c>
      <c r="K60" s="236">
        <f t="shared" si="130"/>
        <v>1000</v>
      </c>
      <c r="L60" s="236">
        <f t="shared" si="130"/>
        <v>1495</v>
      </c>
      <c r="M60" s="236">
        <f t="shared" ref="M60:O60" si="131">sum(M49:M56)+M59</f>
        <v>0</v>
      </c>
      <c r="N60" s="236">
        <f t="shared" si="131"/>
        <v>1757.5</v>
      </c>
      <c r="O60" s="236">
        <f t="shared" si="131"/>
        <v>2617</v>
      </c>
      <c r="P60" s="236">
        <f>sum(P49:P59)</f>
        <v>6954</v>
      </c>
      <c r="Q60" s="236">
        <f t="shared" ref="Q60:W60" si="132">sum(Q49:Q56)+Q59</f>
        <v>3093</v>
      </c>
      <c r="R60" s="236">
        <f t="shared" si="132"/>
        <v>3137.67975</v>
      </c>
      <c r="S60" s="236">
        <f t="shared" si="132"/>
        <v>6675</v>
      </c>
      <c r="T60" s="236">
        <f t="shared" si="132"/>
        <v>2126.825</v>
      </c>
      <c r="U60" s="236">
        <f t="shared" si="132"/>
        <v>2952.90525</v>
      </c>
      <c r="V60" s="236">
        <f t="shared" si="132"/>
        <v>3964.575</v>
      </c>
      <c r="W60" s="236">
        <f t="shared" si="132"/>
        <v>1611.825</v>
      </c>
      <c r="X60" s="236">
        <f t="shared" ref="X60:AO60" si="133">sum(X49:X57)</f>
        <v>2051.025</v>
      </c>
      <c r="Y60" s="236">
        <f t="shared" si="133"/>
        <v>2546.45</v>
      </c>
      <c r="Z60" s="236">
        <f t="shared" si="133"/>
        <v>3204.7</v>
      </c>
      <c r="AA60" s="236">
        <f t="shared" si="133"/>
        <v>4474.9525</v>
      </c>
      <c r="AB60" s="236">
        <f t="shared" si="133"/>
        <v>2793.2</v>
      </c>
      <c r="AC60" s="236">
        <f t="shared" si="133"/>
        <v>3135.291667</v>
      </c>
      <c r="AD60" s="236">
        <f t="shared" si="133"/>
        <v>3208.625</v>
      </c>
      <c r="AE60" s="236">
        <f t="shared" si="133"/>
        <v>14799.4225</v>
      </c>
      <c r="AF60" s="236">
        <f t="shared" si="133"/>
        <v>4333.1</v>
      </c>
      <c r="AG60" s="236">
        <f t="shared" si="133"/>
        <v>6671.5</v>
      </c>
      <c r="AH60" s="237">
        <f t="shared" si="133"/>
        <v>11870</v>
      </c>
      <c r="AI60" s="236">
        <f t="shared" si="133"/>
        <v>4942.193333</v>
      </c>
      <c r="AJ60" s="236">
        <f t="shared" si="133"/>
        <v>2942.193333</v>
      </c>
      <c r="AK60" s="236">
        <f t="shared" si="133"/>
        <v>4477.275</v>
      </c>
      <c r="AL60" s="236">
        <f t="shared" si="133"/>
        <v>8675.275</v>
      </c>
      <c r="AM60" s="236">
        <f t="shared" si="133"/>
        <v>5852.775</v>
      </c>
      <c r="AN60" s="236">
        <f t="shared" si="133"/>
        <v>13398.585</v>
      </c>
      <c r="AO60" s="236">
        <f t="shared" si="133"/>
        <v>2533.585</v>
      </c>
      <c r="AP60" s="236">
        <f>sum(AP49:AP59)</f>
        <v>28003.65</v>
      </c>
      <c r="AQ60" s="236">
        <f t="shared" ref="AQ60:AZ60" si="134">sum(AQ49:AQ57)</f>
        <v>2433.585</v>
      </c>
      <c r="AR60" s="236">
        <f t="shared" si="134"/>
        <v>11201.085</v>
      </c>
      <c r="AS60" s="236">
        <f t="shared" si="134"/>
        <v>4291.56</v>
      </c>
      <c r="AT60" s="236">
        <f t="shared" si="134"/>
        <v>9429.14</v>
      </c>
      <c r="AU60" s="236">
        <f t="shared" si="134"/>
        <v>16828.585</v>
      </c>
      <c r="AV60" s="236">
        <f t="shared" si="134"/>
        <v>2433.585</v>
      </c>
      <c r="AW60" s="236">
        <f t="shared" si="134"/>
        <v>4640.71</v>
      </c>
      <c r="AX60" s="236">
        <f t="shared" si="134"/>
        <v>4489.4</v>
      </c>
      <c r="AY60" s="236">
        <f t="shared" si="134"/>
        <v>2335</v>
      </c>
      <c r="AZ60" s="236">
        <f t="shared" si="134"/>
        <v>17855.71</v>
      </c>
      <c r="BA60" s="238">
        <f t="shared" ref="BA60:BK60" si="135">sum(BA49:BA59)</f>
        <v>-21399</v>
      </c>
      <c r="BB60" s="238">
        <f t="shared" si="135"/>
        <v>-4200</v>
      </c>
      <c r="BC60" s="238">
        <f t="shared" si="135"/>
        <v>-5845.75</v>
      </c>
      <c r="BD60" s="238" t="str">
        <f t="shared" si="135"/>
        <v>#REF!</v>
      </c>
      <c r="BE60" s="238">
        <f t="shared" si="135"/>
        <v>-2645.75</v>
      </c>
      <c r="BF60" s="238">
        <f t="shared" si="135"/>
        <v>-2645.75</v>
      </c>
      <c r="BG60" s="238">
        <f t="shared" si="135"/>
        <v>-2645.75</v>
      </c>
      <c r="BH60" s="238">
        <f t="shared" si="135"/>
        <v>-2645.75</v>
      </c>
      <c r="BI60" s="238">
        <f t="shared" si="135"/>
        <v>-2645.75</v>
      </c>
      <c r="BJ60" s="238">
        <f t="shared" si="135"/>
        <v>-2645.75</v>
      </c>
      <c r="BK60" s="238">
        <f t="shared" si="135"/>
        <v>-2645.75</v>
      </c>
    </row>
    <row r="61">
      <c r="A61" s="240"/>
      <c r="B61" s="241"/>
      <c r="C61" s="177"/>
      <c r="D61" s="177"/>
      <c r="E61" s="177"/>
      <c r="F61" s="177"/>
      <c r="G61" s="177"/>
      <c r="H61" s="178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8"/>
      <c r="AI61" s="177"/>
      <c r="AJ61" s="177"/>
      <c r="AK61" s="177"/>
      <c r="AL61" s="177"/>
      <c r="AM61" s="177"/>
      <c r="AN61" s="177"/>
      <c r="AO61" s="177"/>
      <c r="AP61" s="177"/>
      <c r="AQ61" s="177"/>
      <c r="AR61" s="177"/>
      <c r="AS61" s="177"/>
      <c r="AT61" s="177"/>
      <c r="AU61" s="177"/>
      <c r="AV61" s="177"/>
      <c r="AW61" s="177"/>
      <c r="AX61" s="177"/>
      <c r="AY61" s="177"/>
      <c r="AZ61" s="177"/>
      <c r="BA61" s="177"/>
      <c r="BB61" s="177"/>
      <c r="BC61" s="177"/>
      <c r="BD61" s="177"/>
      <c r="BE61" s="177"/>
      <c r="BF61" s="177"/>
      <c r="BG61" s="177"/>
      <c r="BH61" s="177"/>
      <c r="BI61" s="177"/>
      <c r="BJ61" s="177"/>
      <c r="BK61" s="177"/>
    </row>
    <row r="62">
      <c r="A62" s="243"/>
      <c r="B62" s="244"/>
      <c r="C62" s="245"/>
      <c r="D62" s="245"/>
      <c r="E62" s="245"/>
      <c r="F62" s="245"/>
      <c r="G62" s="245"/>
      <c r="H62" s="246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  <c r="AH62" s="246"/>
      <c r="AI62" s="245"/>
      <c r="AJ62" s="245"/>
      <c r="AK62" s="245"/>
      <c r="AL62" s="245"/>
      <c r="AM62" s="245"/>
      <c r="AN62" s="245"/>
      <c r="AO62" s="245"/>
      <c r="AP62" s="245"/>
      <c r="AQ62" s="245"/>
      <c r="AR62" s="245"/>
      <c r="AS62" s="245"/>
      <c r="AT62" s="245"/>
      <c r="AU62" s="245"/>
      <c r="AV62" s="245"/>
      <c r="AW62" s="245"/>
      <c r="AX62" s="245"/>
      <c r="AY62" s="245"/>
      <c r="AZ62" s="245"/>
      <c r="BA62" s="245"/>
      <c r="BB62" s="245"/>
      <c r="BC62" s="245"/>
      <c r="BD62" s="245"/>
      <c r="BE62" s="245"/>
      <c r="BF62" s="245"/>
      <c r="BG62" s="245"/>
      <c r="BH62" s="245"/>
      <c r="BI62" s="245"/>
      <c r="BJ62" s="245"/>
      <c r="BK62" s="245"/>
    </row>
    <row r="63">
      <c r="A63" s="249" t="s">
        <v>253</v>
      </c>
      <c r="B63" s="250"/>
      <c r="C63" s="177"/>
      <c r="D63" s="177"/>
      <c r="E63" s="177"/>
      <c r="F63" s="177"/>
      <c r="G63" s="177"/>
      <c r="H63" s="178"/>
      <c r="I63" s="177"/>
      <c r="J63" s="177" t="str">
        <f t="shared" ref="J63:K63" si="136">J13-#REF!-J45-J60</f>
        <v>#REF!</v>
      </c>
      <c r="K63" s="177" t="str">
        <f t="shared" si="136"/>
        <v>#REF!</v>
      </c>
      <c r="L63" s="177" t="str">
        <f t="shared" ref="L63:M63" si="137">L13-#REF!-L45-L60+K63</f>
        <v>#REF!</v>
      </c>
      <c r="M63" s="177" t="str">
        <f t="shared" si="137"/>
        <v>#REF!</v>
      </c>
      <c r="N63" s="177">
        <f>N13-N45-N60</f>
        <v>2020.5</v>
      </c>
      <c r="O63" s="177">
        <f>N63+O13-O45-O60</f>
        <v>4252.5</v>
      </c>
      <c r="P63" s="177">
        <f>P13-P45-P60+P57</f>
        <v>297.0622682</v>
      </c>
      <c r="Q63" s="177">
        <f t="shared" ref="Q63:R63" si="138">Q13-Q45-Q60+Q57+P63</f>
        <v>575.2805322</v>
      </c>
      <c r="R63" s="177">
        <f t="shared" si="138"/>
        <v>608.5017101</v>
      </c>
      <c r="S63" s="177">
        <f>S13-S45-S60+S57+100</f>
        <v>513.050056</v>
      </c>
      <c r="T63" s="177">
        <f t="shared" ref="T63:W63" si="139">T13-T45-T60+T57+S63</f>
        <v>-1066.895358</v>
      </c>
      <c r="U63" s="177">
        <f t="shared" si="139"/>
        <v>890.1095741</v>
      </c>
      <c r="V63" s="177">
        <f t="shared" si="139"/>
        <v>-739.754882</v>
      </c>
      <c r="W63" s="177">
        <f t="shared" si="139"/>
        <v>1252.163362</v>
      </c>
      <c r="X63" s="177">
        <f>X13-X45-X60+X57</f>
        <v>-1951.510327</v>
      </c>
      <c r="Y63" s="177">
        <f t="shared" ref="Y63:AH63" si="140">Y13-Y45-Y60+Y57+X63</f>
        <v>2803.564673</v>
      </c>
      <c r="Z63" s="177">
        <f t="shared" si="140"/>
        <v>1629.214673</v>
      </c>
      <c r="AA63" s="177">
        <f t="shared" si="140"/>
        <v>-869.7278271</v>
      </c>
      <c r="AB63" s="177">
        <f t="shared" si="140"/>
        <v>179.5071729</v>
      </c>
      <c r="AC63" s="177">
        <f t="shared" si="140"/>
        <v>385.6505062</v>
      </c>
      <c r="AD63" s="177">
        <f t="shared" si="140"/>
        <v>1618.460506</v>
      </c>
      <c r="AE63" s="177">
        <f t="shared" si="140"/>
        <v>1760.473006</v>
      </c>
      <c r="AF63" s="177">
        <f t="shared" si="140"/>
        <v>3168.808006</v>
      </c>
      <c r="AG63" s="177">
        <f t="shared" si="140"/>
        <v>3338.743006</v>
      </c>
      <c r="AH63" s="178">
        <f t="shared" si="140"/>
        <v>6756.653006</v>
      </c>
      <c r="AI63" s="177">
        <f>AI13-AI45-AI60+AI57+AG63</f>
        <v>1457.459673</v>
      </c>
      <c r="AJ63" s="177">
        <f t="shared" ref="AJ63:AK63" si="141">AJ13-AJ45-AJ60+AJ57</f>
        <v>318.7166667</v>
      </c>
      <c r="AK63" s="177">
        <f t="shared" si="141"/>
        <v>8470.725</v>
      </c>
      <c r="AL63" s="177">
        <f t="shared" ref="AL63:AU63" si="142">AL13-AL45-AL60+AL57+AK63</f>
        <v>1168.45</v>
      </c>
      <c r="AM63" s="177">
        <f t="shared" si="142"/>
        <v>501.675</v>
      </c>
      <c r="AN63" s="177">
        <f t="shared" si="142"/>
        <v>2289.09</v>
      </c>
      <c r="AO63" s="177">
        <f t="shared" si="142"/>
        <v>5941.505</v>
      </c>
      <c r="AP63" s="177">
        <f t="shared" si="142"/>
        <v>2198.855</v>
      </c>
      <c r="AQ63" s="177">
        <f t="shared" si="142"/>
        <v>4926.27</v>
      </c>
      <c r="AR63" s="177">
        <f t="shared" si="142"/>
        <v>-1113.815</v>
      </c>
      <c r="AS63" s="177">
        <f t="shared" si="142"/>
        <v>-272.375</v>
      </c>
      <c r="AT63" s="177">
        <f t="shared" si="142"/>
        <v>210.595</v>
      </c>
      <c r="AU63" s="177">
        <f t="shared" si="142"/>
        <v>4643.01</v>
      </c>
      <c r="AV63" s="177">
        <f>0</f>
        <v>0</v>
      </c>
      <c r="AW63" s="177">
        <f t="shared" ref="AW63:AY63" si="143">AW13-AW45-AW60+AW57</f>
        <v>0.29</v>
      </c>
      <c r="AX63" s="177">
        <f t="shared" si="143"/>
        <v>2995.6</v>
      </c>
      <c r="AY63" s="177">
        <f t="shared" si="143"/>
        <v>5106</v>
      </c>
      <c r="AZ63" s="177">
        <f>AZ13-AZ45-AZ60+AZ57+AY63</f>
        <v>6566.29</v>
      </c>
      <c r="BA63" s="177">
        <f>sum(BA13,BA45,BA60)</f>
        <v>2484</v>
      </c>
      <c r="BB63" s="177">
        <f t="shared" ref="BB63:BK63" si="144">sum(BB13,BB45,BB60,BA63)</f>
        <v>2167</v>
      </c>
      <c r="BC63" s="177">
        <f t="shared" si="144"/>
        <v>-1495.75</v>
      </c>
      <c r="BD63" s="177" t="str">
        <f t="shared" si="144"/>
        <v>#REF!</v>
      </c>
      <c r="BE63" s="177" t="str">
        <f t="shared" si="144"/>
        <v>#REF!</v>
      </c>
      <c r="BF63" s="177" t="str">
        <f t="shared" si="144"/>
        <v>#REF!</v>
      </c>
      <c r="BG63" s="177" t="str">
        <f t="shared" si="144"/>
        <v>#REF!</v>
      </c>
      <c r="BH63" s="177" t="str">
        <f t="shared" si="144"/>
        <v>#REF!</v>
      </c>
      <c r="BI63" s="177" t="str">
        <f t="shared" si="144"/>
        <v>#REF!</v>
      </c>
      <c r="BJ63" s="177" t="str">
        <f t="shared" si="144"/>
        <v>#REF!</v>
      </c>
      <c r="BK63" s="177" t="str">
        <f t="shared" si="144"/>
        <v>#REF!</v>
      </c>
    </row>
    <row r="64">
      <c r="A64" s="251"/>
      <c r="B64" s="252"/>
      <c r="C64" s="177"/>
      <c r="D64" s="177"/>
      <c r="E64" s="177"/>
      <c r="F64" s="177"/>
      <c r="G64" s="177"/>
      <c r="H64" s="178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8"/>
      <c r="AI64" s="177"/>
      <c r="AJ64" s="177"/>
      <c r="AK64" s="177"/>
      <c r="AL64" s="177"/>
      <c r="AM64" s="177"/>
      <c r="AN64" s="177"/>
      <c r="AO64" s="177"/>
      <c r="AP64" s="177"/>
      <c r="AQ64" s="177"/>
      <c r="AR64" s="177"/>
      <c r="AS64" s="177"/>
      <c r="AT64" s="177"/>
      <c r="AU64" s="177"/>
      <c r="AV64" s="177"/>
      <c r="AW64" s="177"/>
      <c r="AX64" s="177"/>
      <c r="AY64" s="177"/>
      <c r="AZ64" s="177"/>
      <c r="BA64" s="177"/>
      <c r="BB64" s="177"/>
      <c r="BC64" s="177"/>
      <c r="BD64" s="177"/>
      <c r="BE64" s="177"/>
      <c r="BF64" s="177"/>
      <c r="BG64" s="177"/>
      <c r="BH64" s="177"/>
      <c r="BI64" s="177"/>
      <c r="BJ64" s="177"/>
      <c r="BK64" s="177"/>
    </row>
    <row r="65">
      <c r="A65" s="251"/>
      <c r="B65" s="252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  <c r="AM65" s="177"/>
      <c r="AN65" s="177"/>
      <c r="AO65" s="177"/>
      <c r="AP65" s="177"/>
      <c r="AQ65" s="177"/>
      <c r="AR65" s="177"/>
      <c r="AS65" s="177"/>
      <c r="AT65" s="177"/>
      <c r="AU65" s="177"/>
      <c r="AV65" s="177"/>
      <c r="AW65" s="177"/>
      <c r="AX65" s="177"/>
      <c r="AY65" s="177"/>
      <c r="AZ65" s="177"/>
      <c r="BA65" s="177"/>
      <c r="BB65" s="177"/>
      <c r="BC65" s="177"/>
      <c r="BD65" s="179"/>
      <c r="BF65" s="177"/>
      <c r="BG65" s="177"/>
      <c r="BH65" s="177"/>
      <c r="BI65" s="177"/>
      <c r="BJ65" s="177"/>
      <c r="BK65" s="177"/>
    </row>
    <row r="66">
      <c r="A66" s="251"/>
      <c r="B66" s="252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177"/>
      <c r="AZ66" s="177"/>
      <c r="BA66" s="177"/>
      <c r="BB66" s="177"/>
      <c r="BC66" s="177"/>
      <c r="BD66" s="177"/>
      <c r="BE66" s="179"/>
      <c r="BF66" s="177"/>
      <c r="BG66" s="177"/>
      <c r="BH66" s="177"/>
      <c r="BI66" s="177"/>
      <c r="BJ66" s="177"/>
      <c r="BK66" s="177"/>
    </row>
  </sheetData>
  <conditionalFormatting sqref="J63:BK63">
    <cfRule type="cellIs" dxfId="0" priority="1" operator="greaterThan">
      <formula>0</formula>
    </cfRule>
  </conditionalFormatting>
  <conditionalFormatting sqref="J63:BK63">
    <cfRule type="cellIs" dxfId="1" priority="2" operator="lessThan">
      <formula>0</formula>
    </cfRule>
  </conditionalFormatting>
  <conditionalFormatting sqref="Q26:BK26">
    <cfRule type="cellIs" dxfId="2" priority="3" operator="lessThanOrEqual">
      <formula>"50%"</formula>
    </cfRule>
  </conditionalFormatting>
  <conditionalFormatting sqref="Q26:BK26">
    <cfRule type="cellIs" dxfId="3" priority="4" operator="greaterThanOrEqual">
      <formula>"50%"</formula>
    </cfRule>
  </conditionalFormatting>
  <conditionalFormatting sqref="Q44:BK44">
    <cfRule type="cellIs" dxfId="2" priority="5" operator="lessThanOrEqual">
      <formula>"30%"</formula>
    </cfRule>
  </conditionalFormatting>
  <conditionalFormatting sqref="Q44:BK44">
    <cfRule type="cellIs" dxfId="3" priority="6" operator="greaterThanOrEqual">
      <formula>"30%"</formula>
    </cfRule>
  </conditionalFormatting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10" t="s">
        <v>953</v>
      </c>
      <c r="C2" s="110" t="s">
        <v>322</v>
      </c>
      <c r="D2" s="110" t="s">
        <v>954</v>
      </c>
      <c r="E2" s="110" t="s">
        <v>955</v>
      </c>
      <c r="F2" s="110" t="s">
        <v>956</v>
      </c>
    </row>
    <row r="3">
      <c r="B3" s="110" t="s">
        <v>957</v>
      </c>
      <c r="C3" s="113">
        <v>4600.0</v>
      </c>
      <c r="D3" s="1105">
        <v>1600.0</v>
      </c>
      <c r="E3" s="120">
        <f>sum(500,500,250,500,500,500,250)</f>
        <v>3000</v>
      </c>
      <c r="F3" s="120">
        <f t="shared" ref="F3:F5" si="1">C3-D3-E3</f>
        <v>0</v>
      </c>
    </row>
    <row r="4">
      <c r="B4" s="110" t="s">
        <v>958</v>
      </c>
      <c r="C4" s="120">
        <f>sum(827,827,3401,354,354,354,241)</f>
        <v>6358</v>
      </c>
      <c r="D4" s="113">
        <v>1158.0</v>
      </c>
      <c r="E4" s="120">
        <f>sum(6*700,2*500)</f>
        <v>5200</v>
      </c>
      <c r="F4" s="120">
        <f t="shared" si="1"/>
        <v>0</v>
      </c>
    </row>
    <row r="5">
      <c r="B5" s="110" t="s">
        <v>959</v>
      </c>
      <c r="C5" s="113">
        <v>118.0</v>
      </c>
      <c r="D5" s="113">
        <v>23.0</v>
      </c>
      <c r="E5" s="120">
        <f>23*4</f>
        <v>92</v>
      </c>
      <c r="F5" s="120">
        <f t="shared" si="1"/>
        <v>3</v>
      </c>
    </row>
    <row r="6">
      <c r="B6" s="110" t="s">
        <v>960</v>
      </c>
      <c r="C6" s="113">
        <v>264.45</v>
      </c>
      <c r="D6" s="120">
        <f t="shared" ref="D6:D7" si="2">C6</f>
        <v>264.45</v>
      </c>
      <c r="E6" s="110">
        <v>0.0</v>
      </c>
      <c r="F6" s="110">
        <v>0.0</v>
      </c>
    </row>
    <row r="7">
      <c r="B7" s="110" t="s">
        <v>961</v>
      </c>
      <c r="C7" s="113">
        <v>1351.0</v>
      </c>
      <c r="D7" s="120">
        <f t="shared" si="2"/>
        <v>1351</v>
      </c>
      <c r="E7" s="110">
        <v>0.0</v>
      </c>
      <c r="F7" s="110">
        <v>0.0</v>
      </c>
    </row>
    <row r="9">
      <c r="D9" s="120">
        <f>sum(D3:D7)</f>
        <v>4396.45</v>
      </c>
    </row>
  </sheetData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5" max="5" width="12.63"/>
    <col customWidth="1" min="8" max="8" width="15.13"/>
    <col customWidth="1" min="9" max="9" width="14.75"/>
  </cols>
  <sheetData>
    <row r="1">
      <c r="A1" s="1027" t="s">
        <v>648</v>
      </c>
      <c r="B1" s="1027" t="s">
        <v>962</v>
      </c>
      <c r="C1" s="1027" t="s">
        <v>642</v>
      </c>
      <c r="D1" s="1027" t="s">
        <v>963</v>
      </c>
      <c r="E1" s="1027" t="s">
        <v>964</v>
      </c>
      <c r="F1" s="1027" t="s">
        <v>965</v>
      </c>
      <c r="G1" s="1027" t="s">
        <v>966</v>
      </c>
      <c r="H1" s="1027" t="s">
        <v>967</v>
      </c>
      <c r="I1" s="1027" t="s">
        <v>968</v>
      </c>
      <c r="J1" s="1024"/>
      <c r="K1" s="1024"/>
      <c r="L1" s="1024"/>
      <c r="M1" s="1024"/>
      <c r="N1" s="1024"/>
      <c r="O1" s="1024"/>
      <c r="P1" s="1024"/>
      <c r="Q1" s="1024"/>
      <c r="R1" s="1024"/>
      <c r="S1" s="1024"/>
      <c r="T1" s="1024"/>
      <c r="U1" s="1024"/>
      <c r="V1" s="1024"/>
      <c r="W1" s="1024"/>
      <c r="X1" s="1024"/>
      <c r="Y1" s="1024"/>
      <c r="Z1" s="1024"/>
    </row>
    <row r="2">
      <c r="A2" s="1106">
        <v>45017.0</v>
      </c>
      <c r="B2" s="120">
        <f t="shared" ref="B2:B21" si="1">sum(C2,D2)</f>
        <v>12276645.63</v>
      </c>
      <c r="C2" s="120">
        <f>HOLDINGS!$C$52</f>
        <v>12251244</v>
      </c>
      <c r="D2" s="1107">
        <f>LIABILITIES!$C$26</f>
        <v>25401.63</v>
      </c>
    </row>
    <row r="3">
      <c r="A3" s="1106">
        <v>45047.0</v>
      </c>
      <c r="B3" s="120">
        <f t="shared" si="1"/>
        <v>12279045.63</v>
      </c>
      <c r="C3" s="120">
        <f>HOLDINGS!$C$52</f>
        <v>12251244</v>
      </c>
      <c r="D3" s="1107">
        <f>sum(LIABILITIES!$C$26,2400)</f>
        <v>27801.63</v>
      </c>
    </row>
    <row r="4">
      <c r="A4" s="1106">
        <v>45078.0</v>
      </c>
      <c r="B4" s="120">
        <f t="shared" si="1"/>
        <v>12401244</v>
      </c>
      <c r="C4" s="120">
        <f>sum($C$3,150000)</f>
        <v>12401244</v>
      </c>
      <c r="D4" s="113">
        <v>0.0</v>
      </c>
    </row>
    <row r="5">
      <c r="A5" s="1106">
        <v>45108.0</v>
      </c>
      <c r="B5" s="120">
        <f t="shared" si="1"/>
        <v>12649268.88</v>
      </c>
      <c r="C5" s="120">
        <f t="shared" ref="C5:C21" si="2">sum(C4*0.02+C4)</f>
        <v>12649268.88</v>
      </c>
      <c r="D5" s="113">
        <v>0.0</v>
      </c>
    </row>
    <row r="6">
      <c r="A6" s="1106">
        <v>45139.0</v>
      </c>
      <c r="B6" s="120">
        <f t="shared" si="1"/>
        <v>12902254.26</v>
      </c>
      <c r="C6" s="120">
        <f t="shared" si="2"/>
        <v>12902254.26</v>
      </c>
      <c r="D6" s="113">
        <v>0.0</v>
      </c>
    </row>
    <row r="7">
      <c r="A7" s="1106">
        <v>45170.0</v>
      </c>
      <c r="B7" s="120">
        <f t="shared" si="1"/>
        <v>13160299.34</v>
      </c>
      <c r="C7" s="120">
        <f t="shared" si="2"/>
        <v>13160299.34</v>
      </c>
      <c r="D7" s="113">
        <v>0.0</v>
      </c>
    </row>
    <row r="8">
      <c r="A8" s="1106">
        <v>45200.0</v>
      </c>
      <c r="B8" s="120">
        <f t="shared" si="1"/>
        <v>13423505.33</v>
      </c>
      <c r="C8" s="120">
        <f t="shared" si="2"/>
        <v>13423505.33</v>
      </c>
      <c r="D8" s="113">
        <v>0.0</v>
      </c>
    </row>
    <row r="9">
      <c r="A9" s="1106">
        <v>45231.0</v>
      </c>
      <c r="B9" s="120">
        <f t="shared" si="1"/>
        <v>13691975.44</v>
      </c>
      <c r="C9" s="120">
        <f t="shared" si="2"/>
        <v>13691975.44</v>
      </c>
      <c r="D9" s="113">
        <v>0.0</v>
      </c>
    </row>
    <row r="10">
      <c r="A10" s="1106">
        <v>45261.0</v>
      </c>
      <c r="B10" s="120">
        <f t="shared" si="1"/>
        <v>13965814.94</v>
      </c>
      <c r="C10" s="120">
        <f t="shared" si="2"/>
        <v>13965814.94</v>
      </c>
      <c r="D10" s="113">
        <v>0.0</v>
      </c>
    </row>
    <row r="11">
      <c r="A11" s="1108">
        <v>45292.0</v>
      </c>
      <c r="B11" s="120">
        <f t="shared" si="1"/>
        <v>14245131.24</v>
      </c>
      <c r="C11" s="120">
        <f t="shared" si="2"/>
        <v>14245131.24</v>
      </c>
      <c r="D11" s="113">
        <v>0.0</v>
      </c>
    </row>
    <row r="12">
      <c r="A12" s="1106">
        <v>45323.0</v>
      </c>
      <c r="B12" s="120">
        <f t="shared" si="1"/>
        <v>14530033.87</v>
      </c>
      <c r="C12" s="120">
        <f t="shared" si="2"/>
        <v>14530033.87</v>
      </c>
      <c r="D12" s="113">
        <v>0.0</v>
      </c>
    </row>
    <row r="13">
      <c r="A13" s="1108">
        <v>45352.0</v>
      </c>
      <c r="B13" s="120">
        <f t="shared" si="1"/>
        <v>14820634.55</v>
      </c>
      <c r="C13" s="120">
        <f t="shared" si="2"/>
        <v>14820634.55</v>
      </c>
      <c r="D13" s="113">
        <v>0.0</v>
      </c>
    </row>
    <row r="14">
      <c r="A14" s="1106">
        <v>45383.0</v>
      </c>
      <c r="B14" s="120">
        <f t="shared" si="1"/>
        <v>15117047.24</v>
      </c>
      <c r="C14" s="120">
        <f t="shared" si="2"/>
        <v>15117047.24</v>
      </c>
      <c r="D14" s="113">
        <v>0.0</v>
      </c>
    </row>
    <row r="15">
      <c r="A15" s="1108">
        <v>45413.0</v>
      </c>
      <c r="B15" s="120">
        <f t="shared" si="1"/>
        <v>15419388.18</v>
      </c>
      <c r="C15" s="120">
        <f t="shared" si="2"/>
        <v>15419388.18</v>
      </c>
      <c r="D15" s="113">
        <v>0.0</v>
      </c>
    </row>
    <row r="16">
      <c r="A16" s="1106">
        <v>45444.0</v>
      </c>
      <c r="B16" s="120">
        <f t="shared" si="1"/>
        <v>15727775.95</v>
      </c>
      <c r="C16" s="120">
        <f t="shared" si="2"/>
        <v>15727775.95</v>
      </c>
      <c r="D16" s="113">
        <v>0.0</v>
      </c>
    </row>
    <row r="17">
      <c r="A17" s="1108">
        <v>45474.0</v>
      </c>
      <c r="B17" s="120">
        <f t="shared" si="1"/>
        <v>16042331.46</v>
      </c>
      <c r="C17" s="120">
        <f t="shared" si="2"/>
        <v>16042331.46</v>
      </c>
      <c r="D17" s="113">
        <v>0.0</v>
      </c>
    </row>
    <row r="18">
      <c r="A18" s="1106">
        <v>45505.0</v>
      </c>
      <c r="B18" s="120">
        <f t="shared" si="1"/>
        <v>16363178.09</v>
      </c>
      <c r="C18" s="120">
        <f t="shared" si="2"/>
        <v>16363178.09</v>
      </c>
      <c r="D18" s="113">
        <v>0.0</v>
      </c>
    </row>
    <row r="19">
      <c r="A19" s="1106">
        <v>45536.0</v>
      </c>
      <c r="B19" s="120">
        <f t="shared" si="1"/>
        <v>16690441.66</v>
      </c>
      <c r="C19" s="120">
        <f t="shared" si="2"/>
        <v>16690441.66</v>
      </c>
      <c r="D19" s="113">
        <v>0.0</v>
      </c>
    </row>
    <row r="20">
      <c r="A20" s="1108">
        <v>45566.0</v>
      </c>
      <c r="B20" s="120">
        <f t="shared" si="1"/>
        <v>17024250.49</v>
      </c>
      <c r="C20" s="120">
        <f t="shared" si="2"/>
        <v>17024250.49</v>
      </c>
      <c r="D20" s="113">
        <v>0.0</v>
      </c>
    </row>
    <row r="21">
      <c r="A21" s="1106">
        <v>45597.0</v>
      </c>
      <c r="B21" s="120">
        <f t="shared" si="1"/>
        <v>17364735.5</v>
      </c>
      <c r="C21" s="120">
        <f t="shared" si="2"/>
        <v>17364735.5</v>
      </c>
      <c r="D21" s="113">
        <v>0.0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25"/>
    <col customWidth="1" min="2" max="2" width="34.0"/>
    <col hidden="1" min="3" max="7" width="12.63"/>
    <col customWidth="1" hidden="1" min="8" max="12" width="15.0"/>
    <col customWidth="1" hidden="1" min="13" max="13" width="16.25"/>
    <col customWidth="1" hidden="1" min="14" max="14" width="15.0"/>
    <col hidden="1" min="15" max="22" width="12.63"/>
    <col customWidth="1" hidden="1" min="23" max="23" width="15.0"/>
    <col hidden="1" min="24" max="52" width="12.63"/>
  </cols>
  <sheetData>
    <row r="1" ht="20.25" customHeight="1">
      <c r="A1" s="122" t="s">
        <v>94</v>
      </c>
      <c r="B1" s="123"/>
      <c r="C1" s="124" t="s">
        <v>95</v>
      </c>
      <c r="D1" s="124" t="s">
        <v>96</v>
      </c>
      <c r="E1" s="124" t="s">
        <v>97</v>
      </c>
      <c r="F1" s="124" t="s">
        <v>98</v>
      </c>
      <c r="G1" s="124" t="s">
        <v>99</v>
      </c>
      <c r="H1" s="125" t="s">
        <v>100</v>
      </c>
      <c r="I1" s="123" t="s">
        <v>101</v>
      </c>
      <c r="J1" s="123" t="s">
        <v>102</v>
      </c>
      <c r="K1" s="123" t="s">
        <v>103</v>
      </c>
      <c r="L1" s="123" t="s">
        <v>104</v>
      </c>
      <c r="M1" s="123" t="s">
        <v>105</v>
      </c>
      <c r="N1" s="123" t="s">
        <v>106</v>
      </c>
      <c r="O1" s="123" t="s">
        <v>107</v>
      </c>
      <c r="P1" s="123" t="s">
        <v>108</v>
      </c>
      <c r="Q1" s="123" t="s">
        <v>109</v>
      </c>
      <c r="R1" s="123" t="s">
        <v>110</v>
      </c>
      <c r="S1" s="123" t="s">
        <v>111</v>
      </c>
      <c r="T1" s="123" t="s">
        <v>112</v>
      </c>
      <c r="U1" s="123" t="s">
        <v>113</v>
      </c>
      <c r="V1" s="123" t="s">
        <v>114</v>
      </c>
      <c r="W1" s="123" t="s">
        <v>115</v>
      </c>
      <c r="X1" s="123" t="s">
        <v>116</v>
      </c>
      <c r="Y1" s="123" t="s">
        <v>117</v>
      </c>
      <c r="Z1" s="123" t="s">
        <v>118</v>
      </c>
      <c r="AA1" s="126" t="s">
        <v>119</v>
      </c>
      <c r="AB1" s="126" t="s">
        <v>120</v>
      </c>
      <c r="AC1" s="126" t="s">
        <v>121</v>
      </c>
      <c r="AD1" s="126" t="s">
        <v>122</v>
      </c>
      <c r="AE1" s="126" t="s">
        <v>123</v>
      </c>
      <c r="AF1" s="126" t="s">
        <v>124</v>
      </c>
      <c r="AG1" s="126" t="s">
        <v>125</v>
      </c>
      <c r="AH1" s="127" t="s">
        <v>126</v>
      </c>
      <c r="AI1" s="126" t="s">
        <v>127</v>
      </c>
      <c r="AJ1" s="126" t="s">
        <v>128</v>
      </c>
      <c r="AK1" s="126" t="s">
        <v>129</v>
      </c>
      <c r="AL1" s="126" t="s">
        <v>130</v>
      </c>
      <c r="AM1" s="126" t="s">
        <v>131</v>
      </c>
      <c r="AN1" s="126" t="s">
        <v>132</v>
      </c>
      <c r="AO1" s="126" t="s">
        <v>133</v>
      </c>
      <c r="AP1" s="126" t="s">
        <v>134</v>
      </c>
      <c r="AQ1" s="126" t="s">
        <v>135</v>
      </c>
      <c r="AR1" s="126" t="s">
        <v>136</v>
      </c>
      <c r="AS1" s="126" t="s">
        <v>137</v>
      </c>
      <c r="AT1" s="126" t="s">
        <v>138</v>
      </c>
      <c r="AU1" s="126" t="s">
        <v>139</v>
      </c>
      <c r="AV1" s="126" t="s">
        <v>140</v>
      </c>
      <c r="AW1" s="126" t="s">
        <v>141</v>
      </c>
      <c r="AX1" s="126" t="s">
        <v>142</v>
      </c>
      <c r="AY1" s="126" t="s">
        <v>143</v>
      </c>
      <c r="AZ1" s="126" t="s">
        <v>144</v>
      </c>
      <c r="BA1" s="126" t="s">
        <v>145</v>
      </c>
      <c r="BB1" s="126" t="s">
        <v>146</v>
      </c>
      <c r="BC1" s="126" t="s">
        <v>147</v>
      </c>
      <c r="BD1" s="126" t="s">
        <v>148</v>
      </c>
      <c r="BE1" s="126" t="s">
        <v>149</v>
      </c>
      <c r="BF1" s="126" t="s">
        <v>149</v>
      </c>
      <c r="BG1" s="126" t="s">
        <v>150</v>
      </c>
      <c r="BH1" s="126" t="s">
        <v>151</v>
      </c>
      <c r="BI1" s="126" t="s">
        <v>152</v>
      </c>
      <c r="BJ1" s="126" t="s">
        <v>153</v>
      </c>
      <c r="BK1" s="126" t="s">
        <v>154</v>
      </c>
      <c r="BL1" s="126" t="s">
        <v>156</v>
      </c>
      <c r="BM1" s="126" t="s">
        <v>157</v>
      </c>
      <c r="BN1" s="126" t="s">
        <v>969</v>
      </c>
    </row>
    <row r="2">
      <c r="A2" s="131" t="s">
        <v>195</v>
      </c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4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</row>
    <row r="3">
      <c r="A3" s="135" t="s">
        <v>196</v>
      </c>
      <c r="B3" s="136"/>
      <c r="C3" s="137"/>
      <c r="D3" s="137"/>
      <c r="E3" s="137"/>
      <c r="F3" s="137"/>
      <c r="G3" s="137"/>
      <c r="H3" s="137"/>
      <c r="I3" s="138"/>
      <c r="J3" s="138"/>
      <c r="K3" s="138"/>
      <c r="L3" s="138"/>
      <c r="M3" s="139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40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</row>
    <row r="4">
      <c r="A4" s="143"/>
      <c r="B4" s="144" t="s">
        <v>197</v>
      </c>
      <c r="C4" s="145">
        <v>10000.0</v>
      </c>
      <c r="D4" s="145">
        <v>10000.0</v>
      </c>
      <c r="E4" s="145">
        <v>10000.0</v>
      </c>
      <c r="F4" s="145">
        <v>10000.0</v>
      </c>
      <c r="G4" s="145">
        <v>10000.0</v>
      </c>
      <c r="H4" s="146">
        <v>10000.0</v>
      </c>
      <c r="I4" s="145">
        <v>10000.0</v>
      </c>
      <c r="J4" s="145">
        <f t="shared" ref="J4:P4" si="1">120000/12</f>
        <v>10000</v>
      </c>
      <c r="K4" s="145">
        <f t="shared" si="1"/>
        <v>10000</v>
      </c>
      <c r="L4" s="145">
        <f t="shared" si="1"/>
        <v>10000</v>
      </c>
      <c r="M4" s="145">
        <f t="shared" si="1"/>
        <v>10000</v>
      </c>
      <c r="N4" s="145">
        <f t="shared" si="1"/>
        <v>10000</v>
      </c>
      <c r="O4" s="145">
        <f t="shared" si="1"/>
        <v>10000</v>
      </c>
      <c r="P4" s="145">
        <f t="shared" si="1"/>
        <v>10000</v>
      </c>
      <c r="Q4" s="145">
        <f t="shared" ref="Q4:Y4" si="2">123000/12</f>
        <v>10250</v>
      </c>
      <c r="R4" s="145">
        <f t="shared" si="2"/>
        <v>10250</v>
      </c>
      <c r="S4" s="145">
        <f t="shared" si="2"/>
        <v>10250</v>
      </c>
      <c r="T4" s="145">
        <f t="shared" si="2"/>
        <v>10250</v>
      </c>
      <c r="U4" s="145">
        <f t="shared" si="2"/>
        <v>10250</v>
      </c>
      <c r="V4" s="145">
        <f t="shared" si="2"/>
        <v>10250</v>
      </c>
      <c r="W4" s="145">
        <f t="shared" si="2"/>
        <v>10250</v>
      </c>
      <c r="X4" s="145">
        <f t="shared" si="2"/>
        <v>10250</v>
      </c>
      <c r="Y4" s="145">
        <f t="shared" si="2"/>
        <v>10250</v>
      </c>
      <c r="Z4" s="685">
        <f t="shared" ref="Z4:AJ4" si="3">160000/12</f>
        <v>13333.33333</v>
      </c>
      <c r="AA4" s="685">
        <f t="shared" si="3"/>
        <v>13333.33333</v>
      </c>
      <c r="AB4" s="685">
        <f t="shared" si="3"/>
        <v>13333.33333</v>
      </c>
      <c r="AC4" s="685">
        <f t="shared" si="3"/>
        <v>13333.33333</v>
      </c>
      <c r="AD4" s="685">
        <f t="shared" si="3"/>
        <v>13333.33333</v>
      </c>
      <c r="AE4" s="685">
        <f t="shared" si="3"/>
        <v>13333.33333</v>
      </c>
      <c r="AF4" s="685">
        <f t="shared" si="3"/>
        <v>13333.33333</v>
      </c>
      <c r="AG4" s="685">
        <f t="shared" si="3"/>
        <v>13333.33333</v>
      </c>
      <c r="AH4" s="686">
        <f t="shared" si="3"/>
        <v>13333.33333</v>
      </c>
      <c r="AI4" s="685">
        <f t="shared" si="3"/>
        <v>13333.33333</v>
      </c>
      <c r="AJ4" s="685">
        <f t="shared" si="3"/>
        <v>13333.33333</v>
      </c>
      <c r="AK4" s="685">
        <f>165000/12</f>
        <v>13750</v>
      </c>
      <c r="AL4" s="685">
        <f t="shared" ref="AL4:AZ4" si="4">210000/12</f>
        <v>17500</v>
      </c>
      <c r="AM4" s="685">
        <f t="shared" si="4"/>
        <v>17500</v>
      </c>
      <c r="AN4" s="685">
        <f t="shared" si="4"/>
        <v>17500</v>
      </c>
      <c r="AO4" s="685">
        <f t="shared" si="4"/>
        <v>17500</v>
      </c>
      <c r="AP4" s="685">
        <f t="shared" si="4"/>
        <v>17500</v>
      </c>
      <c r="AQ4" s="685">
        <f t="shared" si="4"/>
        <v>17500</v>
      </c>
      <c r="AR4" s="685">
        <f t="shared" si="4"/>
        <v>17500</v>
      </c>
      <c r="AS4" s="685">
        <f t="shared" si="4"/>
        <v>17500</v>
      </c>
      <c r="AT4" s="685">
        <f t="shared" si="4"/>
        <v>17500</v>
      </c>
      <c r="AU4" s="685">
        <f t="shared" si="4"/>
        <v>17500</v>
      </c>
      <c r="AV4" s="685">
        <f t="shared" si="4"/>
        <v>17500</v>
      </c>
      <c r="AW4" s="685">
        <f t="shared" si="4"/>
        <v>17500</v>
      </c>
      <c r="AX4" s="685">
        <f t="shared" si="4"/>
        <v>17500</v>
      </c>
      <c r="AY4" s="685">
        <f t="shared" si="4"/>
        <v>17500</v>
      </c>
      <c r="AZ4" s="685">
        <f t="shared" si="4"/>
        <v>17500</v>
      </c>
      <c r="BA4" s="685">
        <f t="shared" ref="BA4:BD4" si="5">200000/12</f>
        <v>16666.66667</v>
      </c>
      <c r="BB4" s="685">
        <f t="shared" si="5"/>
        <v>16666.66667</v>
      </c>
      <c r="BC4" s="685">
        <f t="shared" si="5"/>
        <v>16666.66667</v>
      </c>
      <c r="BD4" s="685">
        <f t="shared" si="5"/>
        <v>16666.66667</v>
      </c>
      <c r="BE4" s="161">
        <f t="shared" ref="BE4:BN4" si="6">1500000/12</f>
        <v>125000</v>
      </c>
      <c r="BF4" s="161">
        <f t="shared" si="6"/>
        <v>125000</v>
      </c>
      <c r="BG4" s="161">
        <f t="shared" si="6"/>
        <v>125000</v>
      </c>
      <c r="BH4" s="161">
        <f t="shared" si="6"/>
        <v>125000</v>
      </c>
      <c r="BI4" s="161">
        <f t="shared" si="6"/>
        <v>125000</v>
      </c>
      <c r="BJ4" s="161">
        <f t="shared" si="6"/>
        <v>125000</v>
      </c>
      <c r="BK4" s="161">
        <f t="shared" si="6"/>
        <v>125000</v>
      </c>
      <c r="BL4" s="161">
        <f t="shared" si="6"/>
        <v>125000</v>
      </c>
      <c r="BM4" s="161">
        <f t="shared" si="6"/>
        <v>125000</v>
      </c>
      <c r="BN4" s="161">
        <f t="shared" si="6"/>
        <v>125000</v>
      </c>
    </row>
    <row r="5">
      <c r="A5" s="149"/>
      <c r="B5" s="137" t="s">
        <v>198</v>
      </c>
      <c r="C5" s="145">
        <v>0.0</v>
      </c>
      <c r="D5" s="145">
        <v>3000.0</v>
      </c>
      <c r="E5" s="145">
        <v>0.0</v>
      </c>
      <c r="F5" s="145">
        <v>0.0</v>
      </c>
      <c r="G5" s="145">
        <v>0.0</v>
      </c>
      <c r="H5" s="146">
        <v>0.0</v>
      </c>
      <c r="I5" s="145">
        <v>5000.0</v>
      </c>
      <c r="J5" s="145">
        <v>5000.0</v>
      </c>
      <c r="K5" s="145">
        <v>0.0</v>
      </c>
      <c r="L5" s="145">
        <v>0.0</v>
      </c>
      <c r="M5" s="145">
        <v>800.0</v>
      </c>
      <c r="N5" s="145">
        <f>500</f>
        <v>500</v>
      </c>
      <c r="O5" s="145">
        <v>0.0</v>
      </c>
      <c r="P5" s="145">
        <f>5000</f>
        <v>5000</v>
      </c>
      <c r="Q5" s="145">
        <v>0.0</v>
      </c>
      <c r="R5" s="145">
        <v>0.0</v>
      </c>
      <c r="S5" s="145">
        <v>0.0</v>
      </c>
      <c r="T5" s="145">
        <v>0.0</v>
      </c>
      <c r="U5" s="145">
        <v>0.0</v>
      </c>
      <c r="V5" s="145">
        <v>0.0</v>
      </c>
      <c r="W5" s="145">
        <v>0.0</v>
      </c>
      <c r="X5" s="145">
        <v>0.0</v>
      </c>
      <c r="Y5" s="145">
        <v>0.0</v>
      </c>
      <c r="Z5" s="145">
        <v>0.0</v>
      </c>
      <c r="AA5" s="145">
        <v>0.0</v>
      </c>
      <c r="AB5" s="145">
        <v>0.0</v>
      </c>
      <c r="AC5" s="145">
        <v>0.0</v>
      </c>
      <c r="AD5" s="145">
        <v>0.0</v>
      </c>
      <c r="AE5" s="145">
        <v>0.0</v>
      </c>
      <c r="AF5" s="145">
        <v>0.0</v>
      </c>
      <c r="AG5" s="145">
        <v>0.0</v>
      </c>
      <c r="AH5" s="146">
        <v>0.0</v>
      </c>
      <c r="AI5" s="145">
        <v>0.0</v>
      </c>
      <c r="AJ5" s="145">
        <v>0.0</v>
      </c>
      <c r="AK5" s="145">
        <v>0.0</v>
      </c>
      <c r="AL5" s="145">
        <v>0.0</v>
      </c>
      <c r="AM5" s="145">
        <v>0.0</v>
      </c>
      <c r="AN5" s="145">
        <v>0.0</v>
      </c>
      <c r="AO5" s="145">
        <v>0.0</v>
      </c>
      <c r="AP5" s="145">
        <v>0.0</v>
      </c>
      <c r="AQ5" s="145">
        <v>0.0</v>
      </c>
      <c r="AR5" s="145">
        <v>0.0</v>
      </c>
      <c r="AS5" s="145">
        <v>0.0</v>
      </c>
      <c r="AT5" s="145">
        <v>0.0</v>
      </c>
      <c r="AU5" s="145">
        <v>0.0</v>
      </c>
      <c r="AV5" s="145">
        <v>0.0</v>
      </c>
      <c r="AW5" s="145">
        <v>0.0</v>
      </c>
      <c r="AX5" s="145">
        <v>0.0</v>
      </c>
      <c r="AY5" s="145">
        <v>0.0</v>
      </c>
      <c r="AZ5" s="145">
        <v>0.0</v>
      </c>
      <c r="BA5" s="145">
        <v>0.0</v>
      </c>
      <c r="BB5" s="145">
        <v>0.0</v>
      </c>
      <c r="BC5" s="145">
        <v>0.0</v>
      </c>
      <c r="BD5" s="145">
        <v>0.0</v>
      </c>
      <c r="BE5" s="145">
        <v>0.0</v>
      </c>
      <c r="BF5" s="145">
        <v>0.0</v>
      </c>
      <c r="BG5" s="145">
        <v>0.0</v>
      </c>
      <c r="BH5" s="145">
        <v>0.0</v>
      </c>
      <c r="BI5" s="145">
        <v>0.0</v>
      </c>
      <c r="BJ5" s="145">
        <v>0.0</v>
      </c>
      <c r="BK5" s="145">
        <v>0.0</v>
      </c>
      <c r="BL5" s="145">
        <v>0.0</v>
      </c>
      <c r="BM5" s="145">
        <v>0.0</v>
      </c>
      <c r="BN5" s="145">
        <v>0.0</v>
      </c>
    </row>
    <row r="6">
      <c r="A6" s="135" t="s">
        <v>199</v>
      </c>
      <c r="B6" s="136"/>
      <c r="C6" s="137"/>
      <c r="D6" s="137"/>
      <c r="E6" s="137"/>
      <c r="F6" s="137"/>
      <c r="G6" s="137"/>
      <c r="H6" s="137"/>
      <c r="I6" s="138"/>
      <c r="J6" s="138"/>
      <c r="K6" s="138"/>
      <c r="L6" s="138"/>
      <c r="M6" s="139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40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8"/>
      <c r="BK6" s="138"/>
      <c r="BL6" s="138"/>
      <c r="BM6" s="138"/>
      <c r="BN6" s="138"/>
    </row>
    <row r="7" ht="15.0" customHeight="1">
      <c r="A7" s="149"/>
      <c r="B7" s="137" t="s">
        <v>201</v>
      </c>
      <c r="C7" s="145">
        <v>0.0</v>
      </c>
      <c r="D7" s="145">
        <v>0.0</v>
      </c>
      <c r="E7" s="145">
        <v>0.0</v>
      </c>
      <c r="F7" s="145">
        <v>0.0</v>
      </c>
      <c r="G7" s="145">
        <v>0.0</v>
      </c>
      <c r="H7" s="146">
        <v>0.0</v>
      </c>
      <c r="I7" s="145">
        <v>0.0</v>
      </c>
      <c r="J7" s="145">
        <v>0.0</v>
      </c>
      <c r="K7" s="145">
        <v>0.0</v>
      </c>
      <c r="L7" s="145">
        <v>0.0</v>
      </c>
      <c r="M7" s="145">
        <v>0.0</v>
      </c>
      <c r="N7" s="145">
        <v>0.0</v>
      </c>
      <c r="O7" s="145">
        <v>0.0</v>
      </c>
      <c r="P7" s="161">
        <v>0.0</v>
      </c>
      <c r="Q7" s="690">
        <v>0.0</v>
      </c>
      <c r="R7" s="690">
        <v>0.0</v>
      </c>
      <c r="S7" s="690">
        <v>0.0</v>
      </c>
      <c r="T7" s="690">
        <f t="shared" ref="T7:W7" si="7">S7+S7*0.15</f>
        <v>0</v>
      </c>
      <c r="U7" s="691">
        <f t="shared" si="7"/>
        <v>0</v>
      </c>
      <c r="V7" s="150">
        <f t="shared" si="7"/>
        <v>0</v>
      </c>
      <c r="W7" s="150">
        <f t="shared" si="7"/>
        <v>0</v>
      </c>
      <c r="X7" s="151">
        <v>0.0</v>
      </c>
      <c r="Y7" s="151">
        <v>0.0</v>
      </c>
      <c r="Z7" s="691">
        <f t="shared" ref="Z7:AH7" si="8">Y7+Y7*0.1</f>
        <v>0</v>
      </c>
      <c r="AA7" s="691">
        <f t="shared" si="8"/>
        <v>0</v>
      </c>
      <c r="AB7" s="691">
        <f t="shared" si="8"/>
        <v>0</v>
      </c>
      <c r="AC7" s="691">
        <f t="shared" si="8"/>
        <v>0</v>
      </c>
      <c r="AD7" s="691">
        <f t="shared" si="8"/>
        <v>0</v>
      </c>
      <c r="AE7" s="691">
        <f t="shared" si="8"/>
        <v>0</v>
      </c>
      <c r="AF7" s="691">
        <f t="shared" si="8"/>
        <v>0</v>
      </c>
      <c r="AG7" s="691">
        <f t="shared" si="8"/>
        <v>0</v>
      </c>
      <c r="AH7" s="692">
        <f t="shared" si="8"/>
        <v>0</v>
      </c>
      <c r="AI7" s="691">
        <f t="shared" ref="AI7:AJ7" si="9">AG7+AG7*0.1</f>
        <v>0</v>
      </c>
      <c r="AJ7" s="691">
        <f t="shared" si="9"/>
        <v>0</v>
      </c>
      <c r="AK7" s="691">
        <f t="shared" ref="AK7:AT7" si="10">AJ7+AJ7*0.1</f>
        <v>0</v>
      </c>
      <c r="AL7" s="691">
        <f t="shared" si="10"/>
        <v>0</v>
      </c>
      <c r="AM7" s="691">
        <f t="shared" si="10"/>
        <v>0</v>
      </c>
      <c r="AN7" s="691">
        <f t="shared" si="10"/>
        <v>0</v>
      </c>
      <c r="AO7" s="691">
        <f t="shared" si="10"/>
        <v>0</v>
      </c>
      <c r="AP7" s="691">
        <f t="shared" si="10"/>
        <v>0</v>
      </c>
      <c r="AQ7" s="691">
        <f t="shared" si="10"/>
        <v>0</v>
      </c>
      <c r="AR7" s="691">
        <f t="shared" si="10"/>
        <v>0</v>
      </c>
      <c r="AS7" s="691">
        <f t="shared" si="10"/>
        <v>0</v>
      </c>
      <c r="AT7" s="691">
        <f t="shared" si="10"/>
        <v>0</v>
      </c>
      <c r="AU7" s="693">
        <v>0.0</v>
      </c>
      <c r="AV7" s="693">
        <v>0.0</v>
      </c>
      <c r="AW7" s="693">
        <v>0.0</v>
      </c>
      <c r="AX7" s="693">
        <v>0.0</v>
      </c>
      <c r="AY7" s="693">
        <v>0.0</v>
      </c>
      <c r="AZ7" s="693">
        <v>0.0</v>
      </c>
      <c r="BA7" s="693">
        <v>0.0</v>
      </c>
      <c r="BB7" s="693">
        <v>0.0</v>
      </c>
      <c r="BC7" s="693">
        <v>0.0</v>
      </c>
      <c r="BD7" s="693">
        <v>0.0</v>
      </c>
      <c r="BE7" s="693">
        <v>0.0</v>
      </c>
      <c r="BF7" s="693">
        <v>0.0</v>
      </c>
      <c r="BG7" s="693">
        <v>0.0</v>
      </c>
      <c r="BH7" s="693">
        <v>0.0</v>
      </c>
      <c r="BI7" s="693">
        <v>0.0</v>
      </c>
      <c r="BJ7" s="693">
        <v>0.0</v>
      </c>
      <c r="BK7" s="693">
        <v>0.0</v>
      </c>
      <c r="BL7" s="693">
        <v>0.0</v>
      </c>
      <c r="BM7" s="693">
        <v>0.0</v>
      </c>
      <c r="BN7" s="693">
        <v>0.0</v>
      </c>
    </row>
    <row r="8">
      <c r="A8" s="149"/>
      <c r="B8" s="137" t="s">
        <v>202</v>
      </c>
      <c r="C8" s="145"/>
      <c r="D8" s="145"/>
      <c r="E8" s="145"/>
      <c r="F8" s="145"/>
      <c r="G8" s="145"/>
      <c r="H8" s="146"/>
      <c r="I8" s="145"/>
      <c r="J8" s="145"/>
      <c r="K8" s="145"/>
      <c r="L8" s="145"/>
      <c r="M8" s="145"/>
      <c r="N8" s="145"/>
      <c r="O8" s="145">
        <f>1000</f>
        <v>1000</v>
      </c>
      <c r="P8" s="145">
        <f>2723</f>
        <v>2723</v>
      </c>
      <c r="Q8" s="145">
        <v>419.0</v>
      </c>
      <c r="R8" s="155">
        <f>200</f>
        <v>200</v>
      </c>
      <c r="S8" s="156">
        <f>900+2500</f>
        <v>3400</v>
      </c>
      <c r="T8" s="156">
        <v>0.0</v>
      </c>
      <c r="U8" s="145">
        <v>0.0</v>
      </c>
      <c r="V8" s="145">
        <v>300.0</v>
      </c>
      <c r="W8" s="145">
        <v>0.0</v>
      </c>
      <c r="X8" s="145">
        <v>0.0</v>
      </c>
      <c r="Y8" s="145">
        <v>5600.0</v>
      </c>
      <c r="Z8" s="145">
        <v>0.0</v>
      </c>
      <c r="AA8" s="155">
        <v>0.0</v>
      </c>
      <c r="AB8" s="145">
        <v>0.0</v>
      </c>
      <c r="AC8" s="157">
        <v>700.0</v>
      </c>
      <c r="AD8" s="145">
        <v>0.0</v>
      </c>
      <c r="AE8" s="145">
        <v>11000.0</v>
      </c>
      <c r="AF8" s="158">
        <v>1300.0</v>
      </c>
      <c r="AG8" s="159">
        <f>sum(1200,1200)</f>
        <v>2400</v>
      </c>
      <c r="AH8" s="160">
        <f>sum(7000,10000)</f>
        <v>17000</v>
      </c>
      <c r="AI8" s="161">
        <v>0.0</v>
      </c>
      <c r="AJ8" s="145">
        <v>0.0</v>
      </c>
      <c r="AK8" s="161">
        <f>2000+7700</f>
        <v>9700</v>
      </c>
      <c r="AL8" s="113">
        <v>0.0</v>
      </c>
      <c r="AM8" s="113">
        <v>0.0</v>
      </c>
      <c r="AN8" s="113">
        <v>10000.0</v>
      </c>
      <c r="AO8" s="113">
        <v>1000.0</v>
      </c>
      <c r="AP8" s="113">
        <v>21000.0</v>
      </c>
      <c r="AQ8" s="113">
        <v>0.0</v>
      </c>
      <c r="AR8" s="113">
        <v>0.0</v>
      </c>
      <c r="AS8" s="145">
        <v>0.0</v>
      </c>
      <c r="AT8" s="162">
        <f>sum(4751.11)</f>
        <v>4751.11</v>
      </c>
      <c r="AU8" s="145">
        <f>36000*0.45</f>
        <v>16200</v>
      </c>
      <c r="AV8" s="145">
        <v>0.0</v>
      </c>
      <c r="AW8" s="145">
        <v>0.0</v>
      </c>
      <c r="AX8" s="145">
        <f>SUM(1500,1844)</f>
        <v>3344</v>
      </c>
      <c r="AY8" s="156">
        <f>sum(1000,1800)</f>
        <v>2800</v>
      </c>
      <c r="AZ8" s="155">
        <v>16000.0</v>
      </c>
      <c r="BA8" s="161">
        <v>20000.0</v>
      </c>
      <c r="BB8" s="145">
        <v>0.0</v>
      </c>
      <c r="BC8" s="145">
        <v>0.0</v>
      </c>
      <c r="BD8" s="156">
        <v>300000.0</v>
      </c>
      <c r="BE8" s="145">
        <v>0.0</v>
      </c>
      <c r="BF8" s="145">
        <v>0.0</v>
      </c>
      <c r="BG8" s="145">
        <v>0.0</v>
      </c>
      <c r="BH8" s="145">
        <v>0.0</v>
      </c>
      <c r="BI8" s="145">
        <v>0.0</v>
      </c>
      <c r="BJ8" s="145">
        <v>0.0</v>
      </c>
      <c r="BK8" s="145">
        <v>0.0</v>
      </c>
      <c r="BL8" s="145">
        <v>0.0</v>
      </c>
      <c r="BM8" s="145">
        <v>0.0</v>
      </c>
      <c r="BN8" s="145">
        <v>0.0</v>
      </c>
    </row>
    <row r="9">
      <c r="A9" s="166"/>
      <c r="B9" s="167"/>
      <c r="C9" s="168"/>
      <c r="D9" s="168"/>
      <c r="E9" s="168"/>
      <c r="F9" s="168"/>
      <c r="G9" s="168"/>
      <c r="H9" s="169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9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/>
      <c r="BL9" s="168"/>
      <c r="BM9" s="168"/>
      <c r="BN9" s="168"/>
    </row>
    <row r="10">
      <c r="A10" s="171" t="s">
        <v>203</v>
      </c>
      <c r="B10" s="172"/>
      <c r="C10" s="173">
        <f t="shared" ref="C10:O10" si="11">sum(C4:C7)</f>
        <v>10000</v>
      </c>
      <c r="D10" s="173">
        <f t="shared" si="11"/>
        <v>13000</v>
      </c>
      <c r="E10" s="173">
        <f t="shared" si="11"/>
        <v>10000</v>
      </c>
      <c r="F10" s="173">
        <f t="shared" si="11"/>
        <v>10000</v>
      </c>
      <c r="G10" s="173">
        <f t="shared" si="11"/>
        <v>10000</v>
      </c>
      <c r="H10" s="174">
        <f t="shared" si="11"/>
        <v>10000</v>
      </c>
      <c r="I10" s="173">
        <f t="shared" si="11"/>
        <v>15000</v>
      </c>
      <c r="J10" s="173">
        <f t="shared" si="11"/>
        <v>15000</v>
      </c>
      <c r="K10" s="173">
        <f t="shared" si="11"/>
        <v>10000</v>
      </c>
      <c r="L10" s="173">
        <f t="shared" si="11"/>
        <v>10000</v>
      </c>
      <c r="M10" s="173">
        <f t="shared" si="11"/>
        <v>10800</v>
      </c>
      <c r="N10" s="173">
        <f t="shared" si="11"/>
        <v>10500</v>
      </c>
      <c r="O10" s="173">
        <f t="shared" si="11"/>
        <v>10000</v>
      </c>
      <c r="P10" s="173">
        <f t="shared" ref="P10:BN10" si="12">sum(P4:P8)</f>
        <v>17723</v>
      </c>
      <c r="Q10" s="173">
        <f t="shared" si="12"/>
        <v>10669</v>
      </c>
      <c r="R10" s="173">
        <f t="shared" si="12"/>
        <v>10450</v>
      </c>
      <c r="S10" s="173">
        <f t="shared" si="12"/>
        <v>13650</v>
      </c>
      <c r="T10" s="173">
        <f t="shared" si="12"/>
        <v>10250</v>
      </c>
      <c r="U10" s="173">
        <f t="shared" si="12"/>
        <v>10250</v>
      </c>
      <c r="V10" s="173">
        <f t="shared" si="12"/>
        <v>10550</v>
      </c>
      <c r="W10" s="173">
        <f t="shared" si="12"/>
        <v>10250</v>
      </c>
      <c r="X10" s="173">
        <f t="shared" si="12"/>
        <v>10250</v>
      </c>
      <c r="Y10" s="173">
        <f t="shared" si="12"/>
        <v>15850</v>
      </c>
      <c r="Z10" s="173">
        <f t="shared" si="12"/>
        <v>13333.33333</v>
      </c>
      <c r="AA10" s="173">
        <f t="shared" si="12"/>
        <v>13333.33333</v>
      </c>
      <c r="AB10" s="173">
        <f t="shared" si="12"/>
        <v>13333.33333</v>
      </c>
      <c r="AC10" s="173">
        <f t="shared" si="12"/>
        <v>14033.33333</v>
      </c>
      <c r="AD10" s="173">
        <f t="shared" si="12"/>
        <v>13333.33333</v>
      </c>
      <c r="AE10" s="173">
        <f t="shared" si="12"/>
        <v>24333.33333</v>
      </c>
      <c r="AF10" s="173">
        <f t="shared" si="12"/>
        <v>14633.33333</v>
      </c>
      <c r="AG10" s="173">
        <f t="shared" si="12"/>
        <v>15733.33333</v>
      </c>
      <c r="AH10" s="174">
        <f t="shared" si="12"/>
        <v>30333.33333</v>
      </c>
      <c r="AI10" s="173">
        <f t="shared" si="12"/>
        <v>13333.33333</v>
      </c>
      <c r="AJ10" s="173">
        <f t="shared" si="12"/>
        <v>13333.33333</v>
      </c>
      <c r="AK10" s="173">
        <f t="shared" si="12"/>
        <v>23450</v>
      </c>
      <c r="AL10" s="173">
        <f t="shared" si="12"/>
        <v>17500</v>
      </c>
      <c r="AM10" s="173">
        <f t="shared" si="12"/>
        <v>17500</v>
      </c>
      <c r="AN10" s="173">
        <f t="shared" si="12"/>
        <v>27500</v>
      </c>
      <c r="AO10" s="173">
        <f t="shared" si="12"/>
        <v>18500</v>
      </c>
      <c r="AP10" s="173">
        <f t="shared" si="12"/>
        <v>38500</v>
      </c>
      <c r="AQ10" s="173">
        <f t="shared" si="12"/>
        <v>17500</v>
      </c>
      <c r="AR10" s="173">
        <f t="shared" si="12"/>
        <v>17500</v>
      </c>
      <c r="AS10" s="173">
        <f t="shared" si="12"/>
        <v>17500</v>
      </c>
      <c r="AT10" s="173">
        <f t="shared" si="12"/>
        <v>22251.11</v>
      </c>
      <c r="AU10" s="173">
        <f t="shared" si="12"/>
        <v>33700</v>
      </c>
      <c r="AV10" s="173">
        <f t="shared" si="12"/>
        <v>17500</v>
      </c>
      <c r="AW10" s="173">
        <f t="shared" si="12"/>
        <v>17500</v>
      </c>
      <c r="AX10" s="173">
        <f t="shared" si="12"/>
        <v>20844</v>
      </c>
      <c r="AY10" s="173">
        <f t="shared" si="12"/>
        <v>20300</v>
      </c>
      <c r="AZ10" s="173">
        <f t="shared" si="12"/>
        <v>33500</v>
      </c>
      <c r="BA10" s="173">
        <f t="shared" si="12"/>
        <v>36666.66667</v>
      </c>
      <c r="BB10" s="173">
        <f t="shared" si="12"/>
        <v>16666.66667</v>
      </c>
      <c r="BC10" s="173">
        <f t="shared" si="12"/>
        <v>16666.66667</v>
      </c>
      <c r="BD10" s="173">
        <f t="shared" si="12"/>
        <v>316666.6667</v>
      </c>
      <c r="BE10" s="173">
        <f t="shared" si="12"/>
        <v>125000</v>
      </c>
      <c r="BF10" s="173">
        <f t="shared" si="12"/>
        <v>125000</v>
      </c>
      <c r="BG10" s="173">
        <f t="shared" si="12"/>
        <v>125000</v>
      </c>
      <c r="BH10" s="173">
        <f t="shared" si="12"/>
        <v>125000</v>
      </c>
      <c r="BI10" s="173">
        <f t="shared" si="12"/>
        <v>125000</v>
      </c>
      <c r="BJ10" s="173">
        <f t="shared" si="12"/>
        <v>125000</v>
      </c>
      <c r="BK10" s="173">
        <f t="shared" si="12"/>
        <v>125000</v>
      </c>
      <c r="BL10" s="173">
        <f t="shared" si="12"/>
        <v>125000</v>
      </c>
      <c r="BM10" s="173">
        <f t="shared" si="12"/>
        <v>125000</v>
      </c>
      <c r="BN10" s="173">
        <f t="shared" si="12"/>
        <v>125000</v>
      </c>
    </row>
    <row r="11">
      <c r="A11" s="171" t="s">
        <v>204</v>
      </c>
      <c r="B11" s="172"/>
      <c r="C11" s="137">
        <f>C10*0.38</f>
        <v>3800</v>
      </c>
      <c r="D11" s="137">
        <f t="shared" ref="D11:L11" si="13">D10*0.34</f>
        <v>4420</v>
      </c>
      <c r="E11" s="137">
        <f t="shared" si="13"/>
        <v>3400</v>
      </c>
      <c r="F11" s="137">
        <f t="shared" si="13"/>
        <v>3400</v>
      </c>
      <c r="G11" s="137">
        <f t="shared" si="13"/>
        <v>3400</v>
      </c>
      <c r="H11" s="175">
        <f t="shared" si="13"/>
        <v>3400</v>
      </c>
      <c r="I11" s="137">
        <f t="shared" si="13"/>
        <v>5100</v>
      </c>
      <c r="J11" s="137">
        <f t="shared" si="13"/>
        <v>5100</v>
      </c>
      <c r="K11" s="137">
        <f t="shared" si="13"/>
        <v>3400</v>
      </c>
      <c r="L11" s="137">
        <f t="shared" si="13"/>
        <v>3400</v>
      </c>
      <c r="M11" s="137">
        <f t="shared" ref="M11:N11" si="14">sum(M4:M7)*0.34</f>
        <v>3672</v>
      </c>
      <c r="N11" s="137">
        <f t="shared" si="14"/>
        <v>3570</v>
      </c>
      <c r="O11" s="137">
        <f>sum(O4:O7)*0.34+O5*0.41</f>
        <v>3400</v>
      </c>
      <c r="P11" s="137">
        <f>P4*0.34+P5*0.41+P7*0.34</f>
        <v>5450</v>
      </c>
      <c r="Q11" s="137">
        <f t="shared" ref="Q11:BN11" si="15">sum(Q4:Q7)*0.34+Q5*0.41</f>
        <v>3485</v>
      </c>
      <c r="R11" s="137">
        <f t="shared" si="15"/>
        <v>3485</v>
      </c>
      <c r="S11" s="137">
        <f t="shared" si="15"/>
        <v>3485</v>
      </c>
      <c r="T11" s="137">
        <f t="shared" si="15"/>
        <v>3485</v>
      </c>
      <c r="U11" s="137">
        <f t="shared" si="15"/>
        <v>3485</v>
      </c>
      <c r="V11" s="137">
        <f t="shared" si="15"/>
        <v>3485</v>
      </c>
      <c r="W11" s="137">
        <f t="shared" si="15"/>
        <v>3485</v>
      </c>
      <c r="X11" s="137">
        <f t="shared" si="15"/>
        <v>3485</v>
      </c>
      <c r="Y11" s="137">
        <f t="shared" si="15"/>
        <v>3485</v>
      </c>
      <c r="Z11" s="137">
        <f t="shared" si="15"/>
        <v>4533.333333</v>
      </c>
      <c r="AA11" s="137">
        <f t="shared" si="15"/>
        <v>4533.333333</v>
      </c>
      <c r="AB11" s="137">
        <f t="shared" si="15"/>
        <v>4533.333333</v>
      </c>
      <c r="AC11" s="137">
        <f t="shared" si="15"/>
        <v>4533.333333</v>
      </c>
      <c r="AD11" s="137">
        <f t="shared" si="15"/>
        <v>4533.333333</v>
      </c>
      <c r="AE11" s="137">
        <f t="shared" si="15"/>
        <v>4533.333333</v>
      </c>
      <c r="AF11" s="137">
        <f t="shared" si="15"/>
        <v>4533.333333</v>
      </c>
      <c r="AG11" s="137">
        <f t="shared" si="15"/>
        <v>4533.333333</v>
      </c>
      <c r="AH11" s="175">
        <f t="shared" si="15"/>
        <v>4533.333333</v>
      </c>
      <c r="AI11" s="137">
        <f t="shared" si="15"/>
        <v>4533.333333</v>
      </c>
      <c r="AJ11" s="137">
        <f t="shared" si="15"/>
        <v>4533.333333</v>
      </c>
      <c r="AK11" s="137">
        <f t="shared" si="15"/>
        <v>4675</v>
      </c>
      <c r="AL11" s="137">
        <f t="shared" si="15"/>
        <v>5950</v>
      </c>
      <c r="AM11" s="137">
        <f t="shared" si="15"/>
        <v>5950</v>
      </c>
      <c r="AN11" s="137">
        <f t="shared" si="15"/>
        <v>5950</v>
      </c>
      <c r="AO11" s="137">
        <f t="shared" si="15"/>
        <v>5950</v>
      </c>
      <c r="AP11" s="137">
        <f t="shared" si="15"/>
        <v>5950</v>
      </c>
      <c r="AQ11" s="137">
        <f t="shared" si="15"/>
        <v>5950</v>
      </c>
      <c r="AR11" s="137">
        <f t="shared" si="15"/>
        <v>5950</v>
      </c>
      <c r="AS11" s="137">
        <f t="shared" si="15"/>
        <v>5950</v>
      </c>
      <c r="AT11" s="137">
        <f t="shared" si="15"/>
        <v>5950</v>
      </c>
      <c r="AU11" s="137">
        <f t="shared" si="15"/>
        <v>5950</v>
      </c>
      <c r="AV11" s="137">
        <f t="shared" si="15"/>
        <v>5950</v>
      </c>
      <c r="AW11" s="137">
        <f t="shared" si="15"/>
        <v>5950</v>
      </c>
      <c r="AX11" s="137">
        <f t="shared" si="15"/>
        <v>5950</v>
      </c>
      <c r="AY11" s="137">
        <f t="shared" si="15"/>
        <v>5950</v>
      </c>
      <c r="AZ11" s="137">
        <f t="shared" si="15"/>
        <v>5950</v>
      </c>
      <c r="BA11" s="137">
        <f t="shared" si="15"/>
        <v>5666.666667</v>
      </c>
      <c r="BB11" s="137">
        <f t="shared" si="15"/>
        <v>5666.666667</v>
      </c>
      <c r="BC11" s="137">
        <f t="shared" si="15"/>
        <v>5666.666667</v>
      </c>
      <c r="BD11" s="137">
        <f t="shared" si="15"/>
        <v>5666.666667</v>
      </c>
      <c r="BE11" s="137">
        <f t="shared" si="15"/>
        <v>42500</v>
      </c>
      <c r="BF11" s="137">
        <f t="shared" si="15"/>
        <v>42500</v>
      </c>
      <c r="BG11" s="137">
        <f t="shared" si="15"/>
        <v>42500</v>
      </c>
      <c r="BH11" s="137">
        <f t="shared" si="15"/>
        <v>42500</v>
      </c>
      <c r="BI11" s="137">
        <f t="shared" si="15"/>
        <v>42500</v>
      </c>
      <c r="BJ11" s="137">
        <f t="shared" si="15"/>
        <v>42500</v>
      </c>
      <c r="BK11" s="137">
        <f t="shared" si="15"/>
        <v>42500</v>
      </c>
      <c r="BL11" s="137">
        <f t="shared" si="15"/>
        <v>42500</v>
      </c>
      <c r="BM11" s="137">
        <f t="shared" si="15"/>
        <v>42500</v>
      </c>
      <c r="BN11" s="137">
        <f t="shared" si="15"/>
        <v>42500</v>
      </c>
    </row>
    <row r="12">
      <c r="A12" s="171" t="s">
        <v>205</v>
      </c>
      <c r="B12" s="172"/>
      <c r="C12" s="137"/>
      <c r="D12" s="137"/>
      <c r="E12" s="137"/>
      <c r="F12" s="137"/>
      <c r="G12" s="137"/>
      <c r="H12" s="175"/>
      <c r="I12" s="137"/>
      <c r="J12" s="137"/>
      <c r="K12" s="137"/>
      <c r="L12" s="137"/>
      <c r="M12" s="137"/>
      <c r="N12" s="137"/>
      <c r="O12" s="137">
        <f t="shared" ref="O12:P12" si="16">O4*0.04</f>
        <v>400</v>
      </c>
      <c r="P12" s="137">
        <f t="shared" si="16"/>
        <v>400</v>
      </c>
      <c r="Q12" s="137">
        <f t="shared" ref="Q12:Y12" si="17">Q4*0.03</f>
        <v>307.5</v>
      </c>
      <c r="R12" s="137">
        <f t="shared" si="17"/>
        <v>307.5</v>
      </c>
      <c r="S12" s="137">
        <f t="shared" si="17"/>
        <v>307.5</v>
      </c>
      <c r="T12" s="137">
        <f t="shared" si="17"/>
        <v>307.5</v>
      </c>
      <c r="U12" s="137">
        <f t="shared" si="17"/>
        <v>307.5</v>
      </c>
      <c r="V12" s="137">
        <f t="shared" si="17"/>
        <v>307.5</v>
      </c>
      <c r="W12" s="137">
        <f t="shared" si="17"/>
        <v>307.5</v>
      </c>
      <c r="X12" s="137">
        <f t="shared" si="17"/>
        <v>307.5</v>
      </c>
      <c r="Y12" s="137">
        <f t="shared" si="17"/>
        <v>307.5</v>
      </c>
      <c r="Z12" s="137">
        <f t="shared" ref="Z12:AA12" si="18">Z4*0</f>
        <v>0</v>
      </c>
      <c r="AA12" s="137">
        <f t="shared" si="18"/>
        <v>0</v>
      </c>
      <c r="AB12" s="137">
        <v>0.0</v>
      </c>
      <c r="AC12" s="137">
        <f>AC4*0.025</f>
        <v>333.3333333</v>
      </c>
      <c r="AD12" s="137">
        <f t="shared" ref="AD12:AE12" si="19">AD4*0.004</f>
        <v>53.33333333</v>
      </c>
      <c r="AE12" s="137">
        <f t="shared" si="19"/>
        <v>53.33333333</v>
      </c>
      <c r="AF12" s="137">
        <f t="shared" ref="AF12:AH12" si="20">AF4*0</f>
        <v>0</v>
      </c>
      <c r="AG12" s="137">
        <f t="shared" si="20"/>
        <v>0</v>
      </c>
      <c r="AH12" s="175">
        <f t="shared" si="20"/>
        <v>0</v>
      </c>
      <c r="AI12" s="137">
        <f t="shared" ref="AI12:AJ12" si="21">AI4*0.025</f>
        <v>333.3333333</v>
      </c>
      <c r="AJ12" s="137">
        <f t="shared" si="21"/>
        <v>333.3333333</v>
      </c>
      <c r="AK12" s="137">
        <f t="shared" ref="AK12:BN12" si="22">AK4*0</f>
        <v>0</v>
      </c>
      <c r="AL12" s="137">
        <f t="shared" si="22"/>
        <v>0</v>
      </c>
      <c r="AM12" s="137">
        <f t="shared" si="22"/>
        <v>0</v>
      </c>
      <c r="AN12" s="137">
        <f t="shared" si="22"/>
        <v>0</v>
      </c>
      <c r="AO12" s="137">
        <f t="shared" si="22"/>
        <v>0</v>
      </c>
      <c r="AP12" s="137">
        <f t="shared" si="22"/>
        <v>0</v>
      </c>
      <c r="AQ12" s="137">
        <f t="shared" si="22"/>
        <v>0</v>
      </c>
      <c r="AR12" s="137">
        <f t="shared" si="22"/>
        <v>0</v>
      </c>
      <c r="AS12" s="137">
        <f t="shared" si="22"/>
        <v>0</v>
      </c>
      <c r="AT12" s="137">
        <f t="shared" si="22"/>
        <v>0</v>
      </c>
      <c r="AU12" s="137">
        <f t="shared" si="22"/>
        <v>0</v>
      </c>
      <c r="AV12" s="137">
        <f t="shared" si="22"/>
        <v>0</v>
      </c>
      <c r="AW12" s="137">
        <f t="shared" si="22"/>
        <v>0</v>
      </c>
      <c r="AX12" s="137">
        <f t="shared" si="22"/>
        <v>0</v>
      </c>
      <c r="AY12" s="137">
        <f t="shared" si="22"/>
        <v>0</v>
      </c>
      <c r="AZ12" s="137">
        <f t="shared" si="22"/>
        <v>0</v>
      </c>
      <c r="BA12" s="137">
        <f t="shared" si="22"/>
        <v>0</v>
      </c>
      <c r="BB12" s="137">
        <f t="shared" si="22"/>
        <v>0</v>
      </c>
      <c r="BC12" s="137">
        <f t="shared" si="22"/>
        <v>0</v>
      </c>
      <c r="BD12" s="137">
        <f t="shared" si="22"/>
        <v>0</v>
      </c>
      <c r="BE12" s="137">
        <f t="shared" si="22"/>
        <v>0</v>
      </c>
      <c r="BF12" s="137">
        <f t="shared" si="22"/>
        <v>0</v>
      </c>
      <c r="BG12" s="137">
        <f t="shared" si="22"/>
        <v>0</v>
      </c>
      <c r="BH12" s="137">
        <f t="shared" si="22"/>
        <v>0</v>
      </c>
      <c r="BI12" s="137">
        <f t="shared" si="22"/>
        <v>0</v>
      </c>
      <c r="BJ12" s="137">
        <f t="shared" si="22"/>
        <v>0</v>
      </c>
      <c r="BK12" s="137">
        <f t="shared" si="22"/>
        <v>0</v>
      </c>
      <c r="BL12" s="137">
        <f t="shared" si="22"/>
        <v>0</v>
      </c>
      <c r="BM12" s="137">
        <f t="shared" si="22"/>
        <v>0</v>
      </c>
      <c r="BN12" s="137">
        <f t="shared" si="22"/>
        <v>0</v>
      </c>
    </row>
    <row r="13">
      <c r="A13" s="171" t="s">
        <v>206</v>
      </c>
      <c r="B13" s="176"/>
      <c r="C13" s="177">
        <f t="shared" ref="C13:L13" si="23">C10-C11+C5</f>
        <v>6200</v>
      </c>
      <c r="D13" s="177">
        <f t="shared" si="23"/>
        <v>11580</v>
      </c>
      <c r="E13" s="177">
        <f t="shared" si="23"/>
        <v>6600</v>
      </c>
      <c r="F13" s="177">
        <f t="shared" si="23"/>
        <v>6600</v>
      </c>
      <c r="G13" s="177">
        <f t="shared" si="23"/>
        <v>6600</v>
      </c>
      <c r="H13" s="178">
        <f t="shared" si="23"/>
        <v>6600</v>
      </c>
      <c r="I13" s="177">
        <f t="shared" si="23"/>
        <v>14900</v>
      </c>
      <c r="J13" s="177">
        <f t="shared" si="23"/>
        <v>14900</v>
      </c>
      <c r="K13" s="177">
        <f t="shared" si="23"/>
        <v>6600</v>
      </c>
      <c r="L13" s="177">
        <f t="shared" si="23"/>
        <v>6600</v>
      </c>
      <c r="M13" s="177">
        <f t="shared" ref="M13:N13" si="24">M10-M11</f>
        <v>7128</v>
      </c>
      <c r="N13" s="177">
        <f t="shared" si="24"/>
        <v>6930</v>
      </c>
      <c r="O13" s="177">
        <f>O4+O7+O5-O11-O12+O8</f>
        <v>7200</v>
      </c>
      <c r="P13" s="179">
        <f t="shared" ref="P13:BN13" si="25">P10-P11-P12</f>
        <v>11873</v>
      </c>
      <c r="Q13" s="179">
        <f t="shared" si="25"/>
        <v>6876.5</v>
      </c>
      <c r="R13" s="179">
        <f t="shared" si="25"/>
        <v>6657.5</v>
      </c>
      <c r="S13" s="179">
        <f t="shared" si="25"/>
        <v>9857.5</v>
      </c>
      <c r="T13" s="179">
        <f t="shared" si="25"/>
        <v>6457.5</v>
      </c>
      <c r="U13" s="179">
        <f t="shared" si="25"/>
        <v>6457.5</v>
      </c>
      <c r="V13" s="179">
        <f t="shared" si="25"/>
        <v>6757.5</v>
      </c>
      <c r="W13" s="179">
        <f t="shared" si="25"/>
        <v>6457.5</v>
      </c>
      <c r="X13" s="179">
        <f t="shared" si="25"/>
        <v>6457.5</v>
      </c>
      <c r="Y13" s="179">
        <f t="shared" si="25"/>
        <v>12057.5</v>
      </c>
      <c r="Z13" s="179">
        <f t="shared" si="25"/>
        <v>8800</v>
      </c>
      <c r="AA13" s="179">
        <f t="shared" si="25"/>
        <v>8800</v>
      </c>
      <c r="AB13" s="179">
        <f t="shared" si="25"/>
        <v>8800</v>
      </c>
      <c r="AC13" s="179">
        <f t="shared" si="25"/>
        <v>9166.666667</v>
      </c>
      <c r="AD13" s="179">
        <f t="shared" si="25"/>
        <v>8746.666667</v>
      </c>
      <c r="AE13" s="179">
        <f t="shared" si="25"/>
        <v>19746.66667</v>
      </c>
      <c r="AF13" s="179">
        <f t="shared" si="25"/>
        <v>10100</v>
      </c>
      <c r="AG13" s="179">
        <f t="shared" si="25"/>
        <v>11200</v>
      </c>
      <c r="AH13" s="180">
        <f t="shared" si="25"/>
        <v>25800</v>
      </c>
      <c r="AI13" s="179">
        <f t="shared" si="25"/>
        <v>8466.666667</v>
      </c>
      <c r="AJ13" s="179">
        <f t="shared" si="25"/>
        <v>8466.666667</v>
      </c>
      <c r="AK13" s="179">
        <f t="shared" si="25"/>
        <v>18775</v>
      </c>
      <c r="AL13" s="179">
        <f t="shared" si="25"/>
        <v>11550</v>
      </c>
      <c r="AM13" s="179">
        <f t="shared" si="25"/>
        <v>11550</v>
      </c>
      <c r="AN13" s="179">
        <f t="shared" si="25"/>
        <v>21550</v>
      </c>
      <c r="AO13" s="179">
        <f t="shared" si="25"/>
        <v>12550</v>
      </c>
      <c r="AP13" s="179">
        <f t="shared" si="25"/>
        <v>32550</v>
      </c>
      <c r="AQ13" s="179">
        <f t="shared" si="25"/>
        <v>11550</v>
      </c>
      <c r="AR13" s="179">
        <f t="shared" si="25"/>
        <v>11550</v>
      </c>
      <c r="AS13" s="179">
        <f t="shared" si="25"/>
        <v>11550</v>
      </c>
      <c r="AT13" s="179">
        <f t="shared" si="25"/>
        <v>16301.11</v>
      </c>
      <c r="AU13" s="179">
        <f t="shared" si="25"/>
        <v>27750</v>
      </c>
      <c r="AV13" s="179">
        <f t="shared" si="25"/>
        <v>11550</v>
      </c>
      <c r="AW13" s="179">
        <f t="shared" si="25"/>
        <v>11550</v>
      </c>
      <c r="AX13" s="179">
        <f t="shared" si="25"/>
        <v>14894</v>
      </c>
      <c r="AY13" s="179">
        <f t="shared" si="25"/>
        <v>14350</v>
      </c>
      <c r="AZ13" s="179">
        <f t="shared" si="25"/>
        <v>27550</v>
      </c>
      <c r="BA13" s="179">
        <f t="shared" si="25"/>
        <v>31000</v>
      </c>
      <c r="BB13" s="179">
        <f t="shared" si="25"/>
        <v>11000</v>
      </c>
      <c r="BC13" s="179">
        <f t="shared" si="25"/>
        <v>11000</v>
      </c>
      <c r="BD13" s="699">
        <f t="shared" si="25"/>
        <v>311000</v>
      </c>
      <c r="BE13" s="699">
        <f t="shared" si="25"/>
        <v>82500</v>
      </c>
      <c r="BF13" s="699">
        <f t="shared" si="25"/>
        <v>82500</v>
      </c>
      <c r="BG13" s="179">
        <f t="shared" si="25"/>
        <v>82500</v>
      </c>
      <c r="BH13" s="179">
        <f t="shared" si="25"/>
        <v>82500</v>
      </c>
      <c r="BI13" s="179">
        <f t="shared" si="25"/>
        <v>82500</v>
      </c>
      <c r="BJ13" s="179">
        <f t="shared" si="25"/>
        <v>82500</v>
      </c>
      <c r="BK13" s="179">
        <f t="shared" si="25"/>
        <v>82500</v>
      </c>
      <c r="BL13" s="179">
        <f t="shared" si="25"/>
        <v>82500</v>
      </c>
      <c r="BM13" s="179">
        <f t="shared" si="25"/>
        <v>82500</v>
      </c>
      <c r="BN13" s="179">
        <f t="shared" si="25"/>
        <v>82500</v>
      </c>
    </row>
    <row r="14">
      <c r="A14" s="181"/>
      <c r="B14" s="182"/>
      <c r="C14" s="183"/>
      <c r="D14" s="183"/>
      <c r="E14" s="183"/>
      <c r="F14" s="183"/>
      <c r="G14" s="183"/>
      <c r="H14" s="184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4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  <c r="BL14" s="183"/>
      <c r="BM14" s="183"/>
      <c r="BN14" s="183"/>
    </row>
    <row r="15">
      <c r="A15" s="186" t="s">
        <v>207</v>
      </c>
      <c r="B15" s="187"/>
      <c r="C15" s="133"/>
      <c r="D15" s="133"/>
      <c r="E15" s="133"/>
      <c r="F15" s="133"/>
      <c r="G15" s="133"/>
      <c r="H15" s="134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4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  <c r="BL15" s="133"/>
      <c r="BM15" s="133"/>
      <c r="BN15" s="133"/>
    </row>
    <row r="16">
      <c r="A16" s="135" t="s">
        <v>208</v>
      </c>
      <c r="B16" s="136"/>
      <c r="C16" s="137"/>
      <c r="D16" s="137"/>
      <c r="E16" s="137"/>
      <c r="F16" s="137"/>
      <c r="G16" s="137"/>
      <c r="H16" s="137"/>
      <c r="I16" s="138"/>
      <c r="J16" s="138"/>
      <c r="K16" s="138"/>
      <c r="L16" s="138"/>
      <c r="M16" s="139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40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</row>
    <row r="17">
      <c r="A17" s="188" t="s">
        <v>209</v>
      </c>
      <c r="B17" s="144" t="s">
        <v>970</v>
      </c>
      <c r="C17" s="137">
        <v>1450.0</v>
      </c>
      <c r="D17" s="137">
        <v>1450.0</v>
      </c>
      <c r="E17" s="137">
        <v>1450.0</v>
      </c>
      <c r="F17" s="137">
        <v>1450.0</v>
      </c>
      <c r="G17" s="137">
        <v>1450.0</v>
      </c>
      <c r="H17" s="175">
        <f>1450+350</f>
        <v>1800</v>
      </c>
      <c r="I17" s="137">
        <f>1853+569</f>
        <v>2422</v>
      </c>
      <c r="J17" s="137">
        <v>0.0</v>
      </c>
      <c r="K17" s="137">
        <v>1000.0</v>
      </c>
      <c r="L17" s="137">
        <f>3383-1500</f>
        <v>1883</v>
      </c>
      <c r="M17" s="137">
        <f>1954</f>
        <v>1954</v>
      </c>
      <c r="N17" s="137">
        <v>1900.0</v>
      </c>
      <c r="O17" s="137">
        <v>1900.0</v>
      </c>
      <c r="P17" s="137">
        <v>1900.0</v>
      </c>
      <c r="Q17" s="137">
        <v>1900.0</v>
      </c>
      <c r="R17" s="137">
        <v>1921.0</v>
      </c>
      <c r="S17" s="137">
        <v>1921.0</v>
      </c>
      <c r="T17" s="189">
        <f>1921</f>
        <v>1921</v>
      </c>
      <c r="U17" s="190">
        <v>120.0</v>
      </c>
      <c r="V17" s="190">
        <f>120+700</f>
        <v>820</v>
      </c>
      <c r="W17" s="191">
        <f>sum(120+700)</f>
        <v>820</v>
      </c>
      <c r="X17" s="137">
        <f>sum(336,1740)</f>
        <v>2076</v>
      </c>
      <c r="Y17" s="137">
        <f>sum(1740)</f>
        <v>1740</v>
      </c>
      <c r="Z17" s="137">
        <v>1571.7</v>
      </c>
      <c r="AA17" s="137">
        <f t="shared" ref="AA17:AG17" si="26">sum(1740)</f>
        <v>1740</v>
      </c>
      <c r="AB17" s="137">
        <f t="shared" si="26"/>
        <v>1740</v>
      </c>
      <c r="AC17" s="137">
        <f t="shared" si="26"/>
        <v>1740</v>
      </c>
      <c r="AD17" s="137">
        <f t="shared" si="26"/>
        <v>1740</v>
      </c>
      <c r="AE17" s="137">
        <f t="shared" si="26"/>
        <v>1740</v>
      </c>
      <c r="AF17" s="137">
        <f t="shared" si="26"/>
        <v>1740</v>
      </c>
      <c r="AG17" s="137">
        <f t="shared" si="26"/>
        <v>1740</v>
      </c>
      <c r="AH17" s="175">
        <f>sum(4000,1700)</f>
        <v>5700</v>
      </c>
      <c r="AI17" s="137">
        <f>sum(2000)</f>
        <v>2000</v>
      </c>
      <c r="AJ17" s="137">
        <f t="shared" ref="AJ17:AT17" si="27">sum(2700)</f>
        <v>2700</v>
      </c>
      <c r="AK17" s="137">
        <f t="shared" si="27"/>
        <v>2700</v>
      </c>
      <c r="AL17" s="137">
        <f t="shared" si="27"/>
        <v>2700</v>
      </c>
      <c r="AM17" s="137">
        <f t="shared" si="27"/>
        <v>2700</v>
      </c>
      <c r="AN17" s="137">
        <f t="shared" si="27"/>
        <v>2700</v>
      </c>
      <c r="AO17" s="137">
        <f t="shared" si="27"/>
        <v>2700</v>
      </c>
      <c r="AP17" s="137">
        <f t="shared" si="27"/>
        <v>2700</v>
      </c>
      <c r="AQ17" s="137">
        <f t="shared" si="27"/>
        <v>2700</v>
      </c>
      <c r="AR17" s="137">
        <f t="shared" si="27"/>
        <v>2700</v>
      </c>
      <c r="AS17" s="137">
        <f t="shared" si="27"/>
        <v>2700</v>
      </c>
      <c r="AT17" s="137">
        <f t="shared" si="27"/>
        <v>2700</v>
      </c>
      <c r="AU17" s="137">
        <f t="shared" ref="AU17:AZ17" si="28">sum(2800)</f>
        <v>2800</v>
      </c>
      <c r="AV17" s="137">
        <f t="shared" si="28"/>
        <v>2800</v>
      </c>
      <c r="AW17" s="137">
        <f t="shared" si="28"/>
        <v>2800</v>
      </c>
      <c r="AX17" s="137">
        <f t="shared" si="28"/>
        <v>2800</v>
      </c>
      <c r="AY17" s="137">
        <f t="shared" si="28"/>
        <v>2800</v>
      </c>
      <c r="AZ17" s="137">
        <f t="shared" si="28"/>
        <v>2800</v>
      </c>
      <c r="BA17" s="137">
        <f t="shared" ref="BA17:BC17" si="29">-sum(2800)</f>
        <v>-2800</v>
      </c>
      <c r="BB17" s="137">
        <f t="shared" si="29"/>
        <v>-2800</v>
      </c>
      <c r="BC17" s="137">
        <f t="shared" si="29"/>
        <v>-2800</v>
      </c>
      <c r="BD17" s="137">
        <f>-sum(250000)</f>
        <v>-250000</v>
      </c>
      <c r="BE17" s="137">
        <v>-30000.0</v>
      </c>
      <c r="BF17" s="137">
        <v>-30000.0</v>
      </c>
      <c r="BG17" s="137">
        <v>-30000.0</v>
      </c>
      <c r="BH17" s="137">
        <v>-30000.0</v>
      </c>
      <c r="BI17" s="137">
        <v>-30000.0</v>
      </c>
      <c r="BJ17" s="137">
        <v>-30000.0</v>
      </c>
      <c r="BK17" s="137">
        <v>-30000.0</v>
      </c>
      <c r="BL17" s="137">
        <v>-30000.0</v>
      </c>
      <c r="BM17" s="137">
        <v>30000.0</v>
      </c>
      <c r="BN17" s="137">
        <v>30000.0</v>
      </c>
    </row>
    <row r="18">
      <c r="A18" s="149"/>
      <c r="B18" s="144" t="s">
        <v>568</v>
      </c>
      <c r="C18" s="145">
        <v>9.0</v>
      </c>
      <c r="D18" s="145">
        <v>9.0</v>
      </c>
      <c r="E18" s="145">
        <v>9.0</v>
      </c>
      <c r="F18" s="145">
        <v>9.0</v>
      </c>
      <c r="G18" s="145">
        <v>9.0</v>
      </c>
      <c r="H18" s="146">
        <v>9.0</v>
      </c>
      <c r="I18" s="145">
        <v>9.0</v>
      </c>
      <c r="J18" s="145">
        <f t="shared" ref="J18:L18" si="30">18.42/2</f>
        <v>9.21</v>
      </c>
      <c r="K18" s="145">
        <f t="shared" si="30"/>
        <v>9.21</v>
      </c>
      <c r="L18" s="145">
        <f t="shared" si="30"/>
        <v>9.21</v>
      </c>
      <c r="M18" s="145">
        <v>11.0</v>
      </c>
      <c r="N18" s="145">
        <f t="shared" ref="N18:T18" si="31">18.42/2</f>
        <v>9.21</v>
      </c>
      <c r="O18" s="145">
        <f t="shared" si="31"/>
        <v>9.21</v>
      </c>
      <c r="P18" s="145">
        <f t="shared" si="31"/>
        <v>9.21</v>
      </c>
      <c r="Q18" s="145">
        <f t="shared" si="31"/>
        <v>9.21</v>
      </c>
      <c r="R18" s="145">
        <f t="shared" si="31"/>
        <v>9.21</v>
      </c>
      <c r="S18" s="145">
        <f t="shared" si="31"/>
        <v>9.21</v>
      </c>
      <c r="T18" s="145">
        <f t="shared" si="31"/>
        <v>9.21</v>
      </c>
      <c r="U18" s="695">
        <v>0.0</v>
      </c>
      <c r="V18" s="695">
        <v>0.0</v>
      </c>
      <c r="W18" s="145">
        <v>0.0</v>
      </c>
      <c r="X18" s="145">
        <v>0.0</v>
      </c>
      <c r="Y18" s="145">
        <v>0.0</v>
      </c>
      <c r="Z18" s="145">
        <v>0.0</v>
      </c>
      <c r="AA18" s="145">
        <v>9.0</v>
      </c>
      <c r="AB18" s="145">
        <v>9.0</v>
      </c>
      <c r="AC18" s="145">
        <v>0.0</v>
      </c>
      <c r="AD18" s="145">
        <v>0.0</v>
      </c>
      <c r="AE18" s="145">
        <v>0.0</v>
      </c>
      <c r="AF18" s="145">
        <v>0.0</v>
      </c>
      <c r="AG18" s="145">
        <v>0.0</v>
      </c>
      <c r="AH18" s="146">
        <v>0.0</v>
      </c>
      <c r="AI18" s="145">
        <v>0.0</v>
      </c>
      <c r="AJ18" s="145">
        <v>0.0</v>
      </c>
      <c r="AK18" s="145">
        <v>0.0</v>
      </c>
      <c r="AL18" s="145">
        <v>0.0</v>
      </c>
      <c r="AM18" s="145">
        <v>0.0</v>
      </c>
      <c r="AN18" s="145">
        <v>0.0</v>
      </c>
      <c r="AO18" s="145">
        <v>0.0</v>
      </c>
      <c r="AP18" s="145">
        <v>0.0</v>
      </c>
      <c r="AQ18" s="145">
        <v>0.0</v>
      </c>
      <c r="AR18" s="145">
        <v>0.0</v>
      </c>
      <c r="AS18" s="145">
        <v>0.0</v>
      </c>
      <c r="AT18" s="145">
        <v>0.0</v>
      </c>
      <c r="AU18" s="145">
        <v>0.0</v>
      </c>
      <c r="AV18" s="145">
        <v>0.0</v>
      </c>
      <c r="AW18" s="145">
        <v>0.0</v>
      </c>
      <c r="AX18" s="145">
        <v>0.0</v>
      </c>
      <c r="AY18" s="145">
        <v>0.0</v>
      </c>
      <c r="AZ18" s="145">
        <v>0.0</v>
      </c>
      <c r="BA18" s="145">
        <v>0.0</v>
      </c>
      <c r="BB18" s="145">
        <v>0.0</v>
      </c>
      <c r="BC18" s="145">
        <v>0.0</v>
      </c>
      <c r="BD18" s="145">
        <v>0.0</v>
      </c>
      <c r="BE18" s="145">
        <v>0.0</v>
      </c>
      <c r="BF18" s="145">
        <v>0.0</v>
      </c>
      <c r="BG18" s="145">
        <v>0.0</v>
      </c>
      <c r="BH18" s="145">
        <v>0.0</v>
      </c>
      <c r="BI18" s="145">
        <v>0.0</v>
      </c>
      <c r="BJ18" s="145">
        <v>0.0</v>
      </c>
      <c r="BK18" s="145">
        <v>0.0</v>
      </c>
      <c r="BL18" s="145">
        <v>0.0</v>
      </c>
      <c r="BM18" s="145">
        <v>0.0</v>
      </c>
      <c r="BN18" s="145">
        <v>0.0</v>
      </c>
    </row>
    <row r="19">
      <c r="A19" s="149"/>
      <c r="B19" s="144" t="s">
        <v>211</v>
      </c>
      <c r="C19" s="137"/>
      <c r="D19" s="137"/>
      <c r="E19" s="137"/>
      <c r="F19" s="137"/>
      <c r="G19" s="137"/>
      <c r="H19" s="175"/>
      <c r="I19" s="137">
        <v>100.0</v>
      </c>
      <c r="J19" s="137">
        <v>35.0</v>
      </c>
      <c r="K19" s="137">
        <v>90.0</v>
      </c>
      <c r="L19" s="137">
        <f>90</f>
        <v>90</v>
      </c>
      <c r="M19" s="137">
        <v>20.0</v>
      </c>
      <c r="N19" s="137">
        <v>90.0</v>
      </c>
      <c r="O19" s="137">
        <v>90.0</v>
      </c>
      <c r="P19" s="137">
        <v>90.0</v>
      </c>
      <c r="Q19" s="137">
        <v>90.0</v>
      </c>
      <c r="R19" s="137">
        <v>90.0</v>
      </c>
      <c r="S19" s="137">
        <v>90.0</v>
      </c>
      <c r="T19" s="137">
        <v>90.0</v>
      </c>
      <c r="U19" s="191">
        <v>0.0</v>
      </c>
      <c r="V19" s="191">
        <v>0.0</v>
      </c>
      <c r="W19" s="145">
        <v>0.0</v>
      </c>
      <c r="X19" s="145">
        <v>0.0</v>
      </c>
      <c r="Y19" s="137">
        <v>90.0</v>
      </c>
      <c r="Z19" s="137">
        <v>90.0</v>
      </c>
      <c r="AA19" s="137">
        <v>90.0</v>
      </c>
      <c r="AB19" s="137">
        <v>90.0</v>
      </c>
      <c r="AC19" s="137">
        <v>90.0</v>
      </c>
      <c r="AD19" s="137">
        <v>90.0</v>
      </c>
      <c r="AE19" s="137">
        <v>90.0</v>
      </c>
      <c r="AF19" s="137">
        <v>90.0</v>
      </c>
      <c r="AG19" s="137">
        <v>90.0</v>
      </c>
      <c r="AH19" s="175">
        <v>90.0</v>
      </c>
      <c r="AI19" s="137">
        <v>90.0</v>
      </c>
      <c r="AJ19" s="137">
        <v>90.0</v>
      </c>
      <c r="AK19" s="137">
        <v>90.0</v>
      </c>
      <c r="AL19" s="137">
        <v>90.0</v>
      </c>
      <c r="AM19" s="137">
        <v>90.0</v>
      </c>
      <c r="AN19" s="137">
        <v>90.0</v>
      </c>
      <c r="AO19" s="137">
        <v>90.0</v>
      </c>
      <c r="AP19" s="137">
        <v>90.0</v>
      </c>
      <c r="AQ19" s="137">
        <v>90.0</v>
      </c>
      <c r="AR19" s="137">
        <v>90.0</v>
      </c>
      <c r="AS19" s="137">
        <v>90.0</v>
      </c>
      <c r="AT19" s="137">
        <v>90.0</v>
      </c>
      <c r="AU19" s="137">
        <v>90.0</v>
      </c>
      <c r="AV19" s="137">
        <v>90.0</v>
      </c>
      <c r="AW19" s="137">
        <v>90.0</v>
      </c>
      <c r="AX19" s="137">
        <v>90.0</v>
      </c>
      <c r="AY19" s="137">
        <v>90.0</v>
      </c>
      <c r="AZ19" s="137">
        <v>90.0</v>
      </c>
      <c r="BA19" s="137">
        <v>-90.0</v>
      </c>
      <c r="BB19" s="137">
        <v>-90.0</v>
      </c>
      <c r="BC19" s="137">
        <v>-90.0</v>
      </c>
      <c r="BD19" s="137">
        <v>-90.0</v>
      </c>
      <c r="BE19" s="137">
        <v>-90.0</v>
      </c>
      <c r="BF19" s="137">
        <v>-90.0</v>
      </c>
      <c r="BG19" s="137">
        <v>-90.0</v>
      </c>
      <c r="BH19" s="137">
        <v>-90.0</v>
      </c>
      <c r="BI19" s="137">
        <v>-90.0</v>
      </c>
      <c r="BJ19" s="137">
        <v>-90.0</v>
      </c>
      <c r="BK19" s="137">
        <v>-90.0</v>
      </c>
      <c r="BL19" s="137">
        <v>-90.0</v>
      </c>
      <c r="BM19" s="137">
        <v>-90.0</v>
      </c>
      <c r="BN19" s="137">
        <v>-90.0</v>
      </c>
    </row>
    <row r="20">
      <c r="A20" s="149"/>
      <c r="B20" s="144" t="s">
        <v>212</v>
      </c>
      <c r="C20" s="145">
        <f t="shared" ref="C20:T20" si="32">62.95/2</f>
        <v>31.475</v>
      </c>
      <c r="D20" s="145">
        <f t="shared" si="32"/>
        <v>31.475</v>
      </c>
      <c r="E20" s="145">
        <f t="shared" si="32"/>
        <v>31.475</v>
      </c>
      <c r="F20" s="145">
        <f t="shared" si="32"/>
        <v>31.475</v>
      </c>
      <c r="G20" s="145">
        <f t="shared" si="32"/>
        <v>31.475</v>
      </c>
      <c r="H20" s="146">
        <f t="shared" si="32"/>
        <v>31.475</v>
      </c>
      <c r="I20" s="145">
        <f t="shared" si="32"/>
        <v>31.475</v>
      </c>
      <c r="J20" s="145">
        <f t="shared" si="32"/>
        <v>31.475</v>
      </c>
      <c r="K20" s="145">
        <f t="shared" si="32"/>
        <v>31.475</v>
      </c>
      <c r="L20" s="145">
        <f t="shared" si="32"/>
        <v>31.475</v>
      </c>
      <c r="M20" s="145">
        <f t="shared" si="32"/>
        <v>31.475</v>
      </c>
      <c r="N20" s="145">
        <f t="shared" si="32"/>
        <v>31.475</v>
      </c>
      <c r="O20" s="145">
        <f t="shared" si="32"/>
        <v>31.475</v>
      </c>
      <c r="P20" s="145">
        <f t="shared" si="32"/>
        <v>31.475</v>
      </c>
      <c r="Q20" s="145">
        <f t="shared" si="32"/>
        <v>31.475</v>
      </c>
      <c r="R20" s="145">
        <f t="shared" si="32"/>
        <v>31.475</v>
      </c>
      <c r="S20" s="145">
        <f t="shared" si="32"/>
        <v>31.475</v>
      </c>
      <c r="T20" s="145">
        <f t="shared" si="32"/>
        <v>31.475</v>
      </c>
      <c r="U20" s="145">
        <v>0.0</v>
      </c>
      <c r="V20" s="145">
        <v>0.0</v>
      </c>
      <c r="W20" s="145">
        <v>0.0</v>
      </c>
      <c r="X20" s="145">
        <v>0.0</v>
      </c>
      <c r="Y20" s="145">
        <f>62.95/2</f>
        <v>31.475</v>
      </c>
      <c r="Z20" s="145">
        <f>91/2</f>
        <v>45.5</v>
      </c>
      <c r="AA20" s="145">
        <f t="shared" ref="AA20:AG20" si="33">62.95/2</f>
        <v>31.475</v>
      </c>
      <c r="AB20" s="145">
        <f t="shared" si="33"/>
        <v>31.475</v>
      </c>
      <c r="AC20" s="145">
        <f t="shared" si="33"/>
        <v>31.475</v>
      </c>
      <c r="AD20" s="145">
        <f t="shared" si="33"/>
        <v>31.475</v>
      </c>
      <c r="AE20" s="145">
        <f t="shared" si="33"/>
        <v>31.475</v>
      </c>
      <c r="AF20" s="145">
        <f t="shared" si="33"/>
        <v>31.475</v>
      </c>
      <c r="AG20" s="145">
        <f t="shared" si="33"/>
        <v>31.475</v>
      </c>
      <c r="AH20" s="146">
        <f>0</f>
        <v>0</v>
      </c>
      <c r="AI20" s="145">
        <f t="shared" ref="AI20:AZ20" si="34">100/2</f>
        <v>50</v>
      </c>
      <c r="AJ20" s="145">
        <f t="shared" si="34"/>
        <v>50</v>
      </c>
      <c r="AK20" s="145">
        <f t="shared" si="34"/>
        <v>50</v>
      </c>
      <c r="AL20" s="145">
        <f t="shared" si="34"/>
        <v>50</v>
      </c>
      <c r="AM20" s="145">
        <f t="shared" si="34"/>
        <v>50</v>
      </c>
      <c r="AN20" s="145">
        <f t="shared" si="34"/>
        <v>50</v>
      </c>
      <c r="AO20" s="145">
        <f t="shared" si="34"/>
        <v>50</v>
      </c>
      <c r="AP20" s="145">
        <f t="shared" si="34"/>
        <v>50</v>
      </c>
      <c r="AQ20" s="145">
        <f t="shared" si="34"/>
        <v>50</v>
      </c>
      <c r="AR20" s="145">
        <f t="shared" si="34"/>
        <v>50</v>
      </c>
      <c r="AS20" s="145">
        <f t="shared" si="34"/>
        <v>50</v>
      </c>
      <c r="AT20" s="145">
        <f t="shared" si="34"/>
        <v>50</v>
      </c>
      <c r="AU20" s="145">
        <f t="shared" si="34"/>
        <v>50</v>
      </c>
      <c r="AV20" s="145">
        <f t="shared" si="34"/>
        <v>50</v>
      </c>
      <c r="AW20" s="145">
        <f t="shared" si="34"/>
        <v>50</v>
      </c>
      <c r="AX20" s="145">
        <f t="shared" si="34"/>
        <v>50</v>
      </c>
      <c r="AY20" s="145">
        <f t="shared" si="34"/>
        <v>50</v>
      </c>
      <c r="AZ20" s="145">
        <f t="shared" si="34"/>
        <v>50</v>
      </c>
      <c r="BA20" s="145">
        <f t="shared" ref="BA20:BN20" si="35">-100/2</f>
        <v>-50</v>
      </c>
      <c r="BB20" s="145">
        <f t="shared" si="35"/>
        <v>-50</v>
      </c>
      <c r="BC20" s="145">
        <f t="shared" si="35"/>
        <v>-50</v>
      </c>
      <c r="BD20" s="145">
        <f t="shared" si="35"/>
        <v>-50</v>
      </c>
      <c r="BE20" s="145">
        <f t="shared" si="35"/>
        <v>-50</v>
      </c>
      <c r="BF20" s="145">
        <f t="shared" si="35"/>
        <v>-50</v>
      </c>
      <c r="BG20" s="145">
        <f t="shared" si="35"/>
        <v>-50</v>
      </c>
      <c r="BH20" s="145">
        <f t="shared" si="35"/>
        <v>-50</v>
      </c>
      <c r="BI20" s="145">
        <f t="shared" si="35"/>
        <v>-50</v>
      </c>
      <c r="BJ20" s="145">
        <f t="shared" si="35"/>
        <v>-50</v>
      </c>
      <c r="BK20" s="145">
        <f t="shared" si="35"/>
        <v>-50</v>
      </c>
      <c r="BL20" s="145">
        <f t="shared" si="35"/>
        <v>-50</v>
      </c>
      <c r="BM20" s="145">
        <f t="shared" si="35"/>
        <v>-50</v>
      </c>
      <c r="BN20" s="145">
        <f t="shared" si="35"/>
        <v>-50</v>
      </c>
    </row>
    <row r="21">
      <c r="A21" s="149"/>
      <c r="B21" s="144" t="s">
        <v>22</v>
      </c>
      <c r="C21" s="137"/>
      <c r="D21" s="137"/>
      <c r="E21" s="137"/>
      <c r="F21" s="137"/>
      <c r="G21" s="137"/>
      <c r="H21" s="175"/>
      <c r="I21" s="137">
        <v>400.0</v>
      </c>
      <c r="J21" s="137">
        <f>75*4</f>
        <v>300</v>
      </c>
      <c r="K21" s="137">
        <f>50*4</f>
        <v>200</v>
      </c>
      <c r="L21" s="137">
        <f t="shared" ref="L21:O21" si="36">55*4</f>
        <v>220</v>
      </c>
      <c r="M21" s="137">
        <f t="shared" si="36"/>
        <v>220</v>
      </c>
      <c r="N21" s="137">
        <f t="shared" si="36"/>
        <v>220</v>
      </c>
      <c r="O21" s="137">
        <f t="shared" si="36"/>
        <v>220</v>
      </c>
      <c r="P21" s="137">
        <f>60*4</f>
        <v>240</v>
      </c>
      <c r="Q21" s="137">
        <f>200+150+250</f>
        <v>600</v>
      </c>
      <c r="R21" s="137">
        <f>195+200+150</f>
        <v>545</v>
      </c>
      <c r="S21" s="137">
        <f>100*4</f>
        <v>400</v>
      </c>
      <c r="T21" s="137">
        <f t="shared" ref="T21:AJ21" si="37">60*4</f>
        <v>240</v>
      </c>
      <c r="U21" s="137">
        <f t="shared" si="37"/>
        <v>240</v>
      </c>
      <c r="V21" s="137">
        <f t="shared" si="37"/>
        <v>240</v>
      </c>
      <c r="W21" s="137">
        <f t="shared" si="37"/>
        <v>240</v>
      </c>
      <c r="X21" s="137">
        <f t="shared" si="37"/>
        <v>240</v>
      </c>
      <c r="Y21" s="137">
        <f t="shared" si="37"/>
        <v>240</v>
      </c>
      <c r="Z21" s="137">
        <f t="shared" si="37"/>
        <v>240</v>
      </c>
      <c r="AA21" s="137">
        <f t="shared" si="37"/>
        <v>240</v>
      </c>
      <c r="AB21" s="137">
        <f t="shared" si="37"/>
        <v>240</v>
      </c>
      <c r="AC21" s="137">
        <f t="shared" si="37"/>
        <v>240</v>
      </c>
      <c r="AD21" s="137">
        <f t="shared" si="37"/>
        <v>240</v>
      </c>
      <c r="AE21" s="137">
        <f t="shared" si="37"/>
        <v>240</v>
      </c>
      <c r="AF21" s="137">
        <f t="shared" si="37"/>
        <v>240</v>
      </c>
      <c r="AG21" s="137">
        <f t="shared" si="37"/>
        <v>240</v>
      </c>
      <c r="AH21" s="175">
        <f t="shared" si="37"/>
        <v>240</v>
      </c>
      <c r="AI21" s="137">
        <f t="shared" si="37"/>
        <v>240</v>
      </c>
      <c r="AJ21" s="137">
        <f t="shared" si="37"/>
        <v>240</v>
      </c>
      <c r="AK21" s="137">
        <f t="shared" ref="AK21:AZ21" si="38">100*4</f>
        <v>400</v>
      </c>
      <c r="AL21" s="137">
        <f t="shared" si="38"/>
        <v>400</v>
      </c>
      <c r="AM21" s="137">
        <f t="shared" si="38"/>
        <v>400</v>
      </c>
      <c r="AN21" s="137">
        <f t="shared" si="38"/>
        <v>400</v>
      </c>
      <c r="AO21" s="137">
        <f t="shared" si="38"/>
        <v>400</v>
      </c>
      <c r="AP21" s="137">
        <f t="shared" si="38"/>
        <v>400</v>
      </c>
      <c r="AQ21" s="137">
        <f t="shared" si="38"/>
        <v>400</v>
      </c>
      <c r="AR21" s="137">
        <f t="shared" si="38"/>
        <v>400</v>
      </c>
      <c r="AS21" s="137">
        <f t="shared" si="38"/>
        <v>400</v>
      </c>
      <c r="AT21" s="137">
        <f t="shared" si="38"/>
        <v>400</v>
      </c>
      <c r="AU21" s="137">
        <f t="shared" si="38"/>
        <v>400</v>
      </c>
      <c r="AV21" s="137">
        <f t="shared" si="38"/>
        <v>400</v>
      </c>
      <c r="AW21" s="137">
        <f t="shared" si="38"/>
        <v>400</v>
      </c>
      <c r="AX21" s="137">
        <f t="shared" si="38"/>
        <v>400</v>
      </c>
      <c r="AY21" s="137">
        <f t="shared" si="38"/>
        <v>400</v>
      </c>
      <c r="AZ21" s="137">
        <f t="shared" si="38"/>
        <v>400</v>
      </c>
      <c r="BA21" s="137">
        <f t="shared" ref="BA21:BN21" si="39">-100*4</f>
        <v>-400</v>
      </c>
      <c r="BB21" s="137">
        <f t="shared" si="39"/>
        <v>-400</v>
      </c>
      <c r="BC21" s="137">
        <f t="shared" si="39"/>
        <v>-400</v>
      </c>
      <c r="BD21" s="137">
        <f t="shared" si="39"/>
        <v>-400</v>
      </c>
      <c r="BE21" s="137">
        <f t="shared" si="39"/>
        <v>-400</v>
      </c>
      <c r="BF21" s="137">
        <f t="shared" si="39"/>
        <v>-400</v>
      </c>
      <c r="BG21" s="137">
        <f t="shared" si="39"/>
        <v>-400</v>
      </c>
      <c r="BH21" s="137">
        <f t="shared" si="39"/>
        <v>-400</v>
      </c>
      <c r="BI21" s="137">
        <f t="shared" si="39"/>
        <v>-400</v>
      </c>
      <c r="BJ21" s="137">
        <f t="shared" si="39"/>
        <v>-400</v>
      </c>
      <c r="BK21" s="137">
        <f t="shared" si="39"/>
        <v>-400</v>
      </c>
      <c r="BL21" s="137">
        <f t="shared" si="39"/>
        <v>-400</v>
      </c>
      <c r="BM21" s="137">
        <f t="shared" si="39"/>
        <v>-400</v>
      </c>
      <c r="BN21" s="137">
        <f t="shared" si="39"/>
        <v>-400</v>
      </c>
    </row>
    <row r="22">
      <c r="A22" s="188" t="s">
        <v>213</v>
      </c>
      <c r="B22" s="144" t="s">
        <v>214</v>
      </c>
      <c r="C22" s="145"/>
      <c r="D22" s="145"/>
      <c r="E22" s="145">
        <v>100.0</v>
      </c>
      <c r="F22" s="145">
        <v>128.79</v>
      </c>
      <c r="G22" s="145">
        <v>120.0</v>
      </c>
      <c r="H22" s="146">
        <f>120+500</f>
        <v>620</v>
      </c>
      <c r="I22" s="145">
        <v>120.64</v>
      </c>
      <c r="J22" s="145">
        <v>120.64</v>
      </c>
      <c r="K22" s="145">
        <v>120.64</v>
      </c>
      <c r="L22" s="145">
        <v>150.0</v>
      </c>
      <c r="M22" s="145">
        <v>120.64</v>
      </c>
      <c r="N22" s="145">
        <v>120.64</v>
      </c>
      <c r="O22" s="145">
        <v>120.0</v>
      </c>
      <c r="P22" s="145">
        <v>120.0</v>
      </c>
      <c r="Q22" s="145">
        <v>120.0</v>
      </c>
      <c r="R22" s="145">
        <v>120.0</v>
      </c>
      <c r="S22" s="145">
        <v>120.0</v>
      </c>
      <c r="T22" s="145">
        <v>120.0</v>
      </c>
      <c r="U22" s="145">
        <v>120.0</v>
      </c>
      <c r="V22" s="145">
        <v>120.0</v>
      </c>
      <c r="W22" s="145">
        <v>120.0</v>
      </c>
      <c r="X22" s="145">
        <v>120.0</v>
      </c>
      <c r="Y22" s="145">
        <v>150.0</v>
      </c>
      <c r="Z22" s="145">
        <v>185.09</v>
      </c>
      <c r="AA22" s="145">
        <v>185.09</v>
      </c>
      <c r="AB22" s="145">
        <v>185.09</v>
      </c>
      <c r="AC22" s="145">
        <v>185.09</v>
      </c>
      <c r="AD22" s="145">
        <v>185.09</v>
      </c>
      <c r="AE22" s="145">
        <v>185.09</v>
      </c>
      <c r="AF22" s="145">
        <v>185.09</v>
      </c>
      <c r="AG22" s="145">
        <v>185.09</v>
      </c>
      <c r="AH22" s="146">
        <v>185.09</v>
      </c>
      <c r="AI22" s="145">
        <v>185.09</v>
      </c>
      <c r="AJ22" s="145">
        <v>185.09</v>
      </c>
      <c r="AK22" s="145">
        <v>0.0</v>
      </c>
      <c r="AL22" s="145">
        <v>0.0</v>
      </c>
      <c r="AM22" s="145">
        <v>0.0</v>
      </c>
      <c r="AN22" s="145">
        <v>0.0</v>
      </c>
      <c r="AO22" s="145">
        <v>0.0</v>
      </c>
      <c r="AP22" s="145">
        <v>0.0</v>
      </c>
      <c r="AQ22" s="145">
        <v>0.0</v>
      </c>
      <c r="AR22" s="145">
        <v>0.0</v>
      </c>
      <c r="AS22" s="145">
        <v>0.0</v>
      </c>
      <c r="AT22" s="145">
        <v>0.0</v>
      </c>
      <c r="AU22" s="145">
        <v>0.0</v>
      </c>
      <c r="AV22" s="145">
        <v>0.0</v>
      </c>
      <c r="AW22" s="145">
        <v>150.0</v>
      </c>
      <c r="AX22" s="145">
        <v>150.0</v>
      </c>
      <c r="AY22" s="145">
        <v>150.0</v>
      </c>
      <c r="AZ22" s="145">
        <v>150.0</v>
      </c>
      <c r="BA22" s="145">
        <v>-150.0</v>
      </c>
      <c r="BB22" s="145">
        <v>-150.0</v>
      </c>
      <c r="BC22" s="145">
        <v>-150.0</v>
      </c>
      <c r="BD22" s="145">
        <v>-150.0</v>
      </c>
      <c r="BE22" s="145">
        <v>-150.0</v>
      </c>
      <c r="BF22" s="145">
        <v>-150.0</v>
      </c>
      <c r="BG22" s="145">
        <v>-150.0</v>
      </c>
      <c r="BH22" s="145">
        <v>-150.0</v>
      </c>
      <c r="BI22" s="145">
        <v>-150.0</v>
      </c>
      <c r="BJ22" s="145">
        <v>-150.0</v>
      </c>
      <c r="BK22" s="145">
        <v>-150.0</v>
      </c>
      <c r="BL22" s="145">
        <v>-150.0</v>
      </c>
      <c r="BM22" s="145">
        <v>-150.0</v>
      </c>
      <c r="BN22" s="145">
        <v>-150.0</v>
      </c>
    </row>
    <row r="23">
      <c r="A23" s="188" t="s">
        <v>215</v>
      </c>
      <c r="B23" s="144" t="s">
        <v>215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>
        <v>0.0</v>
      </c>
      <c r="O23" s="137">
        <v>0.0</v>
      </c>
      <c r="P23" s="137">
        <v>0.0</v>
      </c>
      <c r="Q23" s="137">
        <v>0.0</v>
      </c>
      <c r="R23" s="137">
        <v>0.0</v>
      </c>
      <c r="S23" s="189">
        <v>0.0</v>
      </c>
      <c r="T23" s="193">
        <v>200.0</v>
      </c>
      <c r="U23" s="189">
        <v>0.0</v>
      </c>
      <c r="V23" s="137">
        <f>sum(116,60,300,300)</f>
        <v>776</v>
      </c>
      <c r="W23" s="137">
        <f>sum(343,60,75)</f>
        <v>478</v>
      </c>
      <c r="X23" s="137">
        <f>sum(343,180,150)</f>
        <v>673</v>
      </c>
      <c r="Y23" s="137">
        <f t="shared" ref="Y23:AH23" si="40">sum(343,180,100)</f>
        <v>623</v>
      </c>
      <c r="Z23" s="137">
        <f t="shared" si="40"/>
        <v>623</v>
      </c>
      <c r="AA23" s="137">
        <f t="shared" si="40"/>
        <v>623</v>
      </c>
      <c r="AB23" s="137">
        <f t="shared" si="40"/>
        <v>623</v>
      </c>
      <c r="AC23" s="137">
        <f t="shared" si="40"/>
        <v>623</v>
      </c>
      <c r="AD23" s="137">
        <f t="shared" si="40"/>
        <v>623</v>
      </c>
      <c r="AE23" s="137">
        <f t="shared" si="40"/>
        <v>623</v>
      </c>
      <c r="AF23" s="194">
        <f t="shared" si="40"/>
        <v>623</v>
      </c>
      <c r="AG23" s="194">
        <f t="shared" si="40"/>
        <v>623</v>
      </c>
      <c r="AH23" s="195">
        <f t="shared" si="40"/>
        <v>623</v>
      </c>
      <c r="AI23" s="137">
        <v>400.0</v>
      </c>
      <c r="AJ23" s="137">
        <v>0.0</v>
      </c>
      <c r="AK23" s="137">
        <v>0.0</v>
      </c>
      <c r="AL23" s="137">
        <v>175.0</v>
      </c>
      <c r="AM23" s="137">
        <v>0.0</v>
      </c>
      <c r="AN23" s="137">
        <v>0.0</v>
      </c>
      <c r="AO23" s="137">
        <v>0.0</v>
      </c>
      <c r="AP23" s="137">
        <v>0.0</v>
      </c>
      <c r="AQ23" s="137">
        <v>0.0</v>
      </c>
      <c r="AR23" s="137">
        <v>0.0</v>
      </c>
      <c r="AS23" s="137">
        <v>0.0</v>
      </c>
      <c r="AT23" s="137">
        <v>0.0</v>
      </c>
      <c r="AU23" s="137">
        <v>0.0</v>
      </c>
      <c r="AV23" s="137">
        <v>0.0</v>
      </c>
      <c r="AW23" s="137">
        <v>0.0</v>
      </c>
      <c r="AX23" s="137">
        <v>0.0</v>
      </c>
      <c r="AY23" s="137">
        <v>0.0</v>
      </c>
      <c r="AZ23" s="137">
        <v>0.0</v>
      </c>
      <c r="BA23" s="137">
        <v>0.0</v>
      </c>
      <c r="BB23" s="137">
        <v>0.0</v>
      </c>
      <c r="BC23" s="137">
        <v>0.0</v>
      </c>
      <c r="BD23" s="137">
        <v>0.0</v>
      </c>
      <c r="BE23" s="137">
        <v>0.0</v>
      </c>
      <c r="BF23" s="137">
        <v>0.0</v>
      </c>
      <c r="BG23" s="137">
        <v>0.0</v>
      </c>
      <c r="BH23" s="137">
        <v>0.0</v>
      </c>
      <c r="BI23" s="137">
        <v>0.0</v>
      </c>
      <c r="BJ23" s="137">
        <v>0.0</v>
      </c>
      <c r="BK23" s="137">
        <v>0.0</v>
      </c>
      <c r="BL23" s="137">
        <v>0.0</v>
      </c>
      <c r="BM23" s="137">
        <v>0.0</v>
      </c>
      <c r="BN23" s="137">
        <v>0.0</v>
      </c>
    </row>
    <row r="24">
      <c r="A24" s="188" t="s">
        <v>216</v>
      </c>
      <c r="B24" s="144" t="s">
        <v>217</v>
      </c>
      <c r="C24" s="137"/>
      <c r="D24" s="137"/>
      <c r="E24" s="137"/>
      <c r="F24" s="137"/>
      <c r="G24" s="137"/>
      <c r="H24" s="137"/>
      <c r="I24" s="137"/>
      <c r="J24" s="137">
        <f>170*4-20</f>
        <v>660</v>
      </c>
      <c r="K24" s="137">
        <f t="shared" ref="K24:L24" si="41">22*7*4</f>
        <v>616</v>
      </c>
      <c r="L24" s="137">
        <f t="shared" si="41"/>
        <v>616</v>
      </c>
      <c r="M24" s="137">
        <f t="shared" ref="M24:N24" si="42">20*4*4</f>
        <v>320</v>
      </c>
      <c r="N24" s="137">
        <f t="shared" si="42"/>
        <v>320</v>
      </c>
      <c r="O24" s="137">
        <f>15*7*4</f>
        <v>420</v>
      </c>
      <c r="P24" s="137">
        <f>15*30</f>
        <v>450</v>
      </c>
      <c r="Q24" s="137">
        <f>15*5</f>
        <v>75</v>
      </c>
      <c r="R24" s="137">
        <f t="shared" ref="R24:S24" si="43">10*4</f>
        <v>40</v>
      </c>
      <c r="S24" s="137">
        <f t="shared" si="43"/>
        <v>40</v>
      </c>
      <c r="T24" s="137">
        <f>10*20</f>
        <v>200</v>
      </c>
      <c r="U24" s="137">
        <f>10*10</f>
        <v>100</v>
      </c>
      <c r="V24" s="137">
        <v>0.0</v>
      </c>
      <c r="W24" s="137">
        <v>0.0</v>
      </c>
      <c r="X24" s="137">
        <v>25.0</v>
      </c>
      <c r="Y24" s="137">
        <v>25.0</v>
      </c>
      <c r="Z24" s="137">
        <v>25.0</v>
      </c>
      <c r="AA24" s="137">
        <v>25.0</v>
      </c>
      <c r="AB24" s="137">
        <v>25.0</v>
      </c>
      <c r="AC24" s="137">
        <v>25.0</v>
      </c>
      <c r="AD24" s="137">
        <v>25.0</v>
      </c>
      <c r="AE24" s="137">
        <v>25.0</v>
      </c>
      <c r="AF24" s="137">
        <v>25.0</v>
      </c>
      <c r="AG24" s="137">
        <v>25.0</v>
      </c>
      <c r="AH24" s="175">
        <v>100.0</v>
      </c>
      <c r="AI24" s="137">
        <v>200.0</v>
      </c>
      <c r="AJ24" s="137">
        <v>100.0</v>
      </c>
      <c r="AK24" s="137">
        <v>100.0</v>
      </c>
      <c r="AL24" s="137">
        <v>100.0</v>
      </c>
      <c r="AM24" s="137">
        <v>100.0</v>
      </c>
      <c r="AN24" s="137">
        <v>100.0</v>
      </c>
      <c r="AO24" s="137">
        <v>100.0</v>
      </c>
      <c r="AP24" s="137">
        <v>100.0</v>
      </c>
      <c r="AQ24" s="137">
        <v>100.0</v>
      </c>
      <c r="AR24" s="137">
        <v>100.0</v>
      </c>
      <c r="AS24" s="137">
        <v>100.0</v>
      </c>
      <c r="AT24" s="137">
        <v>100.0</v>
      </c>
      <c r="AU24" s="137">
        <v>100.0</v>
      </c>
      <c r="AV24" s="137">
        <v>100.0</v>
      </c>
      <c r="AW24" s="137">
        <v>100.0</v>
      </c>
      <c r="AX24" s="137">
        <v>100.0</v>
      </c>
      <c r="AY24" s="137">
        <v>100.0</v>
      </c>
      <c r="AZ24" s="137">
        <v>100.0</v>
      </c>
      <c r="BA24" s="137">
        <v>-100.0</v>
      </c>
      <c r="BB24" s="137">
        <v>-100.0</v>
      </c>
      <c r="BC24" s="137">
        <v>-100.0</v>
      </c>
      <c r="BD24" s="137">
        <v>-100.0</v>
      </c>
      <c r="BE24" s="137">
        <v>-100.0</v>
      </c>
      <c r="BF24" s="137">
        <v>-100.0</v>
      </c>
      <c r="BG24" s="137">
        <v>-100.0</v>
      </c>
      <c r="BH24" s="137">
        <v>-100.0</v>
      </c>
      <c r="BI24" s="137">
        <v>-100.0</v>
      </c>
      <c r="BJ24" s="137">
        <v>-100.0</v>
      </c>
      <c r="BK24" s="137">
        <v>-100.0</v>
      </c>
      <c r="BL24" s="137">
        <v>-100.0</v>
      </c>
      <c r="BM24" s="137">
        <v>-100.0</v>
      </c>
      <c r="BN24" s="137">
        <v>-100.0</v>
      </c>
    </row>
    <row r="25">
      <c r="A25" s="149"/>
      <c r="B25" s="144" t="s">
        <v>218</v>
      </c>
      <c r="C25" s="137">
        <v>200.0</v>
      </c>
      <c r="D25" s="137">
        <v>200.0</v>
      </c>
      <c r="E25" s="137">
        <v>100.0</v>
      </c>
      <c r="F25" s="137">
        <v>200.0</v>
      </c>
      <c r="G25" s="137">
        <v>200.0</v>
      </c>
      <c r="H25" s="175">
        <v>200.0</v>
      </c>
      <c r="I25" s="137">
        <f>8*4*4+20*4</f>
        <v>208</v>
      </c>
      <c r="J25" s="137">
        <f>8*7*4</f>
        <v>224</v>
      </c>
      <c r="K25" s="137">
        <f>8*4*4</f>
        <v>128</v>
      </c>
      <c r="L25" s="137">
        <f>8*7*4</f>
        <v>224</v>
      </c>
      <c r="M25" s="137">
        <f>8*4*4</f>
        <v>128</v>
      </c>
      <c r="N25" s="137">
        <f>8*5*4</f>
        <v>160</v>
      </c>
      <c r="O25" s="137">
        <f>8*7*4</f>
        <v>224</v>
      </c>
      <c r="P25" s="137">
        <f>8*5*4</f>
        <v>160</v>
      </c>
      <c r="Q25" s="137">
        <f>40</f>
        <v>40</v>
      </c>
      <c r="R25" s="137">
        <f t="shared" ref="R25:S25" si="44">0</f>
        <v>0</v>
      </c>
      <c r="S25" s="137">
        <f t="shared" si="44"/>
        <v>0</v>
      </c>
      <c r="T25" s="137">
        <v>0.0</v>
      </c>
      <c r="U25" s="137">
        <v>0.0</v>
      </c>
      <c r="V25" s="137">
        <v>0.0</v>
      </c>
      <c r="W25" s="137">
        <v>0.0</v>
      </c>
      <c r="X25" s="137">
        <v>0.0</v>
      </c>
      <c r="Y25" s="137">
        <v>0.0</v>
      </c>
      <c r="Z25" s="137">
        <v>0.0</v>
      </c>
      <c r="AA25" s="137">
        <v>0.0</v>
      </c>
      <c r="AB25" s="137">
        <v>0.0</v>
      </c>
      <c r="AC25" s="137">
        <v>0.0</v>
      </c>
      <c r="AD25" s="137">
        <v>0.0</v>
      </c>
      <c r="AE25" s="137">
        <v>0.0</v>
      </c>
      <c r="AF25" s="137">
        <v>0.0</v>
      </c>
      <c r="AG25" s="137">
        <v>0.0</v>
      </c>
      <c r="AH25" s="175">
        <v>50.0</v>
      </c>
      <c r="AI25" s="137">
        <v>50.0</v>
      </c>
      <c r="AJ25" s="137">
        <v>50.0</v>
      </c>
      <c r="AK25" s="137">
        <v>50.0</v>
      </c>
      <c r="AL25" s="137">
        <v>50.0</v>
      </c>
      <c r="AM25" s="137">
        <v>25.0</v>
      </c>
      <c r="AN25" s="137">
        <v>25.0</v>
      </c>
      <c r="AO25" s="137">
        <v>25.0</v>
      </c>
      <c r="AP25" s="137">
        <v>50.0</v>
      </c>
      <c r="AQ25" s="137">
        <v>50.0</v>
      </c>
      <c r="AR25" s="137">
        <v>50.0</v>
      </c>
      <c r="AS25" s="137">
        <v>50.0</v>
      </c>
      <c r="AT25" s="137">
        <v>50.0</v>
      </c>
      <c r="AU25" s="137">
        <v>50.0</v>
      </c>
      <c r="AV25" s="137">
        <v>50.0</v>
      </c>
      <c r="AW25" s="137">
        <v>50.0</v>
      </c>
      <c r="AX25" s="137">
        <v>50.0</v>
      </c>
      <c r="AY25" s="137">
        <v>50.0</v>
      </c>
      <c r="AZ25" s="137">
        <v>50.0</v>
      </c>
      <c r="BA25" s="137">
        <v>-50.0</v>
      </c>
      <c r="BB25" s="137">
        <v>-50.0</v>
      </c>
      <c r="BC25" s="137">
        <v>-50.0</v>
      </c>
      <c r="BD25" s="137">
        <v>-50.0</v>
      </c>
      <c r="BE25" s="137">
        <v>-50.0</v>
      </c>
      <c r="BF25" s="137">
        <v>-50.0</v>
      </c>
      <c r="BG25" s="137">
        <v>-50.0</v>
      </c>
      <c r="BH25" s="137">
        <v>-50.0</v>
      </c>
      <c r="BI25" s="137">
        <v>-50.0</v>
      </c>
      <c r="BJ25" s="137">
        <v>-50.0</v>
      </c>
      <c r="BK25" s="137">
        <v>-50.0</v>
      </c>
      <c r="BL25" s="137">
        <v>-50.0</v>
      </c>
      <c r="BM25" s="137">
        <v>-50.0</v>
      </c>
      <c r="BN25" s="137">
        <v>-50.0</v>
      </c>
    </row>
    <row r="26">
      <c r="A26" s="188"/>
      <c r="B26" s="136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96">
        <f t="shared" ref="P26:AZ26" si="45">sum(P17:P25)/P13</f>
        <v>0.2527318285</v>
      </c>
      <c r="Q26" s="196">
        <f t="shared" si="45"/>
        <v>0.4167359849</v>
      </c>
      <c r="R26" s="196">
        <f t="shared" si="45"/>
        <v>0.4140720991</v>
      </c>
      <c r="S26" s="196">
        <f t="shared" si="45"/>
        <v>0.2649439513</v>
      </c>
      <c r="T26" s="196">
        <f t="shared" si="45"/>
        <v>0.4354138599</v>
      </c>
      <c r="U26" s="196">
        <f t="shared" si="45"/>
        <v>0.08981804104</v>
      </c>
      <c r="V26" s="196">
        <f t="shared" si="45"/>
        <v>0.2894561598</v>
      </c>
      <c r="W26" s="196">
        <f t="shared" si="45"/>
        <v>0.2567557104</v>
      </c>
      <c r="X26" s="196">
        <f t="shared" si="45"/>
        <v>0.485327139</v>
      </c>
      <c r="Y26" s="196">
        <f t="shared" si="45"/>
        <v>0.2404706614</v>
      </c>
      <c r="Z26" s="196">
        <f t="shared" si="45"/>
        <v>0.3159420455</v>
      </c>
      <c r="AA26" s="196">
        <f t="shared" si="45"/>
        <v>0.3344960227</v>
      </c>
      <c r="AB26" s="196">
        <f t="shared" si="45"/>
        <v>0.3344960227</v>
      </c>
      <c r="AC26" s="196">
        <f t="shared" si="45"/>
        <v>0.3201343636</v>
      </c>
      <c r="AD26" s="196">
        <f t="shared" si="45"/>
        <v>0.3355066692</v>
      </c>
      <c r="AE26" s="196">
        <f t="shared" si="45"/>
        <v>0.1486106516</v>
      </c>
      <c r="AF26" s="196">
        <f t="shared" si="45"/>
        <v>0.2905509901</v>
      </c>
      <c r="AG26" s="196">
        <f t="shared" si="45"/>
        <v>0.2620147321</v>
      </c>
      <c r="AH26" s="197">
        <f t="shared" si="45"/>
        <v>0.2708562016</v>
      </c>
      <c r="AI26" s="196">
        <f t="shared" si="45"/>
        <v>0.3797350394</v>
      </c>
      <c r="AJ26" s="196">
        <f t="shared" si="45"/>
        <v>0.4033570866</v>
      </c>
      <c r="AK26" s="196">
        <f t="shared" si="45"/>
        <v>0.1805592543</v>
      </c>
      <c r="AL26" s="196">
        <f t="shared" si="45"/>
        <v>0.3086580087</v>
      </c>
      <c r="AM26" s="196">
        <f t="shared" si="45"/>
        <v>0.2913419913</v>
      </c>
      <c r="AN26" s="196">
        <f t="shared" si="45"/>
        <v>0.1561484919</v>
      </c>
      <c r="AO26" s="196">
        <f t="shared" si="45"/>
        <v>0.26812749</v>
      </c>
      <c r="AP26" s="196">
        <f t="shared" si="45"/>
        <v>0.1041474654</v>
      </c>
      <c r="AQ26" s="196">
        <f t="shared" si="45"/>
        <v>0.2935064935</v>
      </c>
      <c r="AR26" s="196">
        <f t="shared" si="45"/>
        <v>0.2935064935</v>
      </c>
      <c r="AS26" s="196">
        <f t="shared" si="45"/>
        <v>0.2935064935</v>
      </c>
      <c r="AT26" s="196">
        <f t="shared" si="45"/>
        <v>0.2079612983</v>
      </c>
      <c r="AU26" s="196">
        <f t="shared" si="45"/>
        <v>0.1257657658</v>
      </c>
      <c r="AV26" s="196">
        <f t="shared" si="45"/>
        <v>0.3021645022</v>
      </c>
      <c r="AW26" s="196">
        <f t="shared" si="45"/>
        <v>0.3151515152</v>
      </c>
      <c r="AX26" s="196">
        <f t="shared" si="45"/>
        <v>0.2443937156</v>
      </c>
      <c r="AY26" s="196">
        <f t="shared" si="45"/>
        <v>0.2536585366</v>
      </c>
      <c r="AZ26" s="196">
        <f t="shared" si="45"/>
        <v>0.132123412</v>
      </c>
      <c r="BA26" s="196"/>
      <c r="BB26" s="196"/>
      <c r="BC26" s="196"/>
      <c r="BD26" s="196"/>
      <c r="BE26" s="196"/>
      <c r="BF26" s="196"/>
      <c r="BG26" s="196"/>
      <c r="BH26" s="196"/>
      <c r="BI26" s="196"/>
      <c r="BJ26" s="196"/>
      <c r="BK26" s="196"/>
      <c r="BL26" s="196"/>
      <c r="BM26" s="196"/>
      <c r="BN26" s="196"/>
    </row>
    <row r="27">
      <c r="A27" s="135" t="s">
        <v>219</v>
      </c>
      <c r="C27" s="137"/>
      <c r="D27" s="137"/>
      <c r="E27" s="137"/>
      <c r="F27" s="137"/>
      <c r="G27" s="137"/>
      <c r="H27" s="137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40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</row>
    <row r="28">
      <c r="A28" s="188" t="s">
        <v>220</v>
      </c>
      <c r="B28" s="144" t="s">
        <v>221</v>
      </c>
      <c r="C28" s="137">
        <v>1150.0</v>
      </c>
      <c r="D28" s="137">
        <v>1000.0</v>
      </c>
      <c r="E28" s="137">
        <v>1000.0</v>
      </c>
      <c r="F28" s="137">
        <v>1120.0</v>
      </c>
      <c r="G28" s="137">
        <v>1000.0</v>
      </c>
      <c r="H28" s="175">
        <v>500.0</v>
      </c>
      <c r="I28" s="137">
        <f>160*4</f>
        <v>640</v>
      </c>
      <c r="J28" s="137">
        <f>125*4</f>
        <v>500</v>
      </c>
      <c r="K28" s="137">
        <f>25*7*4</f>
        <v>700</v>
      </c>
      <c r="L28" s="137">
        <f>50*7*4</f>
        <v>1400</v>
      </c>
      <c r="M28" s="137">
        <f>25*7*4</f>
        <v>700</v>
      </c>
      <c r="N28" s="137">
        <v>1500.0</v>
      </c>
      <c r="O28" s="137">
        <f>30*5*4</f>
        <v>600</v>
      </c>
      <c r="P28" s="137">
        <f>30*20</f>
        <v>600</v>
      </c>
      <c r="Q28" s="137">
        <f>20*10</f>
        <v>200</v>
      </c>
      <c r="R28" s="137">
        <f>10*20</f>
        <v>200</v>
      </c>
      <c r="S28" s="137">
        <f>5*20</f>
        <v>100</v>
      </c>
      <c r="T28" s="137">
        <f>20*20</f>
        <v>400</v>
      </c>
      <c r="U28" s="137">
        <f t="shared" ref="U28:X28" si="46">15*20</f>
        <v>300</v>
      </c>
      <c r="V28" s="137">
        <f t="shared" si="46"/>
        <v>300</v>
      </c>
      <c r="W28" s="137">
        <f t="shared" si="46"/>
        <v>300</v>
      </c>
      <c r="X28" s="137">
        <f t="shared" si="46"/>
        <v>300</v>
      </c>
      <c r="Y28" s="137">
        <f>50*20</f>
        <v>1000</v>
      </c>
      <c r="Z28" s="137">
        <f>45*20</f>
        <v>900</v>
      </c>
      <c r="AA28" s="137">
        <f t="shared" ref="AA28:AB28" si="47">25*20</f>
        <v>500</v>
      </c>
      <c r="AB28" s="137">
        <f t="shared" si="47"/>
        <v>500</v>
      </c>
      <c r="AC28" s="137">
        <f>45*20</f>
        <v>900</v>
      </c>
      <c r="AD28" s="137">
        <f t="shared" ref="AD28:AH28" si="48">25*20</f>
        <v>500</v>
      </c>
      <c r="AE28" s="137">
        <f t="shared" si="48"/>
        <v>500</v>
      </c>
      <c r="AF28" s="137">
        <f t="shared" si="48"/>
        <v>500</v>
      </c>
      <c r="AG28" s="137">
        <f t="shared" si="48"/>
        <v>500</v>
      </c>
      <c r="AH28" s="175">
        <f t="shared" si="48"/>
        <v>500</v>
      </c>
      <c r="AI28" s="137">
        <f t="shared" ref="AI28:AK28" si="49">45*20</f>
        <v>900</v>
      </c>
      <c r="AJ28" s="137">
        <f t="shared" si="49"/>
        <v>900</v>
      </c>
      <c r="AK28" s="137">
        <f t="shared" si="49"/>
        <v>900</v>
      </c>
      <c r="AL28" s="137">
        <f t="shared" ref="AL28:AO28" si="50">75*20</f>
        <v>1500</v>
      </c>
      <c r="AM28" s="137">
        <f t="shared" si="50"/>
        <v>1500</v>
      </c>
      <c r="AN28" s="137">
        <f t="shared" si="50"/>
        <v>1500</v>
      </c>
      <c r="AO28" s="137">
        <f t="shared" si="50"/>
        <v>1500</v>
      </c>
      <c r="AP28" s="137">
        <f>150*20</f>
        <v>3000</v>
      </c>
      <c r="AQ28" s="137">
        <f t="shared" ref="AQ28:AZ28" si="51">75*20</f>
        <v>1500</v>
      </c>
      <c r="AR28" s="137">
        <f t="shared" si="51"/>
        <v>1500</v>
      </c>
      <c r="AS28" s="137">
        <f t="shared" si="51"/>
        <v>1500</v>
      </c>
      <c r="AT28" s="137">
        <f t="shared" si="51"/>
        <v>1500</v>
      </c>
      <c r="AU28" s="137">
        <f t="shared" si="51"/>
        <v>1500</v>
      </c>
      <c r="AV28" s="137">
        <f t="shared" si="51"/>
        <v>1500</v>
      </c>
      <c r="AW28" s="137">
        <f t="shared" si="51"/>
        <v>1500</v>
      </c>
      <c r="AX28" s="137">
        <f t="shared" si="51"/>
        <v>1500</v>
      </c>
      <c r="AY28" s="137">
        <f t="shared" si="51"/>
        <v>1500</v>
      </c>
      <c r="AZ28" s="137">
        <f t="shared" si="51"/>
        <v>1500</v>
      </c>
      <c r="BA28" s="137">
        <f t="shared" ref="BA28:BN28" si="52">-75*20</f>
        <v>-1500</v>
      </c>
      <c r="BB28" s="137">
        <f t="shared" si="52"/>
        <v>-1500</v>
      </c>
      <c r="BC28" s="137">
        <f t="shared" si="52"/>
        <v>-1500</v>
      </c>
      <c r="BD28" s="137">
        <f t="shared" si="52"/>
        <v>-1500</v>
      </c>
      <c r="BE28" s="137">
        <f t="shared" si="52"/>
        <v>-1500</v>
      </c>
      <c r="BF28" s="137">
        <f t="shared" si="52"/>
        <v>-1500</v>
      </c>
      <c r="BG28" s="137">
        <f t="shared" si="52"/>
        <v>-1500</v>
      </c>
      <c r="BH28" s="137">
        <f t="shared" si="52"/>
        <v>-1500</v>
      </c>
      <c r="BI28" s="137">
        <f t="shared" si="52"/>
        <v>-1500</v>
      </c>
      <c r="BJ28" s="137">
        <f t="shared" si="52"/>
        <v>-1500</v>
      </c>
      <c r="BK28" s="137">
        <f t="shared" si="52"/>
        <v>-1500</v>
      </c>
      <c r="BL28" s="137">
        <f t="shared" si="52"/>
        <v>-1500</v>
      </c>
      <c r="BM28" s="137">
        <f t="shared" si="52"/>
        <v>-1500</v>
      </c>
      <c r="BN28" s="137">
        <f t="shared" si="52"/>
        <v>-1500</v>
      </c>
    </row>
    <row r="29">
      <c r="A29" s="149"/>
      <c r="B29" s="144" t="s">
        <v>222</v>
      </c>
      <c r="C29" s="137"/>
      <c r="D29" s="137"/>
      <c r="E29" s="137"/>
      <c r="F29" s="137"/>
      <c r="G29" s="137"/>
      <c r="H29" s="175"/>
      <c r="I29" s="137">
        <f>100*4</f>
        <v>400</v>
      </c>
      <c r="J29" s="137">
        <f>200*4</f>
        <v>800</v>
      </c>
      <c r="K29" s="137">
        <f t="shared" ref="K29:L29" si="53">50*2*2*4</f>
        <v>800</v>
      </c>
      <c r="L29" s="137">
        <f t="shared" si="53"/>
        <v>800</v>
      </c>
      <c r="M29" s="137">
        <f>40*2*4</f>
        <v>320</v>
      </c>
      <c r="N29" s="137">
        <f t="shared" ref="N29:O29" si="54">50*2*4</f>
        <v>400</v>
      </c>
      <c r="O29" s="137">
        <f t="shared" si="54"/>
        <v>400</v>
      </c>
      <c r="P29" s="137">
        <f>100*4</f>
        <v>400</v>
      </c>
      <c r="Q29" s="137">
        <f>45*2</f>
        <v>90</v>
      </c>
      <c r="R29" s="137">
        <f>20*8</f>
        <v>160</v>
      </c>
      <c r="S29" s="137">
        <f>30*8</f>
        <v>240</v>
      </c>
      <c r="T29" s="137">
        <f>45*8</f>
        <v>360</v>
      </c>
      <c r="U29" s="137">
        <f>20*8</f>
        <v>160</v>
      </c>
      <c r="V29" s="137">
        <f>45*8</f>
        <v>360</v>
      </c>
      <c r="W29" s="137">
        <f t="shared" ref="W29:X29" si="55">40*8</f>
        <v>320</v>
      </c>
      <c r="X29" s="137">
        <f t="shared" si="55"/>
        <v>320</v>
      </c>
      <c r="Y29" s="137">
        <f t="shared" ref="Y29:AA29" si="56">100*8</f>
        <v>800</v>
      </c>
      <c r="Z29" s="137">
        <f t="shared" si="56"/>
        <v>800</v>
      </c>
      <c r="AA29" s="137">
        <f t="shared" si="56"/>
        <v>800</v>
      </c>
      <c r="AB29" s="137">
        <f>100*8+300</f>
        <v>1100</v>
      </c>
      <c r="AC29" s="137">
        <f>100*8</f>
        <v>800</v>
      </c>
      <c r="AD29" s="137">
        <f t="shared" ref="AD29:AH29" si="57">75*8</f>
        <v>600</v>
      </c>
      <c r="AE29" s="137">
        <f t="shared" si="57"/>
        <v>600</v>
      </c>
      <c r="AF29" s="137">
        <f t="shared" si="57"/>
        <v>600</v>
      </c>
      <c r="AG29" s="137">
        <f t="shared" si="57"/>
        <v>600</v>
      </c>
      <c r="AH29" s="175">
        <f t="shared" si="57"/>
        <v>600</v>
      </c>
      <c r="AI29" s="137">
        <f>100*10</f>
        <v>1000</v>
      </c>
      <c r="AJ29" s="137">
        <f t="shared" ref="AJ29:AO29" si="58">100*8</f>
        <v>800</v>
      </c>
      <c r="AK29" s="137">
        <f t="shared" si="58"/>
        <v>800</v>
      </c>
      <c r="AL29" s="137">
        <f t="shared" si="58"/>
        <v>800</v>
      </c>
      <c r="AM29" s="137">
        <f t="shared" si="58"/>
        <v>800</v>
      </c>
      <c r="AN29" s="137">
        <f t="shared" si="58"/>
        <v>800</v>
      </c>
      <c r="AO29" s="137">
        <f t="shared" si="58"/>
        <v>800</v>
      </c>
      <c r="AP29" s="137">
        <f>150*8</f>
        <v>1200</v>
      </c>
      <c r="AQ29" s="137">
        <f t="shared" ref="AQ29:AZ29" si="59">100*8</f>
        <v>800</v>
      </c>
      <c r="AR29" s="137">
        <f t="shared" si="59"/>
        <v>800</v>
      </c>
      <c r="AS29" s="137">
        <f t="shared" si="59"/>
        <v>800</v>
      </c>
      <c r="AT29" s="137">
        <f t="shared" si="59"/>
        <v>800</v>
      </c>
      <c r="AU29" s="137">
        <f t="shared" si="59"/>
        <v>800</v>
      </c>
      <c r="AV29" s="137">
        <f t="shared" si="59"/>
        <v>800</v>
      </c>
      <c r="AW29" s="137">
        <f t="shared" si="59"/>
        <v>800</v>
      </c>
      <c r="AX29" s="137">
        <f t="shared" si="59"/>
        <v>800</v>
      </c>
      <c r="AY29" s="137">
        <f t="shared" si="59"/>
        <v>800</v>
      </c>
      <c r="AZ29" s="137">
        <f t="shared" si="59"/>
        <v>800</v>
      </c>
      <c r="BA29" s="137">
        <f t="shared" ref="BA29:BN29" si="60">-100*8</f>
        <v>-800</v>
      </c>
      <c r="BB29" s="137">
        <f t="shared" si="60"/>
        <v>-800</v>
      </c>
      <c r="BC29" s="137">
        <f t="shared" si="60"/>
        <v>-800</v>
      </c>
      <c r="BD29" s="137">
        <f t="shared" si="60"/>
        <v>-800</v>
      </c>
      <c r="BE29" s="137">
        <f t="shared" si="60"/>
        <v>-800</v>
      </c>
      <c r="BF29" s="137">
        <f t="shared" si="60"/>
        <v>-800</v>
      </c>
      <c r="BG29" s="137">
        <f t="shared" si="60"/>
        <v>-800</v>
      </c>
      <c r="BH29" s="137">
        <f t="shared" si="60"/>
        <v>-800</v>
      </c>
      <c r="BI29" s="137">
        <f t="shared" si="60"/>
        <v>-800</v>
      </c>
      <c r="BJ29" s="137">
        <f t="shared" si="60"/>
        <v>-800</v>
      </c>
      <c r="BK29" s="137">
        <f t="shared" si="60"/>
        <v>-800</v>
      </c>
      <c r="BL29" s="137">
        <f t="shared" si="60"/>
        <v>-800</v>
      </c>
      <c r="BM29" s="137">
        <f t="shared" si="60"/>
        <v>-800</v>
      </c>
      <c r="BN29" s="137">
        <f t="shared" si="60"/>
        <v>-800</v>
      </c>
    </row>
    <row r="30">
      <c r="A30" s="199"/>
      <c r="B30" s="144" t="s">
        <v>223</v>
      </c>
      <c r="C30" s="137">
        <v>0.0</v>
      </c>
      <c r="D30" s="137">
        <v>0.0</v>
      </c>
      <c r="E30" s="137">
        <v>0.0</v>
      </c>
      <c r="F30" s="137">
        <v>0.0</v>
      </c>
      <c r="G30" s="137">
        <v>0.0</v>
      </c>
      <c r="H30" s="175">
        <v>0.0</v>
      </c>
      <c r="I30" s="137">
        <v>0.0</v>
      </c>
      <c r="J30" s="137">
        <v>0.0</v>
      </c>
      <c r="K30" s="137">
        <v>0.0</v>
      </c>
      <c r="L30" s="137">
        <v>0.0</v>
      </c>
      <c r="M30" s="137">
        <v>0.0</v>
      </c>
      <c r="N30" s="194">
        <v>200.0</v>
      </c>
      <c r="O30" s="194">
        <v>400.0</v>
      </c>
      <c r="P30" s="113">
        <v>0.0</v>
      </c>
      <c r="Q30" s="137">
        <v>0.0</v>
      </c>
      <c r="R30" s="137">
        <v>0.0</v>
      </c>
      <c r="S30" s="137">
        <v>0.0</v>
      </c>
      <c r="T30" s="137">
        <v>0.0</v>
      </c>
      <c r="U30" s="137">
        <v>0.0</v>
      </c>
      <c r="V30" s="137">
        <v>0.0</v>
      </c>
      <c r="W30" s="137">
        <v>0.0</v>
      </c>
      <c r="X30" s="137">
        <v>0.0</v>
      </c>
      <c r="Y30" s="137">
        <v>0.0</v>
      </c>
      <c r="Z30" s="137">
        <v>0.0</v>
      </c>
      <c r="AA30" s="137">
        <v>0.0</v>
      </c>
      <c r="AB30" s="137">
        <v>0.0</v>
      </c>
      <c r="AC30" s="137">
        <v>0.0</v>
      </c>
      <c r="AD30" s="137">
        <v>0.0</v>
      </c>
      <c r="AE30" s="137">
        <v>0.0</v>
      </c>
      <c r="AF30" s="137">
        <v>0.0</v>
      </c>
      <c r="AG30" s="137">
        <v>0.0</v>
      </c>
      <c r="AH30" s="175">
        <v>0.0</v>
      </c>
      <c r="AI30" s="137">
        <v>0.0</v>
      </c>
      <c r="AJ30" s="137">
        <v>0.0</v>
      </c>
      <c r="AK30" s="137">
        <v>0.0</v>
      </c>
      <c r="AL30" s="137">
        <v>0.0</v>
      </c>
      <c r="AM30" s="137">
        <v>0.0</v>
      </c>
      <c r="AN30" s="137">
        <v>0.0</v>
      </c>
      <c r="AO30" s="137">
        <v>0.0</v>
      </c>
      <c r="AP30" s="137">
        <v>0.0</v>
      </c>
      <c r="AQ30" s="137">
        <v>0.0</v>
      </c>
      <c r="AR30" s="137">
        <v>0.0</v>
      </c>
      <c r="AS30" s="137">
        <v>0.0</v>
      </c>
      <c r="AT30" s="137">
        <v>0.0</v>
      </c>
      <c r="AU30" s="137">
        <v>0.0</v>
      </c>
      <c r="AV30" s="137">
        <v>0.0</v>
      </c>
      <c r="AW30" s="137">
        <v>200.0</v>
      </c>
      <c r="AX30" s="137">
        <v>200.0</v>
      </c>
      <c r="AY30" s="137">
        <v>200.0</v>
      </c>
      <c r="AZ30" s="137">
        <v>200.0</v>
      </c>
      <c r="BA30" s="137">
        <v>-200.0</v>
      </c>
      <c r="BB30" s="137">
        <v>-200.0</v>
      </c>
      <c r="BC30" s="137">
        <v>-200.0</v>
      </c>
      <c r="BD30" s="137">
        <v>-200.0</v>
      </c>
      <c r="BE30" s="137">
        <v>-200.0</v>
      </c>
      <c r="BF30" s="137">
        <v>-200.0</v>
      </c>
      <c r="BG30" s="137">
        <v>-200.0</v>
      </c>
      <c r="BH30" s="137">
        <v>-200.0</v>
      </c>
      <c r="BI30" s="137">
        <v>-200.0</v>
      </c>
      <c r="BJ30" s="137">
        <v>-200.0</v>
      </c>
      <c r="BK30" s="137">
        <v>-200.0</v>
      </c>
      <c r="BL30" s="137">
        <v>-200.0</v>
      </c>
      <c r="BM30" s="137">
        <v>-200.0</v>
      </c>
      <c r="BN30" s="137">
        <v>-200.0</v>
      </c>
    </row>
    <row r="31">
      <c r="A31" s="199"/>
      <c r="B31" s="144" t="s">
        <v>569</v>
      </c>
      <c r="C31" s="137">
        <v>10.0</v>
      </c>
      <c r="D31" s="137">
        <v>10.0</v>
      </c>
      <c r="E31" s="137">
        <v>10.0</v>
      </c>
      <c r="F31" s="137">
        <v>10.0</v>
      </c>
      <c r="G31" s="137">
        <f t="shared" ref="G31:H31" si="61">10+5+20</f>
        <v>35</v>
      </c>
      <c r="H31" s="137">
        <f t="shared" si="61"/>
        <v>35</v>
      </c>
      <c r="I31" s="137">
        <f>10+20+60</f>
        <v>90</v>
      </c>
      <c r="J31" s="137">
        <f>10+20+30+15</f>
        <v>75</v>
      </c>
      <c r="K31" s="137">
        <f>10+5+20+30</f>
        <v>65</v>
      </c>
      <c r="L31" s="137">
        <f t="shared" ref="L31:O31" si="62">10+5+20+60</f>
        <v>95</v>
      </c>
      <c r="M31" s="137">
        <f t="shared" si="62"/>
        <v>95</v>
      </c>
      <c r="N31" s="137">
        <f t="shared" si="62"/>
        <v>95</v>
      </c>
      <c r="O31" s="137">
        <f t="shared" si="62"/>
        <v>95</v>
      </c>
      <c r="P31" s="137">
        <f>10+5+20+60+4+4</f>
        <v>103</v>
      </c>
      <c r="Q31" s="137">
        <f>10+5+20+60+35.68</f>
        <v>130.68</v>
      </c>
      <c r="R31" s="137">
        <f>10+5+20+60</f>
        <v>95</v>
      </c>
      <c r="S31" s="137">
        <f t="shared" ref="S31:U31" si="63">10+13+20+60</f>
        <v>103</v>
      </c>
      <c r="T31" s="137">
        <f t="shared" si="63"/>
        <v>103</v>
      </c>
      <c r="U31" s="137">
        <f t="shared" si="63"/>
        <v>103</v>
      </c>
      <c r="V31" s="137">
        <f>sum(10,13,20,60,4,15,20)</f>
        <v>142</v>
      </c>
      <c r="W31" s="137">
        <f>sum(10,13,20,60,4,15,70)</f>
        <v>192</v>
      </c>
      <c r="X31" s="137">
        <f t="shared" ref="X31:Y31" si="64">sum(10,13,20,60,4,15,0)</f>
        <v>122</v>
      </c>
      <c r="Y31" s="137">
        <f t="shared" si="64"/>
        <v>122</v>
      </c>
      <c r="Z31" s="137">
        <f t="shared" ref="Z31:AZ31" si="65">sum(10,13,60,4,15,0)</f>
        <v>102</v>
      </c>
      <c r="AA31" s="137">
        <f t="shared" si="65"/>
        <v>102</v>
      </c>
      <c r="AB31" s="137">
        <f t="shared" si="65"/>
        <v>102</v>
      </c>
      <c r="AC31" s="137">
        <f t="shared" si="65"/>
        <v>102</v>
      </c>
      <c r="AD31" s="137">
        <f t="shared" si="65"/>
        <v>102</v>
      </c>
      <c r="AE31" s="137">
        <f t="shared" si="65"/>
        <v>102</v>
      </c>
      <c r="AF31" s="137">
        <f t="shared" si="65"/>
        <v>102</v>
      </c>
      <c r="AG31" s="137">
        <f t="shared" si="65"/>
        <v>102</v>
      </c>
      <c r="AH31" s="175">
        <f t="shared" si="65"/>
        <v>102</v>
      </c>
      <c r="AI31" s="137">
        <f t="shared" si="65"/>
        <v>102</v>
      </c>
      <c r="AJ31" s="137">
        <f t="shared" si="65"/>
        <v>102</v>
      </c>
      <c r="AK31" s="137">
        <f t="shared" si="65"/>
        <v>102</v>
      </c>
      <c r="AL31" s="137">
        <f t="shared" si="65"/>
        <v>102</v>
      </c>
      <c r="AM31" s="137">
        <f t="shared" si="65"/>
        <v>102</v>
      </c>
      <c r="AN31" s="137">
        <f t="shared" si="65"/>
        <v>102</v>
      </c>
      <c r="AO31" s="137">
        <f t="shared" si="65"/>
        <v>102</v>
      </c>
      <c r="AP31" s="137">
        <f t="shared" si="65"/>
        <v>102</v>
      </c>
      <c r="AQ31" s="137">
        <f t="shared" si="65"/>
        <v>102</v>
      </c>
      <c r="AR31" s="137">
        <f t="shared" si="65"/>
        <v>102</v>
      </c>
      <c r="AS31" s="137">
        <f t="shared" si="65"/>
        <v>102</v>
      </c>
      <c r="AT31" s="137">
        <f t="shared" si="65"/>
        <v>102</v>
      </c>
      <c r="AU31" s="137">
        <f t="shared" si="65"/>
        <v>102</v>
      </c>
      <c r="AV31" s="137">
        <f t="shared" si="65"/>
        <v>102</v>
      </c>
      <c r="AW31" s="137">
        <f t="shared" si="65"/>
        <v>102</v>
      </c>
      <c r="AX31" s="137">
        <f t="shared" si="65"/>
        <v>102</v>
      </c>
      <c r="AY31" s="137">
        <f t="shared" si="65"/>
        <v>102</v>
      </c>
      <c r="AZ31" s="137">
        <f t="shared" si="65"/>
        <v>102</v>
      </c>
      <c r="BA31" s="137">
        <f t="shared" ref="BA31:BN31" si="66">-sum(10,13,60,4,15,0)</f>
        <v>-102</v>
      </c>
      <c r="BB31" s="137">
        <f t="shared" si="66"/>
        <v>-102</v>
      </c>
      <c r="BC31" s="137">
        <f t="shared" si="66"/>
        <v>-102</v>
      </c>
      <c r="BD31" s="137">
        <f t="shared" si="66"/>
        <v>-102</v>
      </c>
      <c r="BE31" s="137">
        <f t="shared" si="66"/>
        <v>-102</v>
      </c>
      <c r="BF31" s="137">
        <f t="shared" si="66"/>
        <v>-102</v>
      </c>
      <c r="BG31" s="137">
        <f t="shared" si="66"/>
        <v>-102</v>
      </c>
      <c r="BH31" s="137">
        <f t="shared" si="66"/>
        <v>-102</v>
      </c>
      <c r="BI31" s="137">
        <f t="shared" si="66"/>
        <v>-102</v>
      </c>
      <c r="BJ31" s="137">
        <f t="shared" si="66"/>
        <v>-102</v>
      </c>
      <c r="BK31" s="137">
        <f t="shared" si="66"/>
        <v>-102</v>
      </c>
      <c r="BL31" s="137">
        <f t="shared" si="66"/>
        <v>-102</v>
      </c>
      <c r="BM31" s="137">
        <f t="shared" si="66"/>
        <v>-102</v>
      </c>
      <c r="BN31" s="137">
        <f t="shared" si="66"/>
        <v>-102</v>
      </c>
    </row>
    <row r="32">
      <c r="A32" s="199"/>
      <c r="B32" s="144" t="s">
        <v>225</v>
      </c>
      <c r="C32" s="137">
        <v>0.0</v>
      </c>
      <c r="D32" s="137">
        <v>0.0</v>
      </c>
      <c r="E32" s="137">
        <v>500.0</v>
      </c>
      <c r="F32" s="137">
        <v>500.0</v>
      </c>
      <c r="G32" s="137">
        <v>0.0</v>
      </c>
      <c r="H32" s="175">
        <v>0.0</v>
      </c>
      <c r="I32" s="137">
        <v>0.0</v>
      </c>
      <c r="J32" s="194">
        <v>500.0</v>
      </c>
      <c r="K32" s="194">
        <v>450.0</v>
      </c>
      <c r="L32" s="194">
        <v>300.0</v>
      </c>
      <c r="M32" s="194">
        <v>200.0</v>
      </c>
      <c r="N32" s="194">
        <v>100.0</v>
      </c>
      <c r="O32" s="137">
        <v>0.0</v>
      </c>
      <c r="P32" s="194">
        <f>250+179</f>
        <v>429</v>
      </c>
      <c r="Q32" s="200">
        <v>0.0</v>
      </c>
      <c r="R32" s="189">
        <f>260*2</f>
        <v>520</v>
      </c>
      <c r="S32" s="189">
        <v>0.0</v>
      </c>
      <c r="T32" s="189">
        <f>sum(500/2,185,25,84,257)</f>
        <v>801</v>
      </c>
      <c r="U32" s="189">
        <f>sum(270,250)</f>
        <v>520</v>
      </c>
      <c r="V32" s="193">
        <f>sum(300,600,240)</f>
        <v>1140</v>
      </c>
      <c r="W32" s="194">
        <f>375+74</f>
        <v>449</v>
      </c>
      <c r="X32" s="193">
        <v>0.0</v>
      </c>
      <c r="Y32" s="137">
        <v>0.0</v>
      </c>
      <c r="Z32" s="201">
        <f>sum(548.5,400,55.1,92.1,169.66,100)</f>
        <v>1365.36</v>
      </c>
      <c r="AA32" s="201">
        <f>'Travel Expenses - Tulum'!C32-Z32</f>
        <v>2256.425</v>
      </c>
      <c r="AB32" s="137">
        <v>90.0</v>
      </c>
      <c r="AC32" s="201">
        <v>1200.0</v>
      </c>
      <c r="AD32" s="137">
        <v>0.0</v>
      </c>
      <c r="AE32" s="202">
        <v>500.0</v>
      </c>
      <c r="AF32" s="137">
        <v>0.0</v>
      </c>
      <c r="AG32" s="137">
        <v>0.0</v>
      </c>
      <c r="AH32" s="175">
        <v>0.0</v>
      </c>
      <c r="AI32" s="137">
        <v>0.0</v>
      </c>
      <c r="AJ32" s="137">
        <v>0.0</v>
      </c>
      <c r="AK32" s="137">
        <v>0.0</v>
      </c>
      <c r="AL32" s="137">
        <f>1500+600</f>
        <v>2100</v>
      </c>
      <c r="AM32" s="137">
        <v>0.0</v>
      </c>
      <c r="AN32" s="137">
        <v>0.0</v>
      </c>
      <c r="AO32" s="137">
        <v>0.0</v>
      </c>
      <c r="AP32" s="137">
        <v>0.0</v>
      </c>
      <c r="AQ32" s="137">
        <v>0.0</v>
      </c>
      <c r="AR32" s="137">
        <v>0.0</v>
      </c>
      <c r="AS32" s="137">
        <v>0.0</v>
      </c>
      <c r="AT32" s="137">
        <v>0.0</v>
      </c>
      <c r="AU32" s="137">
        <v>0.0</v>
      </c>
      <c r="AV32" s="137">
        <v>0.0</v>
      </c>
      <c r="AW32" s="137">
        <v>0.0</v>
      </c>
      <c r="AX32" s="137">
        <v>0.0</v>
      </c>
      <c r="AY32" s="137">
        <v>0.0</v>
      </c>
      <c r="AZ32" s="137">
        <f>sum(650,375,300)</f>
        <v>1325</v>
      </c>
      <c r="BA32" s="137">
        <v>0.0</v>
      </c>
      <c r="BB32" s="137">
        <v>0.0</v>
      </c>
      <c r="BC32" s="203">
        <f>-1700</f>
        <v>-1700</v>
      </c>
      <c r="BD32" s="203">
        <f>-sum(3000)</f>
        <v>-3000</v>
      </c>
      <c r="BE32" s="137">
        <v>0.0</v>
      </c>
      <c r="BF32" s="137">
        <v>0.0</v>
      </c>
      <c r="BG32" s="137">
        <v>0.0</v>
      </c>
      <c r="BH32" s="137">
        <v>0.0</v>
      </c>
      <c r="BI32" s="137">
        <v>0.0</v>
      </c>
      <c r="BJ32" s="137">
        <v>0.0</v>
      </c>
      <c r="BK32" s="137">
        <v>0.0</v>
      </c>
      <c r="BL32" s="137">
        <v>0.0</v>
      </c>
      <c r="BM32" s="137">
        <v>0.0</v>
      </c>
      <c r="BN32" s="137">
        <v>0.0</v>
      </c>
    </row>
    <row r="33">
      <c r="A33" s="188" t="s">
        <v>209</v>
      </c>
      <c r="B33" s="144" t="s">
        <v>226</v>
      </c>
      <c r="C33" s="137"/>
      <c r="D33" s="137"/>
      <c r="E33" s="137"/>
      <c r="F33" s="137"/>
      <c r="G33" s="137"/>
      <c r="H33" s="137"/>
      <c r="I33" s="137">
        <v>600.0</v>
      </c>
      <c r="J33" s="137">
        <v>0.0</v>
      </c>
      <c r="K33" s="137">
        <v>0.0</v>
      </c>
      <c r="L33" s="137">
        <v>0.0</v>
      </c>
      <c r="M33" s="137">
        <v>0.0</v>
      </c>
      <c r="N33" s="137">
        <v>0.0</v>
      </c>
      <c r="O33" s="137">
        <v>0.0</v>
      </c>
      <c r="P33" s="137">
        <f>43+83</f>
        <v>126</v>
      </c>
      <c r="Q33" s="137">
        <f>90+266+80</f>
        <v>436</v>
      </c>
      <c r="R33" s="137">
        <v>0.0</v>
      </c>
      <c r="S33" s="137">
        <v>0.0</v>
      </c>
      <c r="T33" s="137">
        <v>0.0</v>
      </c>
      <c r="U33" s="137">
        <v>0.0</v>
      </c>
      <c r="V33" s="137">
        <v>0.0</v>
      </c>
      <c r="W33" s="137">
        <v>0.0</v>
      </c>
      <c r="X33" s="137">
        <v>1000.0</v>
      </c>
      <c r="Y33" s="137">
        <v>0.0</v>
      </c>
      <c r="Z33" s="137">
        <f>sum(250,100,250)</f>
        <v>600</v>
      </c>
      <c r="AA33" s="137">
        <v>0.0</v>
      </c>
      <c r="AB33" s="137">
        <v>0.0</v>
      </c>
      <c r="AC33" s="137">
        <v>0.0</v>
      </c>
      <c r="AD33" s="137">
        <v>0.0</v>
      </c>
      <c r="AE33" s="137">
        <v>0.0</v>
      </c>
      <c r="AF33" s="137">
        <v>0.0</v>
      </c>
      <c r="AG33" s="137">
        <v>0.0</v>
      </c>
      <c r="AH33" s="175">
        <v>2000.0</v>
      </c>
      <c r="AI33" s="137">
        <v>0.0</v>
      </c>
      <c r="AJ33" s="137">
        <v>0.0</v>
      </c>
      <c r="AK33" s="137">
        <v>0.0</v>
      </c>
      <c r="AL33" s="137">
        <v>25.0</v>
      </c>
      <c r="AM33" s="137">
        <v>0.0</v>
      </c>
      <c r="AN33" s="137">
        <v>0.0</v>
      </c>
      <c r="AO33" s="137">
        <v>0.0</v>
      </c>
      <c r="AP33" s="137">
        <v>0.0</v>
      </c>
      <c r="AQ33" s="137">
        <v>0.0</v>
      </c>
      <c r="AR33" s="137">
        <v>0.0</v>
      </c>
      <c r="AS33" s="137">
        <v>0.0</v>
      </c>
      <c r="AT33" s="137">
        <v>0.0</v>
      </c>
      <c r="AU33" s="137">
        <v>0.0</v>
      </c>
      <c r="AV33" s="137">
        <v>0.0</v>
      </c>
      <c r="AW33" s="137">
        <v>50.0</v>
      </c>
      <c r="AX33" s="137">
        <v>50.0</v>
      </c>
      <c r="AY33" s="137">
        <v>50.0</v>
      </c>
      <c r="AZ33" s="137">
        <v>50.0</v>
      </c>
      <c r="BA33" s="137">
        <v>-50.0</v>
      </c>
      <c r="BB33" s="137">
        <v>-50.0</v>
      </c>
      <c r="BC33" s="137">
        <v>-50.0</v>
      </c>
      <c r="BD33" s="203">
        <f>-1500</f>
        <v>-1500</v>
      </c>
      <c r="BE33" s="137">
        <v>-50.0</v>
      </c>
      <c r="BF33" s="137">
        <v>-50.0</v>
      </c>
      <c r="BG33" s="137">
        <v>-50.0</v>
      </c>
      <c r="BH33" s="137">
        <v>-50.0</v>
      </c>
      <c r="BI33" s="137">
        <v>-50.0</v>
      </c>
      <c r="BJ33" s="137">
        <v>-50.0</v>
      </c>
      <c r="BK33" s="137">
        <v>-50.0</v>
      </c>
      <c r="BL33" s="137">
        <v>-50.0</v>
      </c>
      <c r="BM33" s="137">
        <v>-50.0</v>
      </c>
      <c r="BN33" s="137">
        <v>-50.0</v>
      </c>
    </row>
    <row r="34" ht="15.75" customHeight="1">
      <c r="A34" s="149"/>
      <c r="B34" s="144" t="s">
        <v>227</v>
      </c>
      <c r="C34" s="137"/>
      <c r="D34" s="137"/>
      <c r="E34" s="137"/>
      <c r="F34" s="137"/>
      <c r="G34" s="137"/>
      <c r="H34" s="137"/>
      <c r="I34" s="137">
        <v>10.0</v>
      </c>
      <c r="J34" s="137">
        <v>0.0</v>
      </c>
      <c r="K34" s="137">
        <f>12*2</f>
        <v>24</v>
      </c>
      <c r="L34" s="137">
        <v>0.0</v>
      </c>
      <c r="M34" s="137">
        <v>0.0</v>
      </c>
      <c r="N34" s="137">
        <f t="shared" ref="N34:O34" si="67">12*1</f>
        <v>12</v>
      </c>
      <c r="O34" s="137">
        <f t="shared" si="67"/>
        <v>12</v>
      </c>
      <c r="P34" s="137">
        <f>13</f>
        <v>13</v>
      </c>
      <c r="Q34" s="137">
        <v>0.0</v>
      </c>
      <c r="R34" s="137">
        <f t="shared" ref="R34:AJ34" si="68">12*1</f>
        <v>12</v>
      </c>
      <c r="S34" s="137">
        <f t="shared" si="68"/>
        <v>12</v>
      </c>
      <c r="T34" s="137">
        <f t="shared" si="68"/>
        <v>12</v>
      </c>
      <c r="U34" s="137">
        <f t="shared" si="68"/>
        <v>12</v>
      </c>
      <c r="V34" s="137">
        <f t="shared" si="68"/>
        <v>12</v>
      </c>
      <c r="W34" s="137">
        <f t="shared" si="68"/>
        <v>12</v>
      </c>
      <c r="X34" s="137">
        <f t="shared" si="68"/>
        <v>12</v>
      </c>
      <c r="Y34" s="137">
        <f t="shared" si="68"/>
        <v>12</v>
      </c>
      <c r="Z34" s="137">
        <f t="shared" si="68"/>
        <v>12</v>
      </c>
      <c r="AA34" s="137">
        <f t="shared" si="68"/>
        <v>12</v>
      </c>
      <c r="AB34" s="137">
        <f t="shared" si="68"/>
        <v>12</v>
      </c>
      <c r="AC34" s="137">
        <f t="shared" si="68"/>
        <v>12</v>
      </c>
      <c r="AD34" s="137">
        <f t="shared" si="68"/>
        <v>12</v>
      </c>
      <c r="AE34" s="137">
        <f t="shared" si="68"/>
        <v>12</v>
      </c>
      <c r="AF34" s="137">
        <f t="shared" si="68"/>
        <v>12</v>
      </c>
      <c r="AG34" s="137">
        <f t="shared" si="68"/>
        <v>12</v>
      </c>
      <c r="AH34" s="175">
        <f t="shared" si="68"/>
        <v>12</v>
      </c>
      <c r="AI34" s="137">
        <f t="shared" si="68"/>
        <v>12</v>
      </c>
      <c r="AJ34" s="137">
        <f t="shared" si="68"/>
        <v>12</v>
      </c>
      <c r="AK34" s="137">
        <v>0.0</v>
      </c>
      <c r="AL34" s="137">
        <v>0.0</v>
      </c>
      <c r="AM34" s="137">
        <f t="shared" ref="AM34:AR34" si="69">12*1</f>
        <v>12</v>
      </c>
      <c r="AN34" s="137">
        <f t="shared" si="69"/>
        <v>12</v>
      </c>
      <c r="AO34" s="137">
        <f t="shared" si="69"/>
        <v>12</v>
      </c>
      <c r="AP34" s="137">
        <f t="shared" si="69"/>
        <v>12</v>
      </c>
      <c r="AQ34" s="137">
        <f t="shared" si="69"/>
        <v>12</v>
      </c>
      <c r="AR34" s="137">
        <f t="shared" si="69"/>
        <v>12</v>
      </c>
      <c r="AS34" s="137">
        <v>50.0</v>
      </c>
      <c r="AT34" s="137">
        <f t="shared" ref="AT34:AZ34" si="70">12*1</f>
        <v>12</v>
      </c>
      <c r="AU34" s="137">
        <f t="shared" si="70"/>
        <v>12</v>
      </c>
      <c r="AV34" s="137">
        <f t="shared" si="70"/>
        <v>12</v>
      </c>
      <c r="AW34" s="137">
        <f t="shared" si="70"/>
        <v>12</v>
      </c>
      <c r="AX34" s="137">
        <f t="shared" si="70"/>
        <v>12</v>
      </c>
      <c r="AY34" s="137">
        <f t="shared" si="70"/>
        <v>12</v>
      </c>
      <c r="AZ34" s="137">
        <f t="shared" si="70"/>
        <v>12</v>
      </c>
      <c r="BA34" s="137">
        <f t="shared" ref="BA34:BN34" si="71">-20*1</f>
        <v>-20</v>
      </c>
      <c r="BB34" s="137">
        <f t="shared" si="71"/>
        <v>-20</v>
      </c>
      <c r="BC34" s="137">
        <f t="shared" si="71"/>
        <v>-20</v>
      </c>
      <c r="BD34" s="137">
        <f t="shared" si="71"/>
        <v>-20</v>
      </c>
      <c r="BE34" s="137">
        <f t="shared" si="71"/>
        <v>-20</v>
      </c>
      <c r="BF34" s="137">
        <f t="shared" si="71"/>
        <v>-20</v>
      </c>
      <c r="BG34" s="137">
        <f t="shared" si="71"/>
        <v>-20</v>
      </c>
      <c r="BH34" s="137">
        <f t="shared" si="71"/>
        <v>-20</v>
      </c>
      <c r="BI34" s="137">
        <f t="shared" si="71"/>
        <v>-20</v>
      </c>
      <c r="BJ34" s="137">
        <f t="shared" si="71"/>
        <v>-20</v>
      </c>
      <c r="BK34" s="137">
        <f t="shared" si="71"/>
        <v>-20</v>
      </c>
      <c r="BL34" s="137">
        <f t="shared" si="71"/>
        <v>-20</v>
      </c>
      <c r="BM34" s="137">
        <f t="shared" si="71"/>
        <v>-20</v>
      </c>
      <c r="BN34" s="137">
        <f t="shared" si="71"/>
        <v>-20</v>
      </c>
    </row>
    <row r="35">
      <c r="A35" s="149"/>
      <c r="B35" s="144" t="s">
        <v>29</v>
      </c>
      <c r="C35" s="137"/>
      <c r="D35" s="137"/>
      <c r="E35" s="137"/>
      <c r="F35" s="137"/>
      <c r="G35" s="137"/>
      <c r="H35" s="137"/>
      <c r="I35" s="137">
        <v>100.0</v>
      </c>
      <c r="J35" s="137">
        <v>60.0</v>
      </c>
      <c r="K35" s="137">
        <v>250.0</v>
      </c>
      <c r="L35" s="137">
        <v>0.0</v>
      </c>
      <c r="M35" s="137">
        <v>50.0</v>
      </c>
      <c r="N35" s="137">
        <v>0.0</v>
      </c>
      <c r="O35" s="137">
        <v>100.0</v>
      </c>
      <c r="P35" s="137">
        <v>0.0</v>
      </c>
      <c r="Q35" s="137">
        <v>0.0</v>
      </c>
      <c r="R35" s="137">
        <v>0.0</v>
      </c>
      <c r="S35" s="137">
        <v>0.0</v>
      </c>
      <c r="T35" s="137">
        <v>300.0</v>
      </c>
      <c r="U35" s="137">
        <v>100.0</v>
      </c>
      <c r="V35" s="137">
        <v>100.0</v>
      </c>
      <c r="W35" s="137">
        <v>100.0</v>
      </c>
      <c r="X35" s="137">
        <v>100.0</v>
      </c>
      <c r="Y35" s="137">
        <v>100.0</v>
      </c>
      <c r="Z35" s="137">
        <v>100.0</v>
      </c>
      <c r="AA35" s="137">
        <v>100.0</v>
      </c>
      <c r="AB35" s="137">
        <v>100.0</v>
      </c>
      <c r="AC35" s="137">
        <v>100.0</v>
      </c>
      <c r="AD35" s="137">
        <v>100.0</v>
      </c>
      <c r="AE35" s="137">
        <v>100.0</v>
      </c>
      <c r="AF35" s="137">
        <v>100.0</v>
      </c>
      <c r="AG35" s="137">
        <v>100.0</v>
      </c>
      <c r="AH35" s="175">
        <v>100.0</v>
      </c>
      <c r="AI35" s="137">
        <v>100.0</v>
      </c>
      <c r="AJ35" s="137">
        <v>100.0</v>
      </c>
      <c r="AK35" s="137">
        <v>100.0</v>
      </c>
      <c r="AL35" s="137">
        <v>300.0</v>
      </c>
      <c r="AM35" s="137">
        <v>300.0</v>
      </c>
      <c r="AN35" s="137">
        <v>300.0</v>
      </c>
      <c r="AO35" s="137">
        <v>300.0</v>
      </c>
      <c r="AP35" s="137">
        <v>300.0</v>
      </c>
      <c r="AQ35" s="137">
        <v>300.0</v>
      </c>
      <c r="AR35" s="137">
        <v>300.0</v>
      </c>
      <c r="AS35" s="137">
        <v>300.0</v>
      </c>
      <c r="AT35" s="137">
        <v>300.0</v>
      </c>
      <c r="AU35" s="137">
        <v>300.0</v>
      </c>
      <c r="AV35" s="137">
        <v>300.0</v>
      </c>
      <c r="AW35" s="137">
        <v>300.0</v>
      </c>
      <c r="AX35" s="137">
        <v>300.0</v>
      </c>
      <c r="AY35" s="137">
        <v>300.0</v>
      </c>
      <c r="AZ35" s="137">
        <v>300.0</v>
      </c>
      <c r="BA35" s="137">
        <v>-500.0</v>
      </c>
      <c r="BB35" s="137">
        <v>-500.0</v>
      </c>
      <c r="BC35" s="137">
        <v>-500.0</v>
      </c>
      <c r="BD35" s="137">
        <v>-500.0</v>
      </c>
      <c r="BE35" s="137">
        <v>-500.0</v>
      </c>
      <c r="BF35" s="137">
        <v>-500.0</v>
      </c>
      <c r="BG35" s="137">
        <v>-500.0</v>
      </c>
      <c r="BH35" s="137">
        <v>-500.0</v>
      </c>
      <c r="BI35" s="137">
        <v>-500.0</v>
      </c>
      <c r="BJ35" s="137">
        <v>-500.0</v>
      </c>
      <c r="BK35" s="137">
        <v>-500.0</v>
      </c>
      <c r="BL35" s="137">
        <v>-500.0</v>
      </c>
      <c r="BM35" s="137">
        <v>-500.0</v>
      </c>
      <c r="BN35" s="137">
        <v>-500.0</v>
      </c>
    </row>
    <row r="36">
      <c r="A36" s="206" t="s">
        <v>228</v>
      </c>
      <c r="B36" s="144" t="s">
        <v>229</v>
      </c>
      <c r="C36" s="137">
        <v>0.0</v>
      </c>
      <c r="D36" s="137">
        <v>0.0</v>
      </c>
      <c r="E36" s="137">
        <v>0.0</v>
      </c>
      <c r="F36" s="137">
        <v>0.0</v>
      </c>
      <c r="G36" s="137">
        <v>0.0</v>
      </c>
      <c r="H36" s="175">
        <v>0.0</v>
      </c>
      <c r="I36" s="137">
        <v>25.0</v>
      </c>
      <c r="J36" s="137">
        <v>0.0</v>
      </c>
      <c r="K36" s="137">
        <v>0.0</v>
      </c>
      <c r="L36" s="137">
        <v>0.0</v>
      </c>
      <c r="M36" s="137">
        <v>0.0</v>
      </c>
      <c r="N36" s="137">
        <v>0.0</v>
      </c>
      <c r="O36" s="137">
        <v>0.0</v>
      </c>
      <c r="P36" s="137">
        <v>0.0</v>
      </c>
      <c r="Q36" s="137">
        <v>0.0</v>
      </c>
      <c r="R36" s="137">
        <v>0.0</v>
      </c>
      <c r="S36" s="137">
        <v>0.0</v>
      </c>
      <c r="T36" s="137">
        <v>0.0</v>
      </c>
      <c r="U36" s="137">
        <v>0.0</v>
      </c>
      <c r="V36" s="137">
        <v>0.0</v>
      </c>
      <c r="W36" s="137">
        <v>0.0</v>
      </c>
      <c r="X36" s="137">
        <v>0.0</v>
      </c>
      <c r="Y36" s="137">
        <v>0.0</v>
      </c>
      <c r="Z36" s="137">
        <v>0.0</v>
      </c>
      <c r="AA36" s="137">
        <v>0.0</v>
      </c>
      <c r="AB36" s="137">
        <v>0.0</v>
      </c>
      <c r="AC36" s="137">
        <v>0.0</v>
      </c>
      <c r="AD36" s="137">
        <v>0.0</v>
      </c>
      <c r="AE36" s="137">
        <v>0.0</v>
      </c>
      <c r="AF36" s="137">
        <v>0.0</v>
      </c>
      <c r="AG36" s="137">
        <v>0.0</v>
      </c>
      <c r="AH36" s="175">
        <v>0.0</v>
      </c>
      <c r="AI36" s="137">
        <v>0.0</v>
      </c>
      <c r="AJ36" s="137">
        <v>0.0</v>
      </c>
      <c r="AK36" s="137">
        <v>0.0</v>
      </c>
      <c r="AL36" s="137">
        <v>0.0</v>
      </c>
      <c r="AM36" s="137">
        <v>0.0</v>
      </c>
      <c r="AN36" s="137">
        <v>0.0</v>
      </c>
      <c r="AO36" s="137">
        <v>0.0</v>
      </c>
      <c r="AP36" s="137">
        <v>0.0</v>
      </c>
      <c r="AQ36" s="137">
        <v>0.0</v>
      </c>
      <c r="AR36" s="137">
        <v>0.0</v>
      </c>
      <c r="AS36" s="137">
        <v>0.0</v>
      </c>
      <c r="AT36" s="137">
        <v>0.0</v>
      </c>
      <c r="AU36" s="137">
        <v>0.0</v>
      </c>
      <c r="AV36" s="137">
        <v>0.0</v>
      </c>
      <c r="AW36" s="137">
        <v>0.0</v>
      </c>
      <c r="AX36" s="137">
        <v>0.0</v>
      </c>
      <c r="AY36" s="137">
        <v>0.0</v>
      </c>
      <c r="AZ36" s="137">
        <v>0.0</v>
      </c>
      <c r="BA36" s="137">
        <v>0.0</v>
      </c>
      <c r="BB36" s="137">
        <v>0.0</v>
      </c>
      <c r="BC36" s="137">
        <v>0.0</v>
      </c>
      <c r="BD36" s="137">
        <v>0.0</v>
      </c>
      <c r="BE36" s="137">
        <v>0.0</v>
      </c>
      <c r="BF36" s="137">
        <v>0.0</v>
      </c>
      <c r="BG36" s="137">
        <v>0.0</v>
      </c>
      <c r="BH36" s="137">
        <v>0.0</v>
      </c>
      <c r="BI36" s="137">
        <v>0.0</v>
      </c>
      <c r="BJ36" s="137">
        <v>0.0</v>
      </c>
      <c r="BK36" s="137">
        <v>0.0</v>
      </c>
      <c r="BL36" s="137">
        <v>0.0</v>
      </c>
      <c r="BM36" s="137">
        <v>0.0</v>
      </c>
      <c r="BN36" s="137">
        <v>0.0</v>
      </c>
    </row>
    <row r="37">
      <c r="A37" s="199"/>
      <c r="B37" s="144" t="s">
        <v>30</v>
      </c>
      <c r="C37" s="137"/>
      <c r="D37" s="137"/>
      <c r="E37" s="137"/>
      <c r="F37" s="137"/>
      <c r="G37" s="137"/>
      <c r="H37" s="175"/>
      <c r="I37" s="137"/>
      <c r="J37" s="137">
        <v>0.0</v>
      </c>
      <c r="K37" s="137">
        <v>0.0</v>
      </c>
      <c r="L37" s="137">
        <v>0.0</v>
      </c>
      <c r="M37" s="137">
        <v>0.0</v>
      </c>
      <c r="N37" s="137">
        <v>0.0</v>
      </c>
      <c r="O37" s="137">
        <v>0.0</v>
      </c>
      <c r="P37" s="137">
        <v>0.0</v>
      </c>
      <c r="Q37" s="137">
        <v>0.0</v>
      </c>
      <c r="R37" s="137">
        <v>0.0</v>
      </c>
      <c r="S37" s="137">
        <v>0.0</v>
      </c>
      <c r="T37" s="137">
        <v>0.0</v>
      </c>
      <c r="U37" s="192">
        <v>0.0</v>
      </c>
      <c r="V37" s="194">
        <f>490</f>
        <v>490</v>
      </c>
      <c r="W37" s="137">
        <v>0.0</v>
      </c>
      <c r="X37" s="137">
        <v>0.0</v>
      </c>
      <c r="Y37" s="137">
        <v>0.0</v>
      </c>
      <c r="Z37" s="137">
        <v>0.0</v>
      </c>
      <c r="AA37" s="137">
        <v>0.0</v>
      </c>
      <c r="AB37" s="137">
        <v>0.0</v>
      </c>
      <c r="AC37" s="137">
        <v>0.0</v>
      </c>
      <c r="AD37" s="137">
        <v>0.0</v>
      </c>
      <c r="AE37" s="137">
        <v>0.0</v>
      </c>
      <c r="AF37" s="137">
        <v>0.0</v>
      </c>
      <c r="AG37" s="137">
        <v>0.0</v>
      </c>
      <c r="AH37" s="175">
        <v>0.0</v>
      </c>
      <c r="AI37" s="137">
        <v>0.0</v>
      </c>
      <c r="AJ37" s="137">
        <v>0.0</v>
      </c>
      <c r="AK37" s="137">
        <v>250.0</v>
      </c>
      <c r="AL37" s="137">
        <v>0.0</v>
      </c>
      <c r="AM37" s="137">
        <v>0.0</v>
      </c>
      <c r="AN37" s="137">
        <v>0.0</v>
      </c>
      <c r="AO37" s="137">
        <v>0.0</v>
      </c>
      <c r="AP37" s="137">
        <v>0.0</v>
      </c>
      <c r="AQ37" s="137">
        <v>0.0</v>
      </c>
      <c r="AR37" s="137">
        <v>0.0</v>
      </c>
      <c r="AS37" s="137">
        <v>0.0</v>
      </c>
      <c r="AT37" s="137">
        <v>0.0</v>
      </c>
      <c r="AU37" s="137">
        <v>0.0</v>
      </c>
      <c r="AV37" s="137">
        <v>0.0</v>
      </c>
      <c r="AW37" s="137">
        <v>0.0</v>
      </c>
      <c r="AX37" s="137">
        <v>0.0</v>
      </c>
      <c r="AY37" s="137">
        <v>0.0</v>
      </c>
      <c r="AZ37" s="137">
        <v>0.0</v>
      </c>
      <c r="BA37" s="137">
        <v>0.0</v>
      </c>
      <c r="BB37" s="137">
        <v>0.0</v>
      </c>
      <c r="BC37" s="137">
        <v>0.0</v>
      </c>
      <c r="BD37" s="137">
        <v>0.0</v>
      </c>
      <c r="BE37" s="137">
        <v>0.0</v>
      </c>
      <c r="BF37" s="137">
        <v>0.0</v>
      </c>
      <c r="BG37" s="137">
        <v>0.0</v>
      </c>
      <c r="BH37" s="137">
        <v>0.0</v>
      </c>
      <c r="BI37" s="137">
        <v>0.0</v>
      </c>
      <c r="BJ37" s="137">
        <v>0.0</v>
      </c>
      <c r="BK37" s="137">
        <v>0.0</v>
      </c>
      <c r="BL37" s="137">
        <v>0.0</v>
      </c>
      <c r="BM37" s="137">
        <v>0.0</v>
      </c>
      <c r="BN37" s="137">
        <v>0.0</v>
      </c>
    </row>
    <row r="38">
      <c r="A38" s="149"/>
      <c r="B38" s="144" t="s">
        <v>230</v>
      </c>
      <c r="C38" s="137"/>
      <c r="D38" s="137"/>
      <c r="E38" s="137"/>
      <c r="F38" s="137"/>
      <c r="G38" s="137"/>
      <c r="H38" s="137"/>
      <c r="I38" s="137">
        <v>100.0</v>
      </c>
      <c r="J38" s="137">
        <f>60+20+350</f>
        <v>430</v>
      </c>
      <c r="K38" s="137">
        <v>50.0</v>
      </c>
      <c r="L38" s="137">
        <v>60.0</v>
      </c>
      <c r="M38" s="137">
        <v>60.0</v>
      </c>
      <c r="N38" s="137">
        <v>95.0</v>
      </c>
      <c r="O38" s="137">
        <v>100.0</v>
      </c>
      <c r="P38" s="137">
        <v>100.0</v>
      </c>
      <c r="Q38" s="137">
        <v>60.0</v>
      </c>
      <c r="R38" s="137">
        <v>0.0</v>
      </c>
      <c r="S38" s="137">
        <v>0.0</v>
      </c>
      <c r="T38" s="137">
        <v>100.0</v>
      </c>
      <c r="U38" s="137">
        <v>50.0</v>
      </c>
      <c r="V38" s="137">
        <v>100.0</v>
      </c>
      <c r="W38" s="137">
        <v>100.0</v>
      </c>
      <c r="X38" s="137">
        <v>100.0</v>
      </c>
      <c r="Y38" s="137">
        <v>100.0</v>
      </c>
      <c r="Z38" s="137">
        <v>100.0</v>
      </c>
      <c r="AA38" s="137">
        <v>100.0</v>
      </c>
      <c r="AB38" s="137">
        <v>100.0</v>
      </c>
      <c r="AC38" s="137">
        <v>100.0</v>
      </c>
      <c r="AD38" s="137">
        <v>100.0</v>
      </c>
      <c r="AE38" s="137">
        <v>100.0</v>
      </c>
      <c r="AF38" s="137">
        <v>100.0</v>
      </c>
      <c r="AG38" s="137">
        <v>100.0</v>
      </c>
      <c r="AH38" s="175">
        <v>100.0</v>
      </c>
      <c r="AI38" s="137">
        <v>100.0</v>
      </c>
      <c r="AJ38" s="137">
        <v>100.0</v>
      </c>
      <c r="AK38" s="137">
        <v>100.0</v>
      </c>
      <c r="AL38" s="137">
        <v>100.0</v>
      </c>
      <c r="AM38" s="137">
        <v>100.0</v>
      </c>
      <c r="AN38" s="137">
        <v>100.0</v>
      </c>
      <c r="AO38" s="137">
        <v>100.0</v>
      </c>
      <c r="AP38" s="137">
        <v>100.0</v>
      </c>
      <c r="AQ38" s="137">
        <v>100.0</v>
      </c>
      <c r="AR38" s="137">
        <v>100.0</v>
      </c>
      <c r="AS38" s="137">
        <v>100.0</v>
      </c>
      <c r="AT38" s="137">
        <v>100.0</v>
      </c>
      <c r="AU38" s="137">
        <v>100.0</v>
      </c>
      <c r="AV38" s="137">
        <v>100.0</v>
      </c>
      <c r="AW38" s="137">
        <v>100.0</v>
      </c>
      <c r="AX38" s="137">
        <v>100.0</v>
      </c>
      <c r="AY38" s="137">
        <v>100.0</v>
      </c>
      <c r="AZ38" s="137">
        <v>100.0</v>
      </c>
      <c r="BA38" s="137">
        <v>-100.0</v>
      </c>
      <c r="BB38" s="137">
        <v>-100.0</v>
      </c>
      <c r="BC38" s="137">
        <v>-100.0</v>
      </c>
      <c r="BD38" s="137">
        <v>-100.0</v>
      </c>
      <c r="BE38" s="137">
        <v>-100.0</v>
      </c>
      <c r="BF38" s="137">
        <v>-100.0</v>
      </c>
      <c r="BG38" s="137">
        <v>-100.0</v>
      </c>
      <c r="BH38" s="137">
        <v>-100.0</v>
      </c>
      <c r="BI38" s="137">
        <v>-100.0</v>
      </c>
      <c r="BJ38" s="137">
        <v>-100.0</v>
      </c>
      <c r="BK38" s="137">
        <v>-100.0</v>
      </c>
      <c r="BL38" s="137">
        <v>-100.0</v>
      </c>
      <c r="BM38" s="137">
        <v>-100.0</v>
      </c>
      <c r="BN38" s="137">
        <v>-100.0</v>
      </c>
    </row>
    <row r="39">
      <c r="A39" s="199"/>
      <c r="B39" s="144" t="s">
        <v>231</v>
      </c>
      <c r="C39" s="137">
        <v>0.0</v>
      </c>
      <c r="D39" s="137">
        <v>0.0</v>
      </c>
      <c r="E39" s="137">
        <v>0.0</v>
      </c>
      <c r="F39" s="137">
        <v>0.0</v>
      </c>
      <c r="G39" s="137">
        <v>0.0</v>
      </c>
      <c r="H39" s="175">
        <v>0.0</v>
      </c>
      <c r="I39" s="137">
        <v>0.0</v>
      </c>
      <c r="J39" s="137">
        <v>0.0</v>
      </c>
      <c r="K39" s="137">
        <v>0.0</v>
      </c>
      <c r="L39" s="137">
        <v>0.0</v>
      </c>
      <c r="M39" s="137">
        <v>0.0</v>
      </c>
      <c r="N39" s="137">
        <v>0.0</v>
      </c>
      <c r="O39" s="137">
        <v>0.0</v>
      </c>
      <c r="P39" s="137">
        <v>0.0</v>
      </c>
      <c r="Q39" s="137">
        <v>0.0</v>
      </c>
      <c r="R39" s="137">
        <v>0.0</v>
      </c>
      <c r="S39" s="137">
        <v>0.0</v>
      </c>
      <c r="T39" s="137">
        <v>0.0</v>
      </c>
      <c r="U39" s="137">
        <v>0.0</v>
      </c>
      <c r="V39" s="137">
        <v>0.0</v>
      </c>
      <c r="W39" s="137">
        <v>0.0</v>
      </c>
      <c r="X39" s="137">
        <v>0.0</v>
      </c>
      <c r="Y39" s="137">
        <v>0.0</v>
      </c>
      <c r="Z39" s="137">
        <v>0.0</v>
      </c>
      <c r="AA39" s="137">
        <v>0.0</v>
      </c>
      <c r="AB39" s="137">
        <v>0.0</v>
      </c>
      <c r="AC39" s="137">
        <v>0.0</v>
      </c>
      <c r="AD39" s="137">
        <v>0.0</v>
      </c>
      <c r="AE39" s="137">
        <v>0.0</v>
      </c>
      <c r="AF39" s="137">
        <v>0.0</v>
      </c>
      <c r="AG39" s="137">
        <v>0.0</v>
      </c>
      <c r="AH39" s="175">
        <v>100.0</v>
      </c>
      <c r="AI39" s="137">
        <v>300.0</v>
      </c>
      <c r="AJ39" s="137">
        <v>100.0</v>
      </c>
      <c r="AK39" s="137">
        <v>175.0</v>
      </c>
      <c r="AL39" s="137">
        <v>175.0</v>
      </c>
      <c r="AM39" s="137">
        <v>175.0</v>
      </c>
      <c r="AN39" s="137">
        <v>175.0</v>
      </c>
      <c r="AO39" s="137">
        <v>175.0</v>
      </c>
      <c r="AP39" s="137">
        <v>175.0</v>
      </c>
      <c r="AQ39" s="137">
        <v>175.0</v>
      </c>
      <c r="AR39" s="137">
        <v>175.0</v>
      </c>
      <c r="AS39" s="137">
        <v>175.0</v>
      </c>
      <c r="AT39" s="137">
        <v>175.0</v>
      </c>
      <c r="AU39" s="137">
        <v>175.0</v>
      </c>
      <c r="AV39" s="137">
        <v>175.0</v>
      </c>
      <c r="AW39" s="137">
        <v>175.0</v>
      </c>
      <c r="AX39" s="137">
        <v>175.0</v>
      </c>
      <c r="AY39" s="137">
        <v>175.0</v>
      </c>
      <c r="AZ39" s="137">
        <v>175.0</v>
      </c>
      <c r="BA39" s="137">
        <v>-175.0</v>
      </c>
      <c r="BB39" s="137">
        <v>-175.0</v>
      </c>
      <c r="BC39" s="137">
        <v>-175.0</v>
      </c>
      <c r="BD39" s="137">
        <v>-175.0</v>
      </c>
      <c r="BE39" s="137">
        <v>-175.0</v>
      </c>
      <c r="BF39" s="137">
        <v>-175.0</v>
      </c>
      <c r="BG39" s="137">
        <v>-175.0</v>
      </c>
      <c r="BH39" s="137">
        <v>-175.0</v>
      </c>
      <c r="BI39" s="137">
        <v>-175.0</v>
      </c>
      <c r="BJ39" s="137">
        <v>-175.0</v>
      </c>
      <c r="BK39" s="137">
        <v>-175.0</v>
      </c>
      <c r="BL39" s="137">
        <v>-175.0</v>
      </c>
      <c r="BM39" s="137">
        <v>-175.0</v>
      </c>
      <c r="BN39" s="137">
        <v>-175.0</v>
      </c>
    </row>
    <row r="40">
      <c r="A40" s="188" t="s">
        <v>232</v>
      </c>
      <c r="B40" s="144" t="s">
        <v>233</v>
      </c>
      <c r="C40" s="137"/>
      <c r="D40" s="137"/>
      <c r="E40" s="137">
        <v>50.0</v>
      </c>
      <c r="F40" s="137">
        <v>50.0</v>
      </c>
      <c r="G40" s="137">
        <v>50.0</v>
      </c>
      <c r="H40" s="137">
        <v>50.0</v>
      </c>
      <c r="I40" s="137">
        <v>100.0</v>
      </c>
      <c r="J40" s="137">
        <f>30+40</f>
        <v>70</v>
      </c>
      <c r="K40" s="137">
        <v>0.0</v>
      </c>
      <c r="L40" s="137">
        <v>50.0</v>
      </c>
      <c r="M40" s="137">
        <v>50.0</v>
      </c>
      <c r="N40" s="137">
        <v>20.0</v>
      </c>
      <c r="O40" s="137">
        <v>0.0</v>
      </c>
      <c r="P40" s="137">
        <v>50.0</v>
      </c>
      <c r="Q40" s="137">
        <v>30.0</v>
      </c>
      <c r="R40" s="137">
        <f>15+35</f>
        <v>50</v>
      </c>
      <c r="S40" s="137">
        <v>10.0</v>
      </c>
      <c r="T40" s="137">
        <v>40.0</v>
      </c>
      <c r="U40" s="137">
        <v>30.0</v>
      </c>
      <c r="V40" s="137">
        <f>sum(30,100)</f>
        <v>130</v>
      </c>
      <c r="W40" s="137">
        <v>30.0</v>
      </c>
      <c r="X40" s="137">
        <v>30.0</v>
      </c>
      <c r="Y40" s="137">
        <v>30.0</v>
      </c>
      <c r="Z40" s="137">
        <v>10.0</v>
      </c>
      <c r="AA40" s="137">
        <v>10.0</v>
      </c>
      <c r="AB40" s="137">
        <v>10.0</v>
      </c>
      <c r="AC40" s="137">
        <v>10.0</v>
      </c>
      <c r="AD40" s="137">
        <v>10.0</v>
      </c>
      <c r="AE40" s="137">
        <v>10.0</v>
      </c>
      <c r="AF40" s="137">
        <v>10.0</v>
      </c>
      <c r="AG40" s="137">
        <v>10.0</v>
      </c>
      <c r="AH40" s="175">
        <v>10.0</v>
      </c>
      <c r="AI40" s="137">
        <v>10.0</v>
      </c>
      <c r="AJ40" s="137">
        <v>10.0</v>
      </c>
      <c r="AK40" s="137">
        <v>10.0</v>
      </c>
      <c r="AL40" s="137">
        <v>10.0</v>
      </c>
      <c r="AM40" s="137">
        <v>10.0</v>
      </c>
      <c r="AN40" s="137">
        <v>10.0</v>
      </c>
      <c r="AO40" s="137">
        <v>10.0</v>
      </c>
      <c r="AP40" s="137">
        <v>10.0</v>
      </c>
      <c r="AQ40" s="137">
        <v>10.0</v>
      </c>
      <c r="AR40" s="137">
        <v>10.0</v>
      </c>
      <c r="AS40" s="137">
        <v>0.0</v>
      </c>
      <c r="AT40" s="137">
        <v>10.0</v>
      </c>
      <c r="AU40" s="137">
        <v>10.0</v>
      </c>
      <c r="AV40" s="137">
        <v>10.0</v>
      </c>
      <c r="AW40" s="137">
        <v>30.0</v>
      </c>
      <c r="AX40" s="137">
        <v>30.0</v>
      </c>
      <c r="AY40" s="137">
        <v>30.0</v>
      </c>
      <c r="AZ40" s="137">
        <v>30.0</v>
      </c>
      <c r="BA40" s="137">
        <v>-30.0</v>
      </c>
      <c r="BB40" s="137">
        <v>-30.0</v>
      </c>
      <c r="BC40" s="137">
        <v>-30.0</v>
      </c>
      <c r="BD40" s="137">
        <v>-30.0</v>
      </c>
      <c r="BE40" s="137">
        <v>-30.0</v>
      </c>
      <c r="BF40" s="137">
        <v>-30.0</v>
      </c>
      <c r="BG40" s="137">
        <v>-30.0</v>
      </c>
      <c r="BH40" s="137">
        <v>-30.0</v>
      </c>
      <c r="BI40" s="137">
        <v>-30.0</v>
      </c>
      <c r="BJ40" s="137">
        <v>-30.0</v>
      </c>
      <c r="BK40" s="137">
        <v>-30.0</v>
      </c>
      <c r="BL40" s="137">
        <v>-30.0</v>
      </c>
      <c r="BM40" s="137">
        <v>-30.0</v>
      </c>
      <c r="BN40" s="137">
        <v>-30.0</v>
      </c>
    </row>
    <row r="41">
      <c r="A41" s="199"/>
      <c r="B41" s="144" t="s">
        <v>234</v>
      </c>
      <c r="C41" s="137"/>
      <c r="D41" s="137"/>
      <c r="E41" s="137"/>
      <c r="F41" s="137"/>
      <c r="G41" s="137"/>
      <c r="H41" s="175"/>
      <c r="I41" s="137"/>
      <c r="J41" s="137"/>
      <c r="K41" s="137">
        <v>0.0</v>
      </c>
      <c r="L41" s="137">
        <v>0.0</v>
      </c>
      <c r="M41" s="137">
        <v>0.0</v>
      </c>
      <c r="N41" s="194">
        <v>250.0</v>
      </c>
      <c r="O41" s="137">
        <v>0.0</v>
      </c>
      <c r="P41" s="194">
        <v>200.0</v>
      </c>
      <c r="Q41" s="189">
        <v>0.0</v>
      </c>
      <c r="R41" s="137">
        <v>0.0</v>
      </c>
      <c r="S41" s="193">
        <f>0</f>
        <v>0</v>
      </c>
      <c r="T41" s="193">
        <f>840+450</f>
        <v>1290</v>
      </c>
      <c r="U41" s="137">
        <v>0.0</v>
      </c>
      <c r="V41" s="137">
        <v>0.0</v>
      </c>
      <c r="W41" s="137">
        <v>0.0</v>
      </c>
      <c r="X41" s="137">
        <v>0.0</v>
      </c>
      <c r="Y41" s="137">
        <v>0.0</v>
      </c>
      <c r="Z41" s="137">
        <v>0.0</v>
      </c>
      <c r="AA41" s="137">
        <v>0.0</v>
      </c>
      <c r="AB41" s="137">
        <v>0.0</v>
      </c>
      <c r="AC41" s="137">
        <v>0.0</v>
      </c>
      <c r="AD41" s="137">
        <v>0.0</v>
      </c>
      <c r="AE41" s="137">
        <v>0.0</v>
      </c>
      <c r="AF41" s="137">
        <v>0.0</v>
      </c>
      <c r="AG41" s="137">
        <v>0.0</v>
      </c>
      <c r="AH41" s="175">
        <v>0.0</v>
      </c>
      <c r="AI41" s="137">
        <v>0.0</v>
      </c>
      <c r="AJ41" s="137">
        <v>0.0</v>
      </c>
      <c r="AK41" s="137">
        <v>0.0</v>
      </c>
      <c r="AL41" s="137">
        <v>0.0</v>
      </c>
      <c r="AM41" s="137">
        <v>0.0</v>
      </c>
      <c r="AN41" s="137">
        <v>0.0</v>
      </c>
      <c r="AO41" s="137">
        <v>0.0</v>
      </c>
      <c r="AP41" s="137">
        <v>0.0</v>
      </c>
      <c r="AQ41" s="137">
        <v>0.0</v>
      </c>
      <c r="AR41" s="137">
        <v>0.0</v>
      </c>
      <c r="AS41" s="137">
        <v>0.0</v>
      </c>
      <c r="AT41" s="137">
        <v>0.0</v>
      </c>
      <c r="AU41" s="137">
        <v>0.0</v>
      </c>
      <c r="AV41" s="137">
        <v>0.0</v>
      </c>
      <c r="AW41" s="137">
        <v>0.0</v>
      </c>
      <c r="AX41" s="137">
        <v>0.0</v>
      </c>
      <c r="AY41" s="137">
        <v>0.0</v>
      </c>
      <c r="AZ41" s="137">
        <v>0.0</v>
      </c>
      <c r="BA41" s="137">
        <v>0.0</v>
      </c>
      <c r="BB41" s="137">
        <v>0.0</v>
      </c>
      <c r="BC41" s="137">
        <v>0.0</v>
      </c>
      <c r="BD41" s="137">
        <v>0.0</v>
      </c>
      <c r="BE41" s="137">
        <v>0.0</v>
      </c>
      <c r="BF41" s="137">
        <v>0.0</v>
      </c>
      <c r="BG41" s="137">
        <v>0.0</v>
      </c>
      <c r="BH41" s="137">
        <v>0.0</v>
      </c>
      <c r="BI41" s="137">
        <v>0.0</v>
      </c>
      <c r="BJ41" s="137">
        <v>0.0</v>
      </c>
      <c r="BK41" s="137">
        <v>0.0</v>
      </c>
      <c r="BL41" s="137">
        <v>0.0</v>
      </c>
      <c r="BM41" s="137">
        <v>0.0</v>
      </c>
      <c r="BN41" s="137">
        <v>0.0</v>
      </c>
    </row>
    <row r="42">
      <c r="A42" s="199"/>
      <c r="B42" s="144" t="s">
        <v>235</v>
      </c>
      <c r="C42" s="137"/>
      <c r="D42" s="137"/>
      <c r="E42" s="137"/>
      <c r="F42" s="137"/>
      <c r="G42" s="137"/>
      <c r="H42" s="175"/>
      <c r="I42" s="137"/>
      <c r="J42" s="137"/>
      <c r="K42" s="137"/>
      <c r="L42" s="137"/>
      <c r="M42" s="137"/>
      <c r="N42" s="194"/>
      <c r="O42" s="137"/>
      <c r="P42" s="194"/>
      <c r="Q42" s="189"/>
      <c r="R42" s="137"/>
      <c r="S42" s="193"/>
      <c r="T42" s="193"/>
      <c r="U42" s="137"/>
      <c r="V42" s="137"/>
      <c r="W42" s="137"/>
      <c r="X42" s="194">
        <f>272+375</f>
        <v>647</v>
      </c>
      <c r="Y42" s="137">
        <v>0.0</v>
      </c>
      <c r="Z42" s="137">
        <v>0.0</v>
      </c>
      <c r="AA42" s="137">
        <v>0.0</v>
      </c>
      <c r="AB42" s="137">
        <v>0.0</v>
      </c>
      <c r="AC42" s="137">
        <v>0.0</v>
      </c>
      <c r="AD42" s="137">
        <v>0.0</v>
      </c>
      <c r="AE42" s="137">
        <v>0.0</v>
      </c>
      <c r="AF42" s="137">
        <v>0.0</v>
      </c>
      <c r="AG42" s="137">
        <v>0.0</v>
      </c>
      <c r="AH42" s="175">
        <v>0.0</v>
      </c>
      <c r="AI42" s="137">
        <v>0.0</v>
      </c>
      <c r="AJ42" s="137">
        <v>0.0</v>
      </c>
      <c r="AK42" s="137">
        <v>0.0</v>
      </c>
      <c r="AL42" s="137">
        <v>0.0</v>
      </c>
      <c r="AM42" s="137">
        <v>0.0</v>
      </c>
      <c r="AN42" s="137">
        <v>0.0</v>
      </c>
      <c r="AO42" s="137">
        <v>0.0</v>
      </c>
      <c r="AP42" s="137">
        <v>0.0</v>
      </c>
      <c r="AQ42" s="137">
        <v>0.0</v>
      </c>
      <c r="AR42" s="137">
        <v>0.0</v>
      </c>
      <c r="AS42" s="137">
        <v>0.0</v>
      </c>
      <c r="AT42" s="137">
        <v>0.0</v>
      </c>
      <c r="AU42" s="137">
        <v>0.0</v>
      </c>
      <c r="AV42" s="137">
        <v>0.0</v>
      </c>
      <c r="AW42" s="137">
        <v>0.0</v>
      </c>
      <c r="AX42" s="137">
        <v>0.0</v>
      </c>
      <c r="AY42" s="137">
        <v>0.0</v>
      </c>
      <c r="AZ42" s="137">
        <v>0.0</v>
      </c>
      <c r="BA42" s="137">
        <v>0.0</v>
      </c>
      <c r="BB42" s="137">
        <v>0.0</v>
      </c>
      <c r="BC42" s="137">
        <v>0.0</v>
      </c>
      <c r="BD42" s="137">
        <v>0.0</v>
      </c>
      <c r="BE42" s="137">
        <v>0.0</v>
      </c>
      <c r="BF42" s="137">
        <v>0.0</v>
      </c>
      <c r="BG42" s="137">
        <v>0.0</v>
      </c>
      <c r="BH42" s="137">
        <v>0.0</v>
      </c>
      <c r="BI42" s="137">
        <v>0.0</v>
      </c>
      <c r="BJ42" s="137">
        <v>0.0</v>
      </c>
      <c r="BK42" s="137">
        <v>0.0</v>
      </c>
      <c r="BL42" s="137">
        <v>0.0</v>
      </c>
      <c r="BM42" s="137">
        <v>0.0</v>
      </c>
      <c r="BN42" s="137">
        <v>0.0</v>
      </c>
    </row>
    <row r="43">
      <c r="A43" s="199"/>
      <c r="B43" s="144" t="s">
        <v>31</v>
      </c>
      <c r="C43" s="137"/>
      <c r="D43" s="137"/>
      <c r="E43" s="137"/>
      <c r="F43" s="137"/>
      <c r="G43" s="137"/>
      <c r="H43" s="175"/>
      <c r="I43" s="137"/>
      <c r="J43" s="137"/>
      <c r="K43" s="137"/>
      <c r="L43" s="137"/>
      <c r="M43" s="137"/>
      <c r="N43" s="194"/>
      <c r="O43" s="137"/>
      <c r="P43" s="194"/>
      <c r="Q43" s="189"/>
      <c r="R43" s="137"/>
      <c r="S43" s="193"/>
      <c r="T43" s="194">
        <v>0.0</v>
      </c>
      <c r="U43" s="192">
        <v>0.0</v>
      </c>
      <c r="V43" s="137">
        <v>0.0</v>
      </c>
      <c r="W43" s="137">
        <v>0.0</v>
      </c>
      <c r="X43" s="194">
        <f>sum(700/2,50,500)</f>
        <v>900</v>
      </c>
      <c r="Y43" s="137">
        <v>0.0</v>
      </c>
      <c r="Z43" s="137">
        <v>0.0</v>
      </c>
      <c r="AA43" s="137">
        <v>0.0</v>
      </c>
      <c r="AB43" s="137">
        <v>0.0</v>
      </c>
      <c r="AC43" s="137">
        <v>0.0</v>
      </c>
      <c r="AD43" s="137">
        <v>0.0</v>
      </c>
      <c r="AE43" s="137">
        <v>0.0</v>
      </c>
      <c r="AF43" s="137">
        <v>0.0</v>
      </c>
      <c r="AG43" s="137">
        <v>0.0</v>
      </c>
      <c r="AH43" s="175">
        <v>0.0</v>
      </c>
      <c r="AI43" s="137">
        <v>0.0</v>
      </c>
      <c r="AJ43" s="137">
        <v>0.0</v>
      </c>
      <c r="AK43" s="137">
        <v>0.0</v>
      </c>
      <c r="AL43" s="137">
        <v>1500.0</v>
      </c>
      <c r="AM43" s="137">
        <v>0.0</v>
      </c>
      <c r="AN43" s="137">
        <v>0.0</v>
      </c>
      <c r="AO43" s="137">
        <v>0.0</v>
      </c>
      <c r="AP43" s="137">
        <v>0.0</v>
      </c>
      <c r="AQ43" s="137">
        <v>0.0</v>
      </c>
      <c r="AR43" s="137">
        <v>0.0</v>
      </c>
      <c r="AS43" s="137">
        <v>0.0</v>
      </c>
      <c r="AT43" s="137">
        <v>0.0</v>
      </c>
      <c r="AU43" s="137">
        <v>0.0</v>
      </c>
      <c r="AV43" s="137">
        <v>0.0</v>
      </c>
      <c r="AW43" s="137">
        <v>0.0</v>
      </c>
      <c r="AX43" s="194">
        <v>500.0</v>
      </c>
      <c r="AY43" s="137">
        <v>0.0</v>
      </c>
      <c r="AZ43" s="137">
        <v>0.0</v>
      </c>
      <c r="BA43" s="137">
        <v>0.0</v>
      </c>
      <c r="BB43" s="137">
        <v>0.0</v>
      </c>
      <c r="BC43" s="137">
        <v>0.0</v>
      </c>
      <c r="BD43" s="137">
        <v>0.0</v>
      </c>
      <c r="BE43" s="137">
        <v>0.0</v>
      </c>
      <c r="BF43" s="137">
        <v>0.0</v>
      </c>
      <c r="BG43" s="137">
        <v>0.0</v>
      </c>
      <c r="BH43" s="137">
        <v>0.0</v>
      </c>
      <c r="BI43" s="137">
        <v>0.0</v>
      </c>
      <c r="BJ43" s="137">
        <v>0.0</v>
      </c>
      <c r="BK43" s="137">
        <v>0.0</v>
      </c>
      <c r="BL43" s="137">
        <v>0.0</v>
      </c>
      <c r="BM43" s="137">
        <v>0.0</v>
      </c>
      <c r="BN43" s="137">
        <v>0.0</v>
      </c>
    </row>
    <row r="44">
      <c r="A44" s="208"/>
      <c r="B44" s="209"/>
      <c r="C44" s="168"/>
      <c r="D44" s="210"/>
      <c r="E44" s="210"/>
      <c r="F44" s="210"/>
      <c r="G44" s="210"/>
      <c r="H44" s="211"/>
      <c r="I44" s="210"/>
      <c r="J44" s="210"/>
      <c r="K44" s="210"/>
      <c r="L44" s="210"/>
      <c r="M44" s="210"/>
      <c r="N44" s="210"/>
      <c r="O44" s="210"/>
      <c r="P44" s="212">
        <f>sum(P17:P41)/P13</f>
        <v>0.4229712568</v>
      </c>
      <c r="Q44" s="212">
        <f t="shared" ref="Q44:S44" si="72">sum(Q28:Q41)/Q13</f>
        <v>0.1376688722</v>
      </c>
      <c r="R44" s="212">
        <f t="shared" si="72"/>
        <v>0.1557641757</v>
      </c>
      <c r="S44" s="212">
        <f t="shared" si="72"/>
        <v>0.04717220391</v>
      </c>
      <c r="T44" s="212">
        <f t="shared" ref="T44:AZ44" si="73">sum(T28:T43)/T13</f>
        <v>0.5274487031</v>
      </c>
      <c r="U44" s="212">
        <f t="shared" si="73"/>
        <v>0.1974448316</v>
      </c>
      <c r="V44" s="212">
        <f t="shared" si="73"/>
        <v>0.4105068442</v>
      </c>
      <c r="W44" s="212">
        <f t="shared" si="73"/>
        <v>0.2327526132</v>
      </c>
      <c r="X44" s="212">
        <f t="shared" si="73"/>
        <v>0.5468060395</v>
      </c>
      <c r="Y44" s="212">
        <f t="shared" si="73"/>
        <v>0.1794733568</v>
      </c>
      <c r="Z44" s="212">
        <f t="shared" si="73"/>
        <v>0.4533363636</v>
      </c>
      <c r="AA44" s="212">
        <f t="shared" si="73"/>
        <v>0.4409573864</v>
      </c>
      <c r="AB44" s="212">
        <f t="shared" si="73"/>
        <v>0.2288636364</v>
      </c>
      <c r="AC44" s="212">
        <f t="shared" si="73"/>
        <v>0.3517090909</v>
      </c>
      <c r="AD44" s="212">
        <f t="shared" si="73"/>
        <v>0.162804878</v>
      </c>
      <c r="AE44" s="212">
        <f t="shared" si="73"/>
        <v>0.0974341661</v>
      </c>
      <c r="AF44" s="212">
        <f t="shared" si="73"/>
        <v>0.140990099</v>
      </c>
      <c r="AG44" s="212">
        <f t="shared" si="73"/>
        <v>0.1271428571</v>
      </c>
      <c r="AH44" s="213">
        <f t="shared" si="73"/>
        <v>0.1365891473</v>
      </c>
      <c r="AI44" s="212">
        <f t="shared" si="73"/>
        <v>0.2981102362</v>
      </c>
      <c r="AJ44" s="212">
        <f t="shared" si="73"/>
        <v>0.2508661417</v>
      </c>
      <c r="AK44" s="212">
        <f t="shared" si="73"/>
        <v>0.1298002663</v>
      </c>
      <c r="AL44" s="212">
        <f t="shared" si="73"/>
        <v>0.5724675325</v>
      </c>
      <c r="AM44" s="212">
        <f t="shared" si="73"/>
        <v>0.2596536797</v>
      </c>
      <c r="AN44" s="212">
        <f t="shared" si="73"/>
        <v>0.1391647332</v>
      </c>
      <c r="AO44" s="212">
        <f t="shared" si="73"/>
        <v>0.2389641434</v>
      </c>
      <c r="AP44" s="212">
        <f t="shared" si="73"/>
        <v>0.1505069124</v>
      </c>
      <c r="AQ44" s="212">
        <f t="shared" si="73"/>
        <v>0.2596536797</v>
      </c>
      <c r="AR44" s="212">
        <f t="shared" si="73"/>
        <v>0.2596536797</v>
      </c>
      <c r="AS44" s="212">
        <f t="shared" si="73"/>
        <v>0.2620779221</v>
      </c>
      <c r="AT44" s="212">
        <f t="shared" si="73"/>
        <v>0.1839752017</v>
      </c>
      <c r="AU44" s="212">
        <f t="shared" si="73"/>
        <v>0.1080720721</v>
      </c>
      <c r="AV44" s="212">
        <f t="shared" si="73"/>
        <v>0.2596536797</v>
      </c>
      <c r="AW44" s="212">
        <f t="shared" si="73"/>
        <v>0.283030303</v>
      </c>
      <c r="AX44" s="212">
        <f t="shared" si="73"/>
        <v>0.2530549214</v>
      </c>
      <c r="AY44" s="212">
        <f t="shared" si="73"/>
        <v>0.227804878</v>
      </c>
      <c r="AZ44" s="212">
        <f t="shared" si="73"/>
        <v>0.1667513612</v>
      </c>
      <c r="BA44" s="212"/>
      <c r="BB44" s="212"/>
      <c r="BC44" s="212"/>
      <c r="BD44" s="212"/>
      <c r="BE44" s="212"/>
      <c r="BF44" s="212"/>
      <c r="BG44" s="212"/>
      <c r="BH44" s="212"/>
      <c r="BI44" s="212"/>
      <c r="BJ44" s="212"/>
      <c r="BK44" s="212"/>
      <c r="BL44" s="212"/>
      <c r="BM44" s="212"/>
      <c r="BN44" s="212"/>
    </row>
    <row r="45">
      <c r="A45" s="171" t="s">
        <v>236</v>
      </c>
      <c r="B45" s="172"/>
      <c r="C45" s="137">
        <f t="shared" ref="C45:G45" si="74">sum(C17:C40)</f>
        <v>2850.475</v>
      </c>
      <c r="D45" s="137">
        <f t="shared" si="74"/>
        <v>2700.475</v>
      </c>
      <c r="E45" s="137">
        <f t="shared" si="74"/>
        <v>3250.475</v>
      </c>
      <c r="F45" s="137">
        <f t="shared" si="74"/>
        <v>3499.265</v>
      </c>
      <c r="G45" s="137">
        <f t="shared" si="74"/>
        <v>2895.475</v>
      </c>
      <c r="H45" s="175">
        <f t="shared" ref="H45:M45" si="75">sum(H23:H40)</f>
        <v>785</v>
      </c>
      <c r="I45" s="137">
        <f t="shared" si="75"/>
        <v>2273</v>
      </c>
      <c r="J45" s="137">
        <f t="shared" si="75"/>
        <v>3319</v>
      </c>
      <c r="K45" s="137">
        <f t="shared" si="75"/>
        <v>3083</v>
      </c>
      <c r="L45" s="137">
        <f t="shared" si="75"/>
        <v>3545</v>
      </c>
      <c r="M45" s="137">
        <f t="shared" si="75"/>
        <v>1923</v>
      </c>
      <c r="N45" s="137">
        <f t="shared" ref="N45:O45" si="76">sum(N23:N41)</f>
        <v>3152</v>
      </c>
      <c r="O45" s="137">
        <f t="shared" si="76"/>
        <v>2351</v>
      </c>
      <c r="P45" s="137">
        <f t="shared" ref="P45:S45" si="77">sum(P17:P41)</f>
        <v>5021.937732</v>
      </c>
      <c r="Q45" s="137">
        <f t="shared" si="77"/>
        <v>3812.781736</v>
      </c>
      <c r="R45" s="137">
        <f t="shared" si="77"/>
        <v>3794.099072</v>
      </c>
      <c r="S45" s="137">
        <f t="shared" si="77"/>
        <v>3076.949944</v>
      </c>
      <c r="T45" s="137">
        <f t="shared" ref="T45:X45" si="78">sum(T17:T43)</f>
        <v>6218.120414</v>
      </c>
      <c r="U45" s="137">
        <f t="shared" si="78"/>
        <v>1855.089818</v>
      </c>
      <c r="V45" s="137">
        <f t="shared" si="78"/>
        <v>4730.289456</v>
      </c>
      <c r="W45" s="137">
        <f t="shared" si="78"/>
        <v>3161.256756</v>
      </c>
      <c r="X45" s="137">
        <f t="shared" si="78"/>
        <v>6665.485327</v>
      </c>
      <c r="Y45" s="137">
        <f t="shared" ref="Y45:BN45" si="79">sum(Y17:Y25,Y28:Y43)</f>
        <v>5063.475</v>
      </c>
      <c r="Z45" s="137">
        <f t="shared" si="79"/>
        <v>6769.65</v>
      </c>
      <c r="AA45" s="137">
        <f t="shared" si="79"/>
        <v>6823.99</v>
      </c>
      <c r="AB45" s="137">
        <f t="shared" si="79"/>
        <v>4957.565</v>
      </c>
      <c r="AC45" s="137">
        <f t="shared" si="79"/>
        <v>6158.565</v>
      </c>
      <c r="AD45" s="137">
        <f t="shared" si="79"/>
        <v>4358.565</v>
      </c>
      <c r="AE45" s="137">
        <f t="shared" si="79"/>
        <v>4858.565</v>
      </c>
      <c r="AF45" s="137">
        <f t="shared" si="79"/>
        <v>4358.565</v>
      </c>
      <c r="AG45" s="137">
        <f t="shared" si="79"/>
        <v>4358.565</v>
      </c>
      <c r="AH45" s="175">
        <f t="shared" si="79"/>
        <v>10512.09</v>
      </c>
      <c r="AI45" s="137">
        <f t="shared" si="79"/>
        <v>5739.09</v>
      </c>
      <c r="AJ45" s="137">
        <f t="shared" si="79"/>
        <v>5539.09</v>
      </c>
      <c r="AK45" s="137">
        <f t="shared" si="79"/>
        <v>5827</v>
      </c>
      <c r="AL45" s="137">
        <f t="shared" si="79"/>
        <v>10177</v>
      </c>
      <c r="AM45" s="137">
        <f t="shared" si="79"/>
        <v>6364</v>
      </c>
      <c r="AN45" s="137">
        <f t="shared" si="79"/>
        <v>6364</v>
      </c>
      <c r="AO45" s="137">
        <f t="shared" si="79"/>
        <v>6364</v>
      </c>
      <c r="AP45" s="137">
        <f t="shared" si="79"/>
        <v>8289</v>
      </c>
      <c r="AQ45" s="137">
        <f t="shared" si="79"/>
        <v>6389</v>
      </c>
      <c r="AR45" s="137">
        <f t="shared" si="79"/>
        <v>6389</v>
      </c>
      <c r="AS45" s="137">
        <f t="shared" si="79"/>
        <v>6417</v>
      </c>
      <c r="AT45" s="137">
        <f t="shared" si="79"/>
        <v>6389</v>
      </c>
      <c r="AU45" s="137">
        <f t="shared" si="79"/>
        <v>6489</v>
      </c>
      <c r="AV45" s="137">
        <f t="shared" si="79"/>
        <v>6489</v>
      </c>
      <c r="AW45" s="137">
        <f t="shared" si="79"/>
        <v>6909</v>
      </c>
      <c r="AX45" s="137">
        <f t="shared" si="79"/>
        <v>7409</v>
      </c>
      <c r="AY45" s="137">
        <f t="shared" si="79"/>
        <v>6909</v>
      </c>
      <c r="AZ45" s="137">
        <f t="shared" si="79"/>
        <v>8234</v>
      </c>
      <c r="BA45" s="137">
        <f t="shared" si="79"/>
        <v>-7117</v>
      </c>
      <c r="BB45" s="137">
        <f t="shared" si="79"/>
        <v>-7117</v>
      </c>
      <c r="BC45" s="137">
        <f t="shared" si="79"/>
        <v>-8817</v>
      </c>
      <c r="BD45" s="137">
        <f t="shared" si="79"/>
        <v>-258767</v>
      </c>
      <c r="BE45" s="137">
        <f t="shared" si="79"/>
        <v>-34317</v>
      </c>
      <c r="BF45" s="137">
        <f t="shared" si="79"/>
        <v>-34317</v>
      </c>
      <c r="BG45" s="137">
        <f t="shared" si="79"/>
        <v>-34317</v>
      </c>
      <c r="BH45" s="137">
        <f t="shared" si="79"/>
        <v>-34317</v>
      </c>
      <c r="BI45" s="137">
        <f t="shared" si="79"/>
        <v>-34317</v>
      </c>
      <c r="BJ45" s="137">
        <f t="shared" si="79"/>
        <v>-34317</v>
      </c>
      <c r="BK45" s="137">
        <f t="shared" si="79"/>
        <v>-34317</v>
      </c>
      <c r="BL45" s="137">
        <f t="shared" si="79"/>
        <v>-34317</v>
      </c>
      <c r="BM45" s="137">
        <f t="shared" si="79"/>
        <v>25683</v>
      </c>
      <c r="BN45" s="137">
        <f t="shared" si="79"/>
        <v>25683</v>
      </c>
    </row>
    <row r="46">
      <c r="A46" s="215"/>
      <c r="B46" s="183"/>
      <c r="C46" s="183"/>
      <c r="D46" s="183"/>
      <c r="E46" s="183"/>
      <c r="F46" s="183"/>
      <c r="G46" s="183"/>
      <c r="H46" s="184"/>
      <c r="I46" s="183"/>
      <c r="J46" s="183"/>
      <c r="K46" s="183"/>
      <c r="L46" s="183"/>
      <c r="M46" s="183"/>
      <c r="N46" s="183"/>
      <c r="O46" s="183"/>
      <c r="P46" s="183"/>
      <c r="Q46" s="216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4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  <c r="BA46" s="183"/>
      <c r="BB46" s="183"/>
      <c r="BC46" s="183"/>
      <c r="BD46" s="183"/>
      <c r="BE46" s="183"/>
      <c r="BF46" s="183"/>
      <c r="BG46" s="183"/>
      <c r="BH46" s="183"/>
      <c r="BI46" s="183"/>
      <c r="BJ46" s="183"/>
      <c r="BK46" s="183"/>
      <c r="BL46" s="183"/>
      <c r="BM46" s="183"/>
      <c r="BN46" s="183"/>
    </row>
    <row r="47">
      <c r="A47" s="186" t="s">
        <v>971</v>
      </c>
      <c r="B47" s="187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4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</row>
    <row r="48">
      <c r="A48" s="135" t="s">
        <v>972</v>
      </c>
      <c r="B48" s="136"/>
      <c r="C48" s="137"/>
      <c r="D48" s="137"/>
      <c r="E48" s="137"/>
      <c r="F48" s="137"/>
      <c r="G48" s="137"/>
      <c r="H48" s="137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40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</row>
    <row r="49">
      <c r="A49" s="199"/>
      <c r="B49" s="144" t="s">
        <v>239</v>
      </c>
      <c r="C49" s="137">
        <v>2500.0</v>
      </c>
      <c r="D49" s="137">
        <v>4500.0</v>
      </c>
      <c r="E49" s="137">
        <v>2800.0</v>
      </c>
      <c r="F49" s="137">
        <v>2800.0</v>
      </c>
      <c r="G49" s="137">
        <v>2000.0</v>
      </c>
      <c r="H49" s="175">
        <v>3093.0</v>
      </c>
      <c r="I49" s="137">
        <v>1600.0</v>
      </c>
      <c r="J49" s="137">
        <f>'PAYMENT SCHEDULE'!C13+'PAYMENT SCHEDULE'!C29</f>
        <v>3200</v>
      </c>
      <c r="K49" s="194">
        <f>LIABILITIES!E26</f>
        <v>1000</v>
      </c>
      <c r="L49" s="194">
        <f>LIABILITIES!E26</f>
        <v>1000</v>
      </c>
      <c r="M49" s="217" t="str">
        <f>'PAYMENT SCHEDULE'!C33</f>
        <v/>
      </c>
      <c r="N49" s="194">
        <f>N13*0.25</f>
        <v>1732.5</v>
      </c>
      <c r="O49" s="194">
        <f>O13*0.35</f>
        <v>2520</v>
      </c>
      <c r="P49" s="194">
        <v>5956.0</v>
      </c>
      <c r="Q49" s="194">
        <v>2008.0</v>
      </c>
      <c r="R49" s="194">
        <f>R13*0.4</f>
        <v>2663</v>
      </c>
      <c r="S49" s="194">
        <v>5600.0</v>
      </c>
      <c r="T49" s="194">
        <f>T13*0.25</f>
        <v>1614.375</v>
      </c>
      <c r="U49" s="194">
        <f>U13*0.4</f>
        <v>2583</v>
      </c>
      <c r="V49" s="194">
        <f>3397</f>
        <v>3397</v>
      </c>
      <c r="W49" s="194">
        <f>W13*0.3</f>
        <v>1937.25</v>
      </c>
      <c r="X49" s="137">
        <f>X$13*0.11</f>
        <v>710.325</v>
      </c>
      <c r="Y49" s="137">
        <f t="shared" ref="Y49:Z49" si="80">Y$13*0.1</f>
        <v>1205.75</v>
      </c>
      <c r="Z49" s="137">
        <f t="shared" si="80"/>
        <v>880</v>
      </c>
      <c r="AA49" s="202">
        <f>AA$13*0.33</f>
        <v>2904</v>
      </c>
      <c r="AB49" s="203">
        <f t="shared" ref="AB49:AC49" si="81">AB$13*0.2</f>
        <v>1760</v>
      </c>
      <c r="AC49" s="203">
        <f t="shared" si="81"/>
        <v>1833.333333</v>
      </c>
      <c r="AD49" s="203">
        <f>AD$13*0.25</f>
        <v>2186.666667</v>
      </c>
      <c r="AE49" s="203">
        <f>AE$13*0.7</f>
        <v>13822.66667</v>
      </c>
      <c r="AF49" s="137">
        <f>AF$13*0.25</f>
        <v>2525</v>
      </c>
      <c r="AG49" s="137">
        <f t="shared" ref="AG49:AH49" si="82">AG$13*0.15</f>
        <v>1680</v>
      </c>
      <c r="AH49" s="175">
        <f t="shared" si="82"/>
        <v>3870</v>
      </c>
      <c r="AI49" s="137">
        <f t="shared" ref="AI49:AK49" si="83">AI$13*0.18</f>
        <v>1524</v>
      </c>
      <c r="AJ49" s="137">
        <f t="shared" si="83"/>
        <v>1524</v>
      </c>
      <c r="AK49" s="137">
        <f t="shared" si="83"/>
        <v>3379.5</v>
      </c>
      <c r="AL49" s="137">
        <f>AL$13*0.05</f>
        <v>577.5</v>
      </c>
      <c r="AM49" s="137">
        <f>AM$13*0.1</f>
        <v>1155</v>
      </c>
      <c r="AN49" s="137">
        <f>AN$13*0.4</f>
        <v>8620</v>
      </c>
      <c r="AO49" s="137">
        <f>AO$13*0.1</f>
        <v>1255</v>
      </c>
      <c r="AP49" s="137">
        <f>17000</f>
        <v>17000</v>
      </c>
      <c r="AQ49" s="137">
        <f>AQ$13*0.1</f>
        <v>1155</v>
      </c>
      <c r="AR49" s="137">
        <f t="shared" ref="AR49:AS49" si="84">AR$13*0.3</f>
        <v>3465</v>
      </c>
      <c r="AS49" s="137">
        <f t="shared" si="84"/>
        <v>3465</v>
      </c>
      <c r="AT49" s="137">
        <f>AT$13*0.5</f>
        <v>8150.555</v>
      </c>
      <c r="AU49" s="137">
        <f>AU$13*0.2</f>
        <v>5550</v>
      </c>
      <c r="AV49" s="137">
        <f>AV$13*0.1</f>
        <v>1155</v>
      </c>
      <c r="AW49" s="137">
        <f>AW$13*0.1+2530</f>
        <v>3685</v>
      </c>
      <c r="AX49" s="194">
        <f>AX$13*0.1+2000</f>
        <v>3489.4</v>
      </c>
      <c r="AY49" s="137">
        <f>AY$13*0.1</f>
        <v>1435</v>
      </c>
      <c r="AZ49" s="218">
        <v>16000.0</v>
      </c>
      <c r="BA49" s="137">
        <v>-15000.0</v>
      </c>
      <c r="BB49" s="137">
        <v>-2400.0</v>
      </c>
      <c r="BC49" s="137">
        <v>-2400.0</v>
      </c>
      <c r="BD49" s="137" t="str">
        <f>sum(LIABILITIES!C26,FUNDS!C16)</f>
        <v>#REF!</v>
      </c>
      <c r="BE49" s="137">
        <v>0.0</v>
      </c>
      <c r="BF49" s="137">
        <v>0.0</v>
      </c>
      <c r="BG49" s="137">
        <v>0.0</v>
      </c>
      <c r="BH49" s="137">
        <v>0.0</v>
      </c>
      <c r="BI49" s="137">
        <v>0.0</v>
      </c>
      <c r="BJ49" s="137">
        <v>0.0</v>
      </c>
      <c r="BK49" s="137">
        <v>0.0</v>
      </c>
      <c r="BL49" s="137">
        <v>0.0</v>
      </c>
      <c r="BM49" s="137">
        <v>0.0</v>
      </c>
      <c r="BN49" s="137">
        <v>0.0</v>
      </c>
    </row>
    <row r="50">
      <c r="A50" s="135" t="s">
        <v>973</v>
      </c>
      <c r="B50" s="136"/>
      <c r="C50" s="137"/>
      <c r="D50" s="137"/>
      <c r="E50" s="137"/>
      <c r="F50" s="137"/>
      <c r="G50" s="137"/>
      <c r="H50" s="137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40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</row>
    <row r="51">
      <c r="A51" s="219"/>
      <c r="B51" s="220" t="s">
        <v>241</v>
      </c>
      <c r="C51" s="137"/>
      <c r="D51" s="137"/>
      <c r="E51" s="137"/>
      <c r="F51" s="137"/>
      <c r="G51" s="137"/>
      <c r="H51" s="175"/>
      <c r="I51" s="137">
        <v>0.0</v>
      </c>
      <c r="J51" s="137">
        <v>0.0</v>
      </c>
      <c r="K51" s="137">
        <f t="shared" ref="K51:L51" si="85">K13*0</f>
        <v>0</v>
      </c>
      <c r="L51" s="137">
        <f t="shared" si="85"/>
        <v>0</v>
      </c>
      <c r="M51" s="137">
        <v>0.0</v>
      </c>
      <c r="N51" s="137">
        <v>25.0</v>
      </c>
      <c r="O51" s="137">
        <v>25.0</v>
      </c>
      <c r="P51" s="137">
        <v>20.0</v>
      </c>
      <c r="Q51" s="137">
        <v>25.0</v>
      </c>
      <c r="R51" s="137">
        <v>0.0</v>
      </c>
      <c r="S51" s="137">
        <v>0.0</v>
      </c>
      <c r="T51" s="137">
        <v>0.0</v>
      </c>
      <c r="U51" s="137">
        <v>0.0</v>
      </c>
      <c r="V51" s="137">
        <v>0.0</v>
      </c>
      <c r="W51" s="137">
        <v>0.0</v>
      </c>
      <c r="X51" s="137">
        <f t="shared" ref="X51:Y51" si="86">$X$13*0.03</f>
        <v>193.725</v>
      </c>
      <c r="Y51" s="137">
        <f t="shared" si="86"/>
        <v>193.725</v>
      </c>
      <c r="Z51" s="137">
        <f t="shared" ref="Z51:Z52" si="95">$X$13*0.1</f>
        <v>645.75</v>
      </c>
      <c r="AA51" s="137">
        <f t="shared" ref="AA51:AC51" si="87">$X$13*0.03</f>
        <v>193.725</v>
      </c>
      <c r="AB51" s="137">
        <f t="shared" si="87"/>
        <v>193.725</v>
      </c>
      <c r="AC51" s="137">
        <f t="shared" si="87"/>
        <v>193.725</v>
      </c>
      <c r="AD51" s="137">
        <f t="shared" ref="AD51:AH51" si="88">$X$13*0</f>
        <v>0</v>
      </c>
      <c r="AE51" s="137">
        <f t="shared" si="88"/>
        <v>0</v>
      </c>
      <c r="AF51" s="137">
        <f t="shared" si="88"/>
        <v>0</v>
      </c>
      <c r="AG51" s="137">
        <f t="shared" si="88"/>
        <v>0</v>
      </c>
      <c r="AH51" s="175">
        <f t="shared" si="88"/>
        <v>0</v>
      </c>
      <c r="AI51" s="137">
        <f t="shared" ref="AI51:AJ51" si="89">$X$13*0.03</f>
        <v>193.725</v>
      </c>
      <c r="AJ51" s="137">
        <f t="shared" si="89"/>
        <v>193.725</v>
      </c>
      <c r="AK51" s="137">
        <f t="shared" ref="AK51:AM51" si="90">$X$13*0.032</f>
        <v>206.64</v>
      </c>
      <c r="AL51" s="137">
        <f t="shared" si="90"/>
        <v>206.64</v>
      </c>
      <c r="AM51" s="137">
        <f t="shared" si="90"/>
        <v>206.64</v>
      </c>
      <c r="AN51" s="137">
        <f t="shared" ref="AN51:AR51" si="91">$X$13*0.05</f>
        <v>322.875</v>
      </c>
      <c r="AO51" s="137">
        <f t="shared" si="91"/>
        <v>322.875</v>
      </c>
      <c r="AP51" s="137">
        <f t="shared" si="91"/>
        <v>322.875</v>
      </c>
      <c r="AQ51" s="137">
        <f t="shared" si="91"/>
        <v>322.875</v>
      </c>
      <c r="AR51" s="137">
        <f t="shared" si="91"/>
        <v>322.875</v>
      </c>
      <c r="AS51" s="137">
        <f>$X$13*0</f>
        <v>0</v>
      </c>
      <c r="AT51" s="137">
        <f t="shared" ref="AT51:AV51" si="92">$X$13*0.05</f>
        <v>322.875</v>
      </c>
      <c r="AU51" s="137">
        <f t="shared" si="92"/>
        <v>322.875</v>
      </c>
      <c r="AV51" s="137">
        <f t="shared" si="92"/>
        <v>322.875</v>
      </c>
      <c r="AW51" s="137">
        <v>0.0</v>
      </c>
      <c r="AX51" s="137">
        <v>0.0</v>
      </c>
      <c r="AY51" s="137">
        <v>0.0</v>
      </c>
      <c r="AZ51" s="137">
        <v>0.0</v>
      </c>
      <c r="BA51" s="137">
        <v>0.0</v>
      </c>
      <c r="BB51" s="137">
        <v>0.0</v>
      </c>
      <c r="BC51" s="137">
        <f t="shared" ref="BC51:BN51" si="93">-$X$13*0.1</f>
        <v>-645.75</v>
      </c>
      <c r="BD51" s="137">
        <f t="shared" si="93"/>
        <v>-645.75</v>
      </c>
      <c r="BE51" s="137">
        <f t="shared" si="93"/>
        <v>-645.75</v>
      </c>
      <c r="BF51" s="137">
        <f t="shared" si="93"/>
        <v>-645.75</v>
      </c>
      <c r="BG51" s="137">
        <f t="shared" si="93"/>
        <v>-645.75</v>
      </c>
      <c r="BH51" s="137">
        <f t="shared" si="93"/>
        <v>-645.75</v>
      </c>
      <c r="BI51" s="137">
        <f t="shared" si="93"/>
        <v>-645.75</v>
      </c>
      <c r="BJ51" s="137">
        <f t="shared" si="93"/>
        <v>-645.75</v>
      </c>
      <c r="BK51" s="137">
        <f t="shared" si="93"/>
        <v>-645.75</v>
      </c>
      <c r="BL51" s="137">
        <f t="shared" si="93"/>
        <v>-645.75</v>
      </c>
      <c r="BM51" s="137">
        <f t="shared" si="93"/>
        <v>-645.75</v>
      </c>
      <c r="BN51" s="137">
        <f t="shared" si="93"/>
        <v>-645.75</v>
      </c>
    </row>
    <row r="52">
      <c r="A52" s="219"/>
      <c r="B52" s="221" t="s">
        <v>242</v>
      </c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>
        <v>0.0</v>
      </c>
      <c r="S52" s="137">
        <v>500.0</v>
      </c>
      <c r="T52" s="137">
        <f>T13*0.02</f>
        <v>129.15</v>
      </c>
      <c r="U52" s="137">
        <f>U13*0.0387</f>
        <v>249.90525</v>
      </c>
      <c r="V52" s="137">
        <v>200.0</v>
      </c>
      <c r="W52" s="137">
        <v>200.0</v>
      </c>
      <c r="X52" s="137">
        <f t="shared" ref="X52:Y52" si="94">$X$13*0.04</f>
        <v>258.3</v>
      </c>
      <c r="Y52" s="137">
        <f t="shared" si="94"/>
        <v>258.3</v>
      </c>
      <c r="Z52" s="137">
        <f t="shared" si="95"/>
        <v>645.75</v>
      </c>
      <c r="AA52" s="137">
        <f>$X$13*0.047</f>
        <v>303.5025</v>
      </c>
      <c r="AB52" s="137">
        <f t="shared" ref="AB52:AC52" si="96">$X$13*0.04</f>
        <v>258.3</v>
      </c>
      <c r="AC52" s="137">
        <f t="shared" si="96"/>
        <v>258.3</v>
      </c>
      <c r="AD52" s="137">
        <f>$X$13*0.05</f>
        <v>322.875</v>
      </c>
      <c r="AE52" s="137">
        <f>$X$13*0.063</f>
        <v>406.8225</v>
      </c>
      <c r="AF52" s="137">
        <f t="shared" ref="AF52:AG52" si="97">$X$13*0.2</f>
        <v>1291.5</v>
      </c>
      <c r="AG52" s="137">
        <f t="shared" si="97"/>
        <v>1291.5</v>
      </c>
      <c r="AH52" s="175">
        <f>$X$13*0</f>
        <v>0</v>
      </c>
      <c r="AI52" s="137">
        <f t="shared" ref="AI52:AM52" si="98">$X$13*0.04</f>
        <v>258.3</v>
      </c>
      <c r="AJ52" s="137">
        <f t="shared" si="98"/>
        <v>258.3</v>
      </c>
      <c r="AK52" s="137">
        <f t="shared" si="98"/>
        <v>258.3</v>
      </c>
      <c r="AL52" s="137">
        <f t="shared" si="98"/>
        <v>258.3</v>
      </c>
      <c r="AM52" s="137">
        <f t="shared" si="98"/>
        <v>258.3</v>
      </c>
      <c r="AN52" s="137">
        <f t="shared" ref="AN52:AW52" si="99">$X$13*0.05</f>
        <v>322.875</v>
      </c>
      <c r="AO52" s="137">
        <f t="shared" si="99"/>
        <v>322.875</v>
      </c>
      <c r="AP52" s="137">
        <f t="shared" si="99"/>
        <v>322.875</v>
      </c>
      <c r="AQ52" s="137">
        <f t="shared" si="99"/>
        <v>322.875</v>
      </c>
      <c r="AR52" s="137">
        <f t="shared" si="99"/>
        <v>322.875</v>
      </c>
      <c r="AS52" s="137">
        <f t="shared" si="99"/>
        <v>322.875</v>
      </c>
      <c r="AT52" s="137">
        <f t="shared" si="99"/>
        <v>322.875</v>
      </c>
      <c r="AU52" s="137">
        <f t="shared" si="99"/>
        <v>322.875</v>
      </c>
      <c r="AV52" s="137">
        <f t="shared" si="99"/>
        <v>322.875</v>
      </c>
      <c r="AW52" s="137">
        <f t="shared" si="99"/>
        <v>322.875</v>
      </c>
      <c r="AX52" s="137">
        <f t="shared" ref="AX52:AY52" si="100">$X$13*0</f>
        <v>0</v>
      </c>
      <c r="AY52" s="137">
        <f t="shared" si="100"/>
        <v>0</v>
      </c>
      <c r="AZ52" s="137">
        <f>$X$13*0.05</f>
        <v>322.875</v>
      </c>
      <c r="BA52" s="137">
        <v>0.0</v>
      </c>
      <c r="BB52" s="137">
        <v>0.0</v>
      </c>
      <c r="BC52" s="137">
        <v>-500.0</v>
      </c>
      <c r="BD52" s="137">
        <v>-500.0</v>
      </c>
      <c r="BE52" s="137">
        <v>-500.0</v>
      </c>
      <c r="BF52" s="137">
        <v>-500.0</v>
      </c>
      <c r="BG52" s="137">
        <v>-500.0</v>
      </c>
      <c r="BH52" s="137">
        <v>-500.0</v>
      </c>
      <c r="BI52" s="137">
        <v>-500.0</v>
      </c>
      <c r="BJ52" s="137">
        <v>-500.0</v>
      </c>
      <c r="BK52" s="137">
        <v>-500.0</v>
      </c>
      <c r="BL52" s="137">
        <v>-500.0</v>
      </c>
      <c r="BM52" s="137">
        <v>-500.0</v>
      </c>
      <c r="BN52" s="137">
        <v>-500.0</v>
      </c>
    </row>
    <row r="53">
      <c r="A53" s="135" t="s">
        <v>974</v>
      </c>
      <c r="B53" s="136"/>
      <c r="C53" s="137"/>
      <c r="D53" s="137"/>
      <c r="E53" s="137"/>
      <c r="F53" s="137"/>
      <c r="G53" s="137"/>
      <c r="H53" s="137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40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</row>
    <row r="54">
      <c r="A54" s="219"/>
      <c r="B54" s="223" t="s">
        <v>581</v>
      </c>
      <c r="C54" s="137"/>
      <c r="D54" s="137"/>
      <c r="E54" s="137"/>
      <c r="F54" s="137"/>
      <c r="G54" s="137"/>
      <c r="H54" s="137"/>
      <c r="I54" s="137"/>
      <c r="J54" s="137"/>
      <c r="K54" s="137">
        <v>0.0</v>
      </c>
      <c r="L54" s="137">
        <f>150+345</f>
        <v>495</v>
      </c>
      <c r="M54" s="137">
        <v>0.0</v>
      </c>
      <c r="N54" s="137">
        <v>0.0</v>
      </c>
      <c r="O54" s="137">
        <f>O13*0</f>
        <v>0</v>
      </c>
      <c r="P54" s="137">
        <v>78.0</v>
      </c>
      <c r="Q54" s="137">
        <v>0.0</v>
      </c>
      <c r="R54" s="137">
        <v>0.0</v>
      </c>
      <c r="S54" s="137">
        <v>50.0</v>
      </c>
      <c r="T54" s="137">
        <f t="shared" ref="T54:W54" si="101">$Q13*0</f>
        <v>0</v>
      </c>
      <c r="U54" s="137">
        <f t="shared" si="101"/>
        <v>0</v>
      </c>
      <c r="V54" s="137">
        <f t="shared" si="101"/>
        <v>0</v>
      </c>
      <c r="W54" s="137">
        <f t="shared" si="101"/>
        <v>0</v>
      </c>
      <c r="X54" s="137">
        <f t="shared" ref="X54:AA54" si="102">$X$13*0.01</f>
        <v>64.575</v>
      </c>
      <c r="Y54" s="137">
        <f t="shared" si="102"/>
        <v>64.575</v>
      </c>
      <c r="Z54" s="137">
        <f t="shared" si="102"/>
        <v>64.575</v>
      </c>
      <c r="AA54" s="137">
        <f t="shared" si="102"/>
        <v>64.575</v>
      </c>
      <c r="AB54" s="194">
        <f t="shared" ref="AB54:AF54" si="103">$X$13*0</f>
        <v>0</v>
      </c>
      <c r="AC54" s="137">
        <f t="shared" si="103"/>
        <v>0</v>
      </c>
      <c r="AD54" s="137">
        <f t="shared" si="103"/>
        <v>0</v>
      </c>
      <c r="AE54" s="137">
        <f t="shared" si="103"/>
        <v>0</v>
      </c>
      <c r="AF54" s="137">
        <f t="shared" si="103"/>
        <v>0</v>
      </c>
      <c r="AG54" s="224">
        <f>sum(2500,1200)</f>
        <v>3700</v>
      </c>
      <c r="AH54" s="224">
        <f>sum(2500,500,5000)</f>
        <v>8000</v>
      </c>
      <c r="AI54" s="137">
        <f>2000</f>
        <v>2000</v>
      </c>
      <c r="AJ54" s="137">
        <f t="shared" ref="AJ54:AK54" si="104">$X$13*0</f>
        <v>0</v>
      </c>
      <c r="AK54" s="137">
        <f t="shared" si="104"/>
        <v>0</v>
      </c>
      <c r="AL54" s="137">
        <f>7000</f>
        <v>7000</v>
      </c>
      <c r="AM54" s="194">
        <v>3600.0</v>
      </c>
      <c r="AN54" s="194">
        <v>3500.0</v>
      </c>
      <c r="AO54" s="137">
        <f>$X$13*0</f>
        <v>0</v>
      </c>
      <c r="AP54" s="137">
        <f>6000</f>
        <v>6000</v>
      </c>
      <c r="AQ54" s="137">
        <f>$X$13*0</f>
        <v>0</v>
      </c>
      <c r="AR54" s="137">
        <f>$X$13*1</f>
        <v>6457.5</v>
      </c>
      <c r="AS54" s="137">
        <f t="shared" ref="AS54:AT54" si="105">$X$13*0</f>
        <v>0</v>
      </c>
      <c r="AT54" s="137">
        <f t="shared" si="105"/>
        <v>0</v>
      </c>
      <c r="AU54" s="137">
        <v>10000.0</v>
      </c>
      <c r="AV54" s="137">
        <v>0.0</v>
      </c>
      <c r="AW54" s="137">
        <f>$X$13*0</f>
        <v>0</v>
      </c>
      <c r="AX54" s="137">
        <v>1000.0</v>
      </c>
      <c r="AY54" s="194">
        <v>900.0</v>
      </c>
      <c r="AZ54" s="194">
        <v>900.0</v>
      </c>
      <c r="BA54" s="137">
        <f>-sum(3509,1490,500)</f>
        <v>-5499</v>
      </c>
      <c r="BB54" s="137">
        <f t="shared" ref="BB54:BC54" si="106">-800</f>
        <v>-800</v>
      </c>
      <c r="BC54" s="137">
        <f t="shared" si="106"/>
        <v>-800</v>
      </c>
      <c r="BD54" s="137">
        <v>0.0</v>
      </c>
      <c r="BE54" s="137">
        <v>0.0</v>
      </c>
      <c r="BF54" s="137">
        <v>0.0</v>
      </c>
      <c r="BG54" s="137">
        <v>0.0</v>
      </c>
      <c r="BH54" s="137">
        <v>0.0</v>
      </c>
      <c r="BI54" s="137">
        <v>0.0</v>
      </c>
      <c r="BJ54" s="137">
        <v>0.0</v>
      </c>
      <c r="BK54" s="137">
        <v>0.0</v>
      </c>
      <c r="BL54" s="137">
        <v>0.0</v>
      </c>
      <c r="BM54" s="137">
        <v>0.0</v>
      </c>
      <c r="BN54" s="137">
        <v>0.0</v>
      </c>
    </row>
    <row r="55">
      <c r="A55" s="219"/>
      <c r="B55" s="223" t="s">
        <v>246</v>
      </c>
      <c r="C55" s="137"/>
      <c r="D55" s="137"/>
      <c r="E55" s="137"/>
      <c r="F55" s="137"/>
      <c r="G55" s="137"/>
      <c r="H55" s="137"/>
      <c r="I55" s="137"/>
      <c r="J55" s="137">
        <v>0.0</v>
      </c>
      <c r="K55" s="137">
        <v>0.0</v>
      </c>
      <c r="L55" s="137">
        <v>0.0</v>
      </c>
      <c r="M55" s="137">
        <f>M13*0</f>
        <v>0</v>
      </c>
      <c r="N55" s="137">
        <v>0.0</v>
      </c>
      <c r="O55" s="137">
        <f>O10*0</f>
        <v>0</v>
      </c>
      <c r="P55" s="137">
        <v>0.0</v>
      </c>
      <c r="Q55" s="137">
        <f>175+100</f>
        <v>275</v>
      </c>
      <c r="R55" s="137">
        <f>R13*0.0063</f>
        <v>41.94225</v>
      </c>
      <c r="S55" s="137">
        <v>300.0</v>
      </c>
      <c r="T55" s="137">
        <f>T13*0.02</f>
        <v>129.15</v>
      </c>
      <c r="U55" s="137">
        <v>120.0</v>
      </c>
      <c r="V55" s="137">
        <v>100.0</v>
      </c>
      <c r="W55" s="222">
        <f>sum(100,-790)</f>
        <v>-690</v>
      </c>
      <c r="X55" s="137">
        <f t="shared" ref="X55:Y55" si="107">$X$13*0.02</f>
        <v>129.15</v>
      </c>
      <c r="Y55" s="137">
        <f t="shared" si="107"/>
        <v>129.15</v>
      </c>
      <c r="Z55" s="137">
        <f>$X$13*0.05</f>
        <v>322.875</v>
      </c>
      <c r="AA55" s="137">
        <f t="shared" ref="AA55:AF55" si="108">$X$13*0.02</f>
        <v>129.15</v>
      </c>
      <c r="AB55" s="137">
        <f t="shared" si="108"/>
        <v>129.15</v>
      </c>
      <c r="AC55" s="137">
        <f t="shared" si="108"/>
        <v>129.15</v>
      </c>
      <c r="AD55" s="137">
        <f t="shared" si="108"/>
        <v>129.15</v>
      </c>
      <c r="AE55" s="137">
        <f t="shared" si="108"/>
        <v>129.15</v>
      </c>
      <c r="AF55" s="137">
        <f t="shared" si="108"/>
        <v>129.15</v>
      </c>
      <c r="AG55" s="137">
        <f t="shared" ref="AG55:AH55" si="109">$X$13*0</f>
        <v>0</v>
      </c>
      <c r="AH55" s="175">
        <f t="shared" si="109"/>
        <v>0</v>
      </c>
      <c r="AI55" s="137">
        <f t="shared" ref="AI55:AR55" si="110">$X$13*0.02</f>
        <v>129.15</v>
      </c>
      <c r="AJ55" s="137">
        <f t="shared" si="110"/>
        <v>129.15</v>
      </c>
      <c r="AK55" s="137">
        <f t="shared" si="110"/>
        <v>129.15</v>
      </c>
      <c r="AL55" s="137">
        <f t="shared" si="110"/>
        <v>129.15</v>
      </c>
      <c r="AM55" s="137">
        <f t="shared" si="110"/>
        <v>129.15</v>
      </c>
      <c r="AN55" s="137">
        <f t="shared" si="110"/>
        <v>129.15</v>
      </c>
      <c r="AO55" s="137">
        <f t="shared" si="110"/>
        <v>129.15</v>
      </c>
      <c r="AP55" s="137">
        <f t="shared" si="110"/>
        <v>129.15</v>
      </c>
      <c r="AQ55" s="137">
        <f t="shared" si="110"/>
        <v>129.15</v>
      </c>
      <c r="AR55" s="137">
        <f t="shared" si="110"/>
        <v>129.15</v>
      </c>
      <c r="AS55" s="137">
        <v>0.0</v>
      </c>
      <c r="AT55" s="137">
        <f t="shared" ref="AT55:AW55" si="111">$X$13*0.02</f>
        <v>129.15</v>
      </c>
      <c r="AU55" s="137">
        <f t="shared" si="111"/>
        <v>129.15</v>
      </c>
      <c r="AV55" s="137">
        <f t="shared" si="111"/>
        <v>129.15</v>
      </c>
      <c r="AW55" s="137">
        <f t="shared" si="111"/>
        <v>129.15</v>
      </c>
      <c r="AX55" s="137">
        <v>0.0</v>
      </c>
      <c r="AY55" s="137">
        <v>0.0</v>
      </c>
      <c r="AZ55" s="137">
        <f>$X$13*0.02</f>
        <v>129.15</v>
      </c>
      <c r="BA55" s="137">
        <v>-400.0</v>
      </c>
      <c r="BB55" s="137">
        <v>-400.0</v>
      </c>
      <c r="BC55" s="137">
        <v>-400.0</v>
      </c>
      <c r="BD55" s="137">
        <v>-400.0</v>
      </c>
      <c r="BE55" s="137">
        <v>-400.0</v>
      </c>
      <c r="BF55" s="137">
        <v>-400.0</v>
      </c>
      <c r="BG55" s="137">
        <v>-400.0</v>
      </c>
      <c r="BH55" s="137">
        <v>-400.0</v>
      </c>
      <c r="BI55" s="137">
        <v>-400.0</v>
      </c>
      <c r="BJ55" s="137">
        <v>-400.0</v>
      </c>
      <c r="BK55" s="137">
        <v>-400.0</v>
      </c>
      <c r="BL55" s="137">
        <v>-400.0</v>
      </c>
      <c r="BM55" s="137">
        <v>-400.0</v>
      </c>
      <c r="BN55" s="137">
        <v>-400.0</v>
      </c>
    </row>
    <row r="56">
      <c r="A56" s="219"/>
      <c r="B56" s="223" t="s">
        <v>247</v>
      </c>
      <c r="C56" s="137"/>
      <c r="D56" s="137"/>
      <c r="E56" s="137"/>
      <c r="F56" s="137"/>
      <c r="G56" s="137"/>
      <c r="H56" s="137"/>
      <c r="I56" s="137"/>
      <c r="J56" s="137">
        <v>0.0</v>
      </c>
      <c r="K56" s="137">
        <v>0.0</v>
      </c>
      <c r="L56" s="137">
        <v>0.0</v>
      </c>
      <c r="M56" s="137">
        <v>0.0</v>
      </c>
      <c r="N56" s="137">
        <v>0.0</v>
      </c>
      <c r="O56" s="137">
        <f>O13*0</f>
        <v>0</v>
      </c>
      <c r="P56" s="137">
        <v>500.0</v>
      </c>
      <c r="Q56" s="137">
        <f>25+100+100+450</f>
        <v>675</v>
      </c>
      <c r="R56" s="137">
        <f>R13*0.065</f>
        <v>432.7375</v>
      </c>
      <c r="S56" s="137">
        <v>225.0</v>
      </c>
      <c r="T56" s="137">
        <f>T13*0.02</f>
        <v>129.15</v>
      </c>
      <c r="U56" s="137">
        <v>0.0</v>
      </c>
      <c r="V56" s="137">
        <v>200.0</v>
      </c>
      <c r="W56" s="137">
        <v>100.0</v>
      </c>
      <c r="X56" s="137">
        <f t="shared" ref="X56:Y56" si="112">$X$13*0.06</f>
        <v>387.45</v>
      </c>
      <c r="Y56" s="137">
        <f t="shared" si="112"/>
        <v>387.45</v>
      </c>
      <c r="Z56" s="137">
        <f>$X$13*0.1</f>
        <v>645.75</v>
      </c>
      <c r="AA56" s="194">
        <f>AA13*0.1</f>
        <v>880</v>
      </c>
      <c r="AB56" s="137">
        <f>$X$13*0.07</f>
        <v>452.025</v>
      </c>
      <c r="AC56" s="137">
        <f>$X$13*0.06</f>
        <v>387.45</v>
      </c>
      <c r="AD56" s="137">
        <f>$X$13*0.08</f>
        <v>516.6</v>
      </c>
      <c r="AE56" s="137">
        <f t="shared" ref="AE56:AF56" si="113">$X$13*0.06</f>
        <v>387.45</v>
      </c>
      <c r="AF56" s="137">
        <f t="shared" si="113"/>
        <v>387.45</v>
      </c>
      <c r="AG56" s="137">
        <f t="shared" ref="AG56:AH56" si="114">$X$13*0</f>
        <v>0</v>
      </c>
      <c r="AH56" s="175">
        <f t="shared" si="114"/>
        <v>0</v>
      </c>
      <c r="AI56" s="137">
        <f t="shared" ref="AI56:AO56" si="115">$X$13*0.078</f>
        <v>503.685</v>
      </c>
      <c r="AJ56" s="137">
        <f t="shared" si="115"/>
        <v>503.685</v>
      </c>
      <c r="AK56" s="137">
        <f t="shared" si="115"/>
        <v>503.685</v>
      </c>
      <c r="AL56" s="137">
        <f t="shared" si="115"/>
        <v>503.685</v>
      </c>
      <c r="AM56" s="137">
        <f t="shared" si="115"/>
        <v>503.685</v>
      </c>
      <c r="AN56" s="137">
        <f t="shared" si="115"/>
        <v>503.685</v>
      </c>
      <c r="AO56" s="137">
        <f t="shared" si="115"/>
        <v>503.685</v>
      </c>
      <c r="AP56" s="137">
        <f>$X$13*0.5</f>
        <v>3228.75</v>
      </c>
      <c r="AQ56" s="137">
        <f t="shared" ref="AQ56:AW56" si="116">$X$13*0.078</f>
        <v>503.685</v>
      </c>
      <c r="AR56" s="137">
        <f t="shared" si="116"/>
        <v>503.685</v>
      </c>
      <c r="AS56" s="137">
        <f t="shared" si="116"/>
        <v>503.685</v>
      </c>
      <c r="AT56" s="137">
        <f t="shared" si="116"/>
        <v>503.685</v>
      </c>
      <c r="AU56" s="137">
        <f t="shared" si="116"/>
        <v>503.685</v>
      </c>
      <c r="AV56" s="137">
        <f t="shared" si="116"/>
        <v>503.685</v>
      </c>
      <c r="AW56" s="137">
        <f t="shared" si="116"/>
        <v>503.685</v>
      </c>
      <c r="AX56" s="137">
        <v>0.0</v>
      </c>
      <c r="AY56" s="137">
        <v>0.0</v>
      </c>
      <c r="AZ56" s="137">
        <f>$X$13*0.078</f>
        <v>503.685</v>
      </c>
      <c r="BA56" s="137">
        <v>-500.0</v>
      </c>
      <c r="BB56" s="137">
        <v>-500.0</v>
      </c>
      <c r="BC56" s="137">
        <v>-500.0</v>
      </c>
      <c r="BD56" s="137">
        <v>-500.0</v>
      </c>
      <c r="BE56" s="137">
        <v>-500.0</v>
      </c>
      <c r="BF56" s="137">
        <v>-500.0</v>
      </c>
      <c r="BG56" s="137">
        <v>-500.0</v>
      </c>
      <c r="BH56" s="137">
        <v>-500.0</v>
      </c>
      <c r="BI56" s="137">
        <v>-500.0</v>
      </c>
      <c r="BJ56" s="137">
        <v>-500.0</v>
      </c>
      <c r="BK56" s="137">
        <v>-500.0</v>
      </c>
      <c r="BL56" s="137">
        <v>-500.0</v>
      </c>
      <c r="BM56" s="137">
        <v>-500.0</v>
      </c>
      <c r="BN56" s="137">
        <v>-500.0</v>
      </c>
    </row>
    <row r="57">
      <c r="A57" s="228"/>
      <c r="B57" s="696" t="s">
        <v>248</v>
      </c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>
        <f t="shared" ref="M57:N57" si="117">M4*0.03</f>
        <v>300</v>
      </c>
      <c r="N57" s="222">
        <f t="shared" si="117"/>
        <v>300</v>
      </c>
      <c r="O57" s="222">
        <f t="shared" ref="O57:BB57" si="118">O12</f>
        <v>400</v>
      </c>
      <c r="P57" s="222">
        <f t="shared" si="118"/>
        <v>400</v>
      </c>
      <c r="Q57" s="222">
        <f t="shared" si="118"/>
        <v>307.5</v>
      </c>
      <c r="R57" s="222">
        <f t="shared" si="118"/>
        <v>307.5</v>
      </c>
      <c r="S57" s="222">
        <f t="shared" si="118"/>
        <v>307.5</v>
      </c>
      <c r="T57" s="222">
        <f t="shared" si="118"/>
        <v>307.5</v>
      </c>
      <c r="U57" s="222">
        <f t="shared" si="118"/>
        <v>307.5</v>
      </c>
      <c r="V57" s="222">
        <f t="shared" si="118"/>
        <v>307.5</v>
      </c>
      <c r="W57" s="222">
        <f t="shared" si="118"/>
        <v>307.5</v>
      </c>
      <c r="X57" s="222">
        <f t="shared" si="118"/>
        <v>307.5</v>
      </c>
      <c r="Y57" s="222">
        <f t="shared" si="118"/>
        <v>307.5</v>
      </c>
      <c r="Z57" s="222">
        <f t="shared" si="118"/>
        <v>0</v>
      </c>
      <c r="AA57" s="222">
        <f t="shared" si="118"/>
        <v>0</v>
      </c>
      <c r="AB57" s="222">
        <f t="shared" si="118"/>
        <v>0</v>
      </c>
      <c r="AC57" s="222">
        <f t="shared" si="118"/>
        <v>333.3333333</v>
      </c>
      <c r="AD57" s="222">
        <f t="shared" si="118"/>
        <v>53.33333333</v>
      </c>
      <c r="AE57" s="222">
        <f t="shared" si="118"/>
        <v>53.33333333</v>
      </c>
      <c r="AF57" s="222">
        <f t="shared" si="118"/>
        <v>0</v>
      </c>
      <c r="AG57" s="222">
        <f t="shared" si="118"/>
        <v>0</v>
      </c>
      <c r="AH57" s="230">
        <f t="shared" si="118"/>
        <v>0</v>
      </c>
      <c r="AI57" s="222">
        <f t="shared" si="118"/>
        <v>333.3333333</v>
      </c>
      <c r="AJ57" s="222">
        <f t="shared" si="118"/>
        <v>333.3333333</v>
      </c>
      <c r="AK57" s="222">
        <f t="shared" si="118"/>
        <v>0</v>
      </c>
      <c r="AL57" s="222">
        <f t="shared" si="118"/>
        <v>0</v>
      </c>
      <c r="AM57" s="222">
        <f t="shared" si="118"/>
        <v>0</v>
      </c>
      <c r="AN57" s="222">
        <f t="shared" si="118"/>
        <v>0</v>
      </c>
      <c r="AO57" s="222">
        <f t="shared" si="118"/>
        <v>0</v>
      </c>
      <c r="AP57" s="222">
        <f t="shared" si="118"/>
        <v>0</v>
      </c>
      <c r="AQ57" s="222">
        <f t="shared" si="118"/>
        <v>0</v>
      </c>
      <c r="AR57" s="222">
        <f t="shared" si="118"/>
        <v>0</v>
      </c>
      <c r="AS57" s="222">
        <f t="shared" si="118"/>
        <v>0</v>
      </c>
      <c r="AT57" s="222">
        <f t="shared" si="118"/>
        <v>0</v>
      </c>
      <c r="AU57" s="222">
        <f t="shared" si="118"/>
        <v>0</v>
      </c>
      <c r="AV57" s="222">
        <f t="shared" si="118"/>
        <v>0</v>
      </c>
      <c r="AW57" s="222">
        <f t="shared" si="118"/>
        <v>0</v>
      </c>
      <c r="AX57" s="222">
        <f t="shared" si="118"/>
        <v>0</v>
      </c>
      <c r="AY57" s="222">
        <f t="shared" si="118"/>
        <v>0</v>
      </c>
      <c r="AZ57" s="222">
        <f t="shared" si="118"/>
        <v>0</v>
      </c>
      <c r="BA57" s="137">
        <f t="shared" si="118"/>
        <v>0</v>
      </c>
      <c r="BB57" s="137">
        <f t="shared" si="118"/>
        <v>0</v>
      </c>
      <c r="BC57" s="137">
        <f t="shared" ref="BC57:BN57" si="119">-500</f>
        <v>-500</v>
      </c>
      <c r="BD57" s="137">
        <f t="shared" si="119"/>
        <v>-500</v>
      </c>
      <c r="BE57" s="137">
        <f t="shared" si="119"/>
        <v>-500</v>
      </c>
      <c r="BF57" s="137">
        <f t="shared" si="119"/>
        <v>-500</v>
      </c>
      <c r="BG57" s="137">
        <f t="shared" si="119"/>
        <v>-500</v>
      </c>
      <c r="BH57" s="137">
        <f t="shared" si="119"/>
        <v>-500</v>
      </c>
      <c r="BI57" s="137">
        <f t="shared" si="119"/>
        <v>-500</v>
      </c>
      <c r="BJ57" s="137">
        <f t="shared" si="119"/>
        <v>-500</v>
      </c>
      <c r="BK57" s="137">
        <f t="shared" si="119"/>
        <v>-500</v>
      </c>
      <c r="BL57" s="137">
        <f t="shared" si="119"/>
        <v>-500</v>
      </c>
      <c r="BM57" s="137">
        <f t="shared" si="119"/>
        <v>-500</v>
      </c>
      <c r="BN57" s="137">
        <f t="shared" si="119"/>
        <v>-500</v>
      </c>
    </row>
    <row r="58">
      <c r="A58" s="171" t="s">
        <v>975</v>
      </c>
      <c r="B58" s="176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75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</row>
    <row r="59">
      <c r="A59" s="199"/>
      <c r="B59" s="137" t="s">
        <v>251</v>
      </c>
      <c r="C59" s="137"/>
      <c r="D59" s="137"/>
      <c r="E59" s="137"/>
      <c r="F59" s="137"/>
      <c r="G59" s="137"/>
      <c r="H59" s="175"/>
      <c r="I59" s="137">
        <v>0.0</v>
      </c>
      <c r="J59" s="137">
        <v>0.0</v>
      </c>
      <c r="K59" s="137">
        <f t="shared" ref="K59:L59" si="120">K14*0</f>
        <v>0</v>
      </c>
      <c r="L59" s="137">
        <f t="shared" si="120"/>
        <v>0</v>
      </c>
      <c r="M59" s="137">
        <v>0.0</v>
      </c>
      <c r="N59" s="137">
        <v>0.0</v>
      </c>
      <c r="O59" s="137">
        <f>O13*0.01</f>
        <v>72</v>
      </c>
      <c r="P59" s="137">
        <v>0.0</v>
      </c>
      <c r="Q59" s="137">
        <f>70+20+20</f>
        <v>110</v>
      </c>
      <c r="R59" s="137">
        <v>0.0</v>
      </c>
      <c r="S59" s="137">
        <v>0.0</v>
      </c>
      <c r="T59" s="137">
        <v>125.0</v>
      </c>
      <c r="U59" s="137">
        <v>0.0</v>
      </c>
      <c r="V59" s="137">
        <f t="shared" ref="V59:W59" si="121">V13*0.01</f>
        <v>67.575</v>
      </c>
      <c r="W59" s="137">
        <f t="shared" si="121"/>
        <v>64.575</v>
      </c>
      <c r="X59" s="137">
        <f t="shared" ref="X59:Z59" si="122">X13*0.02</f>
        <v>129.15</v>
      </c>
      <c r="Y59" s="137">
        <f t="shared" si="122"/>
        <v>241.15</v>
      </c>
      <c r="Z59" s="137">
        <f t="shared" si="122"/>
        <v>176</v>
      </c>
      <c r="AA59" s="137">
        <f>AA13*0</f>
        <v>0</v>
      </c>
      <c r="AB59" s="137">
        <f>AB13*0.02</f>
        <v>176</v>
      </c>
      <c r="AC59" s="137">
        <f t="shared" ref="AC59:AE59" si="123">AC13*0.01</f>
        <v>91.66666667</v>
      </c>
      <c r="AD59" s="137">
        <f t="shared" si="123"/>
        <v>87.46666667</v>
      </c>
      <c r="AE59" s="137">
        <f t="shared" si="123"/>
        <v>197.4666667</v>
      </c>
      <c r="AF59" s="137">
        <f t="shared" ref="AF59:AH59" si="124">AF13*0</f>
        <v>0</v>
      </c>
      <c r="AG59" s="137">
        <f t="shared" si="124"/>
        <v>0</v>
      </c>
      <c r="AH59" s="175">
        <f t="shared" si="124"/>
        <v>0</v>
      </c>
      <c r="AI59" s="137">
        <f t="shared" ref="AI59:AN59" si="125">AI13*0.01</f>
        <v>84.66666667</v>
      </c>
      <c r="AJ59" s="137">
        <f t="shared" si="125"/>
        <v>84.66666667</v>
      </c>
      <c r="AK59" s="137">
        <f t="shared" si="125"/>
        <v>187.75</v>
      </c>
      <c r="AL59" s="137">
        <f t="shared" si="125"/>
        <v>115.5</v>
      </c>
      <c r="AM59" s="137">
        <f t="shared" si="125"/>
        <v>115.5</v>
      </c>
      <c r="AN59" s="137">
        <f t="shared" si="125"/>
        <v>215.5</v>
      </c>
      <c r="AO59" s="137">
        <f>AO13*0</f>
        <v>0</v>
      </c>
      <c r="AP59" s="137">
        <f>1000</f>
        <v>1000</v>
      </c>
      <c r="AQ59" s="137">
        <f t="shared" ref="AQ59:AR59" si="126">AQ13*0.01</f>
        <v>115.5</v>
      </c>
      <c r="AR59" s="137">
        <f t="shared" si="126"/>
        <v>115.5</v>
      </c>
      <c r="AS59" s="137">
        <v>400.0</v>
      </c>
      <c r="AT59" s="137">
        <v>0.0</v>
      </c>
      <c r="AU59" s="137">
        <f t="shared" ref="AU59:AX59" si="127">AU13*0.01</f>
        <v>277.5</v>
      </c>
      <c r="AV59" s="137">
        <f t="shared" si="127"/>
        <v>115.5</v>
      </c>
      <c r="AW59" s="137">
        <f t="shared" si="127"/>
        <v>115.5</v>
      </c>
      <c r="AX59" s="137">
        <f t="shared" si="127"/>
        <v>148.94</v>
      </c>
      <c r="AY59" s="137">
        <f t="shared" ref="AY59:BA59" si="128">AY13*0</f>
        <v>0</v>
      </c>
      <c r="AZ59" s="137">
        <f t="shared" si="128"/>
        <v>0</v>
      </c>
      <c r="BA59" s="137">
        <f t="shared" si="128"/>
        <v>0</v>
      </c>
      <c r="BB59" s="137">
        <f t="shared" ref="BB59:BN59" si="129">-100</f>
        <v>-100</v>
      </c>
      <c r="BC59" s="137">
        <f t="shared" si="129"/>
        <v>-100</v>
      </c>
      <c r="BD59" s="137">
        <f t="shared" si="129"/>
        <v>-100</v>
      </c>
      <c r="BE59" s="137">
        <f t="shared" si="129"/>
        <v>-100</v>
      </c>
      <c r="BF59" s="137">
        <f t="shared" si="129"/>
        <v>-100</v>
      </c>
      <c r="BG59" s="137">
        <f t="shared" si="129"/>
        <v>-100</v>
      </c>
      <c r="BH59" s="137">
        <f t="shared" si="129"/>
        <v>-100</v>
      </c>
      <c r="BI59" s="137">
        <f t="shared" si="129"/>
        <v>-100</v>
      </c>
      <c r="BJ59" s="137">
        <f t="shared" si="129"/>
        <v>-100</v>
      </c>
      <c r="BK59" s="137">
        <f t="shared" si="129"/>
        <v>-100</v>
      </c>
      <c r="BL59" s="137">
        <f t="shared" si="129"/>
        <v>-100</v>
      </c>
      <c r="BM59" s="137">
        <f t="shared" si="129"/>
        <v>-100</v>
      </c>
      <c r="BN59" s="137">
        <f t="shared" si="129"/>
        <v>-100</v>
      </c>
    </row>
    <row r="60">
      <c r="A60" s="234" t="s">
        <v>252</v>
      </c>
      <c r="B60" s="235"/>
      <c r="C60" s="236" t="str">
        <f>C13-C45-#REF!-C49+'BUDGET 2018 (Archive)'!O35</f>
        <v>#REF!</v>
      </c>
      <c r="D60" s="236" t="str">
        <f>D13-D45-#REF!-D49+'BUDGET 2018 (Archive)'!P35</f>
        <v>#REF!</v>
      </c>
      <c r="E60" s="236" t="str">
        <f>E13-E45-#REF!-E49+'BUDGET 2018 (Archive)'!Q35</f>
        <v>#REF!</v>
      </c>
      <c r="F60" s="236" t="str">
        <f>F13-F45-#REF!-F49+'BUDGET 2018 (Archive)'!R35</f>
        <v>#REF!</v>
      </c>
      <c r="G60" s="236" t="str">
        <f>G13-G45-#REF!-G49+'BUDGET 2018 (Archive)'!S35</f>
        <v>#REF!</v>
      </c>
      <c r="H60" s="237" t="str">
        <f>H13-H45-#REF!-H49+'BUDGET 2018 (Archive)'!T35</f>
        <v>#REF!</v>
      </c>
      <c r="I60" s="236" t="str">
        <f>H60+I13-I45-#REF!-#REF!-I49</f>
        <v>#REF!</v>
      </c>
      <c r="J60" s="236">
        <f t="shared" ref="J60:L60" si="130">sum(J49:J59)</f>
        <v>3200</v>
      </c>
      <c r="K60" s="236">
        <f t="shared" si="130"/>
        <v>1000</v>
      </c>
      <c r="L60" s="236">
        <f t="shared" si="130"/>
        <v>1495</v>
      </c>
      <c r="M60" s="236">
        <f t="shared" ref="M60:O60" si="131">sum(M49:M56)+M59</f>
        <v>0</v>
      </c>
      <c r="N60" s="236">
        <f t="shared" si="131"/>
        <v>1757.5</v>
      </c>
      <c r="O60" s="236">
        <f t="shared" si="131"/>
        <v>2617</v>
      </c>
      <c r="P60" s="236">
        <f>sum(P49:P59)</f>
        <v>6954</v>
      </c>
      <c r="Q60" s="236">
        <f t="shared" ref="Q60:W60" si="132">sum(Q49:Q56)+Q59</f>
        <v>3093</v>
      </c>
      <c r="R60" s="236">
        <f t="shared" si="132"/>
        <v>3137.67975</v>
      </c>
      <c r="S60" s="236">
        <f t="shared" si="132"/>
        <v>6675</v>
      </c>
      <c r="T60" s="236">
        <f t="shared" si="132"/>
        <v>2126.825</v>
      </c>
      <c r="U60" s="236">
        <f t="shared" si="132"/>
        <v>2952.90525</v>
      </c>
      <c r="V60" s="236">
        <f t="shared" si="132"/>
        <v>3964.575</v>
      </c>
      <c r="W60" s="236">
        <f t="shared" si="132"/>
        <v>1611.825</v>
      </c>
      <c r="X60" s="236">
        <f t="shared" ref="X60:AO60" si="133">sum(X49:X57)</f>
        <v>2051.025</v>
      </c>
      <c r="Y60" s="236">
        <f t="shared" si="133"/>
        <v>2546.45</v>
      </c>
      <c r="Z60" s="236">
        <f t="shared" si="133"/>
        <v>3204.7</v>
      </c>
      <c r="AA60" s="236">
        <f t="shared" si="133"/>
        <v>4474.9525</v>
      </c>
      <c r="AB60" s="236">
        <f t="shared" si="133"/>
        <v>2793.2</v>
      </c>
      <c r="AC60" s="236">
        <f t="shared" si="133"/>
        <v>3135.291667</v>
      </c>
      <c r="AD60" s="236">
        <f t="shared" si="133"/>
        <v>3208.625</v>
      </c>
      <c r="AE60" s="236">
        <f t="shared" si="133"/>
        <v>14799.4225</v>
      </c>
      <c r="AF60" s="236">
        <f t="shared" si="133"/>
        <v>4333.1</v>
      </c>
      <c r="AG60" s="236">
        <f t="shared" si="133"/>
        <v>6671.5</v>
      </c>
      <c r="AH60" s="237">
        <f t="shared" si="133"/>
        <v>11870</v>
      </c>
      <c r="AI60" s="236">
        <f t="shared" si="133"/>
        <v>4942.193333</v>
      </c>
      <c r="AJ60" s="236">
        <f t="shared" si="133"/>
        <v>2942.193333</v>
      </c>
      <c r="AK60" s="236">
        <f t="shared" si="133"/>
        <v>4477.275</v>
      </c>
      <c r="AL60" s="236">
        <f t="shared" si="133"/>
        <v>8675.275</v>
      </c>
      <c r="AM60" s="236">
        <f t="shared" si="133"/>
        <v>5852.775</v>
      </c>
      <c r="AN60" s="236">
        <f t="shared" si="133"/>
        <v>13398.585</v>
      </c>
      <c r="AO60" s="236">
        <f t="shared" si="133"/>
        <v>2533.585</v>
      </c>
      <c r="AP60" s="236">
        <f>sum(AP49:AP59)</f>
        <v>28003.65</v>
      </c>
      <c r="AQ60" s="236">
        <f t="shared" ref="AQ60:AZ60" si="134">sum(AQ49:AQ57)</f>
        <v>2433.585</v>
      </c>
      <c r="AR60" s="236">
        <f t="shared" si="134"/>
        <v>11201.085</v>
      </c>
      <c r="AS60" s="236">
        <f t="shared" si="134"/>
        <v>4291.56</v>
      </c>
      <c r="AT60" s="236">
        <f t="shared" si="134"/>
        <v>9429.14</v>
      </c>
      <c r="AU60" s="236">
        <f t="shared" si="134"/>
        <v>16828.585</v>
      </c>
      <c r="AV60" s="236">
        <f t="shared" si="134"/>
        <v>2433.585</v>
      </c>
      <c r="AW60" s="236">
        <f t="shared" si="134"/>
        <v>4640.71</v>
      </c>
      <c r="AX60" s="236">
        <f t="shared" si="134"/>
        <v>4489.4</v>
      </c>
      <c r="AY60" s="236">
        <f t="shared" si="134"/>
        <v>2335</v>
      </c>
      <c r="AZ60" s="236">
        <f t="shared" si="134"/>
        <v>17855.71</v>
      </c>
      <c r="BA60" s="238">
        <f t="shared" ref="BA60:BN60" si="135">sum(BA49:BA59)</f>
        <v>-21399</v>
      </c>
      <c r="BB60" s="238">
        <f t="shared" si="135"/>
        <v>-4200</v>
      </c>
      <c r="BC60" s="238">
        <f t="shared" si="135"/>
        <v>-5845.75</v>
      </c>
      <c r="BD60" s="238" t="str">
        <f t="shared" si="135"/>
        <v>#REF!</v>
      </c>
      <c r="BE60" s="238">
        <f t="shared" si="135"/>
        <v>-2645.75</v>
      </c>
      <c r="BF60" s="238">
        <f t="shared" si="135"/>
        <v>-2645.75</v>
      </c>
      <c r="BG60" s="238">
        <f t="shared" si="135"/>
        <v>-2645.75</v>
      </c>
      <c r="BH60" s="238">
        <f t="shared" si="135"/>
        <v>-2645.75</v>
      </c>
      <c r="BI60" s="238">
        <f t="shared" si="135"/>
        <v>-2645.75</v>
      </c>
      <c r="BJ60" s="238">
        <f t="shared" si="135"/>
        <v>-2645.75</v>
      </c>
      <c r="BK60" s="238">
        <f t="shared" si="135"/>
        <v>-2645.75</v>
      </c>
      <c r="BL60" s="238">
        <f t="shared" si="135"/>
        <v>-2645.75</v>
      </c>
      <c r="BM60" s="238">
        <f t="shared" si="135"/>
        <v>-2645.75</v>
      </c>
      <c r="BN60" s="238">
        <f t="shared" si="135"/>
        <v>-2645.75</v>
      </c>
    </row>
    <row r="61">
      <c r="A61" s="240"/>
      <c r="B61" s="241"/>
      <c r="C61" s="177"/>
      <c r="D61" s="177"/>
      <c r="E61" s="177"/>
      <c r="F61" s="177"/>
      <c r="G61" s="177"/>
      <c r="H61" s="178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8"/>
      <c r="AI61" s="177"/>
      <c r="AJ61" s="177"/>
      <c r="AK61" s="177"/>
      <c r="AL61" s="177"/>
      <c r="AM61" s="177"/>
      <c r="AN61" s="177"/>
      <c r="AO61" s="177"/>
      <c r="AP61" s="177"/>
      <c r="AQ61" s="177"/>
      <c r="AR61" s="177"/>
      <c r="AS61" s="177"/>
      <c r="AT61" s="177"/>
      <c r="AU61" s="177"/>
      <c r="AV61" s="177"/>
      <c r="AW61" s="177"/>
      <c r="AX61" s="177"/>
      <c r="AY61" s="177"/>
      <c r="AZ61" s="177"/>
      <c r="BA61" s="177"/>
      <c r="BB61" s="177"/>
      <c r="BC61" s="177"/>
      <c r="BD61" s="177"/>
      <c r="BE61" s="177"/>
      <c r="BF61" s="177"/>
      <c r="BG61" s="177"/>
      <c r="BH61" s="177"/>
      <c r="BI61" s="177"/>
      <c r="BJ61" s="177"/>
      <c r="BK61" s="177"/>
      <c r="BL61" s="177"/>
      <c r="BM61" s="177"/>
      <c r="BN61" s="177"/>
    </row>
    <row r="62">
      <c r="A62" s="243"/>
      <c r="B62" s="244"/>
      <c r="C62" s="245"/>
      <c r="D62" s="245"/>
      <c r="E62" s="245"/>
      <c r="F62" s="245"/>
      <c r="G62" s="245"/>
      <c r="H62" s="246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  <c r="AH62" s="246"/>
      <c r="AI62" s="245"/>
      <c r="AJ62" s="245"/>
      <c r="AK62" s="245"/>
      <c r="AL62" s="245"/>
      <c r="AM62" s="245"/>
      <c r="AN62" s="245"/>
      <c r="AO62" s="245"/>
      <c r="AP62" s="245"/>
      <c r="AQ62" s="245"/>
      <c r="AR62" s="245"/>
      <c r="AS62" s="245"/>
      <c r="AT62" s="245"/>
      <c r="AU62" s="245"/>
      <c r="AV62" s="245"/>
      <c r="AW62" s="245"/>
      <c r="AX62" s="245"/>
      <c r="AY62" s="245"/>
      <c r="AZ62" s="245"/>
      <c r="BA62" s="245"/>
      <c r="BB62" s="245"/>
      <c r="BC62" s="245"/>
      <c r="BD62" s="245"/>
      <c r="BE62" s="245"/>
      <c r="BF62" s="245"/>
      <c r="BG62" s="245"/>
      <c r="BH62" s="245"/>
      <c r="BI62" s="245"/>
      <c r="BJ62" s="245"/>
      <c r="BK62" s="245"/>
      <c r="BL62" s="245"/>
      <c r="BM62" s="245"/>
      <c r="BN62" s="245"/>
    </row>
    <row r="63">
      <c r="A63" s="249" t="s">
        <v>253</v>
      </c>
      <c r="B63" s="250"/>
      <c r="C63" s="177"/>
      <c r="D63" s="177"/>
      <c r="E63" s="177"/>
      <c r="F63" s="177"/>
      <c r="G63" s="177"/>
      <c r="H63" s="178"/>
      <c r="I63" s="177"/>
      <c r="J63" s="177" t="str">
        <f t="shared" ref="J63:K63" si="136">J13-#REF!-J45-J60</f>
        <v>#REF!</v>
      </c>
      <c r="K63" s="177" t="str">
        <f t="shared" si="136"/>
        <v>#REF!</v>
      </c>
      <c r="L63" s="177" t="str">
        <f t="shared" ref="L63:M63" si="137">L13-#REF!-L45-L60+K63</f>
        <v>#REF!</v>
      </c>
      <c r="M63" s="177" t="str">
        <f t="shared" si="137"/>
        <v>#REF!</v>
      </c>
      <c r="N63" s="177">
        <f>N13-N45-N60</f>
        <v>2020.5</v>
      </c>
      <c r="O63" s="177">
        <f>N63+O13-O45-O60</f>
        <v>4252.5</v>
      </c>
      <c r="P63" s="177">
        <f>P13-P45-P60+P57</f>
        <v>297.0622682</v>
      </c>
      <c r="Q63" s="177">
        <f t="shared" ref="Q63:R63" si="138">Q13-Q45-Q60+Q57+P63</f>
        <v>575.2805322</v>
      </c>
      <c r="R63" s="177">
        <f t="shared" si="138"/>
        <v>608.5017101</v>
      </c>
      <c r="S63" s="177">
        <f>S13-S45-S60+S57+100</f>
        <v>513.050056</v>
      </c>
      <c r="T63" s="177">
        <f t="shared" ref="T63:W63" si="139">T13-T45-T60+T57+S63</f>
        <v>-1066.895358</v>
      </c>
      <c r="U63" s="177">
        <f t="shared" si="139"/>
        <v>890.1095741</v>
      </c>
      <c r="V63" s="177">
        <f t="shared" si="139"/>
        <v>-739.754882</v>
      </c>
      <c r="W63" s="177">
        <f t="shared" si="139"/>
        <v>1252.163362</v>
      </c>
      <c r="X63" s="177">
        <f>X13-X45-X60+X57</f>
        <v>-1951.510327</v>
      </c>
      <c r="Y63" s="177">
        <f t="shared" ref="Y63:AH63" si="140">Y13-Y45-Y60+Y57+X63</f>
        <v>2803.564673</v>
      </c>
      <c r="Z63" s="177">
        <f t="shared" si="140"/>
        <v>1629.214673</v>
      </c>
      <c r="AA63" s="177">
        <f t="shared" si="140"/>
        <v>-869.7278271</v>
      </c>
      <c r="AB63" s="177">
        <f t="shared" si="140"/>
        <v>179.5071729</v>
      </c>
      <c r="AC63" s="177">
        <f t="shared" si="140"/>
        <v>385.6505062</v>
      </c>
      <c r="AD63" s="177">
        <f t="shared" si="140"/>
        <v>1618.460506</v>
      </c>
      <c r="AE63" s="177">
        <f t="shared" si="140"/>
        <v>1760.473006</v>
      </c>
      <c r="AF63" s="177">
        <f t="shared" si="140"/>
        <v>3168.808006</v>
      </c>
      <c r="AG63" s="177">
        <f t="shared" si="140"/>
        <v>3338.743006</v>
      </c>
      <c r="AH63" s="178">
        <f t="shared" si="140"/>
        <v>6756.653006</v>
      </c>
      <c r="AI63" s="177">
        <f>AI13-AI45-AI60+AI57+AG63</f>
        <v>1457.459673</v>
      </c>
      <c r="AJ63" s="177">
        <f t="shared" ref="AJ63:AK63" si="141">AJ13-AJ45-AJ60+AJ57</f>
        <v>318.7166667</v>
      </c>
      <c r="AK63" s="177">
        <f t="shared" si="141"/>
        <v>8470.725</v>
      </c>
      <c r="AL63" s="177">
        <f t="shared" ref="AL63:AU63" si="142">AL13-AL45-AL60+AL57+AK63</f>
        <v>1168.45</v>
      </c>
      <c r="AM63" s="177">
        <f t="shared" si="142"/>
        <v>501.675</v>
      </c>
      <c r="AN63" s="177">
        <f t="shared" si="142"/>
        <v>2289.09</v>
      </c>
      <c r="AO63" s="177">
        <f t="shared" si="142"/>
        <v>5941.505</v>
      </c>
      <c r="AP63" s="177">
        <f t="shared" si="142"/>
        <v>2198.855</v>
      </c>
      <c r="AQ63" s="177">
        <f t="shared" si="142"/>
        <v>4926.27</v>
      </c>
      <c r="AR63" s="177">
        <f t="shared" si="142"/>
        <v>-1113.815</v>
      </c>
      <c r="AS63" s="177">
        <f t="shared" si="142"/>
        <v>-272.375</v>
      </c>
      <c r="AT63" s="177">
        <f t="shared" si="142"/>
        <v>210.595</v>
      </c>
      <c r="AU63" s="177">
        <f t="shared" si="142"/>
        <v>4643.01</v>
      </c>
      <c r="AV63" s="177">
        <f>0</f>
        <v>0</v>
      </c>
      <c r="AW63" s="177">
        <f t="shared" ref="AW63:AY63" si="143">AW13-AW45-AW60+AW57</f>
        <v>0.29</v>
      </c>
      <c r="AX63" s="177">
        <f t="shared" si="143"/>
        <v>2995.6</v>
      </c>
      <c r="AY63" s="177">
        <f t="shared" si="143"/>
        <v>5106</v>
      </c>
      <c r="AZ63" s="177">
        <f>AZ13-AZ45-AZ60+AZ57+AY63</f>
        <v>6566.29</v>
      </c>
      <c r="BA63" s="177">
        <f>sum(BA13,BA45,BA60)</f>
        <v>2484</v>
      </c>
      <c r="BB63" s="177">
        <f t="shared" ref="BB63:BN63" si="144">sum(BB13,BB45,BB60,BA63)</f>
        <v>2167</v>
      </c>
      <c r="BC63" s="177">
        <f t="shared" si="144"/>
        <v>-1495.75</v>
      </c>
      <c r="BD63" s="177" t="str">
        <f t="shared" si="144"/>
        <v>#REF!</v>
      </c>
      <c r="BE63" s="177" t="str">
        <f t="shared" si="144"/>
        <v>#REF!</v>
      </c>
      <c r="BF63" s="177" t="str">
        <f t="shared" si="144"/>
        <v>#REF!</v>
      </c>
      <c r="BG63" s="177" t="str">
        <f t="shared" si="144"/>
        <v>#REF!</v>
      </c>
      <c r="BH63" s="177" t="str">
        <f t="shared" si="144"/>
        <v>#REF!</v>
      </c>
      <c r="BI63" s="177" t="str">
        <f t="shared" si="144"/>
        <v>#REF!</v>
      </c>
      <c r="BJ63" s="177" t="str">
        <f t="shared" si="144"/>
        <v>#REF!</v>
      </c>
      <c r="BK63" s="177" t="str">
        <f t="shared" si="144"/>
        <v>#REF!</v>
      </c>
      <c r="BL63" s="177" t="str">
        <f t="shared" si="144"/>
        <v>#REF!</v>
      </c>
      <c r="BM63" s="177" t="str">
        <f t="shared" si="144"/>
        <v>#REF!</v>
      </c>
      <c r="BN63" s="177" t="str">
        <f t="shared" si="144"/>
        <v>#REF!</v>
      </c>
    </row>
    <row r="64">
      <c r="A64" s="251"/>
      <c r="B64" s="252"/>
      <c r="C64" s="177"/>
      <c r="D64" s="177"/>
      <c r="E64" s="177"/>
      <c r="F64" s="177"/>
      <c r="G64" s="177"/>
      <c r="H64" s="178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8"/>
      <c r="AI64" s="177"/>
      <c r="AJ64" s="177"/>
      <c r="AK64" s="177"/>
      <c r="AL64" s="177"/>
      <c r="AM64" s="177"/>
      <c r="AN64" s="177"/>
      <c r="AO64" s="177"/>
      <c r="AP64" s="177"/>
      <c r="AQ64" s="177"/>
      <c r="AR64" s="177"/>
      <c r="AS64" s="177"/>
      <c r="AT64" s="177"/>
      <c r="AU64" s="177"/>
      <c r="AV64" s="177"/>
      <c r="AW64" s="177"/>
      <c r="AX64" s="177"/>
      <c r="AY64" s="177"/>
      <c r="AZ64" s="177"/>
      <c r="BA64" s="177"/>
      <c r="BB64" s="177"/>
      <c r="BC64" s="177"/>
      <c r="BD64" s="177"/>
      <c r="BE64" s="177"/>
      <c r="BF64" s="177"/>
      <c r="BG64" s="177"/>
      <c r="BH64" s="177"/>
      <c r="BI64" s="177"/>
      <c r="BJ64" s="177"/>
      <c r="BK64" s="177"/>
      <c r="BL64" s="177"/>
      <c r="BM64" s="177"/>
      <c r="BN64" s="177"/>
    </row>
    <row r="65">
      <c r="A65" s="251"/>
      <c r="B65" s="252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  <c r="AM65" s="177"/>
      <c r="AN65" s="177"/>
      <c r="AO65" s="177"/>
      <c r="AP65" s="177"/>
      <c r="AQ65" s="177"/>
      <c r="AR65" s="177"/>
      <c r="AS65" s="177"/>
      <c r="AT65" s="177"/>
      <c r="AU65" s="177"/>
      <c r="AV65" s="177"/>
      <c r="AW65" s="177"/>
      <c r="AX65" s="177"/>
      <c r="AY65" s="177"/>
      <c r="AZ65" s="177"/>
      <c r="BA65" s="177"/>
      <c r="BB65" s="177"/>
      <c r="BC65" s="177"/>
      <c r="BD65" s="177"/>
      <c r="BE65" s="177"/>
      <c r="BF65" s="177"/>
      <c r="BG65" s="177"/>
      <c r="BH65" s="177"/>
      <c r="BI65" s="177"/>
      <c r="BJ65" s="177"/>
      <c r="BK65" s="177"/>
      <c r="BL65" s="177"/>
      <c r="BM65" s="177"/>
      <c r="BN65" s="177"/>
    </row>
    <row r="66">
      <c r="A66" s="251"/>
      <c r="B66" s="252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177"/>
      <c r="AZ66" s="177"/>
      <c r="BA66" s="177"/>
      <c r="BB66" s="177"/>
      <c r="BC66" s="177"/>
      <c r="BD66" s="177"/>
      <c r="BE66" s="177"/>
      <c r="BF66" s="177"/>
      <c r="BG66" s="177"/>
      <c r="BH66" s="177"/>
      <c r="BI66" s="177"/>
      <c r="BJ66" s="177"/>
      <c r="BK66" s="177"/>
      <c r="BL66" s="177"/>
      <c r="BM66" s="177"/>
      <c r="BN66" s="177"/>
    </row>
  </sheetData>
  <conditionalFormatting sqref="J63:BN63">
    <cfRule type="cellIs" dxfId="0" priority="1" operator="greaterThan">
      <formula>0</formula>
    </cfRule>
  </conditionalFormatting>
  <conditionalFormatting sqref="J63:BN63">
    <cfRule type="cellIs" dxfId="1" priority="2" operator="lessThan">
      <formula>0</formula>
    </cfRule>
  </conditionalFormatting>
  <conditionalFormatting sqref="Q26:BN26">
    <cfRule type="cellIs" dxfId="2" priority="3" operator="lessThanOrEqual">
      <formula>"50%"</formula>
    </cfRule>
  </conditionalFormatting>
  <conditionalFormatting sqref="Q26:BN26">
    <cfRule type="cellIs" dxfId="3" priority="4" operator="greaterThanOrEqual">
      <formula>"50%"</formula>
    </cfRule>
  </conditionalFormatting>
  <conditionalFormatting sqref="Q44:BN44">
    <cfRule type="cellIs" dxfId="2" priority="5" operator="lessThanOrEqual">
      <formula>"30%"</formula>
    </cfRule>
  </conditionalFormatting>
  <conditionalFormatting sqref="Q44:BN44">
    <cfRule type="cellIs" dxfId="3" priority="6" operator="greaterThanOrEqual">
      <formula>"30%"</formula>
    </cfRule>
  </conditionalFormatting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08" t="s">
        <v>662</v>
      </c>
    </row>
    <row r="3">
      <c r="B3" s="110" t="s">
        <v>866</v>
      </c>
    </row>
    <row r="4">
      <c r="B4" s="110" t="s">
        <v>863</v>
      </c>
    </row>
    <row r="7">
      <c r="B7" s="108" t="s">
        <v>795</v>
      </c>
    </row>
    <row r="8">
      <c r="B8" s="113">
        <v>1000.0</v>
      </c>
      <c r="C8" s="110" t="s">
        <v>369</v>
      </c>
    </row>
    <row r="10">
      <c r="B10" s="108" t="s">
        <v>976</v>
      </c>
    </row>
    <row r="11">
      <c r="B11" s="113">
        <v>5000.0</v>
      </c>
      <c r="C11" s="110" t="s">
        <v>977</v>
      </c>
    </row>
    <row r="14">
      <c r="B14" s="108" t="s">
        <v>488</v>
      </c>
    </row>
    <row r="15">
      <c r="B15" s="113">
        <v>5000.0</v>
      </c>
      <c r="C15" s="110" t="s">
        <v>978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88"/>
    <col customWidth="1" min="2" max="2" width="16.13"/>
    <col customWidth="1" min="3" max="3" width="19.88"/>
    <col customWidth="1" min="4" max="4" width="16.25"/>
    <col customWidth="1" min="5" max="5" width="15.13"/>
    <col customWidth="1" min="6" max="6" width="17.5"/>
    <col customWidth="1" min="7" max="7" width="15.88"/>
    <col customWidth="1" min="8" max="8" width="13.88"/>
    <col customWidth="1" min="9" max="9" width="24.0"/>
    <col customWidth="1" min="10" max="10" width="22.0"/>
    <col customWidth="1" min="11" max="26" width="34.88"/>
  </cols>
  <sheetData>
    <row r="1" ht="12.75" customHeight="1">
      <c r="A1" s="318" t="s">
        <v>673</v>
      </c>
      <c r="B1" s="566"/>
      <c r="C1" s="318"/>
      <c r="D1" s="318"/>
      <c r="E1" s="318"/>
      <c r="F1" s="567"/>
      <c r="G1" s="568"/>
      <c r="H1" s="568"/>
      <c r="I1" s="568"/>
      <c r="J1" s="568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</row>
    <row r="2">
      <c r="A2" s="569" t="s">
        <v>354</v>
      </c>
      <c r="B2" s="569" t="s">
        <v>355</v>
      </c>
      <c r="C2" s="569" t="s">
        <v>979</v>
      </c>
      <c r="D2" s="569" t="s">
        <v>397</v>
      </c>
      <c r="E2" s="569" t="s">
        <v>398</v>
      </c>
      <c r="F2" s="569" t="s">
        <v>399</v>
      </c>
      <c r="G2" s="569" t="s">
        <v>400</v>
      </c>
      <c r="H2" s="569" t="s">
        <v>403</v>
      </c>
      <c r="I2" s="569" t="s">
        <v>451</v>
      </c>
      <c r="J2" s="569" t="s">
        <v>452</v>
      </c>
      <c r="K2" s="569" t="s">
        <v>404</v>
      </c>
      <c r="L2" s="570"/>
      <c r="M2" s="570"/>
      <c r="N2" s="570"/>
      <c r="O2" s="570"/>
      <c r="P2" s="570"/>
      <c r="Q2" s="570"/>
      <c r="R2" s="570"/>
      <c r="S2" s="570"/>
      <c r="T2" s="570"/>
      <c r="U2" s="570"/>
      <c r="V2" s="570"/>
      <c r="W2" s="570"/>
      <c r="X2" s="570"/>
      <c r="Y2" s="570"/>
      <c r="Z2" s="570"/>
    </row>
    <row r="3" ht="16.5" customHeight="1">
      <c r="A3" s="571" t="s">
        <v>784</v>
      </c>
      <c r="B3" s="572"/>
      <c r="C3" s="573"/>
      <c r="D3" s="572"/>
      <c r="E3" s="574"/>
      <c r="F3" s="575"/>
      <c r="G3" s="576"/>
      <c r="H3" s="576"/>
      <c r="I3" s="575"/>
      <c r="J3" s="575"/>
      <c r="K3" s="577"/>
      <c r="L3" s="578"/>
      <c r="M3" s="578"/>
      <c r="N3" s="578"/>
      <c r="O3" s="578"/>
      <c r="P3" s="578"/>
      <c r="Q3" s="578"/>
      <c r="R3" s="578"/>
      <c r="S3" s="578"/>
      <c r="T3" s="578"/>
      <c r="U3" s="578"/>
      <c r="V3" s="578"/>
      <c r="W3" s="578"/>
      <c r="X3" s="578"/>
      <c r="Y3" s="578"/>
      <c r="Z3" s="578"/>
    </row>
    <row r="4">
      <c r="A4" s="115" t="s">
        <v>980</v>
      </c>
      <c r="B4" s="109"/>
      <c r="C4" s="109" t="s">
        <v>407</v>
      </c>
      <c r="D4" s="579" t="s">
        <v>359</v>
      </c>
      <c r="E4" s="580">
        <v>25000.0</v>
      </c>
      <c r="F4" s="581">
        <f t="shared" ref="F4:F7" si="1">E4</f>
        <v>25000</v>
      </c>
      <c r="G4" s="582">
        <f t="shared" ref="G4:G7" si="2">IF(F4&gt;0,F4/SUM($F$4:$F$7), "")</f>
        <v>0.131302521</v>
      </c>
      <c r="H4" s="583"/>
      <c r="I4" s="584"/>
      <c r="J4" s="584"/>
      <c r="K4" s="578"/>
      <c r="L4" s="578"/>
      <c r="M4" s="578"/>
      <c r="N4" s="578"/>
      <c r="O4" s="578"/>
      <c r="P4" s="578"/>
      <c r="Q4" s="578"/>
      <c r="R4" s="578"/>
      <c r="S4" s="578"/>
      <c r="T4" s="578"/>
      <c r="U4" s="578"/>
      <c r="V4" s="578"/>
      <c r="W4" s="578"/>
      <c r="X4" s="578"/>
      <c r="Y4" s="578"/>
      <c r="Z4" s="578"/>
    </row>
    <row r="5">
      <c r="A5" s="1109" t="s">
        <v>981</v>
      </c>
      <c r="B5" s="1110"/>
      <c r="C5" s="1110" t="s">
        <v>982</v>
      </c>
      <c r="D5" s="1111"/>
      <c r="E5" s="1112">
        <v>65000.0</v>
      </c>
      <c r="F5" s="1113">
        <f t="shared" si="1"/>
        <v>65000</v>
      </c>
      <c r="G5" s="1114">
        <f t="shared" si="2"/>
        <v>0.3413865546</v>
      </c>
      <c r="H5" s="583"/>
      <c r="I5" s="584"/>
      <c r="J5" s="584"/>
      <c r="K5" s="578"/>
      <c r="L5" s="578"/>
      <c r="M5" s="578"/>
      <c r="N5" s="578"/>
      <c r="O5" s="578"/>
      <c r="P5" s="578"/>
      <c r="Q5" s="578"/>
      <c r="R5" s="578"/>
      <c r="S5" s="578"/>
      <c r="T5" s="578"/>
      <c r="U5" s="578"/>
      <c r="V5" s="578"/>
      <c r="W5" s="578"/>
      <c r="X5" s="578"/>
      <c r="Y5" s="578"/>
      <c r="Z5" s="578"/>
    </row>
    <row r="6">
      <c r="A6" s="115" t="s">
        <v>409</v>
      </c>
      <c r="B6" s="109"/>
      <c r="C6" s="109" t="s">
        <v>410</v>
      </c>
      <c r="D6" s="579" t="s">
        <v>359</v>
      </c>
      <c r="E6" s="580">
        <v>100000.0</v>
      </c>
      <c r="F6" s="581">
        <f t="shared" si="1"/>
        <v>100000</v>
      </c>
      <c r="G6" s="582">
        <f t="shared" si="2"/>
        <v>0.525210084</v>
      </c>
      <c r="H6" s="583"/>
      <c r="I6" s="584"/>
      <c r="J6" s="584"/>
      <c r="K6" s="578"/>
      <c r="L6" s="578"/>
      <c r="M6" s="578"/>
      <c r="N6" s="578"/>
      <c r="O6" s="578"/>
      <c r="P6" s="578"/>
      <c r="Q6" s="578"/>
      <c r="R6" s="578"/>
      <c r="S6" s="578"/>
      <c r="T6" s="578"/>
      <c r="U6" s="578"/>
      <c r="V6" s="578"/>
      <c r="W6" s="578"/>
      <c r="X6" s="578"/>
      <c r="Y6" s="578"/>
      <c r="Z6" s="578"/>
    </row>
    <row r="7">
      <c r="A7" s="115" t="s">
        <v>411</v>
      </c>
      <c r="B7" s="579"/>
      <c r="C7" s="585" t="s">
        <v>412</v>
      </c>
      <c r="D7" s="579" t="s">
        <v>359</v>
      </c>
      <c r="E7" s="580">
        <v>400.0</v>
      </c>
      <c r="F7" s="581">
        <f t="shared" si="1"/>
        <v>400</v>
      </c>
      <c r="G7" s="582">
        <f t="shared" si="2"/>
        <v>0.002100840336</v>
      </c>
      <c r="H7" s="583"/>
      <c r="I7" s="584"/>
      <c r="J7" s="584"/>
      <c r="K7" s="578"/>
      <c r="L7" s="578"/>
      <c r="M7" s="578"/>
      <c r="N7" s="578"/>
      <c r="O7" s="578"/>
      <c r="P7" s="578"/>
      <c r="Q7" s="578"/>
      <c r="R7" s="578"/>
      <c r="S7" s="578"/>
      <c r="T7" s="578"/>
      <c r="U7" s="578"/>
      <c r="V7" s="578"/>
      <c r="W7" s="578"/>
      <c r="X7" s="578"/>
      <c r="Y7" s="578"/>
      <c r="Z7" s="578"/>
    </row>
    <row r="8">
      <c r="A8" s="586"/>
      <c r="B8" s="587"/>
      <c r="C8" s="587"/>
      <c r="D8" s="587"/>
      <c r="E8" s="588">
        <f t="shared" ref="E8:F8" si="3">SUM(E4:E6)</f>
        <v>190000</v>
      </c>
      <c r="F8" s="588">
        <f t="shared" si="3"/>
        <v>190000</v>
      </c>
      <c r="G8" s="589">
        <f>SUBTOTAL(109,G$4:G$7)</f>
        <v>1</v>
      </c>
      <c r="H8" s="590"/>
      <c r="I8" s="591"/>
      <c r="J8" s="591"/>
      <c r="K8" s="592"/>
      <c r="L8" s="592"/>
      <c r="M8" s="592"/>
      <c r="N8" s="592"/>
      <c r="O8" s="592"/>
      <c r="P8" s="592"/>
      <c r="Q8" s="592"/>
      <c r="R8" s="592"/>
      <c r="S8" s="592"/>
      <c r="T8" s="592"/>
      <c r="U8" s="592"/>
      <c r="V8" s="592"/>
      <c r="W8" s="592"/>
      <c r="X8" s="592"/>
      <c r="Y8" s="592"/>
      <c r="Z8" s="592"/>
    </row>
    <row r="9">
      <c r="A9" s="354"/>
      <c r="B9" s="593"/>
      <c r="C9" s="593"/>
      <c r="D9" s="593"/>
      <c r="E9" s="594"/>
      <c r="F9" s="594"/>
      <c r="G9" s="595"/>
      <c r="H9" s="582"/>
      <c r="I9" s="340"/>
      <c r="J9" s="340"/>
      <c r="K9" s="596"/>
      <c r="L9" s="596"/>
      <c r="M9" s="596"/>
      <c r="N9" s="596"/>
      <c r="O9" s="596"/>
      <c r="P9" s="596"/>
      <c r="Q9" s="596"/>
      <c r="R9" s="596"/>
      <c r="S9" s="596"/>
      <c r="T9" s="596"/>
      <c r="U9" s="596"/>
      <c r="V9" s="596"/>
      <c r="W9" s="596"/>
      <c r="X9" s="596"/>
      <c r="Y9" s="596"/>
      <c r="Z9" s="596"/>
    </row>
    <row r="10">
      <c r="A10" s="597" t="s">
        <v>983</v>
      </c>
      <c r="B10" s="598"/>
      <c r="C10" s="598"/>
      <c r="D10" s="598"/>
      <c r="E10" s="599"/>
      <c r="F10" s="599"/>
      <c r="G10" s="600"/>
      <c r="H10" s="600"/>
      <c r="I10" s="599"/>
      <c r="J10" s="599"/>
      <c r="K10" s="601"/>
      <c r="L10" s="596"/>
      <c r="M10" s="596"/>
      <c r="N10" s="596"/>
      <c r="O10" s="596"/>
      <c r="P10" s="596"/>
      <c r="Q10" s="596"/>
      <c r="R10" s="596"/>
      <c r="S10" s="596"/>
      <c r="T10" s="596"/>
      <c r="U10" s="596"/>
      <c r="V10" s="596"/>
      <c r="W10" s="596"/>
      <c r="X10" s="596"/>
      <c r="Y10" s="596"/>
      <c r="Z10" s="596"/>
    </row>
    <row r="11">
      <c r="A11" s="349" t="s">
        <v>430</v>
      </c>
      <c r="B11" s="593" t="s">
        <v>456</v>
      </c>
      <c r="C11" s="602" t="s">
        <v>457</v>
      </c>
      <c r="D11" s="603">
        <v>10.0</v>
      </c>
      <c r="E11" s="340">
        <f>D11*17000</f>
        <v>170000</v>
      </c>
      <c r="F11" s="351">
        <f>D11*55000</f>
        <v>550000</v>
      </c>
      <c r="G11" s="604">
        <f>IF(F11&gt;0,F11/SUM($F$12:$F$28), "")</f>
        <v>0.2770490312</v>
      </c>
      <c r="H11" s="605"/>
      <c r="I11" s="606">
        <v>0.1</v>
      </c>
      <c r="J11" s="584">
        <f>I11*1000000</f>
        <v>100000</v>
      </c>
      <c r="K11" s="596"/>
      <c r="L11" s="596"/>
      <c r="M11" s="596"/>
      <c r="N11" s="596"/>
      <c r="O11" s="596"/>
      <c r="P11" s="596"/>
      <c r="Q11" s="596"/>
      <c r="R11" s="596"/>
      <c r="S11" s="596"/>
      <c r="T11" s="596"/>
      <c r="U11" s="596"/>
      <c r="V11" s="596"/>
      <c r="W11" s="596"/>
      <c r="X11" s="596"/>
      <c r="Y11" s="596"/>
      <c r="Z11" s="596"/>
    </row>
    <row r="12">
      <c r="A12" s="349" t="s">
        <v>458</v>
      </c>
      <c r="B12" s="593" t="s">
        <v>456</v>
      </c>
      <c r="C12" s="593" t="s">
        <v>459</v>
      </c>
      <c r="D12" s="603">
        <v>1000.0</v>
      </c>
      <c r="E12" s="340">
        <f>D12*1900</f>
        <v>1900000</v>
      </c>
      <c r="F12" s="351">
        <f>D12*1975</f>
        <v>1975000</v>
      </c>
      <c r="G12" s="604">
        <f t="shared" ref="G12:G27" si="4">IF(F12&gt;0,F12/SUM($F$11:$F$28), "")</f>
        <v>0.77902873</v>
      </c>
      <c r="H12" s="605"/>
      <c r="I12" s="607">
        <v>50.0</v>
      </c>
      <c r="J12" s="584">
        <f t="shared" ref="J12:J13" si="5">I12*5000</f>
        <v>250000</v>
      </c>
      <c r="K12" s="596"/>
      <c r="L12" s="596"/>
      <c r="M12" s="596"/>
      <c r="N12" s="596"/>
      <c r="O12" s="596"/>
      <c r="P12" s="596"/>
      <c r="Q12" s="596"/>
      <c r="R12" s="596"/>
      <c r="S12" s="596"/>
      <c r="T12" s="596"/>
      <c r="U12" s="596"/>
      <c r="V12" s="596"/>
      <c r="W12" s="596"/>
      <c r="X12" s="596"/>
      <c r="Y12" s="596"/>
      <c r="Z12" s="596"/>
    </row>
    <row r="13">
      <c r="A13" s="349" t="s">
        <v>460</v>
      </c>
      <c r="B13" s="593" t="s">
        <v>456</v>
      </c>
      <c r="C13" s="593" t="s">
        <v>459</v>
      </c>
      <c r="D13" s="603">
        <v>0.011</v>
      </c>
      <c r="E13" s="340">
        <v>0.0</v>
      </c>
      <c r="F13" s="351">
        <f>D13*1800</f>
        <v>19.8</v>
      </c>
      <c r="G13" s="604">
        <f t="shared" si="4"/>
        <v>0.000007810009546</v>
      </c>
      <c r="H13" s="605"/>
      <c r="I13" s="608">
        <v>20.0</v>
      </c>
      <c r="J13" s="584">
        <f t="shared" si="5"/>
        <v>100000</v>
      </c>
      <c r="K13" s="596"/>
      <c r="L13" s="596"/>
      <c r="M13" s="596"/>
      <c r="N13" s="596"/>
      <c r="O13" s="596"/>
      <c r="P13" s="596"/>
      <c r="Q13" s="596"/>
      <c r="R13" s="596"/>
      <c r="S13" s="596"/>
      <c r="T13" s="596"/>
      <c r="U13" s="596"/>
      <c r="V13" s="596"/>
      <c r="W13" s="596"/>
      <c r="X13" s="596"/>
      <c r="Y13" s="596"/>
      <c r="Z13" s="596"/>
    </row>
    <row r="14">
      <c r="A14" s="349" t="s">
        <v>461</v>
      </c>
      <c r="B14" s="593" t="s">
        <v>456</v>
      </c>
      <c r="C14" s="593" t="s">
        <v>459</v>
      </c>
      <c r="D14" s="593">
        <v>11.0</v>
      </c>
      <c r="E14" s="340">
        <v>0.0</v>
      </c>
      <c r="F14" s="351">
        <f>D14*1</f>
        <v>11</v>
      </c>
      <c r="G14" s="604">
        <f t="shared" si="4"/>
        <v>0.000004338894192</v>
      </c>
      <c r="H14" s="605"/>
      <c r="I14" s="608">
        <v>1000.0</v>
      </c>
      <c r="J14" s="584">
        <f>I14*1</f>
        <v>1000</v>
      </c>
      <c r="K14" s="596"/>
      <c r="L14" s="596"/>
      <c r="M14" s="596"/>
      <c r="N14" s="596"/>
      <c r="O14" s="596"/>
      <c r="P14" s="596"/>
      <c r="Q14" s="596"/>
      <c r="R14" s="596"/>
      <c r="S14" s="596"/>
      <c r="T14" s="596"/>
      <c r="U14" s="596"/>
      <c r="V14" s="596"/>
      <c r="W14" s="596"/>
      <c r="X14" s="596"/>
      <c r="Y14" s="596"/>
      <c r="Z14" s="596"/>
    </row>
    <row r="15">
      <c r="A15" s="349" t="s">
        <v>462</v>
      </c>
      <c r="B15" s="593" t="s">
        <v>456</v>
      </c>
      <c r="C15" s="593" t="s">
        <v>459</v>
      </c>
      <c r="D15" s="609">
        <v>150.0</v>
      </c>
      <c r="E15" s="340">
        <v>0.0</v>
      </c>
      <c r="F15" s="351">
        <f>D15*5.04</f>
        <v>756</v>
      </c>
      <c r="G15" s="604">
        <f t="shared" si="4"/>
        <v>0.0002982003645</v>
      </c>
      <c r="H15" s="605"/>
      <c r="I15" s="608">
        <v>150.0</v>
      </c>
      <c r="J15" s="584">
        <f>I15*10</f>
        <v>1500</v>
      </c>
      <c r="K15" s="596"/>
      <c r="L15" s="596"/>
      <c r="M15" s="596"/>
      <c r="N15" s="596"/>
      <c r="O15" s="596"/>
      <c r="P15" s="596"/>
      <c r="Q15" s="596"/>
      <c r="R15" s="596"/>
      <c r="S15" s="596"/>
      <c r="T15" s="596"/>
      <c r="U15" s="596"/>
      <c r="V15" s="596"/>
      <c r="W15" s="596"/>
      <c r="X15" s="596"/>
      <c r="Y15" s="596"/>
      <c r="Z15" s="596"/>
    </row>
    <row r="16">
      <c r="A16" s="349" t="s">
        <v>463</v>
      </c>
      <c r="B16" s="593" t="s">
        <v>456</v>
      </c>
      <c r="C16" s="593" t="s">
        <v>459</v>
      </c>
      <c r="D16" s="609">
        <v>126.2</v>
      </c>
      <c r="E16" s="340">
        <f>D16*19</f>
        <v>2397.8</v>
      </c>
      <c r="F16" s="351">
        <f>D16*22</f>
        <v>2776.4</v>
      </c>
      <c r="G16" s="604">
        <f t="shared" si="4"/>
        <v>0.001095136894</v>
      </c>
      <c r="H16" s="605"/>
      <c r="I16" s="608">
        <v>126.0</v>
      </c>
      <c r="J16" s="584">
        <f>I16*30</f>
        <v>3780</v>
      </c>
      <c r="K16" s="596"/>
      <c r="L16" s="596"/>
      <c r="M16" s="596"/>
      <c r="N16" s="596"/>
      <c r="O16" s="596"/>
      <c r="P16" s="596"/>
      <c r="Q16" s="596"/>
      <c r="R16" s="596"/>
      <c r="S16" s="596"/>
      <c r="T16" s="596"/>
      <c r="U16" s="596"/>
      <c r="V16" s="596"/>
      <c r="W16" s="596"/>
      <c r="X16" s="596"/>
      <c r="Y16" s="596"/>
      <c r="Z16" s="596"/>
    </row>
    <row r="17">
      <c r="A17" s="349" t="s">
        <v>464</v>
      </c>
      <c r="B17" s="593" t="s">
        <v>456</v>
      </c>
      <c r="C17" s="593" t="s">
        <v>459</v>
      </c>
      <c r="D17" s="609">
        <v>10.0</v>
      </c>
      <c r="E17" s="340">
        <f>D17*19.78</f>
        <v>197.8</v>
      </c>
      <c r="F17" s="351">
        <f>D17*40</f>
        <v>400</v>
      </c>
      <c r="G17" s="604">
        <f t="shared" si="4"/>
        <v>0.0001577779706</v>
      </c>
      <c r="H17" s="605"/>
      <c r="I17" s="608">
        <v>500.0</v>
      </c>
      <c r="J17" s="584">
        <f>I17*50</f>
        <v>25000</v>
      </c>
      <c r="K17" s="596"/>
      <c r="L17" s="596"/>
      <c r="M17" s="596"/>
      <c r="N17" s="596"/>
      <c r="O17" s="596"/>
      <c r="P17" s="596"/>
      <c r="Q17" s="596"/>
      <c r="R17" s="596"/>
      <c r="S17" s="596"/>
      <c r="T17" s="596"/>
      <c r="U17" s="596"/>
      <c r="V17" s="596"/>
      <c r="W17" s="596"/>
      <c r="X17" s="596"/>
      <c r="Y17" s="596"/>
      <c r="Z17" s="596"/>
    </row>
    <row r="18">
      <c r="A18" s="349" t="s">
        <v>465</v>
      </c>
      <c r="B18" s="593" t="s">
        <v>456</v>
      </c>
      <c r="C18" s="593" t="s">
        <v>459</v>
      </c>
      <c r="D18" s="603">
        <v>39.96</v>
      </c>
      <c r="E18" s="340">
        <v>300.0</v>
      </c>
      <c r="F18" s="351">
        <f>D18*13.52</f>
        <v>540.2592</v>
      </c>
      <c r="G18" s="604">
        <f t="shared" si="4"/>
        <v>0.0002131025005</v>
      </c>
      <c r="H18" s="605"/>
      <c r="I18" s="608">
        <v>100.0</v>
      </c>
      <c r="J18" s="584">
        <f>I18*20</f>
        <v>2000</v>
      </c>
      <c r="K18" s="596"/>
      <c r="L18" s="596"/>
      <c r="M18" s="596"/>
      <c r="N18" s="596"/>
      <c r="O18" s="596"/>
      <c r="P18" s="596"/>
      <c r="Q18" s="596"/>
      <c r="R18" s="596"/>
      <c r="S18" s="596"/>
      <c r="T18" s="596"/>
      <c r="U18" s="596"/>
      <c r="V18" s="596"/>
      <c r="W18" s="596"/>
      <c r="X18" s="596"/>
      <c r="Y18" s="596"/>
      <c r="Z18" s="596"/>
    </row>
    <row r="19">
      <c r="A19" s="349" t="s">
        <v>466</v>
      </c>
      <c r="B19" s="593" t="s">
        <v>456</v>
      </c>
      <c r="C19" s="593" t="s">
        <v>459</v>
      </c>
      <c r="D19" s="593">
        <v>9.32</v>
      </c>
      <c r="E19" s="340">
        <f>D19*450</f>
        <v>4194</v>
      </c>
      <c r="F19" s="351">
        <f>D19*510</f>
        <v>4753.2</v>
      </c>
      <c r="G19" s="604">
        <f t="shared" si="4"/>
        <v>0.001874875625</v>
      </c>
      <c r="H19" s="605"/>
      <c r="I19" s="608">
        <v>10.0</v>
      </c>
      <c r="J19" s="584">
        <f>I19*800</f>
        <v>8000</v>
      </c>
      <c r="K19" s="596"/>
      <c r="L19" s="596"/>
      <c r="M19" s="596"/>
      <c r="N19" s="596"/>
      <c r="O19" s="596"/>
      <c r="P19" s="596"/>
      <c r="Q19" s="596"/>
      <c r="R19" s="596"/>
      <c r="S19" s="596"/>
      <c r="T19" s="596"/>
      <c r="U19" s="596"/>
      <c r="V19" s="596"/>
      <c r="W19" s="596"/>
      <c r="X19" s="596"/>
      <c r="Y19" s="596"/>
      <c r="Z19" s="596"/>
    </row>
    <row r="20">
      <c r="A20" s="349" t="s">
        <v>467</v>
      </c>
      <c r="B20" s="593" t="s">
        <v>468</v>
      </c>
      <c r="C20" s="593" t="s">
        <v>459</v>
      </c>
      <c r="D20" s="603">
        <v>0.00226404155052945</v>
      </c>
      <c r="E20" s="340">
        <v>80.0</v>
      </c>
      <c r="F20" s="351">
        <f>D20*40936</f>
        <v>92.68080491</v>
      </c>
      <c r="G20" s="604">
        <f t="shared" si="4"/>
        <v>0.00003655747329</v>
      </c>
      <c r="H20" s="605"/>
      <c r="I20" s="608">
        <v>3.0</v>
      </c>
      <c r="J20" s="584"/>
      <c r="K20" s="596"/>
      <c r="L20" s="596"/>
      <c r="M20" s="596"/>
      <c r="N20" s="596"/>
      <c r="O20" s="596"/>
      <c r="P20" s="596"/>
      <c r="Q20" s="596"/>
      <c r="R20" s="596"/>
      <c r="S20" s="596"/>
      <c r="T20" s="596"/>
      <c r="U20" s="596"/>
      <c r="V20" s="596"/>
      <c r="W20" s="596"/>
      <c r="X20" s="596"/>
      <c r="Y20" s="596"/>
      <c r="Z20" s="596"/>
    </row>
    <row r="21">
      <c r="A21" s="349" t="s">
        <v>469</v>
      </c>
      <c r="B21" s="593" t="s">
        <v>468</v>
      </c>
      <c r="C21" s="593" t="s">
        <v>459</v>
      </c>
      <c r="D21" s="603">
        <v>16.0</v>
      </c>
      <c r="E21" s="340">
        <v>80.0</v>
      </c>
      <c r="F21" s="351">
        <f>D21*26</f>
        <v>416</v>
      </c>
      <c r="G21" s="604">
        <f t="shared" si="4"/>
        <v>0.0001640890895</v>
      </c>
      <c r="H21" s="605"/>
      <c r="I21" s="608">
        <v>50.0</v>
      </c>
      <c r="J21" s="584">
        <f>I21*30</f>
        <v>1500</v>
      </c>
      <c r="K21" s="596"/>
      <c r="L21" s="596"/>
      <c r="M21" s="596"/>
      <c r="N21" s="596"/>
      <c r="O21" s="596"/>
      <c r="P21" s="596"/>
      <c r="Q21" s="596"/>
      <c r="R21" s="596"/>
      <c r="S21" s="596"/>
      <c r="T21" s="596"/>
      <c r="U21" s="596"/>
      <c r="V21" s="596"/>
      <c r="W21" s="596"/>
      <c r="X21" s="596"/>
      <c r="Y21" s="596"/>
      <c r="Z21" s="596"/>
    </row>
    <row r="22">
      <c r="A22" s="349" t="s">
        <v>470</v>
      </c>
      <c r="B22" s="593" t="s">
        <v>468</v>
      </c>
      <c r="C22" s="593" t="s">
        <v>459</v>
      </c>
      <c r="D22" s="603">
        <v>1.106</v>
      </c>
      <c r="E22" s="340">
        <v>300.0</v>
      </c>
      <c r="F22" s="351">
        <f>D22*150</f>
        <v>165.9</v>
      </c>
      <c r="G22" s="604">
        <f t="shared" si="4"/>
        <v>0.00006543841332</v>
      </c>
      <c r="H22" s="605"/>
      <c r="I22" s="608">
        <v>10.0</v>
      </c>
      <c r="J22" s="584">
        <f>I22*300</f>
        <v>3000</v>
      </c>
      <c r="K22" s="596"/>
      <c r="L22" s="596"/>
      <c r="M22" s="596"/>
      <c r="N22" s="596"/>
      <c r="O22" s="596"/>
      <c r="P22" s="596"/>
      <c r="Q22" s="596"/>
      <c r="R22" s="596"/>
      <c r="S22" s="596"/>
      <c r="T22" s="596"/>
      <c r="U22" s="596"/>
      <c r="V22" s="596"/>
      <c r="W22" s="596"/>
      <c r="X22" s="596"/>
      <c r="Y22" s="596"/>
      <c r="Z22" s="596"/>
    </row>
    <row r="23">
      <c r="A23" s="349" t="s">
        <v>471</v>
      </c>
      <c r="B23" s="593" t="s">
        <v>468</v>
      </c>
      <c r="C23" s="593" t="s">
        <v>459</v>
      </c>
      <c r="D23" s="593">
        <v>0.0</v>
      </c>
      <c r="E23" s="340">
        <v>0.008</v>
      </c>
      <c r="F23" s="351">
        <f>E23*743</f>
        <v>5.944</v>
      </c>
      <c r="G23" s="604">
        <f t="shared" si="4"/>
        <v>0.000002344580644</v>
      </c>
      <c r="H23" s="605"/>
      <c r="I23" s="610">
        <v>5.0</v>
      </c>
      <c r="J23" s="340"/>
      <c r="K23" s="596"/>
      <c r="L23" s="596"/>
      <c r="M23" s="596"/>
      <c r="N23" s="596"/>
      <c r="O23" s="596"/>
      <c r="P23" s="596"/>
      <c r="Q23" s="596"/>
      <c r="R23" s="596"/>
      <c r="S23" s="596"/>
      <c r="T23" s="596"/>
      <c r="U23" s="596"/>
      <c r="V23" s="596"/>
      <c r="W23" s="596"/>
      <c r="X23" s="596"/>
      <c r="Y23" s="596"/>
      <c r="Z23" s="596"/>
    </row>
    <row r="24">
      <c r="A24" s="349" t="s">
        <v>472</v>
      </c>
      <c r="B24" s="593" t="s">
        <v>468</v>
      </c>
      <c r="C24" s="593" t="s">
        <v>459</v>
      </c>
      <c r="D24" s="603">
        <v>0.795039454882312</v>
      </c>
      <c r="E24" s="340">
        <v>145.0</v>
      </c>
      <c r="F24" s="351">
        <f>D24*211</f>
        <v>167.753325</v>
      </c>
      <c r="G24" s="604">
        <f t="shared" si="4"/>
        <v>0.00006616944795</v>
      </c>
      <c r="H24" s="605"/>
      <c r="I24" s="608">
        <v>5.0</v>
      </c>
      <c r="J24" s="584"/>
      <c r="K24" s="596"/>
      <c r="L24" s="596"/>
      <c r="M24" s="596"/>
      <c r="N24" s="596"/>
      <c r="O24" s="596"/>
      <c r="P24" s="596"/>
      <c r="Q24" s="596"/>
      <c r="R24" s="596"/>
      <c r="S24" s="596"/>
      <c r="T24" s="596"/>
      <c r="U24" s="596"/>
      <c r="V24" s="596"/>
      <c r="W24" s="596"/>
      <c r="X24" s="596"/>
      <c r="Y24" s="596"/>
      <c r="Z24" s="596"/>
    </row>
    <row r="25">
      <c r="A25" s="611" t="s">
        <v>473</v>
      </c>
      <c r="B25" s="593" t="s">
        <v>456</v>
      </c>
      <c r="C25" s="612" t="s">
        <v>459</v>
      </c>
      <c r="D25" s="613">
        <v>108.0</v>
      </c>
      <c r="E25" s="614">
        <v>44.85</v>
      </c>
      <c r="F25" s="615">
        <f>D25*0.69</f>
        <v>74.52</v>
      </c>
      <c r="G25" s="604">
        <f t="shared" si="4"/>
        <v>0.00002939403593</v>
      </c>
      <c r="H25" s="616"/>
      <c r="I25" s="617">
        <v>0.0</v>
      </c>
      <c r="J25" s="614"/>
      <c r="K25" s="618"/>
      <c r="L25" s="618"/>
      <c r="M25" s="618"/>
      <c r="N25" s="618"/>
      <c r="O25" s="618"/>
      <c r="P25" s="618"/>
      <c r="Q25" s="618"/>
      <c r="R25" s="618"/>
      <c r="S25" s="618"/>
      <c r="T25" s="618"/>
      <c r="U25" s="618"/>
      <c r="V25" s="618"/>
      <c r="W25" s="618"/>
      <c r="X25" s="618"/>
      <c r="Y25" s="618"/>
      <c r="Z25" s="618"/>
    </row>
    <row r="26">
      <c r="A26" s="611" t="s">
        <v>474</v>
      </c>
      <c r="B26" s="593" t="s">
        <v>456</v>
      </c>
      <c r="C26" s="612" t="s">
        <v>459</v>
      </c>
      <c r="D26" s="613">
        <v>2.0</v>
      </c>
      <c r="E26" s="614">
        <f>43.62</f>
        <v>43.62</v>
      </c>
      <c r="F26" s="615">
        <v>0.0</v>
      </c>
      <c r="G26" s="604" t="str">
        <f t="shared" si="4"/>
        <v/>
      </c>
      <c r="H26" s="616"/>
      <c r="I26" s="617">
        <v>0.0</v>
      </c>
      <c r="J26" s="614"/>
      <c r="K26" s="618"/>
      <c r="L26" s="618"/>
      <c r="M26" s="618"/>
      <c r="N26" s="618"/>
      <c r="O26" s="618"/>
      <c r="P26" s="618"/>
      <c r="Q26" s="618"/>
      <c r="R26" s="618"/>
      <c r="S26" s="618"/>
      <c r="T26" s="618"/>
      <c r="U26" s="618"/>
      <c r="V26" s="618"/>
      <c r="W26" s="618"/>
      <c r="X26" s="618"/>
      <c r="Y26" s="618"/>
      <c r="Z26" s="618"/>
    </row>
    <row r="27">
      <c r="A27" s="611" t="s">
        <v>475</v>
      </c>
      <c r="B27" s="593" t="s">
        <v>456</v>
      </c>
      <c r="C27" s="612" t="s">
        <v>459</v>
      </c>
      <c r="D27" s="613">
        <v>4.976</v>
      </c>
      <c r="E27" s="614">
        <v>20.0</v>
      </c>
      <c r="F27" s="615">
        <f>D27*5.77</f>
        <v>28.71152</v>
      </c>
      <c r="G27" s="604">
        <f t="shared" si="4"/>
        <v>0.0000113251134</v>
      </c>
      <c r="H27" s="616"/>
      <c r="I27" s="617">
        <v>0.0</v>
      </c>
      <c r="J27" s="614"/>
      <c r="K27" s="618"/>
      <c r="L27" s="618"/>
      <c r="M27" s="618"/>
      <c r="N27" s="618"/>
      <c r="O27" s="618"/>
      <c r="P27" s="618"/>
      <c r="Q27" s="618"/>
      <c r="R27" s="618"/>
      <c r="S27" s="618"/>
      <c r="T27" s="618"/>
      <c r="U27" s="618"/>
      <c r="V27" s="618"/>
      <c r="W27" s="618"/>
      <c r="X27" s="618"/>
      <c r="Y27" s="618"/>
      <c r="Z27" s="618"/>
    </row>
    <row r="28">
      <c r="A28" s="611" t="s">
        <v>476</v>
      </c>
      <c r="B28" s="593" t="s">
        <v>456</v>
      </c>
      <c r="C28" s="612" t="s">
        <v>459</v>
      </c>
      <c r="D28" s="612" t="s">
        <v>359</v>
      </c>
      <c r="E28" s="614">
        <v>50.0</v>
      </c>
      <c r="F28" s="615">
        <v>0.0</v>
      </c>
      <c r="G28" s="1036" t="str">
        <f>IF(F28&gt;0,F28/SUM($F$12:$F$28), "")</f>
        <v/>
      </c>
      <c r="H28" s="616"/>
      <c r="I28" s="617">
        <v>0.0</v>
      </c>
      <c r="J28" s="614"/>
      <c r="K28" s="618"/>
      <c r="L28" s="618"/>
      <c r="M28" s="618"/>
      <c r="N28" s="618"/>
      <c r="O28" s="618"/>
      <c r="P28" s="618"/>
      <c r="Q28" s="618"/>
      <c r="R28" s="618"/>
      <c r="S28" s="618"/>
      <c r="T28" s="618"/>
      <c r="U28" s="618"/>
      <c r="V28" s="618"/>
      <c r="W28" s="618"/>
      <c r="X28" s="618"/>
      <c r="Y28" s="618"/>
      <c r="Z28" s="618"/>
    </row>
    <row r="29">
      <c r="A29" s="622"/>
      <c r="B29" s="623"/>
      <c r="C29" s="623"/>
      <c r="D29" s="623"/>
      <c r="E29" s="624">
        <f t="shared" ref="E29:G29" si="6">sum(E11:E28 )</f>
        <v>2077853.078</v>
      </c>
      <c r="F29" s="624">
        <f t="shared" si="6"/>
        <v>2535208.169</v>
      </c>
      <c r="G29" s="625">
        <f t="shared" si="6"/>
        <v>1.060104322</v>
      </c>
      <c r="H29" s="625"/>
      <c r="I29" s="624"/>
      <c r="J29" s="624" t="str">
        <f>sum(#REF! )</f>
        <v>#REF!</v>
      </c>
      <c r="K29" s="592"/>
      <c r="L29" s="592"/>
      <c r="M29" s="592"/>
      <c r="N29" s="592"/>
      <c r="O29" s="592"/>
      <c r="P29" s="592"/>
      <c r="Q29" s="592"/>
      <c r="R29" s="592"/>
      <c r="S29" s="592"/>
      <c r="T29" s="592"/>
      <c r="U29" s="592"/>
      <c r="V29" s="592"/>
      <c r="W29" s="592"/>
      <c r="X29" s="592"/>
      <c r="Y29" s="592"/>
      <c r="Z29" s="592"/>
    </row>
    <row r="30">
      <c r="A30" s="611"/>
      <c r="B30" s="593"/>
      <c r="C30" s="612"/>
      <c r="D30" s="612"/>
      <c r="E30" s="614"/>
      <c r="F30" s="615"/>
      <c r="G30" s="1036"/>
      <c r="H30" s="616"/>
      <c r="I30" s="617"/>
      <c r="J30" s="614"/>
      <c r="K30" s="618"/>
      <c r="L30" s="618"/>
      <c r="M30" s="618"/>
      <c r="N30" s="618"/>
      <c r="O30" s="618"/>
      <c r="P30" s="618"/>
      <c r="Q30" s="618"/>
      <c r="R30" s="618"/>
      <c r="S30" s="618"/>
      <c r="T30" s="618"/>
      <c r="U30" s="618"/>
      <c r="V30" s="618"/>
      <c r="W30" s="618"/>
      <c r="X30" s="618"/>
      <c r="Y30" s="618"/>
      <c r="Z30" s="618"/>
    </row>
    <row r="31">
      <c r="A31" s="597" t="s">
        <v>786</v>
      </c>
      <c r="B31" s="598"/>
      <c r="C31" s="598"/>
      <c r="D31" s="598"/>
      <c r="E31" s="599"/>
      <c r="F31" s="599"/>
      <c r="G31" s="600"/>
      <c r="H31" s="600"/>
      <c r="I31" s="599"/>
      <c r="J31" s="599"/>
      <c r="K31" s="601"/>
      <c r="L31" s="596"/>
      <c r="M31" s="596"/>
      <c r="N31" s="596"/>
      <c r="O31" s="596"/>
      <c r="P31" s="596"/>
      <c r="Q31" s="596"/>
      <c r="R31" s="596"/>
      <c r="S31" s="596"/>
      <c r="T31" s="596"/>
      <c r="U31" s="596"/>
      <c r="V31" s="596"/>
      <c r="W31" s="596"/>
      <c r="X31" s="596"/>
      <c r="Y31" s="596"/>
      <c r="Z31" s="596"/>
    </row>
    <row r="32">
      <c r="A32" s="349" t="s">
        <v>477</v>
      </c>
      <c r="B32" s="593" t="s">
        <v>478</v>
      </c>
      <c r="C32" s="593" t="s">
        <v>459</v>
      </c>
      <c r="D32" s="603">
        <v>0.718</v>
      </c>
      <c r="E32" s="340">
        <v>100.0</v>
      </c>
      <c r="F32" s="351">
        <f>D32*759</f>
        <v>544.962</v>
      </c>
      <c r="G32" s="604">
        <f t="shared" ref="G32:G39" si="7">IF(F32&gt;0,F32/SUM($F$11:$F$28), "")</f>
        <v>0.0002149574961</v>
      </c>
      <c r="H32" s="605"/>
      <c r="I32" s="608">
        <v>2.0</v>
      </c>
      <c r="J32" s="584">
        <f>I32*1559</f>
        <v>3118</v>
      </c>
      <c r="K32" s="596"/>
      <c r="L32" s="596"/>
      <c r="M32" s="596"/>
      <c r="N32" s="596"/>
      <c r="O32" s="596"/>
      <c r="P32" s="596"/>
      <c r="Q32" s="596"/>
      <c r="R32" s="596"/>
      <c r="S32" s="596"/>
      <c r="T32" s="596"/>
      <c r="U32" s="596"/>
      <c r="V32" s="596"/>
      <c r="W32" s="596"/>
      <c r="X32" s="596"/>
      <c r="Y32" s="596"/>
      <c r="Z32" s="596"/>
    </row>
    <row r="33">
      <c r="A33" s="349" t="s">
        <v>479</v>
      </c>
      <c r="B33" s="593" t="s">
        <v>478</v>
      </c>
      <c r="C33" s="593" t="s">
        <v>459</v>
      </c>
      <c r="D33" s="603">
        <v>5.8E-9</v>
      </c>
      <c r="E33" s="340">
        <v>175.0</v>
      </c>
      <c r="F33" s="351">
        <f>D33*44054474896.37</f>
        <v>255.5159544</v>
      </c>
      <c r="G33" s="604">
        <f t="shared" si="7"/>
        <v>0.0001007869719</v>
      </c>
      <c r="H33" s="605"/>
      <c r="I33" s="608">
        <v>2.0</v>
      </c>
      <c r="J33" s="346">
        <f>0.0000000058*44054474896.37</f>
        <v>255.5159544</v>
      </c>
      <c r="K33" s="596"/>
      <c r="L33" s="596"/>
      <c r="M33" s="596"/>
      <c r="N33" s="596"/>
      <c r="O33" s="596"/>
      <c r="P33" s="596"/>
      <c r="Q33" s="596"/>
      <c r="R33" s="596"/>
      <c r="S33" s="596"/>
      <c r="T33" s="596"/>
      <c r="U33" s="596"/>
      <c r="V33" s="596"/>
      <c r="W33" s="596"/>
      <c r="X33" s="596"/>
      <c r="Y33" s="596"/>
      <c r="Z33" s="596"/>
    </row>
    <row r="34">
      <c r="A34" s="349" t="s">
        <v>480</v>
      </c>
      <c r="B34" s="593" t="s">
        <v>478</v>
      </c>
      <c r="C34" s="593" t="s">
        <v>459</v>
      </c>
      <c r="D34" s="603">
        <v>0.0</v>
      </c>
      <c r="E34" s="340">
        <f>358</f>
        <v>358</v>
      </c>
      <c r="F34" s="351">
        <v>0.0</v>
      </c>
      <c r="G34" s="604" t="str">
        <f t="shared" si="7"/>
        <v/>
      </c>
      <c r="H34" s="605"/>
      <c r="I34" s="608">
        <v>2.0</v>
      </c>
      <c r="J34" s="584"/>
      <c r="K34" s="596"/>
      <c r="L34" s="596"/>
      <c r="M34" s="596"/>
      <c r="N34" s="596"/>
      <c r="O34" s="596"/>
      <c r="P34" s="596"/>
      <c r="Q34" s="596"/>
      <c r="R34" s="596"/>
      <c r="S34" s="596"/>
      <c r="T34" s="596"/>
      <c r="U34" s="596"/>
      <c r="V34" s="596"/>
      <c r="W34" s="596"/>
      <c r="X34" s="596"/>
      <c r="Y34" s="596"/>
      <c r="Z34" s="596"/>
    </row>
    <row r="35">
      <c r="A35" s="349" t="s">
        <v>481</v>
      </c>
      <c r="B35" s="593" t="s">
        <v>482</v>
      </c>
      <c r="C35" s="593" t="s">
        <v>459</v>
      </c>
      <c r="D35" s="603">
        <v>17.0</v>
      </c>
      <c r="E35" s="340">
        <v>17.0</v>
      </c>
      <c r="F35" s="351">
        <v>17.0</v>
      </c>
      <c r="G35" s="604">
        <f t="shared" si="7"/>
        <v>0.000006705563752</v>
      </c>
      <c r="H35" s="605"/>
      <c r="I35" s="619">
        <v>17.0</v>
      </c>
      <c r="J35" s="584"/>
      <c r="K35" s="596"/>
      <c r="L35" s="596"/>
      <c r="M35" s="596"/>
      <c r="N35" s="596"/>
      <c r="O35" s="596"/>
      <c r="P35" s="596"/>
      <c r="Q35" s="596"/>
      <c r="R35" s="596"/>
      <c r="S35" s="596"/>
      <c r="T35" s="596"/>
      <c r="U35" s="596"/>
      <c r="V35" s="596"/>
      <c r="W35" s="596"/>
      <c r="X35" s="596"/>
      <c r="Y35" s="596"/>
      <c r="Z35" s="596"/>
    </row>
    <row r="36">
      <c r="A36" s="349" t="s">
        <v>483</v>
      </c>
      <c r="B36" s="593" t="s">
        <v>482</v>
      </c>
      <c r="C36" s="593" t="s">
        <v>459</v>
      </c>
      <c r="D36" s="603">
        <v>12.6</v>
      </c>
      <c r="E36" s="340">
        <v>10.0</v>
      </c>
      <c r="F36" s="351">
        <f>D36*1.01</f>
        <v>12.726</v>
      </c>
      <c r="G36" s="604">
        <f t="shared" si="7"/>
        <v>0.000005019706136</v>
      </c>
      <c r="H36" s="605"/>
      <c r="I36" s="608">
        <v>200.0</v>
      </c>
      <c r="J36" s="584">
        <f t="shared" ref="J36:J38" si="8">I36*1</f>
        <v>200</v>
      </c>
      <c r="K36" s="596"/>
      <c r="L36" s="596"/>
      <c r="M36" s="596"/>
      <c r="N36" s="596"/>
      <c r="O36" s="596"/>
      <c r="P36" s="596"/>
      <c r="Q36" s="596"/>
      <c r="R36" s="596"/>
      <c r="S36" s="596"/>
      <c r="T36" s="596"/>
      <c r="U36" s="596"/>
      <c r="V36" s="596"/>
      <c r="W36" s="596"/>
      <c r="X36" s="596"/>
      <c r="Y36" s="596"/>
      <c r="Z36" s="596"/>
    </row>
    <row r="37">
      <c r="A37" s="349" t="s">
        <v>484</v>
      </c>
      <c r="B37" s="593" t="s">
        <v>482</v>
      </c>
      <c r="C37" s="593" t="s">
        <v>459</v>
      </c>
      <c r="D37" s="603">
        <v>1.0</v>
      </c>
      <c r="E37" s="340">
        <v>100.0</v>
      </c>
      <c r="F37" s="351">
        <v>102.0</v>
      </c>
      <c r="G37" s="604">
        <f t="shared" si="7"/>
        <v>0.00004023338251</v>
      </c>
      <c r="H37" s="605"/>
      <c r="I37" s="608">
        <v>2000.0</v>
      </c>
      <c r="J37" s="584">
        <f t="shared" si="8"/>
        <v>2000</v>
      </c>
      <c r="K37" s="596"/>
      <c r="L37" s="596"/>
      <c r="M37" s="596"/>
      <c r="N37" s="596"/>
      <c r="O37" s="596"/>
      <c r="P37" s="596"/>
      <c r="Q37" s="596"/>
      <c r="R37" s="596"/>
      <c r="S37" s="596"/>
      <c r="T37" s="596"/>
      <c r="U37" s="596"/>
      <c r="V37" s="596"/>
      <c r="W37" s="596"/>
      <c r="X37" s="596"/>
      <c r="Y37" s="596"/>
      <c r="Z37" s="596"/>
    </row>
    <row r="38">
      <c r="A38" s="349" t="s">
        <v>485</v>
      </c>
      <c r="B38" s="593" t="s">
        <v>482</v>
      </c>
      <c r="C38" s="593" t="s">
        <v>459</v>
      </c>
      <c r="D38" s="603">
        <v>1766.0</v>
      </c>
      <c r="E38" s="340">
        <v>36.94</v>
      </c>
      <c r="F38" s="351">
        <v>0.0</v>
      </c>
      <c r="G38" s="604" t="str">
        <f t="shared" si="7"/>
        <v/>
      </c>
      <c r="H38" s="605"/>
      <c r="I38" s="608">
        <v>1000.0</v>
      </c>
      <c r="J38" s="584">
        <f t="shared" si="8"/>
        <v>1000</v>
      </c>
      <c r="K38" s="596"/>
      <c r="L38" s="596"/>
      <c r="M38" s="596"/>
      <c r="N38" s="596"/>
      <c r="O38" s="596"/>
      <c r="P38" s="596"/>
      <c r="Q38" s="596"/>
      <c r="R38" s="596"/>
      <c r="S38" s="596"/>
      <c r="T38" s="596"/>
      <c r="U38" s="596"/>
      <c r="V38" s="596"/>
      <c r="W38" s="596"/>
      <c r="X38" s="596"/>
      <c r="Y38" s="596"/>
      <c r="Z38" s="596"/>
    </row>
    <row r="39">
      <c r="A39" s="349" t="s">
        <v>486</v>
      </c>
      <c r="B39" s="593" t="s">
        <v>487</v>
      </c>
      <c r="C39" s="593" t="s">
        <v>459</v>
      </c>
      <c r="D39" s="593" t="s">
        <v>359</v>
      </c>
      <c r="E39" s="340">
        <v>116.0</v>
      </c>
      <c r="F39" s="351">
        <v>0.0</v>
      </c>
      <c r="G39" s="604" t="str">
        <f t="shared" si="7"/>
        <v/>
      </c>
      <c r="H39" s="605"/>
      <c r="I39" s="608">
        <v>500.0</v>
      </c>
      <c r="J39" s="584"/>
      <c r="K39" s="596"/>
      <c r="L39" s="596"/>
      <c r="M39" s="596"/>
      <c r="N39" s="596"/>
      <c r="O39" s="596"/>
      <c r="P39" s="596"/>
      <c r="Q39" s="596"/>
      <c r="R39" s="596"/>
      <c r="S39" s="596"/>
      <c r="T39" s="596"/>
      <c r="U39" s="596"/>
      <c r="V39" s="596"/>
      <c r="W39" s="596"/>
      <c r="X39" s="596"/>
      <c r="Y39" s="596"/>
      <c r="Z39" s="596"/>
    </row>
    <row r="40">
      <c r="A40" s="611"/>
      <c r="B40" s="593"/>
      <c r="C40" s="612"/>
      <c r="D40" s="612"/>
      <c r="E40" s="614"/>
      <c r="F40" s="615"/>
      <c r="G40" s="1036"/>
      <c r="H40" s="616"/>
      <c r="I40" s="617"/>
      <c r="J40" s="614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U40" s="618"/>
      <c r="V40" s="618"/>
      <c r="W40" s="618"/>
      <c r="X40" s="618"/>
      <c r="Y40" s="618"/>
      <c r="Z40" s="618"/>
    </row>
    <row r="41">
      <c r="A41" s="597" t="s">
        <v>787</v>
      </c>
      <c r="B41" s="598"/>
      <c r="C41" s="598"/>
      <c r="D41" s="598"/>
      <c r="E41" s="599"/>
      <c r="F41" s="599"/>
      <c r="G41" s="600"/>
      <c r="H41" s="600"/>
      <c r="I41" s="599"/>
      <c r="J41" s="599"/>
      <c r="K41" s="601"/>
      <c r="L41" s="596"/>
      <c r="M41" s="596"/>
      <c r="N41" s="596"/>
      <c r="O41" s="596"/>
      <c r="P41" s="596"/>
      <c r="Q41" s="596"/>
      <c r="R41" s="596"/>
      <c r="S41" s="596"/>
      <c r="T41" s="596"/>
      <c r="U41" s="596"/>
      <c r="V41" s="596"/>
      <c r="W41" s="596"/>
      <c r="X41" s="596"/>
      <c r="Y41" s="596"/>
      <c r="Z41" s="596"/>
    </row>
    <row r="42">
      <c r="A42" s="349" t="s">
        <v>788</v>
      </c>
      <c r="B42" s="593" t="s">
        <v>789</v>
      </c>
      <c r="C42" s="612"/>
      <c r="D42" s="612"/>
      <c r="E42" s="614"/>
      <c r="F42" s="615"/>
      <c r="G42" s="1036"/>
      <c r="H42" s="616"/>
      <c r="I42" s="617"/>
      <c r="J42" s="614"/>
      <c r="K42" s="618"/>
      <c r="L42" s="618"/>
      <c r="M42" s="618"/>
      <c r="N42" s="618"/>
      <c r="O42" s="618"/>
      <c r="P42" s="618"/>
      <c r="Q42" s="618"/>
      <c r="R42" s="618"/>
      <c r="S42" s="618"/>
      <c r="T42" s="618"/>
      <c r="U42" s="618"/>
      <c r="V42" s="618"/>
      <c r="W42" s="618"/>
      <c r="X42" s="618"/>
      <c r="Y42" s="618"/>
      <c r="Z42" s="618"/>
    </row>
    <row r="43">
      <c r="A43" s="349" t="s">
        <v>420</v>
      </c>
      <c r="B43" s="593" t="s">
        <v>789</v>
      </c>
      <c r="C43" s="612"/>
      <c r="D43" s="612"/>
      <c r="E43" s="614"/>
      <c r="F43" s="615"/>
      <c r="G43" s="1036"/>
      <c r="H43" s="616"/>
      <c r="I43" s="617"/>
      <c r="J43" s="614"/>
      <c r="K43" s="618"/>
      <c r="L43" s="618"/>
      <c r="M43" s="618"/>
      <c r="N43" s="618"/>
      <c r="O43" s="618"/>
      <c r="P43" s="618"/>
      <c r="Q43" s="618"/>
      <c r="R43" s="618"/>
      <c r="S43" s="618"/>
      <c r="T43" s="618"/>
      <c r="U43" s="618"/>
      <c r="V43" s="618"/>
      <c r="W43" s="618"/>
      <c r="X43" s="618"/>
      <c r="Y43" s="618"/>
      <c r="Z43" s="618"/>
    </row>
    <row r="44">
      <c r="A44" s="349" t="s">
        <v>493</v>
      </c>
      <c r="B44" s="593" t="s">
        <v>789</v>
      </c>
      <c r="C44" s="612"/>
      <c r="D44" s="612"/>
      <c r="E44" s="614"/>
      <c r="F44" s="615"/>
      <c r="G44" s="1036"/>
      <c r="H44" s="616"/>
      <c r="I44" s="617"/>
      <c r="J44" s="614"/>
      <c r="K44" s="618"/>
      <c r="L44" s="618"/>
      <c r="M44" s="618"/>
      <c r="N44" s="618"/>
      <c r="O44" s="618"/>
      <c r="P44" s="618"/>
      <c r="Q44" s="618"/>
      <c r="R44" s="618"/>
      <c r="S44" s="618"/>
      <c r="T44" s="618"/>
      <c r="U44" s="618"/>
      <c r="V44" s="618"/>
      <c r="W44" s="618"/>
      <c r="X44" s="618"/>
      <c r="Y44" s="618"/>
      <c r="Z44" s="618"/>
    </row>
    <row r="45">
      <c r="A45" s="349" t="s">
        <v>984</v>
      </c>
      <c r="B45" s="593" t="s">
        <v>789</v>
      </c>
      <c r="C45" s="612"/>
      <c r="D45" s="612"/>
      <c r="E45" s="614"/>
      <c r="F45" s="615"/>
      <c r="G45" s="1036"/>
      <c r="H45" s="616"/>
      <c r="I45" s="617"/>
      <c r="J45" s="614"/>
      <c r="K45" s="618"/>
      <c r="L45" s="618"/>
      <c r="M45" s="618"/>
      <c r="N45" s="618"/>
      <c r="O45" s="618"/>
      <c r="P45" s="618"/>
      <c r="Q45" s="618"/>
      <c r="R45" s="618"/>
      <c r="S45" s="618"/>
      <c r="T45" s="618"/>
      <c r="U45" s="618"/>
      <c r="V45" s="618"/>
      <c r="W45" s="618"/>
      <c r="X45" s="618"/>
      <c r="Y45" s="618"/>
      <c r="Z45" s="618"/>
    </row>
    <row r="46">
      <c r="A46" s="349" t="s">
        <v>494</v>
      </c>
      <c r="B46" s="593" t="s">
        <v>789</v>
      </c>
      <c r="C46" s="612"/>
      <c r="D46" s="612"/>
      <c r="E46" s="614"/>
      <c r="F46" s="615"/>
      <c r="G46" s="1036"/>
      <c r="H46" s="616"/>
      <c r="I46" s="617"/>
      <c r="J46" s="614"/>
      <c r="K46" s="618"/>
      <c r="L46" s="618"/>
      <c r="M46" s="618"/>
      <c r="N46" s="618"/>
      <c r="O46" s="618"/>
      <c r="P46" s="618"/>
      <c r="Q46" s="618"/>
      <c r="R46" s="618"/>
      <c r="S46" s="618"/>
      <c r="T46" s="618"/>
      <c r="U46" s="618"/>
      <c r="V46" s="618"/>
      <c r="W46" s="618"/>
      <c r="X46" s="618"/>
      <c r="Y46" s="618"/>
      <c r="Z46" s="618"/>
    </row>
    <row r="47">
      <c r="A47" s="349"/>
      <c r="B47" s="593"/>
      <c r="C47" s="612"/>
      <c r="D47" s="612"/>
      <c r="E47" s="614"/>
      <c r="F47" s="615"/>
      <c r="G47" s="1036"/>
      <c r="H47" s="616"/>
      <c r="I47" s="617"/>
      <c r="J47" s="614"/>
      <c r="K47" s="618"/>
      <c r="L47" s="618"/>
      <c r="M47" s="618"/>
      <c r="N47" s="618"/>
      <c r="O47" s="618"/>
      <c r="P47" s="618"/>
      <c r="Q47" s="618"/>
      <c r="R47" s="618"/>
      <c r="S47" s="618"/>
      <c r="T47" s="618"/>
      <c r="U47" s="618"/>
      <c r="V47" s="618"/>
      <c r="W47" s="618"/>
      <c r="X47" s="618"/>
      <c r="Y47" s="618"/>
      <c r="Z47" s="618"/>
    </row>
    <row r="48">
      <c r="A48" s="597" t="s">
        <v>791</v>
      </c>
      <c r="B48" s="598"/>
      <c r="C48" s="598"/>
      <c r="D48" s="598"/>
      <c r="E48" s="599"/>
      <c r="F48" s="599"/>
      <c r="G48" s="600"/>
      <c r="H48" s="600"/>
      <c r="I48" s="599"/>
      <c r="J48" s="599"/>
      <c r="K48" s="601"/>
      <c r="L48" s="596"/>
      <c r="M48" s="596"/>
      <c r="N48" s="596"/>
      <c r="O48" s="596"/>
      <c r="P48" s="596"/>
      <c r="Q48" s="596"/>
      <c r="R48" s="596"/>
      <c r="S48" s="596"/>
      <c r="T48" s="596"/>
      <c r="U48" s="596"/>
      <c r="V48" s="596"/>
      <c r="W48" s="596"/>
      <c r="X48" s="596"/>
      <c r="Y48" s="596"/>
      <c r="Z48" s="596"/>
    </row>
    <row r="49">
      <c r="A49" s="349" t="s">
        <v>496</v>
      </c>
      <c r="B49" s="593" t="s">
        <v>456</v>
      </c>
      <c r="C49" s="612"/>
      <c r="D49" s="612"/>
      <c r="E49" s="614"/>
      <c r="F49" s="615"/>
      <c r="G49" s="1036"/>
      <c r="H49" s="616"/>
      <c r="I49" s="617"/>
      <c r="J49" s="614"/>
      <c r="K49" s="618"/>
      <c r="L49" s="618"/>
      <c r="M49" s="618"/>
      <c r="N49" s="618"/>
      <c r="O49" s="618"/>
      <c r="P49" s="618"/>
      <c r="Q49" s="618"/>
      <c r="R49" s="618"/>
      <c r="S49" s="618"/>
      <c r="T49" s="618"/>
      <c r="U49" s="618"/>
      <c r="V49" s="618"/>
      <c r="W49" s="618"/>
      <c r="X49" s="618"/>
      <c r="Y49" s="618"/>
      <c r="Z49" s="618"/>
    </row>
    <row r="50">
      <c r="A50" s="349" t="s">
        <v>496</v>
      </c>
      <c r="B50" s="593" t="s">
        <v>456</v>
      </c>
      <c r="C50" s="612"/>
      <c r="D50" s="612"/>
      <c r="E50" s="614"/>
      <c r="F50" s="615"/>
      <c r="G50" s="1036"/>
      <c r="H50" s="616"/>
      <c r="I50" s="617"/>
      <c r="J50" s="614"/>
      <c r="K50" s="618"/>
      <c r="L50" s="618"/>
      <c r="M50" s="618"/>
      <c r="N50" s="618"/>
      <c r="O50" s="618"/>
      <c r="P50" s="618"/>
      <c r="Q50" s="618"/>
      <c r="R50" s="618"/>
      <c r="S50" s="618"/>
      <c r="T50" s="618"/>
      <c r="U50" s="618"/>
      <c r="V50" s="618"/>
      <c r="W50" s="618"/>
      <c r="X50" s="618"/>
      <c r="Y50" s="618"/>
      <c r="Z50" s="618"/>
    </row>
    <row r="51">
      <c r="A51" s="349"/>
      <c r="B51" s="593"/>
      <c r="C51" s="612"/>
      <c r="D51" s="612"/>
      <c r="E51" s="614"/>
      <c r="F51" s="615"/>
      <c r="G51" s="1036"/>
      <c r="H51" s="616"/>
      <c r="I51" s="617"/>
      <c r="J51" s="614"/>
      <c r="K51" s="618"/>
      <c r="L51" s="618"/>
      <c r="M51" s="618"/>
      <c r="N51" s="618"/>
      <c r="O51" s="618"/>
      <c r="P51" s="618"/>
      <c r="Q51" s="618"/>
      <c r="R51" s="618"/>
      <c r="S51" s="618"/>
      <c r="T51" s="618"/>
      <c r="U51" s="618"/>
      <c r="V51" s="618"/>
      <c r="W51" s="618"/>
      <c r="X51" s="618"/>
      <c r="Y51" s="618"/>
      <c r="Z51" s="618"/>
    </row>
    <row r="52">
      <c r="A52" s="597" t="s">
        <v>985</v>
      </c>
      <c r="B52" s="598"/>
      <c r="C52" s="598"/>
      <c r="D52" s="598"/>
      <c r="E52" s="599"/>
      <c r="F52" s="599"/>
      <c r="G52" s="600"/>
      <c r="H52" s="600"/>
      <c r="I52" s="599"/>
      <c r="J52" s="599"/>
      <c r="K52" s="601"/>
      <c r="L52" s="596"/>
      <c r="M52" s="596"/>
      <c r="N52" s="596"/>
      <c r="O52" s="596"/>
      <c r="P52" s="596"/>
      <c r="Q52" s="596"/>
      <c r="R52" s="596"/>
      <c r="S52" s="596"/>
      <c r="T52" s="596"/>
      <c r="U52" s="596"/>
      <c r="V52" s="596"/>
      <c r="W52" s="596"/>
      <c r="X52" s="596"/>
      <c r="Y52" s="596"/>
      <c r="Z52" s="596"/>
    </row>
    <row r="53">
      <c r="A53" s="349" t="s">
        <v>498</v>
      </c>
      <c r="B53" s="593" t="s">
        <v>499</v>
      </c>
      <c r="C53" s="620"/>
      <c r="D53" s="621">
        <v>0.0</v>
      </c>
      <c r="E53" s="594">
        <v>0.0</v>
      </c>
      <c r="F53" s="594">
        <v>0.0</v>
      </c>
      <c r="G53" s="604" t="str">
        <f t="shared" ref="G53:G62" si="9">IF(F53&gt;0,F53/SUM($F$53:$F$61), "")</f>
        <v/>
      </c>
      <c r="H53" s="594"/>
      <c r="I53" s="584"/>
      <c r="J53" s="584"/>
      <c r="K53" s="596"/>
      <c r="L53" s="596"/>
      <c r="M53" s="596"/>
      <c r="N53" s="596"/>
      <c r="O53" s="596"/>
      <c r="P53" s="596"/>
      <c r="Q53" s="596"/>
      <c r="R53" s="596"/>
      <c r="S53" s="596"/>
      <c r="T53" s="596"/>
      <c r="U53" s="596"/>
      <c r="V53" s="596"/>
      <c r="W53" s="596"/>
      <c r="X53" s="596"/>
      <c r="Y53" s="596"/>
      <c r="Z53" s="596"/>
    </row>
    <row r="54">
      <c r="A54" s="349" t="s">
        <v>500</v>
      </c>
      <c r="B54" s="593" t="s">
        <v>499</v>
      </c>
      <c r="C54" s="620"/>
      <c r="D54" s="621">
        <v>2.0</v>
      </c>
      <c r="E54" s="594">
        <v>3000.0</v>
      </c>
      <c r="F54" s="340">
        <f>E54*2</f>
        <v>6000</v>
      </c>
      <c r="G54" s="604">
        <f t="shared" si="9"/>
        <v>0.3550295858</v>
      </c>
      <c r="H54" s="582"/>
      <c r="I54" s="584"/>
      <c r="J54" s="584"/>
      <c r="K54" s="596"/>
      <c r="L54" s="596"/>
      <c r="M54" s="596"/>
      <c r="N54" s="596"/>
      <c r="O54" s="596"/>
      <c r="P54" s="596"/>
      <c r="Q54" s="596"/>
      <c r="R54" s="596"/>
      <c r="S54" s="596"/>
      <c r="T54" s="596"/>
      <c r="U54" s="596"/>
      <c r="V54" s="596"/>
      <c r="W54" s="596"/>
      <c r="X54" s="596"/>
      <c r="Y54" s="596"/>
      <c r="Z54" s="596"/>
    </row>
    <row r="55">
      <c r="A55" s="349" t="s">
        <v>501</v>
      </c>
      <c r="B55" s="593" t="s">
        <v>499</v>
      </c>
      <c r="C55" s="620"/>
      <c r="D55" s="621">
        <v>2.0</v>
      </c>
      <c r="E55" s="594">
        <v>1000.0</v>
      </c>
      <c r="F55" s="340">
        <f t="shared" ref="F55:F57" si="10">E55</f>
        <v>1000</v>
      </c>
      <c r="G55" s="604">
        <f t="shared" si="9"/>
        <v>0.05917159763</v>
      </c>
      <c r="H55" s="582"/>
      <c r="I55" s="584"/>
      <c r="J55" s="584"/>
      <c r="K55" s="596"/>
      <c r="L55" s="596"/>
      <c r="M55" s="596"/>
      <c r="N55" s="596"/>
      <c r="O55" s="596"/>
      <c r="P55" s="596"/>
      <c r="Q55" s="596"/>
      <c r="R55" s="596"/>
      <c r="S55" s="596"/>
      <c r="T55" s="596"/>
      <c r="U55" s="596"/>
      <c r="V55" s="596"/>
      <c r="W55" s="596"/>
      <c r="X55" s="596"/>
      <c r="Y55" s="596"/>
      <c r="Z55" s="596"/>
    </row>
    <row r="56">
      <c r="A56" s="349" t="s">
        <v>502</v>
      </c>
      <c r="B56" s="593" t="s">
        <v>499</v>
      </c>
      <c r="C56" s="620"/>
      <c r="D56" s="621">
        <v>2.0</v>
      </c>
      <c r="E56" s="594">
        <v>1200.0</v>
      </c>
      <c r="F56" s="340">
        <f t="shared" si="10"/>
        <v>1200</v>
      </c>
      <c r="G56" s="604">
        <f t="shared" si="9"/>
        <v>0.07100591716</v>
      </c>
      <c r="H56" s="582"/>
      <c r="I56" s="584"/>
      <c r="J56" s="584"/>
      <c r="K56" s="596"/>
      <c r="L56" s="596"/>
      <c r="M56" s="596"/>
      <c r="N56" s="596"/>
      <c r="O56" s="596"/>
      <c r="P56" s="596"/>
      <c r="Q56" s="596"/>
      <c r="R56" s="596"/>
      <c r="S56" s="596"/>
      <c r="T56" s="596"/>
      <c r="U56" s="596"/>
      <c r="V56" s="596"/>
      <c r="W56" s="596"/>
      <c r="X56" s="596"/>
      <c r="Y56" s="596"/>
      <c r="Z56" s="596"/>
    </row>
    <row r="57">
      <c r="A57" s="349" t="s">
        <v>503</v>
      </c>
      <c r="B57" s="593" t="s">
        <v>499</v>
      </c>
      <c r="C57" s="620"/>
      <c r="D57" s="621">
        <v>3.0</v>
      </c>
      <c r="E57" s="594">
        <f>8000</f>
        <v>8000</v>
      </c>
      <c r="F57" s="340">
        <f t="shared" si="10"/>
        <v>8000</v>
      </c>
      <c r="G57" s="604">
        <f t="shared" si="9"/>
        <v>0.4733727811</v>
      </c>
      <c r="H57" s="582"/>
      <c r="I57" s="584"/>
      <c r="J57" s="584"/>
      <c r="K57" s="596"/>
      <c r="L57" s="596"/>
      <c r="M57" s="596"/>
      <c r="N57" s="596"/>
      <c r="O57" s="596"/>
      <c r="P57" s="596"/>
      <c r="Q57" s="596"/>
      <c r="R57" s="596"/>
      <c r="S57" s="596"/>
      <c r="T57" s="596"/>
      <c r="U57" s="596"/>
      <c r="V57" s="596"/>
      <c r="W57" s="596"/>
      <c r="X57" s="596"/>
      <c r="Y57" s="596"/>
      <c r="Z57" s="596"/>
    </row>
    <row r="58">
      <c r="A58" s="349" t="s">
        <v>504</v>
      </c>
      <c r="B58" s="593" t="s">
        <v>499</v>
      </c>
      <c r="C58" s="620"/>
      <c r="D58" s="621">
        <v>0.0</v>
      </c>
      <c r="E58" s="594">
        <v>0.0</v>
      </c>
      <c r="F58" s="594">
        <v>0.0</v>
      </c>
      <c r="G58" s="604" t="str">
        <f t="shared" si="9"/>
        <v/>
      </c>
      <c r="H58" s="582"/>
      <c r="I58" s="584"/>
      <c r="J58" s="584"/>
      <c r="K58" s="596"/>
      <c r="L58" s="596"/>
      <c r="M58" s="596"/>
      <c r="N58" s="596"/>
      <c r="O58" s="596"/>
      <c r="P58" s="596"/>
      <c r="Q58" s="596"/>
      <c r="R58" s="596"/>
      <c r="S58" s="596"/>
      <c r="T58" s="596"/>
      <c r="U58" s="596"/>
      <c r="V58" s="596"/>
      <c r="W58" s="596"/>
      <c r="X58" s="596"/>
      <c r="Y58" s="596"/>
      <c r="Z58" s="596"/>
    </row>
    <row r="59">
      <c r="A59" s="349" t="s">
        <v>505</v>
      </c>
      <c r="B59" s="593" t="s">
        <v>499</v>
      </c>
      <c r="C59" s="620"/>
      <c r="D59" s="621">
        <v>0.0</v>
      </c>
      <c r="E59" s="594">
        <v>0.0</v>
      </c>
      <c r="F59" s="594">
        <v>0.0</v>
      </c>
      <c r="G59" s="604" t="str">
        <f t="shared" si="9"/>
        <v/>
      </c>
      <c r="H59" s="582"/>
      <c r="I59" s="584"/>
      <c r="J59" s="584"/>
      <c r="K59" s="596"/>
      <c r="L59" s="596"/>
      <c r="M59" s="596"/>
      <c r="N59" s="596"/>
      <c r="O59" s="596"/>
      <c r="P59" s="596"/>
      <c r="Q59" s="596"/>
      <c r="R59" s="596"/>
      <c r="S59" s="596"/>
      <c r="T59" s="596"/>
      <c r="U59" s="596"/>
      <c r="V59" s="596"/>
      <c r="W59" s="596"/>
      <c r="X59" s="596"/>
      <c r="Y59" s="596"/>
      <c r="Z59" s="596"/>
    </row>
    <row r="60">
      <c r="A60" s="349" t="s">
        <v>506</v>
      </c>
      <c r="B60" s="593" t="s">
        <v>499</v>
      </c>
      <c r="C60" s="620"/>
      <c r="D60" s="621">
        <v>1.0</v>
      </c>
      <c r="E60" s="594">
        <v>300.0</v>
      </c>
      <c r="F60" s="340">
        <f t="shared" ref="F60:F61" si="11">E60</f>
        <v>300</v>
      </c>
      <c r="G60" s="604">
        <f t="shared" si="9"/>
        <v>0.01775147929</v>
      </c>
      <c r="H60" s="582"/>
      <c r="I60" s="584"/>
      <c r="J60" s="584"/>
      <c r="K60" s="596"/>
      <c r="L60" s="596"/>
      <c r="M60" s="596"/>
      <c r="N60" s="596"/>
      <c r="O60" s="596"/>
      <c r="P60" s="596"/>
      <c r="Q60" s="596"/>
      <c r="R60" s="596"/>
      <c r="S60" s="596"/>
      <c r="T60" s="596"/>
      <c r="U60" s="596"/>
      <c r="V60" s="596"/>
      <c r="W60" s="596"/>
      <c r="X60" s="596"/>
      <c r="Y60" s="596"/>
      <c r="Z60" s="596"/>
    </row>
    <row r="61">
      <c r="A61" s="349" t="s">
        <v>507</v>
      </c>
      <c r="B61" s="593" t="s">
        <v>499</v>
      </c>
      <c r="C61" s="620"/>
      <c r="D61" s="621">
        <v>1.0</v>
      </c>
      <c r="E61" s="594">
        <v>400.0</v>
      </c>
      <c r="F61" s="340">
        <f t="shared" si="11"/>
        <v>400</v>
      </c>
      <c r="G61" s="604">
        <f t="shared" si="9"/>
        <v>0.02366863905</v>
      </c>
      <c r="H61" s="582"/>
      <c r="I61" s="584"/>
      <c r="J61" s="584"/>
      <c r="K61" s="596"/>
      <c r="L61" s="596"/>
      <c r="M61" s="596"/>
      <c r="N61" s="596"/>
      <c r="O61" s="596"/>
      <c r="P61" s="596"/>
      <c r="Q61" s="596"/>
      <c r="R61" s="596"/>
      <c r="S61" s="596"/>
      <c r="T61" s="596"/>
      <c r="U61" s="596"/>
      <c r="V61" s="596"/>
      <c r="W61" s="596"/>
      <c r="X61" s="596"/>
      <c r="Y61" s="596"/>
      <c r="Z61" s="596"/>
    </row>
    <row r="62">
      <c r="A62" s="349"/>
      <c r="B62" s="620"/>
      <c r="C62" s="620"/>
      <c r="D62" s="621"/>
      <c r="E62" s="594"/>
      <c r="F62" s="340"/>
      <c r="G62" s="604" t="str">
        <f t="shared" si="9"/>
        <v/>
      </c>
      <c r="H62" s="582"/>
      <c r="I62" s="584"/>
      <c r="J62" s="584"/>
      <c r="K62" s="596"/>
      <c r="L62" s="596"/>
      <c r="M62" s="596"/>
      <c r="N62" s="596"/>
      <c r="O62" s="596"/>
      <c r="P62" s="596"/>
      <c r="Q62" s="596"/>
      <c r="R62" s="596"/>
      <c r="S62" s="596"/>
      <c r="T62" s="596"/>
      <c r="U62" s="596"/>
      <c r="V62" s="596"/>
      <c r="W62" s="596"/>
      <c r="X62" s="596"/>
      <c r="Y62" s="596"/>
      <c r="Z62" s="596"/>
    </row>
    <row r="63">
      <c r="A63" s="622"/>
      <c r="B63" s="623"/>
      <c r="C63" s="623"/>
      <c r="D63" s="623"/>
      <c r="E63" s="624">
        <f t="shared" ref="E63:G63" si="12">sum(E53:E61 )</f>
        <v>13900</v>
      </c>
      <c r="F63" s="624">
        <f t="shared" si="12"/>
        <v>16900</v>
      </c>
      <c r="G63" s="625">
        <f t="shared" si="12"/>
        <v>1</v>
      </c>
      <c r="H63" s="625"/>
      <c r="I63" s="624"/>
      <c r="J63" s="624">
        <f>sum(J11:J28 )</f>
        <v>495780</v>
      </c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Y63" s="592"/>
      <c r="Z63" s="592"/>
    </row>
    <row r="64">
      <c r="A64" s="626"/>
      <c r="B64" s="620"/>
      <c r="C64" s="620"/>
      <c r="D64" s="620"/>
      <c r="E64" s="594"/>
      <c r="F64" s="340"/>
      <c r="G64" s="582"/>
      <c r="H64" s="582"/>
      <c r="I64" s="594"/>
      <c r="J64" s="340"/>
      <c r="K64" s="627"/>
      <c r="L64" s="627"/>
      <c r="M64" s="627"/>
      <c r="N64" s="627"/>
      <c r="O64" s="627"/>
      <c r="P64" s="627"/>
      <c r="Q64" s="627"/>
      <c r="R64" s="627"/>
      <c r="S64" s="627"/>
      <c r="T64" s="627"/>
      <c r="U64" s="627"/>
      <c r="V64" s="627"/>
      <c r="W64" s="627"/>
      <c r="X64" s="627"/>
      <c r="Y64" s="627"/>
      <c r="Z64" s="627"/>
    </row>
    <row r="65">
      <c r="A65" s="597" t="s">
        <v>986</v>
      </c>
      <c r="B65" s="598"/>
      <c r="C65" s="598"/>
      <c r="D65" s="598"/>
      <c r="E65" s="628"/>
      <c r="F65" s="599"/>
      <c r="G65" s="629"/>
      <c r="H65" s="629"/>
      <c r="I65" s="599"/>
      <c r="J65" s="599"/>
      <c r="K65" s="601"/>
      <c r="L65" s="596"/>
      <c r="M65" s="596"/>
      <c r="N65" s="596"/>
      <c r="O65" s="596"/>
      <c r="P65" s="596"/>
      <c r="Q65" s="596"/>
      <c r="R65" s="596"/>
      <c r="S65" s="596"/>
      <c r="T65" s="596"/>
      <c r="U65" s="596"/>
      <c r="V65" s="596"/>
      <c r="W65" s="596"/>
      <c r="X65" s="596"/>
      <c r="Y65" s="596"/>
      <c r="Z65" s="596"/>
    </row>
    <row r="66">
      <c r="A66" s="110" t="s">
        <v>513</v>
      </c>
      <c r="B66" s="593" t="s">
        <v>510</v>
      </c>
      <c r="C66" s="593" t="s">
        <v>45</v>
      </c>
      <c r="D66" s="1037">
        <v>17.0</v>
      </c>
      <c r="E66" s="594">
        <f>D66*330</f>
        <v>5610</v>
      </c>
      <c r="F66" s="340">
        <f>D66*196</f>
        <v>3332</v>
      </c>
      <c r="G66" s="1038">
        <f t="shared" ref="G66:G80" si="13">IF(F66&gt;0,F66/SUM($F$66:$F$87), "")</f>
        <v>0.880511235</v>
      </c>
      <c r="H66" s="582"/>
      <c r="I66" s="594"/>
      <c r="J66" s="594"/>
      <c r="K66" s="631"/>
      <c r="L66" s="631"/>
      <c r="M66" s="631"/>
      <c r="N66" s="631"/>
      <c r="O66" s="631"/>
      <c r="P66" s="631"/>
      <c r="Q66" s="631"/>
      <c r="R66" s="631"/>
      <c r="S66" s="631"/>
      <c r="T66" s="631"/>
      <c r="U66" s="631"/>
      <c r="V66" s="631"/>
      <c r="W66" s="631"/>
      <c r="X66" s="631"/>
      <c r="Y66" s="631"/>
      <c r="Z66" s="631"/>
    </row>
    <row r="67">
      <c r="A67" s="110" t="s">
        <v>512</v>
      </c>
      <c r="B67" s="593" t="s">
        <v>510</v>
      </c>
      <c r="C67" s="593" t="s">
        <v>45</v>
      </c>
      <c r="D67" s="1037">
        <v>2.0</v>
      </c>
      <c r="E67" s="594">
        <f>9*D67</f>
        <v>18</v>
      </c>
      <c r="F67" s="340">
        <f>D67*56.77</f>
        <v>113.54</v>
      </c>
      <c r="G67" s="1038">
        <f t="shared" si="13"/>
        <v>0.03000397528</v>
      </c>
      <c r="H67" s="582"/>
      <c r="I67" s="594"/>
      <c r="J67" s="594"/>
      <c r="K67" s="631"/>
      <c r="L67" s="631"/>
      <c r="M67" s="631"/>
      <c r="N67" s="631"/>
      <c r="O67" s="631"/>
      <c r="P67" s="631"/>
      <c r="Q67" s="631"/>
      <c r="R67" s="631"/>
      <c r="S67" s="631"/>
      <c r="T67" s="631"/>
      <c r="U67" s="631"/>
      <c r="V67" s="631"/>
      <c r="W67" s="631"/>
      <c r="X67" s="631"/>
      <c r="Y67" s="631"/>
      <c r="Z67" s="631"/>
    </row>
    <row r="68">
      <c r="A68" s="110" t="s">
        <v>514</v>
      </c>
      <c r="B68" s="593" t="s">
        <v>510</v>
      </c>
      <c r="C68" s="593" t="s">
        <v>45</v>
      </c>
      <c r="D68" s="1037">
        <v>2.0</v>
      </c>
      <c r="E68" s="594">
        <v>0.0</v>
      </c>
      <c r="F68" s="340">
        <f>D68*43.69</f>
        <v>87.38</v>
      </c>
      <c r="G68" s="1038">
        <f t="shared" si="13"/>
        <v>0.0230909579</v>
      </c>
      <c r="H68" s="582"/>
      <c r="I68" s="594"/>
      <c r="J68" s="594"/>
      <c r="K68" s="631"/>
      <c r="L68" s="631"/>
      <c r="M68" s="631"/>
      <c r="N68" s="631"/>
      <c r="O68" s="631"/>
      <c r="P68" s="631"/>
      <c r="Q68" s="631"/>
      <c r="R68" s="631"/>
      <c r="S68" s="631"/>
      <c r="T68" s="631"/>
      <c r="U68" s="631"/>
      <c r="V68" s="631"/>
      <c r="W68" s="631"/>
      <c r="X68" s="631"/>
      <c r="Y68" s="631"/>
      <c r="Z68" s="631"/>
    </row>
    <row r="69">
      <c r="A69" s="110" t="s">
        <v>515</v>
      </c>
      <c r="B69" s="593" t="s">
        <v>510</v>
      </c>
      <c r="C69" s="593" t="s">
        <v>45</v>
      </c>
      <c r="D69" s="1037">
        <v>4.0</v>
      </c>
      <c r="E69" s="594">
        <f>D69*13.04</f>
        <v>52.16</v>
      </c>
      <c r="F69" s="594">
        <f>$D$69*13.04</f>
        <v>52.16</v>
      </c>
      <c r="G69" s="1038">
        <f t="shared" si="13"/>
        <v>0.01378375331</v>
      </c>
      <c r="H69" s="582"/>
      <c r="I69" s="594"/>
      <c r="J69" s="594"/>
      <c r="K69" s="631"/>
      <c r="L69" s="631"/>
      <c r="M69" s="631"/>
      <c r="N69" s="631"/>
      <c r="O69" s="631"/>
      <c r="P69" s="631"/>
      <c r="Q69" s="631"/>
      <c r="R69" s="631"/>
      <c r="S69" s="631"/>
      <c r="T69" s="631"/>
      <c r="U69" s="631"/>
      <c r="V69" s="631"/>
      <c r="W69" s="631"/>
      <c r="X69" s="631"/>
      <c r="Y69" s="631"/>
      <c r="Z69" s="631"/>
    </row>
    <row r="70">
      <c r="A70" s="471" t="s">
        <v>516</v>
      </c>
      <c r="B70" s="593" t="s">
        <v>510</v>
      </c>
      <c r="C70" s="593" t="s">
        <v>45</v>
      </c>
      <c r="D70" s="1037">
        <v>0.077</v>
      </c>
      <c r="E70" s="594">
        <v>0.0</v>
      </c>
      <c r="F70" s="594">
        <f>D70*469.5</f>
        <v>36.1515</v>
      </c>
      <c r="G70" s="1038">
        <f t="shared" si="13"/>
        <v>0.009553361918</v>
      </c>
      <c r="H70" s="582"/>
      <c r="I70" s="594"/>
      <c r="J70" s="594"/>
      <c r="K70" s="631"/>
      <c r="L70" s="631"/>
      <c r="M70" s="631"/>
      <c r="N70" s="631"/>
      <c r="O70" s="631"/>
      <c r="P70" s="631"/>
      <c r="Q70" s="631"/>
      <c r="R70" s="631"/>
      <c r="S70" s="631"/>
      <c r="T70" s="631"/>
      <c r="U70" s="631"/>
      <c r="V70" s="631"/>
      <c r="W70" s="631"/>
      <c r="X70" s="631"/>
      <c r="Y70" s="631"/>
      <c r="Z70" s="631"/>
    </row>
    <row r="71">
      <c r="A71" s="110" t="s">
        <v>517</v>
      </c>
      <c r="B71" s="593" t="s">
        <v>510</v>
      </c>
      <c r="C71" s="593" t="s">
        <v>45</v>
      </c>
      <c r="D71" s="1037">
        <v>0.109</v>
      </c>
      <c r="E71" s="594">
        <v>0.0</v>
      </c>
      <c r="F71" s="594">
        <f>D71*272.97</f>
        <v>29.75373</v>
      </c>
      <c r="G71" s="1038">
        <f t="shared" si="13"/>
        <v>0.007862693141</v>
      </c>
      <c r="H71" s="582"/>
      <c r="I71" s="594"/>
      <c r="J71" s="594"/>
      <c r="K71" s="631"/>
      <c r="L71" s="631"/>
      <c r="M71" s="631"/>
      <c r="N71" s="631"/>
      <c r="O71" s="631"/>
      <c r="P71" s="631"/>
      <c r="Q71" s="631"/>
      <c r="R71" s="631"/>
      <c r="S71" s="631"/>
      <c r="T71" s="631"/>
      <c r="U71" s="631"/>
      <c r="V71" s="631"/>
      <c r="W71" s="631"/>
      <c r="X71" s="631"/>
      <c r="Y71" s="631"/>
      <c r="Z71" s="631"/>
    </row>
    <row r="72">
      <c r="A72" s="110" t="s">
        <v>518</v>
      </c>
      <c r="B72" s="593" t="s">
        <v>510</v>
      </c>
      <c r="C72" s="593" t="s">
        <v>45</v>
      </c>
      <c r="D72" s="1037">
        <v>0.0</v>
      </c>
      <c r="E72" s="594">
        <v>0.0</v>
      </c>
      <c r="F72" s="340">
        <v>25.0</v>
      </c>
      <c r="G72" s="1038">
        <f t="shared" si="13"/>
        <v>0.006606476853</v>
      </c>
      <c r="H72" s="582"/>
      <c r="I72" s="594"/>
      <c r="J72" s="594"/>
      <c r="K72" s="631"/>
      <c r="L72" s="631"/>
      <c r="M72" s="631"/>
      <c r="N72" s="631"/>
      <c r="O72" s="631"/>
      <c r="P72" s="631"/>
      <c r="Q72" s="631"/>
      <c r="R72" s="631"/>
      <c r="S72" s="631"/>
      <c r="T72" s="631"/>
      <c r="U72" s="631"/>
      <c r="V72" s="631"/>
      <c r="W72" s="631"/>
      <c r="X72" s="631"/>
      <c r="Y72" s="631"/>
      <c r="Z72" s="631"/>
    </row>
    <row r="73">
      <c r="A73" s="110" t="s">
        <v>519</v>
      </c>
      <c r="B73" s="593" t="s">
        <v>510</v>
      </c>
      <c r="C73" s="593" t="s">
        <v>45</v>
      </c>
      <c r="D73" s="1037">
        <v>15.0</v>
      </c>
      <c r="E73" s="594">
        <v>80.0</v>
      </c>
      <c r="F73" s="340">
        <f>D73*5.54</f>
        <v>83.1</v>
      </c>
      <c r="G73" s="1038">
        <f t="shared" si="13"/>
        <v>0.02195992906</v>
      </c>
      <c r="H73" s="582"/>
      <c r="I73" s="594"/>
      <c r="J73" s="594"/>
      <c r="K73" s="631"/>
      <c r="L73" s="631"/>
      <c r="M73" s="631"/>
      <c r="N73" s="631"/>
      <c r="O73" s="631"/>
      <c r="P73" s="631"/>
      <c r="Q73" s="631"/>
      <c r="R73" s="631"/>
      <c r="S73" s="631"/>
      <c r="T73" s="631"/>
      <c r="U73" s="631"/>
      <c r="V73" s="631"/>
      <c r="W73" s="631"/>
      <c r="X73" s="631"/>
      <c r="Y73" s="631"/>
      <c r="Z73" s="631"/>
    </row>
    <row r="74">
      <c r="A74" s="110" t="s">
        <v>520</v>
      </c>
      <c r="B74" s="593" t="s">
        <v>510</v>
      </c>
      <c r="C74" s="593" t="s">
        <v>45</v>
      </c>
      <c r="D74" s="1037">
        <v>6.0</v>
      </c>
      <c r="E74" s="594">
        <v>20.0</v>
      </c>
      <c r="F74" s="340">
        <f>D74*4.18</f>
        <v>25.08</v>
      </c>
      <c r="G74" s="1038">
        <f t="shared" si="13"/>
        <v>0.006627617579</v>
      </c>
      <c r="H74" s="582"/>
      <c r="I74" s="594"/>
      <c r="J74" s="594"/>
      <c r="K74" s="631"/>
      <c r="L74" s="631"/>
      <c r="M74" s="631"/>
      <c r="N74" s="631"/>
      <c r="O74" s="631"/>
      <c r="P74" s="631"/>
      <c r="Q74" s="631"/>
      <c r="R74" s="631"/>
      <c r="S74" s="631"/>
      <c r="T74" s="631"/>
      <c r="U74" s="631"/>
      <c r="V74" s="631"/>
      <c r="W74" s="631"/>
      <c r="X74" s="631"/>
      <c r="Y74" s="631"/>
      <c r="Z74" s="631"/>
    </row>
    <row r="75">
      <c r="A75" s="471" t="s">
        <v>521</v>
      </c>
      <c r="B75" s="593" t="s">
        <v>510</v>
      </c>
      <c r="C75" s="593" t="s">
        <v>45</v>
      </c>
      <c r="D75" s="1037">
        <v>0.0</v>
      </c>
      <c r="E75" s="594">
        <v>0.0</v>
      </c>
      <c r="F75" s="594">
        <v>0.0</v>
      </c>
      <c r="G75" s="1038" t="str">
        <f t="shared" si="13"/>
        <v/>
      </c>
      <c r="H75" s="582"/>
      <c r="I75" s="594"/>
      <c r="J75" s="594"/>
      <c r="K75" s="631"/>
      <c r="L75" s="631"/>
      <c r="M75" s="631"/>
      <c r="N75" s="631"/>
      <c r="O75" s="631"/>
      <c r="P75" s="631"/>
      <c r="Q75" s="631"/>
      <c r="R75" s="631"/>
      <c r="S75" s="631"/>
      <c r="T75" s="631"/>
      <c r="U75" s="631"/>
      <c r="V75" s="631"/>
      <c r="W75" s="631"/>
      <c r="X75" s="631"/>
      <c r="Y75" s="631"/>
      <c r="Z75" s="631"/>
    </row>
    <row r="76">
      <c r="A76" s="471" t="s">
        <v>511</v>
      </c>
      <c r="B76" s="593" t="s">
        <v>510</v>
      </c>
      <c r="C76" s="593" t="s">
        <v>45</v>
      </c>
      <c r="D76" s="1037">
        <v>0.0</v>
      </c>
      <c r="E76" s="594">
        <v>0.0</v>
      </c>
      <c r="F76" s="594">
        <v>0.0</v>
      </c>
      <c r="G76" s="1038" t="str">
        <f t="shared" si="13"/>
        <v/>
      </c>
      <c r="H76" s="582"/>
      <c r="I76" s="594"/>
      <c r="J76" s="594"/>
      <c r="K76" s="631"/>
      <c r="L76" s="631"/>
      <c r="M76" s="631"/>
      <c r="N76" s="631"/>
      <c r="O76" s="631"/>
      <c r="P76" s="631"/>
      <c r="Q76" s="631"/>
      <c r="R76" s="631"/>
      <c r="S76" s="631"/>
      <c r="T76" s="631"/>
      <c r="U76" s="631"/>
      <c r="V76" s="631"/>
      <c r="W76" s="631"/>
      <c r="X76" s="631"/>
      <c r="Y76" s="631"/>
      <c r="Z76" s="631"/>
    </row>
    <row r="77">
      <c r="A77" s="110" t="s">
        <v>522</v>
      </c>
      <c r="B77" s="593" t="s">
        <v>510</v>
      </c>
      <c r="C77" s="593" t="s">
        <v>45</v>
      </c>
      <c r="D77" s="1037">
        <v>0.0</v>
      </c>
      <c r="E77" s="594">
        <v>0.0</v>
      </c>
      <c r="F77" s="594">
        <v>0.0</v>
      </c>
      <c r="G77" s="1038" t="str">
        <f t="shared" si="13"/>
        <v/>
      </c>
      <c r="H77" s="582"/>
      <c r="I77" s="594"/>
      <c r="J77" s="594"/>
      <c r="K77" s="631"/>
      <c r="L77" s="631"/>
      <c r="M77" s="631"/>
      <c r="N77" s="631"/>
      <c r="O77" s="631"/>
      <c r="P77" s="631"/>
      <c r="Q77" s="631"/>
      <c r="R77" s="631"/>
      <c r="S77" s="631"/>
      <c r="T77" s="631"/>
      <c r="U77" s="631"/>
      <c r="V77" s="631"/>
      <c r="W77" s="631"/>
      <c r="X77" s="631"/>
      <c r="Y77" s="631"/>
      <c r="Z77" s="631"/>
    </row>
    <row r="78">
      <c r="A78" s="110" t="s">
        <v>523</v>
      </c>
      <c r="B78" s="593" t="s">
        <v>510</v>
      </c>
      <c r="C78" s="593" t="s">
        <v>45</v>
      </c>
      <c r="D78" s="1037">
        <v>0.0</v>
      </c>
      <c r="E78" s="594">
        <v>0.0</v>
      </c>
      <c r="F78" s="594">
        <v>0.0</v>
      </c>
      <c r="G78" s="1038" t="str">
        <f t="shared" si="13"/>
        <v/>
      </c>
      <c r="H78" s="582"/>
      <c r="I78" s="594"/>
      <c r="J78" s="594"/>
      <c r="K78" s="631"/>
      <c r="L78" s="631"/>
      <c r="M78" s="631"/>
      <c r="N78" s="631"/>
      <c r="O78" s="631"/>
      <c r="P78" s="631"/>
      <c r="Q78" s="631"/>
      <c r="R78" s="631"/>
      <c r="S78" s="631"/>
      <c r="T78" s="631"/>
      <c r="U78" s="631"/>
      <c r="V78" s="631"/>
      <c r="W78" s="631"/>
      <c r="X78" s="631"/>
      <c r="Y78" s="631"/>
      <c r="Z78" s="631"/>
    </row>
    <row r="79">
      <c r="A79" s="110" t="s">
        <v>524</v>
      </c>
      <c r="B79" s="593" t="s">
        <v>510</v>
      </c>
      <c r="C79" s="593" t="s">
        <v>45</v>
      </c>
      <c r="D79" s="1037">
        <v>0.0</v>
      </c>
      <c r="E79" s="594">
        <v>0.0</v>
      </c>
      <c r="F79" s="594">
        <v>0.0</v>
      </c>
      <c r="G79" s="1038" t="str">
        <f t="shared" si="13"/>
        <v/>
      </c>
      <c r="H79" s="582"/>
      <c r="I79" s="594"/>
      <c r="J79" s="594"/>
      <c r="K79" s="631"/>
      <c r="L79" s="631"/>
      <c r="M79" s="631"/>
      <c r="N79" s="631"/>
      <c r="O79" s="631"/>
      <c r="P79" s="631"/>
      <c r="Q79" s="631"/>
      <c r="R79" s="631"/>
      <c r="S79" s="631"/>
      <c r="T79" s="631"/>
      <c r="U79" s="631"/>
      <c r="V79" s="631"/>
      <c r="W79" s="631"/>
      <c r="X79" s="631"/>
      <c r="Y79" s="631"/>
      <c r="Z79" s="631"/>
    </row>
    <row r="80" ht="18.0" customHeight="1">
      <c r="A80" s="471" t="s">
        <v>525</v>
      </c>
      <c r="B80" s="593" t="s">
        <v>510</v>
      </c>
      <c r="C80" s="593" t="s">
        <v>435</v>
      </c>
      <c r="D80" s="1037">
        <v>0.0</v>
      </c>
      <c r="E80" s="594">
        <v>0.0</v>
      </c>
      <c r="F80" s="594">
        <v>0.0</v>
      </c>
      <c r="G80" s="1038" t="str">
        <f t="shared" si="13"/>
        <v/>
      </c>
      <c r="H80" s="582"/>
      <c r="I80" s="594"/>
      <c r="J80" s="594"/>
      <c r="K80" s="631"/>
      <c r="L80" s="631"/>
      <c r="M80" s="631"/>
      <c r="N80" s="631"/>
      <c r="O80" s="631"/>
      <c r="P80" s="631"/>
      <c r="Q80" s="631"/>
      <c r="R80" s="631"/>
      <c r="S80" s="631"/>
      <c r="T80" s="631"/>
      <c r="U80" s="631"/>
      <c r="V80" s="631"/>
      <c r="W80" s="631"/>
      <c r="X80" s="631"/>
      <c r="Y80" s="631"/>
      <c r="Z80" s="631"/>
    </row>
    <row r="81" hidden="1">
      <c r="A81" s="632" t="s">
        <v>526</v>
      </c>
      <c r="B81" s="593"/>
      <c r="C81" s="633" t="s">
        <v>45</v>
      </c>
      <c r="D81" s="633">
        <v>0.0</v>
      </c>
      <c r="E81" s="634">
        <v>0.0</v>
      </c>
      <c r="F81" s="635">
        <v>0.0</v>
      </c>
      <c r="G81" s="636" t="str">
        <f t="shared" ref="G81:G87" si="14">IF(F81&gt;0,F81/SUM($F$67:$F$87), "")</f>
        <v/>
      </c>
      <c r="H81" s="637"/>
      <c r="I81" s="638">
        <v>0.0</v>
      </c>
      <c r="J81" s="638">
        <f t="shared" ref="J81:J87" si="15">I81*2</f>
        <v>0</v>
      </c>
      <c r="K81" s="639"/>
      <c r="L81" s="639"/>
      <c r="M81" s="639"/>
      <c r="N81" s="639"/>
      <c r="O81" s="639"/>
      <c r="P81" s="639"/>
      <c r="Q81" s="639"/>
      <c r="R81" s="639"/>
      <c r="S81" s="639"/>
      <c r="T81" s="639"/>
      <c r="U81" s="639"/>
      <c r="V81" s="639"/>
      <c r="W81" s="639"/>
      <c r="X81" s="639"/>
      <c r="Y81" s="639"/>
      <c r="Z81" s="639"/>
    </row>
    <row r="82" hidden="1">
      <c r="A82" s="632" t="s">
        <v>527</v>
      </c>
      <c r="B82" s="593"/>
      <c r="C82" s="633" t="s">
        <v>45</v>
      </c>
      <c r="D82" s="633">
        <v>0.0</v>
      </c>
      <c r="E82" s="634">
        <v>0.0</v>
      </c>
      <c r="F82" s="635">
        <v>0.0</v>
      </c>
      <c r="G82" s="636" t="str">
        <f t="shared" si="14"/>
        <v/>
      </c>
      <c r="H82" s="637"/>
      <c r="I82" s="638">
        <v>0.0</v>
      </c>
      <c r="J82" s="638">
        <f t="shared" si="15"/>
        <v>0</v>
      </c>
      <c r="K82" s="639"/>
      <c r="L82" s="639"/>
      <c r="M82" s="639"/>
      <c r="N82" s="639"/>
      <c r="O82" s="639"/>
      <c r="P82" s="639"/>
      <c r="Q82" s="639"/>
      <c r="R82" s="639"/>
      <c r="S82" s="639"/>
      <c r="T82" s="639"/>
      <c r="U82" s="639"/>
      <c r="V82" s="639"/>
      <c r="W82" s="639"/>
      <c r="X82" s="639"/>
      <c r="Y82" s="639"/>
      <c r="Z82" s="639"/>
    </row>
    <row r="83" hidden="1">
      <c r="A83" s="632" t="s">
        <v>528</v>
      </c>
      <c r="B83" s="593"/>
      <c r="C83" s="633" t="s">
        <v>45</v>
      </c>
      <c r="D83" s="633">
        <v>0.0</v>
      </c>
      <c r="E83" s="634">
        <v>0.0</v>
      </c>
      <c r="F83" s="635">
        <v>0.0</v>
      </c>
      <c r="G83" s="636" t="str">
        <f t="shared" si="14"/>
        <v/>
      </c>
      <c r="H83" s="637"/>
      <c r="I83" s="638">
        <v>0.0</v>
      </c>
      <c r="J83" s="638">
        <f t="shared" si="15"/>
        <v>0</v>
      </c>
      <c r="K83" s="639"/>
      <c r="L83" s="639"/>
      <c r="M83" s="639"/>
      <c r="N83" s="639"/>
      <c r="O83" s="639"/>
      <c r="P83" s="639"/>
      <c r="Q83" s="639"/>
      <c r="R83" s="639"/>
      <c r="S83" s="639"/>
      <c r="T83" s="639"/>
      <c r="U83" s="639"/>
      <c r="V83" s="639"/>
      <c r="W83" s="639"/>
      <c r="X83" s="639"/>
      <c r="Y83" s="639"/>
      <c r="Z83" s="639"/>
    </row>
    <row r="84" hidden="1">
      <c r="A84" s="632" t="s">
        <v>529</v>
      </c>
      <c r="B84" s="593"/>
      <c r="C84" s="633" t="s">
        <v>45</v>
      </c>
      <c r="D84" s="633">
        <v>0.0</v>
      </c>
      <c r="E84" s="638">
        <v>0.0</v>
      </c>
      <c r="F84" s="635">
        <v>0.0</v>
      </c>
      <c r="G84" s="636" t="str">
        <f t="shared" si="14"/>
        <v/>
      </c>
      <c r="H84" s="637"/>
      <c r="I84" s="638">
        <v>0.0</v>
      </c>
      <c r="J84" s="638">
        <f t="shared" si="15"/>
        <v>0</v>
      </c>
      <c r="K84" s="639"/>
      <c r="L84" s="639"/>
      <c r="M84" s="639"/>
      <c r="N84" s="639"/>
      <c r="O84" s="639"/>
      <c r="P84" s="639"/>
      <c r="Q84" s="639"/>
      <c r="R84" s="639"/>
      <c r="S84" s="639"/>
      <c r="T84" s="639"/>
      <c r="U84" s="639"/>
      <c r="V84" s="639"/>
      <c r="W84" s="639"/>
      <c r="X84" s="639"/>
      <c r="Y84" s="639"/>
      <c r="Z84" s="639"/>
    </row>
    <row r="85" hidden="1">
      <c r="A85" s="632" t="s">
        <v>530</v>
      </c>
      <c r="B85" s="593"/>
      <c r="C85" s="633" t="s">
        <v>45</v>
      </c>
      <c r="D85" s="633">
        <v>0.0</v>
      </c>
      <c r="E85" s="638">
        <v>0.0</v>
      </c>
      <c r="F85" s="635">
        <v>0.0</v>
      </c>
      <c r="G85" s="636" t="str">
        <f t="shared" si="14"/>
        <v/>
      </c>
      <c r="H85" s="637"/>
      <c r="I85" s="638">
        <v>0.0</v>
      </c>
      <c r="J85" s="638">
        <f t="shared" si="15"/>
        <v>0</v>
      </c>
      <c r="K85" s="639"/>
      <c r="L85" s="639"/>
      <c r="M85" s="639"/>
      <c r="N85" s="639"/>
      <c r="O85" s="639"/>
      <c r="P85" s="639"/>
      <c r="Q85" s="639"/>
      <c r="R85" s="639"/>
      <c r="S85" s="639"/>
      <c r="T85" s="639"/>
      <c r="U85" s="639"/>
      <c r="V85" s="639"/>
      <c r="W85" s="639"/>
      <c r="X85" s="639"/>
      <c r="Y85" s="639"/>
      <c r="Z85" s="639"/>
    </row>
    <row r="86" hidden="1">
      <c r="A86" s="632" t="s">
        <v>531</v>
      </c>
      <c r="B86" s="593"/>
      <c r="C86" s="633" t="s">
        <v>45</v>
      </c>
      <c r="D86" s="633">
        <v>0.0</v>
      </c>
      <c r="E86" s="638">
        <v>0.0</v>
      </c>
      <c r="F86" s="635">
        <v>0.0</v>
      </c>
      <c r="G86" s="636" t="str">
        <f t="shared" si="14"/>
        <v/>
      </c>
      <c r="H86" s="637"/>
      <c r="I86" s="638">
        <v>0.0</v>
      </c>
      <c r="J86" s="638">
        <f t="shared" si="15"/>
        <v>0</v>
      </c>
      <c r="K86" s="639"/>
      <c r="L86" s="639"/>
      <c r="M86" s="639"/>
      <c r="N86" s="639"/>
      <c r="O86" s="639"/>
      <c r="P86" s="639"/>
      <c r="Q86" s="639"/>
      <c r="R86" s="639"/>
      <c r="S86" s="639"/>
      <c r="T86" s="639"/>
      <c r="U86" s="639"/>
      <c r="V86" s="639"/>
      <c r="W86" s="639"/>
      <c r="X86" s="639"/>
      <c r="Y86" s="639"/>
      <c r="Z86" s="639"/>
    </row>
    <row r="87" hidden="1">
      <c r="A87" s="632" t="s">
        <v>532</v>
      </c>
      <c r="B87" s="593"/>
      <c r="C87" s="633" t="s">
        <v>45</v>
      </c>
      <c r="D87" s="633">
        <v>0.0</v>
      </c>
      <c r="E87" s="638">
        <v>0.0</v>
      </c>
      <c r="F87" s="635">
        <v>0.0</v>
      </c>
      <c r="G87" s="636" t="str">
        <f t="shared" si="14"/>
        <v/>
      </c>
      <c r="H87" s="637"/>
      <c r="I87" s="638">
        <v>0.0</v>
      </c>
      <c r="J87" s="638">
        <f t="shared" si="15"/>
        <v>0</v>
      </c>
      <c r="K87" s="639"/>
      <c r="L87" s="639"/>
      <c r="M87" s="639"/>
      <c r="N87" s="639"/>
      <c r="O87" s="639"/>
      <c r="P87" s="639"/>
      <c r="Q87" s="639"/>
      <c r="R87" s="639"/>
      <c r="S87" s="639"/>
      <c r="T87" s="639"/>
      <c r="U87" s="639"/>
      <c r="V87" s="639"/>
      <c r="W87" s="639"/>
      <c r="X87" s="639"/>
      <c r="Y87" s="639"/>
      <c r="Z87" s="639"/>
    </row>
    <row r="88">
      <c r="A88" s="586"/>
      <c r="B88" s="587"/>
      <c r="C88" s="587"/>
      <c r="D88" s="587"/>
      <c r="E88" s="624">
        <f>sum(E66:E87 )</f>
        <v>5780.16</v>
      </c>
      <c r="F88" s="624">
        <f>sum(F66:F80 )</f>
        <v>3784.16523</v>
      </c>
      <c r="G88" s="640">
        <f>SUBTOTAL(109,G$66:G$87)</f>
        <v>1</v>
      </c>
      <c r="H88" s="590"/>
      <c r="I88" s="591"/>
      <c r="J88" s="591"/>
      <c r="K88" s="592"/>
      <c r="L88" s="592"/>
      <c r="M88" s="592"/>
      <c r="N88" s="592"/>
      <c r="O88" s="592"/>
      <c r="P88" s="592"/>
      <c r="Q88" s="592"/>
      <c r="R88" s="592"/>
      <c r="S88" s="592"/>
      <c r="T88" s="592"/>
      <c r="U88" s="592"/>
      <c r="V88" s="592"/>
      <c r="W88" s="592"/>
      <c r="X88" s="592"/>
      <c r="Y88" s="592"/>
      <c r="Z88" s="592"/>
    </row>
    <row r="89">
      <c r="A89" s="110"/>
      <c r="B89" s="593"/>
      <c r="C89" s="593"/>
      <c r="D89" s="593"/>
      <c r="E89" s="594"/>
      <c r="F89" s="340"/>
      <c r="G89" s="582"/>
      <c r="H89" s="582"/>
      <c r="I89" s="594"/>
      <c r="J89" s="594"/>
      <c r="K89" s="631"/>
      <c r="L89" s="631"/>
      <c r="M89" s="631"/>
      <c r="N89" s="631"/>
      <c r="O89" s="631"/>
      <c r="P89" s="631"/>
      <c r="Q89" s="631"/>
      <c r="R89" s="631"/>
      <c r="S89" s="631"/>
      <c r="T89" s="631"/>
      <c r="U89" s="631"/>
      <c r="V89" s="631"/>
      <c r="W89" s="631"/>
      <c r="X89" s="631"/>
      <c r="Y89" s="631"/>
      <c r="Z89" s="631"/>
    </row>
    <row r="90" hidden="1">
      <c r="A90" s="597" t="s">
        <v>533</v>
      </c>
      <c r="B90" s="598"/>
      <c r="C90" s="598"/>
      <c r="D90" s="598"/>
      <c r="E90" s="628"/>
      <c r="F90" s="599"/>
      <c r="G90" s="629"/>
      <c r="H90" s="629"/>
      <c r="I90" s="599"/>
      <c r="J90" s="599"/>
      <c r="K90" s="601"/>
      <c r="L90" s="596"/>
      <c r="M90" s="596"/>
      <c r="N90" s="596"/>
      <c r="O90" s="596"/>
      <c r="P90" s="596"/>
      <c r="Q90" s="596"/>
      <c r="R90" s="596"/>
      <c r="S90" s="596"/>
      <c r="T90" s="596"/>
      <c r="U90" s="596"/>
      <c r="V90" s="596"/>
      <c r="W90" s="596"/>
      <c r="X90" s="596"/>
      <c r="Y90" s="596"/>
      <c r="Z90" s="596"/>
    </row>
    <row r="91" hidden="1">
      <c r="A91" s="354"/>
      <c r="B91" s="593"/>
      <c r="C91" s="593"/>
      <c r="D91" s="593"/>
      <c r="E91" s="594"/>
      <c r="F91" s="340">
        <v>0.0</v>
      </c>
      <c r="G91" s="582" t="str">
        <f>IF(F91&gt;0,F91/SUM($F$91), "")</f>
        <v/>
      </c>
      <c r="H91" s="582"/>
      <c r="I91" s="340"/>
      <c r="J91" s="340"/>
      <c r="K91" s="596"/>
      <c r="L91" s="596"/>
      <c r="M91" s="596"/>
      <c r="N91" s="596"/>
      <c r="O91" s="596"/>
      <c r="P91" s="596"/>
      <c r="Q91" s="596"/>
      <c r="R91" s="596"/>
      <c r="S91" s="596"/>
      <c r="T91" s="596"/>
      <c r="U91" s="596"/>
      <c r="V91" s="596"/>
      <c r="W91" s="596"/>
      <c r="X91" s="596"/>
      <c r="Y91" s="596"/>
      <c r="Z91" s="596"/>
    </row>
    <row r="92" hidden="1">
      <c r="A92" s="586"/>
      <c r="B92" s="587"/>
      <c r="C92" s="587"/>
      <c r="D92" s="587"/>
      <c r="E92" s="588">
        <f t="shared" ref="E92:F92" si="16">sum(E91 )</f>
        <v>0</v>
      </c>
      <c r="F92" s="624">
        <f t="shared" si="16"/>
        <v>0</v>
      </c>
      <c r="G92" s="589">
        <f>SUBTOTAL(109,G$91)</f>
        <v>0</v>
      </c>
      <c r="H92" s="590"/>
      <c r="I92" s="591"/>
      <c r="J92" s="591"/>
      <c r="K92" s="592"/>
      <c r="L92" s="592"/>
      <c r="M92" s="592"/>
      <c r="N92" s="592"/>
      <c r="O92" s="592"/>
      <c r="P92" s="592"/>
      <c r="Q92" s="592"/>
      <c r="R92" s="592"/>
      <c r="S92" s="592"/>
      <c r="T92" s="592"/>
      <c r="U92" s="592"/>
      <c r="V92" s="592"/>
      <c r="W92" s="592"/>
      <c r="X92" s="592"/>
      <c r="Y92" s="592"/>
      <c r="Z92" s="592"/>
    </row>
    <row r="93" hidden="1">
      <c r="A93" s="354"/>
      <c r="B93" s="593"/>
      <c r="C93" s="593"/>
      <c r="D93" s="593"/>
      <c r="E93" s="594"/>
      <c r="F93" s="641"/>
      <c r="G93" s="582"/>
      <c r="H93" s="582"/>
      <c r="I93" s="340"/>
      <c r="J93" s="340"/>
      <c r="K93" s="596"/>
      <c r="L93" s="596"/>
      <c r="M93" s="596"/>
      <c r="N93" s="596"/>
      <c r="O93" s="596"/>
      <c r="P93" s="596"/>
      <c r="Q93" s="596"/>
      <c r="R93" s="596"/>
      <c r="S93" s="596"/>
      <c r="T93" s="596"/>
      <c r="U93" s="596"/>
      <c r="V93" s="596"/>
      <c r="W93" s="596"/>
      <c r="X93" s="596"/>
      <c r="Y93" s="596"/>
      <c r="Z93" s="596"/>
    </row>
    <row r="94" hidden="1">
      <c r="A94" s="597" t="s">
        <v>534</v>
      </c>
      <c r="B94" s="598"/>
      <c r="C94" s="598"/>
      <c r="D94" s="598"/>
      <c r="E94" s="628"/>
      <c r="F94" s="599"/>
      <c r="G94" s="629"/>
      <c r="H94" s="629"/>
      <c r="I94" s="599"/>
      <c r="J94" s="599"/>
      <c r="K94" s="601"/>
      <c r="L94" s="596"/>
      <c r="M94" s="596"/>
      <c r="N94" s="596"/>
      <c r="O94" s="596"/>
      <c r="P94" s="596"/>
      <c r="Q94" s="596"/>
      <c r="R94" s="596"/>
      <c r="S94" s="596"/>
      <c r="T94" s="596"/>
      <c r="U94" s="596"/>
      <c r="V94" s="596"/>
      <c r="W94" s="596"/>
      <c r="X94" s="596"/>
      <c r="Y94" s="596"/>
      <c r="Z94" s="596"/>
    </row>
    <row r="95" hidden="1">
      <c r="A95" s="354" t="s">
        <v>535</v>
      </c>
      <c r="B95" s="593"/>
      <c r="C95" s="593" t="s">
        <v>536</v>
      </c>
      <c r="D95" s="593"/>
      <c r="E95" s="594"/>
      <c r="F95" s="340">
        <v>0.0</v>
      </c>
      <c r="G95" s="582" t="str">
        <f t="shared" ref="G95:G96" si="17">IF(F95&gt;0,F95/SUM($F$96), "")</f>
        <v/>
      </c>
      <c r="H95" s="582"/>
      <c r="I95" s="340"/>
      <c r="J95" s="340"/>
      <c r="K95" s="596"/>
      <c r="L95" s="596"/>
      <c r="M95" s="596"/>
      <c r="N95" s="596"/>
      <c r="O95" s="596"/>
      <c r="P95" s="596"/>
      <c r="Q95" s="596"/>
      <c r="R95" s="596"/>
      <c r="S95" s="596"/>
      <c r="T95" s="596"/>
      <c r="U95" s="596"/>
      <c r="V95" s="596"/>
      <c r="W95" s="596"/>
      <c r="X95" s="596"/>
      <c r="Y95" s="596"/>
      <c r="Z95" s="596"/>
    </row>
    <row r="96" hidden="1">
      <c r="A96" s="354" t="s">
        <v>537</v>
      </c>
      <c r="B96" s="593"/>
      <c r="C96" s="593" t="s">
        <v>536</v>
      </c>
      <c r="D96" s="593"/>
      <c r="E96" s="594"/>
      <c r="F96" s="340">
        <v>0.0</v>
      </c>
      <c r="G96" s="582" t="str">
        <f t="shared" si="17"/>
        <v/>
      </c>
      <c r="H96" s="582"/>
      <c r="I96" s="340"/>
      <c r="J96" s="340"/>
      <c r="K96" s="596"/>
      <c r="L96" s="596"/>
      <c r="M96" s="596"/>
      <c r="N96" s="596"/>
      <c r="O96" s="596"/>
      <c r="P96" s="596"/>
      <c r="Q96" s="596"/>
      <c r="R96" s="596"/>
      <c r="S96" s="596"/>
      <c r="T96" s="596"/>
      <c r="U96" s="596"/>
      <c r="V96" s="596"/>
      <c r="W96" s="596"/>
      <c r="X96" s="596"/>
      <c r="Y96" s="596"/>
      <c r="Z96" s="596"/>
    </row>
    <row r="97" hidden="1">
      <c r="A97" s="586"/>
      <c r="B97" s="587"/>
      <c r="C97" s="587"/>
      <c r="D97" s="587"/>
      <c r="E97" s="588">
        <f t="shared" ref="E97:F97" si="18">sum(E95:E96 )</f>
        <v>0</v>
      </c>
      <c r="F97" s="624">
        <f t="shared" si="18"/>
        <v>0</v>
      </c>
      <c r="G97" s="589">
        <f>SUBTOTAL(109,G$95:G$96)</f>
        <v>0</v>
      </c>
      <c r="H97" s="590"/>
      <c r="I97" s="591"/>
      <c r="J97" s="591"/>
      <c r="K97" s="592"/>
      <c r="L97" s="592"/>
      <c r="M97" s="592"/>
      <c r="N97" s="592"/>
      <c r="O97" s="592"/>
      <c r="P97" s="592"/>
      <c r="Q97" s="592"/>
      <c r="R97" s="592"/>
      <c r="S97" s="592"/>
      <c r="T97" s="592"/>
      <c r="U97" s="592"/>
      <c r="V97" s="592"/>
      <c r="W97" s="592"/>
      <c r="X97" s="592"/>
      <c r="Y97" s="592"/>
      <c r="Z97" s="592"/>
    </row>
    <row r="98">
      <c r="A98" s="354"/>
      <c r="B98" s="593"/>
      <c r="C98" s="593"/>
      <c r="D98" s="593"/>
      <c r="E98" s="594"/>
      <c r="F98" s="641"/>
      <c r="G98" s="582"/>
      <c r="H98" s="582"/>
      <c r="I98" s="340"/>
      <c r="J98" s="340"/>
      <c r="K98" s="596"/>
      <c r="L98" s="596"/>
      <c r="M98" s="596"/>
      <c r="N98" s="596"/>
      <c r="O98" s="596"/>
      <c r="P98" s="596"/>
      <c r="Q98" s="596"/>
      <c r="R98" s="596"/>
      <c r="S98" s="596"/>
      <c r="T98" s="596"/>
      <c r="U98" s="596"/>
      <c r="V98" s="596"/>
      <c r="W98" s="596"/>
      <c r="X98" s="596"/>
      <c r="Y98" s="596"/>
      <c r="Z98" s="596"/>
    </row>
    <row r="99" ht="15.0" customHeight="1">
      <c r="A99" s="597" t="s">
        <v>794</v>
      </c>
      <c r="B99" s="598"/>
      <c r="C99" s="598"/>
      <c r="D99" s="598"/>
      <c r="E99" s="628"/>
      <c r="F99" s="599"/>
      <c r="G99" s="629"/>
      <c r="H99" s="629"/>
      <c r="I99" s="599"/>
      <c r="J99" s="599"/>
      <c r="K99" s="601"/>
      <c r="L99" s="596"/>
      <c r="M99" s="596"/>
      <c r="N99" s="596"/>
      <c r="O99" s="596"/>
      <c r="P99" s="596"/>
      <c r="Q99" s="596"/>
      <c r="R99" s="596"/>
      <c r="S99" s="596"/>
      <c r="T99" s="596"/>
      <c r="U99" s="596"/>
      <c r="V99" s="596"/>
      <c r="W99" s="596"/>
      <c r="X99" s="596"/>
      <c r="Y99" s="596"/>
      <c r="Z99" s="596"/>
    </row>
    <row r="100" ht="15.0" customHeight="1">
      <c r="A100" s="642" t="s">
        <v>795</v>
      </c>
      <c r="B100" s="593"/>
      <c r="C100" s="593" t="s">
        <v>415</v>
      </c>
      <c r="D100" s="593" t="s">
        <v>359</v>
      </c>
      <c r="E100" s="594">
        <f>sum(50000,65000)</f>
        <v>115000</v>
      </c>
      <c r="F100" s="340">
        <f t="shared" ref="F100:F103" si="19">E100</f>
        <v>115000</v>
      </c>
      <c r="G100" s="582"/>
      <c r="H100" s="582"/>
      <c r="I100" s="340"/>
      <c r="J100" s="340"/>
      <c r="K100" s="596"/>
      <c r="L100" s="596"/>
      <c r="M100" s="596"/>
      <c r="N100" s="596"/>
      <c r="O100" s="596"/>
      <c r="P100" s="596"/>
      <c r="Q100" s="596"/>
      <c r="R100" s="596"/>
      <c r="S100" s="596"/>
      <c r="T100" s="596"/>
      <c r="U100" s="596"/>
      <c r="V100" s="596"/>
      <c r="W100" s="596"/>
      <c r="X100" s="596"/>
      <c r="Y100" s="596"/>
      <c r="Z100" s="596"/>
    </row>
    <row r="101" ht="15.0" customHeight="1">
      <c r="A101" s="642" t="s">
        <v>540</v>
      </c>
      <c r="B101" s="593"/>
      <c r="C101" s="593" t="s">
        <v>415</v>
      </c>
      <c r="D101" s="593">
        <v>2500.0</v>
      </c>
      <c r="E101" s="594">
        <f>D101*17</f>
        <v>42500</v>
      </c>
      <c r="F101" s="340">
        <f t="shared" si="19"/>
        <v>42500</v>
      </c>
      <c r="G101" s="582"/>
      <c r="H101" s="582"/>
      <c r="I101" s="340"/>
      <c r="J101" s="340"/>
      <c r="K101" s="596"/>
      <c r="L101" s="596"/>
      <c r="M101" s="596"/>
      <c r="N101" s="596"/>
      <c r="O101" s="596"/>
      <c r="P101" s="596"/>
      <c r="Q101" s="596"/>
      <c r="R101" s="596"/>
      <c r="S101" s="596"/>
      <c r="T101" s="596"/>
      <c r="U101" s="596"/>
      <c r="V101" s="596"/>
      <c r="W101" s="596"/>
      <c r="X101" s="596"/>
      <c r="Y101" s="596"/>
      <c r="Z101" s="596"/>
    </row>
    <row r="102" ht="15.0" customHeight="1">
      <c r="A102" s="644" t="s">
        <v>541</v>
      </c>
      <c r="B102" s="593"/>
      <c r="C102" s="593" t="s">
        <v>415</v>
      </c>
      <c r="D102" s="593">
        <v>1000000.0</v>
      </c>
      <c r="E102" s="594">
        <v>1598.0</v>
      </c>
      <c r="F102" s="340">
        <f t="shared" si="19"/>
        <v>1598</v>
      </c>
      <c r="G102" s="582">
        <f>IF(F102&gt;0,F102/SUM($F$102), "")</f>
        <v>1</v>
      </c>
      <c r="H102" s="582"/>
      <c r="I102" s="340"/>
      <c r="J102" s="340"/>
      <c r="K102" s="596"/>
      <c r="L102" s="596"/>
      <c r="M102" s="596"/>
      <c r="N102" s="596"/>
      <c r="O102" s="596"/>
      <c r="P102" s="596"/>
      <c r="Q102" s="596"/>
      <c r="R102" s="596"/>
      <c r="S102" s="596"/>
      <c r="T102" s="596"/>
      <c r="U102" s="596"/>
      <c r="V102" s="596"/>
      <c r="W102" s="596"/>
      <c r="X102" s="596"/>
      <c r="Y102" s="596"/>
      <c r="Z102" s="596"/>
    </row>
    <row r="103" ht="15.0" customHeight="1">
      <c r="A103" s="642" t="s">
        <v>422</v>
      </c>
      <c r="B103" s="593"/>
      <c r="C103" s="593" t="s">
        <v>415</v>
      </c>
      <c r="D103" s="593" t="s">
        <v>359</v>
      </c>
      <c r="E103" s="594">
        <f>20000</f>
        <v>20000</v>
      </c>
      <c r="F103" s="340">
        <f t="shared" si="19"/>
        <v>20000</v>
      </c>
      <c r="G103" s="582"/>
      <c r="H103" s="582"/>
      <c r="I103" s="340"/>
      <c r="J103" s="340"/>
      <c r="K103" s="596"/>
      <c r="L103" s="596"/>
      <c r="M103" s="596"/>
      <c r="N103" s="596"/>
      <c r="O103" s="596"/>
      <c r="P103" s="596"/>
      <c r="Q103" s="596"/>
      <c r="R103" s="596"/>
      <c r="S103" s="596"/>
      <c r="T103" s="596"/>
      <c r="U103" s="596"/>
      <c r="V103" s="596"/>
      <c r="W103" s="596"/>
      <c r="X103" s="596"/>
      <c r="Y103" s="596"/>
      <c r="Z103" s="596"/>
    </row>
    <row r="104">
      <c r="A104" s="586"/>
      <c r="B104" s="587"/>
      <c r="C104" s="587"/>
      <c r="D104" s="587"/>
      <c r="E104" s="624">
        <f t="shared" ref="E104:F104" si="20">sum(E100:E103 )</f>
        <v>179098</v>
      </c>
      <c r="F104" s="624">
        <f t="shared" si="20"/>
        <v>179098</v>
      </c>
      <c r="G104" s="589">
        <f>SUBTOTAL(109,G$102)</f>
        <v>1</v>
      </c>
      <c r="H104" s="590"/>
      <c r="I104" s="591"/>
      <c r="J104" s="591"/>
      <c r="K104" s="592"/>
      <c r="L104" s="592"/>
      <c r="M104" s="592"/>
      <c r="N104" s="592"/>
      <c r="O104" s="592"/>
      <c r="P104" s="592"/>
      <c r="Q104" s="592"/>
      <c r="R104" s="592"/>
      <c r="S104" s="592"/>
      <c r="T104" s="592"/>
      <c r="U104" s="592"/>
      <c r="V104" s="592"/>
      <c r="W104" s="592"/>
      <c r="X104" s="592"/>
      <c r="Y104" s="592"/>
      <c r="Z104" s="592"/>
    </row>
    <row r="105">
      <c r="A105" s="349"/>
      <c r="B105" s="620"/>
      <c r="C105" s="620"/>
      <c r="D105" s="593"/>
      <c r="E105" s="594"/>
      <c r="F105" s="340"/>
      <c r="G105" s="582"/>
      <c r="H105" s="582"/>
      <c r="I105" s="584"/>
      <c r="J105" s="584"/>
      <c r="K105" s="596"/>
      <c r="L105" s="596"/>
      <c r="M105" s="596"/>
      <c r="N105" s="596"/>
      <c r="O105" s="596"/>
      <c r="P105" s="596"/>
      <c r="Q105" s="596"/>
      <c r="R105" s="596"/>
      <c r="S105" s="596"/>
      <c r="T105" s="596"/>
      <c r="U105" s="596"/>
      <c r="V105" s="596"/>
      <c r="W105" s="596"/>
      <c r="X105" s="596"/>
      <c r="Y105" s="596"/>
      <c r="Z105" s="596"/>
    </row>
    <row r="106">
      <c r="A106" s="597" t="s">
        <v>987</v>
      </c>
      <c r="B106" s="598"/>
      <c r="C106" s="598"/>
      <c r="D106" s="598"/>
      <c r="E106" s="628"/>
      <c r="F106" s="599"/>
      <c r="G106" s="629"/>
      <c r="H106" s="629"/>
      <c r="I106" s="599"/>
      <c r="J106" s="599"/>
      <c r="K106" s="601"/>
      <c r="L106" s="596"/>
      <c r="M106" s="596"/>
      <c r="N106" s="596"/>
      <c r="O106" s="596"/>
      <c r="P106" s="596"/>
      <c r="Q106" s="596"/>
      <c r="R106" s="596"/>
      <c r="S106" s="596"/>
      <c r="T106" s="596"/>
      <c r="U106" s="596"/>
      <c r="V106" s="596"/>
      <c r="W106" s="596"/>
      <c r="X106" s="596"/>
      <c r="Y106" s="596"/>
      <c r="Z106" s="596"/>
    </row>
    <row r="107">
      <c r="A107" s="354" t="s">
        <v>438</v>
      </c>
      <c r="B107" s="593" t="s">
        <v>439</v>
      </c>
      <c r="C107" s="593" t="s">
        <v>436</v>
      </c>
      <c r="D107" s="593">
        <v>0.0</v>
      </c>
      <c r="E107" s="594">
        <v>0.0</v>
      </c>
      <c r="F107" s="340">
        <v>0.0</v>
      </c>
      <c r="G107" s="582" t="str">
        <f t="shared" ref="G107:G108" si="21">IF(F107&gt;0,F107/SUM($F$107:$F$108), "")</f>
        <v/>
      </c>
      <c r="H107" s="582"/>
      <c r="I107" s="340">
        <v>10000.0</v>
      </c>
      <c r="J107" s="340">
        <f>I107*2</f>
        <v>20000</v>
      </c>
      <c r="K107" s="596"/>
      <c r="L107" s="596"/>
      <c r="M107" s="596"/>
      <c r="N107" s="596"/>
      <c r="O107" s="596"/>
      <c r="P107" s="596"/>
      <c r="Q107" s="596"/>
      <c r="R107" s="596"/>
      <c r="S107" s="596"/>
      <c r="T107" s="596"/>
      <c r="U107" s="596"/>
      <c r="V107" s="596"/>
      <c r="W107" s="596"/>
      <c r="X107" s="596"/>
      <c r="Y107" s="596"/>
      <c r="Z107" s="596"/>
    </row>
    <row r="108">
      <c r="A108" s="354" t="s">
        <v>36</v>
      </c>
      <c r="B108" s="593" t="s">
        <v>439</v>
      </c>
      <c r="C108" s="593" t="s">
        <v>436</v>
      </c>
      <c r="D108" s="593">
        <v>0.0</v>
      </c>
      <c r="E108" s="594">
        <v>0.0</v>
      </c>
      <c r="F108" s="340">
        <v>0.0</v>
      </c>
      <c r="G108" s="582" t="str">
        <f t="shared" si="21"/>
        <v/>
      </c>
      <c r="H108" s="582"/>
      <c r="I108" s="340">
        <v>5000.0</v>
      </c>
      <c r="J108" s="340">
        <v>0.0</v>
      </c>
      <c r="K108" s="596"/>
      <c r="L108" s="596"/>
      <c r="M108" s="596"/>
      <c r="N108" s="596"/>
      <c r="O108" s="596"/>
      <c r="P108" s="596"/>
      <c r="Q108" s="596"/>
      <c r="R108" s="596"/>
      <c r="S108" s="596"/>
      <c r="T108" s="596"/>
      <c r="U108" s="596"/>
      <c r="V108" s="596"/>
      <c r="W108" s="596"/>
      <c r="X108" s="596"/>
      <c r="Y108" s="596"/>
      <c r="Z108" s="596"/>
    </row>
    <row r="109">
      <c r="A109" s="586"/>
      <c r="B109" s="587"/>
      <c r="C109" s="587"/>
      <c r="D109" s="587"/>
      <c r="E109" s="588">
        <f t="shared" ref="E109:F109" si="22">sum(E107:E108 )</f>
        <v>0</v>
      </c>
      <c r="F109" s="624">
        <f t="shared" si="22"/>
        <v>0</v>
      </c>
      <c r="G109" s="589">
        <f>SUBTOTAL(109,G$107:G$108)</f>
        <v>0</v>
      </c>
      <c r="H109" s="590"/>
      <c r="I109" s="591"/>
      <c r="J109" s="591"/>
      <c r="K109" s="592"/>
      <c r="L109" s="592"/>
      <c r="M109" s="592"/>
      <c r="N109" s="592"/>
      <c r="O109" s="592"/>
      <c r="P109" s="592"/>
      <c r="Q109" s="592"/>
      <c r="R109" s="592"/>
      <c r="S109" s="592"/>
      <c r="T109" s="592"/>
      <c r="U109" s="592"/>
      <c r="V109" s="592"/>
      <c r="W109" s="592"/>
      <c r="X109" s="592"/>
      <c r="Y109" s="592"/>
      <c r="Z109" s="592"/>
    </row>
    <row r="110">
      <c r="A110" s="115"/>
      <c r="B110" s="645"/>
      <c r="C110" s="646"/>
      <c r="D110" s="645"/>
      <c r="E110" s="647"/>
      <c r="F110" s="648"/>
      <c r="G110" s="583"/>
      <c r="H110" s="583"/>
      <c r="I110" s="648"/>
      <c r="J110" s="648"/>
      <c r="K110" s="578"/>
      <c r="L110" s="578"/>
      <c r="M110" s="578"/>
      <c r="N110" s="578"/>
      <c r="O110" s="578"/>
      <c r="P110" s="578"/>
      <c r="Q110" s="578"/>
      <c r="R110" s="578"/>
      <c r="S110" s="578"/>
      <c r="T110" s="578"/>
      <c r="U110" s="578"/>
      <c r="V110" s="578"/>
      <c r="W110" s="578"/>
      <c r="X110" s="578"/>
      <c r="Y110" s="578"/>
      <c r="Z110" s="578"/>
    </row>
    <row r="111" hidden="1">
      <c r="A111" s="571" t="s">
        <v>249</v>
      </c>
      <c r="B111" s="572"/>
      <c r="C111" s="573"/>
      <c r="D111" s="572"/>
      <c r="E111" s="574"/>
      <c r="F111" s="575"/>
      <c r="G111" s="576"/>
      <c r="H111" s="576"/>
      <c r="I111" s="575"/>
      <c r="J111" s="575"/>
      <c r="K111" s="577"/>
      <c r="L111" s="578"/>
      <c r="M111" s="578"/>
      <c r="N111" s="578"/>
      <c r="O111" s="578"/>
      <c r="P111" s="578"/>
      <c r="Q111" s="578"/>
      <c r="R111" s="578"/>
      <c r="S111" s="578"/>
      <c r="T111" s="578"/>
      <c r="U111" s="578"/>
      <c r="V111" s="578"/>
      <c r="W111" s="578"/>
      <c r="X111" s="578"/>
      <c r="Y111" s="578"/>
      <c r="Z111" s="578"/>
    </row>
    <row r="112" hidden="1">
      <c r="A112" s="115" t="s">
        <v>545</v>
      </c>
      <c r="B112" s="109"/>
      <c r="C112" s="109"/>
      <c r="D112" s="579"/>
      <c r="E112" s="580">
        <v>0.0</v>
      </c>
      <c r="F112" s="581">
        <f>E112</f>
        <v>0</v>
      </c>
      <c r="G112" s="582" t="str">
        <f>IF(F112&gt;0,F112/SUM($F$4:$F$7), "")</f>
        <v/>
      </c>
      <c r="H112" s="583"/>
      <c r="I112" s="584"/>
      <c r="J112" s="584"/>
      <c r="K112" s="578"/>
      <c r="L112" s="578"/>
      <c r="M112" s="578"/>
      <c r="N112" s="578"/>
      <c r="O112" s="578"/>
      <c r="P112" s="578"/>
      <c r="Q112" s="578"/>
      <c r="R112" s="578"/>
      <c r="S112" s="578"/>
      <c r="T112" s="578"/>
      <c r="U112" s="578"/>
      <c r="V112" s="578"/>
      <c r="W112" s="578"/>
      <c r="X112" s="578"/>
      <c r="Y112" s="578"/>
      <c r="Z112" s="578"/>
    </row>
    <row r="113" hidden="1">
      <c r="A113" s="108"/>
      <c r="B113" s="645"/>
      <c r="C113" s="646"/>
      <c r="D113" s="645"/>
      <c r="E113" s="647"/>
      <c r="F113" s="648"/>
      <c r="G113" s="583"/>
      <c r="H113" s="583"/>
      <c r="I113" s="648"/>
      <c r="J113" s="648"/>
      <c r="K113" s="578"/>
      <c r="L113" s="578"/>
      <c r="M113" s="578"/>
      <c r="N113" s="578"/>
      <c r="O113" s="578"/>
      <c r="P113" s="578"/>
      <c r="Q113" s="578"/>
      <c r="R113" s="578"/>
      <c r="S113" s="578"/>
      <c r="T113" s="578"/>
      <c r="U113" s="578"/>
      <c r="V113" s="578"/>
      <c r="W113" s="578"/>
      <c r="X113" s="578"/>
      <c r="Y113" s="578"/>
      <c r="Z113" s="578"/>
    </row>
    <row r="114">
      <c r="A114" s="571" t="s">
        <v>441</v>
      </c>
      <c r="B114" s="572"/>
      <c r="C114" s="573"/>
      <c r="D114" s="572"/>
      <c r="E114" s="574"/>
      <c r="F114" s="575"/>
      <c r="G114" s="576"/>
      <c r="H114" s="576"/>
      <c r="I114" s="575"/>
      <c r="J114" s="575"/>
      <c r="K114" s="577"/>
      <c r="L114" s="578"/>
      <c r="M114" s="578"/>
      <c r="N114" s="578"/>
      <c r="O114" s="578"/>
      <c r="P114" s="578"/>
      <c r="Q114" s="578"/>
      <c r="R114" s="578"/>
      <c r="S114" s="578"/>
      <c r="T114" s="578"/>
      <c r="U114" s="578"/>
      <c r="V114" s="578"/>
      <c r="W114" s="578"/>
      <c r="X114" s="578"/>
      <c r="Y114" s="578"/>
      <c r="Z114" s="578"/>
    </row>
    <row r="115">
      <c r="A115" s="115" t="s">
        <v>442</v>
      </c>
      <c r="B115" s="579"/>
      <c r="C115" s="585" t="s">
        <v>443</v>
      </c>
      <c r="D115" s="579" t="s">
        <v>359</v>
      </c>
      <c r="E115" s="649">
        <v>1300.0</v>
      </c>
      <c r="F115" s="649">
        <f>1500-200</f>
        <v>1300</v>
      </c>
      <c r="G115" s="630">
        <f t="shared" ref="G115:G116" si="23">if(F115&gt;0,F115/sum($F$115:$F$116),"")</f>
        <v>0.07471693776</v>
      </c>
      <c r="H115" s="583"/>
      <c r="I115" s="650"/>
      <c r="J115" s="650"/>
      <c r="K115" s="578"/>
      <c r="L115" s="578"/>
      <c r="M115" s="578"/>
      <c r="N115" s="578"/>
      <c r="O115" s="578"/>
      <c r="P115" s="578"/>
      <c r="Q115" s="578"/>
      <c r="R115" s="578"/>
      <c r="S115" s="578"/>
      <c r="T115" s="578"/>
      <c r="U115" s="578"/>
      <c r="V115" s="578"/>
      <c r="W115" s="578"/>
      <c r="X115" s="578"/>
      <c r="Y115" s="578"/>
      <c r="Z115" s="578"/>
    </row>
    <row r="116">
      <c r="A116" s="115" t="s">
        <v>444</v>
      </c>
      <c r="B116" s="579"/>
      <c r="C116" s="585" t="s">
        <v>445</v>
      </c>
      <c r="D116" s="579"/>
      <c r="E116" s="651">
        <f>sum(1025,2400,1500,6515,1500,2095)-10300</f>
        <v>4735</v>
      </c>
      <c r="F116" s="649">
        <f>E116*3.4</f>
        <v>16099</v>
      </c>
      <c r="G116" s="630">
        <f t="shared" si="23"/>
        <v>0.9252830622</v>
      </c>
      <c r="H116" s="583"/>
      <c r="I116" s="650"/>
      <c r="J116" s="650"/>
      <c r="K116" s="578"/>
      <c r="L116" s="578"/>
      <c r="M116" s="578"/>
      <c r="N116" s="578"/>
      <c r="O116" s="578"/>
      <c r="P116" s="578"/>
      <c r="Q116" s="578"/>
      <c r="R116" s="578"/>
      <c r="S116" s="578"/>
      <c r="T116" s="578"/>
      <c r="U116" s="578"/>
      <c r="V116" s="578"/>
      <c r="W116" s="578"/>
      <c r="X116" s="578"/>
      <c r="Y116" s="578"/>
      <c r="Z116" s="578"/>
    </row>
    <row r="117">
      <c r="A117" s="586"/>
      <c r="B117" s="587"/>
      <c r="C117" s="587"/>
      <c r="D117" s="587"/>
      <c r="E117" s="588">
        <f>sum(E115:E116 )</f>
        <v>6035</v>
      </c>
      <c r="F117" s="588">
        <f>sum(F115:F116 )-10300</f>
        <v>7099</v>
      </c>
      <c r="G117" s="589">
        <f>SUBTOTAL(109,G115:G116)</f>
        <v>1</v>
      </c>
      <c r="H117" s="590"/>
      <c r="I117" s="624">
        <f>sum(I10:I115 )</f>
        <v>20752.1</v>
      </c>
      <c r="J117" s="624"/>
      <c r="K117" s="592"/>
      <c r="L117" s="592"/>
      <c r="M117" s="592"/>
      <c r="N117" s="592"/>
      <c r="O117" s="592"/>
      <c r="P117" s="592"/>
      <c r="Q117" s="592"/>
      <c r="R117" s="592"/>
      <c r="S117" s="592"/>
      <c r="T117" s="592"/>
      <c r="U117" s="592"/>
      <c r="V117" s="592"/>
      <c r="W117" s="592"/>
      <c r="X117" s="592"/>
      <c r="Y117" s="592"/>
      <c r="Z117" s="592"/>
    </row>
    <row r="118">
      <c r="B118" s="462"/>
      <c r="C118" s="652"/>
      <c r="D118" s="462"/>
      <c r="E118" s="653"/>
      <c r="F118" s="650"/>
      <c r="G118" s="654"/>
      <c r="H118" s="654"/>
      <c r="I118" s="650"/>
      <c r="J118" s="650"/>
      <c r="K118" s="655"/>
      <c r="L118" s="655"/>
      <c r="M118" s="655"/>
      <c r="N118" s="655"/>
      <c r="O118" s="655"/>
      <c r="P118" s="655"/>
      <c r="Q118" s="655"/>
      <c r="R118" s="655"/>
      <c r="S118" s="655"/>
      <c r="T118" s="655"/>
      <c r="U118" s="655"/>
      <c r="V118" s="655"/>
      <c r="W118" s="655"/>
      <c r="X118" s="655"/>
      <c r="Y118" s="655"/>
      <c r="Z118" s="655"/>
    </row>
    <row r="119">
      <c r="A119" s="656" t="s">
        <v>354</v>
      </c>
      <c r="B119" s="656"/>
      <c r="C119" s="656" t="s">
        <v>447</v>
      </c>
      <c r="D119" s="657" t="s">
        <v>797</v>
      </c>
      <c r="E119" s="658" t="s">
        <v>450</v>
      </c>
      <c r="F119" s="650"/>
      <c r="G119" s="654"/>
      <c r="H119" s="654"/>
      <c r="I119" s="650"/>
      <c r="J119" s="650"/>
      <c r="K119" s="659"/>
      <c r="L119" s="659"/>
      <c r="M119" s="659"/>
      <c r="N119" s="659"/>
      <c r="O119" s="659"/>
      <c r="P119" s="659"/>
      <c r="Q119" s="659"/>
      <c r="R119" s="659"/>
      <c r="S119" s="659"/>
      <c r="T119" s="659"/>
      <c r="U119" s="659"/>
      <c r="V119" s="659"/>
      <c r="W119" s="659"/>
      <c r="X119" s="659"/>
      <c r="Y119" s="659"/>
      <c r="Z119" s="659"/>
    </row>
    <row r="120">
      <c r="A120" s="462" t="str">
        <f>A106</f>
        <v>Retirement Accts (5%)</v>
      </c>
      <c r="B120" s="652"/>
      <c r="C120" s="660">
        <f>F109</f>
        <v>0</v>
      </c>
      <c r="D120" s="661">
        <f>E109</f>
        <v>0</v>
      </c>
      <c r="E120" s="662" t="str">
        <f t="shared" ref="E120:E123" si="24">IF(C120&gt;0,C120/SUM($C$120:$C$127), "")</f>
        <v/>
      </c>
      <c r="F120" s="648"/>
      <c r="G120" s="583"/>
      <c r="H120" s="583"/>
      <c r="I120" s="648"/>
      <c r="J120" s="648"/>
      <c r="K120" s="664"/>
      <c r="L120" s="664"/>
      <c r="M120" s="664"/>
      <c r="N120" s="664"/>
      <c r="O120" s="664"/>
      <c r="P120" s="664"/>
      <c r="Q120" s="664"/>
      <c r="R120" s="664"/>
      <c r="S120" s="664"/>
      <c r="T120" s="664"/>
      <c r="U120" s="664"/>
      <c r="V120" s="664"/>
      <c r="W120" s="664"/>
      <c r="X120" s="664"/>
      <c r="Y120" s="664"/>
      <c r="Z120" s="664"/>
    </row>
    <row r="121">
      <c r="A121" s="462" t="str">
        <f>A10</f>
        <v>DeFi Crypto Assets (10%)</v>
      </c>
      <c r="B121" s="652"/>
      <c r="C121" s="660">
        <f>F29</f>
        <v>2535208.169</v>
      </c>
      <c r="D121" s="661">
        <f>E29</f>
        <v>2077853.078</v>
      </c>
      <c r="E121" s="662">
        <f t="shared" si="24"/>
        <v>0.8646421988</v>
      </c>
      <c r="F121" s="650"/>
      <c r="G121" s="654"/>
      <c r="H121" s="654"/>
      <c r="I121" s="650"/>
      <c r="J121" s="650"/>
      <c r="K121" s="665"/>
      <c r="L121" s="665"/>
      <c r="M121" s="665"/>
      <c r="N121" s="665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</row>
    <row r="122">
      <c r="A122" s="471" t="s">
        <v>798</v>
      </c>
      <c r="B122" s="652"/>
      <c r="C122" s="660">
        <f>F63</f>
        <v>16900</v>
      </c>
      <c r="D122" s="661">
        <f>E63</f>
        <v>13900</v>
      </c>
      <c r="E122" s="662">
        <f t="shared" si="24"/>
        <v>0.005763808013</v>
      </c>
      <c r="F122" s="650"/>
      <c r="G122" s="654"/>
      <c r="H122" s="654"/>
      <c r="I122" s="650"/>
      <c r="J122" s="650"/>
      <c r="K122" s="665"/>
      <c r="L122" s="665"/>
      <c r="M122" s="665"/>
      <c r="N122" s="665"/>
      <c r="O122" s="665"/>
      <c r="P122" s="665"/>
      <c r="Q122" s="665"/>
      <c r="R122" s="665"/>
      <c r="S122" s="665"/>
      <c r="T122" s="665"/>
      <c r="U122" s="665"/>
      <c r="V122" s="665"/>
      <c r="W122" s="665"/>
      <c r="X122" s="665"/>
      <c r="Y122" s="665"/>
      <c r="Z122" s="665"/>
    </row>
    <row r="123">
      <c r="A123" s="462" t="str">
        <f>A65</f>
        <v>Stocks (5%)</v>
      </c>
      <c r="B123" s="652"/>
      <c r="C123" s="660">
        <f>F88</f>
        <v>3784.16523</v>
      </c>
      <c r="D123" s="661">
        <f>E88</f>
        <v>5780.16</v>
      </c>
      <c r="E123" s="662">
        <f t="shared" si="24"/>
        <v>0.001290603661</v>
      </c>
      <c r="F123" s="650"/>
      <c r="G123" s="654"/>
      <c r="H123" s="654"/>
      <c r="I123" s="650"/>
      <c r="J123" s="650"/>
      <c r="K123" s="655"/>
      <c r="L123" s="655"/>
      <c r="M123" s="655"/>
      <c r="N123" s="655"/>
      <c r="O123" s="655"/>
      <c r="P123" s="655"/>
      <c r="Q123" s="655"/>
      <c r="R123" s="655"/>
      <c r="S123" s="655"/>
      <c r="T123" s="655"/>
      <c r="U123" s="655"/>
      <c r="V123" s="655"/>
      <c r="W123" s="655"/>
      <c r="X123" s="655"/>
      <c r="Y123" s="655"/>
      <c r="Z123" s="655"/>
    </row>
    <row r="124" hidden="1">
      <c r="A124" s="655" t="str">
        <f>A90</f>
        <v>Bonds, ETFs, CDs</v>
      </c>
      <c r="B124" s="652"/>
      <c r="C124" s="1115">
        <f>F92</f>
        <v>0</v>
      </c>
      <c r="D124" s="1039">
        <f>E92</f>
        <v>0</v>
      </c>
      <c r="E124" s="1040">
        <v>0.0</v>
      </c>
      <c r="F124" s="650"/>
      <c r="G124" s="654"/>
      <c r="H124" s="654"/>
      <c r="I124" s="650"/>
      <c r="J124" s="650"/>
      <c r="K124" s="655"/>
      <c r="L124" s="655"/>
      <c r="M124" s="655"/>
      <c r="N124" s="655"/>
      <c r="O124" s="655"/>
      <c r="P124" s="655"/>
      <c r="Q124" s="655"/>
      <c r="R124" s="655"/>
      <c r="S124" s="655"/>
      <c r="T124" s="655"/>
      <c r="U124" s="655"/>
      <c r="V124" s="655"/>
      <c r="W124" s="655"/>
      <c r="X124" s="655"/>
      <c r="Y124" s="655"/>
      <c r="Z124" s="655"/>
    </row>
    <row r="125">
      <c r="A125" s="462" t="str">
        <f>A99</f>
        <v>Venture Capital</v>
      </c>
      <c r="B125" s="652"/>
      <c r="C125" s="660">
        <f>F104</f>
        <v>179098</v>
      </c>
      <c r="D125" s="661">
        <f>E104</f>
        <v>179098</v>
      </c>
      <c r="E125" s="662">
        <f t="shared" ref="E125:E127" si="25">IF(C125&gt;0,C125/SUM($C$120:$C$127), "")</f>
        <v>0.06108204069</v>
      </c>
      <c r="F125" s="650"/>
      <c r="G125" s="654"/>
      <c r="H125" s="654"/>
      <c r="I125" s="650"/>
      <c r="J125" s="650"/>
      <c r="K125" s="655"/>
      <c r="L125" s="655"/>
      <c r="M125" s="655"/>
      <c r="N125" s="655"/>
      <c r="O125" s="655"/>
      <c r="P125" s="655"/>
      <c r="Q125" s="655"/>
      <c r="R125" s="655"/>
      <c r="S125" s="655"/>
      <c r="T125" s="655"/>
      <c r="U125" s="655"/>
      <c r="V125" s="655"/>
      <c r="W125" s="655"/>
      <c r="X125" s="655"/>
      <c r="Y125" s="655"/>
      <c r="Z125" s="655"/>
    </row>
    <row r="126">
      <c r="A126" s="462" t="str">
        <f>A3</f>
        <v>Checking/ Savings</v>
      </c>
      <c r="B126" s="652"/>
      <c r="C126" s="660">
        <f>F8</f>
        <v>190000</v>
      </c>
      <c r="D126" s="661">
        <f>E8</f>
        <v>190000</v>
      </c>
      <c r="E126" s="662">
        <f t="shared" si="25"/>
        <v>0.06480020844</v>
      </c>
      <c r="F126" s="650"/>
      <c r="G126" s="654"/>
      <c r="H126" s="654"/>
      <c r="I126" s="650"/>
      <c r="J126" s="650"/>
      <c r="K126" s="655"/>
      <c r="L126" s="655"/>
      <c r="M126" s="655"/>
      <c r="N126" s="655"/>
      <c r="O126" s="655"/>
      <c r="P126" s="655"/>
      <c r="Q126" s="655"/>
      <c r="R126" s="655"/>
      <c r="S126" s="655"/>
      <c r="T126" s="655"/>
      <c r="U126" s="655"/>
      <c r="V126" s="655"/>
      <c r="W126" s="655"/>
      <c r="X126" s="655"/>
      <c r="Y126" s="655"/>
      <c r="Z126" s="655"/>
    </row>
    <row r="127">
      <c r="A127" s="462" t="str">
        <f>A114</f>
        <v>Loans Distributed</v>
      </c>
      <c r="B127" s="652"/>
      <c r="C127" s="660">
        <f>F117</f>
        <v>7099</v>
      </c>
      <c r="D127" s="661">
        <f>E117</f>
        <v>6035</v>
      </c>
      <c r="E127" s="662">
        <f t="shared" si="25"/>
        <v>0.002421140419</v>
      </c>
      <c r="F127" s="650"/>
      <c r="G127" s="654"/>
      <c r="H127" s="654"/>
      <c r="I127" s="650"/>
      <c r="J127" s="650"/>
      <c r="K127" s="655"/>
      <c r="L127" s="655"/>
      <c r="M127" s="655"/>
      <c r="N127" s="655"/>
      <c r="O127" s="655"/>
      <c r="P127" s="655"/>
      <c r="Q127" s="655"/>
      <c r="R127" s="655"/>
      <c r="S127" s="655"/>
      <c r="T127" s="655"/>
      <c r="U127" s="655"/>
      <c r="V127" s="655"/>
      <c r="W127" s="655"/>
      <c r="X127" s="655"/>
      <c r="Y127" s="655"/>
      <c r="Z127" s="655"/>
    </row>
    <row r="128">
      <c r="A128" s="1041" t="s">
        <v>322</v>
      </c>
      <c r="B128" s="1042"/>
      <c r="C128" s="1116">
        <f t="shared" ref="C128:D128" si="26">sum(C120:C127 )</f>
        <v>2932089.334</v>
      </c>
      <c r="D128" s="1043">
        <f t="shared" si="26"/>
        <v>2472666.238</v>
      </c>
      <c r="E128" s="1044">
        <f>SUBTOTAL(109,E$120:E$127)</f>
        <v>1</v>
      </c>
      <c r="F128" s="648"/>
      <c r="G128" s="583"/>
      <c r="H128" s="583"/>
      <c r="I128" s="112"/>
      <c r="J128" s="648"/>
      <c r="K128" s="664"/>
      <c r="L128" s="664"/>
      <c r="M128" s="664"/>
      <c r="N128" s="664"/>
      <c r="O128" s="664"/>
      <c r="P128" s="664"/>
      <c r="Q128" s="664"/>
      <c r="R128" s="664"/>
      <c r="S128" s="664"/>
      <c r="T128" s="664"/>
      <c r="U128" s="664"/>
      <c r="V128" s="664"/>
      <c r="W128" s="664"/>
      <c r="X128" s="664"/>
      <c r="Y128" s="664"/>
      <c r="Z128" s="664"/>
    </row>
    <row r="129">
      <c r="A129" s="462"/>
      <c r="B129" s="462"/>
      <c r="C129" s="659"/>
      <c r="E129" s="650"/>
      <c r="F129" s="650"/>
      <c r="G129" s="654"/>
      <c r="H129" s="654"/>
      <c r="I129" s="650"/>
      <c r="J129" s="650"/>
      <c r="K129" s="655"/>
      <c r="L129" s="655"/>
      <c r="M129" s="655"/>
      <c r="N129" s="655"/>
      <c r="O129" s="655"/>
      <c r="P129" s="655"/>
      <c r="Q129" s="655"/>
      <c r="R129" s="655"/>
      <c r="S129" s="655"/>
      <c r="T129" s="655"/>
      <c r="U129" s="655"/>
      <c r="V129" s="655"/>
      <c r="W129" s="655"/>
      <c r="X129" s="655"/>
      <c r="Y129" s="655"/>
      <c r="Z129" s="655"/>
    </row>
    <row r="130">
      <c r="B130" s="462"/>
      <c r="C130" s="671"/>
      <c r="E130" s="650"/>
      <c r="F130" s="650"/>
      <c r="G130" s="654"/>
      <c r="H130" s="654"/>
      <c r="I130" s="650"/>
      <c r="J130" s="650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</row>
    <row r="131">
      <c r="A131" s="1045" t="s">
        <v>799</v>
      </c>
      <c r="B131" s="1046" t="s">
        <v>800</v>
      </c>
      <c r="C131" s="1117" t="s">
        <v>327</v>
      </c>
      <c r="D131" s="1047" t="s">
        <v>801</v>
      </c>
      <c r="E131" s="1047" t="s">
        <v>642</v>
      </c>
      <c r="F131" s="1047" t="s">
        <v>802</v>
      </c>
      <c r="G131" s="1047" t="s">
        <v>803</v>
      </c>
      <c r="H131" s="654"/>
      <c r="I131" s="650"/>
      <c r="J131" s="650"/>
      <c r="K131" s="655"/>
      <c r="L131" s="655"/>
      <c r="M131" s="655"/>
      <c r="N131" s="655"/>
      <c r="O131" s="655"/>
      <c r="P131" s="655"/>
      <c r="Q131" s="655"/>
      <c r="R131" s="655"/>
      <c r="S131" s="655"/>
      <c r="T131" s="655"/>
      <c r="U131" s="655"/>
      <c r="V131" s="655"/>
      <c r="W131" s="655"/>
      <c r="X131" s="655"/>
      <c r="Y131" s="655"/>
      <c r="Z131" s="655"/>
    </row>
    <row r="132">
      <c r="A132" s="1048" t="s">
        <v>804</v>
      </c>
      <c r="B132" s="477">
        <v>10000.0</v>
      </c>
      <c r="C132" s="679">
        <v>5.0186</v>
      </c>
      <c r="D132" s="1049" t="s">
        <v>805</v>
      </c>
      <c r="E132" s="110" t="s">
        <v>458</v>
      </c>
      <c r="F132" s="1050">
        <f t="shared" ref="F132:F134" si="27">C132*3400</f>
        <v>17063.24</v>
      </c>
      <c r="G132" s="650"/>
      <c r="H132" s="654"/>
      <c r="I132" s="650"/>
      <c r="J132" s="650"/>
      <c r="K132" s="655"/>
      <c r="L132" s="655"/>
      <c r="M132" s="655"/>
      <c r="N132" s="655"/>
      <c r="O132" s="655"/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</row>
    <row r="133">
      <c r="A133" s="1051" t="s">
        <v>385</v>
      </c>
      <c r="B133" s="477">
        <f>sum(2500,2000)</f>
        <v>4500</v>
      </c>
      <c r="C133" s="679">
        <f>sum(2.7)</f>
        <v>2.7</v>
      </c>
      <c r="D133" s="1049" t="s">
        <v>686</v>
      </c>
      <c r="E133" s="110" t="s">
        <v>806</v>
      </c>
      <c r="F133" s="1050">
        <f t="shared" si="27"/>
        <v>9180</v>
      </c>
      <c r="G133" s="650"/>
      <c r="H133" s="595"/>
      <c r="I133" s="650"/>
      <c r="J133" s="650"/>
      <c r="K133" s="655"/>
      <c r="L133" s="655"/>
      <c r="M133" s="655"/>
      <c r="N133" s="655"/>
      <c r="O133" s="655"/>
      <c r="P133" s="655"/>
      <c r="Q133" s="655"/>
      <c r="R133" s="655"/>
      <c r="S133" s="655"/>
      <c r="T133" s="655"/>
      <c r="U133" s="655"/>
      <c r="V133" s="655"/>
      <c r="W133" s="655"/>
      <c r="X133" s="655"/>
      <c r="Y133" s="655"/>
      <c r="Z133" s="655"/>
    </row>
    <row r="134">
      <c r="A134" s="1048" t="s">
        <v>807</v>
      </c>
      <c r="B134" s="1052">
        <f>C134*3300</f>
        <v>6930</v>
      </c>
      <c r="C134" s="679">
        <v>2.1</v>
      </c>
      <c r="D134" s="1049" t="s">
        <v>805</v>
      </c>
      <c r="E134" s="110" t="s">
        <v>458</v>
      </c>
      <c r="F134" s="1053">
        <f t="shared" si="27"/>
        <v>7140</v>
      </c>
      <c r="H134" s="654"/>
      <c r="I134" s="650"/>
      <c r="J134" s="650"/>
      <c r="K134" s="655"/>
      <c r="L134" s="655"/>
      <c r="M134" s="655"/>
      <c r="N134" s="655"/>
      <c r="O134" s="655"/>
      <c r="P134" s="655"/>
      <c r="Q134" s="655"/>
      <c r="R134" s="655"/>
      <c r="S134" s="655"/>
      <c r="T134" s="655"/>
      <c r="U134" s="655"/>
      <c r="V134" s="655"/>
      <c r="W134" s="655"/>
      <c r="X134" s="655"/>
      <c r="Y134" s="655"/>
      <c r="Z134" s="655"/>
    </row>
    <row r="135">
      <c r="A135" s="1048" t="s">
        <v>387</v>
      </c>
      <c r="B135" s="477">
        <v>13576.0</v>
      </c>
      <c r="C135" s="679">
        <v>5.0</v>
      </c>
      <c r="D135" s="1049" t="s">
        <v>805</v>
      </c>
      <c r="E135" s="110" t="s">
        <v>458</v>
      </c>
      <c r="F135" s="673">
        <v>13576.0</v>
      </c>
      <c r="G135" s="654"/>
      <c r="H135" s="654"/>
      <c r="I135" s="650"/>
      <c r="J135" s="650"/>
      <c r="K135" s="655"/>
      <c r="L135" s="655"/>
      <c r="M135" s="655"/>
      <c r="N135" s="655"/>
      <c r="O135" s="655"/>
      <c r="P135" s="655"/>
      <c r="Q135" s="655"/>
      <c r="R135" s="655"/>
      <c r="S135" s="655"/>
      <c r="T135" s="655"/>
      <c r="U135" s="655"/>
      <c r="V135" s="655"/>
      <c r="W135" s="655"/>
      <c r="X135" s="655"/>
      <c r="Y135" s="655"/>
      <c r="Z135" s="655"/>
    </row>
    <row r="136">
      <c r="A136" s="1048" t="s">
        <v>808</v>
      </c>
      <c r="B136" s="649">
        <v>10476.0</v>
      </c>
      <c r="C136" s="679">
        <v>4.05513</v>
      </c>
      <c r="D136" s="1049" t="s">
        <v>805</v>
      </c>
      <c r="E136" s="110" t="s">
        <v>458</v>
      </c>
      <c r="F136" s="673">
        <v>10476.94</v>
      </c>
      <c r="G136" s="654"/>
      <c r="H136" s="654"/>
      <c r="I136" s="650"/>
      <c r="J136" s="650"/>
      <c r="K136" s="655"/>
      <c r="L136" s="655"/>
      <c r="M136" s="655"/>
      <c r="N136" s="655"/>
      <c r="O136" s="655"/>
      <c r="P136" s="655"/>
      <c r="Q136" s="655"/>
      <c r="R136" s="655"/>
      <c r="S136" s="655"/>
      <c r="T136" s="655"/>
      <c r="U136" s="655"/>
      <c r="V136" s="655"/>
      <c r="W136" s="655"/>
      <c r="X136" s="655"/>
      <c r="Y136" s="655"/>
      <c r="Z136" s="655"/>
    </row>
    <row r="137">
      <c r="A137" s="1048" t="s">
        <v>388</v>
      </c>
      <c r="B137" s="649">
        <v>7789.0</v>
      </c>
      <c r="C137" s="679">
        <v>3.697232</v>
      </c>
      <c r="D137" s="1049" t="s">
        <v>805</v>
      </c>
      <c r="E137" s="110" t="s">
        <v>458</v>
      </c>
      <c r="F137" s="673">
        <v>7789.0</v>
      </c>
      <c r="G137" s="654"/>
      <c r="H137" s="654"/>
      <c r="I137" s="650"/>
      <c r="J137" s="650"/>
      <c r="K137" s="655"/>
      <c r="L137" s="655"/>
      <c r="M137" s="655"/>
      <c r="N137" s="655"/>
      <c r="O137" s="655"/>
      <c r="P137" s="655"/>
      <c r="Q137" s="655"/>
      <c r="R137" s="655"/>
      <c r="S137" s="655"/>
      <c r="T137" s="655"/>
      <c r="U137" s="655"/>
      <c r="V137" s="655"/>
      <c r="W137" s="655"/>
      <c r="X137" s="655"/>
      <c r="Y137" s="655"/>
      <c r="Z137" s="655"/>
    </row>
    <row r="138">
      <c r="A138" s="102"/>
      <c r="B138" s="462"/>
      <c r="C138" s="1118">
        <f>sum(C132:C137 )</f>
        <v>22.570962</v>
      </c>
      <c r="D138" s="1054"/>
      <c r="E138" s="1055"/>
      <c r="F138" s="1119">
        <f>sum(F132:F137 )</f>
        <v>65225.18</v>
      </c>
      <c r="G138" s="1055"/>
      <c r="H138" s="654"/>
      <c r="I138" s="650"/>
      <c r="J138" s="650"/>
      <c r="K138" s="655"/>
      <c r="L138" s="655"/>
      <c r="M138" s="655"/>
      <c r="N138" s="655"/>
      <c r="O138" s="655"/>
      <c r="P138" s="655"/>
      <c r="Q138" s="655"/>
      <c r="R138" s="655"/>
      <c r="S138" s="655"/>
      <c r="T138" s="655"/>
      <c r="U138" s="655"/>
      <c r="V138" s="655"/>
      <c r="W138" s="655"/>
      <c r="X138" s="655"/>
      <c r="Y138" s="655"/>
      <c r="Z138" s="655"/>
    </row>
    <row r="139">
      <c r="A139" s="102"/>
      <c r="B139" s="462"/>
      <c r="C139" s="671"/>
      <c r="D139" s="462"/>
      <c r="E139" s="672"/>
      <c r="F139" s="650"/>
      <c r="G139" s="654"/>
      <c r="H139" s="654"/>
      <c r="I139" s="650"/>
      <c r="J139" s="650"/>
      <c r="K139" s="655"/>
      <c r="L139" s="655"/>
      <c r="M139" s="655"/>
      <c r="N139" s="655"/>
      <c r="O139" s="655"/>
      <c r="P139" s="655"/>
      <c r="Q139" s="655"/>
      <c r="R139" s="655"/>
      <c r="S139" s="655"/>
      <c r="T139" s="655"/>
      <c r="U139" s="655"/>
      <c r="V139" s="655"/>
      <c r="W139" s="655"/>
      <c r="X139" s="655"/>
      <c r="Y139" s="655"/>
      <c r="Z139" s="655"/>
    </row>
    <row r="140">
      <c r="A140" s="102"/>
      <c r="B140" s="462"/>
      <c r="C140" s="671"/>
      <c r="D140" s="462"/>
      <c r="E140" s="673"/>
      <c r="F140" s="650"/>
      <c r="G140" s="654"/>
      <c r="H140" s="654"/>
      <c r="I140" s="650"/>
      <c r="J140" s="650"/>
      <c r="K140" s="655"/>
      <c r="L140" s="655"/>
      <c r="M140" s="655"/>
      <c r="N140" s="655"/>
      <c r="O140" s="655"/>
      <c r="P140" s="655"/>
      <c r="Q140" s="655"/>
      <c r="R140" s="655"/>
      <c r="S140" s="655"/>
      <c r="T140" s="655"/>
      <c r="U140" s="655"/>
      <c r="V140" s="655"/>
      <c r="W140" s="655"/>
      <c r="X140" s="655"/>
      <c r="Y140" s="655"/>
      <c r="Z140" s="655"/>
    </row>
    <row r="141">
      <c r="A141" s="102"/>
      <c r="B141" s="462"/>
      <c r="C141" s="671"/>
      <c r="D141" s="462"/>
      <c r="E141" s="654"/>
      <c r="G141" s="654"/>
      <c r="H141" s="654"/>
      <c r="I141" s="650"/>
      <c r="J141" s="650"/>
      <c r="K141" s="655"/>
      <c r="L141" s="655"/>
      <c r="M141" s="655"/>
      <c r="N141" s="655"/>
      <c r="O141" s="655"/>
      <c r="P141" s="655"/>
      <c r="Q141" s="655"/>
      <c r="R141" s="655"/>
      <c r="S141" s="655"/>
      <c r="T141" s="655"/>
      <c r="U141" s="655"/>
      <c r="V141" s="655"/>
      <c r="W141" s="655"/>
      <c r="X141" s="655"/>
      <c r="Y141" s="655"/>
      <c r="Z141" s="655"/>
    </row>
    <row r="142">
      <c r="A142" s="102"/>
      <c r="B142" s="462"/>
      <c r="C142" s="671"/>
      <c r="D142" s="462"/>
      <c r="E142" s="654"/>
      <c r="F142" s="650"/>
      <c r="G142" s="654"/>
      <c r="H142" s="654"/>
      <c r="I142" s="650"/>
      <c r="J142" s="650"/>
      <c r="K142" s="655"/>
      <c r="L142" s="655"/>
      <c r="M142" s="655"/>
      <c r="N142" s="655"/>
      <c r="O142" s="655"/>
      <c r="P142" s="655"/>
      <c r="Q142" s="655"/>
      <c r="R142" s="655"/>
      <c r="S142" s="655"/>
      <c r="T142" s="655"/>
      <c r="U142" s="655"/>
      <c r="V142" s="655"/>
      <c r="W142" s="655"/>
      <c r="X142" s="655"/>
      <c r="Y142" s="655"/>
      <c r="Z142" s="655"/>
    </row>
    <row r="143">
      <c r="A143" s="102"/>
      <c r="B143" s="462"/>
      <c r="C143" s="671"/>
      <c r="D143" s="462"/>
      <c r="E143" s="654"/>
      <c r="F143" s="650"/>
      <c r="G143" s="654"/>
      <c r="H143" s="654"/>
      <c r="I143" s="650"/>
      <c r="J143" s="650"/>
      <c r="K143" s="655"/>
      <c r="L143" s="655"/>
      <c r="M143" s="655"/>
      <c r="N143" s="655"/>
      <c r="O143" s="655"/>
      <c r="P143" s="655"/>
      <c r="Q143" s="655"/>
      <c r="R143" s="655"/>
      <c r="S143" s="655"/>
      <c r="T143" s="655"/>
      <c r="U143" s="655"/>
      <c r="V143" s="655"/>
      <c r="W143" s="655"/>
      <c r="X143" s="655"/>
      <c r="Y143" s="655"/>
      <c r="Z143" s="655"/>
    </row>
    <row r="144">
      <c r="A144" s="104"/>
      <c r="B144" s="675"/>
      <c r="C144" s="676"/>
      <c r="D144" s="675"/>
      <c r="E144" s="677"/>
      <c r="F144" s="678"/>
      <c r="G144" s="677"/>
      <c r="H144" s="654"/>
      <c r="I144" s="650"/>
      <c r="J144" s="650"/>
      <c r="K144" s="655"/>
      <c r="L144" s="655"/>
      <c r="M144" s="655"/>
      <c r="N144" s="655"/>
      <c r="O144" s="655"/>
      <c r="P144" s="655"/>
      <c r="Q144" s="655"/>
      <c r="R144" s="655"/>
      <c r="S144" s="655"/>
      <c r="T144" s="655"/>
      <c r="U144" s="655"/>
      <c r="V144" s="655"/>
      <c r="W144" s="655"/>
      <c r="X144" s="655"/>
      <c r="Y144" s="655"/>
      <c r="Z144" s="655"/>
    </row>
    <row r="145">
      <c r="B145" s="462"/>
      <c r="C145" s="671"/>
      <c r="D145" s="462"/>
      <c r="E145" s="654"/>
      <c r="F145" s="650"/>
      <c r="G145" s="654"/>
      <c r="H145" s="654"/>
      <c r="I145" s="650"/>
      <c r="J145" s="650"/>
      <c r="K145" s="655"/>
      <c r="L145" s="655"/>
      <c r="M145" s="655"/>
      <c r="N145" s="655"/>
      <c r="O145" s="655"/>
      <c r="P145" s="655"/>
      <c r="Q145" s="655"/>
      <c r="R145" s="655"/>
      <c r="S145" s="655"/>
      <c r="T145" s="655"/>
      <c r="U145" s="655"/>
      <c r="V145" s="655"/>
      <c r="W145" s="655"/>
      <c r="X145" s="655"/>
      <c r="Y145" s="655"/>
      <c r="Z145" s="655"/>
    </row>
    <row r="146">
      <c r="B146" s="462"/>
      <c r="C146" s="671"/>
      <c r="D146" s="462"/>
      <c r="E146" s="654"/>
      <c r="F146" s="650"/>
      <c r="G146" s="654"/>
      <c r="H146" s="654"/>
      <c r="I146" s="650"/>
      <c r="J146" s="650"/>
      <c r="K146" s="655"/>
      <c r="L146" s="655"/>
      <c r="M146" s="655"/>
      <c r="N146" s="655"/>
      <c r="O146" s="655"/>
      <c r="P146" s="655"/>
      <c r="Q146" s="655"/>
      <c r="R146" s="655"/>
      <c r="S146" s="655"/>
      <c r="T146" s="655"/>
      <c r="U146" s="655"/>
      <c r="V146" s="655"/>
      <c r="W146" s="655"/>
      <c r="X146" s="655"/>
      <c r="Y146" s="655"/>
      <c r="Z146" s="655"/>
    </row>
    <row r="147">
      <c r="B147" s="462"/>
      <c r="C147" s="671"/>
      <c r="D147" s="462"/>
      <c r="E147" s="654"/>
      <c r="F147" s="679"/>
      <c r="G147" s="654"/>
      <c r="H147" s="654"/>
      <c r="I147" s="650"/>
      <c r="J147" s="650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</row>
    <row r="148">
      <c r="B148" s="462"/>
      <c r="C148" s="671"/>
      <c r="D148" s="462"/>
      <c r="E148" s="680"/>
      <c r="F148" s="109"/>
      <c r="G148" s="654"/>
      <c r="H148" s="654"/>
      <c r="I148" s="650"/>
      <c r="J148" s="650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</row>
    <row r="149">
      <c r="B149" s="462"/>
      <c r="C149" s="671"/>
      <c r="D149" s="462"/>
      <c r="E149" s="654"/>
      <c r="F149" s="109"/>
      <c r="G149" s="654"/>
      <c r="H149" s="654"/>
      <c r="I149" s="650"/>
      <c r="J149" s="650"/>
      <c r="K149" s="655"/>
      <c r="L149" s="655"/>
      <c r="M149" s="655"/>
      <c r="N149" s="655"/>
      <c r="O149" s="655"/>
      <c r="P149" s="655"/>
      <c r="Q149" s="655"/>
      <c r="R149" s="655"/>
      <c r="S149" s="655"/>
      <c r="T149" s="655"/>
      <c r="U149" s="655"/>
      <c r="V149" s="655"/>
      <c r="W149" s="655"/>
      <c r="X149" s="655"/>
      <c r="Y149" s="655"/>
      <c r="Z149" s="655"/>
    </row>
    <row r="150">
      <c r="B150" s="462"/>
      <c r="C150" s="671"/>
      <c r="D150" s="462"/>
      <c r="E150" s="654"/>
      <c r="F150" s="679"/>
      <c r="G150" s="654"/>
      <c r="H150" s="654"/>
      <c r="I150" s="650"/>
      <c r="J150" s="650"/>
      <c r="K150" s="655"/>
      <c r="L150" s="655"/>
      <c r="M150" s="655"/>
      <c r="N150" s="655"/>
      <c r="O150" s="655"/>
      <c r="P150" s="655"/>
      <c r="Q150" s="655"/>
      <c r="R150" s="655"/>
      <c r="S150" s="655"/>
      <c r="T150" s="655"/>
      <c r="U150" s="655"/>
      <c r="V150" s="655"/>
      <c r="W150" s="655"/>
      <c r="X150" s="655"/>
      <c r="Y150" s="655"/>
      <c r="Z150" s="655"/>
    </row>
    <row r="151">
      <c r="B151" s="462"/>
      <c r="C151" s="671"/>
      <c r="D151" s="462"/>
      <c r="E151" s="654"/>
      <c r="F151" s="671"/>
      <c r="G151" s="654"/>
      <c r="H151" s="654"/>
      <c r="I151" s="650"/>
      <c r="J151" s="650"/>
      <c r="K151" s="655"/>
      <c r="L151" s="655"/>
      <c r="M151" s="655"/>
      <c r="N151" s="655"/>
      <c r="O151" s="655"/>
      <c r="P151" s="655"/>
      <c r="Q151" s="655"/>
      <c r="R151" s="655"/>
      <c r="S151" s="655"/>
      <c r="T151" s="655"/>
      <c r="U151" s="655"/>
      <c r="V151" s="655"/>
      <c r="W151" s="655"/>
      <c r="X151" s="655"/>
      <c r="Y151" s="655"/>
      <c r="Z151" s="655"/>
    </row>
    <row r="152">
      <c r="B152" s="462"/>
      <c r="C152" s="671"/>
      <c r="D152" s="462"/>
      <c r="E152" s="654"/>
      <c r="F152" s="650"/>
      <c r="G152" s="654"/>
      <c r="H152" s="654"/>
      <c r="I152" s="650"/>
      <c r="J152" s="650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</row>
    <row r="153">
      <c r="B153" s="462"/>
      <c r="C153" s="671"/>
      <c r="D153" s="462"/>
      <c r="E153" s="654"/>
      <c r="F153" s="650"/>
      <c r="G153" s="654"/>
      <c r="H153" s="654"/>
      <c r="I153" s="650"/>
      <c r="J153" s="650"/>
      <c r="K153" s="655"/>
      <c r="L153" s="655"/>
      <c r="M153" s="655"/>
      <c r="N153" s="655"/>
      <c r="O153" s="655"/>
      <c r="P153" s="655"/>
      <c r="Q153" s="655"/>
      <c r="R153" s="655"/>
      <c r="S153" s="655"/>
      <c r="T153" s="655"/>
      <c r="U153" s="655"/>
      <c r="V153" s="655"/>
      <c r="W153" s="655"/>
      <c r="X153" s="655"/>
      <c r="Y153" s="655"/>
      <c r="Z153" s="655"/>
    </row>
    <row r="154">
      <c r="B154" s="462"/>
      <c r="C154" s="671"/>
      <c r="D154" s="462"/>
      <c r="E154" s="654"/>
      <c r="F154" s="650"/>
      <c r="G154" s="654"/>
      <c r="H154" s="654"/>
      <c r="I154" s="650"/>
      <c r="J154" s="650"/>
      <c r="K154" s="655"/>
      <c r="L154" s="655"/>
      <c r="M154" s="655"/>
      <c r="N154" s="655"/>
      <c r="O154" s="655"/>
      <c r="P154" s="655"/>
      <c r="Q154" s="655"/>
      <c r="R154" s="655"/>
      <c r="S154" s="655"/>
      <c r="T154" s="655"/>
      <c r="U154" s="655"/>
      <c r="V154" s="655"/>
      <c r="W154" s="655"/>
      <c r="X154" s="655"/>
      <c r="Y154" s="655"/>
      <c r="Z154" s="655"/>
    </row>
    <row r="155">
      <c r="B155" s="462"/>
      <c r="C155" s="671"/>
      <c r="D155" s="462"/>
      <c r="E155" s="654"/>
      <c r="F155" s="650"/>
      <c r="G155" s="654"/>
      <c r="H155" s="654"/>
      <c r="I155" s="650"/>
      <c r="J155" s="650"/>
      <c r="K155" s="655"/>
      <c r="L155" s="655"/>
      <c r="M155" s="655"/>
      <c r="N155" s="655"/>
      <c r="O155" s="655"/>
      <c r="P155" s="655"/>
      <c r="Q155" s="655"/>
      <c r="R155" s="655"/>
      <c r="S155" s="655"/>
      <c r="T155" s="655"/>
      <c r="U155" s="655"/>
      <c r="V155" s="655"/>
      <c r="W155" s="655"/>
      <c r="X155" s="655"/>
      <c r="Y155" s="655"/>
      <c r="Z155" s="655"/>
    </row>
    <row r="156">
      <c r="B156" s="462"/>
      <c r="C156" s="671"/>
      <c r="D156" s="462"/>
      <c r="E156" s="654"/>
      <c r="F156" s="650"/>
      <c r="G156" s="654"/>
      <c r="H156" s="654"/>
      <c r="I156" s="650"/>
      <c r="J156" s="650"/>
      <c r="K156" s="655"/>
      <c r="L156" s="655"/>
      <c r="M156" s="655"/>
      <c r="N156" s="655"/>
      <c r="O156" s="655"/>
      <c r="P156" s="655"/>
      <c r="Q156" s="655"/>
      <c r="R156" s="655"/>
      <c r="S156" s="655"/>
      <c r="T156" s="655"/>
      <c r="U156" s="655"/>
      <c r="V156" s="655"/>
      <c r="W156" s="655"/>
      <c r="X156" s="655"/>
      <c r="Y156" s="655"/>
      <c r="Z156" s="655"/>
    </row>
    <row r="157">
      <c r="B157" s="462"/>
      <c r="C157" s="671"/>
      <c r="D157" s="462"/>
      <c r="E157" s="654"/>
      <c r="F157" s="650"/>
      <c r="G157" s="654"/>
      <c r="H157" s="654"/>
      <c r="I157" s="650"/>
      <c r="J157" s="650"/>
      <c r="K157" s="655"/>
      <c r="L157" s="655"/>
      <c r="M157" s="655"/>
      <c r="N157" s="655"/>
      <c r="O157" s="655"/>
      <c r="P157" s="655"/>
      <c r="Q157" s="655"/>
      <c r="R157" s="655"/>
      <c r="S157" s="655"/>
      <c r="T157" s="655"/>
      <c r="U157" s="655"/>
      <c r="V157" s="655"/>
      <c r="W157" s="655"/>
      <c r="X157" s="655"/>
      <c r="Y157" s="655"/>
      <c r="Z157" s="655"/>
    </row>
    <row r="158">
      <c r="B158" s="462"/>
      <c r="C158" s="671"/>
      <c r="D158" s="462"/>
      <c r="E158" s="654"/>
      <c r="F158" s="650"/>
      <c r="G158" s="654"/>
      <c r="H158" s="654"/>
      <c r="I158" s="650"/>
      <c r="J158" s="650"/>
      <c r="K158" s="655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</row>
    <row r="159">
      <c r="B159" s="462"/>
      <c r="C159" s="671"/>
      <c r="D159" s="462"/>
      <c r="E159" s="654"/>
      <c r="F159" s="650"/>
      <c r="G159" s="654"/>
      <c r="H159" s="654"/>
      <c r="I159" s="650"/>
      <c r="J159" s="650"/>
      <c r="K159" s="655"/>
      <c r="L159" s="655"/>
      <c r="M159" s="655"/>
      <c r="N159" s="655"/>
      <c r="O159" s="655"/>
      <c r="P159" s="655"/>
      <c r="Q159" s="655"/>
      <c r="R159" s="655"/>
      <c r="S159" s="655"/>
      <c r="T159" s="655"/>
      <c r="U159" s="655"/>
      <c r="V159" s="655"/>
      <c r="W159" s="655"/>
      <c r="X159" s="655"/>
      <c r="Y159" s="655"/>
      <c r="Z159" s="655"/>
    </row>
    <row r="160">
      <c r="B160" s="462"/>
      <c r="C160" s="671"/>
      <c r="D160" s="462"/>
      <c r="E160" s="654"/>
      <c r="F160" s="650"/>
      <c r="G160" s="654"/>
      <c r="H160" s="654"/>
      <c r="I160" s="650"/>
      <c r="J160" s="650"/>
      <c r="K160" s="655"/>
      <c r="L160" s="655"/>
      <c r="M160" s="655"/>
      <c r="N160" s="655"/>
      <c r="O160" s="655"/>
      <c r="P160" s="655"/>
      <c r="Q160" s="655"/>
      <c r="R160" s="655"/>
      <c r="S160" s="655"/>
      <c r="T160" s="655"/>
      <c r="U160" s="655"/>
      <c r="V160" s="655"/>
      <c r="W160" s="655"/>
      <c r="X160" s="655"/>
      <c r="Y160" s="655"/>
      <c r="Z160" s="655"/>
    </row>
    <row r="161">
      <c r="B161" s="462"/>
      <c r="C161" s="671"/>
      <c r="D161" s="462"/>
      <c r="E161" s="654"/>
      <c r="F161" s="650"/>
      <c r="G161" s="654"/>
      <c r="H161" s="654"/>
      <c r="I161" s="650"/>
      <c r="J161" s="650"/>
      <c r="K161" s="655"/>
      <c r="L161" s="655"/>
      <c r="M161" s="655"/>
      <c r="N161" s="655"/>
      <c r="O161" s="655"/>
      <c r="P161" s="655"/>
      <c r="Q161" s="655"/>
      <c r="R161" s="655"/>
      <c r="S161" s="655"/>
      <c r="T161" s="655"/>
      <c r="U161" s="655"/>
      <c r="V161" s="655"/>
      <c r="W161" s="655"/>
      <c r="X161" s="655"/>
      <c r="Y161" s="655"/>
      <c r="Z161" s="655"/>
    </row>
    <row r="162">
      <c r="B162" s="462"/>
      <c r="C162" s="671"/>
      <c r="D162" s="462"/>
      <c r="E162" s="654"/>
      <c r="F162" s="650"/>
      <c r="G162" s="654"/>
      <c r="H162" s="654"/>
      <c r="I162" s="650"/>
      <c r="J162" s="650"/>
      <c r="K162" s="655"/>
      <c r="L162" s="655"/>
      <c r="M162" s="655"/>
      <c r="N162" s="655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</row>
    <row r="163">
      <c r="B163" s="462"/>
      <c r="C163" s="671"/>
      <c r="D163" s="462"/>
      <c r="E163" s="654"/>
      <c r="F163" s="650"/>
      <c r="G163" s="654"/>
      <c r="H163" s="654"/>
      <c r="I163" s="650"/>
      <c r="J163" s="650"/>
      <c r="K163" s="655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</row>
    <row r="164">
      <c r="B164" s="462"/>
      <c r="C164" s="671"/>
      <c r="D164" s="462"/>
      <c r="E164" s="654"/>
      <c r="F164" s="650"/>
      <c r="G164" s="654"/>
      <c r="H164" s="654"/>
      <c r="I164" s="650"/>
      <c r="J164" s="650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</row>
    <row r="165">
      <c r="B165" s="462"/>
      <c r="C165" s="671"/>
      <c r="D165" s="462"/>
      <c r="E165" s="654"/>
      <c r="F165" s="650"/>
      <c r="G165" s="654"/>
      <c r="H165" s="654"/>
      <c r="I165" s="650"/>
      <c r="J165" s="650"/>
      <c r="K165" s="655"/>
      <c r="L165" s="655"/>
      <c r="M165" s="655"/>
      <c r="N165" s="655"/>
      <c r="O165" s="655"/>
      <c r="P165" s="655"/>
      <c r="Q165" s="655"/>
      <c r="R165" s="655"/>
      <c r="S165" s="655"/>
      <c r="T165" s="655"/>
      <c r="U165" s="655"/>
      <c r="V165" s="655"/>
      <c r="W165" s="655"/>
      <c r="X165" s="655"/>
      <c r="Y165" s="655"/>
      <c r="Z165" s="655"/>
    </row>
    <row r="166">
      <c r="B166" s="462"/>
      <c r="C166" s="671"/>
      <c r="D166" s="462"/>
      <c r="E166" s="654"/>
      <c r="F166" s="650"/>
      <c r="G166" s="654"/>
      <c r="H166" s="654"/>
      <c r="I166" s="650"/>
      <c r="J166" s="650"/>
      <c r="K166" s="655"/>
      <c r="L166" s="655"/>
      <c r="M166" s="655"/>
      <c r="N166" s="655"/>
      <c r="O166" s="655"/>
      <c r="P166" s="655"/>
      <c r="Q166" s="655"/>
      <c r="R166" s="655"/>
      <c r="S166" s="655"/>
      <c r="T166" s="655"/>
      <c r="U166" s="655"/>
      <c r="V166" s="655"/>
      <c r="W166" s="655"/>
      <c r="X166" s="655"/>
      <c r="Y166" s="655"/>
      <c r="Z166" s="655"/>
    </row>
    <row r="167">
      <c r="B167" s="462"/>
      <c r="C167" s="671"/>
      <c r="D167" s="462"/>
      <c r="E167" s="654"/>
      <c r="F167" s="650"/>
      <c r="G167" s="654"/>
      <c r="H167" s="654"/>
      <c r="I167" s="650"/>
      <c r="J167" s="650"/>
      <c r="K167" s="655"/>
      <c r="L167" s="655"/>
      <c r="M167" s="655"/>
      <c r="N167" s="655"/>
      <c r="O167" s="655"/>
      <c r="P167" s="655"/>
      <c r="Q167" s="655"/>
      <c r="R167" s="655"/>
      <c r="S167" s="655"/>
      <c r="T167" s="655"/>
      <c r="U167" s="655"/>
      <c r="V167" s="655"/>
      <c r="W167" s="655"/>
      <c r="X167" s="655"/>
      <c r="Y167" s="655"/>
      <c r="Z167" s="655"/>
    </row>
    <row r="168">
      <c r="B168" s="462"/>
      <c r="C168" s="671"/>
      <c r="D168" s="462"/>
      <c r="E168" s="654"/>
      <c r="F168" s="650"/>
      <c r="G168" s="654"/>
      <c r="H168" s="654"/>
      <c r="I168" s="650"/>
      <c r="J168" s="650"/>
      <c r="K168" s="655"/>
      <c r="L168" s="655"/>
      <c r="M168" s="655"/>
      <c r="N168" s="655"/>
      <c r="O168" s="655"/>
      <c r="P168" s="655"/>
      <c r="Q168" s="655"/>
      <c r="R168" s="655"/>
      <c r="S168" s="655"/>
      <c r="T168" s="655"/>
      <c r="U168" s="655"/>
      <c r="V168" s="655"/>
      <c r="W168" s="655"/>
      <c r="X168" s="655"/>
      <c r="Y168" s="655"/>
      <c r="Z168" s="655"/>
    </row>
    <row r="169">
      <c r="B169" s="462"/>
      <c r="C169" s="671"/>
      <c r="D169" s="462"/>
      <c r="E169" s="654"/>
      <c r="F169" s="650"/>
      <c r="G169" s="654"/>
      <c r="H169" s="654"/>
      <c r="I169" s="650"/>
      <c r="J169" s="650"/>
      <c r="K169" s="655"/>
      <c r="L169" s="655"/>
      <c r="M169" s="655"/>
      <c r="N169" s="655"/>
      <c r="O169" s="655"/>
      <c r="P169" s="655"/>
      <c r="Q169" s="655"/>
      <c r="R169" s="655"/>
      <c r="S169" s="655"/>
      <c r="T169" s="655"/>
      <c r="U169" s="655"/>
      <c r="V169" s="655"/>
      <c r="W169" s="655"/>
      <c r="X169" s="655"/>
      <c r="Y169" s="655"/>
      <c r="Z169" s="655"/>
    </row>
    <row r="170">
      <c r="B170" s="462"/>
      <c r="C170" s="671"/>
      <c r="D170" s="462"/>
      <c r="E170" s="654"/>
      <c r="F170" s="650"/>
      <c r="G170" s="654"/>
      <c r="H170" s="654"/>
      <c r="I170" s="650"/>
      <c r="J170" s="650"/>
      <c r="K170" s="655"/>
      <c r="L170" s="655"/>
      <c r="M170" s="655"/>
      <c r="N170" s="655"/>
      <c r="O170" s="655"/>
      <c r="P170" s="655"/>
      <c r="Q170" s="655"/>
      <c r="R170" s="655"/>
      <c r="S170" s="655"/>
      <c r="T170" s="655"/>
      <c r="U170" s="655"/>
      <c r="V170" s="655"/>
      <c r="W170" s="655"/>
      <c r="X170" s="655"/>
      <c r="Y170" s="655"/>
      <c r="Z170" s="655"/>
    </row>
    <row r="171">
      <c r="B171" s="462"/>
      <c r="C171" s="671"/>
      <c r="D171" s="462"/>
      <c r="E171" s="654"/>
      <c r="F171" s="650"/>
      <c r="G171" s="654"/>
      <c r="H171" s="654"/>
      <c r="I171" s="650"/>
      <c r="J171" s="650"/>
      <c r="K171" s="655"/>
      <c r="L171" s="655"/>
      <c r="M171" s="655"/>
      <c r="N171" s="655"/>
      <c r="O171" s="655"/>
      <c r="P171" s="655"/>
      <c r="Q171" s="655"/>
      <c r="R171" s="655"/>
      <c r="S171" s="655"/>
      <c r="T171" s="655"/>
      <c r="U171" s="655"/>
      <c r="V171" s="655"/>
      <c r="W171" s="655"/>
      <c r="X171" s="655"/>
      <c r="Y171" s="655"/>
      <c r="Z171" s="655"/>
    </row>
    <row r="172">
      <c r="B172" s="462"/>
      <c r="C172" s="671"/>
      <c r="D172" s="462"/>
      <c r="E172" s="654"/>
      <c r="F172" s="650"/>
      <c r="G172" s="654"/>
      <c r="H172" s="654"/>
      <c r="I172" s="650"/>
      <c r="J172" s="650"/>
      <c r="K172" s="655"/>
      <c r="L172" s="655"/>
      <c r="M172" s="655"/>
      <c r="N172" s="655"/>
      <c r="O172" s="655"/>
      <c r="P172" s="655"/>
      <c r="Q172" s="655"/>
      <c r="R172" s="655"/>
      <c r="S172" s="655"/>
      <c r="T172" s="655"/>
      <c r="U172" s="655"/>
      <c r="V172" s="655"/>
      <c r="W172" s="655"/>
      <c r="X172" s="655"/>
      <c r="Y172" s="655"/>
      <c r="Z172" s="655"/>
    </row>
    <row r="173">
      <c r="B173" s="462"/>
      <c r="C173" s="671"/>
      <c r="D173" s="462"/>
      <c r="E173" s="654"/>
      <c r="F173" s="650"/>
      <c r="G173" s="654"/>
      <c r="H173" s="654"/>
      <c r="I173" s="650"/>
      <c r="J173" s="650"/>
      <c r="K173" s="655"/>
      <c r="L173" s="655"/>
      <c r="M173" s="655"/>
      <c r="N173" s="655"/>
      <c r="O173" s="655"/>
      <c r="P173" s="655"/>
      <c r="Q173" s="655"/>
      <c r="R173" s="655"/>
      <c r="S173" s="655"/>
      <c r="T173" s="655"/>
      <c r="U173" s="655"/>
      <c r="V173" s="655"/>
      <c r="W173" s="655"/>
      <c r="X173" s="655"/>
      <c r="Y173" s="655"/>
      <c r="Z173" s="655"/>
    </row>
    <row r="174">
      <c r="B174" s="462"/>
      <c r="C174" s="671"/>
      <c r="D174" s="462"/>
      <c r="E174" s="654"/>
      <c r="F174" s="650"/>
      <c r="G174" s="654"/>
      <c r="H174" s="654"/>
      <c r="I174" s="650"/>
      <c r="J174" s="650"/>
      <c r="K174" s="655"/>
      <c r="L174" s="655"/>
      <c r="M174" s="655"/>
      <c r="N174" s="655"/>
      <c r="O174" s="655"/>
      <c r="P174" s="655"/>
      <c r="Q174" s="655"/>
      <c r="R174" s="655"/>
      <c r="S174" s="655"/>
      <c r="T174" s="655"/>
      <c r="U174" s="655"/>
      <c r="V174" s="655"/>
      <c r="W174" s="655"/>
      <c r="X174" s="655"/>
      <c r="Y174" s="655"/>
      <c r="Z174" s="655"/>
    </row>
    <row r="175">
      <c r="B175" s="462"/>
      <c r="C175" s="671"/>
      <c r="D175" s="462"/>
      <c r="E175" s="654"/>
      <c r="F175" s="650"/>
      <c r="G175" s="654"/>
      <c r="H175" s="654"/>
      <c r="I175" s="650"/>
      <c r="J175" s="650"/>
      <c r="K175" s="655"/>
      <c r="L175" s="655"/>
      <c r="M175" s="655"/>
      <c r="N175" s="655"/>
      <c r="O175" s="655"/>
      <c r="P175" s="655"/>
      <c r="Q175" s="655"/>
      <c r="R175" s="655"/>
      <c r="S175" s="655"/>
      <c r="T175" s="655"/>
      <c r="U175" s="655"/>
      <c r="V175" s="655"/>
      <c r="W175" s="655"/>
      <c r="X175" s="655"/>
      <c r="Y175" s="655"/>
      <c r="Z175" s="655"/>
    </row>
    <row r="176">
      <c r="B176" s="462"/>
      <c r="C176" s="671"/>
      <c r="D176" s="462"/>
      <c r="E176" s="654"/>
      <c r="F176" s="650"/>
      <c r="G176" s="654"/>
      <c r="H176" s="654"/>
      <c r="I176" s="650"/>
      <c r="J176" s="650"/>
      <c r="K176" s="655"/>
      <c r="L176" s="655"/>
      <c r="M176" s="655"/>
      <c r="N176" s="655"/>
      <c r="O176" s="655"/>
      <c r="P176" s="655"/>
      <c r="Q176" s="655"/>
      <c r="R176" s="655"/>
      <c r="S176" s="655"/>
      <c r="T176" s="655"/>
      <c r="U176" s="655"/>
      <c r="V176" s="655"/>
      <c r="W176" s="655"/>
      <c r="X176" s="655"/>
      <c r="Y176" s="655"/>
      <c r="Z176" s="655"/>
    </row>
    <row r="177">
      <c r="B177" s="462"/>
      <c r="C177" s="671"/>
      <c r="D177" s="462"/>
      <c r="E177" s="654"/>
      <c r="F177" s="650"/>
      <c r="G177" s="654"/>
      <c r="H177" s="654"/>
      <c r="I177" s="650"/>
      <c r="J177" s="650"/>
      <c r="K177" s="655"/>
      <c r="L177" s="655"/>
      <c r="M177" s="655"/>
      <c r="N177" s="655"/>
      <c r="O177" s="655"/>
      <c r="P177" s="655"/>
      <c r="Q177" s="655"/>
      <c r="R177" s="655"/>
      <c r="S177" s="655"/>
      <c r="T177" s="655"/>
      <c r="U177" s="655"/>
      <c r="V177" s="655"/>
      <c r="W177" s="655"/>
      <c r="X177" s="655"/>
      <c r="Y177" s="655"/>
      <c r="Z177" s="655"/>
    </row>
    <row r="178">
      <c r="B178" s="462"/>
      <c r="C178" s="671"/>
      <c r="D178" s="462"/>
      <c r="E178" s="654"/>
      <c r="F178" s="650"/>
      <c r="G178" s="654"/>
      <c r="H178" s="654"/>
      <c r="I178" s="650"/>
      <c r="J178" s="650"/>
      <c r="K178" s="655"/>
      <c r="L178" s="655"/>
      <c r="M178" s="655"/>
      <c r="N178" s="655"/>
      <c r="O178" s="655"/>
      <c r="P178" s="655"/>
      <c r="Q178" s="655"/>
      <c r="R178" s="655"/>
      <c r="S178" s="655"/>
      <c r="T178" s="655"/>
      <c r="U178" s="655"/>
      <c r="V178" s="655"/>
      <c r="W178" s="655"/>
      <c r="X178" s="655"/>
      <c r="Y178" s="655"/>
      <c r="Z178" s="655"/>
    </row>
    <row r="179">
      <c r="B179" s="462"/>
      <c r="C179" s="671"/>
      <c r="D179" s="462"/>
      <c r="E179" s="654"/>
      <c r="F179" s="650"/>
      <c r="G179" s="654"/>
      <c r="H179" s="654"/>
      <c r="I179" s="650"/>
      <c r="J179" s="650"/>
      <c r="K179" s="655"/>
      <c r="L179" s="655"/>
      <c r="M179" s="655"/>
      <c r="N179" s="655"/>
      <c r="O179" s="655"/>
      <c r="P179" s="655"/>
      <c r="Q179" s="655"/>
      <c r="R179" s="655"/>
      <c r="S179" s="655"/>
      <c r="T179" s="655"/>
      <c r="U179" s="655"/>
      <c r="V179" s="655"/>
      <c r="W179" s="655"/>
      <c r="X179" s="655"/>
      <c r="Y179" s="655"/>
      <c r="Z179" s="655"/>
    </row>
    <row r="180">
      <c r="B180" s="462"/>
      <c r="C180" s="671"/>
      <c r="D180" s="462"/>
      <c r="E180" s="654"/>
      <c r="F180" s="650"/>
      <c r="G180" s="654"/>
      <c r="H180" s="654"/>
      <c r="I180" s="650"/>
      <c r="J180" s="650"/>
      <c r="K180" s="655"/>
      <c r="L180" s="655"/>
      <c r="M180" s="655"/>
      <c r="N180" s="655"/>
      <c r="O180" s="655"/>
      <c r="P180" s="655"/>
      <c r="Q180" s="655"/>
      <c r="R180" s="655"/>
      <c r="S180" s="655"/>
      <c r="T180" s="655"/>
      <c r="U180" s="655"/>
      <c r="V180" s="655"/>
      <c r="W180" s="655"/>
      <c r="X180" s="655"/>
      <c r="Y180" s="655"/>
      <c r="Z180" s="655"/>
    </row>
    <row r="181">
      <c r="B181" s="462"/>
      <c r="C181" s="671"/>
      <c r="D181" s="462"/>
      <c r="E181" s="654"/>
      <c r="F181" s="650"/>
      <c r="G181" s="654"/>
      <c r="H181" s="654"/>
      <c r="I181" s="650"/>
      <c r="J181" s="650"/>
      <c r="K181" s="655"/>
      <c r="L181" s="655"/>
      <c r="M181" s="655"/>
      <c r="N181" s="655"/>
      <c r="O181" s="655"/>
      <c r="P181" s="655"/>
      <c r="Q181" s="655"/>
      <c r="R181" s="655"/>
      <c r="S181" s="655"/>
      <c r="T181" s="655"/>
      <c r="U181" s="655"/>
      <c r="V181" s="655"/>
      <c r="W181" s="655"/>
      <c r="X181" s="655"/>
      <c r="Y181" s="655"/>
      <c r="Z181" s="655"/>
    </row>
    <row r="182">
      <c r="B182" s="462"/>
      <c r="C182" s="671"/>
      <c r="D182" s="462"/>
      <c r="E182" s="654"/>
      <c r="F182" s="650"/>
      <c r="G182" s="654"/>
      <c r="H182" s="654"/>
      <c r="I182" s="650"/>
      <c r="J182" s="650"/>
      <c r="K182" s="655"/>
      <c r="L182" s="655"/>
      <c r="M182" s="655"/>
      <c r="N182" s="655"/>
      <c r="O182" s="655"/>
      <c r="P182" s="655"/>
      <c r="Q182" s="655"/>
      <c r="R182" s="655"/>
      <c r="S182" s="655"/>
      <c r="T182" s="655"/>
      <c r="U182" s="655"/>
      <c r="V182" s="655"/>
      <c r="W182" s="655"/>
      <c r="X182" s="655"/>
      <c r="Y182" s="655"/>
      <c r="Z182" s="655"/>
    </row>
    <row r="183">
      <c r="B183" s="462"/>
      <c r="C183" s="671"/>
      <c r="D183" s="462"/>
      <c r="E183" s="654"/>
      <c r="F183" s="650"/>
      <c r="G183" s="654"/>
      <c r="H183" s="654"/>
      <c r="I183" s="650"/>
      <c r="J183" s="650"/>
      <c r="K183" s="655"/>
      <c r="L183" s="655"/>
      <c r="M183" s="655"/>
      <c r="N183" s="655"/>
      <c r="O183" s="655"/>
      <c r="P183" s="655"/>
      <c r="Q183" s="655"/>
      <c r="R183" s="655"/>
      <c r="S183" s="655"/>
      <c r="T183" s="655"/>
      <c r="U183" s="655"/>
      <c r="V183" s="655"/>
      <c r="W183" s="655"/>
      <c r="X183" s="655"/>
      <c r="Y183" s="655"/>
      <c r="Z183" s="655"/>
    </row>
    <row r="184">
      <c r="B184" s="462"/>
      <c r="C184" s="671"/>
      <c r="D184" s="462"/>
      <c r="E184" s="654"/>
      <c r="F184" s="650"/>
      <c r="G184" s="654"/>
      <c r="H184" s="654"/>
      <c r="I184" s="650"/>
      <c r="J184" s="650"/>
      <c r="K184" s="655"/>
      <c r="L184" s="655"/>
      <c r="M184" s="655"/>
      <c r="N184" s="655"/>
      <c r="O184" s="655"/>
      <c r="P184" s="655"/>
      <c r="Q184" s="655"/>
      <c r="R184" s="655"/>
      <c r="S184" s="655"/>
      <c r="T184" s="655"/>
      <c r="U184" s="655"/>
      <c r="V184" s="655"/>
      <c r="W184" s="655"/>
      <c r="X184" s="655"/>
      <c r="Y184" s="655"/>
      <c r="Z184" s="655"/>
    </row>
    <row r="185">
      <c r="B185" s="462"/>
      <c r="C185" s="671"/>
      <c r="D185" s="462"/>
      <c r="E185" s="654"/>
      <c r="F185" s="650"/>
      <c r="G185" s="654"/>
      <c r="H185" s="654"/>
      <c r="I185" s="650"/>
      <c r="J185" s="650"/>
      <c r="K185" s="655"/>
      <c r="L185" s="655"/>
      <c r="M185" s="655"/>
      <c r="N185" s="655"/>
      <c r="O185" s="655"/>
      <c r="P185" s="655"/>
      <c r="Q185" s="655"/>
      <c r="R185" s="655"/>
      <c r="S185" s="655"/>
      <c r="T185" s="655"/>
      <c r="U185" s="655"/>
      <c r="V185" s="655"/>
      <c r="W185" s="655"/>
      <c r="X185" s="655"/>
      <c r="Y185" s="655"/>
      <c r="Z185" s="655"/>
    </row>
    <row r="186">
      <c r="B186" s="462"/>
      <c r="C186" s="671"/>
      <c r="D186" s="462"/>
      <c r="E186" s="654"/>
      <c r="F186" s="650"/>
      <c r="G186" s="654"/>
      <c r="H186" s="654"/>
      <c r="I186" s="650"/>
      <c r="J186" s="650"/>
      <c r="K186" s="655"/>
      <c r="L186" s="655"/>
      <c r="M186" s="655"/>
      <c r="N186" s="655"/>
      <c r="O186" s="655"/>
      <c r="P186" s="655"/>
      <c r="Q186" s="655"/>
      <c r="R186" s="655"/>
      <c r="S186" s="655"/>
      <c r="T186" s="655"/>
      <c r="U186" s="655"/>
      <c r="V186" s="655"/>
      <c r="W186" s="655"/>
      <c r="X186" s="655"/>
      <c r="Y186" s="655"/>
      <c r="Z186" s="655"/>
    </row>
    <row r="187">
      <c r="B187" s="462"/>
      <c r="C187" s="671"/>
      <c r="D187" s="462"/>
      <c r="E187" s="654"/>
      <c r="F187" s="650"/>
      <c r="G187" s="654"/>
      <c r="H187" s="654"/>
      <c r="I187" s="650"/>
      <c r="J187" s="650"/>
      <c r="K187" s="655"/>
      <c r="L187" s="655"/>
      <c r="M187" s="655"/>
      <c r="N187" s="655"/>
      <c r="O187" s="655"/>
      <c r="P187" s="655"/>
      <c r="Q187" s="655"/>
      <c r="R187" s="655"/>
      <c r="S187" s="655"/>
      <c r="T187" s="655"/>
      <c r="U187" s="655"/>
      <c r="V187" s="655"/>
      <c r="W187" s="655"/>
      <c r="X187" s="655"/>
      <c r="Y187" s="655"/>
      <c r="Z187" s="655"/>
    </row>
    <row r="188">
      <c r="B188" s="462"/>
      <c r="C188" s="671"/>
      <c r="D188" s="462"/>
      <c r="E188" s="654"/>
      <c r="F188" s="650"/>
      <c r="G188" s="654"/>
      <c r="H188" s="654"/>
      <c r="I188" s="650"/>
      <c r="J188" s="650"/>
      <c r="K188" s="655"/>
      <c r="L188" s="655"/>
      <c r="M188" s="655"/>
      <c r="N188" s="655"/>
      <c r="O188" s="655"/>
      <c r="P188" s="655"/>
      <c r="Q188" s="655"/>
      <c r="R188" s="655"/>
      <c r="S188" s="655"/>
      <c r="T188" s="655"/>
      <c r="U188" s="655"/>
      <c r="V188" s="655"/>
      <c r="W188" s="655"/>
      <c r="X188" s="655"/>
      <c r="Y188" s="655"/>
      <c r="Z188" s="655"/>
    </row>
    <row r="189">
      <c r="B189" s="462"/>
      <c r="C189" s="671"/>
      <c r="D189" s="462"/>
      <c r="E189" s="654"/>
      <c r="F189" s="650"/>
      <c r="G189" s="654"/>
      <c r="H189" s="654"/>
      <c r="I189" s="650"/>
      <c r="J189" s="650"/>
      <c r="K189" s="655"/>
      <c r="L189" s="655"/>
      <c r="M189" s="655"/>
      <c r="N189" s="655"/>
      <c r="O189" s="655"/>
      <c r="P189" s="655"/>
      <c r="Q189" s="655"/>
      <c r="R189" s="655"/>
      <c r="S189" s="655"/>
      <c r="T189" s="655"/>
      <c r="U189" s="655"/>
      <c r="V189" s="655"/>
      <c r="W189" s="655"/>
      <c r="X189" s="655"/>
      <c r="Y189" s="655"/>
      <c r="Z189" s="655"/>
    </row>
    <row r="190">
      <c r="B190" s="462"/>
      <c r="C190" s="671"/>
      <c r="D190" s="462"/>
      <c r="E190" s="654"/>
      <c r="F190" s="650"/>
      <c r="G190" s="654"/>
      <c r="H190" s="654"/>
      <c r="I190" s="650"/>
      <c r="J190" s="650"/>
      <c r="K190" s="655"/>
      <c r="L190" s="655"/>
      <c r="M190" s="655"/>
      <c r="N190" s="655"/>
      <c r="O190" s="655"/>
      <c r="P190" s="655"/>
      <c r="Q190" s="655"/>
      <c r="R190" s="655"/>
      <c r="S190" s="655"/>
      <c r="T190" s="655"/>
      <c r="U190" s="655"/>
      <c r="V190" s="655"/>
      <c r="W190" s="655"/>
      <c r="X190" s="655"/>
      <c r="Y190" s="655"/>
      <c r="Z190" s="655"/>
    </row>
    <row r="191">
      <c r="B191" s="462"/>
      <c r="C191" s="671"/>
      <c r="D191" s="462"/>
      <c r="E191" s="654"/>
      <c r="F191" s="650"/>
      <c r="G191" s="654"/>
      <c r="H191" s="654"/>
      <c r="I191" s="650"/>
      <c r="J191" s="650"/>
      <c r="K191" s="655"/>
      <c r="L191" s="655"/>
      <c r="M191" s="655"/>
      <c r="N191" s="655"/>
      <c r="O191" s="655"/>
      <c r="P191" s="655"/>
      <c r="Q191" s="655"/>
      <c r="R191" s="655"/>
      <c r="S191" s="655"/>
      <c r="T191" s="655"/>
      <c r="U191" s="655"/>
      <c r="V191" s="655"/>
      <c r="W191" s="655"/>
      <c r="X191" s="655"/>
      <c r="Y191" s="655"/>
      <c r="Z191" s="655"/>
    </row>
    <row r="192">
      <c r="B192" s="462"/>
      <c r="C192" s="671"/>
      <c r="D192" s="462"/>
      <c r="E192" s="654"/>
      <c r="F192" s="650"/>
      <c r="G192" s="654"/>
      <c r="H192" s="654"/>
      <c r="I192" s="650"/>
      <c r="J192" s="650"/>
      <c r="K192" s="655"/>
      <c r="L192" s="655"/>
      <c r="M192" s="655"/>
      <c r="N192" s="655"/>
      <c r="O192" s="655"/>
      <c r="P192" s="655"/>
      <c r="Q192" s="655"/>
      <c r="R192" s="655"/>
      <c r="S192" s="655"/>
      <c r="T192" s="655"/>
      <c r="U192" s="655"/>
      <c r="V192" s="655"/>
      <c r="W192" s="655"/>
      <c r="X192" s="655"/>
      <c r="Y192" s="655"/>
      <c r="Z192" s="655"/>
    </row>
    <row r="193">
      <c r="B193" s="462"/>
      <c r="C193" s="671"/>
      <c r="D193" s="462"/>
      <c r="E193" s="654"/>
      <c r="F193" s="650"/>
      <c r="G193" s="654"/>
      <c r="H193" s="654"/>
      <c r="I193" s="650"/>
      <c r="J193" s="650"/>
      <c r="K193" s="655"/>
      <c r="L193" s="655"/>
      <c r="M193" s="655"/>
      <c r="N193" s="655"/>
      <c r="O193" s="655"/>
      <c r="P193" s="655"/>
      <c r="Q193" s="655"/>
      <c r="R193" s="655"/>
      <c r="S193" s="655"/>
      <c r="T193" s="655"/>
      <c r="U193" s="655"/>
      <c r="V193" s="655"/>
      <c r="W193" s="655"/>
      <c r="X193" s="655"/>
      <c r="Y193" s="655"/>
      <c r="Z193" s="655"/>
    </row>
    <row r="194">
      <c r="B194" s="462"/>
      <c r="C194" s="671"/>
      <c r="D194" s="462"/>
      <c r="E194" s="654"/>
      <c r="F194" s="650"/>
      <c r="G194" s="654"/>
      <c r="H194" s="654"/>
      <c r="I194" s="650"/>
      <c r="J194" s="650"/>
      <c r="K194" s="655"/>
      <c r="L194" s="655"/>
      <c r="M194" s="655"/>
      <c r="N194" s="655"/>
      <c r="O194" s="655"/>
      <c r="P194" s="655"/>
      <c r="Q194" s="655"/>
      <c r="R194" s="655"/>
      <c r="S194" s="655"/>
      <c r="T194" s="655"/>
      <c r="U194" s="655"/>
      <c r="V194" s="655"/>
      <c r="W194" s="655"/>
      <c r="X194" s="655"/>
      <c r="Y194" s="655"/>
      <c r="Z194" s="655"/>
    </row>
    <row r="195">
      <c r="B195" s="462"/>
      <c r="C195" s="671"/>
      <c r="D195" s="462"/>
      <c r="E195" s="654"/>
      <c r="F195" s="650"/>
      <c r="G195" s="654"/>
      <c r="H195" s="654"/>
      <c r="I195" s="650"/>
      <c r="J195" s="650"/>
      <c r="K195" s="655"/>
      <c r="L195" s="655"/>
      <c r="M195" s="655"/>
      <c r="N195" s="655"/>
      <c r="O195" s="655"/>
      <c r="P195" s="655"/>
      <c r="Q195" s="655"/>
      <c r="R195" s="655"/>
      <c r="S195" s="655"/>
      <c r="T195" s="655"/>
      <c r="U195" s="655"/>
      <c r="V195" s="655"/>
      <c r="W195" s="655"/>
      <c r="X195" s="655"/>
      <c r="Y195" s="655"/>
      <c r="Z195" s="655"/>
    </row>
    <row r="196">
      <c r="B196" s="462"/>
      <c r="C196" s="671"/>
      <c r="D196" s="462"/>
      <c r="E196" s="654"/>
      <c r="F196" s="650"/>
      <c r="G196" s="654"/>
      <c r="H196" s="654"/>
      <c r="I196" s="650"/>
      <c r="J196" s="650"/>
      <c r="K196" s="655"/>
      <c r="L196" s="655"/>
      <c r="M196" s="655"/>
      <c r="N196" s="655"/>
      <c r="O196" s="655"/>
      <c r="P196" s="655"/>
      <c r="Q196" s="655"/>
      <c r="R196" s="655"/>
      <c r="S196" s="655"/>
      <c r="T196" s="655"/>
      <c r="U196" s="655"/>
      <c r="V196" s="655"/>
      <c r="W196" s="655"/>
      <c r="X196" s="655"/>
      <c r="Y196" s="655"/>
      <c r="Z196" s="655"/>
    </row>
    <row r="197">
      <c r="B197" s="462"/>
      <c r="C197" s="671"/>
      <c r="D197" s="462"/>
      <c r="E197" s="654"/>
      <c r="F197" s="650"/>
      <c r="G197" s="654"/>
      <c r="H197" s="654"/>
      <c r="I197" s="650"/>
      <c r="J197" s="650"/>
      <c r="K197" s="655"/>
      <c r="L197" s="655"/>
      <c r="M197" s="655"/>
      <c r="N197" s="655"/>
      <c r="O197" s="655"/>
      <c r="P197" s="655"/>
      <c r="Q197" s="655"/>
      <c r="R197" s="655"/>
      <c r="S197" s="655"/>
      <c r="T197" s="655"/>
      <c r="U197" s="655"/>
      <c r="V197" s="655"/>
      <c r="W197" s="655"/>
      <c r="X197" s="655"/>
      <c r="Y197" s="655"/>
      <c r="Z197" s="655"/>
    </row>
    <row r="198">
      <c r="B198" s="462"/>
      <c r="C198" s="671"/>
      <c r="D198" s="462"/>
      <c r="E198" s="654"/>
      <c r="F198" s="650"/>
      <c r="G198" s="654"/>
      <c r="H198" s="654"/>
      <c r="I198" s="650"/>
      <c r="J198" s="650"/>
      <c r="K198" s="655"/>
      <c r="L198" s="655"/>
      <c r="M198" s="655"/>
      <c r="N198" s="655"/>
      <c r="O198" s="655"/>
      <c r="P198" s="655"/>
      <c r="Q198" s="655"/>
      <c r="R198" s="655"/>
      <c r="S198" s="655"/>
      <c r="T198" s="655"/>
      <c r="U198" s="655"/>
      <c r="V198" s="655"/>
      <c r="W198" s="655"/>
      <c r="X198" s="655"/>
      <c r="Y198" s="655"/>
      <c r="Z198" s="655"/>
    </row>
    <row r="199">
      <c r="B199" s="462"/>
      <c r="C199" s="671"/>
      <c r="D199" s="462"/>
      <c r="E199" s="654"/>
      <c r="F199" s="650"/>
      <c r="G199" s="654"/>
      <c r="H199" s="654"/>
      <c r="I199" s="650"/>
      <c r="J199" s="650"/>
      <c r="K199" s="655"/>
      <c r="L199" s="655"/>
      <c r="M199" s="655"/>
      <c r="N199" s="655"/>
      <c r="O199" s="655"/>
      <c r="P199" s="655"/>
      <c r="Q199" s="655"/>
      <c r="R199" s="655"/>
      <c r="S199" s="655"/>
      <c r="T199" s="655"/>
      <c r="U199" s="655"/>
      <c r="V199" s="655"/>
      <c r="W199" s="655"/>
      <c r="X199" s="655"/>
      <c r="Y199" s="655"/>
      <c r="Z199" s="655"/>
    </row>
    <row r="200">
      <c r="B200" s="462"/>
      <c r="C200" s="671"/>
      <c r="D200" s="462"/>
      <c r="E200" s="654"/>
      <c r="F200" s="650"/>
      <c r="G200" s="654"/>
      <c r="H200" s="654"/>
      <c r="I200" s="650"/>
      <c r="J200" s="650"/>
      <c r="K200" s="655"/>
      <c r="L200" s="655"/>
      <c r="M200" s="655"/>
      <c r="N200" s="655"/>
      <c r="O200" s="655"/>
      <c r="P200" s="655"/>
      <c r="Q200" s="655"/>
      <c r="R200" s="655"/>
      <c r="S200" s="655"/>
      <c r="T200" s="655"/>
      <c r="U200" s="655"/>
      <c r="V200" s="655"/>
      <c r="W200" s="655"/>
      <c r="X200" s="655"/>
      <c r="Y200" s="655"/>
      <c r="Z200" s="655"/>
    </row>
    <row r="201">
      <c r="B201" s="462"/>
      <c r="C201" s="671"/>
      <c r="D201" s="462"/>
      <c r="E201" s="654"/>
      <c r="F201" s="650"/>
      <c r="G201" s="654"/>
      <c r="H201" s="654"/>
      <c r="I201" s="650"/>
      <c r="J201" s="650"/>
      <c r="K201" s="655"/>
      <c r="L201" s="655"/>
      <c r="M201" s="655"/>
      <c r="N201" s="655"/>
      <c r="O201" s="655"/>
      <c r="P201" s="655"/>
      <c r="Q201" s="655"/>
      <c r="R201" s="655"/>
      <c r="S201" s="655"/>
      <c r="T201" s="655"/>
      <c r="U201" s="655"/>
      <c r="V201" s="655"/>
      <c r="W201" s="655"/>
      <c r="X201" s="655"/>
      <c r="Y201" s="655"/>
      <c r="Z201" s="655"/>
    </row>
    <row r="202">
      <c r="B202" s="462"/>
      <c r="C202" s="671"/>
      <c r="D202" s="462"/>
      <c r="E202" s="654"/>
      <c r="F202" s="650"/>
      <c r="G202" s="654"/>
      <c r="H202" s="654"/>
      <c r="I202" s="650"/>
      <c r="J202" s="650"/>
      <c r="K202" s="655"/>
      <c r="L202" s="655"/>
      <c r="M202" s="655"/>
      <c r="N202" s="655"/>
      <c r="O202" s="655"/>
      <c r="P202" s="655"/>
      <c r="Q202" s="655"/>
      <c r="R202" s="655"/>
      <c r="S202" s="655"/>
      <c r="T202" s="655"/>
      <c r="U202" s="655"/>
      <c r="V202" s="655"/>
      <c r="W202" s="655"/>
      <c r="X202" s="655"/>
      <c r="Y202" s="655"/>
      <c r="Z202" s="655"/>
    </row>
    <row r="203">
      <c r="B203" s="462"/>
      <c r="C203" s="671"/>
      <c r="D203" s="462"/>
      <c r="E203" s="654"/>
      <c r="F203" s="650"/>
      <c r="G203" s="654"/>
      <c r="H203" s="654"/>
      <c r="I203" s="650"/>
      <c r="J203" s="650"/>
      <c r="K203" s="655"/>
      <c r="L203" s="655"/>
      <c r="M203" s="655"/>
      <c r="N203" s="655"/>
      <c r="O203" s="655"/>
      <c r="P203" s="655"/>
      <c r="Q203" s="655"/>
      <c r="R203" s="655"/>
      <c r="S203" s="655"/>
      <c r="T203" s="655"/>
      <c r="U203" s="655"/>
      <c r="V203" s="655"/>
      <c r="W203" s="655"/>
      <c r="X203" s="655"/>
      <c r="Y203" s="655"/>
      <c r="Z203" s="655"/>
    </row>
    <row r="204">
      <c r="B204" s="462"/>
      <c r="C204" s="671"/>
      <c r="D204" s="462"/>
      <c r="E204" s="654"/>
      <c r="F204" s="650"/>
      <c r="G204" s="654"/>
      <c r="H204" s="654"/>
      <c r="I204" s="650"/>
      <c r="J204" s="650"/>
      <c r="K204" s="655"/>
      <c r="L204" s="655"/>
      <c r="M204" s="655"/>
      <c r="N204" s="655"/>
      <c r="O204" s="655"/>
      <c r="P204" s="655"/>
      <c r="Q204" s="655"/>
      <c r="R204" s="655"/>
      <c r="S204" s="655"/>
      <c r="T204" s="655"/>
      <c r="U204" s="655"/>
      <c r="V204" s="655"/>
      <c r="W204" s="655"/>
      <c r="X204" s="655"/>
      <c r="Y204" s="655"/>
      <c r="Z204" s="655"/>
    </row>
    <row r="205">
      <c r="B205" s="462"/>
      <c r="C205" s="671"/>
      <c r="D205" s="462"/>
      <c r="E205" s="654"/>
      <c r="F205" s="650"/>
      <c r="G205" s="654"/>
      <c r="H205" s="654"/>
      <c r="I205" s="650"/>
      <c r="J205" s="650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</row>
    <row r="206">
      <c r="B206" s="462"/>
      <c r="C206" s="671"/>
      <c r="D206" s="462"/>
      <c r="E206" s="654"/>
      <c r="F206" s="650"/>
      <c r="G206" s="654"/>
      <c r="H206" s="654"/>
      <c r="I206" s="650"/>
      <c r="J206" s="650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</row>
    <row r="207">
      <c r="B207" s="462"/>
      <c r="C207" s="671"/>
      <c r="D207" s="462"/>
      <c r="E207" s="654"/>
      <c r="F207" s="650"/>
      <c r="G207" s="654"/>
      <c r="H207" s="654"/>
      <c r="I207" s="650"/>
      <c r="J207" s="650"/>
      <c r="K207" s="655"/>
      <c r="L207" s="655"/>
      <c r="M207" s="655"/>
      <c r="N207" s="655"/>
      <c r="O207" s="655"/>
      <c r="P207" s="655"/>
      <c r="Q207" s="655"/>
      <c r="R207" s="655"/>
      <c r="S207" s="655"/>
      <c r="T207" s="655"/>
      <c r="U207" s="655"/>
      <c r="V207" s="655"/>
      <c r="W207" s="655"/>
      <c r="X207" s="655"/>
      <c r="Y207" s="655"/>
      <c r="Z207" s="655"/>
    </row>
    <row r="208">
      <c r="B208" s="462"/>
      <c r="C208" s="671"/>
      <c r="D208" s="462"/>
      <c r="E208" s="654"/>
      <c r="F208" s="650"/>
      <c r="G208" s="654"/>
      <c r="H208" s="654"/>
      <c r="I208" s="650"/>
      <c r="J208" s="650"/>
      <c r="K208" s="655"/>
      <c r="L208" s="655"/>
      <c r="M208" s="655"/>
      <c r="N208" s="655"/>
      <c r="O208" s="655"/>
      <c r="P208" s="655"/>
      <c r="Q208" s="655"/>
      <c r="R208" s="655"/>
      <c r="S208" s="655"/>
      <c r="T208" s="655"/>
      <c r="U208" s="655"/>
      <c r="V208" s="655"/>
      <c r="W208" s="655"/>
      <c r="X208" s="655"/>
      <c r="Y208" s="655"/>
      <c r="Z208" s="655"/>
    </row>
    <row r="209">
      <c r="B209" s="462"/>
      <c r="C209" s="671"/>
      <c r="D209" s="462"/>
      <c r="E209" s="654"/>
      <c r="F209" s="650"/>
      <c r="G209" s="654"/>
      <c r="H209" s="654"/>
      <c r="I209" s="650"/>
      <c r="J209" s="650"/>
      <c r="K209" s="655"/>
      <c r="L209" s="655"/>
      <c r="M209" s="655"/>
      <c r="N209" s="655"/>
      <c r="O209" s="655"/>
      <c r="P209" s="655"/>
      <c r="Q209" s="655"/>
      <c r="R209" s="655"/>
      <c r="S209" s="655"/>
      <c r="T209" s="655"/>
      <c r="U209" s="655"/>
      <c r="V209" s="655"/>
      <c r="W209" s="655"/>
      <c r="X209" s="655"/>
      <c r="Y209" s="655"/>
      <c r="Z209" s="655"/>
    </row>
    <row r="210">
      <c r="B210" s="462"/>
      <c r="C210" s="671"/>
      <c r="D210" s="462"/>
      <c r="E210" s="654"/>
      <c r="F210" s="650"/>
      <c r="G210" s="654"/>
      <c r="H210" s="654"/>
      <c r="I210" s="650"/>
      <c r="J210" s="650"/>
      <c r="K210" s="655"/>
      <c r="L210" s="655"/>
      <c r="M210" s="655"/>
      <c r="N210" s="655"/>
      <c r="O210" s="655"/>
      <c r="P210" s="655"/>
      <c r="Q210" s="655"/>
      <c r="R210" s="655"/>
      <c r="S210" s="655"/>
      <c r="T210" s="655"/>
      <c r="U210" s="655"/>
      <c r="V210" s="655"/>
      <c r="W210" s="655"/>
      <c r="X210" s="655"/>
      <c r="Y210" s="655"/>
      <c r="Z210" s="655"/>
    </row>
    <row r="211">
      <c r="B211" s="462"/>
      <c r="C211" s="671"/>
      <c r="D211" s="462"/>
      <c r="E211" s="654"/>
      <c r="F211" s="650"/>
      <c r="G211" s="654"/>
      <c r="H211" s="654"/>
      <c r="I211" s="650"/>
      <c r="J211" s="650"/>
      <c r="K211" s="655"/>
      <c r="L211" s="655"/>
      <c r="M211" s="655"/>
      <c r="N211" s="655"/>
      <c r="O211" s="655"/>
      <c r="P211" s="655"/>
      <c r="Q211" s="655"/>
      <c r="R211" s="655"/>
      <c r="S211" s="655"/>
      <c r="T211" s="655"/>
      <c r="U211" s="655"/>
      <c r="V211" s="655"/>
      <c r="W211" s="655"/>
      <c r="X211" s="655"/>
      <c r="Y211" s="655"/>
      <c r="Z211" s="655"/>
    </row>
    <row r="212">
      <c r="B212" s="462"/>
      <c r="C212" s="671"/>
      <c r="D212" s="462"/>
      <c r="E212" s="654"/>
      <c r="F212" s="650"/>
      <c r="G212" s="654"/>
      <c r="H212" s="654"/>
      <c r="I212" s="650"/>
      <c r="J212" s="650"/>
      <c r="K212" s="655"/>
      <c r="L212" s="655"/>
      <c r="M212" s="655"/>
      <c r="N212" s="655"/>
      <c r="O212" s="655"/>
      <c r="P212" s="655"/>
      <c r="Q212" s="655"/>
      <c r="R212" s="655"/>
      <c r="S212" s="655"/>
      <c r="T212" s="655"/>
      <c r="U212" s="655"/>
      <c r="V212" s="655"/>
      <c r="W212" s="655"/>
      <c r="X212" s="655"/>
      <c r="Y212" s="655"/>
      <c r="Z212" s="655"/>
    </row>
    <row r="213">
      <c r="B213" s="462"/>
      <c r="C213" s="671"/>
      <c r="D213" s="462"/>
      <c r="E213" s="654"/>
      <c r="F213" s="650"/>
      <c r="G213" s="654"/>
      <c r="H213" s="654"/>
      <c r="I213" s="650"/>
      <c r="J213" s="650"/>
      <c r="K213" s="655"/>
      <c r="L213" s="655"/>
      <c r="M213" s="655"/>
      <c r="N213" s="655"/>
      <c r="O213" s="655"/>
      <c r="P213" s="655"/>
      <c r="Q213" s="655"/>
      <c r="R213" s="655"/>
      <c r="S213" s="655"/>
      <c r="T213" s="655"/>
      <c r="U213" s="655"/>
      <c r="V213" s="655"/>
      <c r="W213" s="655"/>
      <c r="X213" s="655"/>
      <c r="Y213" s="655"/>
      <c r="Z213" s="655"/>
    </row>
    <row r="214">
      <c r="B214" s="462"/>
      <c r="C214" s="671"/>
      <c r="D214" s="462"/>
      <c r="E214" s="654"/>
      <c r="F214" s="650"/>
      <c r="G214" s="654"/>
      <c r="H214" s="654"/>
      <c r="I214" s="650"/>
      <c r="J214" s="650"/>
      <c r="K214" s="655"/>
      <c r="L214" s="655"/>
      <c r="M214" s="655"/>
      <c r="N214" s="655"/>
      <c r="O214" s="655"/>
      <c r="P214" s="655"/>
      <c r="Q214" s="655"/>
      <c r="R214" s="655"/>
      <c r="S214" s="655"/>
      <c r="T214" s="655"/>
      <c r="U214" s="655"/>
      <c r="V214" s="655"/>
      <c r="W214" s="655"/>
      <c r="X214" s="655"/>
      <c r="Y214" s="655"/>
      <c r="Z214" s="655"/>
    </row>
    <row r="215">
      <c r="B215" s="462"/>
      <c r="C215" s="671"/>
      <c r="D215" s="462"/>
      <c r="E215" s="654"/>
      <c r="F215" s="650"/>
      <c r="G215" s="654"/>
      <c r="H215" s="654"/>
      <c r="I215" s="650"/>
      <c r="J215" s="650"/>
      <c r="K215" s="655"/>
      <c r="L215" s="655"/>
      <c r="M215" s="655"/>
      <c r="N215" s="655"/>
      <c r="O215" s="655"/>
      <c r="P215" s="655"/>
      <c r="Q215" s="655"/>
      <c r="R215" s="655"/>
      <c r="S215" s="655"/>
      <c r="T215" s="655"/>
      <c r="U215" s="655"/>
      <c r="V215" s="655"/>
      <c r="W215" s="655"/>
      <c r="X215" s="655"/>
      <c r="Y215" s="655"/>
      <c r="Z215" s="655"/>
    </row>
    <row r="216">
      <c r="B216" s="462"/>
      <c r="C216" s="671"/>
      <c r="D216" s="462"/>
      <c r="E216" s="654"/>
      <c r="F216" s="650"/>
      <c r="G216" s="654"/>
      <c r="H216" s="654"/>
      <c r="I216" s="650"/>
      <c r="J216" s="650"/>
      <c r="K216" s="655"/>
      <c r="L216" s="655"/>
      <c r="M216" s="655"/>
      <c r="N216" s="655"/>
      <c r="O216" s="655"/>
      <c r="P216" s="655"/>
      <c r="Q216" s="655"/>
      <c r="R216" s="655"/>
      <c r="S216" s="655"/>
      <c r="T216" s="655"/>
      <c r="U216" s="655"/>
      <c r="V216" s="655"/>
      <c r="W216" s="655"/>
      <c r="X216" s="655"/>
      <c r="Y216" s="655"/>
      <c r="Z216" s="655"/>
    </row>
    <row r="217">
      <c r="B217" s="462"/>
      <c r="C217" s="671"/>
      <c r="D217" s="462"/>
      <c r="E217" s="654"/>
      <c r="F217" s="650"/>
      <c r="G217" s="654"/>
      <c r="H217" s="654"/>
      <c r="I217" s="650"/>
      <c r="J217" s="650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</row>
    <row r="218">
      <c r="B218" s="462"/>
      <c r="C218" s="671"/>
      <c r="D218" s="462"/>
      <c r="E218" s="654"/>
      <c r="F218" s="650"/>
      <c r="G218" s="654"/>
      <c r="H218" s="654"/>
      <c r="I218" s="650"/>
      <c r="J218" s="650"/>
      <c r="K218" s="655"/>
      <c r="L218" s="655"/>
      <c r="M218" s="655"/>
      <c r="N218" s="655"/>
      <c r="O218" s="655"/>
      <c r="P218" s="655"/>
      <c r="Q218" s="655"/>
      <c r="R218" s="655"/>
      <c r="S218" s="655"/>
      <c r="T218" s="655"/>
      <c r="U218" s="655"/>
      <c r="V218" s="655"/>
      <c r="W218" s="655"/>
      <c r="X218" s="655"/>
      <c r="Y218" s="655"/>
      <c r="Z218" s="655"/>
    </row>
    <row r="219">
      <c r="B219" s="462"/>
      <c r="C219" s="671"/>
      <c r="D219" s="462"/>
      <c r="E219" s="654"/>
      <c r="F219" s="650"/>
      <c r="G219" s="654"/>
      <c r="H219" s="654"/>
      <c r="I219" s="650"/>
      <c r="J219" s="650"/>
      <c r="K219" s="655"/>
      <c r="L219" s="655"/>
      <c r="M219" s="655"/>
      <c r="N219" s="655"/>
      <c r="O219" s="655"/>
      <c r="P219" s="655"/>
      <c r="Q219" s="655"/>
      <c r="R219" s="655"/>
      <c r="S219" s="655"/>
      <c r="T219" s="655"/>
      <c r="U219" s="655"/>
      <c r="V219" s="655"/>
      <c r="W219" s="655"/>
      <c r="X219" s="655"/>
      <c r="Y219" s="655"/>
      <c r="Z219" s="655"/>
    </row>
    <row r="220">
      <c r="B220" s="462"/>
      <c r="C220" s="671"/>
      <c r="D220" s="462"/>
      <c r="E220" s="654"/>
      <c r="F220" s="650"/>
      <c r="G220" s="654"/>
      <c r="H220" s="654"/>
      <c r="I220" s="650"/>
      <c r="J220" s="650"/>
      <c r="K220" s="655"/>
      <c r="L220" s="655"/>
      <c r="M220" s="655"/>
      <c r="N220" s="655"/>
      <c r="O220" s="655"/>
      <c r="P220" s="655"/>
      <c r="Q220" s="655"/>
      <c r="R220" s="655"/>
      <c r="S220" s="655"/>
      <c r="T220" s="655"/>
      <c r="U220" s="655"/>
      <c r="V220" s="655"/>
      <c r="W220" s="655"/>
      <c r="X220" s="655"/>
      <c r="Y220" s="655"/>
      <c r="Z220" s="655"/>
    </row>
    <row r="221">
      <c r="B221" s="462"/>
      <c r="C221" s="671"/>
      <c r="D221" s="462"/>
      <c r="E221" s="654"/>
      <c r="F221" s="650"/>
      <c r="G221" s="654"/>
      <c r="H221" s="654"/>
      <c r="I221" s="650"/>
      <c r="J221" s="650"/>
      <c r="K221" s="655"/>
      <c r="L221" s="655"/>
      <c r="M221" s="655"/>
      <c r="N221" s="655"/>
      <c r="O221" s="655"/>
      <c r="P221" s="655"/>
      <c r="Q221" s="655"/>
      <c r="R221" s="655"/>
      <c r="S221" s="655"/>
      <c r="T221" s="655"/>
      <c r="U221" s="655"/>
      <c r="V221" s="655"/>
      <c r="W221" s="655"/>
      <c r="X221" s="655"/>
      <c r="Y221" s="655"/>
      <c r="Z221" s="655"/>
    </row>
    <row r="222">
      <c r="B222" s="462"/>
      <c r="C222" s="671"/>
      <c r="D222" s="462"/>
      <c r="E222" s="654"/>
      <c r="F222" s="650"/>
      <c r="G222" s="654"/>
      <c r="H222" s="654"/>
      <c r="I222" s="650"/>
      <c r="J222" s="650"/>
      <c r="K222" s="655"/>
      <c r="L222" s="655"/>
      <c r="M222" s="655"/>
      <c r="N222" s="655"/>
      <c r="O222" s="655"/>
      <c r="P222" s="655"/>
      <c r="Q222" s="655"/>
      <c r="R222" s="655"/>
      <c r="S222" s="655"/>
      <c r="T222" s="655"/>
      <c r="U222" s="655"/>
      <c r="V222" s="655"/>
      <c r="W222" s="655"/>
      <c r="X222" s="655"/>
      <c r="Y222" s="655"/>
      <c r="Z222" s="655"/>
    </row>
    <row r="223">
      <c r="B223" s="462"/>
      <c r="C223" s="671"/>
      <c r="D223" s="462"/>
      <c r="E223" s="654"/>
      <c r="F223" s="650"/>
      <c r="G223" s="654"/>
      <c r="H223" s="654"/>
      <c r="I223" s="650"/>
      <c r="J223" s="650"/>
      <c r="K223" s="655"/>
      <c r="L223" s="655"/>
      <c r="M223" s="655"/>
      <c r="N223" s="655"/>
      <c r="O223" s="655"/>
      <c r="P223" s="655"/>
      <c r="Q223" s="655"/>
      <c r="R223" s="655"/>
      <c r="S223" s="655"/>
      <c r="T223" s="655"/>
      <c r="U223" s="655"/>
      <c r="V223" s="655"/>
      <c r="W223" s="655"/>
      <c r="X223" s="655"/>
      <c r="Y223" s="655"/>
      <c r="Z223" s="655"/>
    </row>
    <row r="224">
      <c r="B224" s="462"/>
      <c r="C224" s="671"/>
      <c r="D224" s="462"/>
      <c r="E224" s="654"/>
      <c r="F224" s="650"/>
      <c r="G224" s="654"/>
      <c r="H224" s="654"/>
      <c r="I224" s="650"/>
      <c r="J224" s="650"/>
      <c r="K224" s="655"/>
      <c r="L224" s="655"/>
      <c r="M224" s="655"/>
      <c r="N224" s="655"/>
      <c r="O224" s="655"/>
      <c r="P224" s="655"/>
      <c r="Q224" s="655"/>
      <c r="R224" s="655"/>
      <c r="S224" s="655"/>
      <c r="T224" s="655"/>
      <c r="U224" s="655"/>
      <c r="V224" s="655"/>
      <c r="W224" s="655"/>
      <c r="X224" s="655"/>
      <c r="Y224" s="655"/>
      <c r="Z224" s="655"/>
    </row>
    <row r="225">
      <c r="B225" s="462"/>
      <c r="C225" s="671"/>
      <c r="D225" s="462"/>
      <c r="E225" s="654"/>
      <c r="F225" s="650"/>
      <c r="G225" s="654"/>
      <c r="H225" s="654"/>
      <c r="I225" s="650"/>
      <c r="J225" s="650"/>
      <c r="K225" s="655"/>
      <c r="L225" s="655"/>
      <c r="M225" s="655"/>
      <c r="N225" s="655"/>
      <c r="O225" s="655"/>
      <c r="P225" s="655"/>
      <c r="Q225" s="655"/>
      <c r="R225" s="655"/>
      <c r="S225" s="655"/>
      <c r="T225" s="655"/>
      <c r="U225" s="655"/>
      <c r="V225" s="655"/>
      <c r="W225" s="655"/>
      <c r="X225" s="655"/>
      <c r="Y225" s="655"/>
      <c r="Z225" s="655"/>
    </row>
    <row r="226">
      <c r="B226" s="462"/>
      <c r="C226" s="671"/>
      <c r="D226" s="462"/>
      <c r="E226" s="654"/>
      <c r="F226" s="650"/>
      <c r="G226" s="654"/>
      <c r="H226" s="654"/>
      <c r="I226" s="650"/>
      <c r="J226" s="650"/>
      <c r="K226" s="655"/>
      <c r="L226" s="655"/>
      <c r="M226" s="655"/>
      <c r="N226" s="655"/>
      <c r="O226" s="655"/>
      <c r="P226" s="655"/>
      <c r="Q226" s="655"/>
      <c r="R226" s="655"/>
      <c r="S226" s="655"/>
      <c r="T226" s="655"/>
      <c r="U226" s="655"/>
      <c r="V226" s="655"/>
      <c r="W226" s="655"/>
      <c r="X226" s="655"/>
      <c r="Y226" s="655"/>
      <c r="Z226" s="655"/>
    </row>
    <row r="227">
      <c r="B227" s="462"/>
      <c r="C227" s="671"/>
      <c r="D227" s="462"/>
      <c r="E227" s="654"/>
      <c r="F227" s="650"/>
      <c r="G227" s="654"/>
      <c r="H227" s="654"/>
      <c r="I227" s="650"/>
      <c r="J227" s="650"/>
      <c r="K227" s="655"/>
      <c r="L227" s="655"/>
      <c r="M227" s="655"/>
      <c r="N227" s="655"/>
      <c r="O227" s="655"/>
      <c r="P227" s="655"/>
      <c r="Q227" s="655"/>
      <c r="R227" s="655"/>
      <c r="S227" s="655"/>
      <c r="T227" s="655"/>
      <c r="U227" s="655"/>
      <c r="V227" s="655"/>
      <c r="W227" s="655"/>
      <c r="X227" s="655"/>
      <c r="Y227" s="655"/>
      <c r="Z227" s="655"/>
    </row>
    <row r="228">
      <c r="B228" s="462"/>
      <c r="C228" s="671"/>
      <c r="D228" s="462"/>
      <c r="E228" s="654"/>
      <c r="F228" s="650"/>
      <c r="G228" s="654"/>
      <c r="H228" s="654"/>
      <c r="I228" s="650"/>
      <c r="J228" s="650"/>
      <c r="K228" s="655"/>
      <c r="L228" s="655"/>
      <c r="M228" s="655"/>
      <c r="N228" s="655"/>
      <c r="O228" s="655"/>
      <c r="P228" s="655"/>
      <c r="Q228" s="655"/>
      <c r="R228" s="655"/>
      <c r="S228" s="655"/>
      <c r="T228" s="655"/>
      <c r="U228" s="655"/>
      <c r="V228" s="655"/>
      <c r="W228" s="655"/>
      <c r="X228" s="655"/>
      <c r="Y228" s="655"/>
      <c r="Z228" s="655"/>
    </row>
    <row r="229">
      <c r="B229" s="462"/>
      <c r="C229" s="671"/>
      <c r="D229" s="462"/>
      <c r="E229" s="654"/>
      <c r="F229" s="650"/>
      <c r="G229" s="654"/>
      <c r="H229" s="654"/>
      <c r="I229" s="650"/>
      <c r="J229" s="650"/>
      <c r="K229" s="655"/>
      <c r="L229" s="655"/>
      <c r="M229" s="655"/>
      <c r="N229" s="655"/>
      <c r="O229" s="655"/>
      <c r="P229" s="655"/>
      <c r="Q229" s="655"/>
      <c r="R229" s="655"/>
      <c r="S229" s="655"/>
      <c r="T229" s="655"/>
      <c r="U229" s="655"/>
      <c r="V229" s="655"/>
      <c r="W229" s="655"/>
      <c r="X229" s="655"/>
      <c r="Y229" s="655"/>
      <c r="Z229" s="655"/>
    </row>
    <row r="230">
      <c r="B230" s="462"/>
      <c r="C230" s="671"/>
      <c r="D230" s="462"/>
      <c r="E230" s="654"/>
      <c r="F230" s="650"/>
      <c r="G230" s="654"/>
      <c r="H230" s="654"/>
      <c r="I230" s="650"/>
      <c r="J230" s="650"/>
      <c r="K230" s="655"/>
      <c r="L230" s="655"/>
      <c r="M230" s="655"/>
      <c r="N230" s="655"/>
      <c r="O230" s="655"/>
      <c r="P230" s="655"/>
      <c r="Q230" s="655"/>
      <c r="R230" s="655"/>
      <c r="S230" s="655"/>
      <c r="T230" s="655"/>
      <c r="U230" s="655"/>
      <c r="V230" s="655"/>
      <c r="W230" s="655"/>
      <c r="X230" s="655"/>
      <c r="Y230" s="655"/>
      <c r="Z230" s="655"/>
    </row>
    <row r="231">
      <c r="B231" s="462"/>
      <c r="C231" s="671"/>
      <c r="D231" s="462"/>
      <c r="E231" s="654"/>
      <c r="F231" s="650"/>
      <c r="G231" s="654"/>
      <c r="H231" s="654"/>
      <c r="I231" s="650"/>
      <c r="J231" s="650"/>
      <c r="K231" s="655"/>
      <c r="L231" s="655"/>
      <c r="M231" s="655"/>
      <c r="N231" s="655"/>
      <c r="O231" s="655"/>
      <c r="P231" s="655"/>
      <c r="Q231" s="655"/>
      <c r="R231" s="655"/>
      <c r="S231" s="655"/>
      <c r="T231" s="655"/>
      <c r="U231" s="655"/>
      <c r="V231" s="655"/>
      <c r="W231" s="655"/>
      <c r="X231" s="655"/>
      <c r="Y231" s="655"/>
      <c r="Z231" s="655"/>
    </row>
    <row r="232">
      <c r="B232" s="462"/>
      <c r="C232" s="671"/>
      <c r="D232" s="462"/>
      <c r="E232" s="654"/>
      <c r="F232" s="650"/>
      <c r="G232" s="654"/>
      <c r="H232" s="654"/>
      <c r="I232" s="650"/>
      <c r="J232" s="650"/>
      <c r="K232" s="655"/>
      <c r="L232" s="655"/>
      <c r="M232" s="655"/>
      <c r="N232" s="655"/>
      <c r="O232" s="655"/>
      <c r="P232" s="655"/>
      <c r="Q232" s="655"/>
      <c r="R232" s="655"/>
      <c r="S232" s="655"/>
      <c r="T232" s="655"/>
      <c r="U232" s="655"/>
      <c r="V232" s="655"/>
      <c r="W232" s="655"/>
      <c r="X232" s="655"/>
      <c r="Y232" s="655"/>
      <c r="Z232" s="655"/>
    </row>
    <row r="233">
      <c r="B233" s="462"/>
      <c r="C233" s="671"/>
      <c r="D233" s="462"/>
      <c r="E233" s="654"/>
      <c r="F233" s="650"/>
      <c r="G233" s="654"/>
      <c r="H233" s="654"/>
      <c r="I233" s="650"/>
      <c r="J233" s="650"/>
      <c r="K233" s="655"/>
      <c r="L233" s="655"/>
      <c r="M233" s="655"/>
      <c r="N233" s="655"/>
      <c r="O233" s="655"/>
      <c r="P233" s="655"/>
      <c r="Q233" s="655"/>
      <c r="R233" s="655"/>
      <c r="S233" s="655"/>
      <c r="T233" s="655"/>
      <c r="U233" s="655"/>
      <c r="V233" s="655"/>
      <c r="W233" s="655"/>
      <c r="X233" s="655"/>
      <c r="Y233" s="655"/>
      <c r="Z233" s="655"/>
    </row>
    <row r="234">
      <c r="B234" s="462"/>
      <c r="C234" s="671"/>
      <c r="D234" s="462"/>
      <c r="E234" s="654"/>
      <c r="F234" s="650"/>
      <c r="G234" s="654"/>
      <c r="H234" s="654"/>
      <c r="I234" s="650"/>
      <c r="J234" s="650"/>
      <c r="K234" s="655"/>
      <c r="L234" s="655"/>
      <c r="M234" s="655"/>
      <c r="N234" s="655"/>
      <c r="O234" s="655"/>
      <c r="P234" s="655"/>
      <c r="Q234" s="655"/>
      <c r="R234" s="655"/>
      <c r="S234" s="655"/>
      <c r="T234" s="655"/>
      <c r="U234" s="655"/>
      <c r="V234" s="655"/>
      <c r="W234" s="655"/>
      <c r="X234" s="655"/>
      <c r="Y234" s="655"/>
      <c r="Z234" s="655"/>
    </row>
    <row r="235">
      <c r="B235" s="462"/>
      <c r="C235" s="671"/>
      <c r="D235" s="462"/>
      <c r="E235" s="654"/>
      <c r="F235" s="650"/>
      <c r="G235" s="654"/>
      <c r="H235" s="654"/>
      <c r="I235" s="650"/>
      <c r="J235" s="650"/>
      <c r="K235" s="655"/>
      <c r="L235" s="655"/>
      <c r="M235" s="655"/>
      <c r="N235" s="655"/>
      <c r="O235" s="655"/>
      <c r="P235" s="655"/>
      <c r="Q235" s="655"/>
      <c r="R235" s="655"/>
      <c r="S235" s="655"/>
      <c r="T235" s="655"/>
      <c r="U235" s="655"/>
      <c r="V235" s="655"/>
      <c r="W235" s="655"/>
      <c r="X235" s="655"/>
      <c r="Y235" s="655"/>
      <c r="Z235" s="655"/>
    </row>
    <row r="236">
      <c r="B236" s="462"/>
      <c r="C236" s="671"/>
      <c r="D236" s="462"/>
      <c r="E236" s="654"/>
      <c r="F236" s="650"/>
      <c r="G236" s="654"/>
      <c r="H236" s="654"/>
      <c r="I236" s="650"/>
      <c r="J236" s="650"/>
      <c r="K236" s="655"/>
      <c r="L236" s="655"/>
      <c r="M236" s="655"/>
      <c r="N236" s="655"/>
      <c r="O236" s="655"/>
      <c r="P236" s="655"/>
      <c r="Q236" s="655"/>
      <c r="R236" s="655"/>
      <c r="S236" s="655"/>
      <c r="T236" s="655"/>
      <c r="U236" s="655"/>
      <c r="V236" s="655"/>
      <c r="W236" s="655"/>
      <c r="X236" s="655"/>
      <c r="Y236" s="655"/>
      <c r="Z236" s="655"/>
    </row>
    <row r="237">
      <c r="B237" s="462"/>
      <c r="C237" s="671"/>
      <c r="D237" s="462"/>
      <c r="E237" s="654"/>
      <c r="F237" s="650"/>
      <c r="G237" s="654"/>
      <c r="H237" s="654"/>
      <c r="I237" s="650"/>
      <c r="J237" s="650"/>
      <c r="K237" s="655"/>
      <c r="L237" s="655"/>
      <c r="M237" s="655"/>
      <c r="N237" s="655"/>
      <c r="O237" s="655"/>
      <c r="P237" s="655"/>
      <c r="Q237" s="655"/>
      <c r="R237" s="655"/>
      <c r="S237" s="655"/>
      <c r="T237" s="655"/>
      <c r="U237" s="655"/>
      <c r="V237" s="655"/>
      <c r="W237" s="655"/>
      <c r="X237" s="655"/>
      <c r="Y237" s="655"/>
      <c r="Z237" s="655"/>
    </row>
    <row r="238">
      <c r="B238" s="462"/>
      <c r="C238" s="671"/>
      <c r="D238" s="462"/>
      <c r="E238" s="654"/>
      <c r="F238" s="650"/>
      <c r="G238" s="654"/>
      <c r="H238" s="654"/>
      <c r="I238" s="650"/>
      <c r="J238" s="650"/>
      <c r="K238" s="655"/>
      <c r="L238" s="655"/>
      <c r="M238" s="655"/>
      <c r="N238" s="655"/>
      <c r="O238" s="655"/>
      <c r="P238" s="655"/>
      <c r="Q238" s="655"/>
      <c r="R238" s="655"/>
      <c r="S238" s="655"/>
      <c r="T238" s="655"/>
      <c r="U238" s="655"/>
      <c r="V238" s="655"/>
      <c r="W238" s="655"/>
      <c r="X238" s="655"/>
      <c r="Y238" s="655"/>
      <c r="Z238" s="655"/>
    </row>
    <row r="239">
      <c r="B239" s="462"/>
      <c r="C239" s="671"/>
      <c r="D239" s="462"/>
      <c r="E239" s="654"/>
      <c r="F239" s="650"/>
      <c r="G239" s="654"/>
      <c r="H239" s="654"/>
      <c r="I239" s="650"/>
      <c r="J239" s="650"/>
      <c r="K239" s="655"/>
      <c r="L239" s="655"/>
      <c r="M239" s="655"/>
      <c r="N239" s="655"/>
      <c r="O239" s="655"/>
      <c r="P239" s="655"/>
      <c r="Q239" s="655"/>
      <c r="R239" s="655"/>
      <c r="S239" s="655"/>
      <c r="T239" s="655"/>
      <c r="U239" s="655"/>
      <c r="V239" s="655"/>
      <c r="W239" s="655"/>
      <c r="X239" s="655"/>
      <c r="Y239" s="655"/>
      <c r="Z239" s="655"/>
    </row>
    <row r="240">
      <c r="B240" s="462"/>
      <c r="C240" s="671"/>
      <c r="D240" s="462"/>
      <c r="E240" s="654"/>
      <c r="F240" s="650"/>
      <c r="G240" s="654"/>
      <c r="H240" s="654"/>
      <c r="I240" s="650"/>
      <c r="J240" s="650"/>
      <c r="K240" s="655"/>
      <c r="L240" s="655"/>
      <c r="M240" s="655"/>
      <c r="N240" s="655"/>
      <c r="O240" s="655"/>
      <c r="P240" s="655"/>
      <c r="Q240" s="655"/>
      <c r="R240" s="655"/>
      <c r="S240" s="655"/>
      <c r="T240" s="655"/>
      <c r="U240" s="655"/>
      <c r="V240" s="655"/>
      <c r="W240" s="655"/>
      <c r="X240" s="655"/>
      <c r="Y240" s="655"/>
      <c r="Z240" s="655"/>
    </row>
    <row r="241">
      <c r="B241" s="462"/>
      <c r="C241" s="671"/>
      <c r="D241" s="462"/>
      <c r="E241" s="654"/>
      <c r="F241" s="650"/>
      <c r="G241" s="654"/>
      <c r="H241" s="654"/>
      <c r="I241" s="650"/>
      <c r="J241" s="650"/>
      <c r="K241" s="655"/>
      <c r="L241" s="655"/>
      <c r="M241" s="655"/>
      <c r="N241" s="655"/>
      <c r="O241" s="655"/>
      <c r="P241" s="655"/>
      <c r="Q241" s="655"/>
      <c r="R241" s="655"/>
      <c r="S241" s="655"/>
      <c r="T241" s="655"/>
      <c r="U241" s="655"/>
      <c r="V241" s="655"/>
      <c r="W241" s="655"/>
      <c r="X241" s="655"/>
      <c r="Y241" s="655"/>
      <c r="Z241" s="655"/>
    </row>
    <row r="242">
      <c r="B242" s="462"/>
      <c r="C242" s="671"/>
      <c r="D242" s="462"/>
      <c r="E242" s="654"/>
      <c r="F242" s="650"/>
      <c r="G242" s="654"/>
      <c r="H242" s="654"/>
      <c r="I242" s="650"/>
      <c r="J242" s="650"/>
      <c r="K242" s="655"/>
      <c r="L242" s="655"/>
      <c r="M242" s="655"/>
      <c r="N242" s="655"/>
      <c r="O242" s="655"/>
      <c r="P242" s="655"/>
      <c r="Q242" s="655"/>
      <c r="R242" s="655"/>
      <c r="S242" s="655"/>
      <c r="T242" s="655"/>
      <c r="U242" s="655"/>
      <c r="V242" s="655"/>
      <c r="W242" s="655"/>
      <c r="X242" s="655"/>
      <c r="Y242" s="655"/>
      <c r="Z242" s="655"/>
    </row>
    <row r="243">
      <c r="B243" s="462"/>
      <c r="C243" s="671"/>
      <c r="D243" s="462"/>
      <c r="E243" s="654"/>
      <c r="F243" s="650"/>
      <c r="G243" s="654"/>
      <c r="H243" s="654"/>
      <c r="I243" s="650"/>
      <c r="J243" s="650"/>
      <c r="K243" s="655"/>
      <c r="L243" s="655"/>
      <c r="M243" s="655"/>
      <c r="N243" s="655"/>
      <c r="O243" s="655"/>
      <c r="P243" s="655"/>
      <c r="Q243" s="655"/>
      <c r="R243" s="655"/>
      <c r="S243" s="655"/>
      <c r="T243" s="655"/>
      <c r="U243" s="655"/>
      <c r="V243" s="655"/>
      <c r="W243" s="655"/>
      <c r="X243" s="655"/>
      <c r="Y243" s="655"/>
      <c r="Z243" s="655"/>
    </row>
    <row r="244">
      <c r="B244" s="462"/>
      <c r="C244" s="671"/>
      <c r="D244" s="462"/>
      <c r="E244" s="654"/>
      <c r="F244" s="650"/>
      <c r="G244" s="654"/>
      <c r="H244" s="654"/>
      <c r="I244" s="650"/>
      <c r="J244" s="650"/>
      <c r="K244" s="655"/>
      <c r="L244" s="655"/>
      <c r="M244" s="655"/>
      <c r="N244" s="655"/>
      <c r="O244" s="655"/>
      <c r="P244" s="655"/>
      <c r="Q244" s="655"/>
      <c r="R244" s="655"/>
      <c r="S244" s="655"/>
      <c r="T244" s="655"/>
      <c r="U244" s="655"/>
      <c r="V244" s="655"/>
      <c r="W244" s="655"/>
      <c r="X244" s="655"/>
      <c r="Y244" s="655"/>
      <c r="Z244" s="655"/>
    </row>
    <row r="245">
      <c r="B245" s="462"/>
      <c r="C245" s="671"/>
      <c r="D245" s="462"/>
      <c r="E245" s="654"/>
      <c r="F245" s="650"/>
      <c r="G245" s="654"/>
      <c r="H245" s="654"/>
      <c r="I245" s="650"/>
      <c r="J245" s="650"/>
      <c r="K245" s="655"/>
      <c r="L245" s="655"/>
      <c r="M245" s="655"/>
      <c r="N245" s="655"/>
      <c r="O245" s="655"/>
      <c r="P245" s="655"/>
      <c r="Q245" s="655"/>
      <c r="R245" s="655"/>
      <c r="S245" s="655"/>
      <c r="T245" s="655"/>
      <c r="U245" s="655"/>
      <c r="V245" s="655"/>
      <c r="W245" s="655"/>
      <c r="X245" s="655"/>
      <c r="Y245" s="655"/>
      <c r="Z245" s="655"/>
    </row>
    <row r="246">
      <c r="B246" s="462"/>
      <c r="C246" s="671"/>
      <c r="D246" s="462"/>
      <c r="E246" s="654"/>
      <c r="F246" s="650"/>
      <c r="G246" s="654"/>
      <c r="H246" s="654"/>
      <c r="I246" s="650"/>
      <c r="J246" s="650"/>
      <c r="K246" s="655"/>
      <c r="L246" s="655"/>
      <c r="M246" s="655"/>
      <c r="N246" s="655"/>
      <c r="O246" s="655"/>
      <c r="P246" s="655"/>
      <c r="Q246" s="655"/>
      <c r="R246" s="655"/>
      <c r="S246" s="655"/>
      <c r="T246" s="655"/>
      <c r="U246" s="655"/>
      <c r="V246" s="655"/>
      <c r="W246" s="655"/>
      <c r="X246" s="655"/>
      <c r="Y246" s="655"/>
      <c r="Z246" s="655"/>
    </row>
    <row r="247">
      <c r="B247" s="462"/>
      <c r="C247" s="671"/>
      <c r="D247" s="462"/>
      <c r="E247" s="654"/>
      <c r="F247" s="650"/>
      <c r="G247" s="654"/>
      <c r="H247" s="654"/>
      <c r="I247" s="650"/>
      <c r="J247" s="650"/>
      <c r="K247" s="655"/>
      <c r="L247" s="655"/>
      <c r="M247" s="655"/>
      <c r="N247" s="655"/>
      <c r="O247" s="655"/>
      <c r="P247" s="655"/>
      <c r="Q247" s="655"/>
      <c r="R247" s="655"/>
      <c r="S247" s="655"/>
      <c r="T247" s="655"/>
      <c r="U247" s="655"/>
      <c r="V247" s="655"/>
      <c r="W247" s="655"/>
      <c r="X247" s="655"/>
      <c r="Y247" s="655"/>
      <c r="Z247" s="655"/>
    </row>
    <row r="248">
      <c r="B248" s="462"/>
      <c r="C248" s="671"/>
      <c r="D248" s="462"/>
      <c r="E248" s="654"/>
      <c r="F248" s="650"/>
      <c r="G248" s="654"/>
      <c r="H248" s="654"/>
      <c r="I248" s="650"/>
      <c r="J248" s="650"/>
      <c r="K248" s="655"/>
      <c r="L248" s="655"/>
      <c r="M248" s="655"/>
      <c r="N248" s="655"/>
      <c r="O248" s="655"/>
      <c r="P248" s="655"/>
      <c r="Q248" s="655"/>
      <c r="R248" s="655"/>
      <c r="S248" s="655"/>
      <c r="T248" s="655"/>
      <c r="U248" s="655"/>
      <c r="V248" s="655"/>
      <c r="W248" s="655"/>
      <c r="X248" s="655"/>
      <c r="Y248" s="655"/>
      <c r="Z248" s="655"/>
    </row>
    <row r="249">
      <c r="B249" s="462"/>
      <c r="C249" s="671"/>
      <c r="D249" s="462"/>
      <c r="E249" s="654"/>
      <c r="F249" s="650"/>
      <c r="G249" s="654"/>
      <c r="H249" s="654"/>
      <c r="I249" s="650"/>
      <c r="J249" s="650"/>
      <c r="K249" s="655"/>
      <c r="L249" s="655"/>
      <c r="M249" s="655"/>
      <c r="N249" s="655"/>
      <c r="O249" s="655"/>
      <c r="P249" s="655"/>
      <c r="Q249" s="655"/>
      <c r="R249" s="655"/>
      <c r="S249" s="655"/>
      <c r="T249" s="655"/>
      <c r="U249" s="655"/>
      <c r="V249" s="655"/>
      <c r="W249" s="655"/>
      <c r="X249" s="655"/>
      <c r="Y249" s="655"/>
      <c r="Z249" s="655"/>
    </row>
    <row r="250">
      <c r="B250" s="462"/>
      <c r="C250" s="671"/>
      <c r="D250" s="462"/>
      <c r="E250" s="654"/>
      <c r="F250" s="650"/>
      <c r="G250" s="654"/>
      <c r="H250" s="654"/>
      <c r="I250" s="650"/>
      <c r="J250" s="650"/>
      <c r="K250" s="655"/>
      <c r="L250" s="655"/>
      <c r="M250" s="655"/>
      <c r="N250" s="655"/>
      <c r="O250" s="655"/>
      <c r="P250" s="655"/>
      <c r="Q250" s="655"/>
      <c r="R250" s="655"/>
      <c r="S250" s="655"/>
      <c r="T250" s="655"/>
      <c r="U250" s="655"/>
      <c r="V250" s="655"/>
      <c r="W250" s="655"/>
      <c r="X250" s="655"/>
      <c r="Y250" s="655"/>
      <c r="Z250" s="655"/>
    </row>
    <row r="251">
      <c r="B251" s="462"/>
      <c r="C251" s="671"/>
      <c r="D251" s="462"/>
      <c r="E251" s="654"/>
      <c r="F251" s="650"/>
      <c r="G251" s="654"/>
      <c r="H251" s="654"/>
      <c r="I251" s="650"/>
      <c r="J251" s="650"/>
      <c r="K251" s="655"/>
      <c r="L251" s="655"/>
      <c r="M251" s="655"/>
      <c r="N251" s="655"/>
      <c r="O251" s="655"/>
      <c r="P251" s="655"/>
      <c r="Q251" s="655"/>
      <c r="R251" s="655"/>
      <c r="S251" s="655"/>
      <c r="T251" s="655"/>
      <c r="U251" s="655"/>
      <c r="V251" s="655"/>
      <c r="W251" s="655"/>
      <c r="X251" s="655"/>
      <c r="Y251" s="655"/>
      <c r="Z251" s="655"/>
    </row>
    <row r="252">
      <c r="B252" s="462"/>
      <c r="C252" s="671"/>
      <c r="D252" s="462"/>
      <c r="E252" s="654"/>
      <c r="F252" s="650"/>
      <c r="G252" s="654"/>
      <c r="H252" s="654"/>
      <c r="I252" s="650"/>
      <c r="J252" s="650"/>
      <c r="K252" s="655"/>
      <c r="L252" s="655"/>
      <c r="M252" s="655"/>
      <c r="N252" s="655"/>
      <c r="O252" s="655"/>
      <c r="P252" s="655"/>
      <c r="Q252" s="655"/>
      <c r="R252" s="655"/>
      <c r="S252" s="655"/>
      <c r="T252" s="655"/>
      <c r="U252" s="655"/>
      <c r="V252" s="655"/>
      <c r="W252" s="655"/>
      <c r="X252" s="655"/>
      <c r="Y252" s="655"/>
      <c r="Z252" s="655"/>
    </row>
    <row r="253">
      <c r="B253" s="462"/>
      <c r="C253" s="671"/>
      <c r="D253" s="462"/>
      <c r="E253" s="654"/>
      <c r="F253" s="650"/>
      <c r="G253" s="654"/>
      <c r="H253" s="654"/>
      <c r="I253" s="650"/>
      <c r="J253" s="650"/>
      <c r="K253" s="655"/>
      <c r="L253" s="655"/>
      <c r="M253" s="655"/>
      <c r="N253" s="655"/>
      <c r="O253" s="655"/>
      <c r="P253" s="655"/>
      <c r="Q253" s="655"/>
      <c r="R253" s="655"/>
      <c r="S253" s="655"/>
      <c r="T253" s="655"/>
      <c r="U253" s="655"/>
      <c r="V253" s="655"/>
      <c r="W253" s="655"/>
      <c r="X253" s="655"/>
      <c r="Y253" s="655"/>
      <c r="Z253" s="655"/>
    </row>
    <row r="254">
      <c r="B254" s="462"/>
      <c r="C254" s="671"/>
      <c r="D254" s="462"/>
      <c r="E254" s="654"/>
      <c r="F254" s="650"/>
      <c r="G254" s="654"/>
      <c r="H254" s="654"/>
      <c r="I254" s="650"/>
      <c r="J254" s="650"/>
      <c r="K254" s="655"/>
      <c r="L254" s="655"/>
      <c r="M254" s="655"/>
      <c r="N254" s="655"/>
      <c r="O254" s="655"/>
      <c r="P254" s="655"/>
      <c r="Q254" s="655"/>
      <c r="R254" s="655"/>
      <c r="S254" s="655"/>
      <c r="T254" s="655"/>
      <c r="U254" s="655"/>
      <c r="V254" s="655"/>
      <c r="W254" s="655"/>
      <c r="X254" s="655"/>
      <c r="Y254" s="655"/>
      <c r="Z254" s="655"/>
    </row>
    <row r="255">
      <c r="B255" s="462"/>
      <c r="C255" s="671"/>
      <c r="D255" s="462"/>
      <c r="E255" s="654"/>
      <c r="F255" s="650"/>
      <c r="G255" s="654"/>
      <c r="H255" s="654"/>
      <c r="I255" s="650"/>
      <c r="J255" s="650"/>
      <c r="K255" s="655"/>
      <c r="L255" s="655"/>
      <c r="M255" s="655"/>
      <c r="N255" s="655"/>
      <c r="O255" s="655"/>
      <c r="P255" s="655"/>
      <c r="Q255" s="655"/>
      <c r="R255" s="655"/>
      <c r="S255" s="655"/>
      <c r="T255" s="655"/>
      <c r="U255" s="655"/>
      <c r="V255" s="655"/>
      <c r="W255" s="655"/>
      <c r="X255" s="655"/>
      <c r="Y255" s="655"/>
      <c r="Z255" s="655"/>
    </row>
    <row r="256">
      <c r="B256" s="462"/>
      <c r="C256" s="671"/>
      <c r="D256" s="462"/>
      <c r="E256" s="654"/>
      <c r="F256" s="650"/>
      <c r="G256" s="654"/>
      <c r="H256" s="654"/>
      <c r="I256" s="650"/>
      <c r="J256" s="650"/>
      <c r="K256" s="655"/>
      <c r="L256" s="655"/>
      <c r="M256" s="655"/>
      <c r="N256" s="655"/>
      <c r="O256" s="655"/>
      <c r="P256" s="655"/>
      <c r="Q256" s="655"/>
      <c r="R256" s="655"/>
      <c r="S256" s="655"/>
      <c r="T256" s="655"/>
      <c r="U256" s="655"/>
      <c r="V256" s="655"/>
      <c r="W256" s="655"/>
      <c r="X256" s="655"/>
      <c r="Y256" s="655"/>
      <c r="Z256" s="655"/>
    </row>
    <row r="257">
      <c r="B257" s="462"/>
      <c r="C257" s="671"/>
      <c r="D257" s="462"/>
      <c r="E257" s="654"/>
      <c r="F257" s="650"/>
      <c r="G257" s="654"/>
      <c r="H257" s="654"/>
      <c r="I257" s="650"/>
      <c r="J257" s="650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</row>
    <row r="258">
      <c r="B258" s="462"/>
      <c r="C258" s="671"/>
      <c r="D258" s="462"/>
      <c r="E258" s="654"/>
      <c r="F258" s="650"/>
      <c r="G258" s="654"/>
      <c r="H258" s="654"/>
      <c r="I258" s="650"/>
      <c r="J258" s="650"/>
      <c r="K258" s="655"/>
      <c r="L258" s="655"/>
      <c r="M258" s="655"/>
      <c r="N258" s="655"/>
      <c r="O258" s="655"/>
      <c r="P258" s="655"/>
      <c r="Q258" s="655"/>
      <c r="R258" s="655"/>
      <c r="S258" s="655"/>
      <c r="T258" s="655"/>
      <c r="U258" s="655"/>
      <c r="V258" s="655"/>
      <c r="W258" s="655"/>
      <c r="X258" s="655"/>
      <c r="Y258" s="655"/>
      <c r="Z258" s="655"/>
    </row>
    <row r="259">
      <c r="B259" s="462"/>
      <c r="C259" s="671"/>
      <c r="D259" s="462"/>
      <c r="E259" s="654"/>
      <c r="F259" s="650"/>
      <c r="G259" s="654"/>
      <c r="H259" s="654"/>
      <c r="I259" s="650"/>
      <c r="J259" s="650"/>
      <c r="K259" s="655"/>
      <c r="L259" s="655"/>
      <c r="M259" s="655"/>
      <c r="N259" s="655"/>
      <c r="O259" s="655"/>
      <c r="P259" s="655"/>
      <c r="Q259" s="655"/>
      <c r="R259" s="655"/>
      <c r="S259" s="655"/>
      <c r="T259" s="655"/>
      <c r="U259" s="655"/>
      <c r="V259" s="655"/>
      <c r="W259" s="655"/>
      <c r="X259" s="655"/>
      <c r="Y259" s="655"/>
      <c r="Z259" s="655"/>
    </row>
    <row r="260">
      <c r="B260" s="462"/>
      <c r="C260" s="671"/>
      <c r="D260" s="462"/>
      <c r="E260" s="654"/>
      <c r="F260" s="650"/>
      <c r="G260" s="654"/>
      <c r="H260" s="654"/>
      <c r="I260" s="650"/>
      <c r="J260" s="650"/>
      <c r="K260" s="655"/>
      <c r="L260" s="655"/>
      <c r="M260" s="655"/>
      <c r="N260" s="655"/>
      <c r="O260" s="655"/>
      <c r="P260" s="655"/>
      <c r="Q260" s="655"/>
      <c r="R260" s="655"/>
      <c r="S260" s="655"/>
      <c r="T260" s="655"/>
      <c r="U260" s="655"/>
      <c r="V260" s="655"/>
      <c r="W260" s="655"/>
      <c r="X260" s="655"/>
      <c r="Y260" s="655"/>
      <c r="Z260" s="655"/>
    </row>
    <row r="261">
      <c r="B261" s="462"/>
      <c r="C261" s="671"/>
      <c r="D261" s="462"/>
      <c r="E261" s="654"/>
      <c r="F261" s="650"/>
      <c r="G261" s="654"/>
      <c r="H261" s="654"/>
      <c r="I261" s="650"/>
      <c r="J261" s="650"/>
      <c r="K261" s="655"/>
      <c r="L261" s="655"/>
      <c r="M261" s="655"/>
      <c r="N261" s="655"/>
      <c r="O261" s="655"/>
      <c r="P261" s="655"/>
      <c r="Q261" s="655"/>
      <c r="R261" s="655"/>
      <c r="S261" s="655"/>
      <c r="T261" s="655"/>
      <c r="U261" s="655"/>
      <c r="V261" s="655"/>
      <c r="W261" s="655"/>
      <c r="X261" s="655"/>
      <c r="Y261" s="655"/>
      <c r="Z261" s="655"/>
    </row>
    <row r="262">
      <c r="B262" s="462"/>
      <c r="C262" s="671"/>
      <c r="D262" s="462"/>
      <c r="E262" s="654"/>
      <c r="F262" s="650"/>
      <c r="G262" s="654"/>
      <c r="H262" s="654"/>
      <c r="I262" s="650"/>
      <c r="J262" s="650"/>
      <c r="K262" s="655"/>
      <c r="L262" s="655"/>
      <c r="M262" s="655"/>
      <c r="N262" s="655"/>
      <c r="O262" s="655"/>
      <c r="P262" s="655"/>
      <c r="Q262" s="655"/>
      <c r="R262" s="655"/>
      <c r="S262" s="655"/>
      <c r="T262" s="655"/>
      <c r="U262" s="655"/>
      <c r="V262" s="655"/>
      <c r="W262" s="655"/>
      <c r="X262" s="655"/>
      <c r="Y262" s="655"/>
      <c r="Z262" s="655"/>
    </row>
    <row r="263">
      <c r="B263" s="462"/>
      <c r="C263" s="671"/>
      <c r="D263" s="462"/>
      <c r="E263" s="654"/>
      <c r="F263" s="650"/>
      <c r="G263" s="654"/>
      <c r="H263" s="654"/>
      <c r="I263" s="650"/>
      <c r="J263" s="650"/>
      <c r="K263" s="655"/>
      <c r="L263" s="655"/>
      <c r="M263" s="655"/>
      <c r="N263" s="655"/>
      <c r="O263" s="655"/>
      <c r="P263" s="655"/>
      <c r="Q263" s="655"/>
      <c r="R263" s="655"/>
      <c r="S263" s="655"/>
      <c r="T263" s="655"/>
      <c r="U263" s="655"/>
      <c r="V263" s="655"/>
      <c r="W263" s="655"/>
      <c r="X263" s="655"/>
      <c r="Y263" s="655"/>
      <c r="Z263" s="655"/>
    </row>
    <row r="264">
      <c r="B264" s="462"/>
      <c r="C264" s="671"/>
      <c r="D264" s="462"/>
      <c r="E264" s="654"/>
      <c r="F264" s="650"/>
      <c r="G264" s="654"/>
      <c r="H264" s="654"/>
      <c r="I264" s="650"/>
      <c r="J264" s="650"/>
      <c r="K264" s="655"/>
      <c r="L264" s="655"/>
      <c r="M264" s="655"/>
      <c r="N264" s="655"/>
      <c r="O264" s="655"/>
      <c r="P264" s="655"/>
      <c r="Q264" s="655"/>
      <c r="R264" s="655"/>
      <c r="S264" s="655"/>
      <c r="T264" s="655"/>
      <c r="U264" s="655"/>
      <c r="V264" s="655"/>
      <c r="W264" s="655"/>
      <c r="X264" s="655"/>
      <c r="Y264" s="655"/>
      <c r="Z264" s="655"/>
    </row>
    <row r="265">
      <c r="B265" s="462"/>
      <c r="C265" s="671"/>
      <c r="D265" s="462"/>
      <c r="E265" s="654"/>
      <c r="F265" s="650"/>
      <c r="G265" s="654"/>
      <c r="H265" s="654"/>
      <c r="I265" s="650"/>
      <c r="J265" s="650"/>
      <c r="K265" s="655"/>
      <c r="L265" s="655"/>
      <c r="M265" s="655"/>
      <c r="N265" s="655"/>
      <c r="O265" s="655"/>
      <c r="P265" s="655"/>
      <c r="Q265" s="655"/>
      <c r="R265" s="655"/>
      <c r="S265" s="655"/>
      <c r="T265" s="655"/>
      <c r="U265" s="655"/>
      <c r="V265" s="655"/>
      <c r="W265" s="655"/>
      <c r="X265" s="655"/>
      <c r="Y265" s="655"/>
      <c r="Z265" s="655"/>
    </row>
    <row r="266">
      <c r="B266" s="462"/>
      <c r="C266" s="671"/>
      <c r="D266" s="462"/>
      <c r="E266" s="654"/>
      <c r="F266" s="650"/>
      <c r="G266" s="654"/>
      <c r="H266" s="654"/>
      <c r="I266" s="650"/>
      <c r="J266" s="650"/>
      <c r="K266" s="655"/>
      <c r="L266" s="655"/>
      <c r="M266" s="655"/>
      <c r="N266" s="655"/>
      <c r="O266" s="655"/>
      <c r="P266" s="655"/>
      <c r="Q266" s="655"/>
      <c r="R266" s="655"/>
      <c r="S266" s="655"/>
      <c r="T266" s="655"/>
      <c r="U266" s="655"/>
      <c r="V266" s="655"/>
      <c r="W266" s="655"/>
      <c r="X266" s="655"/>
      <c r="Y266" s="655"/>
      <c r="Z266" s="655"/>
    </row>
    <row r="267">
      <c r="B267" s="462"/>
      <c r="C267" s="671"/>
      <c r="D267" s="462"/>
      <c r="E267" s="654"/>
      <c r="F267" s="650"/>
      <c r="G267" s="654"/>
      <c r="H267" s="654"/>
      <c r="I267" s="650"/>
      <c r="J267" s="650"/>
      <c r="K267" s="655"/>
      <c r="L267" s="655"/>
      <c r="M267" s="655"/>
      <c r="N267" s="655"/>
      <c r="O267" s="655"/>
      <c r="P267" s="655"/>
      <c r="Q267" s="655"/>
      <c r="R267" s="655"/>
      <c r="S267" s="655"/>
      <c r="T267" s="655"/>
      <c r="U267" s="655"/>
      <c r="V267" s="655"/>
      <c r="W267" s="655"/>
      <c r="X267" s="655"/>
      <c r="Y267" s="655"/>
      <c r="Z267" s="655"/>
    </row>
    <row r="268">
      <c r="B268" s="462"/>
      <c r="C268" s="671"/>
      <c r="D268" s="462"/>
      <c r="E268" s="654"/>
      <c r="F268" s="650"/>
      <c r="G268" s="654"/>
      <c r="H268" s="654"/>
      <c r="I268" s="650"/>
      <c r="J268" s="650"/>
      <c r="K268" s="655"/>
      <c r="L268" s="655"/>
      <c r="M268" s="655"/>
      <c r="N268" s="655"/>
      <c r="O268" s="655"/>
      <c r="P268" s="655"/>
      <c r="Q268" s="655"/>
      <c r="R268" s="655"/>
      <c r="S268" s="655"/>
      <c r="T268" s="655"/>
      <c r="U268" s="655"/>
      <c r="V268" s="655"/>
      <c r="W268" s="655"/>
      <c r="X268" s="655"/>
      <c r="Y268" s="655"/>
      <c r="Z268" s="655"/>
    </row>
    <row r="269">
      <c r="B269" s="462"/>
      <c r="C269" s="671"/>
      <c r="D269" s="462"/>
      <c r="E269" s="654"/>
      <c r="F269" s="650"/>
      <c r="G269" s="654"/>
      <c r="H269" s="654"/>
      <c r="I269" s="650"/>
      <c r="J269" s="650"/>
      <c r="K269" s="655"/>
      <c r="L269" s="655"/>
      <c r="M269" s="655"/>
      <c r="N269" s="655"/>
      <c r="O269" s="655"/>
      <c r="P269" s="655"/>
      <c r="Q269" s="655"/>
      <c r="R269" s="655"/>
      <c r="S269" s="655"/>
      <c r="T269" s="655"/>
      <c r="U269" s="655"/>
      <c r="V269" s="655"/>
      <c r="W269" s="655"/>
      <c r="X269" s="655"/>
      <c r="Y269" s="655"/>
      <c r="Z269" s="655"/>
    </row>
    <row r="270">
      <c r="B270" s="462"/>
      <c r="C270" s="671"/>
      <c r="D270" s="462"/>
      <c r="E270" s="654"/>
      <c r="F270" s="650"/>
      <c r="G270" s="654"/>
      <c r="H270" s="654"/>
      <c r="I270" s="650"/>
      <c r="J270" s="650"/>
      <c r="K270" s="655"/>
      <c r="L270" s="655"/>
      <c r="M270" s="655"/>
      <c r="N270" s="655"/>
      <c r="O270" s="655"/>
      <c r="P270" s="655"/>
      <c r="Q270" s="655"/>
      <c r="R270" s="655"/>
      <c r="S270" s="655"/>
      <c r="T270" s="655"/>
      <c r="U270" s="655"/>
      <c r="V270" s="655"/>
      <c r="W270" s="655"/>
      <c r="X270" s="655"/>
      <c r="Y270" s="655"/>
      <c r="Z270" s="655"/>
    </row>
    <row r="271">
      <c r="B271" s="462"/>
      <c r="C271" s="671"/>
      <c r="D271" s="462"/>
      <c r="E271" s="654"/>
      <c r="F271" s="650"/>
      <c r="G271" s="654"/>
      <c r="H271" s="654"/>
      <c r="I271" s="650"/>
      <c r="J271" s="650"/>
      <c r="K271" s="655"/>
      <c r="L271" s="655"/>
      <c r="M271" s="655"/>
      <c r="N271" s="655"/>
      <c r="O271" s="655"/>
      <c r="P271" s="655"/>
      <c r="Q271" s="655"/>
      <c r="R271" s="655"/>
      <c r="S271" s="655"/>
      <c r="T271" s="655"/>
      <c r="U271" s="655"/>
      <c r="V271" s="655"/>
      <c r="W271" s="655"/>
      <c r="X271" s="655"/>
      <c r="Y271" s="655"/>
      <c r="Z271" s="655"/>
    </row>
    <row r="272">
      <c r="B272" s="462"/>
      <c r="C272" s="671"/>
      <c r="D272" s="462"/>
      <c r="E272" s="654"/>
      <c r="F272" s="650"/>
      <c r="G272" s="654"/>
      <c r="H272" s="654"/>
      <c r="I272" s="650"/>
      <c r="J272" s="650"/>
      <c r="K272" s="655"/>
      <c r="L272" s="655"/>
      <c r="M272" s="655"/>
      <c r="N272" s="655"/>
      <c r="O272" s="655"/>
      <c r="P272" s="655"/>
      <c r="Q272" s="655"/>
      <c r="R272" s="655"/>
      <c r="S272" s="655"/>
      <c r="T272" s="655"/>
      <c r="U272" s="655"/>
      <c r="V272" s="655"/>
      <c r="W272" s="655"/>
      <c r="X272" s="655"/>
      <c r="Y272" s="655"/>
      <c r="Z272" s="655"/>
    </row>
    <row r="273">
      <c r="B273" s="462"/>
      <c r="C273" s="671"/>
      <c r="D273" s="462"/>
      <c r="E273" s="654"/>
      <c r="F273" s="650"/>
      <c r="G273" s="654"/>
      <c r="H273" s="654"/>
      <c r="I273" s="650"/>
      <c r="J273" s="650"/>
      <c r="K273" s="655"/>
      <c r="L273" s="655"/>
      <c r="M273" s="655"/>
      <c r="N273" s="655"/>
      <c r="O273" s="655"/>
      <c r="P273" s="655"/>
      <c r="Q273" s="655"/>
      <c r="R273" s="655"/>
      <c r="S273" s="655"/>
      <c r="T273" s="655"/>
      <c r="U273" s="655"/>
      <c r="V273" s="655"/>
      <c r="W273" s="655"/>
      <c r="X273" s="655"/>
      <c r="Y273" s="655"/>
      <c r="Z273" s="655"/>
    </row>
    <row r="274">
      <c r="B274" s="462"/>
      <c r="C274" s="671"/>
      <c r="D274" s="462"/>
      <c r="E274" s="654"/>
      <c r="F274" s="650"/>
      <c r="G274" s="654"/>
      <c r="H274" s="654"/>
      <c r="I274" s="650"/>
      <c r="J274" s="650"/>
      <c r="K274" s="655"/>
      <c r="L274" s="655"/>
      <c r="M274" s="655"/>
      <c r="N274" s="655"/>
      <c r="O274" s="655"/>
      <c r="P274" s="655"/>
      <c r="Q274" s="655"/>
      <c r="R274" s="655"/>
      <c r="S274" s="655"/>
      <c r="T274" s="655"/>
      <c r="U274" s="655"/>
      <c r="V274" s="655"/>
      <c r="W274" s="655"/>
      <c r="X274" s="655"/>
      <c r="Y274" s="655"/>
      <c r="Z274" s="655"/>
    </row>
    <row r="275">
      <c r="B275" s="462"/>
      <c r="C275" s="671"/>
      <c r="D275" s="462"/>
      <c r="E275" s="654"/>
      <c r="F275" s="650"/>
      <c r="G275" s="654"/>
      <c r="H275" s="654"/>
      <c r="I275" s="650"/>
      <c r="J275" s="650"/>
      <c r="K275" s="655"/>
      <c r="L275" s="655"/>
      <c r="M275" s="655"/>
      <c r="N275" s="655"/>
      <c r="O275" s="655"/>
      <c r="P275" s="655"/>
      <c r="Q275" s="655"/>
      <c r="R275" s="655"/>
      <c r="S275" s="655"/>
      <c r="T275" s="655"/>
      <c r="U275" s="655"/>
      <c r="V275" s="655"/>
      <c r="W275" s="655"/>
      <c r="X275" s="655"/>
      <c r="Y275" s="655"/>
      <c r="Z275" s="655"/>
    </row>
    <row r="276">
      <c r="B276" s="462"/>
      <c r="C276" s="671"/>
      <c r="D276" s="462"/>
      <c r="E276" s="654"/>
      <c r="F276" s="650"/>
      <c r="G276" s="654"/>
      <c r="H276" s="654"/>
      <c r="I276" s="650"/>
      <c r="J276" s="650"/>
      <c r="K276" s="655"/>
      <c r="L276" s="655"/>
      <c r="M276" s="655"/>
      <c r="N276" s="655"/>
      <c r="O276" s="655"/>
      <c r="P276" s="655"/>
      <c r="Q276" s="655"/>
      <c r="R276" s="655"/>
      <c r="S276" s="655"/>
      <c r="T276" s="655"/>
      <c r="U276" s="655"/>
      <c r="V276" s="655"/>
      <c r="W276" s="655"/>
      <c r="X276" s="655"/>
      <c r="Y276" s="655"/>
      <c r="Z276" s="655"/>
    </row>
    <row r="277">
      <c r="B277" s="462"/>
      <c r="C277" s="671"/>
      <c r="D277" s="462"/>
      <c r="E277" s="654"/>
      <c r="F277" s="650"/>
      <c r="G277" s="654"/>
      <c r="H277" s="654"/>
      <c r="I277" s="650"/>
      <c r="J277" s="650"/>
      <c r="K277" s="655"/>
      <c r="L277" s="655"/>
      <c r="M277" s="655"/>
      <c r="N277" s="655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</row>
    <row r="278">
      <c r="B278" s="462"/>
      <c r="C278" s="671"/>
      <c r="D278" s="462"/>
      <c r="E278" s="654"/>
      <c r="F278" s="650"/>
      <c r="G278" s="654"/>
      <c r="H278" s="654"/>
      <c r="I278" s="650"/>
      <c r="J278" s="650"/>
      <c r="K278" s="655"/>
      <c r="L278" s="655"/>
      <c r="M278" s="655"/>
      <c r="N278" s="655"/>
      <c r="O278" s="655"/>
      <c r="P278" s="655"/>
      <c r="Q278" s="655"/>
      <c r="R278" s="655"/>
      <c r="S278" s="655"/>
      <c r="T278" s="655"/>
      <c r="U278" s="655"/>
      <c r="V278" s="655"/>
      <c r="W278" s="655"/>
      <c r="X278" s="655"/>
      <c r="Y278" s="655"/>
      <c r="Z278" s="655"/>
    </row>
    <row r="279">
      <c r="B279" s="462"/>
      <c r="C279" s="671"/>
      <c r="D279" s="462"/>
      <c r="E279" s="654"/>
      <c r="F279" s="650"/>
      <c r="G279" s="654"/>
      <c r="H279" s="654"/>
      <c r="I279" s="650"/>
      <c r="J279" s="650"/>
      <c r="K279" s="655"/>
      <c r="L279" s="655"/>
      <c r="M279" s="655"/>
      <c r="N279" s="655"/>
      <c r="O279" s="655"/>
      <c r="P279" s="655"/>
      <c r="Q279" s="655"/>
      <c r="R279" s="655"/>
      <c r="S279" s="655"/>
      <c r="T279" s="655"/>
      <c r="U279" s="655"/>
      <c r="V279" s="655"/>
      <c r="W279" s="655"/>
      <c r="X279" s="655"/>
      <c r="Y279" s="655"/>
      <c r="Z279" s="655"/>
    </row>
    <row r="280">
      <c r="B280" s="462"/>
      <c r="C280" s="671"/>
      <c r="D280" s="462"/>
      <c r="E280" s="654"/>
      <c r="F280" s="650"/>
      <c r="G280" s="654"/>
      <c r="H280" s="654"/>
      <c r="I280" s="650"/>
      <c r="J280" s="650"/>
      <c r="K280" s="655"/>
      <c r="L280" s="655"/>
      <c r="M280" s="655"/>
      <c r="N280" s="655"/>
      <c r="O280" s="655"/>
      <c r="P280" s="655"/>
      <c r="Q280" s="655"/>
      <c r="R280" s="655"/>
      <c r="S280" s="655"/>
      <c r="T280" s="655"/>
      <c r="U280" s="655"/>
      <c r="V280" s="655"/>
      <c r="W280" s="655"/>
      <c r="X280" s="655"/>
      <c r="Y280" s="655"/>
      <c r="Z280" s="655"/>
    </row>
    <row r="281">
      <c r="B281" s="462"/>
      <c r="C281" s="671"/>
      <c r="D281" s="462"/>
      <c r="E281" s="654"/>
      <c r="F281" s="650"/>
      <c r="G281" s="654"/>
      <c r="H281" s="654"/>
      <c r="I281" s="650"/>
      <c r="J281" s="650"/>
      <c r="K281" s="655"/>
      <c r="L281" s="655"/>
      <c r="M281" s="655"/>
      <c r="N281" s="655"/>
      <c r="O281" s="655"/>
      <c r="P281" s="655"/>
      <c r="Q281" s="655"/>
      <c r="R281" s="655"/>
      <c r="S281" s="655"/>
      <c r="T281" s="655"/>
      <c r="U281" s="655"/>
      <c r="V281" s="655"/>
      <c r="W281" s="655"/>
      <c r="X281" s="655"/>
      <c r="Y281" s="655"/>
      <c r="Z281" s="655"/>
    </row>
    <row r="282">
      <c r="B282" s="462"/>
      <c r="C282" s="671"/>
      <c r="D282" s="462"/>
      <c r="E282" s="654"/>
      <c r="F282" s="650"/>
      <c r="G282" s="654"/>
      <c r="H282" s="654"/>
      <c r="I282" s="650"/>
      <c r="J282" s="650"/>
      <c r="K282" s="655"/>
      <c r="L282" s="655"/>
      <c r="M282" s="655"/>
      <c r="N282" s="655"/>
      <c r="O282" s="655"/>
      <c r="P282" s="655"/>
      <c r="Q282" s="655"/>
      <c r="R282" s="655"/>
      <c r="S282" s="655"/>
      <c r="T282" s="655"/>
      <c r="U282" s="655"/>
      <c r="V282" s="655"/>
      <c r="W282" s="655"/>
      <c r="X282" s="655"/>
      <c r="Y282" s="655"/>
      <c r="Z282" s="655"/>
    </row>
    <row r="283">
      <c r="B283" s="462"/>
      <c r="C283" s="671"/>
      <c r="D283" s="462"/>
      <c r="E283" s="654"/>
      <c r="F283" s="650"/>
      <c r="G283" s="654"/>
      <c r="H283" s="654"/>
      <c r="I283" s="650"/>
      <c r="J283" s="650"/>
      <c r="K283" s="655"/>
      <c r="L283" s="655"/>
      <c r="M283" s="655"/>
      <c r="N283" s="655"/>
      <c r="O283" s="655"/>
      <c r="P283" s="655"/>
      <c r="Q283" s="655"/>
      <c r="R283" s="655"/>
      <c r="S283" s="655"/>
      <c r="T283" s="655"/>
      <c r="U283" s="655"/>
      <c r="V283" s="655"/>
      <c r="W283" s="655"/>
      <c r="X283" s="655"/>
      <c r="Y283" s="655"/>
      <c r="Z283" s="655"/>
    </row>
    <row r="284">
      <c r="B284" s="462"/>
      <c r="C284" s="671"/>
      <c r="D284" s="462"/>
      <c r="E284" s="654"/>
      <c r="F284" s="650"/>
      <c r="G284" s="654"/>
      <c r="H284" s="654"/>
      <c r="I284" s="650"/>
      <c r="J284" s="650"/>
      <c r="K284" s="655"/>
      <c r="L284" s="655"/>
      <c r="M284" s="655"/>
      <c r="N284" s="655"/>
      <c r="O284" s="655"/>
      <c r="P284" s="655"/>
      <c r="Q284" s="655"/>
      <c r="R284" s="655"/>
      <c r="S284" s="655"/>
      <c r="T284" s="655"/>
      <c r="U284" s="655"/>
      <c r="V284" s="655"/>
      <c r="W284" s="655"/>
      <c r="X284" s="655"/>
      <c r="Y284" s="655"/>
      <c r="Z284" s="655"/>
    </row>
    <row r="285">
      <c r="B285" s="462"/>
      <c r="C285" s="671"/>
      <c r="D285" s="462"/>
      <c r="E285" s="654"/>
      <c r="F285" s="650"/>
      <c r="G285" s="654"/>
      <c r="H285" s="654"/>
      <c r="I285" s="650"/>
      <c r="J285" s="650"/>
      <c r="K285" s="655"/>
      <c r="L285" s="655"/>
      <c r="M285" s="655"/>
      <c r="N285" s="655"/>
      <c r="O285" s="655"/>
      <c r="P285" s="655"/>
      <c r="Q285" s="655"/>
      <c r="R285" s="655"/>
      <c r="S285" s="655"/>
      <c r="T285" s="655"/>
      <c r="U285" s="655"/>
      <c r="V285" s="655"/>
      <c r="W285" s="655"/>
      <c r="X285" s="655"/>
      <c r="Y285" s="655"/>
      <c r="Z285" s="655"/>
    </row>
    <row r="286">
      <c r="B286" s="462"/>
      <c r="C286" s="671"/>
      <c r="D286" s="462"/>
      <c r="E286" s="654"/>
      <c r="F286" s="650"/>
      <c r="G286" s="654"/>
      <c r="H286" s="654"/>
      <c r="I286" s="650"/>
      <c r="J286" s="650"/>
      <c r="K286" s="655"/>
      <c r="L286" s="655"/>
      <c r="M286" s="655"/>
      <c r="N286" s="655"/>
      <c r="O286" s="655"/>
      <c r="P286" s="655"/>
      <c r="Q286" s="655"/>
      <c r="R286" s="655"/>
      <c r="S286" s="655"/>
      <c r="T286" s="655"/>
      <c r="U286" s="655"/>
      <c r="V286" s="655"/>
      <c r="W286" s="655"/>
      <c r="X286" s="655"/>
      <c r="Y286" s="655"/>
      <c r="Z286" s="655"/>
    </row>
    <row r="287">
      <c r="B287" s="462"/>
      <c r="C287" s="671"/>
      <c r="D287" s="462"/>
      <c r="E287" s="654"/>
      <c r="F287" s="650"/>
      <c r="G287" s="654"/>
      <c r="H287" s="654"/>
      <c r="I287" s="650"/>
      <c r="J287" s="650"/>
      <c r="K287" s="655"/>
      <c r="L287" s="655"/>
      <c r="M287" s="655"/>
      <c r="N287" s="655"/>
      <c r="O287" s="655"/>
      <c r="P287" s="655"/>
      <c r="Q287" s="655"/>
      <c r="R287" s="655"/>
      <c r="S287" s="655"/>
      <c r="T287" s="655"/>
      <c r="U287" s="655"/>
      <c r="V287" s="655"/>
      <c r="W287" s="655"/>
      <c r="X287" s="655"/>
      <c r="Y287" s="655"/>
      <c r="Z287" s="655"/>
    </row>
    <row r="288">
      <c r="B288" s="462"/>
      <c r="C288" s="671"/>
      <c r="D288" s="462"/>
      <c r="E288" s="654"/>
      <c r="F288" s="650"/>
      <c r="G288" s="654"/>
      <c r="H288" s="654"/>
      <c r="I288" s="650"/>
      <c r="J288" s="650"/>
      <c r="K288" s="655"/>
      <c r="L288" s="655"/>
      <c r="M288" s="655"/>
      <c r="N288" s="655"/>
      <c r="O288" s="655"/>
      <c r="P288" s="655"/>
      <c r="Q288" s="655"/>
      <c r="R288" s="655"/>
      <c r="S288" s="655"/>
      <c r="T288" s="655"/>
      <c r="U288" s="655"/>
      <c r="V288" s="655"/>
      <c r="W288" s="655"/>
      <c r="X288" s="655"/>
      <c r="Y288" s="655"/>
      <c r="Z288" s="655"/>
    </row>
    <row r="289">
      <c r="B289" s="462"/>
      <c r="C289" s="671"/>
      <c r="D289" s="462"/>
      <c r="E289" s="654"/>
      <c r="F289" s="650"/>
      <c r="G289" s="654"/>
      <c r="H289" s="654"/>
      <c r="I289" s="650"/>
      <c r="J289" s="650"/>
      <c r="K289" s="655"/>
      <c r="L289" s="655"/>
      <c r="M289" s="655"/>
      <c r="N289" s="655"/>
      <c r="O289" s="655"/>
      <c r="P289" s="655"/>
      <c r="Q289" s="655"/>
      <c r="R289" s="655"/>
      <c r="S289" s="655"/>
      <c r="T289" s="655"/>
      <c r="U289" s="655"/>
      <c r="V289" s="655"/>
      <c r="W289" s="655"/>
      <c r="X289" s="655"/>
      <c r="Y289" s="655"/>
      <c r="Z289" s="655"/>
    </row>
    <row r="290">
      <c r="B290" s="462"/>
      <c r="C290" s="671"/>
      <c r="D290" s="462"/>
      <c r="E290" s="654"/>
      <c r="F290" s="650"/>
      <c r="G290" s="654"/>
      <c r="H290" s="654"/>
      <c r="I290" s="650"/>
      <c r="J290" s="650"/>
      <c r="K290" s="655"/>
      <c r="L290" s="655"/>
      <c r="M290" s="655"/>
      <c r="N290" s="655"/>
      <c r="O290" s="655"/>
      <c r="P290" s="655"/>
      <c r="Q290" s="655"/>
      <c r="R290" s="655"/>
      <c r="S290" s="655"/>
      <c r="T290" s="655"/>
      <c r="U290" s="655"/>
      <c r="V290" s="655"/>
      <c r="W290" s="655"/>
      <c r="X290" s="655"/>
      <c r="Y290" s="655"/>
      <c r="Z290" s="655"/>
    </row>
    <row r="291">
      <c r="B291" s="462"/>
      <c r="C291" s="671"/>
      <c r="D291" s="462"/>
      <c r="E291" s="654"/>
      <c r="F291" s="650"/>
      <c r="G291" s="654"/>
      <c r="H291" s="654"/>
      <c r="I291" s="650"/>
      <c r="J291" s="650"/>
      <c r="K291" s="655"/>
      <c r="L291" s="655"/>
      <c r="M291" s="655"/>
      <c r="N291" s="655"/>
      <c r="O291" s="655"/>
      <c r="P291" s="655"/>
      <c r="Q291" s="655"/>
      <c r="R291" s="655"/>
      <c r="S291" s="655"/>
      <c r="T291" s="655"/>
      <c r="U291" s="655"/>
      <c r="V291" s="655"/>
      <c r="W291" s="655"/>
      <c r="X291" s="655"/>
      <c r="Y291" s="655"/>
      <c r="Z291" s="655"/>
    </row>
    <row r="292">
      <c r="B292" s="462"/>
      <c r="C292" s="671"/>
      <c r="D292" s="462"/>
      <c r="E292" s="654"/>
      <c r="F292" s="650"/>
      <c r="G292" s="654"/>
      <c r="H292" s="654"/>
      <c r="I292" s="650"/>
      <c r="J292" s="650"/>
      <c r="K292" s="655"/>
      <c r="L292" s="655"/>
      <c r="M292" s="655"/>
      <c r="N292" s="655"/>
      <c r="O292" s="655"/>
      <c r="P292" s="655"/>
      <c r="Q292" s="655"/>
      <c r="R292" s="655"/>
      <c r="S292" s="655"/>
      <c r="T292" s="655"/>
      <c r="U292" s="655"/>
      <c r="V292" s="655"/>
      <c r="W292" s="655"/>
      <c r="X292" s="655"/>
      <c r="Y292" s="655"/>
      <c r="Z292" s="655"/>
    </row>
    <row r="293">
      <c r="B293" s="462"/>
      <c r="C293" s="671"/>
      <c r="D293" s="462"/>
      <c r="E293" s="654"/>
      <c r="F293" s="650"/>
      <c r="G293" s="654"/>
      <c r="H293" s="654"/>
      <c r="I293" s="650"/>
      <c r="J293" s="650"/>
      <c r="K293" s="655"/>
      <c r="L293" s="655"/>
      <c r="M293" s="655"/>
      <c r="N293" s="655"/>
      <c r="O293" s="655"/>
      <c r="P293" s="655"/>
      <c r="Q293" s="655"/>
      <c r="R293" s="655"/>
      <c r="S293" s="655"/>
      <c r="T293" s="655"/>
      <c r="U293" s="655"/>
      <c r="V293" s="655"/>
      <c r="W293" s="655"/>
      <c r="X293" s="655"/>
      <c r="Y293" s="655"/>
      <c r="Z293" s="655"/>
    </row>
    <row r="294">
      <c r="B294" s="462"/>
      <c r="C294" s="671"/>
      <c r="D294" s="462"/>
      <c r="E294" s="654"/>
      <c r="F294" s="650"/>
      <c r="G294" s="654"/>
      <c r="H294" s="654"/>
      <c r="I294" s="650"/>
      <c r="J294" s="650"/>
      <c r="K294" s="655"/>
      <c r="L294" s="655"/>
      <c r="M294" s="655"/>
      <c r="N294" s="655"/>
      <c r="O294" s="655"/>
      <c r="P294" s="655"/>
      <c r="Q294" s="655"/>
      <c r="R294" s="655"/>
      <c r="S294" s="655"/>
      <c r="T294" s="655"/>
      <c r="U294" s="655"/>
      <c r="V294" s="655"/>
      <c r="W294" s="655"/>
      <c r="X294" s="655"/>
      <c r="Y294" s="655"/>
      <c r="Z294" s="655"/>
    </row>
    <row r="295">
      <c r="B295" s="462"/>
      <c r="C295" s="671"/>
      <c r="D295" s="462"/>
      <c r="E295" s="654"/>
      <c r="F295" s="650"/>
      <c r="G295" s="654"/>
      <c r="H295" s="654"/>
      <c r="I295" s="650"/>
      <c r="J295" s="650"/>
      <c r="K295" s="655"/>
      <c r="L295" s="655"/>
      <c r="M295" s="655"/>
      <c r="N295" s="655"/>
      <c r="O295" s="655"/>
      <c r="P295" s="655"/>
      <c r="Q295" s="655"/>
      <c r="R295" s="655"/>
      <c r="S295" s="655"/>
      <c r="T295" s="655"/>
      <c r="U295" s="655"/>
      <c r="V295" s="655"/>
      <c r="W295" s="655"/>
      <c r="X295" s="655"/>
      <c r="Y295" s="655"/>
      <c r="Z295" s="655"/>
    </row>
    <row r="296">
      <c r="B296" s="462"/>
      <c r="C296" s="671"/>
      <c r="D296" s="462"/>
      <c r="E296" s="654"/>
      <c r="F296" s="650"/>
      <c r="G296" s="654"/>
      <c r="H296" s="654"/>
      <c r="I296" s="650"/>
      <c r="J296" s="650"/>
      <c r="K296" s="655"/>
      <c r="L296" s="655"/>
      <c r="M296" s="655"/>
      <c r="N296" s="655"/>
      <c r="O296" s="655"/>
      <c r="P296" s="655"/>
      <c r="Q296" s="655"/>
      <c r="R296" s="655"/>
      <c r="S296" s="655"/>
      <c r="T296" s="655"/>
      <c r="U296" s="655"/>
      <c r="V296" s="655"/>
      <c r="W296" s="655"/>
      <c r="X296" s="655"/>
      <c r="Y296" s="655"/>
      <c r="Z296" s="655"/>
    </row>
    <row r="297">
      <c r="B297" s="462"/>
      <c r="C297" s="671"/>
      <c r="D297" s="462"/>
      <c r="E297" s="654"/>
      <c r="F297" s="650"/>
      <c r="G297" s="654"/>
      <c r="H297" s="654"/>
      <c r="I297" s="650"/>
      <c r="J297" s="650"/>
      <c r="K297" s="655"/>
      <c r="L297" s="655"/>
      <c r="M297" s="655"/>
      <c r="N297" s="655"/>
      <c r="O297" s="655"/>
      <c r="P297" s="655"/>
      <c r="Q297" s="655"/>
      <c r="R297" s="655"/>
      <c r="S297" s="655"/>
      <c r="T297" s="655"/>
      <c r="U297" s="655"/>
      <c r="V297" s="655"/>
      <c r="W297" s="655"/>
      <c r="X297" s="655"/>
      <c r="Y297" s="655"/>
      <c r="Z297" s="655"/>
    </row>
    <row r="298">
      <c r="B298" s="462"/>
      <c r="C298" s="671"/>
      <c r="D298" s="462"/>
      <c r="E298" s="654"/>
      <c r="F298" s="650"/>
      <c r="G298" s="654"/>
      <c r="H298" s="654"/>
      <c r="I298" s="650"/>
      <c r="J298" s="650"/>
      <c r="K298" s="655"/>
      <c r="L298" s="655"/>
      <c r="M298" s="655"/>
      <c r="N298" s="655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</row>
    <row r="299">
      <c r="B299" s="462"/>
      <c r="C299" s="671"/>
      <c r="D299" s="462"/>
      <c r="E299" s="654"/>
      <c r="F299" s="650"/>
      <c r="G299" s="654"/>
      <c r="H299" s="654"/>
      <c r="I299" s="650"/>
      <c r="J299" s="650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</row>
    <row r="300">
      <c r="B300" s="462"/>
      <c r="C300" s="671"/>
      <c r="D300" s="462"/>
      <c r="E300" s="654"/>
      <c r="F300" s="650"/>
      <c r="G300" s="654"/>
      <c r="H300" s="654"/>
      <c r="I300" s="650"/>
      <c r="J300" s="650"/>
      <c r="K300" s="655"/>
      <c r="L300" s="655"/>
      <c r="M300" s="655"/>
      <c r="N300" s="655"/>
      <c r="O300" s="655"/>
      <c r="P300" s="655"/>
      <c r="Q300" s="655"/>
      <c r="R300" s="655"/>
      <c r="S300" s="655"/>
      <c r="T300" s="655"/>
      <c r="U300" s="655"/>
      <c r="V300" s="655"/>
      <c r="W300" s="655"/>
      <c r="X300" s="655"/>
      <c r="Y300" s="655"/>
      <c r="Z300" s="655"/>
    </row>
    <row r="301">
      <c r="B301" s="462"/>
      <c r="C301" s="671"/>
      <c r="D301" s="462"/>
      <c r="E301" s="654"/>
      <c r="F301" s="650"/>
      <c r="G301" s="654"/>
      <c r="H301" s="654"/>
      <c r="I301" s="650"/>
      <c r="J301" s="650"/>
      <c r="K301" s="655"/>
      <c r="L301" s="655"/>
      <c r="M301" s="655"/>
      <c r="N301" s="655"/>
      <c r="O301" s="655"/>
      <c r="P301" s="655"/>
      <c r="Q301" s="655"/>
      <c r="R301" s="655"/>
      <c r="S301" s="655"/>
      <c r="T301" s="655"/>
      <c r="U301" s="655"/>
      <c r="V301" s="655"/>
      <c r="W301" s="655"/>
      <c r="X301" s="655"/>
      <c r="Y301" s="655"/>
      <c r="Z301" s="655"/>
    </row>
    <row r="302">
      <c r="B302" s="462"/>
      <c r="C302" s="671"/>
      <c r="D302" s="462"/>
      <c r="E302" s="654"/>
      <c r="F302" s="650"/>
      <c r="G302" s="654"/>
      <c r="H302" s="654"/>
      <c r="I302" s="650"/>
      <c r="J302" s="650"/>
      <c r="K302" s="655"/>
      <c r="L302" s="655"/>
      <c r="M302" s="655"/>
      <c r="N302" s="655"/>
      <c r="O302" s="655"/>
      <c r="P302" s="655"/>
      <c r="Q302" s="655"/>
      <c r="R302" s="655"/>
      <c r="S302" s="655"/>
      <c r="T302" s="655"/>
      <c r="U302" s="655"/>
      <c r="V302" s="655"/>
      <c r="W302" s="655"/>
      <c r="X302" s="655"/>
      <c r="Y302" s="655"/>
      <c r="Z302" s="655"/>
    </row>
    <row r="303">
      <c r="B303" s="462"/>
      <c r="C303" s="671"/>
      <c r="D303" s="462"/>
      <c r="E303" s="654"/>
      <c r="F303" s="650"/>
      <c r="G303" s="654"/>
      <c r="H303" s="654"/>
      <c r="I303" s="650"/>
      <c r="J303" s="650"/>
      <c r="K303" s="655"/>
      <c r="L303" s="655"/>
      <c r="M303" s="655"/>
      <c r="N303" s="655"/>
      <c r="O303" s="655"/>
      <c r="P303" s="655"/>
      <c r="Q303" s="655"/>
      <c r="R303" s="655"/>
      <c r="S303" s="655"/>
      <c r="T303" s="655"/>
      <c r="U303" s="655"/>
      <c r="V303" s="655"/>
      <c r="W303" s="655"/>
      <c r="X303" s="655"/>
      <c r="Y303" s="655"/>
      <c r="Z303" s="655"/>
    </row>
    <row r="304">
      <c r="B304" s="462"/>
      <c r="C304" s="671"/>
      <c r="D304" s="462"/>
      <c r="E304" s="654"/>
      <c r="F304" s="650"/>
      <c r="G304" s="654"/>
      <c r="H304" s="654"/>
      <c r="I304" s="650"/>
      <c r="J304" s="650"/>
      <c r="K304" s="655"/>
      <c r="L304" s="655"/>
      <c r="M304" s="655"/>
      <c r="N304" s="655"/>
      <c r="O304" s="655"/>
      <c r="P304" s="655"/>
      <c r="Q304" s="655"/>
      <c r="R304" s="655"/>
      <c r="S304" s="655"/>
      <c r="T304" s="655"/>
      <c r="U304" s="655"/>
      <c r="V304" s="655"/>
      <c r="W304" s="655"/>
      <c r="X304" s="655"/>
      <c r="Y304" s="655"/>
      <c r="Z304" s="655"/>
    </row>
    <row r="305">
      <c r="B305" s="462"/>
      <c r="C305" s="671"/>
      <c r="D305" s="462"/>
      <c r="E305" s="654"/>
      <c r="F305" s="650"/>
      <c r="G305" s="654"/>
      <c r="H305" s="654"/>
      <c r="I305" s="650"/>
      <c r="J305" s="650"/>
      <c r="K305" s="655"/>
      <c r="L305" s="655"/>
      <c r="M305" s="655"/>
      <c r="N305" s="655"/>
      <c r="O305" s="655"/>
      <c r="P305" s="655"/>
      <c r="Q305" s="655"/>
      <c r="R305" s="655"/>
      <c r="S305" s="655"/>
      <c r="T305" s="655"/>
      <c r="U305" s="655"/>
      <c r="V305" s="655"/>
      <c r="W305" s="655"/>
      <c r="X305" s="655"/>
      <c r="Y305" s="655"/>
      <c r="Z305" s="655"/>
    </row>
    <row r="306">
      <c r="B306" s="462"/>
      <c r="C306" s="671"/>
      <c r="D306" s="462"/>
      <c r="E306" s="654"/>
      <c r="F306" s="650"/>
      <c r="G306" s="654"/>
      <c r="H306" s="654"/>
      <c r="I306" s="650"/>
      <c r="J306" s="650"/>
      <c r="K306" s="655"/>
      <c r="L306" s="655"/>
      <c r="M306" s="655"/>
      <c r="N306" s="655"/>
      <c r="O306" s="655"/>
      <c r="P306" s="655"/>
      <c r="Q306" s="655"/>
      <c r="R306" s="655"/>
      <c r="S306" s="655"/>
      <c r="T306" s="655"/>
      <c r="U306" s="655"/>
      <c r="V306" s="655"/>
      <c r="W306" s="655"/>
      <c r="X306" s="655"/>
      <c r="Y306" s="655"/>
      <c r="Z306" s="655"/>
    </row>
    <row r="307">
      <c r="B307" s="462"/>
      <c r="C307" s="671"/>
      <c r="D307" s="462"/>
      <c r="E307" s="654"/>
      <c r="F307" s="650"/>
      <c r="G307" s="654"/>
      <c r="H307" s="654"/>
      <c r="I307" s="650"/>
      <c r="J307" s="650"/>
      <c r="K307" s="655"/>
      <c r="L307" s="655"/>
      <c r="M307" s="655"/>
      <c r="N307" s="655"/>
      <c r="O307" s="655"/>
      <c r="P307" s="655"/>
      <c r="Q307" s="655"/>
      <c r="R307" s="655"/>
      <c r="S307" s="655"/>
      <c r="T307" s="655"/>
      <c r="U307" s="655"/>
      <c r="V307" s="655"/>
      <c r="W307" s="655"/>
      <c r="X307" s="655"/>
      <c r="Y307" s="655"/>
      <c r="Z307" s="655"/>
    </row>
    <row r="308">
      <c r="B308" s="462"/>
      <c r="C308" s="671"/>
      <c r="D308" s="462"/>
      <c r="E308" s="654"/>
      <c r="F308" s="650"/>
      <c r="G308" s="654"/>
      <c r="H308" s="654"/>
      <c r="I308" s="650"/>
      <c r="J308" s="650"/>
      <c r="K308" s="655"/>
      <c r="L308" s="655"/>
      <c r="M308" s="655"/>
      <c r="N308" s="655"/>
      <c r="O308" s="655"/>
      <c r="P308" s="655"/>
      <c r="Q308" s="655"/>
      <c r="R308" s="655"/>
      <c r="S308" s="655"/>
      <c r="T308" s="655"/>
      <c r="U308" s="655"/>
      <c r="V308" s="655"/>
      <c r="W308" s="655"/>
      <c r="X308" s="655"/>
      <c r="Y308" s="655"/>
      <c r="Z308" s="655"/>
    </row>
    <row r="309">
      <c r="B309" s="462"/>
      <c r="C309" s="671"/>
      <c r="D309" s="462"/>
      <c r="E309" s="654"/>
      <c r="F309" s="650"/>
      <c r="G309" s="654"/>
      <c r="H309" s="654"/>
      <c r="I309" s="650"/>
      <c r="J309" s="650"/>
      <c r="K309" s="655"/>
      <c r="L309" s="655"/>
      <c r="M309" s="655"/>
      <c r="N309" s="655"/>
      <c r="O309" s="655"/>
      <c r="P309" s="655"/>
      <c r="Q309" s="655"/>
      <c r="R309" s="655"/>
      <c r="S309" s="655"/>
      <c r="T309" s="655"/>
      <c r="U309" s="655"/>
      <c r="V309" s="655"/>
      <c r="W309" s="655"/>
      <c r="X309" s="655"/>
      <c r="Y309" s="655"/>
      <c r="Z309" s="655"/>
    </row>
    <row r="310">
      <c r="B310" s="462"/>
      <c r="C310" s="671"/>
      <c r="D310" s="462"/>
      <c r="E310" s="654"/>
      <c r="F310" s="650"/>
      <c r="G310" s="654"/>
      <c r="H310" s="654"/>
      <c r="I310" s="650"/>
      <c r="J310" s="650"/>
      <c r="K310" s="655"/>
      <c r="L310" s="655"/>
      <c r="M310" s="655"/>
      <c r="N310" s="655"/>
      <c r="O310" s="655"/>
      <c r="P310" s="655"/>
      <c r="Q310" s="655"/>
      <c r="R310" s="655"/>
      <c r="S310" s="655"/>
      <c r="T310" s="655"/>
      <c r="U310" s="655"/>
      <c r="V310" s="655"/>
      <c r="W310" s="655"/>
      <c r="X310" s="655"/>
      <c r="Y310" s="655"/>
      <c r="Z310" s="655"/>
    </row>
    <row r="311">
      <c r="B311" s="462"/>
      <c r="C311" s="671"/>
      <c r="D311" s="462"/>
      <c r="E311" s="654"/>
      <c r="F311" s="650"/>
      <c r="G311" s="654"/>
      <c r="H311" s="654"/>
      <c r="I311" s="650"/>
      <c r="J311" s="650"/>
      <c r="K311" s="655"/>
      <c r="L311" s="655"/>
      <c r="M311" s="655"/>
      <c r="N311" s="655"/>
      <c r="O311" s="655"/>
      <c r="P311" s="655"/>
      <c r="Q311" s="655"/>
      <c r="R311" s="655"/>
      <c r="S311" s="655"/>
      <c r="T311" s="655"/>
      <c r="U311" s="655"/>
      <c r="V311" s="655"/>
      <c r="W311" s="655"/>
      <c r="X311" s="655"/>
      <c r="Y311" s="655"/>
      <c r="Z311" s="655"/>
    </row>
    <row r="312">
      <c r="B312" s="462"/>
      <c r="C312" s="671"/>
      <c r="D312" s="462"/>
      <c r="E312" s="654"/>
      <c r="F312" s="650"/>
      <c r="G312" s="654"/>
      <c r="H312" s="654"/>
      <c r="I312" s="650"/>
      <c r="J312" s="650"/>
      <c r="K312" s="655"/>
      <c r="L312" s="655"/>
      <c r="M312" s="655"/>
      <c r="N312" s="655"/>
      <c r="O312" s="655"/>
      <c r="P312" s="655"/>
      <c r="Q312" s="655"/>
      <c r="R312" s="655"/>
      <c r="S312" s="655"/>
      <c r="T312" s="655"/>
      <c r="U312" s="655"/>
      <c r="V312" s="655"/>
      <c r="W312" s="655"/>
      <c r="X312" s="655"/>
      <c r="Y312" s="655"/>
      <c r="Z312" s="655"/>
    </row>
    <row r="313">
      <c r="B313" s="462"/>
      <c r="C313" s="671"/>
      <c r="D313" s="462"/>
      <c r="E313" s="654"/>
      <c r="F313" s="650"/>
      <c r="G313" s="654"/>
      <c r="H313" s="654"/>
      <c r="I313" s="650"/>
      <c r="J313" s="650"/>
      <c r="K313" s="655"/>
      <c r="L313" s="655"/>
      <c r="M313" s="655"/>
      <c r="N313" s="655"/>
      <c r="O313" s="655"/>
      <c r="P313" s="655"/>
      <c r="Q313" s="655"/>
      <c r="R313" s="655"/>
      <c r="S313" s="655"/>
      <c r="T313" s="655"/>
      <c r="U313" s="655"/>
      <c r="V313" s="655"/>
      <c r="W313" s="655"/>
      <c r="X313" s="655"/>
      <c r="Y313" s="655"/>
      <c r="Z313" s="655"/>
    </row>
    <row r="314">
      <c r="B314" s="462"/>
      <c r="C314" s="671"/>
      <c r="D314" s="462"/>
      <c r="E314" s="654"/>
      <c r="F314" s="650"/>
      <c r="G314" s="654"/>
      <c r="H314" s="654"/>
      <c r="I314" s="650"/>
      <c r="J314" s="650"/>
      <c r="K314" s="655"/>
      <c r="L314" s="655"/>
      <c r="M314" s="655"/>
      <c r="N314" s="655"/>
      <c r="O314" s="655"/>
      <c r="P314" s="655"/>
      <c r="Q314" s="655"/>
      <c r="R314" s="655"/>
      <c r="S314" s="655"/>
      <c r="T314" s="655"/>
      <c r="U314" s="655"/>
      <c r="V314" s="655"/>
      <c r="W314" s="655"/>
      <c r="X314" s="655"/>
      <c r="Y314" s="655"/>
      <c r="Z314" s="655"/>
    </row>
    <row r="315">
      <c r="B315" s="462"/>
      <c r="C315" s="671"/>
      <c r="D315" s="462"/>
      <c r="E315" s="654"/>
      <c r="F315" s="650"/>
      <c r="G315" s="654"/>
      <c r="H315" s="654"/>
      <c r="I315" s="650"/>
      <c r="J315" s="650"/>
      <c r="K315" s="655"/>
      <c r="L315" s="655"/>
      <c r="M315" s="655"/>
      <c r="N315" s="655"/>
      <c r="O315" s="655"/>
      <c r="P315" s="655"/>
      <c r="Q315" s="655"/>
      <c r="R315" s="655"/>
      <c r="S315" s="655"/>
      <c r="T315" s="655"/>
      <c r="U315" s="655"/>
      <c r="V315" s="655"/>
      <c r="W315" s="655"/>
      <c r="X315" s="655"/>
      <c r="Y315" s="655"/>
      <c r="Z315" s="655"/>
    </row>
    <row r="316">
      <c r="B316" s="462"/>
      <c r="C316" s="671"/>
      <c r="D316" s="462"/>
      <c r="E316" s="654"/>
      <c r="F316" s="650"/>
      <c r="G316" s="654"/>
      <c r="H316" s="654"/>
      <c r="I316" s="650"/>
      <c r="J316" s="650"/>
      <c r="K316" s="655"/>
      <c r="L316" s="655"/>
      <c r="M316" s="655"/>
      <c r="N316" s="655"/>
      <c r="O316" s="655"/>
      <c r="P316" s="655"/>
      <c r="Q316" s="655"/>
      <c r="R316" s="655"/>
      <c r="S316" s="655"/>
      <c r="T316" s="655"/>
      <c r="U316" s="655"/>
      <c r="V316" s="655"/>
      <c r="W316" s="655"/>
      <c r="X316" s="655"/>
      <c r="Y316" s="655"/>
      <c r="Z316" s="655"/>
    </row>
    <row r="317">
      <c r="B317" s="462"/>
      <c r="C317" s="671"/>
      <c r="D317" s="462"/>
      <c r="E317" s="654"/>
      <c r="F317" s="650"/>
      <c r="G317" s="654"/>
      <c r="H317" s="654"/>
      <c r="I317" s="650"/>
      <c r="J317" s="650"/>
      <c r="K317" s="655"/>
      <c r="L317" s="655"/>
      <c r="M317" s="655"/>
      <c r="N317" s="655"/>
      <c r="O317" s="655"/>
      <c r="P317" s="655"/>
      <c r="Q317" s="655"/>
      <c r="R317" s="655"/>
      <c r="S317" s="655"/>
      <c r="T317" s="655"/>
      <c r="U317" s="655"/>
      <c r="V317" s="655"/>
      <c r="W317" s="655"/>
      <c r="X317" s="655"/>
      <c r="Y317" s="655"/>
      <c r="Z317" s="655"/>
    </row>
    <row r="318">
      <c r="B318" s="462"/>
      <c r="C318" s="671"/>
      <c r="D318" s="462"/>
      <c r="E318" s="654"/>
      <c r="F318" s="650"/>
      <c r="G318" s="654"/>
      <c r="H318" s="654"/>
      <c r="I318" s="650"/>
      <c r="J318" s="650"/>
      <c r="K318" s="655"/>
      <c r="L318" s="655"/>
      <c r="M318" s="655"/>
      <c r="N318" s="655"/>
      <c r="O318" s="655"/>
      <c r="P318" s="655"/>
      <c r="Q318" s="655"/>
      <c r="R318" s="655"/>
      <c r="S318" s="655"/>
      <c r="T318" s="655"/>
      <c r="U318" s="655"/>
      <c r="V318" s="655"/>
      <c r="W318" s="655"/>
      <c r="X318" s="655"/>
      <c r="Y318" s="655"/>
      <c r="Z318" s="655"/>
    </row>
    <row r="319">
      <c r="B319" s="462"/>
      <c r="C319" s="671"/>
      <c r="D319" s="462"/>
      <c r="E319" s="654"/>
      <c r="F319" s="650"/>
      <c r="G319" s="654"/>
      <c r="H319" s="654"/>
      <c r="I319" s="650"/>
      <c r="J319" s="650"/>
      <c r="K319" s="655"/>
      <c r="L319" s="655"/>
      <c r="M319" s="655"/>
      <c r="N319" s="655"/>
      <c r="O319" s="655"/>
      <c r="P319" s="655"/>
      <c r="Q319" s="655"/>
      <c r="R319" s="655"/>
      <c r="S319" s="655"/>
      <c r="T319" s="655"/>
      <c r="U319" s="655"/>
      <c r="V319" s="655"/>
      <c r="W319" s="655"/>
      <c r="X319" s="655"/>
      <c r="Y319" s="655"/>
      <c r="Z319" s="655"/>
    </row>
    <row r="320">
      <c r="B320" s="462"/>
      <c r="C320" s="671"/>
      <c r="D320" s="462"/>
      <c r="E320" s="654"/>
      <c r="F320" s="650"/>
      <c r="G320" s="654"/>
      <c r="H320" s="654"/>
      <c r="I320" s="650"/>
      <c r="J320" s="650"/>
      <c r="K320" s="655"/>
      <c r="L320" s="655"/>
      <c r="M320" s="655"/>
      <c r="N320" s="655"/>
      <c r="O320" s="655"/>
      <c r="P320" s="655"/>
      <c r="Q320" s="655"/>
      <c r="R320" s="655"/>
      <c r="S320" s="655"/>
      <c r="T320" s="655"/>
      <c r="U320" s="655"/>
      <c r="V320" s="655"/>
      <c r="W320" s="655"/>
      <c r="X320" s="655"/>
      <c r="Y320" s="655"/>
      <c r="Z320" s="655"/>
    </row>
    <row r="321">
      <c r="B321" s="462"/>
      <c r="C321" s="671"/>
      <c r="D321" s="462"/>
      <c r="E321" s="654"/>
      <c r="F321" s="650"/>
      <c r="G321" s="654"/>
      <c r="H321" s="654"/>
      <c r="I321" s="650"/>
      <c r="J321" s="650"/>
      <c r="K321" s="655"/>
      <c r="L321" s="655"/>
      <c r="M321" s="655"/>
      <c r="N321" s="655"/>
      <c r="O321" s="655"/>
      <c r="P321" s="655"/>
      <c r="Q321" s="655"/>
      <c r="R321" s="655"/>
      <c r="S321" s="655"/>
      <c r="T321" s="655"/>
      <c r="U321" s="655"/>
      <c r="V321" s="655"/>
      <c r="W321" s="655"/>
      <c r="X321" s="655"/>
      <c r="Y321" s="655"/>
      <c r="Z321" s="655"/>
    </row>
    <row r="322">
      <c r="B322" s="462"/>
      <c r="C322" s="671"/>
      <c r="D322" s="462"/>
      <c r="E322" s="654"/>
      <c r="F322" s="650"/>
      <c r="G322" s="654"/>
      <c r="H322" s="654"/>
      <c r="I322" s="650"/>
      <c r="J322" s="650"/>
      <c r="K322" s="655"/>
      <c r="L322" s="655"/>
      <c r="M322" s="655"/>
      <c r="N322" s="655"/>
      <c r="O322" s="655"/>
      <c r="P322" s="655"/>
      <c r="Q322" s="655"/>
      <c r="R322" s="655"/>
      <c r="S322" s="655"/>
      <c r="T322" s="655"/>
      <c r="U322" s="655"/>
      <c r="V322" s="655"/>
      <c r="W322" s="655"/>
      <c r="X322" s="655"/>
      <c r="Y322" s="655"/>
      <c r="Z322" s="655"/>
    </row>
    <row r="323">
      <c r="B323" s="462"/>
      <c r="C323" s="671"/>
      <c r="D323" s="462"/>
      <c r="E323" s="654"/>
      <c r="F323" s="650"/>
      <c r="G323" s="654"/>
      <c r="H323" s="654"/>
      <c r="I323" s="650"/>
      <c r="J323" s="650"/>
      <c r="K323" s="655"/>
      <c r="L323" s="655"/>
      <c r="M323" s="655"/>
      <c r="N323" s="655"/>
      <c r="O323" s="655"/>
      <c r="P323" s="655"/>
      <c r="Q323" s="655"/>
      <c r="R323" s="655"/>
      <c r="S323" s="655"/>
      <c r="T323" s="655"/>
      <c r="U323" s="655"/>
      <c r="V323" s="655"/>
      <c r="W323" s="655"/>
      <c r="X323" s="655"/>
      <c r="Y323" s="655"/>
      <c r="Z323" s="655"/>
    </row>
    <row r="324">
      <c r="B324" s="462"/>
      <c r="C324" s="671"/>
      <c r="D324" s="462"/>
      <c r="E324" s="654"/>
      <c r="F324" s="650"/>
      <c r="G324" s="654"/>
      <c r="H324" s="654"/>
      <c r="I324" s="650"/>
      <c r="J324" s="650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</row>
    <row r="325">
      <c r="B325" s="462"/>
      <c r="C325" s="671"/>
      <c r="D325" s="462"/>
      <c r="E325" s="654"/>
      <c r="F325" s="650"/>
      <c r="G325" s="654"/>
      <c r="H325" s="654"/>
      <c r="I325" s="650"/>
      <c r="J325" s="650"/>
      <c r="K325" s="655"/>
      <c r="L325" s="655"/>
      <c r="M325" s="655"/>
      <c r="N325" s="655"/>
      <c r="O325" s="655"/>
      <c r="P325" s="655"/>
      <c r="Q325" s="655"/>
      <c r="R325" s="655"/>
      <c r="S325" s="655"/>
      <c r="T325" s="655"/>
      <c r="U325" s="655"/>
      <c r="V325" s="655"/>
      <c r="W325" s="655"/>
      <c r="X325" s="655"/>
      <c r="Y325" s="655"/>
      <c r="Z325" s="655"/>
    </row>
    <row r="326">
      <c r="B326" s="462"/>
      <c r="C326" s="671"/>
      <c r="D326" s="462"/>
      <c r="E326" s="654"/>
      <c r="F326" s="650"/>
      <c r="G326" s="654"/>
      <c r="H326" s="654"/>
      <c r="I326" s="650"/>
      <c r="J326" s="650"/>
      <c r="K326" s="655"/>
      <c r="L326" s="655"/>
      <c r="M326" s="655"/>
      <c r="N326" s="655"/>
      <c r="O326" s="655"/>
      <c r="P326" s="655"/>
      <c r="Q326" s="655"/>
      <c r="R326" s="655"/>
      <c r="S326" s="655"/>
      <c r="T326" s="655"/>
      <c r="U326" s="655"/>
      <c r="V326" s="655"/>
      <c r="W326" s="655"/>
      <c r="X326" s="655"/>
      <c r="Y326" s="655"/>
      <c r="Z326" s="655"/>
    </row>
    <row r="327">
      <c r="B327" s="462"/>
      <c r="C327" s="671"/>
      <c r="D327" s="462"/>
      <c r="E327" s="654"/>
      <c r="F327" s="650"/>
      <c r="G327" s="654"/>
      <c r="H327" s="654"/>
      <c r="I327" s="650"/>
      <c r="J327" s="650"/>
      <c r="K327" s="655"/>
      <c r="L327" s="655"/>
      <c r="M327" s="655"/>
      <c r="N327" s="655"/>
      <c r="O327" s="655"/>
      <c r="P327" s="655"/>
      <c r="Q327" s="655"/>
      <c r="R327" s="655"/>
      <c r="S327" s="655"/>
      <c r="T327" s="655"/>
      <c r="U327" s="655"/>
      <c r="V327" s="655"/>
      <c r="W327" s="655"/>
      <c r="X327" s="655"/>
      <c r="Y327" s="655"/>
      <c r="Z327" s="655"/>
    </row>
    <row r="328">
      <c r="B328" s="462"/>
      <c r="C328" s="671"/>
      <c r="D328" s="462"/>
      <c r="E328" s="654"/>
      <c r="F328" s="650"/>
      <c r="G328" s="654"/>
      <c r="H328" s="654"/>
      <c r="I328" s="650"/>
      <c r="J328" s="650"/>
      <c r="K328" s="655"/>
      <c r="L328" s="655"/>
      <c r="M328" s="655"/>
      <c r="N328" s="655"/>
      <c r="O328" s="655"/>
      <c r="P328" s="655"/>
      <c r="Q328" s="655"/>
      <c r="R328" s="655"/>
      <c r="S328" s="655"/>
      <c r="T328" s="655"/>
      <c r="U328" s="655"/>
      <c r="V328" s="655"/>
      <c r="W328" s="655"/>
      <c r="X328" s="655"/>
      <c r="Y328" s="655"/>
      <c r="Z328" s="655"/>
    </row>
    <row r="329">
      <c r="B329" s="462"/>
      <c r="C329" s="671"/>
      <c r="D329" s="462"/>
      <c r="E329" s="654"/>
      <c r="F329" s="650"/>
      <c r="G329" s="654"/>
      <c r="H329" s="654"/>
      <c r="I329" s="650"/>
      <c r="J329" s="650"/>
      <c r="K329" s="655"/>
      <c r="L329" s="655"/>
      <c r="M329" s="655"/>
      <c r="N329" s="655"/>
      <c r="O329" s="655"/>
      <c r="P329" s="655"/>
      <c r="Q329" s="655"/>
      <c r="R329" s="655"/>
      <c r="S329" s="655"/>
      <c r="T329" s="655"/>
      <c r="U329" s="655"/>
      <c r="V329" s="655"/>
      <c r="W329" s="655"/>
      <c r="X329" s="655"/>
      <c r="Y329" s="655"/>
      <c r="Z329" s="655"/>
    </row>
    <row r="330">
      <c r="B330" s="462"/>
      <c r="C330" s="671"/>
      <c r="D330" s="462"/>
      <c r="E330" s="654"/>
      <c r="F330" s="650"/>
      <c r="G330" s="654"/>
      <c r="H330" s="654"/>
      <c r="I330" s="650"/>
      <c r="J330" s="650"/>
      <c r="K330" s="655"/>
      <c r="L330" s="655"/>
      <c r="M330" s="655"/>
      <c r="N330" s="655"/>
      <c r="O330" s="655"/>
      <c r="P330" s="655"/>
      <c r="Q330" s="655"/>
      <c r="R330" s="655"/>
      <c r="S330" s="655"/>
      <c r="T330" s="655"/>
      <c r="U330" s="655"/>
      <c r="V330" s="655"/>
      <c r="W330" s="655"/>
      <c r="X330" s="655"/>
      <c r="Y330" s="655"/>
      <c r="Z330" s="655"/>
    </row>
    <row r="331">
      <c r="B331" s="462"/>
      <c r="C331" s="671"/>
      <c r="D331" s="462"/>
      <c r="E331" s="654"/>
      <c r="F331" s="650"/>
      <c r="G331" s="654"/>
      <c r="H331" s="654"/>
      <c r="I331" s="650"/>
      <c r="J331" s="650"/>
      <c r="K331" s="655"/>
      <c r="L331" s="655"/>
      <c r="M331" s="655"/>
      <c r="N331" s="655"/>
      <c r="O331" s="655"/>
      <c r="P331" s="655"/>
      <c r="Q331" s="655"/>
      <c r="R331" s="655"/>
      <c r="S331" s="655"/>
      <c r="T331" s="655"/>
      <c r="U331" s="655"/>
      <c r="V331" s="655"/>
      <c r="W331" s="655"/>
      <c r="X331" s="655"/>
      <c r="Y331" s="655"/>
      <c r="Z331" s="655"/>
    </row>
    <row r="332">
      <c r="B332" s="462"/>
      <c r="C332" s="671"/>
      <c r="D332" s="462"/>
      <c r="E332" s="654"/>
      <c r="F332" s="650"/>
      <c r="G332" s="654"/>
      <c r="H332" s="654"/>
      <c r="I332" s="650"/>
      <c r="J332" s="650"/>
      <c r="K332" s="655"/>
      <c r="L332" s="655"/>
      <c r="M332" s="655"/>
      <c r="N332" s="655"/>
      <c r="O332" s="655"/>
      <c r="P332" s="655"/>
      <c r="Q332" s="655"/>
      <c r="R332" s="655"/>
      <c r="S332" s="655"/>
      <c r="T332" s="655"/>
      <c r="U332" s="655"/>
      <c r="V332" s="655"/>
      <c r="W332" s="655"/>
      <c r="X332" s="655"/>
      <c r="Y332" s="655"/>
      <c r="Z332" s="655"/>
    </row>
    <row r="333">
      <c r="B333" s="462"/>
      <c r="C333" s="671"/>
      <c r="D333" s="462"/>
      <c r="E333" s="654"/>
      <c r="F333" s="650"/>
      <c r="G333" s="654"/>
      <c r="H333" s="654"/>
      <c r="I333" s="650"/>
      <c r="J333" s="650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</row>
    <row r="334">
      <c r="B334" s="462"/>
      <c r="C334" s="671"/>
      <c r="D334" s="462"/>
      <c r="E334" s="654"/>
      <c r="F334" s="650"/>
      <c r="G334" s="654"/>
      <c r="H334" s="654"/>
      <c r="I334" s="650"/>
      <c r="J334" s="650"/>
      <c r="K334" s="655"/>
      <c r="L334" s="655"/>
      <c r="M334" s="655"/>
      <c r="N334" s="655"/>
      <c r="O334" s="655"/>
      <c r="P334" s="655"/>
      <c r="Q334" s="655"/>
      <c r="R334" s="655"/>
      <c r="S334" s="655"/>
      <c r="T334" s="655"/>
      <c r="U334" s="655"/>
      <c r="V334" s="655"/>
      <c r="W334" s="655"/>
      <c r="X334" s="655"/>
      <c r="Y334" s="655"/>
      <c r="Z334" s="655"/>
    </row>
    <row r="335">
      <c r="B335" s="462"/>
      <c r="C335" s="671"/>
      <c r="D335" s="462"/>
      <c r="E335" s="654"/>
      <c r="F335" s="650"/>
      <c r="G335" s="654"/>
      <c r="H335" s="654"/>
      <c r="I335" s="650"/>
      <c r="J335" s="650"/>
      <c r="K335" s="655"/>
      <c r="L335" s="655"/>
      <c r="M335" s="655"/>
      <c r="N335" s="655"/>
      <c r="O335" s="655"/>
      <c r="P335" s="655"/>
      <c r="Q335" s="655"/>
      <c r="R335" s="655"/>
      <c r="S335" s="655"/>
      <c r="T335" s="655"/>
      <c r="U335" s="655"/>
      <c r="V335" s="655"/>
      <c r="W335" s="655"/>
      <c r="X335" s="655"/>
      <c r="Y335" s="655"/>
      <c r="Z335" s="655"/>
    </row>
    <row r="336">
      <c r="B336" s="462"/>
      <c r="C336" s="671"/>
      <c r="D336" s="462"/>
      <c r="E336" s="654"/>
      <c r="F336" s="650"/>
      <c r="G336" s="654"/>
      <c r="H336" s="654"/>
      <c r="I336" s="650"/>
      <c r="J336" s="650"/>
      <c r="K336" s="655"/>
      <c r="L336" s="655"/>
      <c r="M336" s="655"/>
      <c r="N336" s="655"/>
      <c r="O336" s="655"/>
      <c r="P336" s="655"/>
      <c r="Q336" s="655"/>
      <c r="R336" s="655"/>
      <c r="S336" s="655"/>
      <c r="T336" s="655"/>
      <c r="U336" s="655"/>
      <c r="V336" s="655"/>
      <c r="W336" s="655"/>
      <c r="X336" s="655"/>
      <c r="Y336" s="655"/>
      <c r="Z336" s="655"/>
    </row>
    <row r="337">
      <c r="B337" s="462"/>
      <c r="C337" s="671"/>
      <c r="D337" s="462"/>
      <c r="E337" s="654"/>
      <c r="F337" s="650"/>
      <c r="G337" s="654"/>
      <c r="H337" s="654"/>
      <c r="I337" s="650"/>
      <c r="J337" s="650"/>
      <c r="K337" s="655"/>
      <c r="L337" s="655"/>
      <c r="M337" s="655"/>
      <c r="N337" s="655"/>
      <c r="O337" s="655"/>
      <c r="P337" s="655"/>
      <c r="Q337" s="655"/>
      <c r="R337" s="655"/>
      <c r="S337" s="655"/>
      <c r="T337" s="655"/>
      <c r="U337" s="655"/>
      <c r="V337" s="655"/>
      <c r="W337" s="655"/>
      <c r="X337" s="655"/>
      <c r="Y337" s="655"/>
      <c r="Z337" s="655"/>
    </row>
    <row r="338">
      <c r="B338" s="462"/>
      <c r="C338" s="671"/>
      <c r="D338" s="462"/>
      <c r="E338" s="654"/>
      <c r="F338" s="650"/>
      <c r="G338" s="654"/>
      <c r="H338" s="654"/>
      <c r="I338" s="650"/>
      <c r="J338" s="650"/>
      <c r="K338" s="655"/>
      <c r="L338" s="655"/>
      <c r="M338" s="655"/>
      <c r="N338" s="655"/>
      <c r="O338" s="655"/>
      <c r="P338" s="655"/>
      <c r="Q338" s="655"/>
      <c r="R338" s="655"/>
      <c r="S338" s="655"/>
      <c r="T338" s="655"/>
      <c r="U338" s="655"/>
      <c r="V338" s="655"/>
      <c r="W338" s="655"/>
      <c r="X338" s="655"/>
      <c r="Y338" s="655"/>
      <c r="Z338" s="655"/>
    </row>
    <row r="339">
      <c r="B339" s="462"/>
      <c r="C339" s="671"/>
      <c r="D339" s="462"/>
      <c r="E339" s="654"/>
      <c r="F339" s="650"/>
      <c r="G339" s="654"/>
      <c r="H339" s="654"/>
      <c r="I339" s="650"/>
      <c r="J339" s="650"/>
      <c r="K339" s="655"/>
      <c r="L339" s="655"/>
      <c r="M339" s="655"/>
      <c r="N339" s="655"/>
      <c r="O339" s="655"/>
      <c r="P339" s="655"/>
      <c r="Q339" s="655"/>
      <c r="R339" s="655"/>
      <c r="S339" s="655"/>
      <c r="T339" s="655"/>
      <c r="U339" s="655"/>
      <c r="V339" s="655"/>
      <c r="W339" s="655"/>
      <c r="X339" s="655"/>
      <c r="Y339" s="655"/>
      <c r="Z339" s="655"/>
    </row>
    <row r="340">
      <c r="B340" s="462"/>
      <c r="C340" s="671"/>
      <c r="D340" s="462"/>
      <c r="E340" s="654"/>
      <c r="F340" s="650"/>
      <c r="G340" s="654"/>
      <c r="H340" s="654"/>
      <c r="I340" s="650"/>
      <c r="J340" s="650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</row>
    <row r="341">
      <c r="B341" s="462"/>
      <c r="C341" s="671"/>
      <c r="D341" s="462"/>
      <c r="E341" s="654"/>
      <c r="F341" s="650"/>
      <c r="G341" s="654"/>
      <c r="H341" s="654"/>
      <c r="I341" s="650"/>
      <c r="J341" s="650"/>
      <c r="K341" s="655"/>
      <c r="L341" s="655"/>
      <c r="M341" s="655"/>
      <c r="N341" s="655"/>
      <c r="O341" s="655"/>
      <c r="P341" s="655"/>
      <c r="Q341" s="655"/>
      <c r="R341" s="655"/>
      <c r="S341" s="655"/>
      <c r="T341" s="655"/>
      <c r="U341" s="655"/>
      <c r="V341" s="655"/>
      <c r="W341" s="655"/>
      <c r="X341" s="655"/>
      <c r="Y341" s="655"/>
      <c r="Z341" s="655"/>
    </row>
    <row r="342">
      <c r="B342" s="462"/>
      <c r="C342" s="671"/>
      <c r="D342" s="462"/>
      <c r="E342" s="654"/>
      <c r="F342" s="650"/>
      <c r="G342" s="654"/>
      <c r="H342" s="654"/>
      <c r="I342" s="650"/>
      <c r="J342" s="650"/>
      <c r="K342" s="655"/>
      <c r="L342" s="655"/>
      <c r="M342" s="655"/>
      <c r="N342" s="655"/>
      <c r="O342" s="655"/>
      <c r="P342" s="655"/>
      <c r="Q342" s="655"/>
      <c r="R342" s="655"/>
      <c r="S342" s="655"/>
      <c r="T342" s="655"/>
      <c r="U342" s="655"/>
      <c r="V342" s="655"/>
      <c r="W342" s="655"/>
      <c r="X342" s="655"/>
      <c r="Y342" s="655"/>
      <c r="Z342" s="655"/>
    </row>
    <row r="343">
      <c r="B343" s="462"/>
      <c r="C343" s="671"/>
      <c r="D343" s="462"/>
      <c r="E343" s="654"/>
      <c r="F343" s="650"/>
      <c r="G343" s="654"/>
      <c r="H343" s="654"/>
      <c r="I343" s="650"/>
      <c r="J343" s="650"/>
      <c r="K343" s="655"/>
      <c r="L343" s="655"/>
      <c r="M343" s="655"/>
      <c r="N343" s="655"/>
      <c r="O343" s="655"/>
      <c r="P343" s="655"/>
      <c r="Q343" s="655"/>
      <c r="R343" s="655"/>
      <c r="S343" s="655"/>
      <c r="T343" s="655"/>
      <c r="U343" s="655"/>
      <c r="V343" s="655"/>
      <c r="W343" s="655"/>
      <c r="X343" s="655"/>
      <c r="Y343" s="655"/>
      <c r="Z343" s="655"/>
    </row>
    <row r="344">
      <c r="B344" s="462"/>
      <c r="C344" s="671"/>
      <c r="D344" s="462"/>
      <c r="E344" s="654"/>
      <c r="F344" s="650"/>
      <c r="G344" s="654"/>
      <c r="H344" s="654"/>
      <c r="I344" s="650"/>
      <c r="J344" s="650"/>
      <c r="K344" s="655"/>
      <c r="L344" s="655"/>
      <c r="M344" s="655"/>
      <c r="N344" s="655"/>
      <c r="O344" s="655"/>
      <c r="P344" s="655"/>
      <c r="Q344" s="655"/>
      <c r="R344" s="655"/>
      <c r="S344" s="655"/>
      <c r="T344" s="655"/>
      <c r="U344" s="655"/>
      <c r="V344" s="655"/>
      <c r="W344" s="655"/>
      <c r="X344" s="655"/>
      <c r="Y344" s="655"/>
      <c r="Z344" s="655"/>
    </row>
    <row r="345">
      <c r="B345" s="462"/>
      <c r="C345" s="671"/>
      <c r="D345" s="462"/>
      <c r="E345" s="654"/>
      <c r="F345" s="650"/>
      <c r="G345" s="654"/>
      <c r="H345" s="654"/>
      <c r="I345" s="650"/>
      <c r="J345" s="650"/>
      <c r="K345" s="655"/>
      <c r="L345" s="655"/>
      <c r="M345" s="655"/>
      <c r="N345" s="655"/>
      <c r="O345" s="655"/>
      <c r="P345" s="655"/>
      <c r="Q345" s="655"/>
      <c r="R345" s="655"/>
      <c r="S345" s="655"/>
      <c r="T345" s="655"/>
      <c r="U345" s="655"/>
      <c r="V345" s="655"/>
      <c r="W345" s="655"/>
      <c r="X345" s="655"/>
      <c r="Y345" s="655"/>
      <c r="Z345" s="655"/>
    </row>
    <row r="346">
      <c r="B346" s="462"/>
      <c r="C346" s="671"/>
      <c r="D346" s="462"/>
      <c r="E346" s="654"/>
      <c r="F346" s="650"/>
      <c r="G346" s="654"/>
      <c r="H346" s="654"/>
      <c r="I346" s="650"/>
      <c r="J346" s="650"/>
      <c r="K346" s="655"/>
      <c r="L346" s="655"/>
      <c r="M346" s="655"/>
      <c r="N346" s="655"/>
      <c r="O346" s="655"/>
      <c r="P346" s="655"/>
      <c r="Q346" s="655"/>
      <c r="R346" s="655"/>
      <c r="S346" s="655"/>
      <c r="T346" s="655"/>
      <c r="U346" s="655"/>
      <c r="V346" s="655"/>
      <c r="W346" s="655"/>
      <c r="X346" s="655"/>
      <c r="Y346" s="655"/>
      <c r="Z346" s="655"/>
    </row>
    <row r="347">
      <c r="B347" s="462"/>
      <c r="C347" s="671"/>
      <c r="D347" s="462"/>
      <c r="E347" s="654"/>
      <c r="F347" s="650"/>
      <c r="G347" s="654"/>
      <c r="H347" s="654"/>
      <c r="I347" s="650"/>
      <c r="J347" s="650"/>
      <c r="K347" s="655"/>
      <c r="L347" s="655"/>
      <c r="M347" s="655"/>
      <c r="N347" s="655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</row>
    <row r="348">
      <c r="B348" s="462"/>
      <c r="C348" s="671"/>
      <c r="D348" s="462"/>
      <c r="E348" s="654"/>
      <c r="F348" s="650"/>
      <c r="G348" s="654"/>
      <c r="H348" s="654"/>
      <c r="I348" s="650"/>
      <c r="J348" s="650"/>
      <c r="K348" s="655"/>
      <c r="L348" s="655"/>
      <c r="M348" s="655"/>
      <c r="N348" s="655"/>
      <c r="O348" s="655"/>
      <c r="P348" s="655"/>
      <c r="Q348" s="655"/>
      <c r="R348" s="655"/>
      <c r="S348" s="655"/>
      <c r="T348" s="655"/>
      <c r="U348" s="655"/>
      <c r="V348" s="655"/>
      <c r="W348" s="655"/>
      <c r="X348" s="655"/>
      <c r="Y348" s="655"/>
      <c r="Z348" s="655"/>
    </row>
    <row r="349">
      <c r="B349" s="462"/>
      <c r="C349" s="671"/>
      <c r="D349" s="462"/>
      <c r="E349" s="654"/>
      <c r="F349" s="650"/>
      <c r="G349" s="654"/>
      <c r="H349" s="654"/>
      <c r="I349" s="650"/>
      <c r="J349" s="650"/>
      <c r="K349" s="655"/>
      <c r="L349" s="655"/>
      <c r="M349" s="655"/>
      <c r="N349" s="655"/>
      <c r="O349" s="655"/>
      <c r="P349" s="655"/>
      <c r="Q349" s="655"/>
      <c r="R349" s="655"/>
      <c r="S349" s="655"/>
      <c r="T349" s="655"/>
      <c r="U349" s="655"/>
      <c r="V349" s="655"/>
      <c r="W349" s="655"/>
      <c r="X349" s="655"/>
      <c r="Y349" s="655"/>
      <c r="Z349" s="655"/>
    </row>
    <row r="350">
      <c r="B350" s="462"/>
      <c r="C350" s="671"/>
      <c r="D350" s="462"/>
      <c r="E350" s="654"/>
      <c r="F350" s="650"/>
      <c r="G350" s="654"/>
      <c r="H350" s="654"/>
      <c r="I350" s="650"/>
      <c r="J350" s="650"/>
      <c r="K350" s="655"/>
      <c r="L350" s="655"/>
      <c r="M350" s="655"/>
      <c r="N350" s="655"/>
      <c r="O350" s="655"/>
      <c r="P350" s="655"/>
      <c r="Q350" s="655"/>
      <c r="R350" s="655"/>
      <c r="S350" s="655"/>
      <c r="T350" s="655"/>
      <c r="U350" s="655"/>
      <c r="V350" s="655"/>
      <c r="W350" s="655"/>
      <c r="X350" s="655"/>
      <c r="Y350" s="655"/>
      <c r="Z350" s="655"/>
    </row>
    <row r="351">
      <c r="B351" s="462"/>
      <c r="C351" s="671"/>
      <c r="D351" s="462"/>
      <c r="E351" s="654"/>
      <c r="F351" s="650"/>
      <c r="G351" s="654"/>
      <c r="H351" s="654"/>
      <c r="I351" s="650"/>
      <c r="J351" s="650"/>
      <c r="K351" s="655"/>
      <c r="L351" s="655"/>
      <c r="M351" s="655"/>
      <c r="N351" s="655"/>
      <c r="O351" s="655"/>
      <c r="P351" s="655"/>
      <c r="Q351" s="655"/>
      <c r="R351" s="655"/>
      <c r="S351" s="655"/>
      <c r="T351" s="655"/>
      <c r="U351" s="655"/>
      <c r="V351" s="655"/>
      <c r="W351" s="655"/>
      <c r="X351" s="655"/>
      <c r="Y351" s="655"/>
      <c r="Z351" s="655"/>
    </row>
    <row r="352">
      <c r="B352" s="462"/>
      <c r="C352" s="671"/>
      <c r="D352" s="462"/>
      <c r="E352" s="654"/>
      <c r="F352" s="650"/>
      <c r="G352" s="654"/>
      <c r="H352" s="654"/>
      <c r="I352" s="650"/>
      <c r="J352" s="650"/>
      <c r="K352" s="655"/>
      <c r="L352" s="655"/>
      <c r="M352" s="655"/>
      <c r="N352" s="655"/>
      <c r="O352" s="655"/>
      <c r="P352" s="655"/>
      <c r="Q352" s="655"/>
      <c r="R352" s="655"/>
      <c r="S352" s="655"/>
      <c r="T352" s="655"/>
      <c r="U352" s="655"/>
      <c r="V352" s="655"/>
      <c r="W352" s="655"/>
      <c r="X352" s="655"/>
      <c r="Y352" s="655"/>
      <c r="Z352" s="655"/>
    </row>
    <row r="353">
      <c r="B353" s="462"/>
      <c r="C353" s="671"/>
      <c r="D353" s="462"/>
      <c r="E353" s="654"/>
      <c r="F353" s="650"/>
      <c r="G353" s="654"/>
      <c r="H353" s="654"/>
      <c r="I353" s="650"/>
      <c r="J353" s="650"/>
      <c r="K353" s="655"/>
      <c r="L353" s="655"/>
      <c r="M353" s="655"/>
      <c r="N353" s="655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</row>
    <row r="354">
      <c r="B354" s="462"/>
      <c r="C354" s="671"/>
      <c r="D354" s="462"/>
      <c r="E354" s="654"/>
      <c r="F354" s="650"/>
      <c r="G354" s="654"/>
      <c r="H354" s="654"/>
      <c r="I354" s="650"/>
      <c r="J354" s="650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</row>
    <row r="355">
      <c r="B355" s="462"/>
      <c r="C355" s="671"/>
      <c r="D355" s="462"/>
      <c r="E355" s="654"/>
      <c r="F355" s="650"/>
      <c r="G355" s="654"/>
      <c r="H355" s="654"/>
      <c r="I355" s="650"/>
      <c r="J355" s="650"/>
      <c r="K355" s="655"/>
      <c r="L355" s="655"/>
      <c r="M355" s="655"/>
      <c r="N355" s="655"/>
      <c r="O355" s="655"/>
      <c r="P355" s="655"/>
      <c r="Q355" s="655"/>
      <c r="R355" s="655"/>
      <c r="S355" s="655"/>
      <c r="T355" s="655"/>
      <c r="U355" s="655"/>
      <c r="V355" s="655"/>
      <c r="W355" s="655"/>
      <c r="X355" s="655"/>
      <c r="Y355" s="655"/>
      <c r="Z355" s="655"/>
    </row>
    <row r="356">
      <c r="B356" s="462"/>
      <c r="C356" s="671"/>
      <c r="D356" s="462"/>
      <c r="E356" s="654"/>
      <c r="F356" s="650"/>
      <c r="G356" s="654"/>
      <c r="H356" s="654"/>
      <c r="I356" s="650"/>
      <c r="J356" s="650"/>
      <c r="K356" s="655"/>
      <c r="L356" s="655"/>
      <c r="M356" s="655"/>
      <c r="N356" s="655"/>
      <c r="O356" s="655"/>
      <c r="P356" s="655"/>
      <c r="Q356" s="655"/>
      <c r="R356" s="655"/>
      <c r="S356" s="655"/>
      <c r="T356" s="655"/>
      <c r="U356" s="655"/>
      <c r="V356" s="655"/>
      <c r="W356" s="655"/>
      <c r="X356" s="655"/>
      <c r="Y356" s="655"/>
      <c r="Z356" s="655"/>
    </row>
    <row r="357">
      <c r="B357" s="462"/>
      <c r="C357" s="671"/>
      <c r="D357" s="462"/>
      <c r="E357" s="654"/>
      <c r="F357" s="650"/>
      <c r="G357" s="654"/>
      <c r="H357" s="654"/>
      <c r="I357" s="650"/>
      <c r="J357" s="650"/>
      <c r="K357" s="655"/>
      <c r="L357" s="655"/>
      <c r="M357" s="655"/>
      <c r="N357" s="655"/>
      <c r="O357" s="655"/>
      <c r="P357" s="655"/>
      <c r="Q357" s="655"/>
      <c r="R357" s="655"/>
      <c r="S357" s="655"/>
      <c r="T357" s="655"/>
      <c r="U357" s="655"/>
      <c r="V357" s="655"/>
      <c r="W357" s="655"/>
      <c r="X357" s="655"/>
      <c r="Y357" s="655"/>
      <c r="Z357" s="655"/>
    </row>
    <row r="358">
      <c r="B358" s="462"/>
      <c r="C358" s="671"/>
      <c r="D358" s="462"/>
      <c r="E358" s="654"/>
      <c r="F358" s="650"/>
      <c r="G358" s="654"/>
      <c r="H358" s="654"/>
      <c r="I358" s="650"/>
      <c r="J358" s="650"/>
      <c r="K358" s="655"/>
      <c r="L358" s="655"/>
      <c r="M358" s="655"/>
      <c r="N358" s="655"/>
      <c r="O358" s="655"/>
      <c r="P358" s="655"/>
      <c r="Q358" s="655"/>
      <c r="R358" s="655"/>
      <c r="S358" s="655"/>
      <c r="T358" s="655"/>
      <c r="U358" s="655"/>
      <c r="V358" s="655"/>
      <c r="W358" s="655"/>
      <c r="X358" s="655"/>
      <c r="Y358" s="655"/>
      <c r="Z358" s="655"/>
    </row>
    <row r="359">
      <c r="B359" s="462"/>
      <c r="C359" s="671"/>
      <c r="D359" s="462"/>
      <c r="E359" s="654"/>
      <c r="F359" s="650"/>
      <c r="G359" s="654"/>
      <c r="H359" s="654"/>
      <c r="I359" s="650"/>
      <c r="J359" s="650"/>
      <c r="K359" s="655"/>
      <c r="L359" s="655"/>
      <c r="M359" s="655"/>
      <c r="N359" s="655"/>
      <c r="O359" s="655"/>
      <c r="P359" s="655"/>
      <c r="Q359" s="655"/>
      <c r="R359" s="655"/>
      <c r="S359" s="655"/>
      <c r="T359" s="655"/>
      <c r="U359" s="655"/>
      <c r="V359" s="655"/>
      <c r="W359" s="655"/>
      <c r="X359" s="655"/>
      <c r="Y359" s="655"/>
      <c r="Z359" s="655"/>
    </row>
    <row r="360">
      <c r="B360" s="462"/>
      <c r="C360" s="671"/>
      <c r="D360" s="462"/>
      <c r="E360" s="654"/>
      <c r="F360" s="650"/>
      <c r="G360" s="654"/>
      <c r="H360" s="654"/>
      <c r="I360" s="650"/>
      <c r="J360" s="650"/>
      <c r="K360" s="655"/>
      <c r="L360" s="655"/>
      <c r="M360" s="655"/>
      <c r="N360" s="655"/>
      <c r="O360" s="655"/>
      <c r="P360" s="655"/>
      <c r="Q360" s="655"/>
      <c r="R360" s="655"/>
      <c r="S360" s="655"/>
      <c r="T360" s="655"/>
      <c r="U360" s="655"/>
      <c r="V360" s="655"/>
      <c r="W360" s="655"/>
      <c r="X360" s="655"/>
      <c r="Y360" s="655"/>
      <c r="Z360" s="655"/>
    </row>
    <row r="361">
      <c r="B361" s="462"/>
      <c r="C361" s="671"/>
      <c r="D361" s="462"/>
      <c r="E361" s="654"/>
      <c r="F361" s="650"/>
      <c r="G361" s="654"/>
      <c r="H361" s="654"/>
      <c r="I361" s="650"/>
      <c r="J361" s="650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</row>
    <row r="362">
      <c r="B362" s="462"/>
      <c r="C362" s="671"/>
      <c r="D362" s="462"/>
      <c r="E362" s="654"/>
      <c r="F362" s="650"/>
      <c r="G362" s="654"/>
      <c r="H362" s="654"/>
      <c r="I362" s="650"/>
      <c r="J362" s="650"/>
      <c r="K362" s="655"/>
      <c r="L362" s="655"/>
      <c r="M362" s="655"/>
      <c r="N362" s="655"/>
      <c r="O362" s="655"/>
      <c r="P362" s="655"/>
      <c r="Q362" s="655"/>
      <c r="R362" s="655"/>
      <c r="S362" s="655"/>
      <c r="T362" s="655"/>
      <c r="U362" s="655"/>
      <c r="V362" s="655"/>
      <c r="W362" s="655"/>
      <c r="X362" s="655"/>
      <c r="Y362" s="655"/>
      <c r="Z362" s="655"/>
    </row>
    <row r="363">
      <c r="B363" s="462"/>
      <c r="C363" s="671"/>
      <c r="D363" s="462"/>
      <c r="E363" s="654"/>
      <c r="F363" s="650"/>
      <c r="G363" s="654"/>
      <c r="H363" s="654"/>
      <c r="I363" s="650"/>
      <c r="J363" s="650"/>
      <c r="K363" s="655"/>
      <c r="L363" s="655"/>
      <c r="M363" s="655"/>
      <c r="N363" s="655"/>
      <c r="O363" s="655"/>
      <c r="P363" s="655"/>
      <c r="Q363" s="655"/>
      <c r="R363" s="655"/>
      <c r="S363" s="655"/>
      <c r="T363" s="655"/>
      <c r="U363" s="655"/>
      <c r="V363" s="655"/>
      <c r="W363" s="655"/>
      <c r="X363" s="655"/>
      <c r="Y363" s="655"/>
      <c r="Z363" s="655"/>
    </row>
    <row r="364">
      <c r="B364" s="462"/>
      <c r="C364" s="671"/>
      <c r="D364" s="462"/>
      <c r="E364" s="654"/>
      <c r="F364" s="650"/>
      <c r="G364" s="654"/>
      <c r="H364" s="654"/>
      <c r="I364" s="650"/>
      <c r="J364" s="650"/>
      <c r="K364" s="655"/>
      <c r="L364" s="655"/>
      <c r="M364" s="655"/>
      <c r="N364" s="655"/>
      <c r="O364" s="655"/>
      <c r="P364" s="655"/>
      <c r="Q364" s="655"/>
      <c r="R364" s="655"/>
      <c r="S364" s="655"/>
      <c r="T364" s="655"/>
      <c r="U364" s="655"/>
      <c r="V364" s="655"/>
      <c r="W364" s="655"/>
      <c r="X364" s="655"/>
      <c r="Y364" s="655"/>
      <c r="Z364" s="655"/>
    </row>
    <row r="365">
      <c r="B365" s="462"/>
      <c r="C365" s="671"/>
      <c r="D365" s="462"/>
      <c r="E365" s="654"/>
      <c r="F365" s="650"/>
      <c r="G365" s="654"/>
      <c r="H365" s="654"/>
      <c r="I365" s="650"/>
      <c r="J365" s="650"/>
      <c r="K365" s="655"/>
      <c r="L365" s="655"/>
      <c r="M365" s="655"/>
      <c r="N365" s="655"/>
      <c r="O365" s="655"/>
      <c r="P365" s="655"/>
      <c r="Q365" s="655"/>
      <c r="R365" s="655"/>
      <c r="S365" s="655"/>
      <c r="T365" s="655"/>
      <c r="U365" s="655"/>
      <c r="V365" s="655"/>
      <c r="W365" s="655"/>
      <c r="X365" s="655"/>
      <c r="Y365" s="655"/>
      <c r="Z365" s="655"/>
    </row>
    <row r="366">
      <c r="B366" s="462"/>
      <c r="C366" s="671"/>
      <c r="D366" s="462"/>
      <c r="E366" s="654"/>
      <c r="F366" s="650"/>
      <c r="G366" s="654"/>
      <c r="H366" s="654"/>
      <c r="I366" s="650"/>
      <c r="J366" s="650"/>
      <c r="K366" s="655"/>
      <c r="L366" s="655"/>
      <c r="M366" s="655"/>
      <c r="N366" s="655"/>
      <c r="O366" s="655"/>
      <c r="P366" s="655"/>
      <c r="Q366" s="655"/>
      <c r="R366" s="655"/>
      <c r="S366" s="655"/>
      <c r="T366" s="655"/>
      <c r="U366" s="655"/>
      <c r="V366" s="655"/>
      <c r="W366" s="655"/>
      <c r="X366" s="655"/>
      <c r="Y366" s="655"/>
      <c r="Z366" s="655"/>
    </row>
    <row r="367">
      <c r="B367" s="462"/>
      <c r="C367" s="671"/>
      <c r="D367" s="462"/>
      <c r="E367" s="654"/>
      <c r="F367" s="650"/>
      <c r="G367" s="654"/>
      <c r="H367" s="654"/>
      <c r="I367" s="650"/>
      <c r="J367" s="650"/>
      <c r="K367" s="655"/>
      <c r="L367" s="655"/>
      <c r="M367" s="655"/>
      <c r="N367" s="655"/>
      <c r="O367" s="655"/>
      <c r="P367" s="655"/>
      <c r="Q367" s="655"/>
      <c r="R367" s="655"/>
      <c r="S367" s="655"/>
      <c r="T367" s="655"/>
      <c r="U367" s="655"/>
      <c r="V367" s="655"/>
      <c r="W367" s="655"/>
      <c r="X367" s="655"/>
      <c r="Y367" s="655"/>
      <c r="Z367" s="655"/>
    </row>
    <row r="368">
      <c r="B368" s="462"/>
      <c r="C368" s="671"/>
      <c r="D368" s="462"/>
      <c r="E368" s="654"/>
      <c r="F368" s="650"/>
      <c r="G368" s="654"/>
      <c r="H368" s="654"/>
      <c r="I368" s="650"/>
      <c r="J368" s="650"/>
      <c r="K368" s="655"/>
      <c r="L368" s="655"/>
      <c r="M368" s="655"/>
      <c r="N368" s="655"/>
      <c r="O368" s="655"/>
      <c r="P368" s="655"/>
      <c r="Q368" s="655"/>
      <c r="R368" s="655"/>
      <c r="S368" s="655"/>
      <c r="T368" s="655"/>
      <c r="U368" s="655"/>
      <c r="V368" s="655"/>
      <c r="W368" s="655"/>
      <c r="X368" s="655"/>
      <c r="Y368" s="655"/>
      <c r="Z368" s="655"/>
    </row>
    <row r="369">
      <c r="B369" s="462"/>
      <c r="C369" s="671"/>
      <c r="D369" s="462"/>
      <c r="E369" s="654"/>
      <c r="F369" s="650"/>
      <c r="G369" s="654"/>
      <c r="H369" s="654"/>
      <c r="I369" s="650"/>
      <c r="J369" s="650"/>
      <c r="K369" s="655"/>
      <c r="L369" s="655"/>
      <c r="M369" s="655"/>
      <c r="N369" s="655"/>
      <c r="O369" s="655"/>
      <c r="P369" s="655"/>
      <c r="Q369" s="655"/>
      <c r="R369" s="655"/>
      <c r="S369" s="655"/>
      <c r="T369" s="655"/>
      <c r="U369" s="655"/>
      <c r="V369" s="655"/>
      <c r="W369" s="655"/>
      <c r="X369" s="655"/>
      <c r="Y369" s="655"/>
      <c r="Z369" s="655"/>
    </row>
    <row r="370">
      <c r="B370" s="462"/>
      <c r="C370" s="671"/>
      <c r="D370" s="462"/>
      <c r="E370" s="654"/>
      <c r="F370" s="650"/>
      <c r="G370" s="654"/>
      <c r="H370" s="654"/>
      <c r="I370" s="650"/>
      <c r="J370" s="650"/>
      <c r="K370" s="655"/>
      <c r="L370" s="655"/>
      <c r="M370" s="655"/>
      <c r="N370" s="655"/>
      <c r="O370" s="655"/>
      <c r="P370" s="655"/>
      <c r="Q370" s="655"/>
      <c r="R370" s="655"/>
      <c r="S370" s="655"/>
      <c r="T370" s="655"/>
      <c r="U370" s="655"/>
      <c r="V370" s="655"/>
      <c r="W370" s="655"/>
      <c r="X370" s="655"/>
      <c r="Y370" s="655"/>
      <c r="Z370" s="655"/>
    </row>
    <row r="371">
      <c r="B371" s="462"/>
      <c r="C371" s="671"/>
      <c r="D371" s="462"/>
      <c r="E371" s="654"/>
      <c r="F371" s="650"/>
      <c r="G371" s="654"/>
      <c r="H371" s="654"/>
      <c r="I371" s="650"/>
      <c r="J371" s="650"/>
      <c r="K371" s="655"/>
      <c r="L371" s="655"/>
      <c r="M371" s="655"/>
      <c r="N371" s="655"/>
      <c r="O371" s="655"/>
      <c r="P371" s="655"/>
      <c r="Q371" s="655"/>
      <c r="R371" s="655"/>
      <c r="S371" s="655"/>
      <c r="T371" s="655"/>
      <c r="U371" s="655"/>
      <c r="V371" s="655"/>
      <c r="W371" s="655"/>
      <c r="X371" s="655"/>
      <c r="Y371" s="655"/>
      <c r="Z371" s="655"/>
    </row>
    <row r="372">
      <c r="B372" s="462"/>
      <c r="C372" s="671"/>
      <c r="D372" s="462"/>
      <c r="E372" s="654"/>
      <c r="F372" s="650"/>
      <c r="G372" s="654"/>
      <c r="H372" s="654"/>
      <c r="I372" s="650"/>
      <c r="J372" s="650"/>
      <c r="K372" s="655"/>
      <c r="L372" s="655"/>
      <c r="M372" s="655"/>
      <c r="N372" s="655"/>
      <c r="O372" s="655"/>
      <c r="P372" s="655"/>
      <c r="Q372" s="655"/>
      <c r="R372" s="655"/>
      <c r="S372" s="655"/>
      <c r="T372" s="655"/>
      <c r="U372" s="655"/>
      <c r="V372" s="655"/>
      <c r="W372" s="655"/>
      <c r="X372" s="655"/>
      <c r="Y372" s="655"/>
      <c r="Z372" s="655"/>
    </row>
    <row r="373">
      <c r="B373" s="462"/>
      <c r="C373" s="671"/>
      <c r="D373" s="462"/>
      <c r="E373" s="654"/>
      <c r="F373" s="650"/>
      <c r="G373" s="654"/>
      <c r="H373" s="654"/>
      <c r="I373" s="650"/>
      <c r="J373" s="650"/>
      <c r="K373" s="655"/>
      <c r="L373" s="655"/>
      <c r="M373" s="655"/>
      <c r="N373" s="655"/>
      <c r="O373" s="655"/>
      <c r="P373" s="655"/>
      <c r="Q373" s="655"/>
      <c r="R373" s="655"/>
      <c r="S373" s="655"/>
      <c r="T373" s="655"/>
      <c r="U373" s="655"/>
      <c r="V373" s="655"/>
      <c r="W373" s="655"/>
      <c r="X373" s="655"/>
      <c r="Y373" s="655"/>
      <c r="Z373" s="655"/>
    </row>
    <row r="374">
      <c r="B374" s="462"/>
      <c r="C374" s="671"/>
      <c r="D374" s="462"/>
      <c r="E374" s="654"/>
      <c r="F374" s="650"/>
      <c r="G374" s="654"/>
      <c r="H374" s="654"/>
      <c r="I374" s="650"/>
      <c r="J374" s="650"/>
      <c r="K374" s="655"/>
      <c r="L374" s="655"/>
      <c r="M374" s="655"/>
      <c r="N374" s="655"/>
      <c r="O374" s="655"/>
      <c r="P374" s="655"/>
      <c r="Q374" s="655"/>
      <c r="R374" s="655"/>
      <c r="S374" s="655"/>
      <c r="T374" s="655"/>
      <c r="U374" s="655"/>
      <c r="V374" s="655"/>
      <c r="W374" s="655"/>
      <c r="X374" s="655"/>
      <c r="Y374" s="655"/>
      <c r="Z374" s="655"/>
    </row>
    <row r="375">
      <c r="B375" s="462"/>
      <c r="C375" s="671"/>
      <c r="D375" s="462"/>
      <c r="E375" s="654"/>
      <c r="F375" s="650"/>
      <c r="G375" s="654"/>
      <c r="H375" s="654"/>
      <c r="I375" s="650"/>
      <c r="J375" s="650"/>
      <c r="K375" s="655"/>
      <c r="L375" s="655"/>
      <c r="M375" s="655"/>
      <c r="N375" s="655"/>
      <c r="O375" s="655"/>
      <c r="P375" s="655"/>
      <c r="Q375" s="655"/>
      <c r="R375" s="655"/>
      <c r="S375" s="655"/>
      <c r="T375" s="655"/>
      <c r="U375" s="655"/>
      <c r="V375" s="655"/>
      <c r="W375" s="655"/>
      <c r="X375" s="655"/>
      <c r="Y375" s="655"/>
      <c r="Z375" s="655"/>
    </row>
    <row r="376">
      <c r="B376" s="462"/>
      <c r="C376" s="671"/>
      <c r="D376" s="462"/>
      <c r="E376" s="654"/>
      <c r="F376" s="650"/>
      <c r="G376" s="654"/>
      <c r="H376" s="654"/>
      <c r="I376" s="650"/>
      <c r="J376" s="650"/>
      <c r="K376" s="655"/>
      <c r="L376" s="655"/>
      <c r="M376" s="655"/>
      <c r="N376" s="655"/>
      <c r="O376" s="655"/>
      <c r="P376" s="655"/>
      <c r="Q376" s="655"/>
      <c r="R376" s="655"/>
      <c r="S376" s="655"/>
      <c r="T376" s="655"/>
      <c r="U376" s="655"/>
      <c r="V376" s="655"/>
      <c r="W376" s="655"/>
      <c r="X376" s="655"/>
      <c r="Y376" s="655"/>
      <c r="Z376" s="655"/>
    </row>
    <row r="377">
      <c r="B377" s="462"/>
      <c r="C377" s="671"/>
      <c r="D377" s="462"/>
      <c r="E377" s="654"/>
      <c r="F377" s="650"/>
      <c r="G377" s="654"/>
      <c r="H377" s="654"/>
      <c r="I377" s="650"/>
      <c r="J377" s="650"/>
      <c r="K377" s="655"/>
      <c r="L377" s="655"/>
      <c r="M377" s="655"/>
      <c r="N377" s="655"/>
      <c r="O377" s="655"/>
      <c r="P377" s="655"/>
      <c r="Q377" s="655"/>
      <c r="R377" s="655"/>
      <c r="S377" s="655"/>
      <c r="T377" s="655"/>
      <c r="U377" s="655"/>
      <c r="V377" s="655"/>
      <c r="W377" s="655"/>
      <c r="X377" s="655"/>
      <c r="Y377" s="655"/>
      <c r="Z377" s="655"/>
    </row>
    <row r="378">
      <c r="B378" s="462"/>
      <c r="C378" s="671"/>
      <c r="D378" s="462"/>
      <c r="E378" s="654"/>
      <c r="F378" s="650"/>
      <c r="G378" s="654"/>
      <c r="H378" s="654"/>
      <c r="I378" s="650"/>
      <c r="J378" s="650"/>
      <c r="K378" s="655"/>
      <c r="L378" s="655"/>
      <c r="M378" s="655"/>
      <c r="N378" s="655"/>
      <c r="O378" s="655"/>
      <c r="P378" s="655"/>
      <c r="Q378" s="655"/>
      <c r="R378" s="655"/>
      <c r="S378" s="655"/>
      <c r="T378" s="655"/>
      <c r="U378" s="655"/>
      <c r="V378" s="655"/>
      <c r="W378" s="655"/>
      <c r="X378" s="655"/>
      <c r="Y378" s="655"/>
      <c r="Z378" s="655"/>
    </row>
    <row r="379">
      <c r="B379" s="462"/>
      <c r="C379" s="671"/>
      <c r="D379" s="462"/>
      <c r="E379" s="654"/>
      <c r="F379" s="650"/>
      <c r="G379" s="654"/>
      <c r="H379" s="654"/>
      <c r="I379" s="650"/>
      <c r="J379" s="650"/>
      <c r="K379" s="655"/>
      <c r="L379" s="655"/>
      <c r="M379" s="655"/>
      <c r="N379" s="655"/>
      <c r="O379" s="655"/>
      <c r="P379" s="655"/>
      <c r="Q379" s="655"/>
      <c r="R379" s="655"/>
      <c r="S379" s="655"/>
      <c r="T379" s="655"/>
      <c r="U379" s="655"/>
      <c r="V379" s="655"/>
      <c r="W379" s="655"/>
      <c r="X379" s="655"/>
      <c r="Y379" s="655"/>
      <c r="Z379" s="655"/>
    </row>
    <row r="380">
      <c r="B380" s="462"/>
      <c r="C380" s="671"/>
      <c r="D380" s="462"/>
      <c r="E380" s="654"/>
      <c r="F380" s="650"/>
      <c r="G380" s="654"/>
      <c r="H380" s="654"/>
      <c r="I380" s="650"/>
      <c r="J380" s="650"/>
      <c r="K380" s="655"/>
      <c r="L380" s="655"/>
      <c r="M380" s="655"/>
      <c r="N380" s="655"/>
      <c r="O380" s="655"/>
      <c r="P380" s="655"/>
      <c r="Q380" s="655"/>
      <c r="R380" s="655"/>
      <c r="S380" s="655"/>
      <c r="T380" s="655"/>
      <c r="U380" s="655"/>
      <c r="V380" s="655"/>
      <c r="W380" s="655"/>
      <c r="X380" s="655"/>
      <c r="Y380" s="655"/>
      <c r="Z380" s="655"/>
    </row>
    <row r="381">
      <c r="B381" s="462"/>
      <c r="C381" s="671"/>
      <c r="D381" s="462"/>
      <c r="E381" s="654"/>
      <c r="F381" s="650"/>
      <c r="G381" s="654"/>
      <c r="H381" s="654"/>
      <c r="I381" s="650"/>
      <c r="J381" s="650"/>
      <c r="K381" s="655"/>
      <c r="L381" s="655"/>
      <c r="M381" s="655"/>
      <c r="N381" s="655"/>
      <c r="O381" s="655"/>
      <c r="P381" s="655"/>
      <c r="Q381" s="655"/>
      <c r="R381" s="655"/>
      <c r="S381" s="655"/>
      <c r="T381" s="655"/>
      <c r="U381" s="655"/>
      <c r="V381" s="655"/>
      <c r="W381" s="655"/>
      <c r="X381" s="655"/>
      <c r="Y381" s="655"/>
      <c r="Z381" s="655"/>
    </row>
    <row r="382">
      <c r="B382" s="462"/>
      <c r="C382" s="671"/>
      <c r="D382" s="462"/>
      <c r="E382" s="654"/>
      <c r="F382" s="650"/>
      <c r="G382" s="654"/>
      <c r="H382" s="654"/>
      <c r="I382" s="650"/>
      <c r="J382" s="650"/>
      <c r="K382" s="655"/>
      <c r="L382" s="655"/>
      <c r="M382" s="655"/>
      <c r="N382" s="655"/>
      <c r="O382" s="655"/>
      <c r="P382" s="655"/>
      <c r="Q382" s="655"/>
      <c r="R382" s="655"/>
      <c r="S382" s="655"/>
      <c r="T382" s="655"/>
      <c r="U382" s="655"/>
      <c r="V382" s="655"/>
      <c r="W382" s="655"/>
      <c r="X382" s="655"/>
      <c r="Y382" s="655"/>
      <c r="Z382" s="655"/>
    </row>
    <row r="383">
      <c r="B383" s="462"/>
      <c r="C383" s="671"/>
      <c r="D383" s="462"/>
      <c r="E383" s="654"/>
      <c r="F383" s="650"/>
      <c r="G383" s="654"/>
      <c r="H383" s="654"/>
      <c r="I383" s="650"/>
      <c r="J383" s="650"/>
      <c r="K383" s="655"/>
      <c r="L383" s="655"/>
      <c r="M383" s="655"/>
      <c r="N383" s="655"/>
      <c r="O383" s="655"/>
      <c r="P383" s="655"/>
      <c r="Q383" s="655"/>
      <c r="R383" s="655"/>
      <c r="S383" s="655"/>
      <c r="T383" s="655"/>
      <c r="U383" s="655"/>
      <c r="V383" s="655"/>
      <c r="W383" s="655"/>
      <c r="X383" s="655"/>
      <c r="Y383" s="655"/>
      <c r="Z383" s="655"/>
    </row>
    <row r="384">
      <c r="B384" s="462"/>
      <c r="C384" s="671"/>
      <c r="D384" s="462"/>
      <c r="E384" s="654"/>
      <c r="F384" s="650"/>
      <c r="G384" s="654"/>
      <c r="H384" s="654"/>
      <c r="I384" s="650"/>
      <c r="J384" s="650"/>
      <c r="K384" s="655"/>
      <c r="L384" s="655"/>
      <c r="M384" s="655"/>
      <c r="N384" s="655"/>
      <c r="O384" s="655"/>
      <c r="P384" s="655"/>
      <c r="Q384" s="655"/>
      <c r="R384" s="655"/>
      <c r="S384" s="655"/>
      <c r="T384" s="655"/>
      <c r="U384" s="655"/>
      <c r="V384" s="655"/>
      <c r="W384" s="655"/>
      <c r="X384" s="655"/>
      <c r="Y384" s="655"/>
      <c r="Z384" s="655"/>
    </row>
    <row r="385">
      <c r="B385" s="462"/>
      <c r="C385" s="671"/>
      <c r="D385" s="462"/>
      <c r="E385" s="654"/>
      <c r="F385" s="650"/>
      <c r="G385" s="654"/>
      <c r="H385" s="654"/>
      <c r="I385" s="650"/>
      <c r="J385" s="650"/>
      <c r="K385" s="655"/>
      <c r="L385" s="655"/>
      <c r="M385" s="655"/>
      <c r="N385" s="655"/>
      <c r="O385" s="655"/>
      <c r="P385" s="655"/>
      <c r="Q385" s="655"/>
      <c r="R385" s="655"/>
      <c r="S385" s="655"/>
      <c r="T385" s="655"/>
      <c r="U385" s="655"/>
      <c r="V385" s="655"/>
      <c r="W385" s="655"/>
      <c r="X385" s="655"/>
      <c r="Y385" s="655"/>
      <c r="Z385" s="655"/>
    </row>
    <row r="386">
      <c r="B386" s="462"/>
      <c r="C386" s="671"/>
      <c r="D386" s="462"/>
      <c r="E386" s="654"/>
      <c r="F386" s="650"/>
      <c r="G386" s="654"/>
      <c r="H386" s="654"/>
      <c r="I386" s="650"/>
      <c r="J386" s="650"/>
      <c r="K386" s="655"/>
      <c r="L386" s="655"/>
      <c r="M386" s="655"/>
      <c r="N386" s="655"/>
      <c r="O386" s="655"/>
      <c r="P386" s="655"/>
      <c r="Q386" s="655"/>
      <c r="R386" s="655"/>
      <c r="S386" s="655"/>
      <c r="T386" s="655"/>
      <c r="U386" s="655"/>
      <c r="V386" s="655"/>
      <c r="W386" s="655"/>
      <c r="X386" s="655"/>
      <c r="Y386" s="655"/>
      <c r="Z386" s="655"/>
    </row>
    <row r="387">
      <c r="B387" s="462"/>
      <c r="C387" s="671"/>
      <c r="D387" s="462"/>
      <c r="E387" s="654"/>
      <c r="F387" s="650"/>
      <c r="G387" s="654"/>
      <c r="H387" s="654"/>
      <c r="I387" s="650"/>
      <c r="J387" s="650"/>
      <c r="K387" s="655"/>
      <c r="L387" s="655"/>
      <c r="M387" s="655"/>
      <c r="N387" s="655"/>
      <c r="O387" s="655"/>
      <c r="P387" s="655"/>
      <c r="Q387" s="655"/>
      <c r="R387" s="655"/>
      <c r="S387" s="655"/>
      <c r="T387" s="655"/>
      <c r="U387" s="655"/>
      <c r="V387" s="655"/>
      <c r="W387" s="655"/>
      <c r="X387" s="655"/>
      <c r="Y387" s="655"/>
      <c r="Z387" s="655"/>
    </row>
    <row r="388">
      <c r="B388" s="462"/>
      <c r="C388" s="671"/>
      <c r="D388" s="462"/>
      <c r="E388" s="654"/>
      <c r="F388" s="650"/>
      <c r="G388" s="654"/>
      <c r="H388" s="654"/>
      <c r="I388" s="650"/>
      <c r="J388" s="650"/>
      <c r="K388" s="655"/>
      <c r="L388" s="655"/>
      <c r="M388" s="655"/>
      <c r="N388" s="655"/>
      <c r="O388" s="655"/>
      <c r="P388" s="655"/>
      <c r="Q388" s="655"/>
      <c r="R388" s="655"/>
      <c r="S388" s="655"/>
      <c r="T388" s="655"/>
      <c r="U388" s="655"/>
      <c r="V388" s="655"/>
      <c r="W388" s="655"/>
      <c r="X388" s="655"/>
      <c r="Y388" s="655"/>
      <c r="Z388" s="655"/>
    </row>
    <row r="389">
      <c r="B389" s="462"/>
      <c r="C389" s="671"/>
      <c r="D389" s="462"/>
      <c r="E389" s="654"/>
      <c r="F389" s="650"/>
      <c r="G389" s="654"/>
      <c r="H389" s="654"/>
      <c r="I389" s="650"/>
      <c r="J389" s="650"/>
      <c r="K389" s="655"/>
      <c r="L389" s="655"/>
      <c r="M389" s="655"/>
      <c r="N389" s="655"/>
      <c r="O389" s="655"/>
      <c r="P389" s="655"/>
      <c r="Q389" s="655"/>
      <c r="R389" s="655"/>
      <c r="S389" s="655"/>
      <c r="T389" s="655"/>
      <c r="U389" s="655"/>
      <c r="V389" s="655"/>
      <c r="W389" s="655"/>
      <c r="X389" s="655"/>
      <c r="Y389" s="655"/>
      <c r="Z389" s="655"/>
    </row>
    <row r="390">
      <c r="B390" s="462"/>
      <c r="C390" s="671"/>
      <c r="D390" s="462"/>
      <c r="E390" s="654"/>
      <c r="F390" s="650"/>
      <c r="G390" s="654"/>
      <c r="H390" s="654"/>
      <c r="I390" s="650"/>
      <c r="J390" s="650"/>
      <c r="K390" s="655"/>
      <c r="L390" s="655"/>
      <c r="M390" s="655"/>
      <c r="N390" s="655"/>
      <c r="O390" s="655"/>
      <c r="P390" s="655"/>
      <c r="Q390" s="655"/>
      <c r="R390" s="655"/>
      <c r="S390" s="655"/>
      <c r="T390" s="655"/>
      <c r="U390" s="655"/>
      <c r="V390" s="655"/>
      <c r="W390" s="655"/>
      <c r="X390" s="655"/>
      <c r="Y390" s="655"/>
      <c r="Z390" s="655"/>
    </row>
    <row r="391">
      <c r="B391" s="462"/>
      <c r="C391" s="671"/>
      <c r="D391" s="462"/>
      <c r="E391" s="654"/>
      <c r="F391" s="650"/>
      <c r="G391" s="654"/>
      <c r="H391" s="654"/>
      <c r="I391" s="650"/>
      <c r="J391" s="650"/>
      <c r="K391" s="655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</row>
    <row r="392">
      <c r="B392" s="462"/>
      <c r="C392" s="671"/>
      <c r="D392" s="462"/>
      <c r="E392" s="654"/>
      <c r="F392" s="650"/>
      <c r="G392" s="654"/>
      <c r="H392" s="654"/>
      <c r="I392" s="650"/>
      <c r="J392" s="650"/>
      <c r="K392" s="655"/>
      <c r="L392" s="655"/>
      <c r="M392" s="655"/>
      <c r="N392" s="655"/>
      <c r="O392" s="655"/>
      <c r="P392" s="655"/>
      <c r="Q392" s="655"/>
      <c r="R392" s="655"/>
      <c r="S392" s="655"/>
      <c r="T392" s="655"/>
      <c r="U392" s="655"/>
      <c r="V392" s="655"/>
      <c r="W392" s="655"/>
      <c r="X392" s="655"/>
      <c r="Y392" s="655"/>
      <c r="Z392" s="655"/>
    </row>
    <row r="393">
      <c r="B393" s="462"/>
      <c r="C393" s="671"/>
      <c r="D393" s="462"/>
      <c r="E393" s="654"/>
      <c r="F393" s="650"/>
      <c r="G393" s="654"/>
      <c r="H393" s="654"/>
      <c r="I393" s="650"/>
      <c r="J393" s="650"/>
      <c r="K393" s="655"/>
      <c r="L393" s="655"/>
      <c r="M393" s="655"/>
      <c r="N393" s="655"/>
      <c r="O393" s="655"/>
      <c r="P393" s="655"/>
      <c r="Q393" s="655"/>
      <c r="R393" s="655"/>
      <c r="S393" s="655"/>
      <c r="T393" s="655"/>
      <c r="U393" s="655"/>
      <c r="V393" s="655"/>
      <c r="W393" s="655"/>
      <c r="X393" s="655"/>
      <c r="Y393" s="655"/>
      <c r="Z393" s="655"/>
    </row>
    <row r="394">
      <c r="B394" s="462"/>
      <c r="C394" s="671"/>
      <c r="D394" s="462"/>
      <c r="E394" s="654"/>
      <c r="F394" s="650"/>
      <c r="G394" s="654"/>
      <c r="H394" s="654"/>
      <c r="I394" s="650"/>
      <c r="J394" s="650"/>
      <c r="K394" s="655"/>
      <c r="L394" s="655"/>
      <c r="M394" s="655"/>
      <c r="N394" s="655"/>
      <c r="O394" s="655"/>
      <c r="P394" s="655"/>
      <c r="Q394" s="655"/>
      <c r="R394" s="655"/>
      <c r="S394" s="655"/>
      <c r="T394" s="655"/>
      <c r="U394" s="655"/>
      <c r="V394" s="655"/>
      <c r="W394" s="655"/>
      <c r="X394" s="655"/>
      <c r="Y394" s="655"/>
      <c r="Z394" s="655"/>
    </row>
    <row r="395">
      <c r="B395" s="462"/>
      <c r="C395" s="671"/>
      <c r="D395" s="462"/>
      <c r="E395" s="654"/>
      <c r="F395" s="650"/>
      <c r="G395" s="654"/>
      <c r="H395" s="654"/>
      <c r="I395" s="650"/>
      <c r="J395" s="650"/>
      <c r="K395" s="655"/>
      <c r="L395" s="655"/>
      <c r="M395" s="655"/>
      <c r="N395" s="655"/>
      <c r="O395" s="655"/>
      <c r="P395" s="655"/>
      <c r="Q395" s="655"/>
      <c r="R395" s="655"/>
      <c r="S395" s="655"/>
      <c r="T395" s="655"/>
      <c r="U395" s="655"/>
      <c r="V395" s="655"/>
      <c r="W395" s="655"/>
      <c r="X395" s="655"/>
      <c r="Y395" s="655"/>
      <c r="Z395" s="655"/>
    </row>
    <row r="396">
      <c r="B396" s="462"/>
      <c r="C396" s="671"/>
      <c r="D396" s="462"/>
      <c r="E396" s="654"/>
      <c r="F396" s="650"/>
      <c r="G396" s="654"/>
      <c r="H396" s="654"/>
      <c r="I396" s="650"/>
      <c r="J396" s="650"/>
      <c r="K396" s="655"/>
      <c r="L396" s="655"/>
      <c r="M396" s="655"/>
      <c r="N396" s="655"/>
      <c r="O396" s="655"/>
      <c r="P396" s="655"/>
      <c r="Q396" s="655"/>
      <c r="R396" s="655"/>
      <c r="S396" s="655"/>
      <c r="T396" s="655"/>
      <c r="U396" s="655"/>
      <c r="V396" s="655"/>
      <c r="W396" s="655"/>
      <c r="X396" s="655"/>
      <c r="Y396" s="655"/>
      <c r="Z396" s="655"/>
    </row>
    <row r="397">
      <c r="B397" s="462"/>
      <c r="C397" s="671"/>
      <c r="D397" s="462"/>
      <c r="E397" s="654"/>
      <c r="F397" s="650"/>
      <c r="G397" s="654"/>
      <c r="H397" s="654"/>
      <c r="I397" s="650"/>
      <c r="J397" s="650"/>
      <c r="K397" s="655"/>
      <c r="L397" s="655"/>
      <c r="M397" s="655"/>
      <c r="N397" s="655"/>
      <c r="O397" s="655"/>
      <c r="P397" s="655"/>
      <c r="Q397" s="655"/>
      <c r="R397" s="655"/>
      <c r="S397" s="655"/>
      <c r="T397" s="655"/>
      <c r="U397" s="655"/>
      <c r="V397" s="655"/>
      <c r="W397" s="655"/>
      <c r="X397" s="655"/>
      <c r="Y397" s="655"/>
      <c r="Z397" s="655"/>
    </row>
    <row r="398">
      <c r="B398" s="462"/>
      <c r="C398" s="671"/>
      <c r="D398" s="462"/>
      <c r="E398" s="654"/>
      <c r="F398" s="650"/>
      <c r="G398" s="654"/>
      <c r="H398" s="654"/>
      <c r="I398" s="650"/>
      <c r="J398" s="650"/>
      <c r="K398" s="655"/>
      <c r="L398" s="655"/>
      <c r="M398" s="655"/>
      <c r="N398" s="655"/>
      <c r="O398" s="655"/>
      <c r="P398" s="655"/>
      <c r="Q398" s="655"/>
      <c r="R398" s="655"/>
      <c r="S398" s="655"/>
      <c r="T398" s="655"/>
      <c r="U398" s="655"/>
      <c r="V398" s="655"/>
      <c r="W398" s="655"/>
      <c r="X398" s="655"/>
      <c r="Y398" s="655"/>
      <c r="Z398" s="655"/>
    </row>
    <row r="399">
      <c r="B399" s="462"/>
      <c r="C399" s="671"/>
      <c r="D399" s="462"/>
      <c r="E399" s="654"/>
      <c r="F399" s="650"/>
      <c r="G399" s="654"/>
      <c r="H399" s="654"/>
      <c r="I399" s="650"/>
      <c r="J399" s="650"/>
      <c r="K399" s="655"/>
      <c r="L399" s="655"/>
      <c r="M399" s="655"/>
      <c r="N399" s="655"/>
      <c r="O399" s="655"/>
      <c r="P399" s="655"/>
      <c r="Q399" s="655"/>
      <c r="R399" s="655"/>
      <c r="S399" s="655"/>
      <c r="T399" s="655"/>
      <c r="U399" s="655"/>
      <c r="V399" s="655"/>
      <c r="W399" s="655"/>
      <c r="X399" s="655"/>
      <c r="Y399" s="655"/>
      <c r="Z399" s="655"/>
    </row>
    <row r="400">
      <c r="B400" s="462"/>
      <c r="C400" s="671"/>
      <c r="D400" s="462"/>
      <c r="E400" s="654"/>
      <c r="F400" s="650"/>
      <c r="G400" s="654"/>
      <c r="H400" s="654"/>
      <c r="I400" s="650"/>
      <c r="J400" s="650"/>
      <c r="K400" s="655"/>
      <c r="L400" s="655"/>
      <c r="M400" s="655"/>
      <c r="N400" s="655"/>
      <c r="O400" s="655"/>
      <c r="P400" s="655"/>
      <c r="Q400" s="655"/>
      <c r="R400" s="655"/>
      <c r="S400" s="655"/>
      <c r="T400" s="655"/>
      <c r="U400" s="655"/>
      <c r="V400" s="655"/>
      <c r="W400" s="655"/>
      <c r="X400" s="655"/>
      <c r="Y400" s="655"/>
      <c r="Z400" s="655"/>
    </row>
    <row r="401">
      <c r="B401" s="462"/>
      <c r="C401" s="671"/>
      <c r="D401" s="462"/>
      <c r="E401" s="654"/>
      <c r="F401" s="650"/>
      <c r="G401" s="654"/>
      <c r="H401" s="654"/>
      <c r="I401" s="650"/>
      <c r="J401" s="650"/>
      <c r="K401" s="655"/>
      <c r="L401" s="655"/>
      <c r="M401" s="655"/>
      <c r="N401" s="655"/>
      <c r="O401" s="655"/>
      <c r="P401" s="655"/>
      <c r="Q401" s="655"/>
      <c r="R401" s="655"/>
      <c r="S401" s="655"/>
      <c r="T401" s="655"/>
      <c r="U401" s="655"/>
      <c r="V401" s="655"/>
      <c r="W401" s="655"/>
      <c r="X401" s="655"/>
      <c r="Y401" s="655"/>
      <c r="Z401" s="655"/>
    </row>
    <row r="402">
      <c r="B402" s="462"/>
      <c r="C402" s="671"/>
      <c r="D402" s="462"/>
      <c r="E402" s="654"/>
      <c r="F402" s="650"/>
      <c r="G402" s="654"/>
      <c r="H402" s="654"/>
      <c r="I402" s="650"/>
      <c r="J402" s="650"/>
      <c r="K402" s="655"/>
      <c r="L402" s="655"/>
      <c r="M402" s="655"/>
      <c r="N402" s="655"/>
      <c r="O402" s="655"/>
      <c r="P402" s="655"/>
      <c r="Q402" s="655"/>
      <c r="R402" s="655"/>
      <c r="S402" s="655"/>
      <c r="T402" s="655"/>
      <c r="U402" s="655"/>
      <c r="V402" s="655"/>
      <c r="W402" s="655"/>
      <c r="X402" s="655"/>
      <c r="Y402" s="655"/>
      <c r="Z402" s="655"/>
    </row>
    <row r="403">
      <c r="B403" s="462"/>
      <c r="C403" s="671"/>
      <c r="D403" s="462"/>
      <c r="E403" s="654"/>
      <c r="F403" s="650"/>
      <c r="G403" s="654"/>
      <c r="H403" s="654"/>
      <c r="I403" s="650"/>
      <c r="J403" s="650"/>
      <c r="K403" s="655"/>
      <c r="L403" s="655"/>
      <c r="M403" s="655"/>
      <c r="N403" s="655"/>
      <c r="O403" s="655"/>
      <c r="P403" s="655"/>
      <c r="Q403" s="655"/>
      <c r="R403" s="655"/>
      <c r="S403" s="655"/>
      <c r="T403" s="655"/>
      <c r="U403" s="655"/>
      <c r="V403" s="655"/>
      <c r="W403" s="655"/>
      <c r="X403" s="655"/>
      <c r="Y403" s="655"/>
      <c r="Z403" s="655"/>
    </row>
    <row r="404">
      <c r="B404" s="462"/>
      <c r="C404" s="671"/>
      <c r="D404" s="462"/>
      <c r="E404" s="654"/>
      <c r="F404" s="650"/>
      <c r="G404" s="654"/>
      <c r="H404" s="654"/>
      <c r="I404" s="650"/>
      <c r="J404" s="650"/>
      <c r="K404" s="655"/>
      <c r="L404" s="655"/>
      <c r="M404" s="655"/>
      <c r="N404" s="655"/>
      <c r="O404" s="655"/>
      <c r="P404" s="655"/>
      <c r="Q404" s="655"/>
      <c r="R404" s="655"/>
      <c r="S404" s="655"/>
      <c r="T404" s="655"/>
      <c r="U404" s="655"/>
      <c r="V404" s="655"/>
      <c r="W404" s="655"/>
      <c r="X404" s="655"/>
      <c r="Y404" s="655"/>
      <c r="Z404" s="655"/>
    </row>
    <row r="405">
      <c r="B405" s="462"/>
      <c r="C405" s="671"/>
      <c r="D405" s="462"/>
      <c r="E405" s="654"/>
      <c r="F405" s="650"/>
      <c r="G405" s="654"/>
      <c r="H405" s="654"/>
      <c r="I405" s="650"/>
      <c r="J405" s="650"/>
      <c r="K405" s="655"/>
      <c r="L405" s="655"/>
      <c r="M405" s="655"/>
      <c r="N405" s="655"/>
      <c r="O405" s="655"/>
      <c r="P405" s="655"/>
      <c r="Q405" s="655"/>
      <c r="R405" s="655"/>
      <c r="S405" s="655"/>
      <c r="T405" s="655"/>
      <c r="U405" s="655"/>
      <c r="V405" s="655"/>
      <c r="W405" s="655"/>
      <c r="X405" s="655"/>
      <c r="Y405" s="655"/>
      <c r="Z405" s="655"/>
    </row>
    <row r="406">
      <c r="B406" s="462"/>
      <c r="C406" s="671"/>
      <c r="D406" s="462"/>
      <c r="E406" s="654"/>
      <c r="F406" s="650"/>
      <c r="G406" s="654"/>
      <c r="H406" s="654"/>
      <c r="I406" s="650"/>
      <c r="J406" s="650"/>
      <c r="K406" s="655"/>
      <c r="L406" s="655"/>
      <c r="M406" s="655"/>
      <c r="N406" s="655"/>
      <c r="O406" s="655"/>
      <c r="P406" s="655"/>
      <c r="Q406" s="655"/>
      <c r="R406" s="655"/>
      <c r="S406" s="655"/>
      <c r="T406" s="655"/>
      <c r="U406" s="655"/>
      <c r="V406" s="655"/>
      <c r="W406" s="655"/>
      <c r="X406" s="655"/>
      <c r="Y406" s="655"/>
      <c r="Z406" s="655"/>
    </row>
    <row r="407">
      <c r="B407" s="462"/>
      <c r="C407" s="671"/>
      <c r="D407" s="462"/>
      <c r="E407" s="654"/>
      <c r="F407" s="650"/>
      <c r="G407" s="654"/>
      <c r="H407" s="654"/>
      <c r="I407" s="650"/>
      <c r="J407" s="650"/>
      <c r="K407" s="655"/>
      <c r="L407" s="655"/>
      <c r="M407" s="655"/>
      <c r="N407" s="655"/>
      <c r="O407" s="655"/>
      <c r="P407" s="655"/>
      <c r="Q407" s="655"/>
      <c r="R407" s="655"/>
      <c r="S407" s="655"/>
      <c r="T407" s="655"/>
      <c r="U407" s="655"/>
      <c r="V407" s="655"/>
      <c r="W407" s="655"/>
      <c r="X407" s="655"/>
      <c r="Y407" s="655"/>
      <c r="Z407" s="655"/>
    </row>
    <row r="408">
      <c r="B408" s="462"/>
      <c r="C408" s="671"/>
      <c r="D408" s="462"/>
      <c r="E408" s="654"/>
      <c r="F408" s="650"/>
      <c r="G408" s="654"/>
      <c r="H408" s="654"/>
      <c r="I408" s="650"/>
      <c r="J408" s="650"/>
      <c r="K408" s="655"/>
      <c r="L408" s="655"/>
      <c r="M408" s="655"/>
      <c r="N408" s="655"/>
      <c r="O408" s="655"/>
      <c r="P408" s="655"/>
      <c r="Q408" s="655"/>
      <c r="R408" s="655"/>
      <c r="S408" s="655"/>
      <c r="T408" s="655"/>
      <c r="U408" s="655"/>
      <c r="V408" s="655"/>
      <c r="W408" s="655"/>
      <c r="X408" s="655"/>
      <c r="Y408" s="655"/>
      <c r="Z408" s="655"/>
    </row>
    <row r="409">
      <c r="B409" s="462"/>
      <c r="C409" s="671"/>
      <c r="D409" s="462"/>
      <c r="E409" s="654"/>
      <c r="F409" s="650"/>
      <c r="G409" s="654"/>
      <c r="H409" s="654"/>
      <c r="I409" s="650"/>
      <c r="J409" s="650"/>
      <c r="K409" s="655"/>
      <c r="L409" s="655"/>
      <c r="M409" s="655"/>
      <c r="N409" s="655"/>
      <c r="O409" s="655"/>
      <c r="P409" s="655"/>
      <c r="Q409" s="655"/>
      <c r="R409" s="655"/>
      <c r="S409" s="655"/>
      <c r="T409" s="655"/>
      <c r="U409" s="655"/>
      <c r="V409" s="655"/>
      <c r="W409" s="655"/>
      <c r="X409" s="655"/>
      <c r="Y409" s="655"/>
      <c r="Z409" s="655"/>
    </row>
    <row r="410">
      <c r="B410" s="462"/>
      <c r="C410" s="671"/>
      <c r="D410" s="462"/>
      <c r="E410" s="654"/>
      <c r="F410" s="650"/>
      <c r="G410" s="654"/>
      <c r="H410" s="654"/>
      <c r="I410" s="650"/>
      <c r="J410" s="650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</row>
    <row r="411">
      <c r="B411" s="462"/>
      <c r="C411" s="671"/>
      <c r="D411" s="462"/>
      <c r="E411" s="654"/>
      <c r="F411" s="650"/>
      <c r="G411" s="654"/>
      <c r="H411" s="654"/>
      <c r="I411" s="650"/>
      <c r="J411" s="650"/>
      <c r="K411" s="655"/>
      <c r="L411" s="655"/>
      <c r="M411" s="655"/>
      <c r="N411" s="655"/>
      <c r="O411" s="655"/>
      <c r="P411" s="655"/>
      <c r="Q411" s="655"/>
      <c r="R411" s="655"/>
      <c r="S411" s="655"/>
      <c r="T411" s="655"/>
      <c r="U411" s="655"/>
      <c r="V411" s="655"/>
      <c r="W411" s="655"/>
      <c r="X411" s="655"/>
      <c r="Y411" s="655"/>
      <c r="Z411" s="655"/>
    </row>
    <row r="412">
      <c r="B412" s="462"/>
      <c r="C412" s="671"/>
      <c r="D412" s="462"/>
      <c r="E412" s="654"/>
      <c r="F412" s="650"/>
      <c r="G412" s="654"/>
      <c r="H412" s="654"/>
      <c r="I412" s="650"/>
      <c r="J412" s="650"/>
      <c r="K412" s="655"/>
      <c r="L412" s="655"/>
      <c r="M412" s="655"/>
      <c r="N412" s="655"/>
      <c r="O412" s="655"/>
      <c r="P412" s="655"/>
      <c r="Q412" s="655"/>
      <c r="R412" s="655"/>
      <c r="S412" s="655"/>
      <c r="T412" s="655"/>
      <c r="U412" s="655"/>
      <c r="V412" s="655"/>
      <c r="W412" s="655"/>
      <c r="X412" s="655"/>
      <c r="Y412" s="655"/>
      <c r="Z412" s="655"/>
    </row>
    <row r="413">
      <c r="B413" s="462"/>
      <c r="C413" s="671"/>
      <c r="D413" s="462"/>
      <c r="E413" s="654"/>
      <c r="F413" s="650"/>
      <c r="G413" s="654"/>
      <c r="H413" s="654"/>
      <c r="I413" s="650"/>
      <c r="J413" s="650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</row>
    <row r="414">
      <c r="B414" s="462"/>
      <c r="C414" s="671"/>
      <c r="D414" s="462"/>
      <c r="E414" s="654"/>
      <c r="F414" s="650"/>
      <c r="G414" s="654"/>
      <c r="H414" s="654"/>
      <c r="I414" s="650"/>
      <c r="J414" s="650"/>
      <c r="K414" s="655"/>
      <c r="L414" s="655"/>
      <c r="M414" s="655"/>
      <c r="N414" s="655"/>
      <c r="O414" s="655"/>
      <c r="P414" s="655"/>
      <c r="Q414" s="655"/>
      <c r="R414" s="655"/>
      <c r="S414" s="655"/>
      <c r="T414" s="655"/>
      <c r="U414" s="655"/>
      <c r="V414" s="655"/>
      <c r="W414" s="655"/>
      <c r="X414" s="655"/>
      <c r="Y414" s="655"/>
      <c r="Z414" s="655"/>
    </row>
    <row r="415">
      <c r="B415" s="462"/>
      <c r="C415" s="671"/>
      <c r="D415" s="462"/>
      <c r="E415" s="654"/>
      <c r="F415" s="650"/>
      <c r="G415" s="654"/>
      <c r="H415" s="654"/>
      <c r="I415" s="650"/>
      <c r="J415" s="650"/>
      <c r="K415" s="655"/>
      <c r="L415" s="655"/>
      <c r="M415" s="655"/>
      <c r="N415" s="655"/>
      <c r="O415" s="655"/>
      <c r="P415" s="655"/>
      <c r="Q415" s="655"/>
      <c r="R415" s="655"/>
      <c r="S415" s="655"/>
      <c r="T415" s="655"/>
      <c r="U415" s="655"/>
      <c r="V415" s="655"/>
      <c r="W415" s="655"/>
      <c r="X415" s="655"/>
      <c r="Y415" s="655"/>
      <c r="Z415" s="655"/>
    </row>
    <row r="416">
      <c r="B416" s="462"/>
      <c r="C416" s="671"/>
      <c r="D416" s="462"/>
      <c r="E416" s="654"/>
      <c r="F416" s="650"/>
      <c r="G416" s="654"/>
      <c r="H416" s="654"/>
      <c r="I416" s="650"/>
      <c r="J416" s="650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</row>
    <row r="417">
      <c r="B417" s="462"/>
      <c r="C417" s="671"/>
      <c r="D417" s="462"/>
      <c r="E417" s="654"/>
      <c r="F417" s="650"/>
      <c r="G417" s="654"/>
      <c r="H417" s="654"/>
      <c r="I417" s="650"/>
      <c r="J417" s="650"/>
      <c r="K417" s="655"/>
      <c r="L417" s="655"/>
      <c r="M417" s="655"/>
      <c r="N417" s="655"/>
      <c r="O417" s="655"/>
      <c r="P417" s="655"/>
      <c r="Q417" s="655"/>
      <c r="R417" s="655"/>
      <c r="S417" s="655"/>
      <c r="T417" s="655"/>
      <c r="U417" s="655"/>
      <c r="V417" s="655"/>
      <c r="W417" s="655"/>
      <c r="X417" s="655"/>
      <c r="Y417" s="655"/>
      <c r="Z417" s="655"/>
    </row>
    <row r="418">
      <c r="B418" s="462"/>
      <c r="C418" s="671"/>
      <c r="D418" s="462"/>
      <c r="E418" s="654"/>
      <c r="F418" s="650"/>
      <c r="G418" s="654"/>
      <c r="H418" s="654"/>
      <c r="I418" s="650"/>
      <c r="J418" s="650"/>
      <c r="K418" s="655"/>
      <c r="L418" s="655"/>
      <c r="M418" s="655"/>
      <c r="N418" s="655"/>
      <c r="O418" s="655"/>
      <c r="P418" s="655"/>
      <c r="Q418" s="655"/>
      <c r="R418" s="655"/>
      <c r="S418" s="655"/>
      <c r="T418" s="655"/>
      <c r="U418" s="655"/>
      <c r="V418" s="655"/>
      <c r="W418" s="655"/>
      <c r="X418" s="655"/>
      <c r="Y418" s="655"/>
      <c r="Z418" s="655"/>
    </row>
    <row r="419">
      <c r="B419" s="462"/>
      <c r="C419" s="671"/>
      <c r="D419" s="462"/>
      <c r="E419" s="654"/>
      <c r="F419" s="650"/>
      <c r="G419" s="654"/>
      <c r="H419" s="654"/>
      <c r="I419" s="650"/>
      <c r="J419" s="650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</row>
    <row r="420">
      <c r="B420" s="462"/>
      <c r="C420" s="671"/>
      <c r="D420" s="462"/>
      <c r="E420" s="654"/>
      <c r="F420" s="650"/>
      <c r="G420" s="654"/>
      <c r="H420" s="654"/>
      <c r="I420" s="650"/>
      <c r="J420" s="650"/>
      <c r="K420" s="655"/>
      <c r="L420" s="655"/>
      <c r="M420" s="655"/>
      <c r="N420" s="655"/>
      <c r="O420" s="655"/>
      <c r="P420" s="655"/>
      <c r="Q420" s="655"/>
      <c r="R420" s="655"/>
      <c r="S420" s="655"/>
      <c r="T420" s="655"/>
      <c r="U420" s="655"/>
      <c r="V420" s="655"/>
      <c r="W420" s="655"/>
      <c r="X420" s="655"/>
      <c r="Y420" s="655"/>
      <c r="Z420" s="655"/>
    </row>
    <row r="421">
      <c r="B421" s="462"/>
      <c r="C421" s="671"/>
      <c r="D421" s="462"/>
      <c r="E421" s="654"/>
      <c r="F421" s="650"/>
      <c r="G421" s="654"/>
      <c r="H421" s="654"/>
      <c r="I421" s="650"/>
      <c r="J421" s="650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</row>
    <row r="422">
      <c r="B422" s="462"/>
      <c r="C422" s="671"/>
      <c r="D422" s="462"/>
      <c r="E422" s="654"/>
      <c r="F422" s="650"/>
      <c r="G422" s="654"/>
      <c r="H422" s="654"/>
      <c r="I422" s="650"/>
      <c r="J422" s="650"/>
      <c r="K422" s="655"/>
      <c r="L422" s="655"/>
      <c r="M422" s="655"/>
      <c r="N422" s="655"/>
      <c r="O422" s="655"/>
      <c r="P422" s="655"/>
      <c r="Q422" s="655"/>
      <c r="R422" s="655"/>
      <c r="S422" s="655"/>
      <c r="T422" s="655"/>
      <c r="U422" s="655"/>
      <c r="V422" s="655"/>
      <c r="W422" s="655"/>
      <c r="X422" s="655"/>
      <c r="Y422" s="655"/>
      <c r="Z422" s="655"/>
    </row>
    <row r="423">
      <c r="B423" s="462"/>
      <c r="C423" s="671"/>
      <c r="D423" s="462"/>
      <c r="E423" s="654"/>
      <c r="F423" s="650"/>
      <c r="G423" s="654"/>
      <c r="H423" s="654"/>
      <c r="I423" s="650"/>
      <c r="J423" s="650"/>
      <c r="K423" s="655"/>
      <c r="L423" s="655"/>
      <c r="M423" s="655"/>
      <c r="N423" s="655"/>
      <c r="O423" s="655"/>
      <c r="P423" s="655"/>
      <c r="Q423" s="655"/>
      <c r="R423" s="655"/>
      <c r="S423" s="655"/>
      <c r="T423" s="655"/>
      <c r="U423" s="655"/>
      <c r="V423" s="655"/>
      <c r="W423" s="655"/>
      <c r="X423" s="655"/>
      <c r="Y423" s="655"/>
      <c r="Z423" s="655"/>
    </row>
    <row r="424">
      <c r="B424" s="462"/>
      <c r="C424" s="671"/>
      <c r="D424" s="462"/>
      <c r="E424" s="654"/>
      <c r="F424" s="650"/>
      <c r="G424" s="654"/>
      <c r="H424" s="654"/>
      <c r="I424" s="650"/>
      <c r="J424" s="650"/>
      <c r="K424" s="655"/>
      <c r="L424" s="655"/>
      <c r="M424" s="655"/>
      <c r="N424" s="655"/>
      <c r="O424" s="655"/>
      <c r="P424" s="655"/>
      <c r="Q424" s="655"/>
      <c r="R424" s="655"/>
      <c r="S424" s="655"/>
      <c r="T424" s="655"/>
      <c r="U424" s="655"/>
      <c r="V424" s="655"/>
      <c r="W424" s="655"/>
      <c r="X424" s="655"/>
      <c r="Y424" s="655"/>
      <c r="Z424" s="655"/>
    </row>
    <row r="425">
      <c r="B425" s="462"/>
      <c r="C425" s="671"/>
      <c r="D425" s="462"/>
      <c r="E425" s="654"/>
      <c r="F425" s="650"/>
      <c r="G425" s="654"/>
      <c r="H425" s="654"/>
      <c r="I425" s="650"/>
      <c r="J425" s="650"/>
      <c r="K425" s="655"/>
      <c r="L425" s="655"/>
      <c r="M425" s="655"/>
      <c r="N425" s="655"/>
      <c r="O425" s="655"/>
      <c r="P425" s="655"/>
      <c r="Q425" s="655"/>
      <c r="R425" s="655"/>
      <c r="S425" s="655"/>
      <c r="T425" s="655"/>
      <c r="U425" s="655"/>
      <c r="V425" s="655"/>
      <c r="W425" s="655"/>
      <c r="X425" s="655"/>
      <c r="Y425" s="655"/>
      <c r="Z425" s="655"/>
    </row>
    <row r="426">
      <c r="B426" s="462"/>
      <c r="C426" s="671"/>
      <c r="D426" s="462"/>
      <c r="E426" s="654"/>
      <c r="F426" s="650"/>
      <c r="G426" s="654"/>
      <c r="H426" s="654"/>
      <c r="I426" s="650"/>
      <c r="J426" s="650"/>
      <c r="K426" s="655"/>
      <c r="L426" s="655"/>
      <c r="M426" s="655"/>
      <c r="N426" s="655"/>
      <c r="O426" s="655"/>
      <c r="P426" s="655"/>
      <c r="Q426" s="655"/>
      <c r="R426" s="655"/>
      <c r="S426" s="655"/>
      <c r="T426" s="655"/>
      <c r="U426" s="655"/>
      <c r="V426" s="655"/>
      <c r="W426" s="655"/>
      <c r="X426" s="655"/>
      <c r="Y426" s="655"/>
      <c r="Z426" s="655"/>
    </row>
    <row r="427">
      <c r="B427" s="462"/>
      <c r="C427" s="671"/>
      <c r="D427" s="462"/>
      <c r="E427" s="654"/>
      <c r="F427" s="650"/>
      <c r="G427" s="654"/>
      <c r="H427" s="654"/>
      <c r="I427" s="650"/>
      <c r="J427" s="650"/>
      <c r="K427" s="655"/>
      <c r="L427" s="655"/>
      <c r="M427" s="655"/>
      <c r="N427" s="655"/>
      <c r="O427" s="655"/>
      <c r="P427" s="655"/>
      <c r="Q427" s="655"/>
      <c r="R427" s="655"/>
      <c r="S427" s="655"/>
      <c r="T427" s="655"/>
      <c r="U427" s="655"/>
      <c r="V427" s="655"/>
      <c r="W427" s="655"/>
      <c r="X427" s="655"/>
      <c r="Y427" s="655"/>
      <c r="Z427" s="655"/>
    </row>
    <row r="428">
      <c r="B428" s="462"/>
      <c r="C428" s="671"/>
      <c r="D428" s="462"/>
      <c r="E428" s="654"/>
      <c r="F428" s="650"/>
      <c r="G428" s="654"/>
      <c r="H428" s="654"/>
      <c r="I428" s="650"/>
      <c r="J428" s="650"/>
      <c r="K428" s="655"/>
      <c r="L428" s="655"/>
      <c r="M428" s="655"/>
      <c r="N428" s="655"/>
      <c r="O428" s="655"/>
      <c r="P428" s="655"/>
      <c r="Q428" s="655"/>
      <c r="R428" s="655"/>
      <c r="S428" s="655"/>
      <c r="T428" s="655"/>
      <c r="U428" s="655"/>
      <c r="V428" s="655"/>
      <c r="W428" s="655"/>
      <c r="X428" s="655"/>
      <c r="Y428" s="655"/>
      <c r="Z428" s="655"/>
    </row>
    <row r="429">
      <c r="B429" s="462"/>
      <c r="C429" s="671"/>
      <c r="D429" s="462"/>
      <c r="E429" s="654"/>
      <c r="F429" s="650"/>
      <c r="G429" s="654"/>
      <c r="H429" s="654"/>
      <c r="I429" s="650"/>
      <c r="J429" s="650"/>
      <c r="K429" s="655"/>
      <c r="L429" s="655"/>
      <c r="M429" s="655"/>
      <c r="N429" s="655"/>
      <c r="O429" s="655"/>
      <c r="P429" s="655"/>
      <c r="Q429" s="655"/>
      <c r="R429" s="655"/>
      <c r="S429" s="655"/>
      <c r="T429" s="655"/>
      <c r="U429" s="655"/>
      <c r="V429" s="655"/>
      <c r="W429" s="655"/>
      <c r="X429" s="655"/>
      <c r="Y429" s="655"/>
      <c r="Z429" s="655"/>
    </row>
    <row r="430">
      <c r="B430" s="462"/>
      <c r="C430" s="671"/>
      <c r="D430" s="462"/>
      <c r="E430" s="654"/>
      <c r="F430" s="650"/>
      <c r="G430" s="654"/>
      <c r="H430" s="654"/>
      <c r="I430" s="650"/>
      <c r="J430" s="650"/>
      <c r="K430" s="655"/>
      <c r="L430" s="655"/>
      <c r="M430" s="655"/>
      <c r="N430" s="655"/>
      <c r="O430" s="655"/>
      <c r="P430" s="655"/>
      <c r="Q430" s="655"/>
      <c r="R430" s="655"/>
      <c r="S430" s="655"/>
      <c r="T430" s="655"/>
      <c r="U430" s="655"/>
      <c r="V430" s="655"/>
      <c r="W430" s="655"/>
      <c r="X430" s="655"/>
      <c r="Y430" s="655"/>
      <c r="Z430" s="655"/>
    </row>
    <row r="431">
      <c r="B431" s="462"/>
      <c r="C431" s="671"/>
      <c r="D431" s="462"/>
      <c r="E431" s="654"/>
      <c r="F431" s="650"/>
      <c r="G431" s="654"/>
      <c r="H431" s="654"/>
      <c r="I431" s="650"/>
      <c r="J431" s="650"/>
      <c r="K431" s="655"/>
      <c r="L431" s="655"/>
      <c r="M431" s="655"/>
      <c r="N431" s="655"/>
      <c r="O431" s="655"/>
      <c r="P431" s="655"/>
      <c r="Q431" s="655"/>
      <c r="R431" s="655"/>
      <c r="S431" s="655"/>
      <c r="T431" s="655"/>
      <c r="U431" s="655"/>
      <c r="V431" s="655"/>
      <c r="W431" s="655"/>
      <c r="X431" s="655"/>
      <c r="Y431" s="655"/>
      <c r="Z431" s="655"/>
    </row>
    <row r="432">
      <c r="B432" s="462"/>
      <c r="C432" s="671"/>
      <c r="D432" s="462"/>
      <c r="E432" s="654"/>
      <c r="F432" s="650"/>
      <c r="G432" s="654"/>
      <c r="H432" s="654"/>
      <c r="I432" s="650"/>
      <c r="J432" s="650"/>
      <c r="K432" s="655"/>
      <c r="L432" s="655"/>
      <c r="M432" s="655"/>
      <c r="N432" s="655"/>
      <c r="O432" s="655"/>
      <c r="P432" s="655"/>
      <c r="Q432" s="655"/>
      <c r="R432" s="655"/>
      <c r="S432" s="655"/>
      <c r="T432" s="655"/>
      <c r="U432" s="655"/>
      <c r="V432" s="655"/>
      <c r="W432" s="655"/>
      <c r="X432" s="655"/>
      <c r="Y432" s="655"/>
      <c r="Z432" s="655"/>
    </row>
    <row r="433">
      <c r="B433" s="462"/>
      <c r="C433" s="671"/>
      <c r="D433" s="462"/>
      <c r="E433" s="654"/>
      <c r="F433" s="650"/>
      <c r="G433" s="654"/>
      <c r="H433" s="654"/>
      <c r="I433" s="650"/>
      <c r="J433" s="650"/>
      <c r="K433" s="655"/>
      <c r="L433" s="655"/>
      <c r="M433" s="655"/>
      <c r="N433" s="655"/>
      <c r="O433" s="655"/>
      <c r="P433" s="655"/>
      <c r="Q433" s="655"/>
      <c r="R433" s="655"/>
      <c r="S433" s="655"/>
      <c r="T433" s="655"/>
      <c r="U433" s="655"/>
      <c r="V433" s="655"/>
      <c r="W433" s="655"/>
      <c r="X433" s="655"/>
      <c r="Y433" s="655"/>
      <c r="Z433" s="655"/>
    </row>
    <row r="434">
      <c r="B434" s="462"/>
      <c r="C434" s="671"/>
      <c r="D434" s="462"/>
      <c r="E434" s="654"/>
      <c r="F434" s="650"/>
      <c r="G434" s="654"/>
      <c r="H434" s="654"/>
      <c r="I434" s="650"/>
      <c r="J434" s="650"/>
      <c r="K434" s="655"/>
      <c r="L434" s="655"/>
      <c r="M434" s="655"/>
      <c r="N434" s="655"/>
      <c r="O434" s="655"/>
      <c r="P434" s="655"/>
      <c r="Q434" s="655"/>
      <c r="R434" s="655"/>
      <c r="S434" s="655"/>
      <c r="T434" s="655"/>
      <c r="U434" s="655"/>
      <c r="V434" s="655"/>
      <c r="W434" s="655"/>
      <c r="X434" s="655"/>
      <c r="Y434" s="655"/>
      <c r="Z434" s="655"/>
    </row>
    <row r="435">
      <c r="B435" s="462"/>
      <c r="C435" s="671"/>
      <c r="D435" s="462"/>
      <c r="E435" s="654"/>
      <c r="F435" s="650"/>
      <c r="G435" s="654"/>
      <c r="H435" s="654"/>
      <c r="I435" s="650"/>
      <c r="J435" s="650"/>
      <c r="K435" s="655"/>
      <c r="L435" s="655"/>
      <c r="M435" s="655"/>
      <c r="N435" s="655"/>
      <c r="O435" s="655"/>
      <c r="P435" s="655"/>
      <c r="Q435" s="655"/>
      <c r="R435" s="655"/>
      <c r="S435" s="655"/>
      <c r="T435" s="655"/>
      <c r="U435" s="655"/>
      <c r="V435" s="655"/>
      <c r="W435" s="655"/>
      <c r="X435" s="655"/>
      <c r="Y435" s="655"/>
      <c r="Z435" s="655"/>
    </row>
    <row r="436">
      <c r="B436" s="462"/>
      <c r="C436" s="671"/>
      <c r="D436" s="462"/>
      <c r="E436" s="654"/>
      <c r="F436" s="650"/>
      <c r="G436" s="654"/>
      <c r="H436" s="654"/>
      <c r="I436" s="650"/>
      <c r="J436" s="650"/>
      <c r="K436" s="655"/>
      <c r="L436" s="655"/>
      <c r="M436" s="655"/>
      <c r="N436" s="655"/>
      <c r="O436" s="655"/>
      <c r="P436" s="655"/>
      <c r="Q436" s="655"/>
      <c r="R436" s="655"/>
      <c r="S436" s="655"/>
      <c r="T436" s="655"/>
      <c r="U436" s="655"/>
      <c r="V436" s="655"/>
      <c r="W436" s="655"/>
      <c r="X436" s="655"/>
      <c r="Y436" s="655"/>
      <c r="Z436" s="655"/>
    </row>
    <row r="437">
      <c r="B437" s="462"/>
      <c r="C437" s="671"/>
      <c r="D437" s="462"/>
      <c r="E437" s="654"/>
      <c r="F437" s="650"/>
      <c r="G437" s="654"/>
      <c r="H437" s="654"/>
      <c r="I437" s="650"/>
      <c r="J437" s="650"/>
      <c r="K437" s="655"/>
      <c r="L437" s="655"/>
      <c r="M437" s="655"/>
      <c r="N437" s="655"/>
      <c r="O437" s="655"/>
      <c r="P437" s="655"/>
      <c r="Q437" s="655"/>
      <c r="R437" s="655"/>
      <c r="S437" s="655"/>
      <c r="T437" s="655"/>
      <c r="U437" s="655"/>
      <c r="V437" s="655"/>
      <c r="W437" s="655"/>
      <c r="X437" s="655"/>
      <c r="Y437" s="655"/>
      <c r="Z437" s="655"/>
    </row>
    <row r="438">
      <c r="B438" s="462"/>
      <c r="C438" s="671"/>
      <c r="D438" s="462"/>
      <c r="E438" s="654"/>
      <c r="F438" s="650"/>
      <c r="G438" s="654"/>
      <c r="H438" s="654"/>
      <c r="I438" s="650"/>
      <c r="J438" s="650"/>
      <c r="K438" s="655"/>
      <c r="L438" s="655"/>
      <c r="M438" s="655"/>
      <c r="N438" s="655"/>
      <c r="O438" s="655"/>
      <c r="P438" s="655"/>
      <c r="Q438" s="655"/>
      <c r="R438" s="655"/>
      <c r="S438" s="655"/>
      <c r="T438" s="655"/>
      <c r="U438" s="655"/>
      <c r="V438" s="655"/>
      <c r="W438" s="655"/>
      <c r="X438" s="655"/>
      <c r="Y438" s="655"/>
      <c r="Z438" s="655"/>
    </row>
    <row r="439">
      <c r="B439" s="462"/>
      <c r="C439" s="671"/>
      <c r="D439" s="462"/>
      <c r="E439" s="654"/>
      <c r="F439" s="650"/>
      <c r="G439" s="654"/>
      <c r="H439" s="654"/>
      <c r="I439" s="650"/>
      <c r="J439" s="650"/>
      <c r="K439" s="655"/>
      <c r="L439" s="655"/>
      <c r="M439" s="655"/>
      <c r="N439" s="655"/>
      <c r="O439" s="655"/>
      <c r="P439" s="655"/>
      <c r="Q439" s="655"/>
      <c r="R439" s="655"/>
      <c r="S439" s="655"/>
      <c r="T439" s="655"/>
      <c r="U439" s="655"/>
      <c r="V439" s="655"/>
      <c r="W439" s="655"/>
      <c r="X439" s="655"/>
      <c r="Y439" s="655"/>
      <c r="Z439" s="655"/>
    </row>
    <row r="440">
      <c r="B440" s="462"/>
      <c r="C440" s="671"/>
      <c r="D440" s="462"/>
      <c r="E440" s="654"/>
      <c r="F440" s="650"/>
      <c r="G440" s="654"/>
      <c r="H440" s="654"/>
      <c r="I440" s="650"/>
      <c r="J440" s="650"/>
      <c r="K440" s="655"/>
      <c r="L440" s="655"/>
      <c r="M440" s="655"/>
      <c r="N440" s="655"/>
      <c r="O440" s="655"/>
      <c r="P440" s="655"/>
      <c r="Q440" s="655"/>
      <c r="R440" s="655"/>
      <c r="S440" s="655"/>
      <c r="T440" s="655"/>
      <c r="U440" s="655"/>
      <c r="V440" s="655"/>
      <c r="W440" s="655"/>
      <c r="X440" s="655"/>
      <c r="Y440" s="655"/>
      <c r="Z440" s="655"/>
    </row>
    <row r="441">
      <c r="B441" s="462"/>
      <c r="C441" s="671"/>
      <c r="D441" s="462"/>
      <c r="E441" s="654"/>
      <c r="F441" s="650"/>
      <c r="G441" s="654"/>
      <c r="H441" s="654"/>
      <c r="I441" s="650"/>
      <c r="J441" s="650"/>
      <c r="K441" s="655"/>
      <c r="L441" s="655"/>
      <c r="M441" s="655"/>
      <c r="N441" s="655"/>
      <c r="O441" s="655"/>
      <c r="P441" s="655"/>
      <c r="Q441" s="655"/>
      <c r="R441" s="655"/>
      <c r="S441" s="655"/>
      <c r="T441" s="655"/>
      <c r="U441" s="655"/>
      <c r="V441" s="655"/>
      <c r="W441" s="655"/>
      <c r="X441" s="655"/>
      <c r="Y441" s="655"/>
      <c r="Z441" s="655"/>
    </row>
    <row r="442">
      <c r="B442" s="462"/>
      <c r="C442" s="671"/>
      <c r="D442" s="462"/>
      <c r="E442" s="654"/>
      <c r="F442" s="650"/>
      <c r="G442" s="654"/>
      <c r="H442" s="654"/>
      <c r="I442" s="650"/>
      <c r="J442" s="650"/>
      <c r="K442" s="655"/>
      <c r="L442" s="655"/>
      <c r="M442" s="655"/>
      <c r="N442" s="655"/>
      <c r="O442" s="655"/>
      <c r="P442" s="655"/>
      <c r="Q442" s="655"/>
      <c r="R442" s="655"/>
      <c r="S442" s="655"/>
      <c r="T442" s="655"/>
      <c r="U442" s="655"/>
      <c r="V442" s="655"/>
      <c r="W442" s="655"/>
      <c r="X442" s="655"/>
      <c r="Y442" s="655"/>
      <c r="Z442" s="655"/>
    </row>
    <row r="443">
      <c r="B443" s="462"/>
      <c r="C443" s="671"/>
      <c r="D443" s="462"/>
      <c r="E443" s="654"/>
      <c r="F443" s="650"/>
      <c r="G443" s="654"/>
      <c r="H443" s="654"/>
      <c r="I443" s="650"/>
      <c r="J443" s="650"/>
      <c r="K443" s="655"/>
      <c r="L443" s="655"/>
      <c r="M443" s="655"/>
      <c r="N443" s="655"/>
      <c r="O443" s="655"/>
      <c r="P443" s="655"/>
      <c r="Q443" s="655"/>
      <c r="R443" s="655"/>
      <c r="S443" s="655"/>
      <c r="T443" s="655"/>
      <c r="U443" s="655"/>
      <c r="V443" s="655"/>
      <c r="W443" s="655"/>
      <c r="X443" s="655"/>
      <c r="Y443" s="655"/>
      <c r="Z443" s="655"/>
    </row>
    <row r="444">
      <c r="B444" s="462"/>
      <c r="C444" s="671"/>
      <c r="D444" s="462"/>
      <c r="E444" s="654"/>
      <c r="F444" s="650"/>
      <c r="G444" s="654"/>
      <c r="H444" s="654"/>
      <c r="I444" s="650"/>
      <c r="J444" s="650"/>
      <c r="K444" s="655"/>
      <c r="L444" s="655"/>
      <c r="M444" s="655"/>
      <c r="N444" s="655"/>
      <c r="O444" s="655"/>
      <c r="P444" s="655"/>
      <c r="Q444" s="655"/>
      <c r="R444" s="655"/>
      <c r="S444" s="655"/>
      <c r="T444" s="655"/>
      <c r="U444" s="655"/>
      <c r="V444" s="655"/>
      <c r="W444" s="655"/>
      <c r="X444" s="655"/>
      <c r="Y444" s="655"/>
      <c r="Z444" s="655"/>
    </row>
    <row r="445">
      <c r="B445" s="462"/>
      <c r="C445" s="671"/>
      <c r="D445" s="462"/>
      <c r="E445" s="654"/>
      <c r="F445" s="650"/>
      <c r="G445" s="654"/>
      <c r="H445" s="654"/>
      <c r="I445" s="650"/>
      <c r="J445" s="650"/>
      <c r="K445" s="655"/>
      <c r="L445" s="655"/>
      <c r="M445" s="655"/>
      <c r="N445" s="655"/>
      <c r="O445" s="655"/>
      <c r="P445" s="655"/>
      <c r="Q445" s="655"/>
      <c r="R445" s="655"/>
      <c r="S445" s="655"/>
      <c r="T445" s="655"/>
      <c r="U445" s="655"/>
      <c r="V445" s="655"/>
      <c r="W445" s="655"/>
      <c r="X445" s="655"/>
      <c r="Y445" s="655"/>
      <c r="Z445" s="655"/>
    </row>
    <row r="446">
      <c r="B446" s="462"/>
      <c r="C446" s="671"/>
      <c r="D446" s="462"/>
      <c r="E446" s="654"/>
      <c r="F446" s="650"/>
      <c r="G446" s="654"/>
      <c r="H446" s="654"/>
      <c r="I446" s="650"/>
      <c r="J446" s="650"/>
      <c r="K446" s="655"/>
      <c r="L446" s="655"/>
      <c r="M446" s="655"/>
      <c r="N446" s="655"/>
      <c r="O446" s="655"/>
      <c r="P446" s="655"/>
      <c r="Q446" s="655"/>
      <c r="R446" s="655"/>
      <c r="S446" s="655"/>
      <c r="T446" s="655"/>
      <c r="U446" s="655"/>
      <c r="V446" s="655"/>
      <c r="W446" s="655"/>
      <c r="X446" s="655"/>
      <c r="Y446" s="655"/>
      <c r="Z446" s="655"/>
    </row>
    <row r="447">
      <c r="B447" s="462"/>
      <c r="C447" s="671"/>
      <c r="D447" s="462"/>
      <c r="E447" s="654"/>
      <c r="F447" s="650"/>
      <c r="G447" s="654"/>
      <c r="H447" s="654"/>
      <c r="I447" s="650"/>
      <c r="J447" s="650"/>
      <c r="K447" s="655"/>
      <c r="L447" s="655"/>
      <c r="M447" s="655"/>
      <c r="N447" s="655"/>
      <c r="O447" s="655"/>
      <c r="P447" s="655"/>
      <c r="Q447" s="655"/>
      <c r="R447" s="655"/>
      <c r="S447" s="655"/>
      <c r="T447" s="655"/>
      <c r="U447" s="655"/>
      <c r="V447" s="655"/>
      <c r="W447" s="655"/>
      <c r="X447" s="655"/>
      <c r="Y447" s="655"/>
      <c r="Z447" s="655"/>
    </row>
    <row r="448">
      <c r="B448" s="462"/>
      <c r="C448" s="671"/>
      <c r="D448" s="462"/>
      <c r="E448" s="654"/>
      <c r="F448" s="650"/>
      <c r="G448" s="654"/>
      <c r="H448" s="654"/>
      <c r="I448" s="650"/>
      <c r="J448" s="650"/>
      <c r="K448" s="655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</row>
    <row r="449">
      <c r="B449" s="462"/>
      <c r="C449" s="671"/>
      <c r="D449" s="462"/>
      <c r="E449" s="654"/>
      <c r="F449" s="650"/>
      <c r="G449" s="654"/>
      <c r="H449" s="654"/>
      <c r="I449" s="650"/>
      <c r="J449" s="650"/>
      <c r="K449" s="655"/>
      <c r="L449" s="655"/>
      <c r="M449" s="655"/>
      <c r="N449" s="655"/>
      <c r="O449" s="655"/>
      <c r="P449" s="655"/>
      <c r="Q449" s="655"/>
      <c r="R449" s="655"/>
      <c r="S449" s="655"/>
      <c r="T449" s="655"/>
      <c r="U449" s="655"/>
      <c r="V449" s="655"/>
      <c r="W449" s="655"/>
      <c r="X449" s="655"/>
      <c r="Y449" s="655"/>
      <c r="Z449" s="655"/>
    </row>
    <row r="450">
      <c r="B450" s="462"/>
      <c r="C450" s="671"/>
      <c r="D450" s="462"/>
      <c r="E450" s="654"/>
      <c r="F450" s="650"/>
      <c r="G450" s="654"/>
      <c r="H450" s="654"/>
      <c r="I450" s="650"/>
      <c r="J450" s="650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</row>
    <row r="451">
      <c r="B451" s="462"/>
      <c r="C451" s="671"/>
      <c r="D451" s="462"/>
      <c r="E451" s="654"/>
      <c r="F451" s="650"/>
      <c r="G451" s="654"/>
      <c r="H451" s="654"/>
      <c r="I451" s="650"/>
      <c r="J451" s="650"/>
      <c r="K451" s="655"/>
      <c r="L451" s="655"/>
      <c r="M451" s="655"/>
      <c r="N451" s="655"/>
      <c r="O451" s="655"/>
      <c r="P451" s="655"/>
      <c r="Q451" s="655"/>
      <c r="R451" s="655"/>
      <c r="S451" s="655"/>
      <c r="T451" s="655"/>
      <c r="U451" s="655"/>
      <c r="V451" s="655"/>
      <c r="W451" s="655"/>
      <c r="X451" s="655"/>
      <c r="Y451" s="655"/>
      <c r="Z451" s="655"/>
    </row>
    <row r="452">
      <c r="B452" s="462"/>
      <c r="C452" s="671"/>
      <c r="D452" s="462"/>
      <c r="E452" s="654"/>
      <c r="F452" s="650"/>
      <c r="G452" s="654"/>
      <c r="H452" s="654"/>
      <c r="I452" s="650"/>
      <c r="J452" s="650"/>
      <c r="K452" s="655"/>
      <c r="L452" s="655"/>
      <c r="M452" s="655"/>
      <c r="N452" s="655"/>
      <c r="O452" s="655"/>
      <c r="P452" s="655"/>
      <c r="Q452" s="655"/>
      <c r="R452" s="655"/>
      <c r="S452" s="655"/>
      <c r="T452" s="655"/>
      <c r="U452" s="655"/>
      <c r="V452" s="655"/>
      <c r="W452" s="655"/>
      <c r="X452" s="655"/>
      <c r="Y452" s="655"/>
      <c r="Z452" s="655"/>
    </row>
    <row r="453">
      <c r="B453" s="462"/>
      <c r="C453" s="671"/>
      <c r="D453" s="462"/>
      <c r="E453" s="654"/>
      <c r="F453" s="650"/>
      <c r="G453" s="654"/>
      <c r="H453" s="654"/>
      <c r="I453" s="650"/>
      <c r="J453" s="650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</row>
    <row r="454">
      <c r="B454" s="462"/>
      <c r="C454" s="671"/>
      <c r="D454" s="462"/>
      <c r="E454" s="654"/>
      <c r="F454" s="650"/>
      <c r="G454" s="654"/>
      <c r="H454" s="654"/>
      <c r="I454" s="650"/>
      <c r="J454" s="650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</row>
    <row r="455">
      <c r="B455" s="462"/>
      <c r="C455" s="671"/>
      <c r="D455" s="462"/>
      <c r="E455" s="654"/>
      <c r="F455" s="650"/>
      <c r="G455" s="654"/>
      <c r="H455" s="654"/>
      <c r="I455" s="650"/>
      <c r="J455" s="650"/>
      <c r="K455" s="655"/>
      <c r="L455" s="655"/>
      <c r="M455" s="655"/>
      <c r="N455" s="655"/>
      <c r="O455" s="655"/>
      <c r="P455" s="655"/>
      <c r="Q455" s="655"/>
      <c r="R455" s="655"/>
      <c r="S455" s="655"/>
      <c r="T455" s="655"/>
      <c r="U455" s="655"/>
      <c r="V455" s="655"/>
      <c r="W455" s="655"/>
      <c r="X455" s="655"/>
      <c r="Y455" s="655"/>
      <c r="Z455" s="655"/>
    </row>
    <row r="456">
      <c r="B456" s="462"/>
      <c r="C456" s="671"/>
      <c r="D456" s="462"/>
      <c r="E456" s="654"/>
      <c r="F456" s="650"/>
      <c r="G456" s="654"/>
      <c r="H456" s="654"/>
      <c r="I456" s="650"/>
      <c r="J456" s="650"/>
      <c r="K456" s="655"/>
      <c r="L456" s="655"/>
      <c r="M456" s="655"/>
      <c r="N456" s="655"/>
      <c r="O456" s="655"/>
      <c r="P456" s="655"/>
      <c r="Q456" s="655"/>
      <c r="R456" s="655"/>
      <c r="S456" s="655"/>
      <c r="T456" s="655"/>
      <c r="U456" s="655"/>
      <c r="V456" s="655"/>
      <c r="W456" s="655"/>
      <c r="X456" s="655"/>
      <c r="Y456" s="655"/>
      <c r="Z456" s="655"/>
    </row>
    <row r="457">
      <c r="B457" s="462"/>
      <c r="C457" s="671"/>
      <c r="D457" s="462"/>
      <c r="E457" s="654"/>
      <c r="F457" s="650"/>
      <c r="G457" s="654"/>
      <c r="H457" s="654"/>
      <c r="I457" s="650"/>
      <c r="J457" s="650"/>
      <c r="K457" s="655"/>
      <c r="L457" s="655"/>
      <c r="M457" s="655"/>
      <c r="N457" s="655"/>
      <c r="O457" s="655"/>
      <c r="P457" s="655"/>
      <c r="Q457" s="655"/>
      <c r="R457" s="655"/>
      <c r="S457" s="655"/>
      <c r="T457" s="655"/>
      <c r="U457" s="655"/>
      <c r="V457" s="655"/>
      <c r="W457" s="655"/>
      <c r="X457" s="655"/>
      <c r="Y457" s="655"/>
      <c r="Z457" s="655"/>
    </row>
    <row r="458">
      <c r="B458" s="462"/>
      <c r="C458" s="671"/>
      <c r="D458" s="462"/>
      <c r="E458" s="654"/>
      <c r="F458" s="650"/>
      <c r="G458" s="654"/>
      <c r="H458" s="654"/>
      <c r="I458" s="650"/>
      <c r="J458" s="650"/>
      <c r="K458" s="655"/>
      <c r="L458" s="655"/>
      <c r="M458" s="655"/>
      <c r="N458" s="655"/>
      <c r="O458" s="655"/>
      <c r="P458" s="655"/>
      <c r="Q458" s="655"/>
      <c r="R458" s="655"/>
      <c r="S458" s="655"/>
      <c r="T458" s="655"/>
      <c r="U458" s="655"/>
      <c r="V458" s="655"/>
      <c r="W458" s="655"/>
      <c r="X458" s="655"/>
      <c r="Y458" s="655"/>
      <c r="Z458" s="655"/>
    </row>
    <row r="459">
      <c r="B459" s="462"/>
      <c r="C459" s="671"/>
      <c r="D459" s="462"/>
      <c r="E459" s="654"/>
      <c r="F459" s="650"/>
      <c r="G459" s="654"/>
      <c r="H459" s="654"/>
      <c r="I459" s="650"/>
      <c r="J459" s="650"/>
      <c r="K459" s="655"/>
      <c r="L459" s="655"/>
      <c r="M459" s="655"/>
      <c r="N459" s="655"/>
      <c r="O459" s="655"/>
      <c r="P459" s="655"/>
      <c r="Q459" s="655"/>
      <c r="R459" s="655"/>
      <c r="S459" s="655"/>
      <c r="T459" s="655"/>
      <c r="U459" s="655"/>
      <c r="V459" s="655"/>
      <c r="W459" s="655"/>
      <c r="X459" s="655"/>
      <c r="Y459" s="655"/>
      <c r="Z459" s="655"/>
    </row>
    <row r="460">
      <c r="B460" s="462"/>
      <c r="C460" s="671"/>
      <c r="D460" s="462"/>
      <c r="E460" s="654"/>
      <c r="F460" s="650"/>
      <c r="G460" s="654"/>
      <c r="H460" s="654"/>
      <c r="I460" s="650"/>
      <c r="J460" s="650"/>
      <c r="K460" s="655"/>
      <c r="L460" s="655"/>
      <c r="M460" s="655"/>
      <c r="N460" s="655"/>
      <c r="O460" s="655"/>
      <c r="P460" s="655"/>
      <c r="Q460" s="655"/>
      <c r="R460" s="655"/>
      <c r="S460" s="655"/>
      <c r="T460" s="655"/>
      <c r="U460" s="655"/>
      <c r="V460" s="655"/>
      <c r="W460" s="655"/>
      <c r="X460" s="655"/>
      <c r="Y460" s="655"/>
      <c r="Z460" s="655"/>
    </row>
    <row r="461">
      <c r="B461" s="462"/>
      <c r="C461" s="671"/>
      <c r="D461" s="462"/>
      <c r="E461" s="654"/>
      <c r="F461" s="650"/>
      <c r="G461" s="654"/>
      <c r="H461" s="654"/>
      <c r="I461" s="650"/>
      <c r="J461" s="650"/>
      <c r="K461" s="655"/>
      <c r="L461" s="655"/>
      <c r="M461" s="655"/>
      <c r="N461" s="655"/>
      <c r="O461" s="655"/>
      <c r="P461" s="655"/>
      <c r="Q461" s="655"/>
      <c r="R461" s="655"/>
      <c r="S461" s="655"/>
      <c r="T461" s="655"/>
      <c r="U461" s="655"/>
      <c r="V461" s="655"/>
      <c r="W461" s="655"/>
      <c r="X461" s="655"/>
      <c r="Y461" s="655"/>
      <c r="Z461" s="655"/>
    </row>
    <row r="462">
      <c r="B462" s="462"/>
      <c r="C462" s="671"/>
      <c r="D462" s="462"/>
      <c r="E462" s="654"/>
      <c r="F462" s="650"/>
      <c r="G462" s="654"/>
      <c r="H462" s="654"/>
      <c r="I462" s="650"/>
      <c r="J462" s="650"/>
      <c r="K462" s="655"/>
      <c r="L462" s="655"/>
      <c r="M462" s="655"/>
      <c r="N462" s="655"/>
      <c r="O462" s="655"/>
      <c r="P462" s="655"/>
      <c r="Q462" s="655"/>
      <c r="R462" s="655"/>
      <c r="S462" s="655"/>
      <c r="T462" s="655"/>
      <c r="U462" s="655"/>
      <c r="V462" s="655"/>
      <c r="W462" s="655"/>
      <c r="X462" s="655"/>
      <c r="Y462" s="655"/>
      <c r="Z462" s="655"/>
    </row>
    <row r="463">
      <c r="B463" s="462"/>
      <c r="C463" s="671"/>
      <c r="D463" s="462"/>
      <c r="E463" s="654"/>
      <c r="F463" s="650"/>
      <c r="G463" s="654"/>
      <c r="H463" s="654"/>
      <c r="I463" s="650"/>
      <c r="J463" s="650"/>
      <c r="K463" s="655"/>
      <c r="L463" s="655"/>
      <c r="M463" s="655"/>
      <c r="N463" s="655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</row>
    <row r="464">
      <c r="B464" s="462"/>
      <c r="C464" s="671"/>
      <c r="D464" s="462"/>
      <c r="E464" s="654"/>
      <c r="F464" s="650"/>
      <c r="G464" s="654"/>
      <c r="H464" s="654"/>
      <c r="I464" s="650"/>
      <c r="J464" s="650"/>
      <c r="K464" s="655"/>
      <c r="L464" s="655"/>
      <c r="M464" s="655"/>
      <c r="N464" s="655"/>
      <c r="O464" s="655"/>
      <c r="P464" s="655"/>
      <c r="Q464" s="655"/>
      <c r="R464" s="655"/>
      <c r="S464" s="655"/>
      <c r="T464" s="655"/>
      <c r="U464" s="655"/>
      <c r="V464" s="655"/>
      <c r="W464" s="655"/>
      <c r="X464" s="655"/>
      <c r="Y464" s="655"/>
      <c r="Z464" s="655"/>
    </row>
    <row r="465">
      <c r="B465" s="462"/>
      <c r="C465" s="671"/>
      <c r="D465" s="462"/>
      <c r="E465" s="654"/>
      <c r="F465" s="650"/>
      <c r="G465" s="654"/>
      <c r="H465" s="654"/>
      <c r="I465" s="650"/>
      <c r="J465" s="650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</row>
    <row r="466">
      <c r="B466" s="462"/>
      <c r="C466" s="671"/>
      <c r="D466" s="462"/>
      <c r="E466" s="654"/>
      <c r="F466" s="650"/>
      <c r="G466" s="654"/>
      <c r="H466" s="654"/>
      <c r="I466" s="650"/>
      <c r="J466" s="650"/>
      <c r="K466" s="655"/>
      <c r="L466" s="655"/>
      <c r="M466" s="655"/>
      <c r="N466" s="655"/>
      <c r="O466" s="655"/>
      <c r="P466" s="655"/>
      <c r="Q466" s="655"/>
      <c r="R466" s="655"/>
      <c r="S466" s="655"/>
      <c r="T466" s="655"/>
      <c r="U466" s="655"/>
      <c r="V466" s="655"/>
      <c r="W466" s="655"/>
      <c r="X466" s="655"/>
      <c r="Y466" s="655"/>
      <c r="Z466" s="655"/>
    </row>
    <row r="467">
      <c r="B467" s="462"/>
      <c r="C467" s="671"/>
      <c r="D467" s="462"/>
      <c r="E467" s="654"/>
      <c r="F467" s="650"/>
      <c r="G467" s="654"/>
      <c r="H467" s="654"/>
      <c r="I467" s="650"/>
      <c r="J467" s="650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</row>
    <row r="468">
      <c r="B468" s="462"/>
      <c r="C468" s="671"/>
      <c r="D468" s="462"/>
      <c r="E468" s="654"/>
      <c r="F468" s="650"/>
      <c r="G468" s="654"/>
      <c r="H468" s="654"/>
      <c r="I468" s="650"/>
      <c r="J468" s="650"/>
      <c r="K468" s="655"/>
      <c r="L468" s="655"/>
      <c r="M468" s="655"/>
      <c r="N468" s="655"/>
      <c r="O468" s="655"/>
      <c r="P468" s="655"/>
      <c r="Q468" s="655"/>
      <c r="R468" s="655"/>
      <c r="S468" s="655"/>
      <c r="T468" s="655"/>
      <c r="U468" s="655"/>
      <c r="V468" s="655"/>
      <c r="W468" s="655"/>
      <c r="X468" s="655"/>
      <c r="Y468" s="655"/>
      <c r="Z468" s="655"/>
    </row>
    <row r="469">
      <c r="B469" s="462"/>
      <c r="C469" s="671"/>
      <c r="D469" s="462"/>
      <c r="E469" s="654"/>
      <c r="F469" s="650"/>
      <c r="G469" s="654"/>
      <c r="H469" s="654"/>
      <c r="I469" s="650"/>
      <c r="J469" s="650"/>
      <c r="K469" s="655"/>
      <c r="L469" s="655"/>
      <c r="M469" s="655"/>
      <c r="N469" s="655"/>
      <c r="O469" s="655"/>
      <c r="P469" s="655"/>
      <c r="Q469" s="655"/>
      <c r="R469" s="655"/>
      <c r="S469" s="655"/>
      <c r="T469" s="655"/>
      <c r="U469" s="655"/>
      <c r="V469" s="655"/>
      <c r="W469" s="655"/>
      <c r="X469" s="655"/>
      <c r="Y469" s="655"/>
      <c r="Z469" s="655"/>
    </row>
    <row r="470">
      <c r="B470" s="462"/>
      <c r="C470" s="671"/>
      <c r="D470" s="462"/>
      <c r="E470" s="654"/>
      <c r="F470" s="650"/>
      <c r="G470" s="654"/>
      <c r="H470" s="654"/>
      <c r="I470" s="650"/>
      <c r="J470" s="650"/>
      <c r="K470" s="655"/>
      <c r="L470" s="655"/>
      <c r="M470" s="655"/>
      <c r="N470" s="655"/>
      <c r="O470" s="655"/>
      <c r="P470" s="655"/>
      <c r="Q470" s="655"/>
      <c r="R470" s="655"/>
      <c r="S470" s="655"/>
      <c r="T470" s="655"/>
      <c r="U470" s="655"/>
      <c r="V470" s="655"/>
      <c r="W470" s="655"/>
      <c r="X470" s="655"/>
      <c r="Y470" s="655"/>
      <c r="Z470" s="655"/>
    </row>
    <row r="471">
      <c r="B471" s="462"/>
      <c r="C471" s="671"/>
      <c r="D471" s="462"/>
      <c r="E471" s="654"/>
      <c r="F471" s="650"/>
      <c r="G471" s="654"/>
      <c r="H471" s="654"/>
      <c r="I471" s="650"/>
      <c r="J471" s="650"/>
      <c r="K471" s="655"/>
      <c r="L471" s="655"/>
      <c r="M471" s="655"/>
      <c r="N471" s="655"/>
      <c r="O471" s="655"/>
      <c r="P471" s="655"/>
      <c r="Q471" s="655"/>
      <c r="R471" s="655"/>
      <c r="S471" s="655"/>
      <c r="T471" s="655"/>
      <c r="U471" s="655"/>
      <c r="V471" s="655"/>
      <c r="W471" s="655"/>
      <c r="X471" s="655"/>
      <c r="Y471" s="655"/>
      <c r="Z471" s="655"/>
    </row>
    <row r="472">
      <c r="B472" s="462"/>
      <c r="C472" s="671"/>
      <c r="D472" s="462"/>
      <c r="E472" s="654"/>
      <c r="F472" s="650"/>
      <c r="G472" s="654"/>
      <c r="H472" s="654"/>
      <c r="I472" s="650"/>
      <c r="J472" s="650"/>
      <c r="K472" s="655"/>
      <c r="L472" s="655"/>
      <c r="M472" s="655"/>
      <c r="N472" s="655"/>
      <c r="O472" s="655"/>
      <c r="P472" s="655"/>
      <c r="Q472" s="655"/>
      <c r="R472" s="655"/>
      <c r="S472" s="655"/>
      <c r="T472" s="655"/>
      <c r="U472" s="655"/>
      <c r="V472" s="655"/>
      <c r="W472" s="655"/>
      <c r="X472" s="655"/>
      <c r="Y472" s="655"/>
      <c r="Z472" s="655"/>
    </row>
    <row r="473">
      <c r="B473" s="462"/>
      <c r="C473" s="671"/>
      <c r="D473" s="462"/>
      <c r="E473" s="654"/>
      <c r="F473" s="650"/>
      <c r="G473" s="654"/>
      <c r="H473" s="654"/>
      <c r="I473" s="650"/>
      <c r="J473" s="650"/>
      <c r="K473" s="655"/>
      <c r="L473" s="655"/>
      <c r="M473" s="655"/>
      <c r="N473" s="655"/>
      <c r="O473" s="655"/>
      <c r="P473" s="655"/>
      <c r="Q473" s="655"/>
      <c r="R473" s="655"/>
      <c r="S473" s="655"/>
      <c r="T473" s="655"/>
      <c r="U473" s="655"/>
      <c r="V473" s="655"/>
      <c r="W473" s="655"/>
      <c r="X473" s="655"/>
      <c r="Y473" s="655"/>
      <c r="Z473" s="655"/>
    </row>
    <row r="474">
      <c r="B474" s="462"/>
      <c r="C474" s="671"/>
      <c r="D474" s="462"/>
      <c r="E474" s="654"/>
      <c r="F474" s="650"/>
      <c r="G474" s="654"/>
      <c r="H474" s="654"/>
      <c r="I474" s="650"/>
      <c r="J474" s="650"/>
      <c r="K474" s="655"/>
      <c r="L474" s="655"/>
      <c r="M474" s="655"/>
      <c r="N474" s="655"/>
      <c r="O474" s="655"/>
      <c r="P474" s="655"/>
      <c r="Q474" s="655"/>
      <c r="R474" s="655"/>
      <c r="S474" s="655"/>
      <c r="T474" s="655"/>
      <c r="U474" s="655"/>
      <c r="V474" s="655"/>
      <c r="W474" s="655"/>
      <c r="X474" s="655"/>
      <c r="Y474" s="655"/>
      <c r="Z474" s="655"/>
    </row>
    <row r="475">
      <c r="B475" s="462"/>
      <c r="C475" s="671"/>
      <c r="D475" s="462"/>
      <c r="E475" s="654"/>
      <c r="F475" s="650"/>
      <c r="G475" s="654"/>
      <c r="H475" s="654"/>
      <c r="I475" s="650"/>
      <c r="J475" s="650"/>
      <c r="K475" s="655"/>
      <c r="L475" s="655"/>
      <c r="M475" s="655"/>
      <c r="N475" s="655"/>
      <c r="O475" s="655"/>
      <c r="P475" s="655"/>
      <c r="Q475" s="655"/>
      <c r="R475" s="655"/>
      <c r="S475" s="655"/>
      <c r="T475" s="655"/>
      <c r="U475" s="655"/>
      <c r="V475" s="655"/>
      <c r="W475" s="655"/>
      <c r="X475" s="655"/>
      <c r="Y475" s="655"/>
      <c r="Z475" s="655"/>
    </row>
    <row r="476">
      <c r="B476" s="462"/>
      <c r="C476" s="671"/>
      <c r="D476" s="462"/>
      <c r="E476" s="654"/>
      <c r="F476" s="650"/>
      <c r="G476" s="654"/>
      <c r="H476" s="654"/>
      <c r="I476" s="650"/>
      <c r="J476" s="650"/>
      <c r="K476" s="655"/>
      <c r="L476" s="655"/>
      <c r="M476" s="655"/>
      <c r="N476" s="655"/>
      <c r="O476" s="655"/>
      <c r="P476" s="655"/>
      <c r="Q476" s="655"/>
      <c r="R476" s="655"/>
      <c r="S476" s="655"/>
      <c r="T476" s="655"/>
      <c r="U476" s="655"/>
      <c r="V476" s="655"/>
      <c r="W476" s="655"/>
      <c r="X476" s="655"/>
      <c r="Y476" s="655"/>
      <c r="Z476" s="655"/>
    </row>
    <row r="477">
      <c r="B477" s="462"/>
      <c r="C477" s="671"/>
      <c r="D477" s="462"/>
      <c r="E477" s="654"/>
      <c r="F477" s="650"/>
      <c r="G477" s="654"/>
      <c r="H477" s="654"/>
      <c r="I477" s="650"/>
      <c r="J477" s="650"/>
      <c r="K477" s="655"/>
      <c r="L477" s="655"/>
      <c r="M477" s="655"/>
      <c r="N477" s="655"/>
      <c r="O477" s="655"/>
      <c r="P477" s="655"/>
      <c r="Q477" s="655"/>
      <c r="R477" s="655"/>
      <c r="S477" s="655"/>
      <c r="T477" s="655"/>
      <c r="U477" s="655"/>
      <c r="V477" s="655"/>
      <c r="W477" s="655"/>
      <c r="X477" s="655"/>
      <c r="Y477" s="655"/>
      <c r="Z477" s="655"/>
    </row>
    <row r="478">
      <c r="B478" s="462"/>
      <c r="C478" s="671"/>
      <c r="D478" s="462"/>
      <c r="E478" s="654"/>
      <c r="F478" s="650"/>
      <c r="G478" s="654"/>
      <c r="H478" s="654"/>
      <c r="I478" s="650"/>
      <c r="J478" s="650"/>
      <c r="K478" s="655"/>
      <c r="L478" s="655"/>
      <c r="M478" s="655"/>
      <c r="N478" s="655"/>
      <c r="O478" s="655"/>
      <c r="P478" s="655"/>
      <c r="Q478" s="655"/>
      <c r="R478" s="655"/>
      <c r="S478" s="655"/>
      <c r="T478" s="655"/>
      <c r="U478" s="655"/>
      <c r="V478" s="655"/>
      <c r="W478" s="655"/>
      <c r="X478" s="655"/>
      <c r="Y478" s="655"/>
      <c r="Z478" s="655"/>
    </row>
    <row r="479">
      <c r="B479" s="462"/>
      <c r="C479" s="671"/>
      <c r="D479" s="462"/>
      <c r="E479" s="654"/>
      <c r="F479" s="650"/>
      <c r="G479" s="654"/>
      <c r="H479" s="654"/>
      <c r="I479" s="650"/>
      <c r="J479" s="650"/>
      <c r="K479" s="655"/>
      <c r="L479" s="655"/>
      <c r="M479" s="655"/>
      <c r="N479" s="655"/>
      <c r="O479" s="655"/>
      <c r="P479" s="655"/>
      <c r="Q479" s="655"/>
      <c r="R479" s="655"/>
      <c r="S479" s="655"/>
      <c r="T479" s="655"/>
      <c r="U479" s="655"/>
      <c r="V479" s="655"/>
      <c r="W479" s="655"/>
      <c r="X479" s="655"/>
      <c r="Y479" s="655"/>
      <c r="Z479" s="655"/>
    </row>
    <row r="480">
      <c r="B480" s="462"/>
      <c r="C480" s="671"/>
      <c r="D480" s="462"/>
      <c r="E480" s="654"/>
      <c r="F480" s="650"/>
      <c r="G480" s="654"/>
      <c r="H480" s="654"/>
      <c r="I480" s="650"/>
      <c r="J480" s="650"/>
      <c r="K480" s="655"/>
      <c r="L480" s="655"/>
      <c r="M480" s="655"/>
      <c r="N480" s="655"/>
      <c r="O480" s="655"/>
      <c r="P480" s="655"/>
      <c r="Q480" s="655"/>
      <c r="R480" s="655"/>
      <c r="S480" s="655"/>
      <c r="T480" s="655"/>
      <c r="U480" s="655"/>
      <c r="V480" s="655"/>
      <c r="W480" s="655"/>
      <c r="X480" s="655"/>
      <c r="Y480" s="655"/>
      <c r="Z480" s="655"/>
    </row>
    <row r="481">
      <c r="B481" s="462"/>
      <c r="C481" s="671"/>
      <c r="D481" s="462"/>
      <c r="E481" s="654"/>
      <c r="F481" s="650"/>
      <c r="G481" s="654"/>
      <c r="H481" s="654"/>
      <c r="I481" s="650"/>
      <c r="J481" s="650"/>
      <c r="K481" s="655"/>
      <c r="L481" s="655"/>
      <c r="M481" s="655"/>
      <c r="N481" s="655"/>
      <c r="O481" s="655"/>
      <c r="P481" s="655"/>
      <c r="Q481" s="655"/>
      <c r="R481" s="655"/>
      <c r="S481" s="655"/>
      <c r="T481" s="655"/>
      <c r="U481" s="655"/>
      <c r="V481" s="655"/>
      <c r="W481" s="655"/>
      <c r="X481" s="655"/>
      <c r="Y481" s="655"/>
      <c r="Z481" s="655"/>
    </row>
    <row r="482">
      <c r="B482" s="462"/>
      <c r="C482" s="671"/>
      <c r="D482" s="462"/>
      <c r="E482" s="654"/>
      <c r="F482" s="650"/>
      <c r="G482" s="654"/>
      <c r="H482" s="654"/>
      <c r="I482" s="650"/>
      <c r="J482" s="650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</row>
    <row r="483">
      <c r="B483" s="462"/>
      <c r="C483" s="671"/>
      <c r="D483" s="462"/>
      <c r="E483" s="654"/>
      <c r="F483" s="650"/>
      <c r="G483" s="654"/>
      <c r="H483" s="654"/>
      <c r="I483" s="650"/>
      <c r="J483" s="650"/>
      <c r="K483" s="655"/>
      <c r="L483" s="655"/>
      <c r="M483" s="655"/>
      <c r="N483" s="655"/>
      <c r="O483" s="655"/>
      <c r="P483" s="655"/>
      <c r="Q483" s="655"/>
      <c r="R483" s="655"/>
      <c r="S483" s="655"/>
      <c r="T483" s="655"/>
      <c r="U483" s="655"/>
      <c r="V483" s="655"/>
      <c r="W483" s="655"/>
      <c r="X483" s="655"/>
      <c r="Y483" s="655"/>
      <c r="Z483" s="655"/>
    </row>
    <row r="484">
      <c r="B484" s="462"/>
      <c r="C484" s="671"/>
      <c r="D484" s="462"/>
      <c r="E484" s="654"/>
      <c r="F484" s="650"/>
      <c r="G484" s="654"/>
      <c r="H484" s="654"/>
      <c r="I484" s="650"/>
      <c r="J484" s="650"/>
      <c r="K484" s="655"/>
      <c r="L484" s="655"/>
      <c r="M484" s="655"/>
      <c r="N484" s="655"/>
      <c r="O484" s="655"/>
      <c r="P484" s="655"/>
      <c r="Q484" s="655"/>
      <c r="R484" s="655"/>
      <c r="S484" s="655"/>
      <c r="T484" s="655"/>
      <c r="U484" s="655"/>
      <c r="V484" s="655"/>
      <c r="W484" s="655"/>
      <c r="X484" s="655"/>
      <c r="Y484" s="655"/>
      <c r="Z484" s="655"/>
    </row>
    <row r="485">
      <c r="B485" s="462"/>
      <c r="C485" s="671"/>
      <c r="D485" s="462"/>
      <c r="E485" s="654"/>
      <c r="F485" s="650"/>
      <c r="G485" s="654"/>
      <c r="H485" s="654"/>
      <c r="I485" s="650"/>
      <c r="J485" s="650"/>
      <c r="K485" s="655"/>
      <c r="L485" s="655"/>
      <c r="M485" s="655"/>
      <c r="N485" s="655"/>
      <c r="O485" s="655"/>
      <c r="P485" s="655"/>
      <c r="Q485" s="655"/>
      <c r="R485" s="655"/>
      <c r="S485" s="655"/>
      <c r="T485" s="655"/>
      <c r="U485" s="655"/>
      <c r="V485" s="655"/>
      <c r="W485" s="655"/>
      <c r="X485" s="655"/>
      <c r="Y485" s="655"/>
      <c r="Z485" s="655"/>
    </row>
    <row r="486">
      <c r="B486" s="462"/>
      <c r="C486" s="671"/>
      <c r="D486" s="462"/>
      <c r="E486" s="654"/>
      <c r="F486" s="650"/>
      <c r="G486" s="654"/>
      <c r="H486" s="654"/>
      <c r="I486" s="650"/>
      <c r="J486" s="650"/>
      <c r="K486" s="655"/>
      <c r="L486" s="655"/>
      <c r="M486" s="655"/>
      <c r="N486" s="655"/>
      <c r="O486" s="655"/>
      <c r="P486" s="655"/>
      <c r="Q486" s="655"/>
      <c r="R486" s="655"/>
      <c r="S486" s="655"/>
      <c r="T486" s="655"/>
      <c r="U486" s="655"/>
      <c r="V486" s="655"/>
      <c r="W486" s="655"/>
      <c r="X486" s="655"/>
      <c r="Y486" s="655"/>
      <c r="Z486" s="655"/>
    </row>
    <row r="487">
      <c r="B487" s="462"/>
      <c r="C487" s="671"/>
      <c r="D487" s="462"/>
      <c r="E487" s="654"/>
      <c r="F487" s="650"/>
      <c r="G487" s="654"/>
      <c r="H487" s="654"/>
      <c r="I487" s="650"/>
      <c r="J487" s="650"/>
      <c r="K487" s="655"/>
      <c r="L487" s="655"/>
      <c r="M487" s="655"/>
      <c r="N487" s="655"/>
      <c r="O487" s="655"/>
      <c r="P487" s="655"/>
      <c r="Q487" s="655"/>
      <c r="R487" s="655"/>
      <c r="S487" s="655"/>
      <c r="T487" s="655"/>
      <c r="U487" s="655"/>
      <c r="V487" s="655"/>
      <c r="W487" s="655"/>
      <c r="X487" s="655"/>
      <c r="Y487" s="655"/>
      <c r="Z487" s="655"/>
    </row>
    <row r="488">
      <c r="B488" s="462"/>
      <c r="C488" s="671"/>
      <c r="D488" s="462"/>
      <c r="E488" s="654"/>
      <c r="F488" s="650"/>
      <c r="G488" s="654"/>
      <c r="H488" s="654"/>
      <c r="I488" s="650"/>
      <c r="J488" s="650"/>
      <c r="K488" s="655"/>
      <c r="L488" s="655"/>
      <c r="M488" s="655"/>
      <c r="N488" s="655"/>
      <c r="O488" s="655"/>
      <c r="P488" s="655"/>
      <c r="Q488" s="655"/>
      <c r="R488" s="655"/>
      <c r="S488" s="655"/>
      <c r="T488" s="655"/>
      <c r="U488" s="655"/>
      <c r="V488" s="655"/>
      <c r="W488" s="655"/>
      <c r="X488" s="655"/>
      <c r="Y488" s="655"/>
      <c r="Z488" s="655"/>
    </row>
    <row r="489">
      <c r="B489" s="462"/>
      <c r="C489" s="671"/>
      <c r="D489" s="462"/>
      <c r="E489" s="654"/>
      <c r="F489" s="650"/>
      <c r="G489" s="654"/>
      <c r="H489" s="654"/>
      <c r="I489" s="650"/>
      <c r="J489" s="650"/>
      <c r="K489" s="655"/>
      <c r="L489" s="655"/>
      <c r="M489" s="655"/>
      <c r="N489" s="655"/>
      <c r="O489" s="655"/>
      <c r="P489" s="655"/>
      <c r="Q489" s="655"/>
      <c r="R489" s="655"/>
      <c r="S489" s="655"/>
      <c r="T489" s="655"/>
      <c r="U489" s="655"/>
      <c r="V489" s="655"/>
      <c r="W489" s="655"/>
      <c r="X489" s="655"/>
      <c r="Y489" s="655"/>
      <c r="Z489" s="655"/>
    </row>
    <row r="490">
      <c r="B490" s="462"/>
      <c r="C490" s="671"/>
      <c r="D490" s="462"/>
      <c r="E490" s="654"/>
      <c r="F490" s="650"/>
      <c r="G490" s="654"/>
      <c r="H490" s="654"/>
      <c r="I490" s="650"/>
      <c r="J490" s="650"/>
      <c r="K490" s="655"/>
      <c r="L490" s="655"/>
      <c r="M490" s="655"/>
      <c r="N490" s="655"/>
      <c r="O490" s="655"/>
      <c r="P490" s="655"/>
      <c r="Q490" s="655"/>
      <c r="R490" s="655"/>
      <c r="S490" s="655"/>
      <c r="T490" s="655"/>
      <c r="U490" s="655"/>
      <c r="V490" s="655"/>
      <c r="W490" s="655"/>
      <c r="X490" s="655"/>
      <c r="Y490" s="655"/>
      <c r="Z490" s="655"/>
    </row>
    <row r="491">
      <c r="B491" s="462"/>
      <c r="C491" s="671"/>
      <c r="D491" s="462"/>
      <c r="E491" s="654"/>
      <c r="F491" s="650"/>
      <c r="G491" s="654"/>
      <c r="H491" s="654"/>
      <c r="I491" s="650"/>
      <c r="J491" s="650"/>
      <c r="K491" s="655"/>
      <c r="L491" s="655"/>
      <c r="M491" s="655"/>
      <c r="N491" s="655"/>
      <c r="O491" s="655"/>
      <c r="P491" s="655"/>
      <c r="Q491" s="655"/>
      <c r="R491" s="655"/>
      <c r="S491" s="655"/>
      <c r="T491" s="655"/>
      <c r="U491" s="655"/>
      <c r="V491" s="655"/>
      <c r="W491" s="655"/>
      <c r="X491" s="655"/>
      <c r="Y491" s="655"/>
      <c r="Z491" s="655"/>
    </row>
    <row r="492">
      <c r="B492" s="462"/>
      <c r="C492" s="671"/>
      <c r="D492" s="462"/>
      <c r="E492" s="654"/>
      <c r="F492" s="650"/>
      <c r="G492" s="654"/>
      <c r="H492" s="654"/>
      <c r="I492" s="650"/>
      <c r="J492" s="650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</row>
    <row r="493">
      <c r="B493" s="462"/>
      <c r="C493" s="671"/>
      <c r="D493" s="462"/>
      <c r="E493" s="654"/>
      <c r="F493" s="650"/>
      <c r="G493" s="654"/>
      <c r="H493" s="654"/>
      <c r="I493" s="650"/>
      <c r="J493" s="650"/>
      <c r="K493" s="655"/>
      <c r="L493" s="655"/>
      <c r="M493" s="655"/>
      <c r="N493" s="655"/>
      <c r="O493" s="655"/>
      <c r="P493" s="655"/>
      <c r="Q493" s="655"/>
      <c r="R493" s="655"/>
      <c r="S493" s="655"/>
      <c r="T493" s="655"/>
      <c r="U493" s="655"/>
      <c r="V493" s="655"/>
      <c r="W493" s="655"/>
      <c r="X493" s="655"/>
      <c r="Y493" s="655"/>
      <c r="Z493" s="655"/>
    </row>
    <row r="494">
      <c r="B494" s="462"/>
      <c r="C494" s="671"/>
      <c r="D494" s="462"/>
      <c r="E494" s="654"/>
      <c r="F494" s="650"/>
      <c r="G494" s="654"/>
      <c r="H494" s="654"/>
      <c r="I494" s="650"/>
      <c r="J494" s="650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</row>
    <row r="495">
      <c r="B495" s="462"/>
      <c r="C495" s="671"/>
      <c r="D495" s="462"/>
      <c r="E495" s="654"/>
      <c r="F495" s="650"/>
      <c r="G495" s="654"/>
      <c r="H495" s="654"/>
      <c r="I495" s="650"/>
      <c r="J495" s="650"/>
      <c r="K495" s="655"/>
      <c r="L495" s="655"/>
      <c r="M495" s="655"/>
      <c r="N495" s="655"/>
      <c r="O495" s="655"/>
      <c r="P495" s="655"/>
      <c r="Q495" s="655"/>
      <c r="R495" s="655"/>
      <c r="S495" s="655"/>
      <c r="T495" s="655"/>
      <c r="U495" s="655"/>
      <c r="V495" s="655"/>
      <c r="W495" s="655"/>
      <c r="X495" s="655"/>
      <c r="Y495" s="655"/>
      <c r="Z495" s="655"/>
    </row>
    <row r="496">
      <c r="B496" s="462"/>
      <c r="C496" s="671"/>
      <c r="D496" s="462"/>
      <c r="E496" s="654"/>
      <c r="F496" s="650"/>
      <c r="G496" s="654"/>
      <c r="H496" s="654"/>
      <c r="I496" s="650"/>
      <c r="J496" s="650"/>
      <c r="K496" s="655"/>
      <c r="L496" s="655"/>
      <c r="M496" s="655"/>
      <c r="N496" s="655"/>
      <c r="O496" s="655"/>
      <c r="P496" s="655"/>
      <c r="Q496" s="655"/>
      <c r="R496" s="655"/>
      <c r="S496" s="655"/>
      <c r="T496" s="655"/>
      <c r="U496" s="655"/>
      <c r="V496" s="655"/>
      <c r="W496" s="655"/>
      <c r="X496" s="655"/>
      <c r="Y496" s="655"/>
      <c r="Z496" s="655"/>
    </row>
    <row r="497">
      <c r="B497" s="462"/>
      <c r="C497" s="671"/>
      <c r="D497" s="462"/>
      <c r="E497" s="654"/>
      <c r="F497" s="650"/>
      <c r="G497" s="654"/>
      <c r="H497" s="654"/>
      <c r="I497" s="650"/>
      <c r="J497" s="650"/>
      <c r="K497" s="655"/>
      <c r="L497" s="655"/>
      <c r="M497" s="655"/>
      <c r="N497" s="655"/>
      <c r="O497" s="655"/>
      <c r="P497" s="655"/>
      <c r="Q497" s="655"/>
      <c r="R497" s="655"/>
      <c r="S497" s="655"/>
      <c r="T497" s="655"/>
      <c r="U497" s="655"/>
      <c r="V497" s="655"/>
      <c r="W497" s="655"/>
      <c r="X497" s="655"/>
      <c r="Y497" s="655"/>
      <c r="Z497" s="655"/>
    </row>
    <row r="498">
      <c r="B498" s="462"/>
      <c r="C498" s="671"/>
      <c r="D498" s="462"/>
      <c r="E498" s="654"/>
      <c r="F498" s="650"/>
      <c r="G498" s="654"/>
      <c r="H498" s="654"/>
      <c r="I498" s="650"/>
      <c r="J498" s="650"/>
      <c r="K498" s="655"/>
      <c r="L498" s="655"/>
      <c r="M498" s="655"/>
      <c r="N498" s="655"/>
      <c r="O498" s="655"/>
      <c r="P498" s="655"/>
      <c r="Q498" s="655"/>
      <c r="R498" s="655"/>
      <c r="S498" s="655"/>
      <c r="T498" s="655"/>
      <c r="U498" s="655"/>
      <c r="V498" s="655"/>
      <c r="W498" s="655"/>
      <c r="X498" s="655"/>
      <c r="Y498" s="655"/>
      <c r="Z498" s="655"/>
    </row>
    <row r="499">
      <c r="B499" s="462"/>
      <c r="C499" s="671"/>
      <c r="D499" s="462"/>
      <c r="E499" s="654"/>
      <c r="F499" s="650"/>
      <c r="G499" s="654"/>
      <c r="H499" s="654"/>
      <c r="I499" s="650"/>
      <c r="J499" s="650"/>
      <c r="K499" s="655"/>
      <c r="L499" s="655"/>
      <c r="M499" s="655"/>
      <c r="N499" s="655"/>
      <c r="O499" s="655"/>
      <c r="P499" s="655"/>
      <c r="Q499" s="655"/>
      <c r="R499" s="655"/>
      <c r="S499" s="655"/>
      <c r="T499" s="655"/>
      <c r="U499" s="655"/>
      <c r="V499" s="655"/>
      <c r="W499" s="655"/>
      <c r="X499" s="655"/>
      <c r="Y499" s="655"/>
      <c r="Z499" s="655"/>
    </row>
    <row r="500">
      <c r="B500" s="462"/>
      <c r="C500" s="671"/>
      <c r="D500" s="462"/>
      <c r="E500" s="654"/>
      <c r="F500" s="650"/>
      <c r="G500" s="654"/>
      <c r="H500" s="654"/>
      <c r="I500" s="650"/>
      <c r="J500" s="650"/>
      <c r="K500" s="655"/>
      <c r="L500" s="655"/>
      <c r="M500" s="655"/>
      <c r="N500" s="655"/>
      <c r="O500" s="655"/>
      <c r="P500" s="655"/>
      <c r="Q500" s="655"/>
      <c r="R500" s="655"/>
      <c r="S500" s="655"/>
      <c r="T500" s="655"/>
      <c r="U500" s="655"/>
      <c r="V500" s="655"/>
      <c r="W500" s="655"/>
      <c r="X500" s="655"/>
      <c r="Y500" s="655"/>
      <c r="Z500" s="655"/>
    </row>
    <row r="501">
      <c r="B501" s="462"/>
      <c r="C501" s="671"/>
      <c r="D501" s="462"/>
      <c r="E501" s="654"/>
      <c r="F501" s="650"/>
      <c r="G501" s="654"/>
      <c r="H501" s="654"/>
      <c r="I501" s="650"/>
      <c r="J501" s="650"/>
      <c r="K501" s="655"/>
      <c r="L501" s="655"/>
      <c r="M501" s="655"/>
      <c r="N501" s="655"/>
      <c r="O501" s="655"/>
      <c r="P501" s="655"/>
      <c r="Q501" s="655"/>
      <c r="R501" s="655"/>
      <c r="S501" s="655"/>
      <c r="T501" s="655"/>
      <c r="U501" s="655"/>
      <c r="V501" s="655"/>
      <c r="W501" s="655"/>
      <c r="X501" s="655"/>
      <c r="Y501" s="655"/>
      <c r="Z501" s="655"/>
    </row>
    <row r="502">
      <c r="B502" s="462"/>
      <c r="C502" s="671"/>
      <c r="D502" s="462"/>
      <c r="E502" s="654"/>
      <c r="F502" s="650"/>
      <c r="G502" s="654"/>
      <c r="H502" s="654"/>
      <c r="I502" s="650"/>
      <c r="J502" s="650"/>
      <c r="K502" s="655"/>
      <c r="L502" s="655"/>
      <c r="M502" s="655"/>
      <c r="N502" s="655"/>
      <c r="O502" s="655"/>
      <c r="P502" s="655"/>
      <c r="Q502" s="655"/>
      <c r="R502" s="655"/>
      <c r="S502" s="655"/>
      <c r="T502" s="655"/>
      <c r="U502" s="655"/>
      <c r="V502" s="655"/>
      <c r="W502" s="655"/>
      <c r="X502" s="655"/>
      <c r="Y502" s="655"/>
      <c r="Z502" s="655"/>
    </row>
    <row r="503">
      <c r="B503" s="462"/>
      <c r="C503" s="671"/>
      <c r="D503" s="462"/>
      <c r="E503" s="654"/>
      <c r="F503" s="650"/>
      <c r="G503" s="654"/>
      <c r="H503" s="654"/>
      <c r="I503" s="650"/>
      <c r="J503" s="650"/>
      <c r="K503" s="655"/>
      <c r="L503" s="655"/>
      <c r="M503" s="655"/>
      <c r="N503" s="655"/>
      <c r="O503" s="655"/>
      <c r="P503" s="655"/>
      <c r="Q503" s="655"/>
      <c r="R503" s="655"/>
      <c r="S503" s="655"/>
      <c r="T503" s="655"/>
      <c r="U503" s="655"/>
      <c r="V503" s="655"/>
      <c r="W503" s="655"/>
      <c r="X503" s="655"/>
      <c r="Y503" s="655"/>
      <c r="Z503" s="655"/>
    </row>
    <row r="504">
      <c r="B504" s="462"/>
      <c r="C504" s="671"/>
      <c r="D504" s="462"/>
      <c r="E504" s="654"/>
      <c r="F504" s="650"/>
      <c r="G504" s="654"/>
      <c r="H504" s="654"/>
      <c r="I504" s="650"/>
      <c r="J504" s="650"/>
      <c r="K504" s="655"/>
      <c r="L504" s="655"/>
      <c r="M504" s="655"/>
      <c r="N504" s="655"/>
      <c r="O504" s="655"/>
      <c r="P504" s="655"/>
      <c r="Q504" s="655"/>
      <c r="R504" s="655"/>
      <c r="S504" s="655"/>
      <c r="T504" s="655"/>
      <c r="U504" s="655"/>
      <c r="V504" s="655"/>
      <c r="W504" s="655"/>
      <c r="X504" s="655"/>
      <c r="Y504" s="655"/>
      <c r="Z504" s="655"/>
    </row>
    <row r="505">
      <c r="B505" s="462"/>
      <c r="C505" s="671"/>
      <c r="D505" s="462"/>
      <c r="E505" s="654"/>
      <c r="F505" s="650"/>
      <c r="G505" s="654"/>
      <c r="H505" s="654"/>
      <c r="I505" s="650"/>
      <c r="J505" s="650"/>
      <c r="K505" s="655"/>
      <c r="L505" s="655"/>
      <c r="M505" s="655"/>
      <c r="N505" s="655"/>
      <c r="O505" s="655"/>
      <c r="P505" s="655"/>
      <c r="Q505" s="655"/>
      <c r="R505" s="655"/>
      <c r="S505" s="655"/>
      <c r="T505" s="655"/>
      <c r="U505" s="655"/>
      <c r="V505" s="655"/>
      <c r="W505" s="655"/>
      <c r="X505" s="655"/>
      <c r="Y505" s="655"/>
      <c r="Z505" s="655"/>
    </row>
    <row r="506">
      <c r="B506" s="462"/>
      <c r="C506" s="671"/>
      <c r="D506" s="462"/>
      <c r="E506" s="654"/>
      <c r="F506" s="650"/>
      <c r="G506" s="654"/>
      <c r="H506" s="654"/>
      <c r="I506" s="650"/>
      <c r="J506" s="650"/>
      <c r="K506" s="655"/>
      <c r="L506" s="655"/>
      <c r="M506" s="655"/>
      <c r="N506" s="655"/>
      <c r="O506" s="655"/>
      <c r="P506" s="655"/>
      <c r="Q506" s="655"/>
      <c r="R506" s="655"/>
      <c r="S506" s="655"/>
      <c r="T506" s="655"/>
      <c r="U506" s="655"/>
      <c r="V506" s="655"/>
      <c r="W506" s="655"/>
      <c r="X506" s="655"/>
      <c r="Y506" s="655"/>
      <c r="Z506" s="655"/>
    </row>
    <row r="507">
      <c r="B507" s="462"/>
      <c r="C507" s="671"/>
      <c r="D507" s="462"/>
      <c r="E507" s="654"/>
      <c r="F507" s="650"/>
      <c r="G507" s="654"/>
      <c r="H507" s="654"/>
      <c r="I507" s="650"/>
      <c r="J507" s="650"/>
      <c r="K507" s="655"/>
      <c r="L507" s="655"/>
      <c r="M507" s="655"/>
      <c r="N507" s="655"/>
      <c r="O507" s="655"/>
      <c r="P507" s="655"/>
      <c r="Q507" s="655"/>
      <c r="R507" s="655"/>
      <c r="S507" s="655"/>
      <c r="T507" s="655"/>
      <c r="U507" s="655"/>
      <c r="V507" s="655"/>
      <c r="W507" s="655"/>
      <c r="X507" s="655"/>
      <c r="Y507" s="655"/>
      <c r="Z507" s="655"/>
    </row>
    <row r="508">
      <c r="B508" s="462"/>
      <c r="C508" s="671"/>
      <c r="D508" s="462"/>
      <c r="E508" s="654"/>
      <c r="F508" s="650"/>
      <c r="G508" s="654"/>
      <c r="H508" s="654"/>
      <c r="I508" s="650"/>
      <c r="J508" s="650"/>
      <c r="K508" s="655"/>
      <c r="L508" s="655"/>
      <c r="M508" s="655"/>
      <c r="N508" s="655"/>
      <c r="O508" s="655"/>
      <c r="P508" s="655"/>
      <c r="Q508" s="655"/>
      <c r="R508" s="655"/>
      <c r="S508" s="655"/>
      <c r="T508" s="655"/>
      <c r="U508" s="655"/>
      <c r="V508" s="655"/>
      <c r="W508" s="655"/>
      <c r="X508" s="655"/>
      <c r="Y508" s="655"/>
      <c r="Z508" s="655"/>
    </row>
    <row r="509">
      <c r="B509" s="462"/>
      <c r="C509" s="671"/>
      <c r="D509" s="462"/>
      <c r="E509" s="654"/>
      <c r="F509" s="650"/>
      <c r="G509" s="654"/>
      <c r="H509" s="654"/>
      <c r="I509" s="650"/>
      <c r="J509" s="650"/>
      <c r="K509" s="655"/>
      <c r="L509" s="655"/>
      <c r="M509" s="655"/>
      <c r="N509" s="655"/>
      <c r="O509" s="655"/>
      <c r="P509" s="655"/>
      <c r="Q509" s="655"/>
      <c r="R509" s="655"/>
      <c r="S509" s="655"/>
      <c r="T509" s="655"/>
      <c r="U509" s="655"/>
      <c r="V509" s="655"/>
      <c r="W509" s="655"/>
      <c r="X509" s="655"/>
      <c r="Y509" s="655"/>
      <c r="Z509" s="655"/>
    </row>
    <row r="510">
      <c r="B510" s="462"/>
      <c r="C510" s="671"/>
      <c r="D510" s="462"/>
      <c r="E510" s="654"/>
      <c r="F510" s="650"/>
      <c r="G510" s="654"/>
      <c r="H510" s="654"/>
      <c r="I510" s="650"/>
      <c r="J510" s="650"/>
      <c r="K510" s="655"/>
      <c r="L510" s="655"/>
      <c r="M510" s="655"/>
      <c r="N510" s="655"/>
      <c r="O510" s="655"/>
      <c r="P510" s="655"/>
      <c r="Q510" s="655"/>
      <c r="R510" s="655"/>
      <c r="S510" s="655"/>
      <c r="T510" s="655"/>
      <c r="U510" s="655"/>
      <c r="V510" s="655"/>
      <c r="W510" s="655"/>
      <c r="X510" s="655"/>
      <c r="Y510" s="655"/>
      <c r="Z510" s="655"/>
    </row>
    <row r="511">
      <c r="B511" s="462"/>
      <c r="C511" s="671"/>
      <c r="D511" s="462"/>
      <c r="E511" s="654"/>
      <c r="F511" s="650"/>
      <c r="G511" s="654"/>
      <c r="H511" s="654"/>
      <c r="I511" s="650"/>
      <c r="J511" s="650"/>
      <c r="K511" s="655"/>
      <c r="L511" s="655"/>
      <c r="M511" s="655"/>
      <c r="N511" s="655"/>
      <c r="O511" s="655"/>
      <c r="P511" s="655"/>
      <c r="Q511" s="655"/>
      <c r="R511" s="655"/>
      <c r="S511" s="655"/>
      <c r="T511" s="655"/>
      <c r="U511" s="655"/>
      <c r="V511" s="655"/>
      <c r="W511" s="655"/>
      <c r="X511" s="655"/>
      <c r="Y511" s="655"/>
      <c r="Z511" s="655"/>
    </row>
    <row r="512">
      <c r="B512" s="462"/>
      <c r="C512" s="671"/>
      <c r="D512" s="462"/>
      <c r="E512" s="654"/>
      <c r="F512" s="650"/>
      <c r="G512" s="654"/>
      <c r="H512" s="654"/>
      <c r="I512" s="650"/>
      <c r="J512" s="650"/>
      <c r="K512" s="655"/>
      <c r="L512" s="655"/>
      <c r="M512" s="655"/>
      <c r="N512" s="655"/>
      <c r="O512" s="655"/>
      <c r="P512" s="655"/>
      <c r="Q512" s="655"/>
      <c r="R512" s="655"/>
      <c r="S512" s="655"/>
      <c r="T512" s="655"/>
      <c r="U512" s="655"/>
      <c r="V512" s="655"/>
      <c r="W512" s="655"/>
      <c r="X512" s="655"/>
      <c r="Y512" s="655"/>
      <c r="Z512" s="655"/>
    </row>
    <row r="513">
      <c r="B513" s="462"/>
      <c r="C513" s="671"/>
      <c r="D513" s="462"/>
      <c r="E513" s="654"/>
      <c r="F513" s="650"/>
      <c r="G513" s="654"/>
      <c r="H513" s="654"/>
      <c r="I513" s="650"/>
      <c r="J513" s="650"/>
      <c r="K513" s="655"/>
      <c r="L513" s="655"/>
      <c r="M513" s="655"/>
      <c r="N513" s="655"/>
      <c r="O513" s="655"/>
      <c r="P513" s="655"/>
      <c r="Q513" s="655"/>
      <c r="R513" s="655"/>
      <c r="S513" s="655"/>
      <c r="T513" s="655"/>
      <c r="U513" s="655"/>
      <c r="V513" s="655"/>
      <c r="W513" s="655"/>
      <c r="X513" s="655"/>
      <c r="Y513" s="655"/>
      <c r="Z513" s="655"/>
    </row>
    <row r="514">
      <c r="B514" s="462"/>
      <c r="C514" s="671"/>
      <c r="D514" s="462"/>
      <c r="E514" s="654"/>
      <c r="F514" s="650"/>
      <c r="G514" s="654"/>
      <c r="H514" s="654"/>
      <c r="I514" s="650"/>
      <c r="J514" s="650"/>
      <c r="K514" s="655"/>
      <c r="L514" s="655"/>
      <c r="M514" s="655"/>
      <c r="N514" s="655"/>
      <c r="O514" s="655"/>
      <c r="P514" s="655"/>
      <c r="Q514" s="655"/>
      <c r="R514" s="655"/>
      <c r="S514" s="655"/>
      <c r="T514" s="655"/>
      <c r="U514" s="655"/>
      <c r="V514" s="655"/>
      <c r="W514" s="655"/>
      <c r="X514" s="655"/>
      <c r="Y514" s="655"/>
      <c r="Z514" s="655"/>
    </row>
    <row r="515">
      <c r="B515" s="462"/>
      <c r="C515" s="671"/>
      <c r="D515" s="462"/>
      <c r="E515" s="654"/>
      <c r="F515" s="650"/>
      <c r="G515" s="654"/>
      <c r="H515" s="654"/>
      <c r="I515" s="650"/>
      <c r="J515" s="650"/>
      <c r="K515" s="655"/>
      <c r="L515" s="655"/>
      <c r="M515" s="655"/>
      <c r="N515" s="655"/>
      <c r="O515" s="655"/>
      <c r="P515" s="655"/>
      <c r="Q515" s="655"/>
      <c r="R515" s="655"/>
      <c r="S515" s="655"/>
      <c r="T515" s="655"/>
      <c r="U515" s="655"/>
      <c r="V515" s="655"/>
      <c r="W515" s="655"/>
      <c r="X515" s="655"/>
      <c r="Y515" s="655"/>
      <c r="Z515" s="655"/>
    </row>
    <row r="516">
      <c r="B516" s="462"/>
      <c r="C516" s="671"/>
      <c r="D516" s="462"/>
      <c r="E516" s="654"/>
      <c r="F516" s="650"/>
      <c r="G516" s="654"/>
      <c r="H516" s="654"/>
      <c r="I516" s="650"/>
      <c r="J516" s="650"/>
      <c r="K516" s="655"/>
      <c r="L516" s="655"/>
      <c r="M516" s="655"/>
      <c r="N516" s="655"/>
      <c r="O516" s="655"/>
      <c r="P516" s="655"/>
      <c r="Q516" s="655"/>
      <c r="R516" s="655"/>
      <c r="S516" s="655"/>
      <c r="T516" s="655"/>
      <c r="U516" s="655"/>
      <c r="V516" s="655"/>
      <c r="W516" s="655"/>
      <c r="X516" s="655"/>
      <c r="Y516" s="655"/>
      <c r="Z516" s="655"/>
    </row>
    <row r="517">
      <c r="B517" s="462"/>
      <c r="C517" s="671"/>
      <c r="D517" s="462"/>
      <c r="E517" s="654"/>
      <c r="F517" s="650"/>
      <c r="G517" s="654"/>
      <c r="H517" s="654"/>
      <c r="I517" s="650"/>
      <c r="J517" s="650"/>
      <c r="K517" s="655"/>
      <c r="L517" s="655"/>
      <c r="M517" s="655"/>
      <c r="N517" s="655"/>
      <c r="O517" s="655"/>
      <c r="P517" s="655"/>
      <c r="Q517" s="655"/>
      <c r="R517" s="655"/>
      <c r="S517" s="655"/>
      <c r="T517" s="655"/>
      <c r="U517" s="655"/>
      <c r="V517" s="655"/>
      <c r="W517" s="655"/>
      <c r="X517" s="655"/>
      <c r="Y517" s="655"/>
      <c r="Z517" s="655"/>
    </row>
    <row r="518">
      <c r="B518" s="462"/>
      <c r="C518" s="671"/>
      <c r="D518" s="462"/>
      <c r="E518" s="654"/>
      <c r="F518" s="650"/>
      <c r="G518" s="654"/>
      <c r="H518" s="654"/>
      <c r="I518" s="650"/>
      <c r="J518" s="650"/>
      <c r="K518" s="655"/>
      <c r="L518" s="655"/>
      <c r="M518" s="655"/>
      <c r="N518" s="655"/>
      <c r="O518" s="655"/>
      <c r="P518" s="655"/>
      <c r="Q518" s="655"/>
      <c r="R518" s="655"/>
      <c r="S518" s="655"/>
      <c r="T518" s="655"/>
      <c r="U518" s="655"/>
      <c r="V518" s="655"/>
      <c r="W518" s="655"/>
      <c r="X518" s="655"/>
      <c r="Y518" s="655"/>
      <c r="Z518" s="655"/>
    </row>
    <row r="519">
      <c r="B519" s="462"/>
      <c r="C519" s="671"/>
      <c r="D519" s="462"/>
      <c r="E519" s="654"/>
      <c r="F519" s="650"/>
      <c r="G519" s="654"/>
      <c r="H519" s="654"/>
      <c r="I519" s="650"/>
      <c r="J519" s="650"/>
      <c r="K519" s="655"/>
      <c r="L519" s="655"/>
      <c r="M519" s="655"/>
      <c r="N519" s="655"/>
      <c r="O519" s="655"/>
      <c r="P519" s="655"/>
      <c r="Q519" s="655"/>
      <c r="R519" s="655"/>
      <c r="S519" s="655"/>
      <c r="T519" s="655"/>
      <c r="U519" s="655"/>
      <c r="V519" s="655"/>
      <c r="W519" s="655"/>
      <c r="X519" s="655"/>
      <c r="Y519" s="655"/>
      <c r="Z519" s="655"/>
    </row>
    <row r="520">
      <c r="B520" s="462"/>
      <c r="C520" s="671"/>
      <c r="D520" s="462"/>
      <c r="E520" s="654"/>
      <c r="F520" s="650"/>
      <c r="G520" s="654"/>
      <c r="H520" s="654"/>
      <c r="I520" s="650"/>
      <c r="J520" s="650"/>
      <c r="K520" s="655"/>
      <c r="L520" s="655"/>
      <c r="M520" s="655"/>
      <c r="N520" s="655"/>
      <c r="O520" s="655"/>
      <c r="P520" s="655"/>
      <c r="Q520" s="655"/>
      <c r="R520" s="655"/>
      <c r="S520" s="655"/>
      <c r="T520" s="655"/>
      <c r="U520" s="655"/>
      <c r="V520" s="655"/>
      <c r="W520" s="655"/>
      <c r="X520" s="655"/>
      <c r="Y520" s="655"/>
      <c r="Z520" s="655"/>
    </row>
    <row r="521">
      <c r="B521" s="462"/>
      <c r="C521" s="671"/>
      <c r="D521" s="462"/>
      <c r="E521" s="654"/>
      <c r="F521" s="650"/>
      <c r="G521" s="654"/>
      <c r="H521" s="654"/>
      <c r="I521" s="650"/>
      <c r="J521" s="650"/>
      <c r="K521" s="655"/>
      <c r="L521" s="655"/>
      <c r="M521" s="655"/>
      <c r="N521" s="655"/>
      <c r="O521" s="655"/>
      <c r="P521" s="655"/>
      <c r="Q521" s="655"/>
      <c r="R521" s="655"/>
      <c r="S521" s="655"/>
      <c r="T521" s="655"/>
      <c r="U521" s="655"/>
      <c r="V521" s="655"/>
      <c r="W521" s="655"/>
      <c r="X521" s="655"/>
      <c r="Y521" s="655"/>
      <c r="Z521" s="655"/>
    </row>
    <row r="522">
      <c r="B522" s="462"/>
      <c r="C522" s="671"/>
      <c r="D522" s="462"/>
      <c r="E522" s="654"/>
      <c r="F522" s="650"/>
      <c r="G522" s="654"/>
      <c r="H522" s="654"/>
      <c r="I522" s="650"/>
      <c r="J522" s="650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</row>
    <row r="523">
      <c r="B523" s="462"/>
      <c r="C523" s="671"/>
      <c r="D523" s="462"/>
      <c r="E523" s="654"/>
      <c r="F523" s="650"/>
      <c r="G523" s="654"/>
      <c r="H523" s="654"/>
      <c r="I523" s="650"/>
      <c r="J523" s="650"/>
      <c r="K523" s="655"/>
      <c r="L523" s="655"/>
      <c r="M523" s="655"/>
      <c r="N523" s="655"/>
      <c r="O523" s="655"/>
      <c r="P523" s="655"/>
      <c r="Q523" s="655"/>
      <c r="R523" s="655"/>
      <c r="S523" s="655"/>
      <c r="T523" s="655"/>
      <c r="U523" s="655"/>
      <c r="V523" s="655"/>
      <c r="W523" s="655"/>
      <c r="X523" s="655"/>
      <c r="Y523" s="655"/>
      <c r="Z523" s="655"/>
    </row>
    <row r="524">
      <c r="B524" s="462"/>
      <c r="C524" s="671"/>
      <c r="D524" s="462"/>
      <c r="E524" s="654"/>
      <c r="F524" s="650"/>
      <c r="G524" s="654"/>
      <c r="H524" s="654"/>
      <c r="I524" s="650"/>
      <c r="J524" s="650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</row>
    <row r="525">
      <c r="B525" s="462"/>
      <c r="C525" s="671"/>
      <c r="D525" s="462"/>
      <c r="E525" s="654"/>
      <c r="F525" s="650"/>
      <c r="G525" s="654"/>
      <c r="H525" s="654"/>
      <c r="I525" s="650"/>
      <c r="J525" s="650"/>
      <c r="K525" s="655"/>
      <c r="L525" s="655"/>
      <c r="M525" s="655"/>
      <c r="N525" s="655"/>
      <c r="O525" s="655"/>
      <c r="P525" s="655"/>
      <c r="Q525" s="655"/>
      <c r="R525" s="655"/>
      <c r="S525" s="655"/>
      <c r="T525" s="655"/>
      <c r="U525" s="655"/>
      <c r="V525" s="655"/>
      <c r="W525" s="655"/>
      <c r="X525" s="655"/>
      <c r="Y525" s="655"/>
      <c r="Z525" s="655"/>
    </row>
    <row r="526">
      <c r="B526" s="462"/>
      <c r="C526" s="671"/>
      <c r="D526" s="462"/>
      <c r="E526" s="654"/>
      <c r="F526" s="650"/>
      <c r="G526" s="654"/>
      <c r="H526" s="654"/>
      <c r="I526" s="650"/>
      <c r="J526" s="650"/>
      <c r="K526" s="655"/>
      <c r="L526" s="655"/>
      <c r="M526" s="655"/>
      <c r="N526" s="655"/>
      <c r="O526" s="655"/>
      <c r="P526" s="655"/>
      <c r="Q526" s="655"/>
      <c r="R526" s="655"/>
      <c r="S526" s="655"/>
      <c r="T526" s="655"/>
      <c r="U526" s="655"/>
      <c r="V526" s="655"/>
      <c r="W526" s="655"/>
      <c r="X526" s="655"/>
      <c r="Y526" s="655"/>
      <c r="Z526" s="655"/>
    </row>
    <row r="527">
      <c r="B527" s="462"/>
      <c r="C527" s="671"/>
      <c r="D527" s="462"/>
      <c r="E527" s="654"/>
      <c r="F527" s="650"/>
      <c r="G527" s="654"/>
      <c r="H527" s="654"/>
      <c r="I527" s="650"/>
      <c r="J527" s="650"/>
      <c r="K527" s="655"/>
      <c r="L527" s="655"/>
      <c r="M527" s="655"/>
      <c r="N527" s="655"/>
      <c r="O527" s="655"/>
      <c r="P527" s="655"/>
      <c r="Q527" s="655"/>
      <c r="R527" s="655"/>
      <c r="S527" s="655"/>
      <c r="T527" s="655"/>
      <c r="U527" s="655"/>
      <c r="V527" s="655"/>
      <c r="W527" s="655"/>
      <c r="X527" s="655"/>
      <c r="Y527" s="655"/>
      <c r="Z527" s="655"/>
    </row>
    <row r="528">
      <c r="B528" s="462"/>
      <c r="C528" s="671"/>
      <c r="D528" s="462"/>
      <c r="E528" s="654"/>
      <c r="F528" s="650"/>
      <c r="G528" s="654"/>
      <c r="H528" s="654"/>
      <c r="I528" s="650"/>
      <c r="J528" s="650"/>
      <c r="K528" s="655"/>
      <c r="L528" s="655"/>
      <c r="M528" s="655"/>
      <c r="N528" s="655"/>
      <c r="O528" s="655"/>
      <c r="P528" s="655"/>
      <c r="Q528" s="655"/>
      <c r="R528" s="655"/>
      <c r="S528" s="655"/>
      <c r="T528" s="655"/>
      <c r="U528" s="655"/>
      <c r="V528" s="655"/>
      <c r="W528" s="655"/>
      <c r="X528" s="655"/>
      <c r="Y528" s="655"/>
      <c r="Z528" s="655"/>
    </row>
    <row r="529">
      <c r="B529" s="462"/>
      <c r="C529" s="671"/>
      <c r="D529" s="462"/>
      <c r="E529" s="654"/>
      <c r="F529" s="650"/>
      <c r="G529" s="654"/>
      <c r="H529" s="654"/>
      <c r="I529" s="650"/>
      <c r="J529" s="650"/>
      <c r="K529" s="655"/>
      <c r="L529" s="655"/>
      <c r="M529" s="655"/>
      <c r="N529" s="655"/>
      <c r="O529" s="655"/>
      <c r="P529" s="655"/>
      <c r="Q529" s="655"/>
      <c r="R529" s="655"/>
      <c r="S529" s="655"/>
      <c r="T529" s="655"/>
      <c r="U529" s="655"/>
      <c r="V529" s="655"/>
      <c r="W529" s="655"/>
      <c r="X529" s="655"/>
      <c r="Y529" s="655"/>
      <c r="Z529" s="655"/>
    </row>
    <row r="530">
      <c r="B530" s="462"/>
      <c r="C530" s="671"/>
      <c r="D530" s="462"/>
      <c r="E530" s="654"/>
      <c r="F530" s="650"/>
      <c r="G530" s="654"/>
      <c r="H530" s="654"/>
      <c r="I530" s="650"/>
      <c r="J530" s="650"/>
      <c r="K530" s="655"/>
      <c r="L530" s="655"/>
      <c r="M530" s="655"/>
      <c r="N530" s="655"/>
      <c r="O530" s="655"/>
      <c r="P530" s="655"/>
      <c r="Q530" s="655"/>
      <c r="R530" s="655"/>
      <c r="S530" s="655"/>
      <c r="T530" s="655"/>
      <c r="U530" s="655"/>
      <c r="V530" s="655"/>
      <c r="W530" s="655"/>
      <c r="X530" s="655"/>
      <c r="Y530" s="655"/>
      <c r="Z530" s="655"/>
    </row>
    <row r="531">
      <c r="B531" s="462"/>
      <c r="C531" s="671"/>
      <c r="D531" s="462"/>
      <c r="E531" s="654"/>
      <c r="F531" s="650"/>
      <c r="G531" s="654"/>
      <c r="H531" s="654"/>
      <c r="I531" s="650"/>
      <c r="J531" s="650"/>
      <c r="K531" s="655"/>
      <c r="L531" s="655"/>
      <c r="M531" s="655"/>
      <c r="N531" s="655"/>
      <c r="O531" s="655"/>
      <c r="P531" s="655"/>
      <c r="Q531" s="655"/>
      <c r="R531" s="655"/>
      <c r="S531" s="655"/>
      <c r="T531" s="655"/>
      <c r="U531" s="655"/>
      <c r="V531" s="655"/>
      <c r="W531" s="655"/>
      <c r="X531" s="655"/>
      <c r="Y531" s="655"/>
      <c r="Z531" s="655"/>
    </row>
    <row r="532">
      <c r="B532" s="462"/>
      <c r="C532" s="671"/>
      <c r="D532" s="462"/>
      <c r="E532" s="654"/>
      <c r="F532" s="650"/>
      <c r="G532" s="654"/>
      <c r="H532" s="654"/>
      <c r="I532" s="650"/>
      <c r="J532" s="650"/>
      <c r="K532" s="655"/>
      <c r="L532" s="655"/>
      <c r="M532" s="655"/>
      <c r="N532" s="655"/>
      <c r="O532" s="655"/>
      <c r="P532" s="655"/>
      <c r="Q532" s="655"/>
      <c r="R532" s="655"/>
      <c r="S532" s="655"/>
      <c r="T532" s="655"/>
      <c r="U532" s="655"/>
      <c r="V532" s="655"/>
      <c r="W532" s="655"/>
      <c r="X532" s="655"/>
      <c r="Y532" s="655"/>
      <c r="Z532" s="655"/>
    </row>
    <row r="533">
      <c r="B533" s="462"/>
      <c r="C533" s="671"/>
      <c r="D533" s="462"/>
      <c r="E533" s="654"/>
      <c r="F533" s="650"/>
      <c r="G533" s="654"/>
      <c r="H533" s="654"/>
      <c r="I533" s="650"/>
      <c r="J533" s="650"/>
      <c r="K533" s="655"/>
      <c r="L533" s="655"/>
      <c r="M533" s="655"/>
      <c r="N533" s="655"/>
      <c r="O533" s="655"/>
      <c r="P533" s="655"/>
      <c r="Q533" s="655"/>
      <c r="R533" s="655"/>
      <c r="S533" s="655"/>
      <c r="T533" s="655"/>
      <c r="U533" s="655"/>
      <c r="V533" s="655"/>
      <c r="W533" s="655"/>
      <c r="X533" s="655"/>
      <c r="Y533" s="655"/>
      <c r="Z533" s="655"/>
    </row>
    <row r="534">
      <c r="B534" s="462"/>
      <c r="C534" s="671"/>
      <c r="D534" s="462"/>
      <c r="E534" s="654"/>
      <c r="F534" s="650"/>
      <c r="G534" s="654"/>
      <c r="H534" s="654"/>
      <c r="I534" s="650"/>
      <c r="J534" s="650"/>
      <c r="K534" s="655"/>
      <c r="L534" s="655"/>
      <c r="M534" s="655"/>
      <c r="N534" s="655"/>
      <c r="O534" s="655"/>
      <c r="P534" s="655"/>
      <c r="Q534" s="655"/>
      <c r="R534" s="655"/>
      <c r="S534" s="655"/>
      <c r="T534" s="655"/>
      <c r="U534" s="655"/>
      <c r="V534" s="655"/>
      <c r="W534" s="655"/>
      <c r="X534" s="655"/>
      <c r="Y534" s="655"/>
      <c r="Z534" s="655"/>
    </row>
    <row r="535">
      <c r="B535" s="462"/>
      <c r="C535" s="671"/>
      <c r="D535" s="462"/>
      <c r="E535" s="654"/>
      <c r="F535" s="650"/>
      <c r="G535" s="654"/>
      <c r="H535" s="654"/>
      <c r="I535" s="650"/>
      <c r="J535" s="650"/>
      <c r="K535" s="655"/>
      <c r="L535" s="655"/>
      <c r="M535" s="655"/>
      <c r="N535" s="655"/>
      <c r="O535" s="655"/>
      <c r="P535" s="655"/>
      <c r="Q535" s="655"/>
      <c r="R535" s="655"/>
      <c r="S535" s="655"/>
      <c r="T535" s="655"/>
      <c r="U535" s="655"/>
      <c r="V535" s="655"/>
      <c r="W535" s="655"/>
      <c r="X535" s="655"/>
      <c r="Y535" s="655"/>
      <c r="Z535" s="655"/>
    </row>
    <row r="536">
      <c r="B536" s="462"/>
      <c r="C536" s="671"/>
      <c r="D536" s="462"/>
      <c r="E536" s="654"/>
      <c r="F536" s="650"/>
      <c r="G536" s="654"/>
      <c r="H536" s="654"/>
      <c r="I536" s="650"/>
      <c r="J536" s="650"/>
      <c r="K536" s="655"/>
      <c r="L536" s="655"/>
      <c r="M536" s="655"/>
      <c r="N536" s="655"/>
      <c r="O536" s="655"/>
      <c r="P536" s="655"/>
      <c r="Q536" s="655"/>
      <c r="R536" s="655"/>
      <c r="S536" s="655"/>
      <c r="T536" s="655"/>
      <c r="U536" s="655"/>
      <c r="V536" s="655"/>
      <c r="W536" s="655"/>
      <c r="X536" s="655"/>
      <c r="Y536" s="655"/>
      <c r="Z536" s="655"/>
    </row>
    <row r="537">
      <c r="B537" s="462"/>
      <c r="C537" s="671"/>
      <c r="D537" s="462"/>
      <c r="E537" s="654"/>
      <c r="F537" s="650"/>
      <c r="G537" s="654"/>
      <c r="H537" s="654"/>
      <c r="I537" s="650"/>
      <c r="J537" s="650"/>
      <c r="K537" s="655"/>
      <c r="L537" s="655"/>
      <c r="M537" s="655"/>
      <c r="N537" s="655"/>
      <c r="O537" s="655"/>
      <c r="P537" s="655"/>
      <c r="Q537" s="655"/>
      <c r="R537" s="655"/>
      <c r="S537" s="655"/>
      <c r="T537" s="655"/>
      <c r="U537" s="655"/>
      <c r="V537" s="655"/>
      <c r="W537" s="655"/>
      <c r="X537" s="655"/>
      <c r="Y537" s="655"/>
      <c r="Z537" s="655"/>
    </row>
    <row r="538">
      <c r="B538" s="462"/>
      <c r="C538" s="671"/>
      <c r="D538" s="462"/>
      <c r="E538" s="654"/>
      <c r="F538" s="650"/>
      <c r="G538" s="654"/>
      <c r="H538" s="654"/>
      <c r="I538" s="650"/>
      <c r="J538" s="650"/>
      <c r="K538" s="655"/>
      <c r="L538" s="655"/>
      <c r="M538" s="655"/>
      <c r="N538" s="655"/>
      <c r="O538" s="655"/>
      <c r="P538" s="655"/>
      <c r="Q538" s="655"/>
      <c r="R538" s="655"/>
      <c r="S538" s="655"/>
      <c r="T538" s="655"/>
      <c r="U538" s="655"/>
      <c r="V538" s="655"/>
      <c r="W538" s="655"/>
      <c r="X538" s="655"/>
      <c r="Y538" s="655"/>
      <c r="Z538" s="655"/>
    </row>
    <row r="539">
      <c r="B539" s="462"/>
      <c r="C539" s="671"/>
      <c r="D539" s="462"/>
      <c r="E539" s="654"/>
      <c r="F539" s="650"/>
      <c r="G539" s="654"/>
      <c r="H539" s="654"/>
      <c r="I539" s="650"/>
      <c r="J539" s="650"/>
      <c r="K539" s="655"/>
      <c r="L539" s="655"/>
      <c r="M539" s="655"/>
      <c r="N539" s="655"/>
      <c r="O539" s="655"/>
      <c r="P539" s="655"/>
      <c r="Q539" s="655"/>
      <c r="R539" s="655"/>
      <c r="S539" s="655"/>
      <c r="T539" s="655"/>
      <c r="U539" s="655"/>
      <c r="V539" s="655"/>
      <c r="W539" s="655"/>
      <c r="X539" s="655"/>
      <c r="Y539" s="655"/>
      <c r="Z539" s="655"/>
    </row>
    <row r="540">
      <c r="B540" s="462"/>
      <c r="C540" s="671"/>
      <c r="D540" s="462"/>
      <c r="E540" s="654"/>
      <c r="F540" s="650"/>
      <c r="G540" s="654"/>
      <c r="H540" s="654"/>
      <c r="I540" s="650"/>
      <c r="J540" s="650"/>
      <c r="K540" s="655"/>
      <c r="L540" s="655"/>
      <c r="M540" s="655"/>
      <c r="N540" s="655"/>
      <c r="O540" s="655"/>
      <c r="P540" s="655"/>
      <c r="Q540" s="655"/>
      <c r="R540" s="655"/>
      <c r="S540" s="655"/>
      <c r="T540" s="655"/>
      <c r="U540" s="655"/>
      <c r="V540" s="655"/>
      <c r="W540" s="655"/>
      <c r="X540" s="655"/>
      <c r="Y540" s="655"/>
      <c r="Z540" s="655"/>
    </row>
    <row r="541">
      <c r="B541" s="462"/>
      <c r="C541" s="671"/>
      <c r="D541" s="462"/>
      <c r="E541" s="654"/>
      <c r="F541" s="650"/>
      <c r="G541" s="654"/>
      <c r="H541" s="654"/>
      <c r="I541" s="650"/>
      <c r="J541" s="650"/>
      <c r="K541" s="655"/>
      <c r="L541" s="655"/>
      <c r="M541" s="655"/>
      <c r="N541" s="655"/>
      <c r="O541" s="655"/>
      <c r="P541" s="655"/>
      <c r="Q541" s="655"/>
      <c r="R541" s="655"/>
      <c r="S541" s="655"/>
      <c r="T541" s="655"/>
      <c r="U541" s="655"/>
      <c r="V541" s="655"/>
      <c r="W541" s="655"/>
      <c r="X541" s="655"/>
      <c r="Y541" s="655"/>
      <c r="Z541" s="655"/>
    </row>
    <row r="542">
      <c r="B542" s="462"/>
      <c r="C542" s="671"/>
      <c r="D542" s="462"/>
      <c r="E542" s="654"/>
      <c r="F542" s="650"/>
      <c r="G542" s="654"/>
      <c r="H542" s="654"/>
      <c r="I542" s="650"/>
      <c r="J542" s="650"/>
      <c r="K542" s="655"/>
      <c r="L542" s="655"/>
      <c r="M542" s="655"/>
      <c r="N542" s="655"/>
      <c r="O542" s="655"/>
      <c r="P542" s="655"/>
      <c r="Q542" s="655"/>
      <c r="R542" s="655"/>
      <c r="S542" s="655"/>
      <c r="T542" s="655"/>
      <c r="U542" s="655"/>
      <c r="V542" s="655"/>
      <c r="W542" s="655"/>
      <c r="X542" s="655"/>
      <c r="Y542" s="655"/>
      <c r="Z542" s="655"/>
    </row>
    <row r="543">
      <c r="B543" s="462"/>
      <c r="C543" s="671"/>
      <c r="D543" s="462"/>
      <c r="E543" s="654"/>
      <c r="F543" s="650"/>
      <c r="G543" s="654"/>
      <c r="H543" s="654"/>
      <c r="I543" s="650"/>
      <c r="J543" s="650"/>
      <c r="K543" s="655"/>
      <c r="L543" s="655"/>
      <c r="M543" s="655"/>
      <c r="N543" s="655"/>
      <c r="O543" s="655"/>
      <c r="P543" s="655"/>
      <c r="Q543" s="655"/>
      <c r="R543" s="655"/>
      <c r="S543" s="655"/>
      <c r="T543" s="655"/>
      <c r="U543" s="655"/>
      <c r="V543" s="655"/>
      <c r="W543" s="655"/>
      <c r="X543" s="655"/>
      <c r="Y543" s="655"/>
      <c r="Z543" s="655"/>
    </row>
    <row r="544">
      <c r="B544" s="462"/>
      <c r="C544" s="671"/>
      <c r="D544" s="462"/>
      <c r="E544" s="654"/>
      <c r="F544" s="650"/>
      <c r="G544" s="654"/>
      <c r="H544" s="654"/>
      <c r="I544" s="650"/>
      <c r="J544" s="650"/>
      <c r="K544" s="655"/>
      <c r="L544" s="655"/>
      <c r="M544" s="655"/>
      <c r="N544" s="655"/>
      <c r="O544" s="655"/>
      <c r="P544" s="655"/>
      <c r="Q544" s="655"/>
      <c r="R544" s="655"/>
      <c r="S544" s="655"/>
      <c r="T544" s="655"/>
      <c r="U544" s="655"/>
      <c r="V544" s="655"/>
      <c r="W544" s="655"/>
      <c r="X544" s="655"/>
      <c r="Y544" s="655"/>
      <c r="Z544" s="655"/>
    </row>
    <row r="545">
      <c r="B545" s="462"/>
      <c r="C545" s="671"/>
      <c r="D545" s="462"/>
      <c r="E545" s="654"/>
      <c r="F545" s="650"/>
      <c r="G545" s="654"/>
      <c r="H545" s="654"/>
      <c r="I545" s="650"/>
      <c r="J545" s="650"/>
      <c r="K545" s="655"/>
      <c r="L545" s="655"/>
      <c r="M545" s="655"/>
      <c r="N545" s="655"/>
      <c r="O545" s="655"/>
      <c r="P545" s="655"/>
      <c r="Q545" s="655"/>
      <c r="R545" s="655"/>
      <c r="S545" s="655"/>
      <c r="T545" s="655"/>
      <c r="U545" s="655"/>
      <c r="V545" s="655"/>
      <c r="W545" s="655"/>
      <c r="X545" s="655"/>
      <c r="Y545" s="655"/>
      <c r="Z545" s="655"/>
    </row>
    <row r="546">
      <c r="B546" s="462"/>
      <c r="C546" s="671"/>
      <c r="D546" s="462"/>
      <c r="E546" s="654"/>
      <c r="F546" s="650"/>
      <c r="G546" s="654"/>
      <c r="H546" s="654"/>
      <c r="I546" s="650"/>
      <c r="J546" s="650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</row>
    <row r="547">
      <c r="B547" s="462"/>
      <c r="C547" s="671"/>
      <c r="D547" s="462"/>
      <c r="E547" s="654"/>
      <c r="F547" s="650"/>
      <c r="G547" s="654"/>
      <c r="H547" s="654"/>
      <c r="I547" s="650"/>
      <c r="J547" s="650"/>
      <c r="K547" s="655"/>
      <c r="L547" s="655"/>
      <c r="M547" s="655"/>
      <c r="N547" s="655"/>
      <c r="O547" s="655"/>
      <c r="P547" s="655"/>
      <c r="Q547" s="655"/>
      <c r="R547" s="655"/>
      <c r="S547" s="655"/>
      <c r="T547" s="655"/>
      <c r="U547" s="655"/>
      <c r="V547" s="655"/>
      <c r="W547" s="655"/>
      <c r="X547" s="655"/>
      <c r="Y547" s="655"/>
      <c r="Z547" s="655"/>
    </row>
    <row r="548">
      <c r="B548" s="462"/>
      <c r="C548" s="671"/>
      <c r="D548" s="462"/>
      <c r="E548" s="654"/>
      <c r="F548" s="650"/>
      <c r="G548" s="654"/>
      <c r="H548" s="654"/>
      <c r="I548" s="650"/>
      <c r="J548" s="650"/>
      <c r="K548" s="655"/>
      <c r="L548" s="655"/>
      <c r="M548" s="655"/>
      <c r="N548" s="655"/>
      <c r="O548" s="655"/>
      <c r="P548" s="655"/>
      <c r="Q548" s="655"/>
      <c r="R548" s="655"/>
      <c r="S548" s="655"/>
      <c r="T548" s="655"/>
      <c r="U548" s="655"/>
      <c r="V548" s="655"/>
      <c r="W548" s="655"/>
      <c r="X548" s="655"/>
      <c r="Y548" s="655"/>
      <c r="Z548" s="655"/>
    </row>
    <row r="549">
      <c r="B549" s="462"/>
      <c r="C549" s="671"/>
      <c r="D549" s="462"/>
      <c r="E549" s="654"/>
      <c r="F549" s="650"/>
      <c r="G549" s="654"/>
      <c r="H549" s="654"/>
      <c r="I549" s="650"/>
      <c r="J549" s="650"/>
      <c r="K549" s="655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</row>
    <row r="550">
      <c r="B550" s="462"/>
      <c r="C550" s="671"/>
      <c r="D550" s="462"/>
      <c r="E550" s="654"/>
      <c r="F550" s="650"/>
      <c r="G550" s="654"/>
      <c r="H550" s="654"/>
      <c r="I550" s="650"/>
      <c r="J550" s="650"/>
      <c r="K550" s="655"/>
      <c r="L550" s="655"/>
      <c r="M550" s="655"/>
      <c r="N550" s="655"/>
      <c r="O550" s="655"/>
      <c r="P550" s="655"/>
      <c r="Q550" s="655"/>
      <c r="R550" s="655"/>
      <c r="S550" s="655"/>
      <c r="T550" s="655"/>
      <c r="U550" s="655"/>
      <c r="V550" s="655"/>
      <c r="W550" s="655"/>
      <c r="X550" s="655"/>
      <c r="Y550" s="655"/>
      <c r="Z550" s="655"/>
    </row>
    <row r="551">
      <c r="B551" s="462"/>
      <c r="C551" s="671"/>
      <c r="D551" s="462"/>
      <c r="E551" s="654"/>
      <c r="F551" s="650"/>
      <c r="G551" s="654"/>
      <c r="H551" s="654"/>
      <c r="I551" s="650"/>
      <c r="J551" s="650"/>
      <c r="K551" s="655"/>
      <c r="L551" s="655"/>
      <c r="M551" s="655"/>
      <c r="N551" s="655"/>
      <c r="O551" s="655"/>
      <c r="P551" s="655"/>
      <c r="Q551" s="655"/>
      <c r="R551" s="655"/>
      <c r="S551" s="655"/>
      <c r="T551" s="655"/>
      <c r="U551" s="655"/>
      <c r="V551" s="655"/>
      <c r="W551" s="655"/>
      <c r="X551" s="655"/>
      <c r="Y551" s="655"/>
      <c r="Z551" s="655"/>
    </row>
    <row r="552">
      <c r="B552" s="462"/>
      <c r="C552" s="671"/>
      <c r="D552" s="462"/>
      <c r="E552" s="654"/>
      <c r="F552" s="650"/>
      <c r="G552" s="654"/>
      <c r="H552" s="654"/>
      <c r="I552" s="650"/>
      <c r="J552" s="650"/>
      <c r="K552" s="655"/>
      <c r="L552" s="655"/>
      <c r="M552" s="655"/>
      <c r="N552" s="655"/>
      <c r="O552" s="655"/>
      <c r="P552" s="655"/>
      <c r="Q552" s="655"/>
      <c r="R552" s="655"/>
      <c r="S552" s="655"/>
      <c r="T552" s="655"/>
      <c r="U552" s="655"/>
      <c r="V552" s="655"/>
      <c r="W552" s="655"/>
      <c r="X552" s="655"/>
      <c r="Y552" s="655"/>
      <c r="Z552" s="655"/>
    </row>
    <row r="553">
      <c r="B553" s="462"/>
      <c r="C553" s="671"/>
      <c r="D553" s="462"/>
      <c r="E553" s="654"/>
      <c r="F553" s="650"/>
      <c r="G553" s="654"/>
      <c r="H553" s="654"/>
      <c r="I553" s="650"/>
      <c r="J553" s="650"/>
      <c r="K553" s="655"/>
      <c r="L553" s="655"/>
      <c r="M553" s="655"/>
      <c r="N553" s="655"/>
      <c r="O553" s="655"/>
      <c r="P553" s="655"/>
      <c r="Q553" s="655"/>
      <c r="R553" s="655"/>
      <c r="S553" s="655"/>
      <c r="T553" s="655"/>
      <c r="U553" s="655"/>
      <c r="V553" s="655"/>
      <c r="W553" s="655"/>
      <c r="X553" s="655"/>
      <c r="Y553" s="655"/>
      <c r="Z553" s="655"/>
    </row>
    <row r="554">
      <c r="B554" s="462"/>
      <c r="C554" s="671"/>
      <c r="D554" s="462"/>
      <c r="E554" s="654"/>
      <c r="F554" s="650"/>
      <c r="G554" s="654"/>
      <c r="H554" s="654"/>
      <c r="I554" s="650"/>
      <c r="J554" s="650"/>
      <c r="K554" s="655"/>
      <c r="L554" s="655"/>
      <c r="M554" s="655"/>
      <c r="N554" s="655"/>
      <c r="O554" s="655"/>
      <c r="P554" s="655"/>
      <c r="Q554" s="655"/>
      <c r="R554" s="655"/>
      <c r="S554" s="655"/>
      <c r="T554" s="655"/>
      <c r="U554" s="655"/>
      <c r="V554" s="655"/>
      <c r="W554" s="655"/>
      <c r="X554" s="655"/>
      <c r="Y554" s="655"/>
      <c r="Z554" s="655"/>
    </row>
    <row r="555">
      <c r="B555" s="462"/>
      <c r="C555" s="671"/>
      <c r="D555" s="462"/>
      <c r="E555" s="654"/>
      <c r="F555" s="650"/>
      <c r="G555" s="654"/>
      <c r="H555" s="654"/>
      <c r="I555" s="650"/>
      <c r="J555" s="650"/>
      <c r="K555" s="655"/>
      <c r="L555" s="655"/>
      <c r="M555" s="655"/>
      <c r="N555" s="655"/>
      <c r="O555" s="655"/>
      <c r="P555" s="655"/>
      <c r="Q555" s="655"/>
      <c r="R555" s="655"/>
      <c r="S555" s="655"/>
      <c r="T555" s="655"/>
      <c r="U555" s="655"/>
      <c r="V555" s="655"/>
      <c r="W555" s="655"/>
      <c r="X555" s="655"/>
      <c r="Y555" s="655"/>
      <c r="Z555" s="655"/>
    </row>
    <row r="556">
      <c r="B556" s="462"/>
      <c r="C556" s="671"/>
      <c r="D556" s="462"/>
      <c r="E556" s="654"/>
      <c r="F556" s="650"/>
      <c r="G556" s="654"/>
      <c r="H556" s="654"/>
      <c r="I556" s="650"/>
      <c r="J556" s="650"/>
      <c r="K556" s="655"/>
      <c r="L556" s="655"/>
      <c r="M556" s="655"/>
      <c r="N556" s="655"/>
      <c r="O556" s="655"/>
      <c r="P556" s="655"/>
      <c r="Q556" s="655"/>
      <c r="R556" s="655"/>
      <c r="S556" s="655"/>
      <c r="T556" s="655"/>
      <c r="U556" s="655"/>
      <c r="V556" s="655"/>
      <c r="W556" s="655"/>
      <c r="X556" s="655"/>
      <c r="Y556" s="655"/>
      <c r="Z556" s="655"/>
    </row>
    <row r="557">
      <c r="B557" s="462"/>
      <c r="C557" s="671"/>
      <c r="D557" s="462"/>
      <c r="E557" s="654"/>
      <c r="F557" s="650"/>
      <c r="G557" s="654"/>
      <c r="H557" s="654"/>
      <c r="I557" s="650"/>
      <c r="J557" s="650"/>
      <c r="K557" s="655"/>
      <c r="L557" s="655"/>
      <c r="M557" s="655"/>
      <c r="N557" s="655"/>
      <c r="O557" s="655"/>
      <c r="P557" s="655"/>
      <c r="Q557" s="655"/>
      <c r="R557" s="655"/>
      <c r="S557" s="655"/>
      <c r="T557" s="655"/>
      <c r="U557" s="655"/>
      <c r="V557" s="655"/>
      <c r="W557" s="655"/>
      <c r="X557" s="655"/>
      <c r="Y557" s="655"/>
      <c r="Z557" s="655"/>
    </row>
    <row r="558">
      <c r="B558" s="462"/>
      <c r="C558" s="671"/>
      <c r="D558" s="462"/>
      <c r="E558" s="654"/>
      <c r="F558" s="650"/>
      <c r="G558" s="654"/>
      <c r="H558" s="654"/>
      <c r="I558" s="650"/>
      <c r="J558" s="650"/>
      <c r="K558" s="655"/>
      <c r="L558" s="655"/>
      <c r="M558" s="655"/>
      <c r="N558" s="655"/>
      <c r="O558" s="655"/>
      <c r="P558" s="655"/>
      <c r="Q558" s="655"/>
      <c r="R558" s="655"/>
      <c r="S558" s="655"/>
      <c r="T558" s="655"/>
      <c r="U558" s="655"/>
      <c r="V558" s="655"/>
      <c r="W558" s="655"/>
      <c r="X558" s="655"/>
      <c r="Y558" s="655"/>
      <c r="Z558" s="655"/>
    </row>
    <row r="559">
      <c r="B559" s="462"/>
      <c r="C559" s="671"/>
      <c r="D559" s="462"/>
      <c r="E559" s="654"/>
      <c r="F559" s="650"/>
      <c r="G559" s="654"/>
      <c r="H559" s="654"/>
      <c r="I559" s="650"/>
      <c r="J559" s="650"/>
      <c r="K559" s="655"/>
      <c r="L559" s="655"/>
      <c r="M559" s="655"/>
      <c r="N559" s="655"/>
      <c r="O559" s="655"/>
      <c r="P559" s="655"/>
      <c r="Q559" s="655"/>
      <c r="R559" s="655"/>
      <c r="S559" s="655"/>
      <c r="T559" s="655"/>
      <c r="U559" s="655"/>
      <c r="V559" s="655"/>
      <c r="W559" s="655"/>
      <c r="X559" s="655"/>
      <c r="Y559" s="655"/>
      <c r="Z559" s="655"/>
    </row>
    <row r="560">
      <c r="B560" s="462"/>
      <c r="C560" s="671"/>
      <c r="D560" s="462"/>
      <c r="E560" s="654"/>
      <c r="F560" s="650"/>
      <c r="G560" s="654"/>
      <c r="H560" s="654"/>
      <c r="I560" s="650"/>
      <c r="J560" s="650"/>
      <c r="K560" s="655"/>
      <c r="L560" s="655"/>
      <c r="M560" s="655"/>
      <c r="N560" s="655"/>
      <c r="O560" s="655"/>
      <c r="P560" s="655"/>
      <c r="Q560" s="655"/>
      <c r="R560" s="655"/>
      <c r="S560" s="655"/>
      <c r="T560" s="655"/>
      <c r="U560" s="655"/>
      <c r="V560" s="655"/>
      <c r="W560" s="655"/>
      <c r="X560" s="655"/>
      <c r="Y560" s="655"/>
      <c r="Z560" s="655"/>
    </row>
    <row r="561">
      <c r="B561" s="462"/>
      <c r="C561" s="671"/>
      <c r="D561" s="462"/>
      <c r="E561" s="654"/>
      <c r="F561" s="650"/>
      <c r="G561" s="654"/>
      <c r="H561" s="654"/>
      <c r="I561" s="650"/>
      <c r="J561" s="650"/>
      <c r="K561" s="655"/>
      <c r="L561" s="655"/>
      <c r="M561" s="655"/>
      <c r="N561" s="655"/>
      <c r="O561" s="655"/>
      <c r="P561" s="655"/>
      <c r="Q561" s="655"/>
      <c r="R561" s="655"/>
      <c r="S561" s="655"/>
      <c r="T561" s="655"/>
      <c r="U561" s="655"/>
      <c r="V561" s="655"/>
      <c r="W561" s="655"/>
      <c r="X561" s="655"/>
      <c r="Y561" s="655"/>
      <c r="Z561" s="655"/>
    </row>
    <row r="562">
      <c r="B562" s="462"/>
      <c r="C562" s="671"/>
      <c r="D562" s="462"/>
      <c r="E562" s="654"/>
      <c r="F562" s="650"/>
      <c r="G562" s="654"/>
      <c r="H562" s="654"/>
      <c r="I562" s="650"/>
      <c r="J562" s="650"/>
      <c r="K562" s="655"/>
      <c r="L562" s="655"/>
      <c r="M562" s="655"/>
      <c r="N562" s="655"/>
      <c r="O562" s="655"/>
      <c r="P562" s="655"/>
      <c r="Q562" s="655"/>
      <c r="R562" s="655"/>
      <c r="S562" s="655"/>
      <c r="T562" s="655"/>
      <c r="U562" s="655"/>
      <c r="V562" s="655"/>
      <c r="W562" s="655"/>
      <c r="X562" s="655"/>
      <c r="Y562" s="655"/>
      <c r="Z562" s="655"/>
    </row>
    <row r="563">
      <c r="B563" s="462"/>
      <c r="C563" s="671"/>
      <c r="D563" s="462"/>
      <c r="E563" s="654"/>
      <c r="F563" s="650"/>
      <c r="G563" s="654"/>
      <c r="H563" s="654"/>
      <c r="I563" s="650"/>
      <c r="J563" s="650"/>
      <c r="K563" s="655"/>
      <c r="L563" s="655"/>
      <c r="M563" s="655"/>
      <c r="N563" s="655"/>
      <c r="O563" s="655"/>
      <c r="P563" s="655"/>
      <c r="Q563" s="655"/>
      <c r="R563" s="655"/>
      <c r="S563" s="655"/>
      <c r="T563" s="655"/>
      <c r="U563" s="655"/>
      <c r="V563" s="655"/>
      <c r="W563" s="655"/>
      <c r="X563" s="655"/>
      <c r="Y563" s="655"/>
      <c r="Z563" s="655"/>
    </row>
    <row r="564">
      <c r="B564" s="462"/>
      <c r="C564" s="671"/>
      <c r="D564" s="462"/>
      <c r="E564" s="654"/>
      <c r="F564" s="650"/>
      <c r="G564" s="654"/>
      <c r="H564" s="654"/>
      <c r="I564" s="650"/>
      <c r="J564" s="650"/>
      <c r="K564" s="655"/>
      <c r="L564" s="655"/>
      <c r="M564" s="655"/>
      <c r="N564" s="655"/>
      <c r="O564" s="655"/>
      <c r="P564" s="655"/>
      <c r="Q564" s="655"/>
      <c r="R564" s="655"/>
      <c r="S564" s="655"/>
      <c r="T564" s="655"/>
      <c r="U564" s="655"/>
      <c r="V564" s="655"/>
      <c r="W564" s="655"/>
      <c r="X564" s="655"/>
      <c r="Y564" s="655"/>
      <c r="Z564" s="655"/>
    </row>
    <row r="565">
      <c r="B565" s="462"/>
      <c r="C565" s="671"/>
      <c r="D565" s="462"/>
      <c r="E565" s="654"/>
      <c r="F565" s="650"/>
      <c r="G565" s="654"/>
      <c r="H565" s="654"/>
      <c r="I565" s="650"/>
      <c r="J565" s="650"/>
      <c r="K565" s="655"/>
      <c r="L565" s="655"/>
      <c r="M565" s="655"/>
      <c r="N565" s="655"/>
      <c r="O565" s="655"/>
      <c r="P565" s="655"/>
      <c r="Q565" s="655"/>
      <c r="R565" s="655"/>
      <c r="S565" s="655"/>
      <c r="T565" s="655"/>
      <c r="U565" s="655"/>
      <c r="V565" s="655"/>
      <c r="W565" s="655"/>
      <c r="X565" s="655"/>
      <c r="Y565" s="655"/>
      <c r="Z565" s="655"/>
    </row>
    <row r="566">
      <c r="B566" s="462"/>
      <c r="C566" s="671"/>
      <c r="D566" s="462"/>
      <c r="E566" s="654"/>
      <c r="F566" s="650"/>
      <c r="G566" s="654"/>
      <c r="H566" s="654"/>
      <c r="I566" s="650"/>
      <c r="J566" s="650"/>
      <c r="K566" s="655"/>
      <c r="L566" s="655"/>
      <c r="M566" s="655"/>
      <c r="N566" s="655"/>
      <c r="O566" s="655"/>
      <c r="P566" s="655"/>
      <c r="Q566" s="655"/>
      <c r="R566" s="655"/>
      <c r="S566" s="655"/>
      <c r="T566" s="655"/>
      <c r="U566" s="655"/>
      <c r="V566" s="655"/>
      <c r="W566" s="655"/>
      <c r="X566" s="655"/>
      <c r="Y566" s="655"/>
      <c r="Z566" s="655"/>
    </row>
    <row r="567">
      <c r="B567" s="462"/>
      <c r="C567" s="671"/>
      <c r="D567" s="462"/>
      <c r="E567" s="654"/>
      <c r="F567" s="650"/>
      <c r="G567" s="654"/>
      <c r="H567" s="654"/>
      <c r="I567" s="650"/>
      <c r="J567" s="650"/>
      <c r="K567" s="655"/>
      <c r="L567" s="655"/>
      <c r="M567" s="655"/>
      <c r="N567" s="655"/>
      <c r="O567" s="655"/>
      <c r="P567" s="655"/>
      <c r="Q567" s="655"/>
      <c r="R567" s="655"/>
      <c r="S567" s="655"/>
      <c r="T567" s="655"/>
      <c r="U567" s="655"/>
      <c r="V567" s="655"/>
      <c r="W567" s="655"/>
      <c r="X567" s="655"/>
      <c r="Y567" s="655"/>
      <c r="Z567" s="655"/>
    </row>
    <row r="568">
      <c r="B568" s="462"/>
      <c r="C568" s="671"/>
      <c r="D568" s="462"/>
      <c r="E568" s="654"/>
      <c r="F568" s="650"/>
      <c r="G568" s="654"/>
      <c r="H568" s="654"/>
      <c r="I568" s="650"/>
      <c r="J568" s="650"/>
      <c r="K568" s="655"/>
      <c r="L568" s="655"/>
      <c r="M568" s="655"/>
      <c r="N568" s="655"/>
      <c r="O568" s="655"/>
      <c r="P568" s="655"/>
      <c r="Q568" s="655"/>
      <c r="R568" s="655"/>
      <c r="S568" s="655"/>
      <c r="T568" s="655"/>
      <c r="U568" s="655"/>
      <c r="V568" s="655"/>
      <c r="W568" s="655"/>
      <c r="X568" s="655"/>
      <c r="Y568" s="655"/>
      <c r="Z568" s="655"/>
    </row>
    <row r="569">
      <c r="B569" s="462"/>
      <c r="C569" s="671"/>
      <c r="D569" s="462"/>
      <c r="E569" s="654"/>
      <c r="F569" s="650"/>
      <c r="G569" s="654"/>
      <c r="H569" s="654"/>
      <c r="I569" s="650"/>
      <c r="J569" s="650"/>
      <c r="K569" s="655"/>
      <c r="L569" s="655"/>
      <c r="M569" s="655"/>
      <c r="N569" s="655"/>
      <c r="O569" s="655"/>
      <c r="P569" s="655"/>
      <c r="Q569" s="655"/>
      <c r="R569" s="655"/>
      <c r="S569" s="655"/>
      <c r="T569" s="655"/>
      <c r="U569" s="655"/>
      <c r="V569" s="655"/>
      <c r="W569" s="655"/>
      <c r="X569" s="655"/>
      <c r="Y569" s="655"/>
      <c r="Z569" s="655"/>
    </row>
    <row r="570">
      <c r="B570" s="462"/>
      <c r="C570" s="671"/>
      <c r="D570" s="462"/>
      <c r="E570" s="654"/>
      <c r="F570" s="650"/>
      <c r="G570" s="654"/>
      <c r="H570" s="654"/>
      <c r="I570" s="650"/>
      <c r="J570" s="650"/>
      <c r="K570" s="655"/>
      <c r="L570" s="655"/>
      <c r="M570" s="655"/>
      <c r="N570" s="655"/>
      <c r="O570" s="655"/>
      <c r="P570" s="655"/>
      <c r="Q570" s="655"/>
      <c r="R570" s="655"/>
      <c r="S570" s="655"/>
      <c r="T570" s="655"/>
      <c r="U570" s="655"/>
      <c r="V570" s="655"/>
      <c r="W570" s="655"/>
      <c r="X570" s="655"/>
      <c r="Y570" s="655"/>
      <c r="Z570" s="655"/>
    </row>
    <row r="571">
      <c r="B571" s="462"/>
      <c r="C571" s="671"/>
      <c r="D571" s="462"/>
      <c r="E571" s="654"/>
      <c r="F571" s="650"/>
      <c r="G571" s="654"/>
      <c r="H571" s="654"/>
      <c r="I571" s="650"/>
      <c r="J571" s="650"/>
      <c r="K571" s="655"/>
      <c r="L571" s="655"/>
      <c r="M571" s="655"/>
      <c r="N571" s="655"/>
      <c r="O571" s="655"/>
      <c r="P571" s="655"/>
      <c r="Q571" s="655"/>
      <c r="R571" s="655"/>
      <c r="S571" s="655"/>
      <c r="T571" s="655"/>
      <c r="U571" s="655"/>
      <c r="V571" s="655"/>
      <c r="W571" s="655"/>
      <c r="X571" s="655"/>
      <c r="Y571" s="655"/>
      <c r="Z571" s="655"/>
    </row>
    <row r="572">
      <c r="B572" s="462"/>
      <c r="C572" s="671"/>
      <c r="D572" s="462"/>
      <c r="E572" s="654"/>
      <c r="F572" s="650"/>
      <c r="G572" s="654"/>
      <c r="H572" s="654"/>
      <c r="I572" s="650"/>
      <c r="J572" s="650"/>
      <c r="K572" s="655"/>
      <c r="L572" s="655"/>
      <c r="M572" s="655"/>
      <c r="N572" s="655"/>
      <c r="O572" s="655"/>
      <c r="P572" s="655"/>
      <c r="Q572" s="655"/>
      <c r="R572" s="655"/>
      <c r="S572" s="655"/>
      <c r="T572" s="655"/>
      <c r="U572" s="655"/>
      <c r="V572" s="655"/>
      <c r="W572" s="655"/>
      <c r="X572" s="655"/>
      <c r="Y572" s="655"/>
      <c r="Z572" s="655"/>
    </row>
    <row r="573">
      <c r="B573" s="462"/>
      <c r="C573" s="671"/>
      <c r="D573" s="462"/>
      <c r="E573" s="654"/>
      <c r="F573" s="650"/>
      <c r="G573" s="654"/>
      <c r="H573" s="654"/>
      <c r="I573" s="650"/>
      <c r="J573" s="650"/>
      <c r="K573" s="655"/>
      <c r="L573" s="655"/>
      <c r="M573" s="655"/>
      <c r="N573" s="655"/>
      <c r="O573" s="655"/>
      <c r="P573" s="655"/>
      <c r="Q573" s="655"/>
      <c r="R573" s="655"/>
      <c r="S573" s="655"/>
      <c r="T573" s="655"/>
      <c r="U573" s="655"/>
      <c r="V573" s="655"/>
      <c r="W573" s="655"/>
      <c r="X573" s="655"/>
      <c r="Y573" s="655"/>
      <c r="Z573" s="655"/>
    </row>
    <row r="574">
      <c r="B574" s="462"/>
      <c r="C574" s="671"/>
      <c r="D574" s="462"/>
      <c r="E574" s="654"/>
      <c r="F574" s="650"/>
      <c r="G574" s="654"/>
      <c r="H574" s="654"/>
      <c r="I574" s="650"/>
      <c r="J574" s="650"/>
      <c r="K574" s="655"/>
      <c r="L574" s="655"/>
      <c r="M574" s="655"/>
      <c r="N574" s="655"/>
      <c r="O574" s="655"/>
      <c r="P574" s="655"/>
      <c r="Q574" s="655"/>
      <c r="R574" s="655"/>
      <c r="S574" s="655"/>
      <c r="T574" s="655"/>
      <c r="U574" s="655"/>
      <c r="V574" s="655"/>
      <c r="W574" s="655"/>
      <c r="X574" s="655"/>
      <c r="Y574" s="655"/>
      <c r="Z574" s="655"/>
    </row>
    <row r="575">
      <c r="B575" s="462"/>
      <c r="C575" s="671"/>
      <c r="D575" s="462"/>
      <c r="E575" s="654"/>
      <c r="F575" s="650"/>
      <c r="G575" s="654"/>
      <c r="H575" s="654"/>
      <c r="I575" s="650"/>
      <c r="J575" s="650"/>
      <c r="K575" s="655"/>
      <c r="L575" s="655"/>
      <c r="M575" s="655"/>
      <c r="N575" s="655"/>
      <c r="O575" s="655"/>
      <c r="P575" s="655"/>
      <c r="Q575" s="655"/>
      <c r="R575" s="655"/>
      <c r="S575" s="655"/>
      <c r="T575" s="655"/>
      <c r="U575" s="655"/>
      <c r="V575" s="655"/>
      <c r="W575" s="655"/>
      <c r="X575" s="655"/>
      <c r="Y575" s="655"/>
      <c r="Z575" s="655"/>
    </row>
    <row r="576">
      <c r="B576" s="462"/>
      <c r="C576" s="671"/>
      <c r="D576" s="462"/>
      <c r="E576" s="654"/>
      <c r="F576" s="650"/>
      <c r="G576" s="654"/>
      <c r="H576" s="654"/>
      <c r="I576" s="650"/>
      <c r="J576" s="650"/>
      <c r="K576" s="655"/>
      <c r="L576" s="655"/>
      <c r="M576" s="655"/>
      <c r="N576" s="655"/>
      <c r="O576" s="655"/>
      <c r="P576" s="655"/>
      <c r="Q576" s="655"/>
      <c r="R576" s="655"/>
      <c r="S576" s="655"/>
      <c r="T576" s="655"/>
      <c r="U576" s="655"/>
      <c r="V576" s="655"/>
      <c r="W576" s="655"/>
      <c r="X576" s="655"/>
      <c r="Y576" s="655"/>
      <c r="Z576" s="655"/>
    </row>
    <row r="577">
      <c r="B577" s="462"/>
      <c r="C577" s="671"/>
      <c r="D577" s="462"/>
      <c r="E577" s="654"/>
      <c r="F577" s="650"/>
      <c r="G577" s="654"/>
      <c r="H577" s="654"/>
      <c r="I577" s="650"/>
      <c r="J577" s="650"/>
      <c r="K577" s="655"/>
      <c r="L577" s="655"/>
      <c r="M577" s="655"/>
      <c r="N577" s="655"/>
      <c r="O577" s="655"/>
      <c r="P577" s="655"/>
      <c r="Q577" s="655"/>
      <c r="R577" s="655"/>
      <c r="S577" s="655"/>
      <c r="T577" s="655"/>
      <c r="U577" s="655"/>
      <c r="V577" s="655"/>
      <c r="W577" s="655"/>
      <c r="X577" s="655"/>
      <c r="Y577" s="655"/>
      <c r="Z577" s="655"/>
    </row>
    <row r="578">
      <c r="B578" s="462"/>
      <c r="C578" s="671"/>
      <c r="D578" s="462"/>
      <c r="E578" s="654"/>
      <c r="F578" s="650"/>
      <c r="G578" s="654"/>
      <c r="H578" s="654"/>
      <c r="I578" s="650"/>
      <c r="J578" s="650"/>
      <c r="K578" s="655"/>
      <c r="L578" s="655"/>
      <c r="M578" s="655"/>
      <c r="N578" s="655"/>
      <c r="O578" s="655"/>
      <c r="P578" s="655"/>
      <c r="Q578" s="655"/>
      <c r="R578" s="655"/>
      <c r="S578" s="655"/>
      <c r="T578" s="655"/>
      <c r="U578" s="655"/>
      <c r="V578" s="655"/>
      <c r="W578" s="655"/>
      <c r="X578" s="655"/>
      <c r="Y578" s="655"/>
      <c r="Z578" s="655"/>
    </row>
    <row r="579">
      <c r="B579" s="462"/>
      <c r="C579" s="671"/>
      <c r="D579" s="462"/>
      <c r="E579" s="654"/>
      <c r="F579" s="650"/>
      <c r="G579" s="654"/>
      <c r="H579" s="654"/>
      <c r="I579" s="650"/>
      <c r="J579" s="650"/>
      <c r="K579" s="655"/>
      <c r="L579" s="655"/>
      <c r="M579" s="655"/>
      <c r="N579" s="655"/>
      <c r="O579" s="655"/>
      <c r="P579" s="655"/>
      <c r="Q579" s="655"/>
      <c r="R579" s="655"/>
      <c r="S579" s="655"/>
      <c r="T579" s="655"/>
      <c r="U579" s="655"/>
      <c r="V579" s="655"/>
      <c r="W579" s="655"/>
      <c r="X579" s="655"/>
      <c r="Y579" s="655"/>
      <c r="Z579" s="655"/>
    </row>
    <row r="580">
      <c r="B580" s="462"/>
      <c r="C580" s="671"/>
      <c r="D580" s="462"/>
      <c r="E580" s="654"/>
      <c r="F580" s="650"/>
      <c r="G580" s="654"/>
      <c r="H580" s="654"/>
      <c r="I580" s="650"/>
      <c r="J580" s="650"/>
      <c r="K580" s="655"/>
      <c r="L580" s="655"/>
      <c r="M580" s="655"/>
      <c r="N580" s="655"/>
      <c r="O580" s="655"/>
      <c r="P580" s="655"/>
      <c r="Q580" s="655"/>
      <c r="R580" s="655"/>
      <c r="S580" s="655"/>
      <c r="T580" s="655"/>
      <c r="U580" s="655"/>
      <c r="V580" s="655"/>
      <c r="W580" s="655"/>
      <c r="X580" s="655"/>
      <c r="Y580" s="655"/>
      <c r="Z580" s="655"/>
    </row>
    <row r="581">
      <c r="B581" s="462"/>
      <c r="C581" s="671"/>
      <c r="D581" s="462"/>
      <c r="E581" s="654"/>
      <c r="F581" s="650"/>
      <c r="G581" s="654"/>
      <c r="H581" s="654"/>
      <c r="I581" s="650"/>
      <c r="J581" s="650"/>
      <c r="K581" s="655"/>
      <c r="L581" s="655"/>
      <c r="M581" s="655"/>
      <c r="N581" s="655"/>
      <c r="O581" s="655"/>
      <c r="P581" s="655"/>
      <c r="Q581" s="655"/>
      <c r="R581" s="655"/>
      <c r="S581" s="655"/>
      <c r="T581" s="655"/>
      <c r="U581" s="655"/>
      <c r="V581" s="655"/>
      <c r="W581" s="655"/>
      <c r="X581" s="655"/>
      <c r="Y581" s="655"/>
      <c r="Z581" s="655"/>
    </row>
    <row r="582">
      <c r="B582" s="462"/>
      <c r="C582" s="671"/>
      <c r="D582" s="462"/>
      <c r="E582" s="654"/>
      <c r="F582" s="650"/>
      <c r="G582" s="654"/>
      <c r="H582" s="654"/>
      <c r="I582" s="650"/>
      <c r="J582" s="650"/>
      <c r="K582" s="655"/>
      <c r="L582" s="655"/>
      <c r="M582" s="655"/>
      <c r="N582" s="655"/>
      <c r="O582" s="655"/>
      <c r="P582" s="655"/>
      <c r="Q582" s="655"/>
      <c r="R582" s="655"/>
      <c r="S582" s="655"/>
      <c r="T582" s="655"/>
      <c r="U582" s="655"/>
      <c r="V582" s="655"/>
      <c r="W582" s="655"/>
      <c r="X582" s="655"/>
      <c r="Y582" s="655"/>
      <c r="Z582" s="655"/>
    </row>
    <row r="583">
      <c r="B583" s="462"/>
      <c r="C583" s="671"/>
      <c r="D583" s="462"/>
      <c r="E583" s="654"/>
      <c r="F583" s="650"/>
      <c r="G583" s="654"/>
      <c r="H583" s="654"/>
      <c r="I583" s="650"/>
      <c r="J583" s="650"/>
      <c r="K583" s="655"/>
      <c r="L583" s="655"/>
      <c r="M583" s="655"/>
      <c r="N583" s="655"/>
      <c r="O583" s="655"/>
      <c r="P583" s="655"/>
      <c r="Q583" s="655"/>
      <c r="R583" s="655"/>
      <c r="S583" s="655"/>
      <c r="T583" s="655"/>
      <c r="U583" s="655"/>
      <c r="V583" s="655"/>
      <c r="W583" s="655"/>
      <c r="X583" s="655"/>
      <c r="Y583" s="655"/>
      <c r="Z583" s="655"/>
    </row>
    <row r="584">
      <c r="B584" s="462"/>
      <c r="C584" s="671"/>
      <c r="D584" s="462"/>
      <c r="E584" s="654"/>
      <c r="F584" s="650"/>
      <c r="G584" s="654"/>
      <c r="H584" s="654"/>
      <c r="I584" s="650"/>
      <c r="J584" s="650"/>
      <c r="K584" s="655"/>
      <c r="L584" s="655"/>
      <c r="M584" s="655"/>
      <c r="N584" s="655"/>
      <c r="O584" s="655"/>
      <c r="P584" s="655"/>
      <c r="Q584" s="655"/>
      <c r="R584" s="655"/>
      <c r="S584" s="655"/>
      <c r="T584" s="655"/>
      <c r="U584" s="655"/>
      <c r="V584" s="655"/>
      <c r="W584" s="655"/>
      <c r="X584" s="655"/>
      <c r="Y584" s="655"/>
      <c r="Z584" s="655"/>
    </row>
    <row r="585">
      <c r="B585" s="462"/>
      <c r="C585" s="671"/>
      <c r="D585" s="462"/>
      <c r="E585" s="654"/>
      <c r="F585" s="650"/>
      <c r="G585" s="654"/>
      <c r="H585" s="654"/>
      <c r="I585" s="650"/>
      <c r="J585" s="650"/>
      <c r="K585" s="655"/>
      <c r="L585" s="655"/>
      <c r="M585" s="655"/>
      <c r="N585" s="655"/>
      <c r="O585" s="655"/>
      <c r="P585" s="655"/>
      <c r="Q585" s="655"/>
      <c r="R585" s="655"/>
      <c r="S585" s="655"/>
      <c r="T585" s="655"/>
      <c r="U585" s="655"/>
      <c r="V585" s="655"/>
      <c r="W585" s="655"/>
      <c r="X585" s="655"/>
      <c r="Y585" s="655"/>
      <c r="Z585" s="655"/>
    </row>
    <row r="586">
      <c r="B586" s="462"/>
      <c r="C586" s="671"/>
      <c r="D586" s="462"/>
      <c r="E586" s="654"/>
      <c r="F586" s="650"/>
      <c r="G586" s="654"/>
      <c r="H586" s="654"/>
      <c r="I586" s="650"/>
      <c r="J586" s="650"/>
      <c r="K586" s="655"/>
      <c r="L586" s="655"/>
      <c r="M586" s="655"/>
      <c r="N586" s="655"/>
      <c r="O586" s="655"/>
      <c r="P586" s="655"/>
      <c r="Q586" s="655"/>
      <c r="R586" s="655"/>
      <c r="S586" s="655"/>
      <c r="T586" s="655"/>
      <c r="U586" s="655"/>
      <c r="V586" s="655"/>
      <c r="W586" s="655"/>
      <c r="X586" s="655"/>
      <c r="Y586" s="655"/>
      <c r="Z586" s="655"/>
    </row>
    <row r="587">
      <c r="B587" s="462"/>
      <c r="C587" s="671"/>
      <c r="D587" s="462"/>
      <c r="E587" s="654"/>
      <c r="F587" s="650"/>
      <c r="G587" s="654"/>
      <c r="H587" s="654"/>
      <c r="I587" s="650"/>
      <c r="J587" s="650"/>
      <c r="K587" s="655"/>
      <c r="L587" s="655"/>
      <c r="M587" s="655"/>
      <c r="N587" s="655"/>
      <c r="O587" s="655"/>
      <c r="P587" s="655"/>
      <c r="Q587" s="655"/>
      <c r="R587" s="655"/>
      <c r="S587" s="655"/>
      <c r="T587" s="655"/>
      <c r="U587" s="655"/>
      <c r="V587" s="655"/>
      <c r="W587" s="655"/>
      <c r="X587" s="655"/>
      <c r="Y587" s="655"/>
      <c r="Z587" s="655"/>
    </row>
    <row r="588">
      <c r="B588" s="462"/>
      <c r="C588" s="671"/>
      <c r="D588" s="462"/>
      <c r="E588" s="654"/>
      <c r="F588" s="650"/>
      <c r="G588" s="654"/>
      <c r="H588" s="654"/>
      <c r="I588" s="650"/>
      <c r="J588" s="650"/>
      <c r="K588" s="655"/>
      <c r="L588" s="655"/>
      <c r="M588" s="655"/>
      <c r="N588" s="655"/>
      <c r="O588" s="655"/>
      <c r="P588" s="655"/>
      <c r="Q588" s="655"/>
      <c r="R588" s="655"/>
      <c r="S588" s="655"/>
      <c r="T588" s="655"/>
      <c r="U588" s="655"/>
      <c r="V588" s="655"/>
      <c r="W588" s="655"/>
      <c r="X588" s="655"/>
      <c r="Y588" s="655"/>
      <c r="Z588" s="655"/>
    </row>
    <row r="589">
      <c r="B589" s="462"/>
      <c r="C589" s="671"/>
      <c r="D589" s="462"/>
      <c r="E589" s="654"/>
      <c r="F589" s="650"/>
      <c r="G589" s="654"/>
      <c r="H589" s="654"/>
      <c r="I589" s="650"/>
      <c r="J589" s="650"/>
      <c r="K589" s="655"/>
      <c r="L589" s="655"/>
      <c r="M589" s="655"/>
      <c r="N589" s="655"/>
      <c r="O589" s="655"/>
      <c r="P589" s="655"/>
      <c r="Q589" s="655"/>
      <c r="R589" s="655"/>
      <c r="S589" s="655"/>
      <c r="T589" s="655"/>
      <c r="U589" s="655"/>
      <c r="V589" s="655"/>
      <c r="W589" s="655"/>
      <c r="X589" s="655"/>
      <c r="Y589" s="655"/>
      <c r="Z589" s="655"/>
    </row>
    <row r="590">
      <c r="B590" s="462"/>
      <c r="C590" s="671"/>
      <c r="D590" s="462"/>
      <c r="E590" s="654"/>
      <c r="F590" s="650"/>
      <c r="G590" s="654"/>
      <c r="H590" s="654"/>
      <c r="I590" s="650"/>
      <c r="J590" s="650"/>
      <c r="K590" s="655"/>
      <c r="L590" s="655"/>
      <c r="M590" s="655"/>
      <c r="N590" s="655"/>
      <c r="O590" s="655"/>
      <c r="P590" s="655"/>
      <c r="Q590" s="655"/>
      <c r="R590" s="655"/>
      <c r="S590" s="655"/>
      <c r="T590" s="655"/>
      <c r="U590" s="655"/>
      <c r="V590" s="655"/>
      <c r="W590" s="655"/>
      <c r="X590" s="655"/>
      <c r="Y590" s="655"/>
      <c r="Z590" s="655"/>
    </row>
    <row r="591">
      <c r="B591" s="462"/>
      <c r="C591" s="671"/>
      <c r="D591" s="462"/>
      <c r="E591" s="654"/>
      <c r="F591" s="650"/>
      <c r="G591" s="654"/>
      <c r="H591" s="654"/>
      <c r="I591" s="650"/>
      <c r="J591" s="650"/>
      <c r="K591" s="655"/>
      <c r="L591" s="655"/>
      <c r="M591" s="655"/>
      <c r="N591" s="655"/>
      <c r="O591" s="655"/>
      <c r="P591" s="655"/>
      <c r="Q591" s="655"/>
      <c r="R591" s="655"/>
      <c r="S591" s="655"/>
      <c r="T591" s="655"/>
      <c r="U591" s="655"/>
      <c r="V591" s="655"/>
      <c r="W591" s="655"/>
      <c r="X591" s="655"/>
      <c r="Y591" s="655"/>
      <c r="Z591" s="655"/>
    </row>
    <row r="592">
      <c r="B592" s="462"/>
      <c r="C592" s="671"/>
      <c r="D592" s="462"/>
      <c r="E592" s="654"/>
      <c r="F592" s="650"/>
      <c r="G592" s="654"/>
      <c r="H592" s="654"/>
      <c r="I592" s="650"/>
      <c r="J592" s="650"/>
      <c r="K592" s="655"/>
      <c r="L592" s="655"/>
      <c r="M592" s="655"/>
      <c r="N592" s="655"/>
      <c r="O592" s="655"/>
      <c r="P592" s="655"/>
      <c r="Q592" s="655"/>
      <c r="R592" s="655"/>
      <c r="S592" s="655"/>
      <c r="T592" s="655"/>
      <c r="U592" s="655"/>
      <c r="V592" s="655"/>
      <c r="W592" s="655"/>
      <c r="X592" s="655"/>
      <c r="Y592" s="655"/>
      <c r="Z592" s="655"/>
    </row>
    <row r="593">
      <c r="B593" s="462"/>
      <c r="C593" s="671"/>
      <c r="D593" s="462"/>
      <c r="E593" s="654"/>
      <c r="F593" s="650"/>
      <c r="G593" s="654"/>
      <c r="H593" s="654"/>
      <c r="I593" s="650"/>
      <c r="J593" s="650"/>
      <c r="K593" s="655"/>
      <c r="L593" s="655"/>
      <c r="M593" s="655"/>
      <c r="N593" s="655"/>
      <c r="O593" s="655"/>
      <c r="P593" s="655"/>
      <c r="Q593" s="655"/>
      <c r="R593" s="655"/>
      <c r="S593" s="655"/>
      <c r="T593" s="655"/>
      <c r="U593" s="655"/>
      <c r="V593" s="655"/>
      <c r="W593" s="655"/>
      <c r="X593" s="655"/>
      <c r="Y593" s="655"/>
      <c r="Z593" s="655"/>
    </row>
    <row r="594">
      <c r="B594" s="462"/>
      <c r="C594" s="671"/>
      <c r="D594" s="462"/>
      <c r="E594" s="654"/>
      <c r="F594" s="650"/>
      <c r="G594" s="654"/>
      <c r="H594" s="654"/>
      <c r="I594" s="650"/>
      <c r="J594" s="650"/>
      <c r="K594" s="655"/>
      <c r="L594" s="655"/>
      <c r="M594" s="655"/>
      <c r="N594" s="655"/>
      <c r="O594" s="655"/>
      <c r="P594" s="655"/>
      <c r="Q594" s="655"/>
      <c r="R594" s="655"/>
      <c r="S594" s="655"/>
      <c r="T594" s="655"/>
      <c r="U594" s="655"/>
      <c r="V594" s="655"/>
      <c r="W594" s="655"/>
      <c r="X594" s="655"/>
      <c r="Y594" s="655"/>
      <c r="Z594" s="655"/>
    </row>
    <row r="595">
      <c r="B595" s="462"/>
      <c r="C595" s="671"/>
      <c r="D595" s="462"/>
      <c r="E595" s="654"/>
      <c r="F595" s="650"/>
      <c r="G595" s="654"/>
      <c r="H595" s="654"/>
      <c r="I595" s="650"/>
      <c r="J595" s="650"/>
      <c r="K595" s="655"/>
      <c r="L595" s="655"/>
      <c r="M595" s="655"/>
      <c r="N595" s="655"/>
      <c r="O595" s="655"/>
      <c r="P595" s="655"/>
      <c r="Q595" s="655"/>
      <c r="R595" s="655"/>
      <c r="S595" s="655"/>
      <c r="T595" s="655"/>
      <c r="U595" s="655"/>
      <c r="V595" s="655"/>
      <c r="W595" s="655"/>
      <c r="X595" s="655"/>
      <c r="Y595" s="655"/>
      <c r="Z595" s="655"/>
    </row>
    <row r="596">
      <c r="B596" s="462"/>
      <c r="C596" s="671"/>
      <c r="D596" s="462"/>
      <c r="E596" s="654"/>
      <c r="F596" s="650"/>
      <c r="G596" s="654"/>
      <c r="H596" s="654"/>
      <c r="I596" s="650"/>
      <c r="J596" s="650"/>
      <c r="K596" s="655"/>
      <c r="L596" s="655"/>
      <c r="M596" s="655"/>
      <c r="N596" s="655"/>
      <c r="O596" s="655"/>
      <c r="P596" s="655"/>
      <c r="Q596" s="655"/>
      <c r="R596" s="655"/>
      <c r="S596" s="655"/>
      <c r="T596" s="655"/>
      <c r="U596" s="655"/>
      <c r="V596" s="655"/>
      <c r="W596" s="655"/>
      <c r="X596" s="655"/>
      <c r="Y596" s="655"/>
      <c r="Z596" s="655"/>
    </row>
    <row r="597">
      <c r="B597" s="462"/>
      <c r="C597" s="671"/>
      <c r="D597" s="462"/>
      <c r="E597" s="654"/>
      <c r="F597" s="650"/>
      <c r="G597" s="654"/>
      <c r="H597" s="654"/>
      <c r="I597" s="650"/>
      <c r="J597" s="650"/>
      <c r="K597" s="655"/>
      <c r="L597" s="655"/>
      <c r="M597" s="655"/>
      <c r="N597" s="655"/>
      <c r="O597" s="655"/>
      <c r="P597" s="655"/>
      <c r="Q597" s="655"/>
      <c r="R597" s="655"/>
      <c r="S597" s="655"/>
      <c r="T597" s="655"/>
      <c r="U597" s="655"/>
      <c r="V597" s="655"/>
      <c r="W597" s="655"/>
      <c r="X597" s="655"/>
      <c r="Y597" s="655"/>
      <c r="Z597" s="655"/>
    </row>
    <row r="598">
      <c r="B598" s="462"/>
      <c r="C598" s="671"/>
      <c r="D598" s="462"/>
      <c r="E598" s="654"/>
      <c r="F598" s="650"/>
      <c r="G598" s="654"/>
      <c r="H598" s="654"/>
      <c r="I598" s="650"/>
      <c r="J598" s="650"/>
      <c r="K598" s="655"/>
      <c r="L598" s="655"/>
      <c r="M598" s="655"/>
      <c r="N598" s="655"/>
      <c r="O598" s="655"/>
      <c r="P598" s="655"/>
      <c r="Q598" s="655"/>
      <c r="R598" s="655"/>
      <c r="S598" s="655"/>
      <c r="T598" s="655"/>
      <c r="U598" s="655"/>
      <c r="V598" s="655"/>
      <c r="W598" s="655"/>
      <c r="X598" s="655"/>
      <c r="Y598" s="655"/>
      <c r="Z598" s="655"/>
    </row>
    <row r="599">
      <c r="B599" s="462"/>
      <c r="C599" s="671"/>
      <c r="D599" s="462"/>
      <c r="E599" s="654"/>
      <c r="F599" s="650"/>
      <c r="G599" s="654"/>
      <c r="H599" s="654"/>
      <c r="I599" s="650"/>
      <c r="J599" s="650"/>
      <c r="K599" s="655"/>
      <c r="L599" s="655"/>
      <c r="M599" s="655"/>
      <c r="N599" s="655"/>
      <c r="O599" s="655"/>
      <c r="P599" s="655"/>
      <c r="Q599" s="655"/>
      <c r="R599" s="655"/>
      <c r="S599" s="655"/>
      <c r="T599" s="655"/>
      <c r="U599" s="655"/>
      <c r="V599" s="655"/>
      <c r="W599" s="655"/>
      <c r="X599" s="655"/>
      <c r="Y599" s="655"/>
      <c r="Z599" s="655"/>
    </row>
    <row r="600">
      <c r="B600" s="462"/>
      <c r="C600" s="671"/>
      <c r="D600" s="462"/>
      <c r="E600" s="654"/>
      <c r="F600" s="650"/>
      <c r="G600" s="654"/>
      <c r="H600" s="654"/>
      <c r="I600" s="650"/>
      <c r="J600" s="650"/>
      <c r="K600" s="655"/>
      <c r="L600" s="655"/>
      <c r="M600" s="655"/>
      <c r="N600" s="655"/>
      <c r="O600" s="655"/>
      <c r="P600" s="655"/>
      <c r="Q600" s="655"/>
      <c r="R600" s="655"/>
      <c r="S600" s="655"/>
      <c r="T600" s="655"/>
      <c r="U600" s="655"/>
      <c r="V600" s="655"/>
      <c r="W600" s="655"/>
      <c r="X600" s="655"/>
      <c r="Y600" s="655"/>
      <c r="Z600" s="655"/>
    </row>
    <row r="601">
      <c r="B601" s="462"/>
      <c r="C601" s="671"/>
      <c r="D601" s="462"/>
      <c r="E601" s="654"/>
      <c r="F601" s="650"/>
      <c r="G601" s="654"/>
      <c r="H601" s="654"/>
      <c r="I601" s="650"/>
      <c r="J601" s="650"/>
      <c r="K601" s="655"/>
      <c r="L601" s="655"/>
      <c r="M601" s="655"/>
      <c r="N601" s="655"/>
      <c r="O601" s="655"/>
      <c r="P601" s="655"/>
      <c r="Q601" s="655"/>
      <c r="R601" s="655"/>
      <c r="S601" s="655"/>
      <c r="T601" s="655"/>
      <c r="U601" s="655"/>
      <c r="V601" s="655"/>
      <c r="W601" s="655"/>
      <c r="X601" s="655"/>
      <c r="Y601" s="655"/>
      <c r="Z601" s="655"/>
    </row>
    <row r="602">
      <c r="B602" s="462"/>
      <c r="C602" s="671"/>
      <c r="D602" s="462"/>
      <c r="E602" s="654"/>
      <c r="F602" s="650"/>
      <c r="G602" s="654"/>
      <c r="H602" s="654"/>
      <c r="I602" s="650"/>
      <c r="J602" s="650"/>
      <c r="K602" s="655"/>
      <c r="L602" s="655"/>
      <c r="M602" s="655"/>
      <c r="N602" s="655"/>
      <c r="O602" s="655"/>
      <c r="P602" s="655"/>
      <c r="Q602" s="655"/>
      <c r="R602" s="655"/>
      <c r="S602" s="655"/>
      <c r="T602" s="655"/>
      <c r="U602" s="655"/>
      <c r="V602" s="655"/>
      <c r="W602" s="655"/>
      <c r="X602" s="655"/>
      <c r="Y602" s="655"/>
      <c r="Z602" s="655"/>
    </row>
    <row r="603">
      <c r="B603" s="462"/>
      <c r="C603" s="671"/>
      <c r="D603" s="462"/>
      <c r="E603" s="654"/>
      <c r="F603" s="650"/>
      <c r="G603" s="654"/>
      <c r="H603" s="654"/>
      <c r="I603" s="650"/>
      <c r="J603" s="650"/>
      <c r="K603" s="655"/>
      <c r="L603" s="655"/>
      <c r="M603" s="655"/>
      <c r="N603" s="655"/>
      <c r="O603" s="655"/>
      <c r="P603" s="655"/>
      <c r="Q603" s="655"/>
      <c r="R603" s="655"/>
      <c r="S603" s="655"/>
      <c r="T603" s="655"/>
      <c r="U603" s="655"/>
      <c r="V603" s="655"/>
      <c r="W603" s="655"/>
      <c r="X603" s="655"/>
      <c r="Y603" s="655"/>
      <c r="Z603" s="655"/>
    </row>
    <row r="604">
      <c r="B604" s="462"/>
      <c r="C604" s="671"/>
      <c r="D604" s="462"/>
      <c r="E604" s="654"/>
      <c r="F604" s="650"/>
      <c r="G604" s="654"/>
      <c r="H604" s="654"/>
      <c r="I604" s="650"/>
      <c r="J604" s="650"/>
      <c r="K604" s="655"/>
      <c r="L604" s="655"/>
      <c r="M604" s="655"/>
      <c r="N604" s="655"/>
      <c r="O604" s="655"/>
      <c r="P604" s="655"/>
      <c r="Q604" s="655"/>
      <c r="R604" s="655"/>
      <c r="S604" s="655"/>
      <c r="T604" s="655"/>
      <c r="U604" s="655"/>
      <c r="V604" s="655"/>
      <c r="W604" s="655"/>
      <c r="X604" s="655"/>
      <c r="Y604" s="655"/>
      <c r="Z604" s="655"/>
    </row>
    <row r="605">
      <c r="B605" s="462"/>
      <c r="C605" s="671"/>
      <c r="D605" s="462"/>
      <c r="E605" s="654"/>
      <c r="F605" s="650"/>
      <c r="G605" s="654"/>
      <c r="H605" s="654"/>
      <c r="I605" s="650"/>
      <c r="J605" s="650"/>
      <c r="K605" s="655"/>
      <c r="L605" s="655"/>
      <c r="M605" s="655"/>
      <c r="N605" s="655"/>
      <c r="O605" s="655"/>
      <c r="P605" s="655"/>
      <c r="Q605" s="655"/>
      <c r="R605" s="655"/>
      <c r="S605" s="655"/>
      <c r="T605" s="655"/>
      <c r="U605" s="655"/>
      <c r="V605" s="655"/>
      <c r="W605" s="655"/>
      <c r="X605" s="655"/>
      <c r="Y605" s="655"/>
      <c r="Z605" s="655"/>
    </row>
    <row r="606">
      <c r="B606" s="462"/>
      <c r="C606" s="671"/>
      <c r="D606" s="462"/>
      <c r="E606" s="654"/>
      <c r="F606" s="650"/>
      <c r="G606" s="654"/>
      <c r="H606" s="654"/>
      <c r="I606" s="650"/>
      <c r="J606" s="650"/>
      <c r="K606" s="655"/>
      <c r="L606" s="655"/>
      <c r="M606" s="655"/>
      <c r="N606" s="655"/>
      <c r="O606" s="655"/>
      <c r="P606" s="655"/>
      <c r="Q606" s="655"/>
      <c r="R606" s="655"/>
      <c r="S606" s="655"/>
      <c r="T606" s="655"/>
      <c r="U606" s="655"/>
      <c r="V606" s="655"/>
      <c r="W606" s="655"/>
      <c r="X606" s="655"/>
      <c r="Y606" s="655"/>
      <c r="Z606" s="655"/>
    </row>
    <row r="607">
      <c r="B607" s="462"/>
      <c r="C607" s="671"/>
      <c r="D607" s="462"/>
      <c r="E607" s="654"/>
      <c r="F607" s="650"/>
      <c r="G607" s="654"/>
      <c r="H607" s="654"/>
      <c r="I607" s="650"/>
      <c r="J607" s="650"/>
      <c r="K607" s="655"/>
      <c r="L607" s="655"/>
      <c r="M607" s="655"/>
      <c r="N607" s="655"/>
      <c r="O607" s="655"/>
      <c r="P607" s="655"/>
      <c r="Q607" s="655"/>
      <c r="R607" s="655"/>
      <c r="S607" s="655"/>
      <c r="T607" s="655"/>
      <c r="U607" s="655"/>
      <c r="V607" s="655"/>
      <c r="W607" s="655"/>
      <c r="X607" s="655"/>
      <c r="Y607" s="655"/>
      <c r="Z607" s="655"/>
    </row>
    <row r="608">
      <c r="B608" s="462"/>
      <c r="C608" s="671"/>
      <c r="D608" s="462"/>
      <c r="E608" s="654"/>
      <c r="F608" s="650"/>
      <c r="G608" s="654"/>
      <c r="H608" s="654"/>
      <c r="I608" s="650"/>
      <c r="J608" s="650"/>
      <c r="K608" s="655"/>
      <c r="L608" s="655"/>
      <c r="M608" s="655"/>
      <c r="N608" s="655"/>
      <c r="O608" s="655"/>
      <c r="P608" s="655"/>
      <c r="Q608" s="655"/>
      <c r="R608" s="655"/>
      <c r="S608" s="655"/>
      <c r="T608" s="655"/>
      <c r="U608" s="655"/>
      <c r="V608" s="655"/>
      <c r="W608" s="655"/>
      <c r="X608" s="655"/>
      <c r="Y608" s="655"/>
      <c r="Z608" s="655"/>
    </row>
    <row r="609">
      <c r="B609" s="462"/>
      <c r="C609" s="671"/>
      <c r="D609" s="462"/>
      <c r="E609" s="654"/>
      <c r="F609" s="650"/>
      <c r="G609" s="654"/>
      <c r="H609" s="654"/>
      <c r="I609" s="650"/>
      <c r="J609" s="650"/>
      <c r="K609" s="655"/>
      <c r="L609" s="655"/>
      <c r="M609" s="655"/>
      <c r="N609" s="655"/>
      <c r="O609" s="655"/>
      <c r="P609" s="655"/>
      <c r="Q609" s="655"/>
      <c r="R609" s="655"/>
      <c r="S609" s="655"/>
      <c r="T609" s="655"/>
      <c r="U609" s="655"/>
      <c r="V609" s="655"/>
      <c r="W609" s="655"/>
      <c r="X609" s="655"/>
      <c r="Y609" s="655"/>
      <c r="Z609" s="655"/>
    </row>
    <row r="610">
      <c r="B610" s="462"/>
      <c r="C610" s="671"/>
      <c r="D610" s="462"/>
      <c r="E610" s="654"/>
      <c r="F610" s="650"/>
      <c r="G610" s="654"/>
      <c r="H610" s="654"/>
      <c r="I610" s="650"/>
      <c r="J610" s="650"/>
      <c r="K610" s="655"/>
      <c r="L610" s="655"/>
      <c r="M610" s="655"/>
      <c r="N610" s="655"/>
      <c r="O610" s="655"/>
      <c r="P610" s="655"/>
      <c r="Q610" s="655"/>
      <c r="R610" s="655"/>
      <c r="S610" s="655"/>
      <c r="T610" s="655"/>
      <c r="U610" s="655"/>
      <c r="V610" s="655"/>
      <c r="W610" s="655"/>
      <c r="X610" s="655"/>
      <c r="Y610" s="655"/>
      <c r="Z610" s="655"/>
    </row>
    <row r="611">
      <c r="B611" s="462"/>
      <c r="C611" s="671"/>
      <c r="D611" s="462"/>
      <c r="E611" s="654"/>
      <c r="F611" s="650"/>
      <c r="G611" s="654"/>
      <c r="H611" s="654"/>
      <c r="I611" s="650"/>
      <c r="J611" s="650"/>
      <c r="K611" s="655"/>
      <c r="L611" s="655"/>
      <c r="M611" s="655"/>
      <c r="N611" s="655"/>
      <c r="O611" s="655"/>
      <c r="P611" s="655"/>
      <c r="Q611" s="655"/>
      <c r="R611" s="655"/>
      <c r="S611" s="655"/>
      <c r="T611" s="655"/>
      <c r="U611" s="655"/>
      <c r="V611" s="655"/>
      <c r="W611" s="655"/>
      <c r="X611" s="655"/>
      <c r="Y611" s="655"/>
      <c r="Z611" s="655"/>
    </row>
    <row r="612">
      <c r="B612" s="462"/>
      <c r="C612" s="671"/>
      <c r="D612" s="462"/>
      <c r="E612" s="654"/>
      <c r="F612" s="650"/>
      <c r="G612" s="654"/>
      <c r="H612" s="654"/>
      <c r="I612" s="650"/>
      <c r="J612" s="650"/>
      <c r="K612" s="655"/>
      <c r="L612" s="655"/>
      <c r="M612" s="655"/>
      <c r="N612" s="655"/>
      <c r="O612" s="655"/>
      <c r="P612" s="655"/>
      <c r="Q612" s="655"/>
      <c r="R612" s="655"/>
      <c r="S612" s="655"/>
      <c r="T612" s="655"/>
      <c r="U612" s="655"/>
      <c r="V612" s="655"/>
      <c r="W612" s="655"/>
      <c r="X612" s="655"/>
      <c r="Y612" s="655"/>
      <c r="Z612" s="655"/>
    </row>
    <row r="613">
      <c r="B613" s="462"/>
      <c r="C613" s="671"/>
      <c r="D613" s="462"/>
      <c r="E613" s="654"/>
      <c r="F613" s="650"/>
      <c r="G613" s="654"/>
      <c r="H613" s="654"/>
      <c r="I613" s="650"/>
      <c r="J613" s="650"/>
      <c r="K613" s="655"/>
      <c r="L613" s="655"/>
      <c r="M613" s="655"/>
      <c r="N613" s="655"/>
      <c r="O613" s="655"/>
      <c r="P613" s="655"/>
      <c r="Q613" s="655"/>
      <c r="R613" s="655"/>
      <c r="S613" s="655"/>
      <c r="T613" s="655"/>
      <c r="U613" s="655"/>
      <c r="V613" s="655"/>
      <c r="W613" s="655"/>
      <c r="X613" s="655"/>
      <c r="Y613" s="655"/>
      <c r="Z613" s="655"/>
    </row>
    <row r="614">
      <c r="B614" s="462"/>
      <c r="C614" s="671"/>
      <c r="D614" s="462"/>
      <c r="E614" s="654"/>
      <c r="F614" s="650"/>
      <c r="G614" s="654"/>
      <c r="H614" s="654"/>
      <c r="I614" s="650"/>
      <c r="J614" s="650"/>
      <c r="K614" s="655"/>
      <c r="L614" s="655"/>
      <c r="M614" s="655"/>
      <c r="N614" s="655"/>
      <c r="O614" s="655"/>
      <c r="P614" s="655"/>
      <c r="Q614" s="655"/>
      <c r="R614" s="655"/>
      <c r="S614" s="655"/>
      <c r="T614" s="655"/>
      <c r="U614" s="655"/>
      <c r="V614" s="655"/>
      <c r="W614" s="655"/>
      <c r="X614" s="655"/>
      <c r="Y614" s="655"/>
      <c r="Z614" s="655"/>
    </row>
    <row r="615">
      <c r="B615" s="462"/>
      <c r="C615" s="671"/>
      <c r="D615" s="462"/>
      <c r="E615" s="654"/>
      <c r="F615" s="650"/>
      <c r="G615" s="654"/>
      <c r="H615" s="654"/>
      <c r="I615" s="650"/>
      <c r="J615" s="650"/>
      <c r="K615" s="655"/>
      <c r="L615" s="655"/>
      <c r="M615" s="655"/>
      <c r="N615" s="655"/>
      <c r="O615" s="655"/>
      <c r="P615" s="655"/>
      <c r="Q615" s="655"/>
      <c r="R615" s="655"/>
      <c r="S615" s="655"/>
      <c r="T615" s="655"/>
      <c r="U615" s="655"/>
      <c r="V615" s="655"/>
      <c r="W615" s="655"/>
      <c r="X615" s="655"/>
      <c r="Y615" s="655"/>
      <c r="Z615" s="655"/>
    </row>
    <row r="616">
      <c r="B616" s="462"/>
      <c r="C616" s="671"/>
      <c r="D616" s="462"/>
      <c r="E616" s="654"/>
      <c r="F616" s="650"/>
      <c r="G616" s="654"/>
      <c r="H616" s="654"/>
      <c r="I616" s="650"/>
      <c r="J616" s="650"/>
      <c r="K616" s="655"/>
      <c r="L616" s="655"/>
      <c r="M616" s="655"/>
      <c r="N616" s="655"/>
      <c r="O616" s="655"/>
      <c r="P616" s="655"/>
      <c r="Q616" s="655"/>
      <c r="R616" s="655"/>
      <c r="S616" s="655"/>
      <c r="T616" s="655"/>
      <c r="U616" s="655"/>
      <c r="V616" s="655"/>
      <c r="W616" s="655"/>
      <c r="X616" s="655"/>
      <c r="Y616" s="655"/>
      <c r="Z616" s="655"/>
    </row>
    <row r="617">
      <c r="B617" s="462"/>
      <c r="C617" s="671"/>
      <c r="D617" s="462"/>
      <c r="E617" s="654"/>
      <c r="F617" s="650"/>
      <c r="G617" s="654"/>
      <c r="H617" s="654"/>
      <c r="I617" s="650"/>
      <c r="J617" s="650"/>
      <c r="K617" s="655"/>
      <c r="L617" s="655"/>
      <c r="M617" s="655"/>
      <c r="N617" s="655"/>
      <c r="O617" s="655"/>
      <c r="P617" s="655"/>
      <c r="Q617" s="655"/>
      <c r="R617" s="655"/>
      <c r="S617" s="655"/>
      <c r="T617" s="655"/>
      <c r="U617" s="655"/>
      <c r="V617" s="655"/>
      <c r="W617" s="655"/>
      <c r="X617" s="655"/>
      <c r="Y617" s="655"/>
      <c r="Z617" s="655"/>
    </row>
    <row r="618">
      <c r="B618" s="462"/>
      <c r="C618" s="671"/>
      <c r="D618" s="462"/>
      <c r="E618" s="654"/>
      <c r="F618" s="650"/>
      <c r="G618" s="654"/>
      <c r="H618" s="654"/>
      <c r="I618" s="650"/>
      <c r="J618" s="650"/>
      <c r="K618" s="655"/>
      <c r="L618" s="655"/>
      <c r="M618" s="655"/>
      <c r="N618" s="655"/>
      <c r="O618" s="655"/>
      <c r="P618" s="655"/>
      <c r="Q618" s="655"/>
      <c r="R618" s="655"/>
      <c r="S618" s="655"/>
      <c r="T618" s="655"/>
      <c r="U618" s="655"/>
      <c r="V618" s="655"/>
      <c r="W618" s="655"/>
      <c r="X618" s="655"/>
      <c r="Y618" s="655"/>
      <c r="Z618" s="655"/>
    </row>
    <row r="619">
      <c r="B619" s="462"/>
      <c r="C619" s="671"/>
      <c r="D619" s="462"/>
      <c r="E619" s="654"/>
      <c r="F619" s="650"/>
      <c r="G619" s="654"/>
      <c r="H619" s="654"/>
      <c r="I619" s="650"/>
      <c r="J619" s="650"/>
      <c r="K619" s="655"/>
      <c r="L619" s="655"/>
      <c r="M619" s="655"/>
      <c r="N619" s="655"/>
      <c r="O619" s="655"/>
      <c r="P619" s="655"/>
      <c r="Q619" s="655"/>
      <c r="R619" s="655"/>
      <c r="S619" s="655"/>
      <c r="T619" s="655"/>
      <c r="U619" s="655"/>
      <c r="V619" s="655"/>
      <c r="W619" s="655"/>
      <c r="X619" s="655"/>
      <c r="Y619" s="655"/>
      <c r="Z619" s="655"/>
    </row>
    <row r="620">
      <c r="B620" s="462"/>
      <c r="C620" s="671"/>
      <c r="D620" s="462"/>
      <c r="E620" s="654"/>
      <c r="F620" s="650"/>
      <c r="G620" s="654"/>
      <c r="H620" s="654"/>
      <c r="I620" s="650"/>
      <c r="J620" s="650"/>
      <c r="K620" s="655"/>
      <c r="L620" s="655"/>
      <c r="M620" s="655"/>
      <c r="N620" s="655"/>
      <c r="O620" s="655"/>
      <c r="P620" s="655"/>
      <c r="Q620" s="655"/>
      <c r="R620" s="655"/>
      <c r="S620" s="655"/>
      <c r="T620" s="655"/>
      <c r="U620" s="655"/>
      <c r="V620" s="655"/>
      <c r="W620" s="655"/>
      <c r="X620" s="655"/>
      <c r="Y620" s="655"/>
      <c r="Z620" s="655"/>
    </row>
    <row r="621">
      <c r="B621" s="462"/>
      <c r="C621" s="671"/>
      <c r="D621" s="462"/>
      <c r="E621" s="654"/>
      <c r="F621" s="650"/>
      <c r="G621" s="654"/>
      <c r="H621" s="654"/>
      <c r="I621" s="650"/>
      <c r="J621" s="650"/>
      <c r="K621" s="655"/>
      <c r="L621" s="655"/>
      <c r="M621" s="655"/>
      <c r="N621" s="655"/>
      <c r="O621" s="655"/>
      <c r="P621" s="655"/>
      <c r="Q621" s="655"/>
      <c r="R621" s="655"/>
      <c r="S621" s="655"/>
      <c r="T621" s="655"/>
      <c r="U621" s="655"/>
      <c r="V621" s="655"/>
      <c r="W621" s="655"/>
      <c r="X621" s="655"/>
      <c r="Y621" s="655"/>
      <c r="Z621" s="655"/>
    </row>
    <row r="622">
      <c r="B622" s="462"/>
      <c r="C622" s="671"/>
      <c r="D622" s="462"/>
      <c r="E622" s="654"/>
      <c r="F622" s="650"/>
      <c r="G622" s="654"/>
      <c r="H622" s="654"/>
      <c r="I622" s="650"/>
      <c r="J622" s="650"/>
      <c r="K622" s="655"/>
      <c r="L622" s="655"/>
      <c r="M622" s="655"/>
      <c r="N622" s="655"/>
      <c r="O622" s="655"/>
      <c r="P622" s="655"/>
      <c r="Q622" s="655"/>
      <c r="R622" s="655"/>
      <c r="S622" s="655"/>
      <c r="T622" s="655"/>
      <c r="U622" s="655"/>
      <c r="V622" s="655"/>
      <c r="W622" s="655"/>
      <c r="X622" s="655"/>
      <c r="Y622" s="655"/>
      <c r="Z622" s="655"/>
    </row>
    <row r="623">
      <c r="B623" s="462"/>
      <c r="C623" s="671"/>
      <c r="D623" s="462"/>
      <c r="E623" s="654"/>
      <c r="F623" s="650"/>
      <c r="G623" s="654"/>
      <c r="H623" s="654"/>
      <c r="I623" s="650"/>
      <c r="J623" s="650"/>
      <c r="K623" s="655"/>
      <c r="L623" s="655"/>
      <c r="M623" s="655"/>
      <c r="N623" s="655"/>
      <c r="O623" s="655"/>
      <c r="P623" s="655"/>
      <c r="Q623" s="655"/>
      <c r="R623" s="655"/>
      <c r="S623" s="655"/>
      <c r="T623" s="655"/>
      <c r="U623" s="655"/>
      <c r="V623" s="655"/>
      <c r="W623" s="655"/>
      <c r="X623" s="655"/>
      <c r="Y623" s="655"/>
      <c r="Z623" s="655"/>
    </row>
    <row r="624">
      <c r="B624" s="462"/>
      <c r="C624" s="671"/>
      <c r="D624" s="462"/>
      <c r="E624" s="654"/>
      <c r="F624" s="650"/>
      <c r="G624" s="654"/>
      <c r="H624" s="654"/>
      <c r="I624" s="650"/>
      <c r="J624" s="650"/>
      <c r="K624" s="655"/>
      <c r="L624" s="655"/>
      <c r="M624" s="655"/>
      <c r="N624" s="655"/>
      <c r="O624" s="655"/>
      <c r="P624" s="655"/>
      <c r="Q624" s="655"/>
      <c r="R624" s="655"/>
      <c r="S624" s="655"/>
      <c r="T624" s="655"/>
      <c r="U624" s="655"/>
      <c r="V624" s="655"/>
      <c r="W624" s="655"/>
      <c r="X624" s="655"/>
      <c r="Y624" s="655"/>
      <c r="Z624" s="655"/>
    </row>
    <row r="625">
      <c r="B625" s="462"/>
      <c r="C625" s="671"/>
      <c r="D625" s="462"/>
      <c r="E625" s="654"/>
      <c r="F625" s="650"/>
      <c r="G625" s="654"/>
      <c r="H625" s="654"/>
      <c r="I625" s="650"/>
      <c r="J625" s="650"/>
      <c r="K625" s="655"/>
      <c r="L625" s="655"/>
      <c r="M625" s="655"/>
      <c r="N625" s="655"/>
      <c r="O625" s="655"/>
      <c r="P625" s="655"/>
      <c r="Q625" s="655"/>
      <c r="R625" s="655"/>
      <c r="S625" s="655"/>
      <c r="T625" s="655"/>
      <c r="U625" s="655"/>
      <c r="V625" s="655"/>
      <c r="W625" s="655"/>
      <c r="X625" s="655"/>
      <c r="Y625" s="655"/>
      <c r="Z625" s="655"/>
    </row>
    <row r="626">
      <c r="B626" s="462"/>
      <c r="C626" s="671"/>
      <c r="D626" s="462"/>
      <c r="E626" s="654"/>
      <c r="F626" s="650"/>
      <c r="G626" s="654"/>
      <c r="H626" s="654"/>
      <c r="I626" s="650"/>
      <c r="J626" s="650"/>
      <c r="K626" s="655"/>
      <c r="L626" s="655"/>
      <c r="M626" s="655"/>
      <c r="N626" s="655"/>
      <c r="O626" s="655"/>
      <c r="P626" s="655"/>
      <c r="Q626" s="655"/>
      <c r="R626" s="655"/>
      <c r="S626" s="655"/>
      <c r="T626" s="655"/>
      <c r="U626" s="655"/>
      <c r="V626" s="655"/>
      <c r="W626" s="655"/>
      <c r="X626" s="655"/>
      <c r="Y626" s="655"/>
      <c r="Z626" s="655"/>
    </row>
    <row r="627">
      <c r="B627" s="462"/>
      <c r="C627" s="671"/>
      <c r="D627" s="462"/>
      <c r="E627" s="654"/>
      <c r="F627" s="650"/>
      <c r="G627" s="654"/>
      <c r="H627" s="654"/>
      <c r="I627" s="650"/>
      <c r="J627" s="650"/>
      <c r="K627" s="655"/>
      <c r="L627" s="655"/>
      <c r="M627" s="655"/>
      <c r="N627" s="655"/>
      <c r="O627" s="655"/>
      <c r="P627" s="655"/>
      <c r="Q627" s="655"/>
      <c r="R627" s="655"/>
      <c r="S627" s="655"/>
      <c r="T627" s="655"/>
      <c r="U627" s="655"/>
      <c r="V627" s="655"/>
      <c r="W627" s="655"/>
      <c r="X627" s="655"/>
      <c r="Y627" s="655"/>
      <c r="Z627" s="655"/>
    </row>
    <row r="628">
      <c r="B628" s="462"/>
      <c r="C628" s="671"/>
      <c r="D628" s="462"/>
      <c r="E628" s="654"/>
      <c r="F628" s="650"/>
      <c r="G628" s="654"/>
      <c r="H628" s="654"/>
      <c r="I628" s="650"/>
      <c r="J628" s="650"/>
      <c r="K628" s="655"/>
      <c r="L628" s="655"/>
      <c r="M628" s="655"/>
      <c r="N628" s="655"/>
      <c r="O628" s="655"/>
      <c r="P628" s="655"/>
      <c r="Q628" s="655"/>
      <c r="R628" s="655"/>
      <c r="S628" s="655"/>
      <c r="T628" s="655"/>
      <c r="U628" s="655"/>
      <c r="V628" s="655"/>
      <c r="W628" s="655"/>
      <c r="X628" s="655"/>
      <c r="Y628" s="655"/>
      <c r="Z628" s="655"/>
    </row>
    <row r="629">
      <c r="B629" s="462"/>
      <c r="C629" s="671"/>
      <c r="D629" s="462"/>
      <c r="E629" s="654"/>
      <c r="F629" s="650"/>
      <c r="G629" s="654"/>
      <c r="H629" s="654"/>
      <c r="I629" s="650"/>
      <c r="J629" s="650"/>
      <c r="K629" s="655"/>
      <c r="L629" s="655"/>
      <c r="M629" s="655"/>
      <c r="N629" s="655"/>
      <c r="O629" s="655"/>
      <c r="P629" s="655"/>
      <c r="Q629" s="655"/>
      <c r="R629" s="655"/>
      <c r="S629" s="655"/>
      <c r="T629" s="655"/>
      <c r="U629" s="655"/>
      <c r="V629" s="655"/>
      <c r="W629" s="655"/>
      <c r="X629" s="655"/>
      <c r="Y629" s="655"/>
      <c r="Z629" s="655"/>
    </row>
    <row r="630">
      <c r="B630" s="462"/>
      <c r="C630" s="671"/>
      <c r="D630" s="462"/>
      <c r="E630" s="654"/>
      <c r="F630" s="650"/>
      <c r="G630" s="654"/>
      <c r="H630" s="654"/>
      <c r="I630" s="650"/>
      <c r="J630" s="650"/>
      <c r="K630" s="655"/>
      <c r="L630" s="655"/>
      <c r="M630" s="655"/>
      <c r="N630" s="655"/>
      <c r="O630" s="655"/>
      <c r="P630" s="655"/>
      <c r="Q630" s="655"/>
      <c r="R630" s="655"/>
      <c r="S630" s="655"/>
      <c r="T630" s="655"/>
      <c r="U630" s="655"/>
      <c r="V630" s="655"/>
      <c r="W630" s="655"/>
      <c r="X630" s="655"/>
      <c r="Y630" s="655"/>
      <c r="Z630" s="655"/>
    </row>
    <row r="631">
      <c r="B631" s="462"/>
      <c r="C631" s="671"/>
      <c r="D631" s="462"/>
      <c r="E631" s="654"/>
      <c r="F631" s="650"/>
      <c r="G631" s="654"/>
      <c r="H631" s="654"/>
      <c r="I631" s="650"/>
      <c r="J631" s="650"/>
      <c r="K631" s="655"/>
      <c r="L631" s="655"/>
      <c r="M631" s="655"/>
      <c r="N631" s="655"/>
      <c r="O631" s="655"/>
      <c r="P631" s="655"/>
      <c r="Q631" s="655"/>
      <c r="R631" s="655"/>
      <c r="S631" s="655"/>
      <c r="T631" s="655"/>
      <c r="U631" s="655"/>
      <c r="V631" s="655"/>
      <c r="W631" s="655"/>
      <c r="X631" s="655"/>
      <c r="Y631" s="655"/>
      <c r="Z631" s="655"/>
    </row>
    <row r="632">
      <c r="B632" s="462"/>
      <c r="C632" s="671"/>
      <c r="D632" s="462"/>
      <c r="E632" s="654"/>
      <c r="F632" s="650"/>
      <c r="G632" s="654"/>
      <c r="H632" s="654"/>
      <c r="I632" s="650"/>
      <c r="J632" s="650"/>
      <c r="K632" s="655"/>
      <c r="L632" s="655"/>
      <c r="M632" s="655"/>
      <c r="N632" s="655"/>
      <c r="O632" s="655"/>
      <c r="P632" s="655"/>
      <c r="Q632" s="655"/>
      <c r="R632" s="655"/>
      <c r="S632" s="655"/>
      <c r="T632" s="655"/>
      <c r="U632" s="655"/>
      <c r="V632" s="655"/>
      <c r="W632" s="655"/>
      <c r="X632" s="655"/>
      <c r="Y632" s="655"/>
      <c r="Z632" s="655"/>
    </row>
    <row r="633">
      <c r="B633" s="462"/>
      <c r="C633" s="671"/>
      <c r="D633" s="462"/>
      <c r="E633" s="654"/>
      <c r="F633" s="650"/>
      <c r="G633" s="654"/>
      <c r="H633" s="654"/>
      <c r="I633" s="650"/>
      <c r="J633" s="650"/>
      <c r="K633" s="655"/>
      <c r="L633" s="655"/>
      <c r="M633" s="655"/>
      <c r="N633" s="655"/>
      <c r="O633" s="655"/>
      <c r="P633" s="655"/>
      <c r="Q633" s="655"/>
      <c r="R633" s="655"/>
      <c r="S633" s="655"/>
      <c r="T633" s="655"/>
      <c r="U633" s="655"/>
      <c r="V633" s="655"/>
      <c r="W633" s="655"/>
      <c r="X633" s="655"/>
      <c r="Y633" s="655"/>
      <c r="Z633" s="655"/>
    </row>
    <row r="634">
      <c r="B634" s="462"/>
      <c r="C634" s="671"/>
      <c r="D634" s="462"/>
      <c r="E634" s="654"/>
      <c r="F634" s="650"/>
      <c r="G634" s="654"/>
      <c r="H634" s="654"/>
      <c r="I634" s="650"/>
      <c r="J634" s="650"/>
      <c r="K634" s="655"/>
      <c r="L634" s="655"/>
      <c r="M634" s="655"/>
      <c r="N634" s="655"/>
      <c r="O634" s="655"/>
      <c r="P634" s="655"/>
      <c r="Q634" s="655"/>
      <c r="R634" s="655"/>
      <c r="S634" s="655"/>
      <c r="T634" s="655"/>
      <c r="U634" s="655"/>
      <c r="V634" s="655"/>
      <c r="W634" s="655"/>
      <c r="X634" s="655"/>
      <c r="Y634" s="655"/>
      <c r="Z634" s="655"/>
    </row>
    <row r="635">
      <c r="B635" s="462"/>
      <c r="C635" s="671"/>
      <c r="D635" s="462"/>
      <c r="E635" s="654"/>
      <c r="F635" s="650"/>
      <c r="G635" s="654"/>
      <c r="H635" s="654"/>
      <c r="I635" s="650"/>
      <c r="J635" s="650"/>
      <c r="K635" s="655"/>
      <c r="L635" s="655"/>
      <c r="M635" s="655"/>
      <c r="N635" s="655"/>
      <c r="O635" s="655"/>
      <c r="P635" s="655"/>
      <c r="Q635" s="655"/>
      <c r="R635" s="655"/>
      <c r="S635" s="655"/>
      <c r="T635" s="655"/>
      <c r="U635" s="655"/>
      <c r="V635" s="655"/>
      <c r="W635" s="655"/>
      <c r="X635" s="655"/>
      <c r="Y635" s="655"/>
      <c r="Z635" s="655"/>
    </row>
    <row r="636">
      <c r="B636" s="462"/>
      <c r="C636" s="671"/>
      <c r="D636" s="462"/>
      <c r="E636" s="654"/>
      <c r="F636" s="650"/>
      <c r="G636" s="654"/>
      <c r="H636" s="654"/>
      <c r="I636" s="650"/>
      <c r="J636" s="650"/>
      <c r="K636" s="655"/>
      <c r="L636" s="655"/>
      <c r="M636" s="655"/>
      <c r="N636" s="655"/>
      <c r="O636" s="655"/>
      <c r="P636" s="655"/>
      <c r="Q636" s="655"/>
      <c r="R636" s="655"/>
      <c r="S636" s="655"/>
      <c r="T636" s="655"/>
      <c r="U636" s="655"/>
      <c r="V636" s="655"/>
      <c r="W636" s="655"/>
      <c r="X636" s="655"/>
      <c r="Y636" s="655"/>
      <c r="Z636" s="655"/>
    </row>
    <row r="637">
      <c r="B637" s="462"/>
      <c r="C637" s="671"/>
      <c r="D637" s="462"/>
      <c r="E637" s="654"/>
      <c r="F637" s="650"/>
      <c r="G637" s="654"/>
      <c r="H637" s="654"/>
      <c r="I637" s="650"/>
      <c r="J637" s="650"/>
      <c r="K637" s="655"/>
      <c r="L637" s="655"/>
      <c r="M637" s="655"/>
      <c r="N637" s="655"/>
      <c r="O637" s="655"/>
      <c r="P637" s="655"/>
      <c r="Q637" s="655"/>
      <c r="R637" s="655"/>
      <c r="S637" s="655"/>
      <c r="T637" s="655"/>
      <c r="U637" s="655"/>
      <c r="V637" s="655"/>
      <c r="W637" s="655"/>
      <c r="X637" s="655"/>
      <c r="Y637" s="655"/>
      <c r="Z637" s="655"/>
    </row>
    <row r="638">
      <c r="B638" s="462"/>
      <c r="C638" s="671"/>
      <c r="D638" s="462"/>
      <c r="E638" s="654"/>
      <c r="F638" s="650"/>
      <c r="G638" s="654"/>
      <c r="H638" s="654"/>
      <c r="I638" s="650"/>
      <c r="J638" s="650"/>
      <c r="K638" s="655"/>
      <c r="L638" s="655"/>
      <c r="M638" s="655"/>
      <c r="N638" s="655"/>
      <c r="O638" s="655"/>
      <c r="P638" s="655"/>
      <c r="Q638" s="655"/>
      <c r="R638" s="655"/>
      <c r="S638" s="655"/>
      <c r="T638" s="655"/>
      <c r="U638" s="655"/>
      <c r="V638" s="655"/>
      <c r="W638" s="655"/>
      <c r="X638" s="655"/>
      <c r="Y638" s="655"/>
      <c r="Z638" s="655"/>
    </row>
    <row r="639">
      <c r="B639" s="462"/>
      <c r="C639" s="671"/>
      <c r="D639" s="462"/>
      <c r="E639" s="654"/>
      <c r="F639" s="650"/>
      <c r="G639" s="654"/>
      <c r="H639" s="654"/>
      <c r="I639" s="650"/>
      <c r="J639" s="650"/>
      <c r="K639" s="655"/>
      <c r="L639" s="655"/>
      <c r="M639" s="655"/>
      <c r="N639" s="655"/>
      <c r="O639" s="655"/>
      <c r="P639" s="655"/>
      <c r="Q639" s="655"/>
      <c r="R639" s="655"/>
      <c r="S639" s="655"/>
      <c r="T639" s="655"/>
      <c r="U639" s="655"/>
      <c r="V639" s="655"/>
      <c r="W639" s="655"/>
      <c r="X639" s="655"/>
      <c r="Y639" s="655"/>
      <c r="Z639" s="655"/>
    </row>
    <row r="640">
      <c r="B640" s="462"/>
      <c r="C640" s="671"/>
      <c r="D640" s="462"/>
      <c r="E640" s="654"/>
      <c r="F640" s="650"/>
      <c r="G640" s="654"/>
      <c r="H640" s="654"/>
      <c r="I640" s="650"/>
      <c r="J640" s="650"/>
      <c r="K640" s="655"/>
      <c r="L640" s="655"/>
      <c r="M640" s="655"/>
      <c r="N640" s="655"/>
      <c r="O640" s="655"/>
      <c r="P640" s="655"/>
      <c r="Q640" s="655"/>
      <c r="R640" s="655"/>
      <c r="S640" s="655"/>
      <c r="T640" s="655"/>
      <c r="U640" s="655"/>
      <c r="V640" s="655"/>
      <c r="W640" s="655"/>
      <c r="X640" s="655"/>
      <c r="Y640" s="655"/>
      <c r="Z640" s="655"/>
    </row>
    <row r="641">
      <c r="B641" s="462"/>
      <c r="C641" s="671"/>
      <c r="D641" s="462"/>
      <c r="E641" s="654"/>
      <c r="F641" s="650"/>
      <c r="G641" s="654"/>
      <c r="H641" s="654"/>
      <c r="I641" s="650"/>
      <c r="J641" s="650"/>
      <c r="K641" s="655"/>
      <c r="L641" s="655"/>
      <c r="M641" s="655"/>
      <c r="N641" s="655"/>
      <c r="O641" s="655"/>
      <c r="P641" s="655"/>
      <c r="Q641" s="655"/>
      <c r="R641" s="655"/>
      <c r="S641" s="655"/>
      <c r="T641" s="655"/>
      <c r="U641" s="655"/>
      <c r="V641" s="655"/>
      <c r="W641" s="655"/>
      <c r="X641" s="655"/>
      <c r="Y641" s="655"/>
      <c r="Z641" s="655"/>
    </row>
    <row r="642">
      <c r="B642" s="462"/>
      <c r="C642" s="671"/>
      <c r="D642" s="462"/>
      <c r="E642" s="654"/>
      <c r="F642" s="650"/>
      <c r="G642" s="654"/>
      <c r="H642" s="654"/>
      <c r="I642" s="650"/>
      <c r="J642" s="650"/>
      <c r="K642" s="655"/>
      <c r="L642" s="655"/>
      <c r="M642" s="655"/>
      <c r="N642" s="655"/>
      <c r="O642" s="655"/>
      <c r="P642" s="655"/>
      <c r="Q642" s="655"/>
      <c r="R642" s="655"/>
      <c r="S642" s="655"/>
      <c r="T642" s="655"/>
      <c r="U642" s="655"/>
      <c r="V642" s="655"/>
      <c r="W642" s="655"/>
      <c r="X642" s="655"/>
      <c r="Y642" s="655"/>
      <c r="Z642" s="655"/>
    </row>
    <row r="643">
      <c r="B643" s="462"/>
      <c r="C643" s="671"/>
      <c r="D643" s="462"/>
      <c r="E643" s="654"/>
      <c r="F643" s="650"/>
      <c r="G643" s="654"/>
      <c r="H643" s="654"/>
      <c r="I643" s="650"/>
      <c r="J643" s="650"/>
      <c r="K643" s="655"/>
      <c r="L643" s="655"/>
      <c r="M643" s="655"/>
      <c r="N643" s="655"/>
      <c r="O643" s="655"/>
      <c r="P643" s="655"/>
      <c r="Q643" s="655"/>
      <c r="R643" s="655"/>
      <c r="S643" s="655"/>
      <c r="T643" s="655"/>
      <c r="U643" s="655"/>
      <c r="V643" s="655"/>
      <c r="W643" s="655"/>
      <c r="X643" s="655"/>
      <c r="Y643" s="655"/>
      <c r="Z643" s="655"/>
    </row>
    <row r="644">
      <c r="B644" s="462"/>
      <c r="C644" s="671"/>
      <c r="D644" s="462"/>
      <c r="E644" s="654"/>
      <c r="F644" s="650"/>
      <c r="G644" s="654"/>
      <c r="H644" s="654"/>
      <c r="I644" s="650"/>
      <c r="J644" s="650"/>
      <c r="K644" s="655"/>
      <c r="L644" s="655"/>
      <c r="M644" s="655"/>
      <c r="N644" s="655"/>
      <c r="O644" s="655"/>
      <c r="P644" s="655"/>
      <c r="Q644" s="655"/>
      <c r="R644" s="655"/>
      <c r="S644" s="655"/>
      <c r="T644" s="655"/>
      <c r="U644" s="655"/>
      <c r="V644" s="655"/>
      <c r="W644" s="655"/>
      <c r="X644" s="655"/>
      <c r="Y644" s="655"/>
      <c r="Z644" s="655"/>
    </row>
    <row r="645">
      <c r="B645" s="462"/>
      <c r="C645" s="671"/>
      <c r="D645" s="462"/>
      <c r="E645" s="654"/>
      <c r="F645" s="650"/>
      <c r="G645" s="654"/>
      <c r="H645" s="654"/>
      <c r="I645" s="650"/>
      <c r="J645" s="650"/>
      <c r="K645" s="655"/>
      <c r="L645" s="655"/>
      <c r="M645" s="655"/>
      <c r="N645" s="655"/>
      <c r="O645" s="655"/>
      <c r="P645" s="655"/>
      <c r="Q645" s="655"/>
      <c r="R645" s="655"/>
      <c r="S645" s="655"/>
      <c r="T645" s="655"/>
      <c r="U645" s="655"/>
      <c r="V645" s="655"/>
      <c r="W645" s="655"/>
      <c r="X645" s="655"/>
      <c r="Y645" s="655"/>
      <c r="Z645" s="655"/>
    </row>
    <row r="646">
      <c r="B646" s="462"/>
      <c r="C646" s="671"/>
      <c r="D646" s="462"/>
      <c r="E646" s="654"/>
      <c r="F646" s="650"/>
      <c r="G646" s="654"/>
      <c r="H646" s="654"/>
      <c r="I646" s="650"/>
      <c r="J646" s="650"/>
      <c r="K646" s="655"/>
      <c r="L646" s="655"/>
      <c r="M646" s="655"/>
      <c r="N646" s="655"/>
      <c r="O646" s="655"/>
      <c r="P646" s="655"/>
      <c r="Q646" s="655"/>
      <c r="R646" s="655"/>
      <c r="S646" s="655"/>
      <c r="T646" s="655"/>
      <c r="U646" s="655"/>
      <c r="V646" s="655"/>
      <c r="W646" s="655"/>
      <c r="X646" s="655"/>
      <c r="Y646" s="655"/>
      <c r="Z646" s="655"/>
    </row>
    <row r="647">
      <c r="B647" s="462"/>
      <c r="C647" s="671"/>
      <c r="D647" s="462"/>
      <c r="E647" s="654"/>
      <c r="F647" s="650"/>
      <c r="G647" s="654"/>
      <c r="H647" s="654"/>
      <c r="I647" s="650"/>
      <c r="J647" s="650"/>
      <c r="K647" s="655"/>
      <c r="L647" s="655"/>
      <c r="M647" s="655"/>
      <c r="N647" s="655"/>
      <c r="O647" s="655"/>
      <c r="P647" s="655"/>
      <c r="Q647" s="655"/>
      <c r="R647" s="655"/>
      <c r="S647" s="655"/>
      <c r="T647" s="655"/>
      <c r="U647" s="655"/>
      <c r="V647" s="655"/>
      <c r="W647" s="655"/>
      <c r="X647" s="655"/>
      <c r="Y647" s="655"/>
      <c r="Z647" s="655"/>
    </row>
    <row r="648">
      <c r="B648" s="462"/>
      <c r="C648" s="671"/>
      <c r="D648" s="462"/>
      <c r="E648" s="654"/>
      <c r="F648" s="650"/>
      <c r="G648" s="654"/>
      <c r="H648" s="654"/>
      <c r="I648" s="650"/>
      <c r="J648" s="650"/>
      <c r="K648" s="655"/>
      <c r="L648" s="655"/>
      <c r="M648" s="655"/>
      <c r="N648" s="655"/>
      <c r="O648" s="655"/>
      <c r="P648" s="655"/>
      <c r="Q648" s="655"/>
      <c r="R648" s="655"/>
      <c r="S648" s="655"/>
      <c r="T648" s="655"/>
      <c r="U648" s="655"/>
      <c r="V648" s="655"/>
      <c r="W648" s="655"/>
      <c r="X648" s="655"/>
      <c r="Y648" s="655"/>
      <c r="Z648" s="655"/>
    </row>
    <row r="649">
      <c r="B649" s="462"/>
      <c r="C649" s="671"/>
      <c r="D649" s="462"/>
      <c r="E649" s="654"/>
      <c r="F649" s="650"/>
      <c r="G649" s="654"/>
      <c r="H649" s="654"/>
      <c r="I649" s="650"/>
      <c r="J649" s="650"/>
      <c r="K649" s="655"/>
      <c r="L649" s="655"/>
      <c r="M649" s="655"/>
      <c r="N649" s="655"/>
      <c r="O649" s="655"/>
      <c r="P649" s="655"/>
      <c r="Q649" s="655"/>
      <c r="R649" s="655"/>
      <c r="S649" s="655"/>
      <c r="T649" s="655"/>
      <c r="U649" s="655"/>
      <c r="V649" s="655"/>
      <c r="W649" s="655"/>
      <c r="X649" s="655"/>
      <c r="Y649" s="655"/>
      <c r="Z649" s="655"/>
    </row>
    <row r="650">
      <c r="B650" s="462"/>
      <c r="C650" s="671"/>
      <c r="D650" s="462"/>
      <c r="E650" s="654"/>
      <c r="F650" s="650"/>
      <c r="G650" s="654"/>
      <c r="H650" s="654"/>
      <c r="I650" s="650"/>
      <c r="J650" s="650"/>
      <c r="K650" s="655"/>
      <c r="L650" s="655"/>
      <c r="M650" s="655"/>
      <c r="N650" s="655"/>
      <c r="O650" s="655"/>
      <c r="P650" s="655"/>
      <c r="Q650" s="655"/>
      <c r="R650" s="655"/>
      <c r="S650" s="655"/>
      <c r="T650" s="655"/>
      <c r="U650" s="655"/>
      <c r="V650" s="655"/>
      <c r="W650" s="655"/>
      <c r="X650" s="655"/>
      <c r="Y650" s="655"/>
      <c r="Z650" s="655"/>
    </row>
    <row r="651">
      <c r="B651" s="462"/>
      <c r="C651" s="671"/>
      <c r="D651" s="462"/>
      <c r="E651" s="654"/>
      <c r="F651" s="650"/>
      <c r="G651" s="654"/>
      <c r="H651" s="654"/>
      <c r="I651" s="650"/>
      <c r="J651" s="650"/>
      <c r="K651" s="655"/>
      <c r="L651" s="655"/>
      <c r="M651" s="655"/>
      <c r="N651" s="655"/>
      <c r="O651" s="655"/>
      <c r="P651" s="655"/>
      <c r="Q651" s="655"/>
      <c r="R651" s="655"/>
      <c r="S651" s="655"/>
      <c r="T651" s="655"/>
      <c r="U651" s="655"/>
      <c r="V651" s="655"/>
      <c r="W651" s="655"/>
      <c r="X651" s="655"/>
      <c r="Y651" s="655"/>
      <c r="Z651" s="655"/>
    </row>
    <row r="652">
      <c r="B652" s="462"/>
      <c r="C652" s="671"/>
      <c r="D652" s="462"/>
      <c r="E652" s="654"/>
      <c r="F652" s="650"/>
      <c r="G652" s="654"/>
      <c r="H652" s="654"/>
      <c r="I652" s="650"/>
      <c r="J652" s="650"/>
      <c r="K652" s="655"/>
      <c r="L652" s="655"/>
      <c r="M652" s="655"/>
      <c r="N652" s="655"/>
      <c r="O652" s="655"/>
      <c r="P652" s="655"/>
      <c r="Q652" s="655"/>
      <c r="R652" s="655"/>
      <c r="S652" s="655"/>
      <c r="T652" s="655"/>
      <c r="U652" s="655"/>
      <c r="V652" s="655"/>
      <c r="W652" s="655"/>
      <c r="X652" s="655"/>
      <c r="Y652" s="655"/>
      <c r="Z652" s="655"/>
    </row>
    <row r="653">
      <c r="B653" s="462"/>
      <c r="C653" s="671"/>
      <c r="D653" s="462"/>
      <c r="E653" s="654"/>
      <c r="F653" s="650"/>
      <c r="G653" s="654"/>
      <c r="H653" s="654"/>
      <c r="I653" s="650"/>
      <c r="J653" s="650"/>
      <c r="K653" s="655"/>
      <c r="L653" s="655"/>
      <c r="M653" s="655"/>
      <c r="N653" s="655"/>
      <c r="O653" s="655"/>
      <c r="P653" s="655"/>
      <c r="Q653" s="655"/>
      <c r="R653" s="655"/>
      <c r="S653" s="655"/>
      <c r="T653" s="655"/>
      <c r="U653" s="655"/>
      <c r="V653" s="655"/>
      <c r="W653" s="655"/>
      <c r="X653" s="655"/>
      <c r="Y653" s="655"/>
      <c r="Z653" s="655"/>
    </row>
    <row r="654">
      <c r="B654" s="462"/>
      <c r="C654" s="671"/>
      <c r="D654" s="462"/>
      <c r="E654" s="654"/>
      <c r="F654" s="650"/>
      <c r="G654" s="654"/>
      <c r="H654" s="654"/>
      <c r="I654" s="650"/>
      <c r="J654" s="650"/>
      <c r="K654" s="655"/>
      <c r="L654" s="655"/>
      <c r="M654" s="655"/>
      <c r="N654" s="655"/>
      <c r="O654" s="655"/>
      <c r="P654" s="655"/>
      <c r="Q654" s="655"/>
      <c r="R654" s="655"/>
      <c r="S654" s="655"/>
      <c r="T654" s="655"/>
      <c r="U654" s="655"/>
      <c r="V654" s="655"/>
      <c r="W654" s="655"/>
      <c r="X654" s="655"/>
      <c r="Y654" s="655"/>
      <c r="Z654" s="655"/>
    </row>
    <row r="655">
      <c r="B655" s="462"/>
      <c r="C655" s="671"/>
      <c r="D655" s="462"/>
      <c r="E655" s="654"/>
      <c r="F655" s="650"/>
      <c r="G655" s="654"/>
      <c r="H655" s="654"/>
      <c r="I655" s="650"/>
      <c r="J655" s="650"/>
      <c r="K655" s="655"/>
      <c r="L655" s="655"/>
      <c r="M655" s="655"/>
      <c r="N655" s="655"/>
      <c r="O655" s="655"/>
      <c r="P655" s="655"/>
      <c r="Q655" s="655"/>
      <c r="R655" s="655"/>
      <c r="S655" s="655"/>
      <c r="T655" s="655"/>
      <c r="U655" s="655"/>
      <c r="V655" s="655"/>
      <c r="W655" s="655"/>
      <c r="X655" s="655"/>
      <c r="Y655" s="655"/>
      <c r="Z655" s="655"/>
    </row>
    <row r="656">
      <c r="B656" s="462"/>
      <c r="C656" s="671"/>
      <c r="D656" s="462"/>
      <c r="E656" s="654"/>
      <c r="F656" s="650"/>
      <c r="G656" s="654"/>
      <c r="H656" s="654"/>
      <c r="I656" s="650"/>
      <c r="J656" s="650"/>
      <c r="K656" s="655"/>
      <c r="L656" s="655"/>
      <c r="M656" s="655"/>
      <c r="N656" s="655"/>
      <c r="O656" s="655"/>
      <c r="P656" s="655"/>
      <c r="Q656" s="655"/>
      <c r="R656" s="655"/>
      <c r="S656" s="655"/>
      <c r="T656" s="655"/>
      <c r="U656" s="655"/>
      <c r="V656" s="655"/>
      <c r="W656" s="655"/>
      <c r="X656" s="655"/>
      <c r="Y656" s="655"/>
      <c r="Z656" s="655"/>
    </row>
    <row r="657">
      <c r="B657" s="462"/>
      <c r="C657" s="671"/>
      <c r="D657" s="462"/>
      <c r="E657" s="654"/>
      <c r="F657" s="650"/>
      <c r="G657" s="654"/>
      <c r="H657" s="654"/>
      <c r="I657" s="650"/>
      <c r="J657" s="650"/>
      <c r="K657" s="655"/>
      <c r="L657" s="655"/>
      <c r="M657" s="655"/>
      <c r="N657" s="655"/>
      <c r="O657" s="655"/>
      <c r="P657" s="655"/>
      <c r="Q657" s="655"/>
      <c r="R657" s="655"/>
      <c r="S657" s="655"/>
      <c r="T657" s="655"/>
      <c r="U657" s="655"/>
      <c r="V657" s="655"/>
      <c r="W657" s="655"/>
      <c r="X657" s="655"/>
      <c r="Y657" s="655"/>
      <c r="Z657" s="655"/>
    </row>
    <row r="658">
      <c r="B658" s="462"/>
      <c r="C658" s="671"/>
      <c r="D658" s="462"/>
      <c r="E658" s="654"/>
      <c r="F658" s="650"/>
      <c r="G658" s="654"/>
      <c r="H658" s="654"/>
      <c r="I658" s="650"/>
      <c r="J658" s="650"/>
      <c r="K658" s="655"/>
      <c r="L658" s="655"/>
      <c r="M658" s="655"/>
      <c r="N658" s="655"/>
      <c r="O658" s="655"/>
      <c r="P658" s="655"/>
      <c r="Q658" s="655"/>
      <c r="R658" s="655"/>
      <c r="S658" s="655"/>
      <c r="T658" s="655"/>
      <c r="U658" s="655"/>
      <c r="V658" s="655"/>
      <c r="W658" s="655"/>
      <c r="X658" s="655"/>
      <c r="Y658" s="655"/>
      <c r="Z658" s="655"/>
    </row>
    <row r="659">
      <c r="B659" s="462"/>
      <c r="C659" s="671"/>
      <c r="D659" s="462"/>
      <c r="E659" s="654"/>
      <c r="F659" s="650"/>
      <c r="G659" s="654"/>
      <c r="H659" s="654"/>
      <c r="I659" s="650"/>
      <c r="J659" s="650"/>
      <c r="K659" s="655"/>
      <c r="L659" s="655"/>
      <c r="M659" s="655"/>
      <c r="N659" s="655"/>
      <c r="O659" s="655"/>
      <c r="P659" s="655"/>
      <c r="Q659" s="655"/>
      <c r="R659" s="655"/>
      <c r="S659" s="655"/>
      <c r="T659" s="655"/>
      <c r="U659" s="655"/>
      <c r="V659" s="655"/>
      <c r="W659" s="655"/>
      <c r="X659" s="655"/>
      <c r="Y659" s="655"/>
      <c r="Z659" s="655"/>
    </row>
    <row r="660">
      <c r="B660" s="462"/>
      <c r="C660" s="671"/>
      <c r="D660" s="462"/>
      <c r="E660" s="654"/>
      <c r="F660" s="650"/>
      <c r="G660" s="654"/>
      <c r="H660" s="654"/>
      <c r="I660" s="650"/>
      <c r="J660" s="650"/>
      <c r="K660" s="655"/>
      <c r="L660" s="655"/>
      <c r="M660" s="655"/>
      <c r="N660" s="655"/>
      <c r="O660" s="655"/>
      <c r="P660" s="655"/>
      <c r="Q660" s="655"/>
      <c r="R660" s="655"/>
      <c r="S660" s="655"/>
      <c r="T660" s="655"/>
      <c r="U660" s="655"/>
      <c r="V660" s="655"/>
      <c r="W660" s="655"/>
      <c r="X660" s="655"/>
      <c r="Y660" s="655"/>
      <c r="Z660" s="655"/>
    </row>
    <row r="661">
      <c r="B661" s="462"/>
      <c r="C661" s="671"/>
      <c r="D661" s="462"/>
      <c r="E661" s="654"/>
      <c r="F661" s="650"/>
      <c r="G661" s="654"/>
      <c r="H661" s="654"/>
      <c r="I661" s="650"/>
      <c r="J661" s="650"/>
      <c r="K661" s="655"/>
      <c r="L661" s="655"/>
      <c r="M661" s="655"/>
      <c r="N661" s="655"/>
      <c r="O661" s="655"/>
      <c r="P661" s="655"/>
      <c r="Q661" s="655"/>
      <c r="R661" s="655"/>
      <c r="S661" s="655"/>
      <c r="T661" s="655"/>
      <c r="U661" s="655"/>
      <c r="V661" s="655"/>
      <c r="W661" s="655"/>
      <c r="X661" s="655"/>
      <c r="Y661" s="655"/>
      <c r="Z661" s="655"/>
    </row>
    <row r="662">
      <c r="B662" s="462"/>
      <c r="C662" s="671"/>
      <c r="D662" s="462"/>
      <c r="E662" s="654"/>
      <c r="F662" s="650"/>
      <c r="G662" s="654"/>
      <c r="H662" s="654"/>
      <c r="I662" s="650"/>
      <c r="J662" s="650"/>
      <c r="K662" s="655"/>
      <c r="L662" s="655"/>
      <c r="M662" s="655"/>
      <c r="N662" s="655"/>
      <c r="O662" s="655"/>
      <c r="P662" s="655"/>
      <c r="Q662" s="655"/>
      <c r="R662" s="655"/>
      <c r="S662" s="655"/>
      <c r="T662" s="655"/>
      <c r="U662" s="655"/>
      <c r="V662" s="655"/>
      <c r="W662" s="655"/>
      <c r="X662" s="655"/>
      <c r="Y662" s="655"/>
      <c r="Z662" s="655"/>
    </row>
    <row r="663">
      <c r="B663" s="462"/>
      <c r="C663" s="671"/>
      <c r="D663" s="462"/>
      <c r="E663" s="654"/>
      <c r="F663" s="650"/>
      <c r="G663" s="654"/>
      <c r="H663" s="654"/>
      <c r="I663" s="650"/>
      <c r="J663" s="650"/>
      <c r="K663" s="655"/>
      <c r="L663" s="655"/>
      <c r="M663" s="655"/>
      <c r="N663" s="655"/>
      <c r="O663" s="655"/>
      <c r="P663" s="655"/>
      <c r="Q663" s="655"/>
      <c r="R663" s="655"/>
      <c r="S663" s="655"/>
      <c r="T663" s="655"/>
      <c r="U663" s="655"/>
      <c r="V663" s="655"/>
      <c r="W663" s="655"/>
      <c r="X663" s="655"/>
      <c r="Y663" s="655"/>
      <c r="Z663" s="655"/>
    </row>
    <row r="664">
      <c r="B664" s="462"/>
      <c r="C664" s="671"/>
      <c r="D664" s="462"/>
      <c r="E664" s="654"/>
      <c r="F664" s="650"/>
      <c r="G664" s="654"/>
      <c r="H664" s="654"/>
      <c r="I664" s="650"/>
      <c r="J664" s="650"/>
      <c r="K664" s="655"/>
      <c r="L664" s="655"/>
      <c r="M664" s="655"/>
      <c r="N664" s="655"/>
      <c r="O664" s="655"/>
      <c r="P664" s="655"/>
      <c r="Q664" s="655"/>
      <c r="R664" s="655"/>
      <c r="S664" s="655"/>
      <c r="T664" s="655"/>
      <c r="U664" s="655"/>
      <c r="V664" s="655"/>
      <c r="W664" s="655"/>
      <c r="X664" s="655"/>
      <c r="Y664" s="655"/>
      <c r="Z664" s="655"/>
    </row>
    <row r="665">
      <c r="B665" s="462"/>
      <c r="C665" s="671"/>
      <c r="D665" s="462"/>
      <c r="E665" s="654"/>
      <c r="F665" s="650"/>
      <c r="G665" s="654"/>
      <c r="H665" s="654"/>
      <c r="I665" s="650"/>
      <c r="J665" s="650"/>
      <c r="K665" s="655"/>
      <c r="L665" s="655"/>
      <c r="M665" s="655"/>
      <c r="N665" s="655"/>
      <c r="O665" s="655"/>
      <c r="P665" s="655"/>
      <c r="Q665" s="655"/>
      <c r="R665" s="655"/>
      <c r="S665" s="655"/>
      <c r="T665" s="655"/>
      <c r="U665" s="655"/>
      <c r="V665" s="655"/>
      <c r="W665" s="655"/>
      <c r="X665" s="655"/>
      <c r="Y665" s="655"/>
      <c r="Z665" s="655"/>
    </row>
    <row r="666">
      <c r="B666" s="462"/>
      <c r="C666" s="671"/>
      <c r="D666" s="462"/>
      <c r="E666" s="654"/>
      <c r="F666" s="650"/>
      <c r="G666" s="654"/>
      <c r="H666" s="654"/>
      <c r="I666" s="650"/>
      <c r="J666" s="650"/>
      <c r="K666" s="655"/>
      <c r="L666" s="655"/>
      <c r="M666" s="655"/>
      <c r="N666" s="655"/>
      <c r="O666" s="655"/>
      <c r="P666" s="655"/>
      <c r="Q666" s="655"/>
      <c r="R666" s="655"/>
      <c r="S666" s="655"/>
      <c r="T666" s="655"/>
      <c r="U666" s="655"/>
      <c r="V666" s="655"/>
      <c r="W666" s="655"/>
      <c r="X666" s="655"/>
      <c r="Y666" s="655"/>
      <c r="Z666" s="655"/>
    </row>
    <row r="667">
      <c r="B667" s="462"/>
      <c r="C667" s="671"/>
      <c r="D667" s="462"/>
      <c r="E667" s="654"/>
      <c r="F667" s="650"/>
      <c r="G667" s="654"/>
      <c r="H667" s="654"/>
      <c r="I667" s="650"/>
      <c r="J667" s="650"/>
      <c r="K667" s="655"/>
      <c r="L667" s="655"/>
      <c r="M667" s="655"/>
      <c r="N667" s="655"/>
      <c r="O667" s="655"/>
      <c r="P667" s="655"/>
      <c r="Q667" s="655"/>
      <c r="R667" s="655"/>
      <c r="S667" s="655"/>
      <c r="T667" s="655"/>
      <c r="U667" s="655"/>
      <c r="V667" s="655"/>
      <c r="W667" s="655"/>
      <c r="X667" s="655"/>
      <c r="Y667" s="655"/>
      <c r="Z667" s="655"/>
    </row>
    <row r="668">
      <c r="B668" s="462"/>
      <c r="C668" s="671"/>
      <c r="D668" s="462"/>
      <c r="E668" s="654"/>
      <c r="F668" s="650"/>
      <c r="G668" s="654"/>
      <c r="H668" s="654"/>
      <c r="I668" s="650"/>
      <c r="J668" s="650"/>
      <c r="K668" s="655"/>
      <c r="L668" s="655"/>
      <c r="M668" s="655"/>
      <c r="N668" s="655"/>
      <c r="O668" s="655"/>
      <c r="P668" s="655"/>
      <c r="Q668" s="655"/>
      <c r="R668" s="655"/>
      <c r="S668" s="655"/>
      <c r="T668" s="655"/>
      <c r="U668" s="655"/>
      <c r="V668" s="655"/>
      <c r="W668" s="655"/>
      <c r="X668" s="655"/>
      <c r="Y668" s="655"/>
      <c r="Z668" s="655"/>
    </row>
    <row r="669">
      <c r="B669" s="462"/>
      <c r="C669" s="671"/>
      <c r="D669" s="462"/>
      <c r="E669" s="654"/>
      <c r="F669" s="650"/>
      <c r="G669" s="654"/>
      <c r="H669" s="654"/>
      <c r="I669" s="650"/>
      <c r="J669" s="650"/>
      <c r="K669" s="655"/>
      <c r="L669" s="655"/>
      <c r="M669" s="655"/>
      <c r="N669" s="655"/>
      <c r="O669" s="655"/>
      <c r="P669" s="655"/>
      <c r="Q669" s="655"/>
      <c r="R669" s="655"/>
      <c r="S669" s="655"/>
      <c r="T669" s="655"/>
      <c r="U669" s="655"/>
      <c r="V669" s="655"/>
      <c r="W669" s="655"/>
      <c r="X669" s="655"/>
      <c r="Y669" s="655"/>
      <c r="Z669" s="655"/>
    </row>
    <row r="670">
      <c r="B670" s="462"/>
      <c r="C670" s="671"/>
      <c r="D670" s="462"/>
      <c r="E670" s="654"/>
      <c r="F670" s="650"/>
      <c r="G670" s="654"/>
      <c r="H670" s="654"/>
      <c r="I670" s="650"/>
      <c r="J670" s="650"/>
      <c r="K670" s="655"/>
      <c r="L670" s="655"/>
      <c r="M670" s="655"/>
      <c r="N670" s="655"/>
      <c r="O670" s="655"/>
      <c r="P670" s="655"/>
      <c r="Q670" s="655"/>
      <c r="R670" s="655"/>
      <c r="S670" s="655"/>
      <c r="T670" s="655"/>
      <c r="U670" s="655"/>
      <c r="V670" s="655"/>
      <c r="W670" s="655"/>
      <c r="X670" s="655"/>
      <c r="Y670" s="655"/>
      <c r="Z670" s="655"/>
    </row>
    <row r="671">
      <c r="B671" s="462"/>
      <c r="C671" s="671"/>
      <c r="D671" s="462"/>
      <c r="E671" s="654"/>
      <c r="F671" s="650"/>
      <c r="G671" s="654"/>
      <c r="H671" s="654"/>
      <c r="I671" s="650"/>
      <c r="J671" s="650"/>
      <c r="K671" s="655"/>
      <c r="L671" s="655"/>
      <c r="M671" s="655"/>
      <c r="N671" s="655"/>
      <c r="O671" s="655"/>
      <c r="P671" s="655"/>
      <c r="Q671" s="655"/>
      <c r="R671" s="655"/>
      <c r="S671" s="655"/>
      <c r="T671" s="655"/>
      <c r="U671" s="655"/>
      <c r="V671" s="655"/>
      <c r="W671" s="655"/>
      <c r="X671" s="655"/>
      <c r="Y671" s="655"/>
      <c r="Z671" s="655"/>
    </row>
    <row r="672">
      <c r="B672" s="462"/>
      <c r="C672" s="671"/>
      <c r="D672" s="462"/>
      <c r="E672" s="654"/>
      <c r="F672" s="650"/>
      <c r="G672" s="654"/>
      <c r="H672" s="654"/>
      <c r="I672" s="650"/>
      <c r="J672" s="650"/>
      <c r="K672" s="655"/>
      <c r="L672" s="655"/>
      <c r="M672" s="655"/>
      <c r="N672" s="655"/>
      <c r="O672" s="655"/>
      <c r="P672" s="655"/>
      <c r="Q672" s="655"/>
      <c r="R672" s="655"/>
      <c r="S672" s="655"/>
      <c r="T672" s="655"/>
      <c r="U672" s="655"/>
      <c r="V672" s="655"/>
      <c r="W672" s="655"/>
      <c r="X672" s="655"/>
      <c r="Y672" s="655"/>
      <c r="Z672" s="655"/>
    </row>
    <row r="673">
      <c r="B673" s="462"/>
      <c r="C673" s="671"/>
      <c r="D673" s="462"/>
      <c r="E673" s="654"/>
      <c r="F673" s="650"/>
      <c r="G673" s="654"/>
      <c r="H673" s="654"/>
      <c r="I673" s="650"/>
      <c r="J673" s="650"/>
      <c r="K673" s="655"/>
      <c r="L673" s="655"/>
      <c r="M673" s="655"/>
      <c r="N673" s="655"/>
      <c r="O673" s="655"/>
      <c r="P673" s="655"/>
      <c r="Q673" s="655"/>
      <c r="R673" s="655"/>
      <c r="S673" s="655"/>
      <c r="T673" s="655"/>
      <c r="U673" s="655"/>
      <c r="V673" s="655"/>
      <c r="W673" s="655"/>
      <c r="X673" s="655"/>
      <c r="Y673" s="655"/>
      <c r="Z673" s="655"/>
    </row>
    <row r="674">
      <c r="B674" s="462"/>
      <c r="C674" s="671"/>
      <c r="D674" s="462"/>
      <c r="E674" s="654"/>
      <c r="F674" s="650"/>
      <c r="G674" s="654"/>
      <c r="H674" s="654"/>
      <c r="I674" s="650"/>
      <c r="J674" s="650"/>
      <c r="K674" s="655"/>
      <c r="L674" s="655"/>
      <c r="M674" s="655"/>
      <c r="N674" s="655"/>
      <c r="O674" s="655"/>
      <c r="P674" s="655"/>
      <c r="Q674" s="655"/>
      <c r="R674" s="655"/>
      <c r="S674" s="655"/>
      <c r="T674" s="655"/>
      <c r="U674" s="655"/>
      <c r="V674" s="655"/>
      <c r="W674" s="655"/>
      <c r="X674" s="655"/>
      <c r="Y674" s="655"/>
      <c r="Z674" s="655"/>
    </row>
    <row r="675">
      <c r="B675" s="462"/>
      <c r="C675" s="671"/>
      <c r="D675" s="462"/>
      <c r="E675" s="654"/>
      <c r="F675" s="650"/>
      <c r="G675" s="654"/>
      <c r="H675" s="654"/>
      <c r="I675" s="650"/>
      <c r="J675" s="650"/>
      <c r="K675" s="655"/>
      <c r="L675" s="655"/>
      <c r="M675" s="655"/>
      <c r="N675" s="655"/>
      <c r="O675" s="655"/>
      <c r="P675" s="655"/>
      <c r="Q675" s="655"/>
      <c r="R675" s="655"/>
      <c r="S675" s="655"/>
      <c r="T675" s="655"/>
      <c r="U675" s="655"/>
      <c r="V675" s="655"/>
      <c r="W675" s="655"/>
      <c r="X675" s="655"/>
      <c r="Y675" s="655"/>
      <c r="Z675" s="655"/>
    </row>
    <row r="676">
      <c r="B676" s="462"/>
      <c r="C676" s="671"/>
      <c r="D676" s="462"/>
      <c r="E676" s="654"/>
      <c r="F676" s="650"/>
      <c r="G676" s="654"/>
      <c r="H676" s="654"/>
      <c r="I676" s="650"/>
      <c r="J676" s="650"/>
      <c r="K676" s="655"/>
      <c r="L676" s="655"/>
      <c r="M676" s="655"/>
      <c r="N676" s="655"/>
      <c r="O676" s="655"/>
      <c r="P676" s="655"/>
      <c r="Q676" s="655"/>
      <c r="R676" s="655"/>
      <c r="S676" s="655"/>
      <c r="T676" s="655"/>
      <c r="U676" s="655"/>
      <c r="V676" s="655"/>
      <c r="W676" s="655"/>
      <c r="X676" s="655"/>
      <c r="Y676" s="655"/>
      <c r="Z676" s="655"/>
    </row>
    <row r="677">
      <c r="B677" s="462"/>
      <c r="C677" s="671"/>
      <c r="D677" s="462"/>
      <c r="E677" s="654"/>
      <c r="F677" s="650"/>
      <c r="G677" s="654"/>
      <c r="H677" s="654"/>
      <c r="I677" s="650"/>
      <c r="J677" s="650"/>
      <c r="K677" s="655"/>
      <c r="L677" s="655"/>
      <c r="M677" s="655"/>
      <c r="N677" s="655"/>
      <c r="O677" s="655"/>
      <c r="P677" s="655"/>
      <c r="Q677" s="655"/>
      <c r="R677" s="655"/>
      <c r="S677" s="655"/>
      <c r="T677" s="655"/>
      <c r="U677" s="655"/>
      <c r="V677" s="655"/>
      <c r="W677" s="655"/>
      <c r="X677" s="655"/>
      <c r="Y677" s="655"/>
      <c r="Z677" s="655"/>
    </row>
    <row r="678">
      <c r="B678" s="462"/>
      <c r="C678" s="671"/>
      <c r="D678" s="462"/>
      <c r="E678" s="654"/>
      <c r="F678" s="650"/>
      <c r="G678" s="654"/>
      <c r="H678" s="654"/>
      <c r="I678" s="650"/>
      <c r="J678" s="650"/>
      <c r="K678" s="655"/>
      <c r="L678" s="655"/>
      <c r="M678" s="655"/>
      <c r="N678" s="655"/>
      <c r="O678" s="655"/>
      <c r="P678" s="655"/>
      <c r="Q678" s="655"/>
      <c r="R678" s="655"/>
      <c r="S678" s="655"/>
      <c r="T678" s="655"/>
      <c r="U678" s="655"/>
      <c r="V678" s="655"/>
      <c r="W678" s="655"/>
      <c r="X678" s="655"/>
      <c r="Y678" s="655"/>
      <c r="Z678" s="655"/>
    </row>
    <row r="679">
      <c r="B679" s="462"/>
      <c r="C679" s="671"/>
      <c r="D679" s="462"/>
      <c r="E679" s="654"/>
      <c r="F679" s="650"/>
      <c r="G679" s="654"/>
      <c r="H679" s="654"/>
      <c r="I679" s="650"/>
      <c r="J679" s="650"/>
      <c r="K679" s="655"/>
      <c r="L679" s="655"/>
      <c r="M679" s="655"/>
      <c r="N679" s="655"/>
      <c r="O679" s="655"/>
      <c r="P679" s="655"/>
      <c r="Q679" s="655"/>
      <c r="R679" s="655"/>
      <c r="S679" s="655"/>
      <c r="T679" s="655"/>
      <c r="U679" s="655"/>
      <c r="V679" s="655"/>
      <c r="W679" s="655"/>
      <c r="X679" s="655"/>
      <c r="Y679" s="655"/>
      <c r="Z679" s="655"/>
    </row>
    <row r="680">
      <c r="B680" s="462"/>
      <c r="C680" s="671"/>
      <c r="D680" s="462"/>
      <c r="E680" s="654"/>
      <c r="F680" s="650"/>
      <c r="G680" s="654"/>
      <c r="H680" s="654"/>
      <c r="I680" s="650"/>
      <c r="J680" s="650"/>
      <c r="K680" s="655"/>
      <c r="L680" s="655"/>
      <c r="M680" s="655"/>
      <c r="N680" s="655"/>
      <c r="O680" s="655"/>
      <c r="P680" s="655"/>
      <c r="Q680" s="655"/>
      <c r="R680" s="655"/>
      <c r="S680" s="655"/>
      <c r="T680" s="655"/>
      <c r="U680" s="655"/>
      <c r="V680" s="655"/>
      <c r="W680" s="655"/>
      <c r="X680" s="655"/>
      <c r="Y680" s="655"/>
      <c r="Z680" s="655"/>
    </row>
    <row r="681">
      <c r="B681" s="462"/>
      <c r="C681" s="671"/>
      <c r="D681" s="462"/>
      <c r="E681" s="654"/>
      <c r="F681" s="650"/>
      <c r="G681" s="654"/>
      <c r="H681" s="654"/>
      <c r="I681" s="650"/>
      <c r="J681" s="650"/>
      <c r="K681" s="655"/>
      <c r="L681" s="655"/>
      <c r="M681" s="655"/>
      <c r="N681" s="655"/>
      <c r="O681" s="655"/>
      <c r="P681" s="655"/>
      <c r="Q681" s="655"/>
      <c r="R681" s="655"/>
      <c r="S681" s="655"/>
      <c r="T681" s="655"/>
      <c r="U681" s="655"/>
      <c r="V681" s="655"/>
      <c r="W681" s="655"/>
      <c r="X681" s="655"/>
      <c r="Y681" s="655"/>
      <c r="Z681" s="655"/>
    </row>
    <row r="682">
      <c r="B682" s="462"/>
      <c r="C682" s="671"/>
      <c r="D682" s="462"/>
      <c r="E682" s="654"/>
      <c r="F682" s="650"/>
      <c r="G682" s="654"/>
      <c r="H682" s="654"/>
      <c r="I682" s="650"/>
      <c r="J682" s="650"/>
      <c r="K682" s="655"/>
      <c r="L682" s="655"/>
      <c r="M682" s="655"/>
      <c r="N682" s="655"/>
      <c r="O682" s="655"/>
      <c r="P682" s="655"/>
      <c r="Q682" s="655"/>
      <c r="R682" s="655"/>
      <c r="S682" s="655"/>
      <c r="T682" s="655"/>
      <c r="U682" s="655"/>
      <c r="V682" s="655"/>
      <c r="W682" s="655"/>
      <c r="X682" s="655"/>
      <c r="Y682" s="655"/>
      <c r="Z682" s="655"/>
    </row>
    <row r="683">
      <c r="B683" s="462"/>
      <c r="C683" s="671"/>
      <c r="D683" s="462"/>
      <c r="E683" s="654"/>
      <c r="F683" s="650"/>
      <c r="G683" s="654"/>
      <c r="H683" s="654"/>
      <c r="I683" s="650"/>
      <c r="J683" s="650"/>
      <c r="K683" s="655"/>
      <c r="L683" s="655"/>
      <c r="M683" s="655"/>
      <c r="N683" s="655"/>
      <c r="O683" s="655"/>
      <c r="P683" s="655"/>
      <c r="Q683" s="655"/>
      <c r="R683" s="655"/>
      <c r="S683" s="655"/>
      <c r="T683" s="655"/>
      <c r="U683" s="655"/>
      <c r="V683" s="655"/>
      <c r="W683" s="655"/>
      <c r="X683" s="655"/>
      <c r="Y683" s="655"/>
      <c r="Z683" s="655"/>
    </row>
    <row r="684">
      <c r="B684" s="462"/>
      <c r="C684" s="671"/>
      <c r="D684" s="462"/>
      <c r="E684" s="654"/>
      <c r="F684" s="650"/>
      <c r="G684" s="654"/>
      <c r="H684" s="654"/>
      <c r="I684" s="650"/>
      <c r="J684" s="650"/>
      <c r="K684" s="655"/>
      <c r="L684" s="655"/>
      <c r="M684" s="655"/>
      <c r="N684" s="655"/>
      <c r="O684" s="655"/>
      <c r="P684" s="655"/>
      <c r="Q684" s="655"/>
      <c r="R684" s="655"/>
      <c r="S684" s="655"/>
      <c r="T684" s="655"/>
      <c r="U684" s="655"/>
      <c r="V684" s="655"/>
      <c r="W684" s="655"/>
      <c r="X684" s="655"/>
      <c r="Y684" s="655"/>
      <c r="Z684" s="655"/>
    </row>
    <row r="685">
      <c r="B685" s="462"/>
      <c r="C685" s="671"/>
      <c r="D685" s="462"/>
      <c r="E685" s="654"/>
      <c r="F685" s="650"/>
      <c r="G685" s="654"/>
      <c r="H685" s="654"/>
      <c r="I685" s="650"/>
      <c r="J685" s="650"/>
      <c r="K685" s="655"/>
      <c r="L685" s="655"/>
      <c r="M685" s="655"/>
      <c r="N685" s="655"/>
      <c r="O685" s="655"/>
      <c r="P685" s="655"/>
      <c r="Q685" s="655"/>
      <c r="R685" s="655"/>
      <c r="S685" s="655"/>
      <c r="T685" s="655"/>
      <c r="U685" s="655"/>
      <c r="V685" s="655"/>
      <c r="W685" s="655"/>
      <c r="X685" s="655"/>
      <c r="Y685" s="655"/>
      <c r="Z685" s="655"/>
    </row>
    <row r="686">
      <c r="B686" s="462"/>
      <c r="C686" s="671"/>
      <c r="D686" s="462"/>
      <c r="E686" s="654"/>
      <c r="F686" s="650"/>
      <c r="G686" s="654"/>
      <c r="H686" s="654"/>
      <c r="I686" s="650"/>
      <c r="J686" s="650"/>
      <c r="K686" s="655"/>
      <c r="L686" s="655"/>
      <c r="M686" s="655"/>
      <c r="N686" s="655"/>
      <c r="O686" s="655"/>
      <c r="P686" s="655"/>
      <c r="Q686" s="655"/>
      <c r="R686" s="655"/>
      <c r="S686" s="655"/>
      <c r="T686" s="655"/>
      <c r="U686" s="655"/>
      <c r="V686" s="655"/>
      <c r="W686" s="655"/>
      <c r="X686" s="655"/>
      <c r="Y686" s="655"/>
      <c r="Z686" s="655"/>
    </row>
    <row r="687">
      <c r="B687" s="462"/>
      <c r="C687" s="671"/>
      <c r="D687" s="462"/>
      <c r="E687" s="654"/>
      <c r="F687" s="650"/>
      <c r="G687" s="654"/>
      <c r="H687" s="654"/>
      <c r="I687" s="650"/>
      <c r="J687" s="650"/>
      <c r="K687" s="655"/>
      <c r="L687" s="655"/>
      <c r="M687" s="655"/>
      <c r="N687" s="655"/>
      <c r="O687" s="655"/>
      <c r="P687" s="655"/>
      <c r="Q687" s="655"/>
      <c r="R687" s="655"/>
      <c r="S687" s="655"/>
      <c r="T687" s="655"/>
      <c r="U687" s="655"/>
      <c r="V687" s="655"/>
      <c r="W687" s="655"/>
      <c r="X687" s="655"/>
      <c r="Y687" s="655"/>
      <c r="Z687" s="655"/>
    </row>
    <row r="688">
      <c r="B688" s="462"/>
      <c r="C688" s="671"/>
      <c r="D688" s="462"/>
      <c r="E688" s="654"/>
      <c r="F688" s="650"/>
      <c r="G688" s="654"/>
      <c r="H688" s="654"/>
      <c r="I688" s="650"/>
      <c r="J688" s="650"/>
      <c r="K688" s="655"/>
      <c r="L688" s="655"/>
      <c r="M688" s="655"/>
      <c r="N688" s="655"/>
      <c r="O688" s="655"/>
      <c r="P688" s="655"/>
      <c r="Q688" s="655"/>
      <c r="R688" s="655"/>
      <c r="S688" s="655"/>
      <c r="T688" s="655"/>
      <c r="U688" s="655"/>
      <c r="V688" s="655"/>
      <c r="W688" s="655"/>
      <c r="X688" s="655"/>
      <c r="Y688" s="655"/>
      <c r="Z688" s="655"/>
    </row>
    <row r="689">
      <c r="B689" s="462"/>
      <c r="C689" s="671"/>
      <c r="D689" s="462"/>
      <c r="E689" s="654"/>
      <c r="F689" s="650"/>
      <c r="G689" s="654"/>
      <c r="H689" s="654"/>
      <c r="I689" s="650"/>
      <c r="J689" s="650"/>
      <c r="K689" s="655"/>
      <c r="L689" s="655"/>
      <c r="M689" s="655"/>
      <c r="N689" s="655"/>
      <c r="O689" s="655"/>
      <c r="P689" s="655"/>
      <c r="Q689" s="655"/>
      <c r="R689" s="655"/>
      <c r="S689" s="655"/>
      <c r="T689" s="655"/>
      <c r="U689" s="655"/>
      <c r="V689" s="655"/>
      <c r="W689" s="655"/>
      <c r="X689" s="655"/>
      <c r="Y689" s="655"/>
      <c r="Z689" s="655"/>
    </row>
    <row r="690">
      <c r="B690" s="462"/>
      <c r="C690" s="671"/>
      <c r="D690" s="462"/>
      <c r="E690" s="654"/>
      <c r="F690" s="650"/>
      <c r="G690" s="654"/>
      <c r="H690" s="654"/>
      <c r="I690" s="650"/>
      <c r="J690" s="650"/>
      <c r="K690" s="655"/>
      <c r="L690" s="655"/>
      <c r="M690" s="655"/>
      <c r="N690" s="655"/>
      <c r="O690" s="655"/>
      <c r="P690" s="655"/>
      <c r="Q690" s="655"/>
      <c r="R690" s="655"/>
      <c r="S690" s="655"/>
      <c r="T690" s="655"/>
      <c r="U690" s="655"/>
      <c r="V690" s="655"/>
      <c r="W690" s="655"/>
      <c r="X690" s="655"/>
      <c r="Y690" s="655"/>
      <c r="Z690" s="655"/>
    </row>
    <row r="691">
      <c r="B691" s="462"/>
      <c r="C691" s="671"/>
      <c r="D691" s="462"/>
      <c r="E691" s="654"/>
      <c r="F691" s="650"/>
      <c r="G691" s="654"/>
      <c r="H691" s="654"/>
      <c r="I691" s="650"/>
      <c r="J691" s="650"/>
      <c r="K691" s="655"/>
      <c r="L691" s="655"/>
      <c r="M691" s="655"/>
      <c r="N691" s="655"/>
      <c r="O691" s="655"/>
      <c r="P691" s="655"/>
      <c r="Q691" s="655"/>
      <c r="R691" s="655"/>
      <c r="S691" s="655"/>
      <c r="T691" s="655"/>
      <c r="U691" s="655"/>
      <c r="V691" s="655"/>
      <c r="W691" s="655"/>
      <c r="X691" s="655"/>
      <c r="Y691" s="655"/>
      <c r="Z691" s="655"/>
    </row>
    <row r="692">
      <c r="B692" s="462"/>
      <c r="C692" s="671"/>
      <c r="D692" s="462"/>
      <c r="E692" s="654"/>
      <c r="F692" s="650"/>
      <c r="G692" s="654"/>
      <c r="H692" s="654"/>
      <c r="I692" s="650"/>
      <c r="J692" s="650"/>
      <c r="K692" s="655"/>
      <c r="L692" s="655"/>
      <c r="M692" s="655"/>
      <c r="N692" s="655"/>
      <c r="O692" s="655"/>
      <c r="P692" s="655"/>
      <c r="Q692" s="655"/>
      <c r="R692" s="655"/>
      <c r="S692" s="655"/>
      <c r="T692" s="655"/>
      <c r="U692" s="655"/>
      <c r="V692" s="655"/>
      <c r="W692" s="655"/>
      <c r="X692" s="655"/>
      <c r="Y692" s="655"/>
      <c r="Z692" s="655"/>
    </row>
    <row r="693">
      <c r="B693" s="462"/>
      <c r="C693" s="671"/>
      <c r="D693" s="462"/>
      <c r="E693" s="654"/>
      <c r="F693" s="650"/>
      <c r="G693" s="654"/>
      <c r="H693" s="654"/>
      <c r="I693" s="650"/>
      <c r="J693" s="650"/>
      <c r="K693" s="655"/>
      <c r="L693" s="655"/>
      <c r="M693" s="655"/>
      <c r="N693" s="655"/>
      <c r="O693" s="655"/>
      <c r="P693" s="655"/>
      <c r="Q693" s="655"/>
      <c r="R693" s="655"/>
      <c r="S693" s="655"/>
      <c r="T693" s="655"/>
      <c r="U693" s="655"/>
      <c r="V693" s="655"/>
      <c r="W693" s="655"/>
      <c r="X693" s="655"/>
      <c r="Y693" s="655"/>
      <c r="Z693" s="655"/>
    </row>
    <row r="694">
      <c r="B694" s="462"/>
      <c r="C694" s="671"/>
      <c r="D694" s="462"/>
      <c r="E694" s="654"/>
      <c r="F694" s="650"/>
      <c r="G694" s="654"/>
      <c r="H694" s="654"/>
      <c r="I694" s="650"/>
      <c r="J694" s="650"/>
      <c r="K694" s="655"/>
      <c r="L694" s="655"/>
      <c r="M694" s="655"/>
      <c r="N694" s="655"/>
      <c r="O694" s="655"/>
      <c r="P694" s="655"/>
      <c r="Q694" s="655"/>
      <c r="R694" s="655"/>
      <c r="S694" s="655"/>
      <c r="T694" s="655"/>
      <c r="U694" s="655"/>
      <c r="V694" s="655"/>
      <c r="W694" s="655"/>
      <c r="X694" s="655"/>
      <c r="Y694" s="655"/>
      <c r="Z694" s="655"/>
    </row>
    <row r="695">
      <c r="B695" s="462"/>
      <c r="C695" s="671"/>
      <c r="D695" s="462"/>
      <c r="E695" s="654"/>
      <c r="F695" s="650"/>
      <c r="G695" s="654"/>
      <c r="H695" s="654"/>
      <c r="I695" s="650"/>
      <c r="J695" s="650"/>
      <c r="K695" s="655"/>
      <c r="L695" s="655"/>
      <c r="M695" s="655"/>
      <c r="N695" s="655"/>
      <c r="O695" s="655"/>
      <c r="P695" s="655"/>
      <c r="Q695" s="655"/>
      <c r="R695" s="655"/>
      <c r="S695" s="655"/>
      <c r="T695" s="655"/>
      <c r="U695" s="655"/>
      <c r="V695" s="655"/>
      <c r="W695" s="655"/>
      <c r="X695" s="655"/>
      <c r="Y695" s="655"/>
      <c r="Z695" s="655"/>
    </row>
    <row r="696">
      <c r="B696" s="462"/>
      <c r="C696" s="671"/>
      <c r="D696" s="462"/>
      <c r="E696" s="654"/>
      <c r="F696" s="650"/>
      <c r="G696" s="654"/>
      <c r="H696" s="654"/>
      <c r="I696" s="650"/>
      <c r="J696" s="650"/>
      <c r="K696" s="655"/>
      <c r="L696" s="655"/>
      <c r="M696" s="655"/>
      <c r="N696" s="655"/>
      <c r="O696" s="655"/>
      <c r="P696" s="655"/>
      <c r="Q696" s="655"/>
      <c r="R696" s="655"/>
      <c r="S696" s="655"/>
      <c r="T696" s="655"/>
      <c r="U696" s="655"/>
      <c r="V696" s="655"/>
      <c r="W696" s="655"/>
      <c r="X696" s="655"/>
      <c r="Y696" s="655"/>
      <c r="Z696" s="655"/>
    </row>
    <row r="697">
      <c r="B697" s="462"/>
      <c r="C697" s="671"/>
      <c r="D697" s="462"/>
      <c r="E697" s="654"/>
      <c r="F697" s="650"/>
      <c r="G697" s="654"/>
      <c r="H697" s="654"/>
      <c r="I697" s="650"/>
      <c r="J697" s="650"/>
      <c r="K697" s="655"/>
      <c r="L697" s="655"/>
      <c r="M697" s="655"/>
      <c r="N697" s="655"/>
      <c r="O697" s="655"/>
      <c r="P697" s="655"/>
      <c r="Q697" s="655"/>
      <c r="R697" s="655"/>
      <c r="S697" s="655"/>
      <c r="T697" s="655"/>
      <c r="U697" s="655"/>
      <c r="V697" s="655"/>
      <c r="W697" s="655"/>
      <c r="X697" s="655"/>
      <c r="Y697" s="655"/>
      <c r="Z697" s="655"/>
    </row>
    <row r="698">
      <c r="B698" s="462"/>
      <c r="C698" s="671"/>
      <c r="D698" s="462"/>
      <c r="E698" s="654"/>
      <c r="F698" s="650"/>
      <c r="G698" s="654"/>
      <c r="H698" s="654"/>
      <c r="I698" s="650"/>
      <c r="J698" s="650"/>
      <c r="K698" s="655"/>
      <c r="L698" s="655"/>
      <c r="M698" s="655"/>
      <c r="N698" s="655"/>
      <c r="O698" s="655"/>
      <c r="P698" s="655"/>
      <c r="Q698" s="655"/>
      <c r="R698" s="655"/>
      <c r="S698" s="655"/>
      <c r="T698" s="655"/>
      <c r="U698" s="655"/>
      <c r="V698" s="655"/>
      <c r="W698" s="655"/>
      <c r="X698" s="655"/>
      <c r="Y698" s="655"/>
      <c r="Z698" s="655"/>
    </row>
    <row r="699">
      <c r="B699" s="462"/>
      <c r="C699" s="671"/>
      <c r="D699" s="462"/>
      <c r="E699" s="654"/>
      <c r="F699" s="650"/>
      <c r="G699" s="654"/>
      <c r="H699" s="654"/>
      <c r="I699" s="650"/>
      <c r="J699" s="650"/>
      <c r="K699" s="655"/>
      <c r="L699" s="655"/>
      <c r="M699" s="655"/>
      <c r="N699" s="655"/>
      <c r="O699" s="655"/>
      <c r="P699" s="655"/>
      <c r="Q699" s="655"/>
      <c r="R699" s="655"/>
      <c r="S699" s="655"/>
      <c r="T699" s="655"/>
      <c r="U699" s="655"/>
      <c r="V699" s="655"/>
      <c r="W699" s="655"/>
      <c r="X699" s="655"/>
      <c r="Y699" s="655"/>
      <c r="Z699" s="655"/>
    </row>
    <row r="700">
      <c r="B700" s="462"/>
      <c r="C700" s="671"/>
      <c r="D700" s="462"/>
      <c r="E700" s="654"/>
      <c r="F700" s="650"/>
      <c r="G700" s="654"/>
      <c r="H700" s="654"/>
      <c r="I700" s="650"/>
      <c r="J700" s="650"/>
      <c r="K700" s="655"/>
      <c r="L700" s="655"/>
      <c r="M700" s="655"/>
      <c r="N700" s="655"/>
      <c r="O700" s="655"/>
      <c r="P700" s="655"/>
      <c r="Q700" s="655"/>
      <c r="R700" s="655"/>
      <c r="S700" s="655"/>
      <c r="T700" s="655"/>
      <c r="U700" s="655"/>
      <c r="V700" s="655"/>
      <c r="W700" s="655"/>
      <c r="X700" s="655"/>
      <c r="Y700" s="655"/>
      <c r="Z700" s="655"/>
    </row>
    <row r="701">
      <c r="B701" s="462"/>
      <c r="C701" s="671"/>
      <c r="D701" s="462"/>
      <c r="E701" s="654"/>
      <c r="F701" s="650"/>
      <c r="G701" s="654"/>
      <c r="H701" s="654"/>
      <c r="I701" s="650"/>
      <c r="J701" s="650"/>
      <c r="K701" s="655"/>
      <c r="L701" s="655"/>
      <c r="M701" s="655"/>
      <c r="N701" s="655"/>
      <c r="O701" s="655"/>
      <c r="P701" s="655"/>
      <c r="Q701" s="655"/>
      <c r="R701" s="655"/>
      <c r="S701" s="655"/>
      <c r="T701" s="655"/>
      <c r="U701" s="655"/>
      <c r="V701" s="655"/>
      <c r="W701" s="655"/>
      <c r="X701" s="655"/>
      <c r="Y701" s="655"/>
      <c r="Z701" s="655"/>
    </row>
    <row r="702">
      <c r="B702" s="462"/>
      <c r="C702" s="671"/>
      <c r="D702" s="462"/>
      <c r="E702" s="654"/>
      <c r="F702" s="650"/>
      <c r="G702" s="654"/>
      <c r="H702" s="654"/>
      <c r="I702" s="650"/>
      <c r="J702" s="650"/>
      <c r="K702" s="655"/>
      <c r="L702" s="655"/>
      <c r="M702" s="655"/>
      <c r="N702" s="655"/>
      <c r="O702" s="655"/>
      <c r="P702" s="655"/>
      <c r="Q702" s="655"/>
      <c r="R702" s="655"/>
      <c r="S702" s="655"/>
      <c r="T702" s="655"/>
      <c r="U702" s="655"/>
      <c r="V702" s="655"/>
      <c r="W702" s="655"/>
      <c r="X702" s="655"/>
      <c r="Y702" s="655"/>
      <c r="Z702" s="655"/>
    </row>
    <row r="703">
      <c r="B703" s="462"/>
      <c r="C703" s="671"/>
      <c r="D703" s="462"/>
      <c r="E703" s="654"/>
      <c r="F703" s="650"/>
      <c r="G703" s="654"/>
      <c r="H703" s="654"/>
      <c r="I703" s="650"/>
      <c r="J703" s="650"/>
      <c r="K703" s="655"/>
      <c r="L703" s="655"/>
      <c r="M703" s="655"/>
      <c r="N703" s="655"/>
      <c r="O703" s="655"/>
      <c r="P703" s="655"/>
      <c r="Q703" s="655"/>
      <c r="R703" s="655"/>
      <c r="S703" s="655"/>
      <c r="T703" s="655"/>
      <c r="U703" s="655"/>
      <c r="V703" s="655"/>
      <c r="W703" s="655"/>
      <c r="X703" s="655"/>
      <c r="Y703" s="655"/>
      <c r="Z703" s="655"/>
    </row>
    <row r="704">
      <c r="B704" s="462"/>
      <c r="C704" s="671"/>
      <c r="D704" s="462"/>
      <c r="E704" s="654"/>
      <c r="F704" s="650"/>
      <c r="G704" s="654"/>
      <c r="H704" s="654"/>
      <c r="I704" s="650"/>
      <c r="J704" s="650"/>
      <c r="K704" s="655"/>
      <c r="L704" s="655"/>
      <c r="M704" s="655"/>
      <c r="N704" s="655"/>
      <c r="O704" s="655"/>
      <c r="P704" s="655"/>
      <c r="Q704" s="655"/>
      <c r="R704" s="655"/>
      <c r="S704" s="655"/>
      <c r="T704" s="655"/>
      <c r="U704" s="655"/>
      <c r="V704" s="655"/>
      <c r="W704" s="655"/>
      <c r="X704" s="655"/>
      <c r="Y704" s="655"/>
      <c r="Z704" s="655"/>
    </row>
    <row r="705">
      <c r="B705" s="462"/>
      <c r="C705" s="671"/>
      <c r="D705" s="462"/>
      <c r="E705" s="654"/>
      <c r="F705" s="650"/>
      <c r="G705" s="654"/>
      <c r="H705" s="654"/>
      <c r="I705" s="650"/>
      <c r="J705" s="650"/>
      <c r="K705" s="655"/>
      <c r="L705" s="655"/>
      <c r="M705" s="655"/>
      <c r="N705" s="655"/>
      <c r="O705" s="655"/>
      <c r="P705" s="655"/>
      <c r="Q705" s="655"/>
      <c r="R705" s="655"/>
      <c r="S705" s="655"/>
      <c r="T705" s="655"/>
      <c r="U705" s="655"/>
      <c r="V705" s="655"/>
      <c r="W705" s="655"/>
      <c r="X705" s="655"/>
      <c r="Y705" s="655"/>
      <c r="Z705" s="655"/>
    </row>
    <row r="706">
      <c r="B706" s="462"/>
      <c r="C706" s="671"/>
      <c r="D706" s="462"/>
      <c r="E706" s="654"/>
      <c r="F706" s="650"/>
      <c r="G706" s="654"/>
      <c r="H706" s="654"/>
      <c r="I706" s="650"/>
      <c r="J706" s="650"/>
      <c r="K706" s="655"/>
      <c r="L706" s="655"/>
      <c r="M706" s="655"/>
      <c r="N706" s="655"/>
      <c r="O706" s="655"/>
      <c r="P706" s="655"/>
      <c r="Q706" s="655"/>
      <c r="R706" s="655"/>
      <c r="S706" s="655"/>
      <c r="T706" s="655"/>
      <c r="U706" s="655"/>
      <c r="V706" s="655"/>
      <c r="W706" s="655"/>
      <c r="X706" s="655"/>
      <c r="Y706" s="655"/>
      <c r="Z706" s="655"/>
    </row>
    <row r="707">
      <c r="B707" s="462"/>
      <c r="C707" s="671"/>
      <c r="D707" s="462"/>
      <c r="E707" s="654"/>
      <c r="F707" s="650"/>
      <c r="G707" s="654"/>
      <c r="H707" s="654"/>
      <c r="I707" s="650"/>
      <c r="J707" s="650"/>
      <c r="K707" s="655"/>
      <c r="L707" s="655"/>
      <c r="M707" s="655"/>
      <c r="N707" s="655"/>
      <c r="O707" s="655"/>
      <c r="P707" s="655"/>
      <c r="Q707" s="655"/>
      <c r="R707" s="655"/>
      <c r="S707" s="655"/>
      <c r="T707" s="655"/>
      <c r="U707" s="655"/>
      <c r="V707" s="655"/>
      <c r="W707" s="655"/>
      <c r="X707" s="655"/>
      <c r="Y707" s="655"/>
      <c r="Z707" s="655"/>
    </row>
    <row r="708">
      <c r="B708" s="462"/>
      <c r="C708" s="671"/>
      <c r="D708" s="462"/>
      <c r="E708" s="654"/>
      <c r="F708" s="650"/>
      <c r="G708" s="654"/>
      <c r="H708" s="654"/>
      <c r="I708" s="650"/>
      <c r="J708" s="650"/>
      <c r="K708" s="655"/>
      <c r="L708" s="655"/>
      <c r="M708" s="655"/>
      <c r="N708" s="655"/>
      <c r="O708" s="655"/>
      <c r="P708" s="655"/>
      <c r="Q708" s="655"/>
      <c r="R708" s="655"/>
      <c r="S708" s="655"/>
      <c r="T708" s="655"/>
      <c r="U708" s="655"/>
      <c r="V708" s="655"/>
      <c r="W708" s="655"/>
      <c r="X708" s="655"/>
      <c r="Y708" s="655"/>
      <c r="Z708" s="655"/>
    </row>
    <row r="709">
      <c r="B709" s="462"/>
      <c r="C709" s="671"/>
      <c r="D709" s="462"/>
      <c r="E709" s="654"/>
      <c r="F709" s="650"/>
      <c r="G709" s="654"/>
      <c r="H709" s="654"/>
      <c r="I709" s="650"/>
      <c r="J709" s="650"/>
      <c r="K709" s="655"/>
      <c r="L709" s="655"/>
      <c r="M709" s="655"/>
      <c r="N709" s="655"/>
      <c r="O709" s="655"/>
      <c r="P709" s="655"/>
      <c r="Q709" s="655"/>
      <c r="R709" s="655"/>
      <c r="S709" s="655"/>
      <c r="T709" s="655"/>
      <c r="U709" s="655"/>
      <c r="V709" s="655"/>
      <c r="W709" s="655"/>
      <c r="X709" s="655"/>
      <c r="Y709" s="655"/>
      <c r="Z709" s="655"/>
    </row>
    <row r="710">
      <c r="B710" s="462"/>
      <c r="C710" s="671"/>
      <c r="D710" s="462"/>
      <c r="E710" s="654"/>
      <c r="F710" s="650"/>
      <c r="G710" s="654"/>
      <c r="H710" s="654"/>
      <c r="I710" s="650"/>
      <c r="J710" s="650"/>
      <c r="K710" s="655"/>
      <c r="L710" s="655"/>
      <c r="M710" s="655"/>
      <c r="N710" s="655"/>
      <c r="O710" s="655"/>
      <c r="P710" s="655"/>
      <c r="Q710" s="655"/>
      <c r="R710" s="655"/>
      <c r="S710" s="655"/>
      <c r="T710" s="655"/>
      <c r="U710" s="655"/>
      <c r="V710" s="655"/>
      <c r="W710" s="655"/>
      <c r="X710" s="655"/>
      <c r="Y710" s="655"/>
      <c r="Z710" s="655"/>
    </row>
    <row r="711">
      <c r="B711" s="462"/>
      <c r="C711" s="671"/>
      <c r="D711" s="462"/>
      <c r="E711" s="654"/>
      <c r="F711" s="650"/>
      <c r="G711" s="654"/>
      <c r="H711" s="654"/>
      <c r="I711" s="650"/>
      <c r="J711" s="650"/>
      <c r="K711" s="655"/>
      <c r="L711" s="655"/>
      <c r="M711" s="655"/>
      <c r="N711" s="655"/>
      <c r="O711" s="655"/>
      <c r="P711" s="655"/>
      <c r="Q711" s="655"/>
      <c r="R711" s="655"/>
      <c r="S711" s="655"/>
      <c r="T711" s="655"/>
      <c r="U711" s="655"/>
      <c r="V711" s="655"/>
      <c r="W711" s="655"/>
      <c r="X711" s="655"/>
      <c r="Y711" s="655"/>
      <c r="Z711" s="655"/>
    </row>
    <row r="712">
      <c r="B712" s="462"/>
      <c r="C712" s="671"/>
      <c r="D712" s="462"/>
      <c r="E712" s="654"/>
      <c r="F712" s="650"/>
      <c r="G712" s="654"/>
      <c r="H712" s="654"/>
      <c r="I712" s="650"/>
      <c r="J712" s="650"/>
      <c r="K712" s="655"/>
      <c r="L712" s="655"/>
      <c r="M712" s="655"/>
      <c r="N712" s="655"/>
      <c r="O712" s="655"/>
      <c r="P712" s="655"/>
      <c r="Q712" s="655"/>
      <c r="R712" s="655"/>
      <c r="S712" s="655"/>
      <c r="T712" s="655"/>
      <c r="U712" s="655"/>
      <c r="V712" s="655"/>
      <c r="W712" s="655"/>
      <c r="X712" s="655"/>
      <c r="Y712" s="655"/>
      <c r="Z712" s="655"/>
    </row>
    <row r="713">
      <c r="B713" s="462"/>
      <c r="C713" s="671"/>
      <c r="D713" s="462"/>
      <c r="E713" s="654"/>
      <c r="F713" s="650"/>
      <c r="G713" s="654"/>
      <c r="H713" s="654"/>
      <c r="I713" s="650"/>
      <c r="J713" s="650"/>
      <c r="K713" s="655"/>
      <c r="L713" s="655"/>
      <c r="M713" s="655"/>
      <c r="N713" s="655"/>
      <c r="O713" s="655"/>
      <c r="P713" s="655"/>
      <c r="Q713" s="655"/>
      <c r="R713" s="655"/>
      <c r="S713" s="655"/>
      <c r="T713" s="655"/>
      <c r="U713" s="655"/>
      <c r="V713" s="655"/>
      <c r="W713" s="655"/>
      <c r="X713" s="655"/>
      <c r="Y713" s="655"/>
      <c r="Z713" s="655"/>
    </row>
    <row r="714">
      <c r="B714" s="462"/>
      <c r="C714" s="671"/>
      <c r="D714" s="462"/>
      <c r="E714" s="654"/>
      <c r="F714" s="650"/>
      <c r="G714" s="654"/>
      <c r="H714" s="654"/>
      <c r="I714" s="650"/>
      <c r="J714" s="650"/>
      <c r="K714" s="655"/>
      <c r="L714" s="655"/>
      <c r="M714" s="655"/>
      <c r="N714" s="655"/>
      <c r="O714" s="655"/>
      <c r="P714" s="655"/>
      <c r="Q714" s="655"/>
      <c r="R714" s="655"/>
      <c r="S714" s="655"/>
      <c r="T714" s="655"/>
      <c r="U714" s="655"/>
      <c r="V714" s="655"/>
      <c r="W714" s="655"/>
      <c r="X714" s="655"/>
      <c r="Y714" s="655"/>
      <c r="Z714" s="655"/>
    </row>
    <row r="715">
      <c r="B715" s="462"/>
      <c r="C715" s="671"/>
      <c r="D715" s="462"/>
      <c r="E715" s="654"/>
      <c r="F715" s="650"/>
      <c r="G715" s="654"/>
      <c r="H715" s="654"/>
      <c r="I715" s="650"/>
      <c r="J715" s="650"/>
      <c r="K715" s="655"/>
      <c r="L715" s="655"/>
      <c r="M715" s="655"/>
      <c r="N715" s="655"/>
      <c r="O715" s="655"/>
      <c r="P715" s="655"/>
      <c r="Q715" s="655"/>
      <c r="R715" s="655"/>
      <c r="S715" s="655"/>
      <c r="T715" s="655"/>
      <c r="U715" s="655"/>
      <c r="V715" s="655"/>
      <c r="W715" s="655"/>
      <c r="X715" s="655"/>
      <c r="Y715" s="655"/>
      <c r="Z715" s="655"/>
    </row>
    <row r="716">
      <c r="B716" s="462"/>
      <c r="C716" s="671"/>
      <c r="D716" s="462"/>
      <c r="E716" s="654"/>
      <c r="F716" s="650"/>
      <c r="G716" s="654"/>
      <c r="H716" s="654"/>
      <c r="I716" s="650"/>
      <c r="J716" s="650"/>
      <c r="K716" s="655"/>
      <c r="L716" s="655"/>
      <c r="M716" s="655"/>
      <c r="N716" s="655"/>
      <c r="O716" s="655"/>
      <c r="P716" s="655"/>
      <c r="Q716" s="655"/>
      <c r="R716" s="655"/>
      <c r="S716" s="655"/>
      <c r="T716" s="655"/>
      <c r="U716" s="655"/>
      <c r="V716" s="655"/>
      <c r="W716" s="655"/>
      <c r="X716" s="655"/>
      <c r="Y716" s="655"/>
      <c r="Z716" s="655"/>
    </row>
    <row r="717">
      <c r="B717" s="462"/>
      <c r="C717" s="671"/>
      <c r="D717" s="462"/>
      <c r="E717" s="654"/>
      <c r="F717" s="650"/>
      <c r="G717" s="654"/>
      <c r="H717" s="654"/>
      <c r="I717" s="650"/>
      <c r="J717" s="650"/>
      <c r="K717" s="655"/>
      <c r="L717" s="655"/>
      <c r="M717" s="655"/>
      <c r="N717" s="655"/>
      <c r="O717" s="655"/>
      <c r="P717" s="655"/>
      <c r="Q717" s="655"/>
      <c r="R717" s="655"/>
      <c r="S717" s="655"/>
      <c r="T717" s="655"/>
      <c r="U717" s="655"/>
      <c r="V717" s="655"/>
      <c r="W717" s="655"/>
      <c r="X717" s="655"/>
      <c r="Y717" s="655"/>
      <c r="Z717" s="655"/>
    </row>
    <row r="718">
      <c r="B718" s="462"/>
      <c r="C718" s="671"/>
      <c r="D718" s="462"/>
      <c r="E718" s="654"/>
      <c r="F718" s="650"/>
      <c r="G718" s="654"/>
      <c r="H718" s="654"/>
      <c r="I718" s="650"/>
      <c r="J718" s="650"/>
      <c r="K718" s="655"/>
      <c r="L718" s="655"/>
      <c r="M718" s="655"/>
      <c r="N718" s="655"/>
      <c r="O718" s="655"/>
      <c r="P718" s="655"/>
      <c r="Q718" s="655"/>
      <c r="R718" s="655"/>
      <c r="S718" s="655"/>
      <c r="T718" s="655"/>
      <c r="U718" s="655"/>
      <c r="V718" s="655"/>
      <c r="W718" s="655"/>
      <c r="X718" s="655"/>
      <c r="Y718" s="655"/>
      <c r="Z718" s="655"/>
    </row>
    <row r="719">
      <c r="B719" s="462"/>
      <c r="C719" s="671"/>
      <c r="D719" s="462"/>
      <c r="E719" s="654"/>
      <c r="F719" s="650"/>
      <c r="G719" s="654"/>
      <c r="H719" s="654"/>
      <c r="I719" s="650"/>
      <c r="J719" s="650"/>
      <c r="K719" s="655"/>
      <c r="L719" s="655"/>
      <c r="M719" s="655"/>
      <c r="N719" s="655"/>
      <c r="O719" s="655"/>
      <c r="P719" s="655"/>
      <c r="Q719" s="655"/>
      <c r="R719" s="655"/>
      <c r="S719" s="655"/>
      <c r="T719" s="655"/>
      <c r="U719" s="655"/>
      <c r="V719" s="655"/>
      <c r="W719" s="655"/>
      <c r="X719" s="655"/>
      <c r="Y719" s="655"/>
      <c r="Z719" s="655"/>
    </row>
    <row r="720">
      <c r="B720" s="462"/>
      <c r="C720" s="671"/>
      <c r="D720" s="462"/>
      <c r="E720" s="654"/>
      <c r="F720" s="650"/>
      <c r="G720" s="654"/>
      <c r="H720" s="654"/>
      <c r="I720" s="650"/>
      <c r="J720" s="650"/>
      <c r="K720" s="655"/>
      <c r="L720" s="655"/>
      <c r="M720" s="655"/>
      <c r="N720" s="655"/>
      <c r="O720" s="655"/>
      <c r="P720" s="655"/>
      <c r="Q720" s="655"/>
      <c r="R720" s="655"/>
      <c r="S720" s="655"/>
      <c r="T720" s="655"/>
      <c r="U720" s="655"/>
      <c r="V720" s="655"/>
      <c r="W720" s="655"/>
      <c r="X720" s="655"/>
      <c r="Y720" s="655"/>
      <c r="Z720" s="655"/>
    </row>
    <row r="721">
      <c r="B721" s="462"/>
      <c r="C721" s="671"/>
      <c r="D721" s="462"/>
      <c r="E721" s="654"/>
      <c r="F721" s="650"/>
      <c r="G721" s="654"/>
      <c r="H721" s="654"/>
      <c r="I721" s="650"/>
      <c r="J721" s="650"/>
      <c r="K721" s="655"/>
      <c r="L721" s="655"/>
      <c r="M721" s="655"/>
      <c r="N721" s="655"/>
      <c r="O721" s="655"/>
      <c r="P721" s="655"/>
      <c r="Q721" s="655"/>
      <c r="R721" s="655"/>
      <c r="S721" s="655"/>
      <c r="T721" s="655"/>
      <c r="U721" s="655"/>
      <c r="V721" s="655"/>
      <c r="W721" s="655"/>
      <c r="X721" s="655"/>
      <c r="Y721" s="655"/>
      <c r="Z721" s="655"/>
    </row>
    <row r="722">
      <c r="B722" s="462"/>
      <c r="C722" s="671"/>
      <c r="D722" s="462"/>
      <c r="E722" s="654"/>
      <c r="F722" s="650"/>
      <c r="G722" s="654"/>
      <c r="H722" s="654"/>
      <c r="I722" s="650"/>
      <c r="J722" s="650"/>
      <c r="K722" s="655"/>
      <c r="L722" s="655"/>
      <c r="M722" s="655"/>
      <c r="N722" s="655"/>
      <c r="O722" s="655"/>
      <c r="P722" s="655"/>
      <c r="Q722" s="655"/>
      <c r="R722" s="655"/>
      <c r="S722" s="655"/>
      <c r="T722" s="655"/>
      <c r="U722" s="655"/>
      <c r="V722" s="655"/>
      <c r="W722" s="655"/>
      <c r="X722" s="655"/>
      <c r="Y722" s="655"/>
      <c r="Z722" s="655"/>
    </row>
    <row r="723">
      <c r="B723" s="462"/>
      <c r="C723" s="671"/>
      <c r="D723" s="462"/>
      <c r="E723" s="654"/>
      <c r="F723" s="650"/>
      <c r="G723" s="654"/>
      <c r="H723" s="654"/>
      <c r="I723" s="650"/>
      <c r="J723" s="650"/>
      <c r="K723" s="655"/>
      <c r="L723" s="655"/>
      <c r="M723" s="655"/>
      <c r="N723" s="655"/>
      <c r="O723" s="655"/>
      <c r="P723" s="655"/>
      <c r="Q723" s="655"/>
      <c r="R723" s="655"/>
      <c r="S723" s="655"/>
      <c r="T723" s="655"/>
      <c r="U723" s="655"/>
      <c r="V723" s="655"/>
      <c r="W723" s="655"/>
      <c r="X723" s="655"/>
      <c r="Y723" s="655"/>
      <c r="Z723" s="655"/>
    </row>
    <row r="724">
      <c r="B724" s="462"/>
      <c r="C724" s="671"/>
      <c r="D724" s="462"/>
      <c r="E724" s="654"/>
      <c r="F724" s="650"/>
      <c r="G724" s="654"/>
      <c r="H724" s="654"/>
      <c r="I724" s="650"/>
      <c r="J724" s="650"/>
      <c r="K724" s="655"/>
      <c r="L724" s="655"/>
      <c r="M724" s="655"/>
      <c r="N724" s="655"/>
      <c r="O724" s="655"/>
      <c r="P724" s="655"/>
      <c r="Q724" s="655"/>
      <c r="R724" s="655"/>
      <c r="S724" s="655"/>
      <c r="T724" s="655"/>
      <c r="U724" s="655"/>
      <c r="V724" s="655"/>
      <c r="W724" s="655"/>
      <c r="X724" s="655"/>
      <c r="Y724" s="655"/>
      <c r="Z724" s="655"/>
    </row>
    <row r="725">
      <c r="B725" s="462"/>
      <c r="C725" s="671"/>
      <c r="D725" s="462"/>
      <c r="E725" s="654"/>
      <c r="F725" s="650"/>
      <c r="G725" s="654"/>
      <c r="H725" s="654"/>
      <c r="I725" s="650"/>
      <c r="J725" s="650"/>
      <c r="K725" s="655"/>
      <c r="L725" s="655"/>
      <c r="M725" s="655"/>
      <c r="N725" s="655"/>
      <c r="O725" s="655"/>
      <c r="P725" s="655"/>
      <c r="Q725" s="655"/>
      <c r="R725" s="655"/>
      <c r="S725" s="655"/>
      <c r="T725" s="655"/>
      <c r="U725" s="655"/>
      <c r="V725" s="655"/>
      <c r="W725" s="655"/>
      <c r="X725" s="655"/>
      <c r="Y725" s="655"/>
      <c r="Z725" s="655"/>
    </row>
    <row r="726">
      <c r="B726" s="462"/>
      <c r="C726" s="671"/>
      <c r="D726" s="462"/>
      <c r="E726" s="654"/>
      <c r="F726" s="650"/>
      <c r="G726" s="654"/>
      <c r="H726" s="654"/>
      <c r="I726" s="650"/>
      <c r="J726" s="650"/>
      <c r="K726" s="655"/>
      <c r="L726" s="655"/>
      <c r="M726" s="655"/>
      <c r="N726" s="655"/>
      <c r="O726" s="655"/>
      <c r="P726" s="655"/>
      <c r="Q726" s="655"/>
      <c r="R726" s="655"/>
      <c r="S726" s="655"/>
      <c r="T726" s="655"/>
      <c r="U726" s="655"/>
      <c r="V726" s="655"/>
      <c r="W726" s="655"/>
      <c r="X726" s="655"/>
      <c r="Y726" s="655"/>
      <c r="Z726" s="655"/>
    </row>
    <row r="727">
      <c r="B727" s="462"/>
      <c r="C727" s="671"/>
      <c r="D727" s="462"/>
      <c r="E727" s="654"/>
      <c r="F727" s="650"/>
      <c r="G727" s="654"/>
      <c r="H727" s="654"/>
      <c r="I727" s="650"/>
      <c r="J727" s="650"/>
      <c r="K727" s="655"/>
      <c r="L727" s="655"/>
      <c r="M727" s="655"/>
      <c r="N727" s="655"/>
      <c r="O727" s="655"/>
      <c r="P727" s="655"/>
      <c r="Q727" s="655"/>
      <c r="R727" s="655"/>
      <c r="S727" s="655"/>
      <c r="T727" s="655"/>
      <c r="U727" s="655"/>
      <c r="V727" s="655"/>
      <c r="W727" s="655"/>
      <c r="X727" s="655"/>
      <c r="Y727" s="655"/>
      <c r="Z727" s="655"/>
    </row>
    <row r="728">
      <c r="B728" s="462"/>
      <c r="C728" s="671"/>
      <c r="D728" s="462"/>
      <c r="E728" s="654"/>
      <c r="F728" s="650"/>
      <c r="G728" s="654"/>
      <c r="H728" s="654"/>
      <c r="I728" s="650"/>
      <c r="J728" s="650"/>
      <c r="K728" s="655"/>
      <c r="L728" s="655"/>
      <c r="M728" s="655"/>
      <c r="N728" s="655"/>
      <c r="O728" s="655"/>
      <c r="P728" s="655"/>
      <c r="Q728" s="655"/>
      <c r="R728" s="655"/>
      <c r="S728" s="655"/>
      <c r="T728" s="655"/>
      <c r="U728" s="655"/>
      <c r="V728" s="655"/>
      <c r="W728" s="655"/>
      <c r="X728" s="655"/>
      <c r="Y728" s="655"/>
      <c r="Z728" s="655"/>
    </row>
    <row r="729">
      <c r="B729" s="462"/>
      <c r="C729" s="671"/>
      <c r="D729" s="462"/>
      <c r="E729" s="654"/>
      <c r="F729" s="650"/>
      <c r="G729" s="654"/>
      <c r="H729" s="654"/>
      <c r="I729" s="650"/>
      <c r="J729" s="650"/>
      <c r="K729" s="655"/>
      <c r="L729" s="655"/>
      <c r="M729" s="655"/>
      <c r="N729" s="655"/>
      <c r="O729" s="655"/>
      <c r="P729" s="655"/>
      <c r="Q729" s="655"/>
      <c r="R729" s="655"/>
      <c r="S729" s="655"/>
      <c r="T729" s="655"/>
      <c r="U729" s="655"/>
      <c r="V729" s="655"/>
      <c r="W729" s="655"/>
      <c r="X729" s="655"/>
      <c r="Y729" s="655"/>
      <c r="Z729" s="655"/>
    </row>
    <row r="730">
      <c r="B730" s="462"/>
      <c r="C730" s="671"/>
      <c r="D730" s="462"/>
      <c r="E730" s="654"/>
      <c r="F730" s="650"/>
      <c r="G730" s="654"/>
      <c r="H730" s="654"/>
      <c r="I730" s="650"/>
      <c r="J730" s="650"/>
      <c r="K730" s="655"/>
      <c r="L730" s="655"/>
      <c r="M730" s="655"/>
      <c r="N730" s="655"/>
      <c r="O730" s="655"/>
      <c r="P730" s="655"/>
      <c r="Q730" s="655"/>
      <c r="R730" s="655"/>
      <c r="S730" s="655"/>
      <c r="T730" s="655"/>
      <c r="U730" s="655"/>
      <c r="V730" s="655"/>
      <c r="W730" s="655"/>
      <c r="X730" s="655"/>
      <c r="Y730" s="655"/>
      <c r="Z730" s="655"/>
    </row>
    <row r="731">
      <c r="B731" s="462"/>
      <c r="C731" s="671"/>
      <c r="D731" s="462"/>
      <c r="E731" s="654"/>
      <c r="F731" s="650"/>
      <c r="G731" s="654"/>
      <c r="H731" s="654"/>
      <c r="I731" s="650"/>
      <c r="J731" s="650"/>
      <c r="K731" s="655"/>
      <c r="L731" s="655"/>
      <c r="M731" s="655"/>
      <c r="N731" s="655"/>
      <c r="O731" s="655"/>
      <c r="P731" s="655"/>
      <c r="Q731" s="655"/>
      <c r="R731" s="655"/>
      <c r="S731" s="655"/>
      <c r="T731" s="655"/>
      <c r="U731" s="655"/>
      <c r="V731" s="655"/>
      <c r="W731" s="655"/>
      <c r="X731" s="655"/>
      <c r="Y731" s="655"/>
      <c r="Z731" s="655"/>
    </row>
    <row r="732">
      <c r="B732" s="462"/>
      <c r="C732" s="671"/>
      <c r="D732" s="462"/>
      <c r="E732" s="654"/>
      <c r="F732" s="650"/>
      <c r="G732" s="654"/>
      <c r="H732" s="654"/>
      <c r="I732" s="650"/>
      <c r="J732" s="650"/>
      <c r="K732" s="655"/>
      <c r="L732" s="655"/>
      <c r="M732" s="655"/>
      <c r="N732" s="655"/>
      <c r="O732" s="655"/>
      <c r="P732" s="655"/>
      <c r="Q732" s="655"/>
      <c r="R732" s="655"/>
      <c r="S732" s="655"/>
      <c r="T732" s="655"/>
      <c r="U732" s="655"/>
      <c r="V732" s="655"/>
      <c r="W732" s="655"/>
      <c r="X732" s="655"/>
      <c r="Y732" s="655"/>
      <c r="Z732" s="655"/>
    </row>
    <row r="733">
      <c r="B733" s="462"/>
      <c r="C733" s="671"/>
      <c r="D733" s="462"/>
      <c r="E733" s="654"/>
      <c r="F733" s="650"/>
      <c r="G733" s="654"/>
      <c r="H733" s="654"/>
      <c r="I733" s="650"/>
      <c r="J733" s="650"/>
      <c r="K733" s="655"/>
      <c r="L733" s="655"/>
      <c r="M733" s="655"/>
      <c r="N733" s="655"/>
      <c r="O733" s="655"/>
      <c r="P733" s="655"/>
      <c r="Q733" s="655"/>
      <c r="R733" s="655"/>
      <c r="S733" s="655"/>
      <c r="T733" s="655"/>
      <c r="U733" s="655"/>
      <c r="V733" s="655"/>
      <c r="W733" s="655"/>
      <c r="X733" s="655"/>
      <c r="Y733" s="655"/>
      <c r="Z733" s="655"/>
    </row>
    <row r="734">
      <c r="B734" s="462"/>
      <c r="C734" s="671"/>
      <c r="D734" s="462"/>
      <c r="E734" s="654"/>
      <c r="F734" s="650"/>
      <c r="G734" s="654"/>
      <c r="H734" s="654"/>
      <c r="I734" s="650"/>
      <c r="J734" s="650"/>
      <c r="K734" s="655"/>
      <c r="L734" s="655"/>
      <c r="M734" s="655"/>
      <c r="N734" s="655"/>
      <c r="O734" s="655"/>
      <c r="P734" s="655"/>
      <c r="Q734" s="655"/>
      <c r="R734" s="655"/>
      <c r="S734" s="655"/>
      <c r="T734" s="655"/>
      <c r="U734" s="655"/>
      <c r="V734" s="655"/>
      <c r="W734" s="655"/>
      <c r="X734" s="655"/>
      <c r="Y734" s="655"/>
      <c r="Z734" s="655"/>
    </row>
    <row r="735">
      <c r="B735" s="462"/>
      <c r="C735" s="671"/>
      <c r="D735" s="462"/>
      <c r="E735" s="654"/>
      <c r="F735" s="650"/>
      <c r="G735" s="654"/>
      <c r="H735" s="654"/>
      <c r="I735" s="650"/>
      <c r="J735" s="650"/>
      <c r="K735" s="655"/>
      <c r="L735" s="655"/>
      <c r="M735" s="655"/>
      <c r="N735" s="655"/>
      <c r="O735" s="655"/>
      <c r="P735" s="655"/>
      <c r="Q735" s="655"/>
      <c r="R735" s="655"/>
      <c r="S735" s="655"/>
      <c r="T735" s="655"/>
      <c r="U735" s="655"/>
      <c r="V735" s="655"/>
      <c r="W735" s="655"/>
      <c r="X735" s="655"/>
      <c r="Y735" s="655"/>
      <c r="Z735" s="655"/>
    </row>
    <row r="736">
      <c r="B736" s="462"/>
      <c r="C736" s="671"/>
      <c r="D736" s="462"/>
      <c r="E736" s="654"/>
      <c r="F736" s="650"/>
      <c r="G736" s="654"/>
      <c r="H736" s="654"/>
      <c r="I736" s="650"/>
      <c r="J736" s="650"/>
      <c r="K736" s="655"/>
      <c r="L736" s="655"/>
      <c r="M736" s="655"/>
      <c r="N736" s="655"/>
      <c r="O736" s="655"/>
      <c r="P736" s="655"/>
      <c r="Q736" s="655"/>
      <c r="R736" s="655"/>
      <c r="S736" s="655"/>
      <c r="T736" s="655"/>
      <c r="U736" s="655"/>
      <c r="V736" s="655"/>
      <c r="W736" s="655"/>
      <c r="X736" s="655"/>
      <c r="Y736" s="655"/>
      <c r="Z736" s="655"/>
    </row>
    <row r="737">
      <c r="B737" s="462"/>
      <c r="C737" s="671"/>
      <c r="D737" s="462"/>
      <c r="E737" s="654"/>
      <c r="F737" s="650"/>
      <c r="G737" s="654"/>
      <c r="H737" s="654"/>
      <c r="I737" s="650"/>
      <c r="J737" s="650"/>
      <c r="K737" s="655"/>
      <c r="L737" s="655"/>
      <c r="M737" s="655"/>
      <c r="N737" s="655"/>
      <c r="O737" s="655"/>
      <c r="P737" s="655"/>
      <c r="Q737" s="655"/>
      <c r="R737" s="655"/>
      <c r="S737" s="655"/>
      <c r="T737" s="655"/>
      <c r="U737" s="655"/>
      <c r="V737" s="655"/>
      <c r="W737" s="655"/>
      <c r="X737" s="655"/>
      <c r="Y737" s="655"/>
      <c r="Z737" s="655"/>
    </row>
    <row r="738">
      <c r="B738" s="462"/>
      <c r="C738" s="671"/>
      <c r="D738" s="462"/>
      <c r="E738" s="654"/>
      <c r="F738" s="650"/>
      <c r="G738" s="654"/>
      <c r="H738" s="654"/>
      <c r="I738" s="650"/>
      <c r="J738" s="650"/>
      <c r="K738" s="655"/>
      <c r="L738" s="655"/>
      <c r="M738" s="655"/>
      <c r="N738" s="655"/>
      <c r="O738" s="655"/>
      <c r="P738" s="655"/>
      <c r="Q738" s="655"/>
      <c r="R738" s="655"/>
      <c r="S738" s="655"/>
      <c r="T738" s="655"/>
      <c r="U738" s="655"/>
      <c r="V738" s="655"/>
      <c r="W738" s="655"/>
      <c r="X738" s="655"/>
      <c r="Y738" s="655"/>
      <c r="Z738" s="655"/>
    </row>
    <row r="739">
      <c r="B739" s="462"/>
      <c r="C739" s="671"/>
      <c r="D739" s="462"/>
      <c r="E739" s="654"/>
      <c r="F739" s="650"/>
      <c r="G739" s="654"/>
      <c r="H739" s="654"/>
      <c r="I739" s="650"/>
      <c r="J739" s="650"/>
      <c r="K739" s="655"/>
      <c r="L739" s="655"/>
      <c r="M739" s="655"/>
      <c r="N739" s="655"/>
      <c r="O739" s="655"/>
      <c r="P739" s="655"/>
      <c r="Q739" s="655"/>
      <c r="R739" s="655"/>
      <c r="S739" s="655"/>
      <c r="T739" s="655"/>
      <c r="U739" s="655"/>
      <c r="V739" s="655"/>
      <c r="W739" s="655"/>
      <c r="X739" s="655"/>
      <c r="Y739" s="655"/>
      <c r="Z739" s="655"/>
    </row>
    <row r="740">
      <c r="B740" s="462"/>
      <c r="C740" s="671"/>
      <c r="D740" s="462"/>
      <c r="E740" s="654"/>
      <c r="F740" s="650"/>
      <c r="G740" s="654"/>
      <c r="H740" s="654"/>
      <c r="I740" s="650"/>
      <c r="J740" s="650"/>
      <c r="K740" s="655"/>
      <c r="L740" s="655"/>
      <c r="M740" s="655"/>
      <c r="N740" s="655"/>
      <c r="O740" s="655"/>
      <c r="P740" s="655"/>
      <c r="Q740" s="655"/>
      <c r="R740" s="655"/>
      <c r="S740" s="655"/>
      <c r="T740" s="655"/>
      <c r="U740" s="655"/>
      <c r="V740" s="655"/>
      <c r="W740" s="655"/>
      <c r="X740" s="655"/>
      <c r="Y740" s="655"/>
      <c r="Z740" s="655"/>
    </row>
    <row r="741">
      <c r="B741" s="462"/>
      <c r="C741" s="671"/>
      <c r="D741" s="462"/>
      <c r="E741" s="654"/>
      <c r="F741" s="650"/>
      <c r="G741" s="654"/>
      <c r="H741" s="654"/>
      <c r="I741" s="650"/>
      <c r="J741" s="650"/>
      <c r="K741" s="655"/>
      <c r="L741" s="655"/>
      <c r="M741" s="655"/>
      <c r="N741" s="655"/>
      <c r="O741" s="655"/>
      <c r="P741" s="655"/>
      <c r="Q741" s="655"/>
      <c r="R741" s="655"/>
      <c r="S741" s="655"/>
      <c r="T741" s="655"/>
      <c r="U741" s="655"/>
      <c r="V741" s="655"/>
      <c r="W741" s="655"/>
      <c r="X741" s="655"/>
      <c r="Y741" s="655"/>
      <c r="Z741" s="655"/>
    </row>
    <row r="742">
      <c r="B742" s="462"/>
      <c r="C742" s="671"/>
      <c r="D742" s="462"/>
      <c r="E742" s="654"/>
      <c r="F742" s="650"/>
      <c r="G742" s="654"/>
      <c r="H742" s="654"/>
      <c r="I742" s="650"/>
      <c r="J742" s="650"/>
      <c r="K742" s="655"/>
      <c r="L742" s="655"/>
      <c r="M742" s="655"/>
      <c r="N742" s="655"/>
      <c r="O742" s="655"/>
      <c r="P742" s="655"/>
      <c r="Q742" s="655"/>
      <c r="R742" s="655"/>
      <c r="S742" s="655"/>
      <c r="T742" s="655"/>
      <c r="U742" s="655"/>
      <c r="V742" s="655"/>
      <c r="W742" s="655"/>
      <c r="X742" s="655"/>
      <c r="Y742" s="655"/>
      <c r="Z742" s="655"/>
    </row>
    <row r="743">
      <c r="B743" s="462"/>
      <c r="C743" s="671"/>
      <c r="D743" s="462"/>
      <c r="E743" s="654"/>
      <c r="F743" s="650"/>
      <c r="G743" s="654"/>
      <c r="H743" s="654"/>
      <c r="I743" s="650"/>
      <c r="J743" s="650"/>
      <c r="K743" s="655"/>
      <c r="L743" s="655"/>
      <c r="M743" s="655"/>
      <c r="N743" s="655"/>
      <c r="O743" s="655"/>
      <c r="P743" s="655"/>
      <c r="Q743" s="655"/>
      <c r="R743" s="655"/>
      <c r="S743" s="655"/>
      <c r="T743" s="655"/>
      <c r="U743" s="655"/>
      <c r="V743" s="655"/>
      <c r="W743" s="655"/>
      <c r="X743" s="655"/>
      <c r="Y743" s="655"/>
      <c r="Z743" s="655"/>
    </row>
    <row r="744">
      <c r="B744" s="462"/>
      <c r="C744" s="671"/>
      <c r="D744" s="462"/>
      <c r="E744" s="654"/>
      <c r="F744" s="650"/>
      <c r="G744" s="654"/>
      <c r="H744" s="654"/>
      <c r="I744" s="650"/>
      <c r="J744" s="650"/>
      <c r="K744" s="655"/>
      <c r="L744" s="655"/>
      <c r="M744" s="655"/>
      <c r="N744" s="655"/>
      <c r="O744" s="655"/>
      <c r="P744" s="655"/>
      <c r="Q744" s="655"/>
      <c r="R744" s="655"/>
      <c r="S744" s="655"/>
      <c r="T744" s="655"/>
      <c r="U744" s="655"/>
      <c r="V744" s="655"/>
      <c r="W744" s="655"/>
      <c r="X744" s="655"/>
      <c r="Y744" s="655"/>
      <c r="Z744" s="655"/>
    </row>
    <row r="745">
      <c r="B745" s="462"/>
      <c r="C745" s="671"/>
      <c r="D745" s="462"/>
      <c r="E745" s="654"/>
      <c r="F745" s="650"/>
      <c r="G745" s="654"/>
      <c r="H745" s="654"/>
      <c r="I745" s="650"/>
      <c r="J745" s="650"/>
      <c r="K745" s="655"/>
      <c r="L745" s="655"/>
      <c r="M745" s="655"/>
      <c r="N745" s="655"/>
      <c r="O745" s="655"/>
      <c r="P745" s="655"/>
      <c r="Q745" s="655"/>
      <c r="R745" s="655"/>
      <c r="S745" s="655"/>
      <c r="T745" s="655"/>
      <c r="U745" s="655"/>
      <c r="V745" s="655"/>
      <c r="W745" s="655"/>
      <c r="X745" s="655"/>
      <c r="Y745" s="655"/>
      <c r="Z745" s="655"/>
    </row>
    <row r="746">
      <c r="B746" s="462"/>
      <c r="C746" s="671"/>
      <c r="D746" s="462"/>
      <c r="E746" s="654"/>
      <c r="F746" s="650"/>
      <c r="G746" s="654"/>
      <c r="H746" s="654"/>
      <c r="I746" s="650"/>
      <c r="J746" s="650"/>
      <c r="K746" s="655"/>
      <c r="L746" s="655"/>
      <c r="M746" s="655"/>
      <c r="N746" s="655"/>
      <c r="O746" s="655"/>
      <c r="P746" s="655"/>
      <c r="Q746" s="655"/>
      <c r="R746" s="655"/>
      <c r="S746" s="655"/>
      <c r="T746" s="655"/>
      <c r="U746" s="655"/>
      <c r="V746" s="655"/>
      <c r="W746" s="655"/>
      <c r="X746" s="655"/>
      <c r="Y746" s="655"/>
      <c r="Z746" s="655"/>
    </row>
    <row r="747">
      <c r="B747" s="462"/>
      <c r="C747" s="671"/>
      <c r="D747" s="462"/>
      <c r="E747" s="654"/>
      <c r="F747" s="650"/>
      <c r="G747" s="654"/>
      <c r="H747" s="654"/>
      <c r="I747" s="650"/>
      <c r="J747" s="650"/>
      <c r="K747" s="655"/>
      <c r="L747" s="655"/>
      <c r="M747" s="655"/>
      <c r="N747" s="655"/>
      <c r="O747" s="655"/>
      <c r="P747" s="655"/>
      <c r="Q747" s="655"/>
      <c r="R747" s="655"/>
      <c r="S747" s="655"/>
      <c r="T747" s="655"/>
      <c r="U747" s="655"/>
      <c r="V747" s="655"/>
      <c r="W747" s="655"/>
      <c r="X747" s="655"/>
      <c r="Y747" s="655"/>
      <c r="Z747" s="655"/>
    </row>
    <row r="748">
      <c r="B748" s="462"/>
      <c r="C748" s="671"/>
      <c r="D748" s="462"/>
      <c r="E748" s="654"/>
      <c r="F748" s="650"/>
      <c r="G748" s="654"/>
      <c r="H748" s="654"/>
      <c r="I748" s="650"/>
      <c r="J748" s="650"/>
      <c r="K748" s="655"/>
      <c r="L748" s="655"/>
      <c r="M748" s="655"/>
      <c r="N748" s="655"/>
      <c r="O748" s="655"/>
      <c r="P748" s="655"/>
      <c r="Q748" s="655"/>
      <c r="R748" s="655"/>
      <c r="S748" s="655"/>
      <c r="T748" s="655"/>
      <c r="U748" s="655"/>
      <c r="V748" s="655"/>
      <c r="W748" s="655"/>
      <c r="X748" s="655"/>
      <c r="Y748" s="655"/>
      <c r="Z748" s="655"/>
    </row>
    <row r="749">
      <c r="B749" s="462"/>
      <c r="C749" s="671"/>
      <c r="D749" s="462"/>
      <c r="E749" s="654"/>
      <c r="F749" s="650"/>
      <c r="G749" s="654"/>
      <c r="H749" s="654"/>
      <c r="I749" s="650"/>
      <c r="J749" s="650"/>
      <c r="K749" s="655"/>
      <c r="L749" s="655"/>
      <c r="M749" s="655"/>
      <c r="N749" s="655"/>
      <c r="O749" s="655"/>
      <c r="P749" s="655"/>
      <c r="Q749" s="655"/>
      <c r="R749" s="655"/>
      <c r="S749" s="655"/>
      <c r="T749" s="655"/>
      <c r="U749" s="655"/>
      <c r="V749" s="655"/>
      <c r="W749" s="655"/>
      <c r="X749" s="655"/>
      <c r="Y749" s="655"/>
      <c r="Z749" s="655"/>
    </row>
    <row r="750">
      <c r="B750" s="462"/>
      <c r="C750" s="671"/>
      <c r="D750" s="462"/>
      <c r="E750" s="654"/>
      <c r="F750" s="650"/>
      <c r="G750" s="654"/>
      <c r="H750" s="654"/>
      <c r="I750" s="650"/>
      <c r="J750" s="650"/>
      <c r="K750" s="655"/>
      <c r="L750" s="655"/>
      <c r="M750" s="655"/>
      <c r="N750" s="655"/>
      <c r="O750" s="655"/>
      <c r="P750" s="655"/>
      <c r="Q750" s="655"/>
      <c r="R750" s="655"/>
      <c r="S750" s="655"/>
      <c r="T750" s="655"/>
      <c r="U750" s="655"/>
      <c r="V750" s="655"/>
      <c r="W750" s="655"/>
      <c r="X750" s="655"/>
      <c r="Y750" s="655"/>
      <c r="Z750" s="655"/>
    </row>
    <row r="751">
      <c r="B751" s="462"/>
      <c r="C751" s="671"/>
      <c r="D751" s="462"/>
      <c r="E751" s="654"/>
      <c r="F751" s="650"/>
      <c r="G751" s="654"/>
      <c r="H751" s="654"/>
      <c r="I751" s="650"/>
      <c r="J751" s="650"/>
      <c r="K751" s="655"/>
      <c r="L751" s="655"/>
      <c r="M751" s="655"/>
      <c r="N751" s="655"/>
      <c r="O751" s="655"/>
      <c r="P751" s="655"/>
      <c r="Q751" s="655"/>
      <c r="R751" s="655"/>
      <c r="S751" s="655"/>
      <c r="T751" s="655"/>
      <c r="U751" s="655"/>
      <c r="V751" s="655"/>
      <c r="W751" s="655"/>
      <c r="X751" s="655"/>
      <c r="Y751" s="655"/>
      <c r="Z751" s="655"/>
    </row>
    <row r="752">
      <c r="B752" s="462"/>
      <c r="C752" s="671"/>
      <c r="D752" s="462"/>
      <c r="E752" s="654"/>
      <c r="F752" s="650"/>
      <c r="G752" s="654"/>
      <c r="H752" s="654"/>
      <c r="I752" s="650"/>
      <c r="J752" s="650"/>
      <c r="K752" s="655"/>
      <c r="L752" s="655"/>
      <c r="M752" s="655"/>
      <c r="N752" s="655"/>
      <c r="O752" s="655"/>
      <c r="P752" s="655"/>
      <c r="Q752" s="655"/>
      <c r="R752" s="655"/>
      <c r="S752" s="655"/>
      <c r="T752" s="655"/>
      <c r="U752" s="655"/>
      <c r="V752" s="655"/>
      <c r="W752" s="655"/>
      <c r="X752" s="655"/>
      <c r="Y752" s="655"/>
      <c r="Z752" s="655"/>
    </row>
    <row r="753">
      <c r="B753" s="462"/>
      <c r="C753" s="671"/>
      <c r="D753" s="462"/>
      <c r="E753" s="654"/>
      <c r="F753" s="650"/>
      <c r="G753" s="654"/>
      <c r="H753" s="654"/>
      <c r="I753" s="650"/>
      <c r="J753" s="650"/>
      <c r="K753" s="655"/>
      <c r="L753" s="655"/>
      <c r="M753" s="655"/>
      <c r="N753" s="655"/>
      <c r="O753" s="655"/>
      <c r="P753" s="655"/>
      <c r="Q753" s="655"/>
      <c r="R753" s="655"/>
      <c r="S753" s="655"/>
      <c r="T753" s="655"/>
      <c r="U753" s="655"/>
      <c r="V753" s="655"/>
      <c r="W753" s="655"/>
      <c r="X753" s="655"/>
      <c r="Y753" s="655"/>
      <c r="Z753" s="655"/>
    </row>
    <row r="754">
      <c r="B754" s="462"/>
      <c r="C754" s="671"/>
      <c r="D754" s="462"/>
      <c r="E754" s="654"/>
      <c r="F754" s="650"/>
      <c r="G754" s="654"/>
      <c r="H754" s="654"/>
      <c r="I754" s="650"/>
      <c r="J754" s="650"/>
      <c r="K754" s="655"/>
      <c r="L754" s="655"/>
      <c r="M754" s="655"/>
      <c r="N754" s="655"/>
      <c r="O754" s="655"/>
      <c r="P754" s="655"/>
      <c r="Q754" s="655"/>
      <c r="R754" s="655"/>
      <c r="S754" s="655"/>
      <c r="T754" s="655"/>
      <c r="U754" s="655"/>
      <c r="V754" s="655"/>
      <c r="W754" s="655"/>
      <c r="X754" s="655"/>
      <c r="Y754" s="655"/>
      <c r="Z754" s="655"/>
    </row>
    <row r="755">
      <c r="B755" s="462"/>
      <c r="C755" s="671"/>
      <c r="D755" s="462"/>
      <c r="E755" s="654"/>
      <c r="F755" s="650"/>
      <c r="G755" s="654"/>
      <c r="H755" s="654"/>
      <c r="I755" s="650"/>
      <c r="J755" s="650"/>
      <c r="K755" s="655"/>
      <c r="L755" s="655"/>
      <c r="M755" s="655"/>
      <c r="N755" s="655"/>
      <c r="O755" s="655"/>
      <c r="P755" s="655"/>
      <c r="Q755" s="655"/>
      <c r="R755" s="655"/>
      <c r="S755" s="655"/>
      <c r="T755" s="655"/>
      <c r="U755" s="655"/>
      <c r="V755" s="655"/>
      <c r="W755" s="655"/>
      <c r="X755" s="655"/>
      <c r="Y755" s="655"/>
      <c r="Z755" s="655"/>
    </row>
    <row r="756">
      <c r="B756" s="462"/>
      <c r="C756" s="671"/>
      <c r="D756" s="462"/>
      <c r="E756" s="654"/>
      <c r="F756" s="650"/>
      <c r="G756" s="654"/>
      <c r="H756" s="654"/>
      <c r="I756" s="650"/>
      <c r="J756" s="650"/>
      <c r="K756" s="655"/>
      <c r="L756" s="655"/>
      <c r="M756" s="655"/>
      <c r="N756" s="655"/>
      <c r="O756" s="655"/>
      <c r="P756" s="655"/>
      <c r="Q756" s="655"/>
      <c r="R756" s="655"/>
      <c r="S756" s="655"/>
      <c r="T756" s="655"/>
      <c r="U756" s="655"/>
      <c r="V756" s="655"/>
      <c r="W756" s="655"/>
      <c r="X756" s="655"/>
      <c r="Y756" s="655"/>
      <c r="Z756" s="655"/>
    </row>
    <row r="757">
      <c r="B757" s="462"/>
      <c r="C757" s="671"/>
      <c r="D757" s="462"/>
      <c r="E757" s="654"/>
      <c r="F757" s="650"/>
      <c r="G757" s="654"/>
      <c r="H757" s="654"/>
      <c r="I757" s="650"/>
      <c r="J757" s="650"/>
      <c r="K757" s="655"/>
      <c r="L757" s="655"/>
      <c r="M757" s="655"/>
      <c r="N757" s="655"/>
      <c r="O757" s="655"/>
      <c r="P757" s="655"/>
      <c r="Q757" s="655"/>
      <c r="R757" s="655"/>
      <c r="S757" s="655"/>
      <c r="T757" s="655"/>
      <c r="U757" s="655"/>
      <c r="V757" s="655"/>
      <c r="W757" s="655"/>
      <c r="X757" s="655"/>
      <c r="Y757" s="655"/>
      <c r="Z757" s="655"/>
    </row>
    <row r="758">
      <c r="B758" s="462"/>
      <c r="C758" s="671"/>
      <c r="D758" s="462"/>
      <c r="E758" s="654"/>
      <c r="F758" s="650"/>
      <c r="G758" s="654"/>
      <c r="H758" s="654"/>
      <c r="I758" s="650"/>
      <c r="J758" s="650"/>
      <c r="K758" s="655"/>
      <c r="L758" s="655"/>
      <c r="M758" s="655"/>
      <c r="N758" s="655"/>
      <c r="O758" s="655"/>
      <c r="P758" s="655"/>
      <c r="Q758" s="655"/>
      <c r="R758" s="655"/>
      <c r="S758" s="655"/>
      <c r="T758" s="655"/>
      <c r="U758" s="655"/>
      <c r="V758" s="655"/>
      <c r="W758" s="655"/>
      <c r="X758" s="655"/>
      <c r="Y758" s="655"/>
      <c r="Z758" s="655"/>
    </row>
    <row r="759">
      <c r="B759" s="462"/>
      <c r="C759" s="671"/>
      <c r="D759" s="462"/>
      <c r="E759" s="654"/>
      <c r="F759" s="650"/>
      <c r="G759" s="654"/>
      <c r="H759" s="654"/>
      <c r="I759" s="650"/>
      <c r="J759" s="650"/>
      <c r="K759" s="655"/>
      <c r="L759" s="655"/>
      <c r="M759" s="655"/>
      <c r="N759" s="655"/>
      <c r="O759" s="655"/>
      <c r="P759" s="655"/>
      <c r="Q759" s="655"/>
      <c r="R759" s="655"/>
      <c r="S759" s="655"/>
      <c r="T759" s="655"/>
      <c r="U759" s="655"/>
      <c r="V759" s="655"/>
      <c r="W759" s="655"/>
      <c r="X759" s="655"/>
      <c r="Y759" s="655"/>
      <c r="Z759" s="655"/>
    </row>
    <row r="760">
      <c r="B760" s="462"/>
      <c r="C760" s="671"/>
      <c r="D760" s="462"/>
      <c r="E760" s="654"/>
      <c r="F760" s="650"/>
      <c r="G760" s="654"/>
      <c r="H760" s="654"/>
      <c r="I760" s="650"/>
      <c r="J760" s="650"/>
      <c r="K760" s="655"/>
      <c r="L760" s="655"/>
      <c r="M760" s="655"/>
      <c r="N760" s="655"/>
      <c r="O760" s="655"/>
      <c r="P760" s="655"/>
      <c r="Q760" s="655"/>
      <c r="R760" s="655"/>
      <c r="S760" s="655"/>
      <c r="T760" s="655"/>
      <c r="U760" s="655"/>
      <c r="V760" s="655"/>
      <c r="W760" s="655"/>
      <c r="X760" s="655"/>
      <c r="Y760" s="655"/>
      <c r="Z760" s="655"/>
    </row>
    <row r="761">
      <c r="B761" s="462"/>
      <c r="C761" s="671"/>
      <c r="D761" s="462"/>
      <c r="E761" s="654"/>
      <c r="F761" s="650"/>
      <c r="G761" s="654"/>
      <c r="H761" s="654"/>
      <c r="I761" s="650"/>
      <c r="J761" s="650"/>
      <c r="K761" s="655"/>
      <c r="L761" s="655"/>
      <c r="M761" s="655"/>
      <c r="N761" s="655"/>
      <c r="O761" s="655"/>
      <c r="P761" s="655"/>
      <c r="Q761" s="655"/>
      <c r="R761" s="655"/>
      <c r="S761" s="655"/>
      <c r="T761" s="655"/>
      <c r="U761" s="655"/>
      <c r="V761" s="655"/>
      <c r="W761" s="655"/>
      <c r="X761" s="655"/>
      <c r="Y761" s="655"/>
      <c r="Z761" s="655"/>
    </row>
    <row r="762">
      <c r="B762" s="462"/>
      <c r="C762" s="671"/>
      <c r="D762" s="462"/>
      <c r="E762" s="654"/>
      <c r="F762" s="650"/>
      <c r="G762" s="654"/>
      <c r="H762" s="654"/>
      <c r="I762" s="650"/>
      <c r="J762" s="650"/>
      <c r="K762" s="655"/>
      <c r="L762" s="655"/>
      <c r="M762" s="655"/>
      <c r="N762" s="655"/>
      <c r="O762" s="655"/>
      <c r="P762" s="655"/>
      <c r="Q762" s="655"/>
      <c r="R762" s="655"/>
      <c r="S762" s="655"/>
      <c r="T762" s="655"/>
      <c r="U762" s="655"/>
      <c r="V762" s="655"/>
      <c r="W762" s="655"/>
      <c r="X762" s="655"/>
      <c r="Y762" s="655"/>
      <c r="Z762" s="655"/>
    </row>
    <row r="763">
      <c r="B763" s="462"/>
      <c r="C763" s="671"/>
      <c r="D763" s="462"/>
      <c r="E763" s="654"/>
      <c r="F763" s="650"/>
      <c r="G763" s="654"/>
      <c r="H763" s="654"/>
      <c r="I763" s="650"/>
      <c r="J763" s="650"/>
      <c r="K763" s="655"/>
      <c r="L763" s="655"/>
      <c r="M763" s="655"/>
      <c r="N763" s="655"/>
      <c r="O763" s="655"/>
      <c r="P763" s="655"/>
      <c r="Q763" s="655"/>
      <c r="R763" s="655"/>
      <c r="S763" s="655"/>
      <c r="T763" s="655"/>
      <c r="U763" s="655"/>
      <c r="V763" s="655"/>
      <c r="W763" s="655"/>
      <c r="X763" s="655"/>
      <c r="Y763" s="655"/>
      <c r="Z763" s="655"/>
    </row>
    <row r="764">
      <c r="B764" s="462"/>
      <c r="C764" s="671"/>
      <c r="D764" s="462"/>
      <c r="E764" s="654"/>
      <c r="F764" s="650"/>
      <c r="G764" s="654"/>
      <c r="H764" s="654"/>
      <c r="I764" s="650"/>
      <c r="J764" s="650"/>
      <c r="K764" s="655"/>
      <c r="L764" s="655"/>
      <c r="M764" s="655"/>
      <c r="N764" s="655"/>
      <c r="O764" s="655"/>
      <c r="P764" s="655"/>
      <c r="Q764" s="655"/>
      <c r="R764" s="655"/>
      <c r="S764" s="655"/>
      <c r="T764" s="655"/>
      <c r="U764" s="655"/>
      <c r="V764" s="655"/>
      <c r="W764" s="655"/>
      <c r="X764" s="655"/>
      <c r="Y764" s="655"/>
      <c r="Z764" s="655"/>
    </row>
    <row r="765">
      <c r="B765" s="462"/>
      <c r="C765" s="671"/>
      <c r="D765" s="462"/>
      <c r="E765" s="654"/>
      <c r="F765" s="650"/>
      <c r="G765" s="654"/>
      <c r="H765" s="654"/>
      <c r="I765" s="650"/>
      <c r="J765" s="650"/>
      <c r="K765" s="655"/>
      <c r="L765" s="655"/>
      <c r="M765" s="655"/>
      <c r="N765" s="655"/>
      <c r="O765" s="655"/>
      <c r="P765" s="655"/>
      <c r="Q765" s="655"/>
      <c r="R765" s="655"/>
      <c r="S765" s="655"/>
      <c r="T765" s="655"/>
      <c r="U765" s="655"/>
      <c r="V765" s="655"/>
      <c r="W765" s="655"/>
      <c r="X765" s="655"/>
      <c r="Y765" s="655"/>
      <c r="Z765" s="655"/>
    </row>
    <row r="766">
      <c r="B766" s="462"/>
      <c r="C766" s="671"/>
      <c r="D766" s="462"/>
      <c r="E766" s="654"/>
      <c r="F766" s="650"/>
      <c r="G766" s="654"/>
      <c r="H766" s="654"/>
      <c r="I766" s="650"/>
      <c r="J766" s="650"/>
      <c r="K766" s="655"/>
      <c r="L766" s="655"/>
      <c r="M766" s="655"/>
      <c r="N766" s="655"/>
      <c r="O766" s="655"/>
      <c r="P766" s="655"/>
      <c r="Q766" s="655"/>
      <c r="R766" s="655"/>
      <c r="S766" s="655"/>
      <c r="T766" s="655"/>
      <c r="U766" s="655"/>
      <c r="V766" s="655"/>
      <c r="W766" s="655"/>
      <c r="X766" s="655"/>
      <c r="Y766" s="655"/>
      <c r="Z766" s="655"/>
    </row>
    <row r="767">
      <c r="B767" s="462"/>
      <c r="C767" s="671"/>
      <c r="D767" s="462"/>
      <c r="E767" s="654"/>
      <c r="F767" s="650"/>
      <c r="G767" s="654"/>
      <c r="H767" s="654"/>
      <c r="I767" s="650"/>
      <c r="J767" s="650"/>
      <c r="K767" s="655"/>
      <c r="L767" s="655"/>
      <c r="M767" s="655"/>
      <c r="N767" s="655"/>
      <c r="O767" s="655"/>
      <c r="P767" s="655"/>
      <c r="Q767" s="655"/>
      <c r="R767" s="655"/>
      <c r="S767" s="655"/>
      <c r="T767" s="655"/>
      <c r="U767" s="655"/>
      <c r="V767" s="655"/>
      <c r="W767" s="655"/>
      <c r="X767" s="655"/>
      <c r="Y767" s="655"/>
      <c r="Z767" s="655"/>
    </row>
    <row r="768">
      <c r="B768" s="462"/>
      <c r="C768" s="671"/>
      <c r="D768" s="462"/>
      <c r="E768" s="654"/>
      <c r="F768" s="650"/>
      <c r="G768" s="654"/>
      <c r="H768" s="654"/>
      <c r="I768" s="650"/>
      <c r="J768" s="650"/>
      <c r="K768" s="655"/>
      <c r="L768" s="655"/>
      <c r="M768" s="655"/>
      <c r="N768" s="655"/>
      <c r="O768" s="655"/>
      <c r="P768" s="655"/>
      <c r="Q768" s="655"/>
      <c r="R768" s="655"/>
      <c r="S768" s="655"/>
      <c r="T768" s="655"/>
      <c r="U768" s="655"/>
      <c r="V768" s="655"/>
      <c r="W768" s="655"/>
      <c r="X768" s="655"/>
      <c r="Y768" s="655"/>
      <c r="Z768" s="655"/>
    </row>
    <row r="769">
      <c r="B769" s="462"/>
      <c r="C769" s="671"/>
      <c r="D769" s="462"/>
      <c r="E769" s="654"/>
      <c r="F769" s="650"/>
      <c r="G769" s="654"/>
      <c r="H769" s="654"/>
      <c r="I769" s="650"/>
      <c r="J769" s="650"/>
      <c r="K769" s="655"/>
      <c r="L769" s="655"/>
      <c r="M769" s="655"/>
      <c r="N769" s="655"/>
      <c r="O769" s="655"/>
      <c r="P769" s="655"/>
      <c r="Q769" s="655"/>
      <c r="R769" s="655"/>
      <c r="S769" s="655"/>
      <c r="T769" s="655"/>
      <c r="U769" s="655"/>
      <c r="V769" s="655"/>
      <c r="W769" s="655"/>
      <c r="X769" s="655"/>
      <c r="Y769" s="655"/>
      <c r="Z769" s="655"/>
    </row>
    <row r="770">
      <c r="B770" s="462"/>
      <c r="C770" s="671"/>
      <c r="D770" s="462"/>
      <c r="E770" s="654"/>
      <c r="F770" s="650"/>
      <c r="G770" s="654"/>
      <c r="H770" s="654"/>
      <c r="I770" s="650"/>
      <c r="J770" s="650"/>
      <c r="K770" s="655"/>
      <c r="L770" s="655"/>
      <c r="M770" s="655"/>
      <c r="N770" s="655"/>
      <c r="O770" s="655"/>
      <c r="P770" s="655"/>
      <c r="Q770" s="655"/>
      <c r="R770" s="655"/>
      <c r="S770" s="655"/>
      <c r="T770" s="655"/>
      <c r="U770" s="655"/>
      <c r="V770" s="655"/>
      <c r="W770" s="655"/>
      <c r="X770" s="655"/>
      <c r="Y770" s="655"/>
      <c r="Z770" s="655"/>
    </row>
    <row r="771">
      <c r="B771" s="462"/>
      <c r="C771" s="671"/>
      <c r="D771" s="462"/>
      <c r="E771" s="654"/>
      <c r="F771" s="650"/>
      <c r="G771" s="654"/>
      <c r="H771" s="654"/>
      <c r="I771" s="650"/>
      <c r="J771" s="650"/>
      <c r="K771" s="655"/>
      <c r="L771" s="655"/>
      <c r="M771" s="655"/>
      <c r="N771" s="655"/>
      <c r="O771" s="655"/>
      <c r="P771" s="655"/>
      <c r="Q771" s="655"/>
      <c r="R771" s="655"/>
      <c r="S771" s="655"/>
      <c r="T771" s="655"/>
      <c r="U771" s="655"/>
      <c r="V771" s="655"/>
      <c r="W771" s="655"/>
      <c r="X771" s="655"/>
      <c r="Y771" s="655"/>
      <c r="Z771" s="655"/>
    </row>
    <row r="772">
      <c r="B772" s="462"/>
      <c r="C772" s="671"/>
      <c r="D772" s="462"/>
      <c r="E772" s="654"/>
      <c r="F772" s="650"/>
      <c r="G772" s="654"/>
      <c r="H772" s="654"/>
      <c r="I772" s="650"/>
      <c r="J772" s="650"/>
      <c r="K772" s="655"/>
      <c r="L772" s="655"/>
      <c r="M772" s="655"/>
      <c r="N772" s="655"/>
      <c r="O772" s="655"/>
      <c r="P772" s="655"/>
      <c r="Q772" s="655"/>
      <c r="R772" s="655"/>
      <c r="S772" s="655"/>
      <c r="T772" s="655"/>
      <c r="U772" s="655"/>
      <c r="V772" s="655"/>
      <c r="W772" s="655"/>
      <c r="X772" s="655"/>
      <c r="Y772" s="655"/>
      <c r="Z772" s="655"/>
    </row>
    <row r="773">
      <c r="B773" s="462"/>
      <c r="C773" s="671"/>
      <c r="D773" s="462"/>
      <c r="E773" s="654"/>
      <c r="F773" s="650"/>
      <c r="G773" s="654"/>
      <c r="H773" s="654"/>
      <c r="I773" s="650"/>
      <c r="J773" s="650"/>
      <c r="K773" s="655"/>
      <c r="L773" s="655"/>
      <c r="M773" s="655"/>
      <c r="N773" s="655"/>
      <c r="O773" s="655"/>
      <c r="P773" s="655"/>
      <c r="Q773" s="655"/>
      <c r="R773" s="655"/>
      <c r="S773" s="655"/>
      <c r="T773" s="655"/>
      <c r="U773" s="655"/>
      <c r="V773" s="655"/>
      <c r="W773" s="655"/>
      <c r="X773" s="655"/>
      <c r="Y773" s="655"/>
      <c r="Z773" s="655"/>
    </row>
    <row r="774">
      <c r="B774" s="462"/>
      <c r="C774" s="671"/>
      <c r="D774" s="462"/>
      <c r="E774" s="654"/>
      <c r="F774" s="650"/>
      <c r="G774" s="654"/>
      <c r="H774" s="654"/>
      <c r="I774" s="650"/>
      <c r="J774" s="650"/>
      <c r="K774" s="655"/>
      <c r="L774" s="655"/>
      <c r="M774" s="655"/>
      <c r="N774" s="655"/>
      <c r="O774" s="655"/>
      <c r="P774" s="655"/>
      <c r="Q774" s="655"/>
      <c r="R774" s="655"/>
      <c r="S774" s="655"/>
      <c r="T774" s="655"/>
      <c r="U774" s="655"/>
      <c r="V774" s="655"/>
      <c r="W774" s="655"/>
      <c r="X774" s="655"/>
      <c r="Y774" s="655"/>
      <c r="Z774" s="655"/>
    </row>
    <row r="775">
      <c r="B775" s="462"/>
      <c r="C775" s="671"/>
      <c r="D775" s="462"/>
      <c r="E775" s="654"/>
      <c r="F775" s="650"/>
      <c r="G775" s="654"/>
      <c r="H775" s="654"/>
      <c r="I775" s="650"/>
      <c r="J775" s="650"/>
      <c r="K775" s="655"/>
      <c r="L775" s="655"/>
      <c r="M775" s="655"/>
      <c r="N775" s="655"/>
      <c r="O775" s="655"/>
      <c r="P775" s="655"/>
      <c r="Q775" s="655"/>
      <c r="R775" s="655"/>
      <c r="S775" s="655"/>
      <c r="T775" s="655"/>
      <c r="U775" s="655"/>
      <c r="V775" s="655"/>
      <c r="W775" s="655"/>
      <c r="X775" s="655"/>
      <c r="Y775" s="655"/>
      <c r="Z775" s="655"/>
    </row>
    <row r="776">
      <c r="B776" s="462"/>
      <c r="C776" s="671"/>
      <c r="D776" s="462"/>
      <c r="E776" s="654"/>
      <c r="F776" s="650"/>
      <c r="G776" s="654"/>
      <c r="H776" s="654"/>
      <c r="I776" s="650"/>
      <c r="J776" s="650"/>
      <c r="K776" s="655"/>
      <c r="L776" s="655"/>
      <c r="M776" s="655"/>
      <c r="N776" s="655"/>
      <c r="O776" s="655"/>
      <c r="P776" s="655"/>
      <c r="Q776" s="655"/>
      <c r="R776" s="655"/>
      <c r="S776" s="655"/>
      <c r="T776" s="655"/>
      <c r="U776" s="655"/>
      <c r="V776" s="655"/>
      <c r="W776" s="655"/>
      <c r="X776" s="655"/>
      <c r="Y776" s="655"/>
      <c r="Z776" s="655"/>
    </row>
    <row r="777">
      <c r="B777" s="462"/>
      <c r="C777" s="671"/>
      <c r="D777" s="462"/>
      <c r="E777" s="654"/>
      <c r="F777" s="650"/>
      <c r="G777" s="654"/>
      <c r="H777" s="654"/>
      <c r="I777" s="650"/>
      <c r="J777" s="650"/>
      <c r="K777" s="655"/>
      <c r="L777" s="655"/>
      <c r="M777" s="655"/>
      <c r="N777" s="655"/>
      <c r="O777" s="655"/>
      <c r="P777" s="655"/>
      <c r="Q777" s="655"/>
      <c r="R777" s="655"/>
      <c r="S777" s="655"/>
      <c r="T777" s="655"/>
      <c r="U777" s="655"/>
      <c r="V777" s="655"/>
      <c r="W777" s="655"/>
      <c r="X777" s="655"/>
      <c r="Y777" s="655"/>
      <c r="Z777" s="655"/>
    </row>
    <row r="778">
      <c r="B778" s="462"/>
      <c r="C778" s="671"/>
      <c r="D778" s="462"/>
      <c r="E778" s="654"/>
      <c r="F778" s="650"/>
      <c r="G778" s="654"/>
      <c r="H778" s="654"/>
      <c r="I778" s="650"/>
      <c r="J778" s="650"/>
      <c r="K778" s="655"/>
      <c r="L778" s="655"/>
      <c r="M778" s="655"/>
      <c r="N778" s="655"/>
      <c r="O778" s="655"/>
      <c r="P778" s="655"/>
      <c r="Q778" s="655"/>
      <c r="R778" s="655"/>
      <c r="S778" s="655"/>
      <c r="T778" s="655"/>
      <c r="U778" s="655"/>
      <c r="V778" s="655"/>
      <c r="W778" s="655"/>
      <c r="X778" s="655"/>
      <c r="Y778" s="655"/>
      <c r="Z778" s="655"/>
    </row>
    <row r="779">
      <c r="B779" s="462"/>
      <c r="C779" s="671"/>
      <c r="D779" s="462"/>
      <c r="E779" s="654"/>
      <c r="F779" s="650"/>
      <c r="G779" s="654"/>
      <c r="H779" s="654"/>
      <c r="I779" s="650"/>
      <c r="J779" s="650"/>
      <c r="K779" s="655"/>
      <c r="L779" s="655"/>
      <c r="M779" s="655"/>
      <c r="N779" s="655"/>
      <c r="O779" s="655"/>
      <c r="P779" s="655"/>
      <c r="Q779" s="655"/>
      <c r="R779" s="655"/>
      <c r="S779" s="655"/>
      <c r="T779" s="655"/>
      <c r="U779" s="655"/>
      <c r="V779" s="655"/>
      <c r="W779" s="655"/>
      <c r="X779" s="655"/>
      <c r="Y779" s="655"/>
      <c r="Z779" s="655"/>
    </row>
    <row r="780">
      <c r="B780" s="462"/>
      <c r="C780" s="671"/>
      <c r="D780" s="462"/>
      <c r="E780" s="654"/>
      <c r="F780" s="650"/>
      <c r="G780" s="654"/>
      <c r="H780" s="654"/>
      <c r="I780" s="650"/>
      <c r="J780" s="650"/>
      <c r="K780" s="655"/>
      <c r="L780" s="655"/>
      <c r="M780" s="655"/>
      <c r="N780" s="655"/>
      <c r="O780" s="655"/>
      <c r="P780" s="655"/>
      <c r="Q780" s="655"/>
      <c r="R780" s="655"/>
      <c r="S780" s="655"/>
      <c r="T780" s="655"/>
      <c r="U780" s="655"/>
      <c r="V780" s="655"/>
      <c r="W780" s="655"/>
      <c r="X780" s="655"/>
      <c r="Y780" s="655"/>
      <c r="Z780" s="655"/>
    </row>
    <row r="781">
      <c r="B781" s="462"/>
      <c r="C781" s="671"/>
      <c r="D781" s="462"/>
      <c r="E781" s="654"/>
      <c r="F781" s="650"/>
      <c r="G781" s="654"/>
      <c r="H781" s="654"/>
      <c r="I781" s="650"/>
      <c r="J781" s="650"/>
      <c r="K781" s="655"/>
      <c r="L781" s="655"/>
      <c r="M781" s="655"/>
      <c r="N781" s="655"/>
      <c r="O781" s="655"/>
      <c r="P781" s="655"/>
      <c r="Q781" s="655"/>
      <c r="R781" s="655"/>
      <c r="S781" s="655"/>
      <c r="T781" s="655"/>
      <c r="U781" s="655"/>
      <c r="V781" s="655"/>
      <c r="W781" s="655"/>
      <c r="X781" s="655"/>
      <c r="Y781" s="655"/>
      <c r="Z781" s="655"/>
    </row>
    <row r="782">
      <c r="B782" s="462"/>
      <c r="C782" s="671"/>
      <c r="D782" s="462"/>
      <c r="E782" s="654"/>
      <c r="F782" s="650"/>
      <c r="G782" s="654"/>
      <c r="H782" s="654"/>
      <c r="I782" s="650"/>
      <c r="J782" s="650"/>
      <c r="K782" s="655"/>
      <c r="L782" s="655"/>
      <c r="M782" s="655"/>
      <c r="N782" s="655"/>
      <c r="O782" s="655"/>
      <c r="P782" s="655"/>
      <c r="Q782" s="655"/>
      <c r="R782" s="655"/>
      <c r="S782" s="655"/>
      <c r="T782" s="655"/>
      <c r="U782" s="655"/>
      <c r="V782" s="655"/>
      <c r="W782" s="655"/>
      <c r="X782" s="655"/>
      <c r="Y782" s="655"/>
      <c r="Z782" s="655"/>
    </row>
    <row r="783">
      <c r="B783" s="462"/>
      <c r="C783" s="671"/>
      <c r="D783" s="462"/>
      <c r="E783" s="654"/>
      <c r="F783" s="650"/>
      <c r="G783" s="654"/>
      <c r="H783" s="654"/>
      <c r="I783" s="650"/>
      <c r="J783" s="650"/>
      <c r="K783" s="655"/>
      <c r="L783" s="655"/>
      <c r="M783" s="655"/>
      <c r="N783" s="655"/>
      <c r="O783" s="655"/>
      <c r="P783" s="655"/>
      <c r="Q783" s="655"/>
      <c r="R783" s="655"/>
      <c r="S783" s="655"/>
      <c r="T783" s="655"/>
      <c r="U783" s="655"/>
      <c r="V783" s="655"/>
      <c r="W783" s="655"/>
      <c r="X783" s="655"/>
      <c r="Y783" s="655"/>
      <c r="Z783" s="655"/>
    </row>
    <row r="784">
      <c r="B784" s="462"/>
      <c r="C784" s="671"/>
      <c r="D784" s="462"/>
      <c r="E784" s="654"/>
      <c r="F784" s="650"/>
      <c r="G784" s="654"/>
      <c r="H784" s="654"/>
      <c r="I784" s="650"/>
      <c r="J784" s="650"/>
      <c r="K784" s="655"/>
      <c r="L784" s="655"/>
      <c r="M784" s="655"/>
      <c r="N784" s="655"/>
      <c r="O784" s="655"/>
      <c r="P784" s="655"/>
      <c r="Q784" s="655"/>
      <c r="R784" s="655"/>
      <c r="S784" s="655"/>
      <c r="T784" s="655"/>
      <c r="U784" s="655"/>
      <c r="V784" s="655"/>
      <c r="W784" s="655"/>
      <c r="X784" s="655"/>
      <c r="Y784" s="655"/>
      <c r="Z784" s="655"/>
    </row>
    <row r="785">
      <c r="B785" s="462"/>
      <c r="C785" s="671"/>
      <c r="D785" s="462"/>
      <c r="E785" s="654"/>
      <c r="F785" s="650"/>
      <c r="G785" s="654"/>
      <c r="H785" s="654"/>
      <c r="I785" s="650"/>
      <c r="J785" s="650"/>
      <c r="K785" s="655"/>
      <c r="L785" s="655"/>
      <c r="M785" s="655"/>
      <c r="N785" s="655"/>
      <c r="O785" s="655"/>
      <c r="P785" s="655"/>
      <c r="Q785" s="655"/>
      <c r="R785" s="655"/>
      <c r="S785" s="655"/>
      <c r="T785" s="655"/>
      <c r="U785" s="655"/>
      <c r="V785" s="655"/>
      <c r="W785" s="655"/>
      <c r="X785" s="655"/>
      <c r="Y785" s="655"/>
      <c r="Z785" s="655"/>
    </row>
    <row r="786">
      <c r="B786" s="462"/>
      <c r="C786" s="671"/>
      <c r="D786" s="462"/>
      <c r="E786" s="654"/>
      <c r="F786" s="650"/>
      <c r="G786" s="654"/>
      <c r="H786" s="654"/>
      <c r="I786" s="650"/>
      <c r="J786" s="650"/>
      <c r="K786" s="655"/>
      <c r="L786" s="655"/>
      <c r="M786" s="655"/>
      <c r="N786" s="655"/>
      <c r="O786" s="655"/>
      <c r="P786" s="655"/>
      <c r="Q786" s="655"/>
      <c r="R786" s="655"/>
      <c r="S786" s="655"/>
      <c r="T786" s="655"/>
      <c r="U786" s="655"/>
      <c r="V786" s="655"/>
      <c r="W786" s="655"/>
      <c r="X786" s="655"/>
      <c r="Y786" s="655"/>
      <c r="Z786" s="655"/>
    </row>
    <row r="787">
      <c r="B787" s="462"/>
      <c r="C787" s="671"/>
      <c r="D787" s="462"/>
      <c r="E787" s="654"/>
      <c r="F787" s="650"/>
      <c r="G787" s="654"/>
      <c r="H787" s="654"/>
      <c r="I787" s="650"/>
      <c r="J787" s="650"/>
      <c r="K787" s="655"/>
      <c r="L787" s="655"/>
      <c r="M787" s="655"/>
      <c r="N787" s="655"/>
      <c r="O787" s="655"/>
      <c r="P787" s="655"/>
      <c r="Q787" s="655"/>
      <c r="R787" s="655"/>
      <c r="S787" s="655"/>
      <c r="T787" s="655"/>
      <c r="U787" s="655"/>
      <c r="V787" s="655"/>
      <c r="W787" s="655"/>
      <c r="X787" s="655"/>
      <c r="Y787" s="655"/>
      <c r="Z787" s="655"/>
    </row>
    <row r="788">
      <c r="B788" s="462"/>
      <c r="C788" s="671"/>
      <c r="D788" s="462"/>
      <c r="E788" s="654"/>
      <c r="F788" s="650"/>
      <c r="G788" s="654"/>
      <c r="H788" s="654"/>
      <c r="I788" s="650"/>
      <c r="J788" s="650"/>
      <c r="K788" s="655"/>
      <c r="L788" s="655"/>
      <c r="M788" s="655"/>
      <c r="N788" s="655"/>
      <c r="O788" s="655"/>
      <c r="P788" s="655"/>
      <c r="Q788" s="655"/>
      <c r="R788" s="655"/>
      <c r="S788" s="655"/>
      <c r="T788" s="655"/>
      <c r="U788" s="655"/>
      <c r="V788" s="655"/>
      <c r="W788" s="655"/>
      <c r="X788" s="655"/>
      <c r="Y788" s="655"/>
      <c r="Z788" s="655"/>
    </row>
    <row r="789">
      <c r="B789" s="462"/>
      <c r="C789" s="671"/>
      <c r="D789" s="462"/>
      <c r="E789" s="654"/>
      <c r="F789" s="650"/>
      <c r="G789" s="654"/>
      <c r="H789" s="654"/>
      <c r="I789" s="650"/>
      <c r="J789" s="650"/>
      <c r="K789" s="655"/>
      <c r="L789" s="655"/>
      <c r="M789" s="655"/>
      <c r="N789" s="655"/>
      <c r="O789" s="655"/>
      <c r="P789" s="655"/>
      <c r="Q789" s="655"/>
      <c r="R789" s="655"/>
      <c r="S789" s="655"/>
      <c r="T789" s="655"/>
      <c r="U789" s="655"/>
      <c r="V789" s="655"/>
      <c r="W789" s="655"/>
      <c r="X789" s="655"/>
      <c r="Y789" s="655"/>
      <c r="Z789" s="655"/>
    </row>
    <row r="790">
      <c r="B790" s="462"/>
      <c r="C790" s="671"/>
      <c r="D790" s="462"/>
      <c r="E790" s="654"/>
      <c r="F790" s="650"/>
      <c r="G790" s="654"/>
      <c r="H790" s="654"/>
      <c r="I790" s="650"/>
      <c r="J790" s="650"/>
      <c r="K790" s="655"/>
      <c r="L790" s="655"/>
      <c r="M790" s="655"/>
      <c r="N790" s="655"/>
      <c r="O790" s="655"/>
      <c r="P790" s="655"/>
      <c r="Q790" s="655"/>
      <c r="R790" s="655"/>
      <c r="S790" s="655"/>
      <c r="T790" s="655"/>
      <c r="U790" s="655"/>
      <c r="V790" s="655"/>
      <c r="W790" s="655"/>
      <c r="X790" s="655"/>
      <c r="Y790" s="655"/>
      <c r="Z790" s="655"/>
    </row>
    <row r="791">
      <c r="B791" s="462"/>
      <c r="C791" s="671"/>
      <c r="D791" s="462"/>
      <c r="E791" s="654"/>
      <c r="F791" s="650"/>
      <c r="G791" s="654"/>
      <c r="H791" s="654"/>
      <c r="I791" s="650"/>
      <c r="J791" s="650"/>
      <c r="K791" s="655"/>
      <c r="L791" s="655"/>
      <c r="M791" s="655"/>
      <c r="N791" s="655"/>
      <c r="O791" s="655"/>
      <c r="P791" s="655"/>
      <c r="Q791" s="655"/>
      <c r="R791" s="655"/>
      <c r="S791" s="655"/>
      <c r="T791" s="655"/>
      <c r="U791" s="655"/>
      <c r="V791" s="655"/>
      <c r="W791" s="655"/>
      <c r="X791" s="655"/>
      <c r="Y791" s="655"/>
      <c r="Z791" s="655"/>
    </row>
    <row r="792">
      <c r="B792" s="462"/>
      <c r="C792" s="671"/>
      <c r="D792" s="462"/>
      <c r="E792" s="654"/>
      <c r="F792" s="650"/>
      <c r="G792" s="654"/>
      <c r="H792" s="654"/>
      <c r="I792" s="650"/>
      <c r="J792" s="650"/>
      <c r="K792" s="655"/>
      <c r="L792" s="655"/>
      <c r="M792" s="655"/>
      <c r="N792" s="655"/>
      <c r="O792" s="655"/>
      <c r="P792" s="655"/>
      <c r="Q792" s="655"/>
      <c r="R792" s="655"/>
      <c r="S792" s="655"/>
      <c r="T792" s="655"/>
      <c r="U792" s="655"/>
      <c r="V792" s="655"/>
      <c r="W792" s="655"/>
      <c r="X792" s="655"/>
      <c r="Y792" s="655"/>
      <c r="Z792" s="655"/>
    </row>
    <row r="793">
      <c r="B793" s="462"/>
      <c r="C793" s="671"/>
      <c r="D793" s="462"/>
      <c r="E793" s="654"/>
      <c r="F793" s="650"/>
      <c r="G793" s="654"/>
      <c r="H793" s="654"/>
      <c r="I793" s="650"/>
      <c r="J793" s="650"/>
      <c r="K793" s="655"/>
      <c r="L793" s="655"/>
      <c r="M793" s="655"/>
      <c r="N793" s="655"/>
      <c r="O793" s="655"/>
      <c r="P793" s="655"/>
      <c r="Q793" s="655"/>
      <c r="R793" s="655"/>
      <c r="S793" s="655"/>
      <c r="T793" s="655"/>
      <c r="U793" s="655"/>
      <c r="V793" s="655"/>
      <c r="W793" s="655"/>
      <c r="X793" s="655"/>
      <c r="Y793" s="655"/>
      <c r="Z793" s="655"/>
    </row>
    <row r="794">
      <c r="B794" s="462"/>
      <c r="C794" s="671"/>
      <c r="D794" s="462"/>
      <c r="E794" s="654"/>
      <c r="F794" s="650"/>
      <c r="G794" s="654"/>
      <c r="H794" s="654"/>
      <c r="I794" s="650"/>
      <c r="J794" s="650"/>
      <c r="K794" s="655"/>
      <c r="L794" s="655"/>
      <c r="M794" s="655"/>
      <c r="N794" s="655"/>
      <c r="O794" s="655"/>
      <c r="P794" s="655"/>
      <c r="Q794" s="655"/>
      <c r="R794" s="655"/>
      <c r="S794" s="655"/>
      <c r="T794" s="655"/>
      <c r="U794" s="655"/>
      <c r="V794" s="655"/>
      <c r="W794" s="655"/>
      <c r="X794" s="655"/>
      <c r="Y794" s="655"/>
      <c r="Z794" s="655"/>
    </row>
    <row r="795">
      <c r="B795" s="462"/>
      <c r="C795" s="671"/>
      <c r="D795" s="462"/>
      <c r="E795" s="654"/>
      <c r="F795" s="650"/>
      <c r="G795" s="654"/>
      <c r="H795" s="654"/>
      <c r="I795" s="650"/>
      <c r="J795" s="650"/>
      <c r="K795" s="655"/>
      <c r="L795" s="655"/>
      <c r="M795" s="655"/>
      <c r="N795" s="655"/>
      <c r="O795" s="655"/>
      <c r="P795" s="655"/>
      <c r="Q795" s="655"/>
      <c r="R795" s="655"/>
      <c r="S795" s="655"/>
      <c r="T795" s="655"/>
      <c r="U795" s="655"/>
      <c r="V795" s="655"/>
      <c r="W795" s="655"/>
      <c r="X795" s="655"/>
      <c r="Y795" s="655"/>
      <c r="Z795" s="655"/>
    </row>
    <row r="796">
      <c r="B796" s="462"/>
      <c r="C796" s="671"/>
      <c r="D796" s="462"/>
      <c r="E796" s="654"/>
      <c r="F796" s="650"/>
      <c r="G796" s="654"/>
      <c r="H796" s="654"/>
      <c r="I796" s="650"/>
      <c r="J796" s="650"/>
      <c r="K796" s="655"/>
      <c r="L796" s="655"/>
      <c r="M796" s="655"/>
      <c r="N796" s="655"/>
      <c r="O796" s="655"/>
      <c r="P796" s="655"/>
      <c r="Q796" s="655"/>
      <c r="R796" s="655"/>
      <c r="S796" s="655"/>
      <c r="T796" s="655"/>
      <c r="U796" s="655"/>
      <c r="V796" s="655"/>
      <c r="W796" s="655"/>
      <c r="X796" s="655"/>
      <c r="Y796" s="655"/>
      <c r="Z796" s="655"/>
    </row>
    <row r="797">
      <c r="B797" s="462"/>
      <c r="C797" s="671"/>
      <c r="D797" s="462"/>
      <c r="E797" s="654"/>
      <c r="F797" s="650"/>
      <c r="G797" s="654"/>
      <c r="H797" s="654"/>
      <c r="I797" s="650"/>
      <c r="J797" s="650"/>
      <c r="K797" s="655"/>
      <c r="L797" s="655"/>
      <c r="M797" s="655"/>
      <c r="N797" s="655"/>
      <c r="O797" s="655"/>
      <c r="P797" s="655"/>
      <c r="Q797" s="655"/>
      <c r="R797" s="655"/>
      <c r="S797" s="655"/>
      <c r="T797" s="655"/>
      <c r="U797" s="655"/>
      <c r="V797" s="655"/>
      <c r="W797" s="655"/>
      <c r="X797" s="655"/>
      <c r="Y797" s="655"/>
      <c r="Z797" s="655"/>
    </row>
    <row r="798">
      <c r="B798" s="462"/>
      <c r="C798" s="671"/>
      <c r="D798" s="462"/>
      <c r="E798" s="654"/>
      <c r="F798" s="650"/>
      <c r="G798" s="654"/>
      <c r="H798" s="654"/>
      <c r="I798" s="650"/>
      <c r="J798" s="650"/>
      <c r="K798" s="655"/>
      <c r="L798" s="655"/>
      <c r="M798" s="655"/>
      <c r="N798" s="655"/>
      <c r="O798" s="655"/>
      <c r="P798" s="655"/>
      <c r="Q798" s="655"/>
      <c r="R798" s="655"/>
      <c r="S798" s="655"/>
      <c r="T798" s="655"/>
      <c r="U798" s="655"/>
      <c r="V798" s="655"/>
      <c r="W798" s="655"/>
      <c r="X798" s="655"/>
      <c r="Y798" s="655"/>
      <c r="Z798" s="655"/>
    </row>
    <row r="799">
      <c r="B799" s="462"/>
      <c r="C799" s="671"/>
      <c r="D799" s="462"/>
      <c r="E799" s="654"/>
      <c r="F799" s="650"/>
      <c r="G799" s="654"/>
      <c r="H799" s="654"/>
      <c r="I799" s="650"/>
      <c r="J799" s="650"/>
      <c r="K799" s="655"/>
      <c r="L799" s="655"/>
      <c r="M799" s="655"/>
      <c r="N799" s="655"/>
      <c r="O799" s="655"/>
      <c r="P799" s="655"/>
      <c r="Q799" s="655"/>
      <c r="R799" s="655"/>
      <c r="S799" s="655"/>
      <c r="T799" s="655"/>
      <c r="U799" s="655"/>
      <c r="V799" s="655"/>
      <c r="W799" s="655"/>
      <c r="X799" s="655"/>
      <c r="Y799" s="655"/>
      <c r="Z799" s="655"/>
    </row>
    <row r="800">
      <c r="B800" s="462"/>
      <c r="C800" s="671"/>
      <c r="D800" s="462"/>
      <c r="E800" s="654"/>
      <c r="F800" s="650"/>
      <c r="G800" s="654"/>
      <c r="H800" s="654"/>
      <c r="I800" s="650"/>
      <c r="J800" s="650"/>
      <c r="K800" s="655"/>
      <c r="L800" s="655"/>
      <c r="M800" s="655"/>
      <c r="N800" s="655"/>
      <c r="O800" s="655"/>
      <c r="P800" s="655"/>
      <c r="Q800" s="655"/>
      <c r="R800" s="655"/>
      <c r="S800" s="655"/>
      <c r="T800" s="655"/>
      <c r="U800" s="655"/>
      <c r="V800" s="655"/>
      <c r="W800" s="655"/>
      <c r="X800" s="655"/>
      <c r="Y800" s="655"/>
      <c r="Z800" s="655"/>
    </row>
    <row r="801">
      <c r="B801" s="462"/>
      <c r="C801" s="671"/>
      <c r="D801" s="462"/>
      <c r="E801" s="654"/>
      <c r="F801" s="650"/>
      <c r="G801" s="654"/>
      <c r="H801" s="654"/>
      <c r="I801" s="650"/>
      <c r="J801" s="650"/>
      <c r="K801" s="655"/>
      <c r="L801" s="655"/>
      <c r="M801" s="655"/>
      <c r="N801" s="655"/>
      <c r="O801" s="655"/>
      <c r="P801" s="655"/>
      <c r="Q801" s="655"/>
      <c r="R801" s="655"/>
      <c r="S801" s="655"/>
      <c r="T801" s="655"/>
      <c r="U801" s="655"/>
      <c r="V801" s="655"/>
      <c r="W801" s="655"/>
      <c r="X801" s="655"/>
      <c r="Y801" s="655"/>
      <c r="Z801" s="655"/>
    </row>
    <row r="802">
      <c r="B802" s="462"/>
      <c r="C802" s="671"/>
      <c r="D802" s="462"/>
      <c r="E802" s="654"/>
      <c r="F802" s="650"/>
      <c r="G802" s="654"/>
      <c r="H802" s="654"/>
      <c r="I802" s="650"/>
      <c r="J802" s="650"/>
      <c r="K802" s="655"/>
      <c r="L802" s="655"/>
      <c r="M802" s="655"/>
      <c r="N802" s="655"/>
      <c r="O802" s="655"/>
      <c r="P802" s="655"/>
      <c r="Q802" s="655"/>
      <c r="R802" s="655"/>
      <c r="S802" s="655"/>
      <c r="T802" s="655"/>
      <c r="U802" s="655"/>
      <c r="V802" s="655"/>
      <c r="W802" s="655"/>
      <c r="X802" s="655"/>
      <c r="Y802" s="655"/>
      <c r="Z802" s="655"/>
    </row>
    <row r="803">
      <c r="B803" s="462"/>
      <c r="C803" s="671"/>
      <c r="D803" s="462"/>
      <c r="E803" s="654"/>
      <c r="F803" s="650"/>
      <c r="G803" s="654"/>
      <c r="H803" s="654"/>
      <c r="I803" s="650"/>
      <c r="J803" s="650"/>
      <c r="K803" s="655"/>
      <c r="L803" s="655"/>
      <c r="M803" s="655"/>
      <c r="N803" s="655"/>
      <c r="O803" s="655"/>
      <c r="P803" s="655"/>
      <c r="Q803" s="655"/>
      <c r="R803" s="655"/>
      <c r="S803" s="655"/>
      <c r="T803" s="655"/>
      <c r="U803" s="655"/>
      <c r="V803" s="655"/>
      <c r="W803" s="655"/>
      <c r="X803" s="655"/>
      <c r="Y803" s="655"/>
      <c r="Z803" s="655"/>
    </row>
    <row r="804">
      <c r="B804" s="462"/>
      <c r="C804" s="671"/>
      <c r="D804" s="462"/>
      <c r="E804" s="654"/>
      <c r="F804" s="650"/>
      <c r="G804" s="654"/>
      <c r="H804" s="654"/>
      <c r="I804" s="650"/>
      <c r="J804" s="650"/>
      <c r="K804" s="655"/>
      <c r="L804" s="655"/>
      <c r="M804" s="655"/>
      <c r="N804" s="655"/>
      <c r="O804" s="655"/>
      <c r="P804" s="655"/>
      <c r="Q804" s="655"/>
      <c r="R804" s="655"/>
      <c r="S804" s="655"/>
      <c r="T804" s="655"/>
      <c r="U804" s="655"/>
      <c r="V804" s="655"/>
      <c r="W804" s="655"/>
      <c r="X804" s="655"/>
      <c r="Y804" s="655"/>
      <c r="Z804" s="655"/>
    </row>
    <row r="805">
      <c r="B805" s="462"/>
      <c r="C805" s="671"/>
      <c r="D805" s="462"/>
      <c r="E805" s="654"/>
      <c r="F805" s="650"/>
      <c r="G805" s="654"/>
      <c r="H805" s="654"/>
      <c r="I805" s="650"/>
      <c r="J805" s="650"/>
      <c r="K805" s="655"/>
      <c r="L805" s="655"/>
      <c r="M805" s="655"/>
      <c r="N805" s="655"/>
      <c r="O805" s="655"/>
      <c r="P805" s="655"/>
      <c r="Q805" s="655"/>
      <c r="R805" s="655"/>
      <c r="S805" s="655"/>
      <c r="T805" s="655"/>
      <c r="U805" s="655"/>
      <c r="V805" s="655"/>
      <c r="W805" s="655"/>
      <c r="X805" s="655"/>
      <c r="Y805" s="655"/>
      <c r="Z805" s="655"/>
    </row>
    <row r="806">
      <c r="B806" s="462"/>
      <c r="C806" s="671"/>
      <c r="D806" s="462"/>
      <c r="E806" s="654"/>
      <c r="F806" s="650"/>
      <c r="G806" s="654"/>
      <c r="H806" s="654"/>
      <c r="I806" s="650"/>
      <c r="J806" s="650"/>
      <c r="K806" s="655"/>
      <c r="L806" s="655"/>
      <c r="M806" s="655"/>
      <c r="N806" s="655"/>
      <c r="O806" s="655"/>
      <c r="P806" s="655"/>
      <c r="Q806" s="655"/>
      <c r="R806" s="655"/>
      <c r="S806" s="655"/>
      <c r="T806" s="655"/>
      <c r="U806" s="655"/>
      <c r="V806" s="655"/>
      <c r="W806" s="655"/>
      <c r="X806" s="655"/>
      <c r="Y806" s="655"/>
      <c r="Z806" s="655"/>
    </row>
    <row r="807">
      <c r="B807" s="462"/>
      <c r="C807" s="671"/>
      <c r="D807" s="462"/>
      <c r="E807" s="654"/>
      <c r="F807" s="650"/>
      <c r="G807" s="654"/>
      <c r="H807" s="654"/>
      <c r="I807" s="650"/>
      <c r="J807" s="650"/>
      <c r="K807" s="655"/>
      <c r="L807" s="655"/>
      <c r="M807" s="655"/>
      <c r="N807" s="655"/>
      <c r="O807" s="655"/>
      <c r="P807" s="655"/>
      <c r="Q807" s="655"/>
      <c r="R807" s="655"/>
      <c r="S807" s="655"/>
      <c r="T807" s="655"/>
      <c r="U807" s="655"/>
      <c r="V807" s="655"/>
      <c r="W807" s="655"/>
      <c r="X807" s="655"/>
      <c r="Y807" s="655"/>
      <c r="Z807" s="655"/>
    </row>
    <row r="808">
      <c r="B808" s="462"/>
      <c r="C808" s="671"/>
      <c r="D808" s="462"/>
      <c r="E808" s="654"/>
      <c r="F808" s="650"/>
      <c r="G808" s="654"/>
      <c r="H808" s="654"/>
      <c r="I808" s="650"/>
      <c r="J808" s="650"/>
      <c r="K808" s="655"/>
      <c r="L808" s="655"/>
      <c r="M808" s="655"/>
      <c r="N808" s="655"/>
      <c r="O808" s="655"/>
      <c r="P808" s="655"/>
      <c r="Q808" s="655"/>
      <c r="R808" s="655"/>
      <c r="S808" s="655"/>
      <c r="T808" s="655"/>
      <c r="U808" s="655"/>
      <c r="V808" s="655"/>
      <c r="W808" s="655"/>
      <c r="X808" s="655"/>
      <c r="Y808" s="655"/>
      <c r="Z808" s="655"/>
    </row>
    <row r="809">
      <c r="B809" s="462"/>
      <c r="C809" s="671"/>
      <c r="D809" s="462"/>
      <c r="E809" s="654"/>
      <c r="F809" s="650"/>
      <c r="G809" s="654"/>
      <c r="H809" s="654"/>
      <c r="I809" s="650"/>
      <c r="J809" s="650"/>
      <c r="K809" s="655"/>
      <c r="L809" s="655"/>
      <c r="M809" s="655"/>
      <c r="N809" s="655"/>
      <c r="O809" s="655"/>
      <c r="P809" s="655"/>
      <c r="Q809" s="655"/>
      <c r="R809" s="655"/>
      <c r="S809" s="655"/>
      <c r="T809" s="655"/>
      <c r="U809" s="655"/>
      <c r="V809" s="655"/>
      <c r="W809" s="655"/>
      <c r="X809" s="655"/>
      <c r="Y809" s="655"/>
      <c r="Z809" s="655"/>
    </row>
    <row r="810">
      <c r="B810" s="462"/>
      <c r="C810" s="671"/>
      <c r="D810" s="462"/>
      <c r="E810" s="654"/>
      <c r="F810" s="650"/>
      <c r="G810" s="654"/>
      <c r="H810" s="654"/>
      <c r="I810" s="650"/>
      <c r="J810" s="650"/>
      <c r="K810" s="655"/>
      <c r="L810" s="655"/>
      <c r="M810" s="655"/>
      <c r="N810" s="655"/>
      <c r="O810" s="655"/>
      <c r="P810" s="655"/>
      <c r="Q810" s="655"/>
      <c r="R810" s="655"/>
      <c r="S810" s="655"/>
      <c r="T810" s="655"/>
      <c r="U810" s="655"/>
      <c r="V810" s="655"/>
      <c r="W810" s="655"/>
      <c r="X810" s="655"/>
      <c r="Y810" s="655"/>
      <c r="Z810" s="655"/>
    </row>
    <row r="811">
      <c r="B811" s="462"/>
      <c r="C811" s="671"/>
      <c r="D811" s="462"/>
      <c r="E811" s="654"/>
      <c r="F811" s="650"/>
      <c r="G811" s="654"/>
      <c r="H811" s="654"/>
      <c r="I811" s="650"/>
      <c r="J811" s="650"/>
      <c r="K811" s="655"/>
      <c r="L811" s="655"/>
      <c r="M811" s="655"/>
      <c r="N811" s="655"/>
      <c r="O811" s="655"/>
      <c r="P811" s="655"/>
      <c r="Q811" s="655"/>
      <c r="R811" s="655"/>
      <c r="S811" s="655"/>
      <c r="T811" s="655"/>
      <c r="U811" s="655"/>
      <c r="V811" s="655"/>
      <c r="W811" s="655"/>
      <c r="X811" s="655"/>
      <c r="Y811" s="655"/>
      <c r="Z811" s="655"/>
    </row>
    <row r="812">
      <c r="B812" s="462"/>
      <c r="C812" s="671"/>
      <c r="D812" s="462"/>
      <c r="E812" s="654"/>
      <c r="F812" s="650"/>
      <c r="G812" s="654"/>
      <c r="H812" s="654"/>
      <c r="I812" s="650"/>
      <c r="J812" s="650"/>
      <c r="K812" s="655"/>
      <c r="L812" s="655"/>
      <c r="M812" s="655"/>
      <c r="N812" s="655"/>
      <c r="O812" s="655"/>
      <c r="P812" s="655"/>
      <c r="Q812" s="655"/>
      <c r="R812" s="655"/>
      <c r="S812" s="655"/>
      <c r="T812" s="655"/>
      <c r="U812" s="655"/>
      <c r="V812" s="655"/>
      <c r="W812" s="655"/>
      <c r="X812" s="655"/>
      <c r="Y812" s="655"/>
      <c r="Z812" s="655"/>
    </row>
    <row r="813">
      <c r="B813" s="462"/>
      <c r="C813" s="671"/>
      <c r="D813" s="462"/>
      <c r="E813" s="654"/>
      <c r="F813" s="650"/>
      <c r="G813" s="654"/>
      <c r="H813" s="654"/>
      <c r="I813" s="650"/>
      <c r="J813" s="650"/>
      <c r="K813" s="655"/>
      <c r="L813" s="655"/>
      <c r="M813" s="655"/>
      <c r="N813" s="655"/>
      <c r="O813" s="655"/>
      <c r="P813" s="655"/>
      <c r="Q813" s="655"/>
      <c r="R813" s="655"/>
      <c r="S813" s="655"/>
      <c r="T813" s="655"/>
      <c r="U813" s="655"/>
      <c r="V813" s="655"/>
      <c r="W813" s="655"/>
      <c r="X813" s="655"/>
      <c r="Y813" s="655"/>
      <c r="Z813" s="655"/>
    </row>
    <row r="814">
      <c r="B814" s="462"/>
      <c r="C814" s="671"/>
      <c r="D814" s="462"/>
      <c r="E814" s="654"/>
      <c r="F814" s="650"/>
      <c r="G814" s="654"/>
      <c r="H814" s="654"/>
      <c r="I814" s="650"/>
      <c r="J814" s="650"/>
      <c r="K814" s="655"/>
      <c r="L814" s="655"/>
      <c r="M814" s="655"/>
      <c r="N814" s="655"/>
      <c r="O814" s="655"/>
      <c r="P814" s="655"/>
      <c r="Q814" s="655"/>
      <c r="R814" s="655"/>
      <c r="S814" s="655"/>
      <c r="T814" s="655"/>
      <c r="U814" s="655"/>
      <c r="V814" s="655"/>
      <c r="W814" s="655"/>
      <c r="X814" s="655"/>
      <c r="Y814" s="655"/>
      <c r="Z814" s="655"/>
    </row>
    <row r="815">
      <c r="B815" s="462"/>
      <c r="C815" s="671"/>
      <c r="D815" s="462"/>
      <c r="E815" s="654"/>
      <c r="F815" s="650"/>
      <c r="G815" s="654"/>
      <c r="H815" s="654"/>
      <c r="I815" s="650"/>
      <c r="J815" s="650"/>
      <c r="K815" s="655"/>
      <c r="L815" s="655"/>
      <c r="M815" s="655"/>
      <c r="N815" s="655"/>
      <c r="O815" s="655"/>
      <c r="P815" s="655"/>
      <c r="Q815" s="655"/>
      <c r="R815" s="655"/>
      <c r="S815" s="655"/>
      <c r="T815" s="655"/>
      <c r="U815" s="655"/>
      <c r="V815" s="655"/>
      <c r="W815" s="655"/>
      <c r="X815" s="655"/>
      <c r="Y815" s="655"/>
      <c r="Z815" s="655"/>
    </row>
    <row r="816">
      <c r="B816" s="462"/>
      <c r="C816" s="671"/>
      <c r="D816" s="462"/>
      <c r="E816" s="654"/>
      <c r="F816" s="650"/>
      <c r="G816" s="654"/>
      <c r="H816" s="654"/>
      <c r="I816" s="650"/>
      <c r="J816" s="650"/>
      <c r="K816" s="655"/>
      <c r="L816" s="655"/>
      <c r="M816" s="655"/>
      <c r="N816" s="655"/>
      <c r="O816" s="655"/>
      <c r="P816" s="655"/>
      <c r="Q816" s="655"/>
      <c r="R816" s="655"/>
      <c r="S816" s="655"/>
      <c r="T816" s="655"/>
      <c r="U816" s="655"/>
      <c r="V816" s="655"/>
      <c r="W816" s="655"/>
      <c r="X816" s="655"/>
      <c r="Y816" s="655"/>
      <c r="Z816" s="655"/>
    </row>
    <row r="817">
      <c r="B817" s="462"/>
      <c r="C817" s="671"/>
      <c r="D817" s="462"/>
      <c r="E817" s="654"/>
      <c r="F817" s="650"/>
      <c r="G817" s="654"/>
      <c r="H817" s="654"/>
      <c r="I817" s="650"/>
      <c r="J817" s="650"/>
      <c r="K817" s="655"/>
      <c r="L817" s="655"/>
      <c r="M817" s="655"/>
      <c r="N817" s="655"/>
      <c r="O817" s="655"/>
      <c r="P817" s="655"/>
      <c r="Q817" s="655"/>
      <c r="R817" s="655"/>
      <c r="S817" s="655"/>
      <c r="T817" s="655"/>
      <c r="U817" s="655"/>
      <c r="V817" s="655"/>
      <c r="W817" s="655"/>
      <c r="X817" s="655"/>
      <c r="Y817" s="655"/>
      <c r="Z817" s="655"/>
    </row>
    <row r="818">
      <c r="B818" s="462"/>
      <c r="C818" s="671"/>
      <c r="D818" s="462"/>
      <c r="E818" s="654"/>
      <c r="F818" s="650"/>
      <c r="G818" s="654"/>
      <c r="H818" s="654"/>
      <c r="I818" s="650"/>
      <c r="J818" s="650"/>
      <c r="K818" s="655"/>
      <c r="L818" s="655"/>
      <c r="M818" s="655"/>
      <c r="N818" s="655"/>
      <c r="O818" s="655"/>
      <c r="P818" s="655"/>
      <c r="Q818" s="655"/>
      <c r="R818" s="655"/>
      <c r="S818" s="655"/>
      <c r="T818" s="655"/>
      <c r="U818" s="655"/>
      <c r="V818" s="655"/>
      <c r="W818" s="655"/>
      <c r="X818" s="655"/>
      <c r="Y818" s="655"/>
      <c r="Z818" s="655"/>
    </row>
    <row r="819">
      <c r="B819" s="462"/>
      <c r="C819" s="671"/>
      <c r="D819" s="462"/>
      <c r="E819" s="654"/>
      <c r="F819" s="650"/>
      <c r="G819" s="654"/>
      <c r="H819" s="654"/>
      <c r="I819" s="650"/>
      <c r="J819" s="650"/>
      <c r="K819" s="655"/>
      <c r="L819" s="655"/>
      <c r="M819" s="655"/>
      <c r="N819" s="655"/>
      <c r="O819" s="655"/>
      <c r="P819" s="655"/>
      <c r="Q819" s="655"/>
      <c r="R819" s="655"/>
      <c r="S819" s="655"/>
      <c r="T819" s="655"/>
      <c r="U819" s="655"/>
      <c r="V819" s="655"/>
      <c r="W819" s="655"/>
      <c r="X819" s="655"/>
      <c r="Y819" s="655"/>
      <c r="Z819" s="655"/>
    </row>
    <row r="820">
      <c r="B820" s="462"/>
      <c r="C820" s="671"/>
      <c r="D820" s="462"/>
      <c r="E820" s="654"/>
      <c r="F820" s="650"/>
      <c r="G820" s="654"/>
      <c r="H820" s="654"/>
      <c r="I820" s="650"/>
      <c r="J820" s="650"/>
      <c r="K820" s="655"/>
      <c r="L820" s="655"/>
      <c r="M820" s="655"/>
      <c r="N820" s="655"/>
      <c r="O820" s="655"/>
      <c r="P820" s="655"/>
      <c r="Q820" s="655"/>
      <c r="R820" s="655"/>
      <c r="S820" s="655"/>
      <c r="T820" s="655"/>
      <c r="U820" s="655"/>
      <c r="V820" s="655"/>
      <c r="W820" s="655"/>
      <c r="X820" s="655"/>
      <c r="Y820" s="655"/>
      <c r="Z820" s="655"/>
    </row>
    <row r="821">
      <c r="B821" s="462"/>
      <c r="C821" s="671"/>
      <c r="D821" s="462"/>
      <c r="E821" s="654"/>
      <c r="F821" s="650"/>
      <c r="G821" s="654"/>
      <c r="H821" s="654"/>
      <c r="I821" s="650"/>
      <c r="J821" s="650"/>
      <c r="K821" s="655"/>
      <c r="L821" s="655"/>
      <c r="M821" s="655"/>
      <c r="N821" s="655"/>
      <c r="O821" s="655"/>
      <c r="P821" s="655"/>
      <c r="Q821" s="655"/>
      <c r="R821" s="655"/>
      <c r="S821" s="655"/>
      <c r="T821" s="655"/>
      <c r="U821" s="655"/>
      <c r="V821" s="655"/>
      <c r="W821" s="655"/>
      <c r="X821" s="655"/>
      <c r="Y821" s="655"/>
      <c r="Z821" s="655"/>
    </row>
    <row r="822">
      <c r="B822" s="462"/>
      <c r="C822" s="671"/>
      <c r="D822" s="462"/>
      <c r="E822" s="654"/>
      <c r="F822" s="650"/>
      <c r="G822" s="654"/>
      <c r="H822" s="654"/>
      <c r="I822" s="650"/>
      <c r="J822" s="650"/>
      <c r="K822" s="655"/>
      <c r="L822" s="655"/>
      <c r="M822" s="655"/>
      <c r="N822" s="655"/>
      <c r="O822" s="655"/>
      <c r="P822" s="655"/>
      <c r="Q822" s="655"/>
      <c r="R822" s="655"/>
      <c r="S822" s="655"/>
      <c r="T822" s="655"/>
      <c r="U822" s="655"/>
      <c r="V822" s="655"/>
      <c r="W822" s="655"/>
      <c r="X822" s="655"/>
      <c r="Y822" s="655"/>
      <c r="Z822" s="655"/>
    </row>
    <row r="823">
      <c r="B823" s="462"/>
      <c r="C823" s="671"/>
      <c r="D823" s="462"/>
      <c r="E823" s="654"/>
      <c r="F823" s="650"/>
      <c r="G823" s="654"/>
      <c r="H823" s="654"/>
      <c r="I823" s="650"/>
      <c r="J823" s="650"/>
      <c r="K823" s="655"/>
      <c r="L823" s="655"/>
      <c r="M823" s="655"/>
      <c r="N823" s="655"/>
      <c r="O823" s="655"/>
      <c r="P823" s="655"/>
      <c r="Q823" s="655"/>
      <c r="R823" s="655"/>
      <c r="S823" s="655"/>
      <c r="T823" s="655"/>
      <c r="U823" s="655"/>
      <c r="V823" s="655"/>
      <c r="W823" s="655"/>
      <c r="X823" s="655"/>
      <c r="Y823" s="655"/>
      <c r="Z823" s="655"/>
    </row>
    <row r="824">
      <c r="B824" s="462"/>
      <c r="C824" s="671"/>
      <c r="D824" s="462"/>
      <c r="E824" s="654"/>
      <c r="F824" s="650"/>
      <c r="G824" s="654"/>
      <c r="H824" s="654"/>
      <c r="I824" s="650"/>
      <c r="J824" s="650"/>
      <c r="K824" s="655"/>
      <c r="L824" s="655"/>
      <c r="M824" s="655"/>
      <c r="N824" s="655"/>
      <c r="O824" s="655"/>
      <c r="P824" s="655"/>
      <c r="Q824" s="655"/>
      <c r="R824" s="655"/>
      <c r="S824" s="655"/>
      <c r="T824" s="655"/>
      <c r="U824" s="655"/>
      <c r="V824" s="655"/>
      <c r="W824" s="655"/>
      <c r="X824" s="655"/>
      <c r="Y824" s="655"/>
      <c r="Z824" s="655"/>
    </row>
    <row r="825">
      <c r="B825" s="462"/>
      <c r="C825" s="671"/>
      <c r="D825" s="462"/>
      <c r="E825" s="654"/>
      <c r="F825" s="650"/>
      <c r="G825" s="654"/>
      <c r="H825" s="654"/>
      <c r="I825" s="650"/>
      <c r="J825" s="650"/>
      <c r="K825" s="655"/>
      <c r="L825" s="655"/>
      <c r="M825" s="655"/>
      <c r="N825" s="655"/>
      <c r="O825" s="655"/>
      <c r="P825" s="655"/>
      <c r="Q825" s="655"/>
      <c r="R825" s="655"/>
      <c r="S825" s="655"/>
      <c r="T825" s="655"/>
      <c r="U825" s="655"/>
      <c r="V825" s="655"/>
      <c r="W825" s="655"/>
      <c r="X825" s="655"/>
      <c r="Y825" s="655"/>
      <c r="Z825" s="655"/>
    </row>
    <row r="826">
      <c r="B826" s="462"/>
      <c r="C826" s="671"/>
      <c r="D826" s="462"/>
      <c r="E826" s="654"/>
      <c r="F826" s="650"/>
      <c r="G826" s="654"/>
      <c r="H826" s="654"/>
      <c r="I826" s="650"/>
      <c r="J826" s="650"/>
      <c r="K826" s="655"/>
      <c r="L826" s="655"/>
      <c r="M826" s="655"/>
      <c r="N826" s="655"/>
      <c r="O826" s="655"/>
      <c r="P826" s="655"/>
      <c r="Q826" s="655"/>
      <c r="R826" s="655"/>
      <c r="S826" s="655"/>
      <c r="T826" s="655"/>
      <c r="U826" s="655"/>
      <c r="V826" s="655"/>
      <c r="W826" s="655"/>
      <c r="X826" s="655"/>
      <c r="Y826" s="655"/>
      <c r="Z826" s="655"/>
    </row>
    <row r="827">
      <c r="B827" s="462"/>
      <c r="C827" s="671"/>
      <c r="D827" s="462"/>
      <c r="E827" s="654"/>
      <c r="F827" s="650"/>
      <c r="G827" s="654"/>
      <c r="H827" s="654"/>
      <c r="I827" s="650"/>
      <c r="J827" s="650"/>
      <c r="K827" s="655"/>
      <c r="L827" s="655"/>
      <c r="M827" s="655"/>
      <c r="N827" s="655"/>
      <c r="O827" s="655"/>
      <c r="P827" s="655"/>
      <c r="Q827" s="655"/>
      <c r="R827" s="655"/>
      <c r="S827" s="655"/>
      <c r="T827" s="655"/>
      <c r="U827" s="655"/>
      <c r="V827" s="655"/>
      <c r="W827" s="655"/>
      <c r="X827" s="655"/>
      <c r="Y827" s="655"/>
      <c r="Z827" s="655"/>
    </row>
    <row r="828">
      <c r="B828" s="462"/>
      <c r="C828" s="671"/>
      <c r="D828" s="462"/>
      <c r="E828" s="654"/>
      <c r="F828" s="650"/>
      <c r="G828" s="654"/>
      <c r="H828" s="654"/>
      <c r="I828" s="650"/>
      <c r="J828" s="650"/>
      <c r="K828" s="655"/>
      <c r="L828" s="655"/>
      <c r="M828" s="655"/>
      <c r="N828" s="655"/>
      <c r="O828" s="655"/>
      <c r="P828" s="655"/>
      <c r="Q828" s="655"/>
      <c r="R828" s="655"/>
      <c r="S828" s="655"/>
      <c r="T828" s="655"/>
      <c r="U828" s="655"/>
      <c r="V828" s="655"/>
      <c r="W828" s="655"/>
      <c r="X828" s="655"/>
      <c r="Y828" s="655"/>
      <c r="Z828" s="655"/>
    </row>
    <row r="829">
      <c r="B829" s="462"/>
      <c r="C829" s="671"/>
      <c r="D829" s="462"/>
      <c r="E829" s="654"/>
      <c r="F829" s="650"/>
      <c r="G829" s="654"/>
      <c r="H829" s="654"/>
      <c r="I829" s="650"/>
      <c r="J829" s="650"/>
      <c r="K829" s="655"/>
      <c r="L829" s="655"/>
      <c r="M829" s="655"/>
      <c r="N829" s="655"/>
      <c r="O829" s="655"/>
      <c r="P829" s="655"/>
      <c r="Q829" s="655"/>
      <c r="R829" s="655"/>
      <c r="S829" s="655"/>
      <c r="T829" s="655"/>
      <c r="U829" s="655"/>
      <c r="V829" s="655"/>
      <c r="W829" s="655"/>
      <c r="X829" s="655"/>
      <c r="Y829" s="655"/>
      <c r="Z829" s="655"/>
    </row>
    <row r="830">
      <c r="B830" s="462"/>
      <c r="C830" s="671"/>
      <c r="D830" s="462"/>
      <c r="E830" s="654"/>
      <c r="F830" s="650"/>
      <c r="G830" s="654"/>
      <c r="H830" s="654"/>
      <c r="I830" s="650"/>
      <c r="J830" s="650"/>
      <c r="K830" s="655"/>
      <c r="L830" s="655"/>
      <c r="M830" s="655"/>
      <c r="N830" s="655"/>
      <c r="O830" s="655"/>
      <c r="P830" s="655"/>
      <c r="Q830" s="655"/>
      <c r="R830" s="655"/>
      <c r="S830" s="655"/>
      <c r="T830" s="655"/>
      <c r="U830" s="655"/>
      <c r="V830" s="655"/>
      <c r="W830" s="655"/>
      <c r="X830" s="655"/>
      <c r="Y830" s="655"/>
      <c r="Z830" s="655"/>
    </row>
    <row r="831">
      <c r="B831" s="462"/>
      <c r="C831" s="671"/>
      <c r="D831" s="462"/>
      <c r="E831" s="654"/>
      <c r="F831" s="650"/>
      <c r="G831" s="654"/>
      <c r="H831" s="654"/>
      <c r="I831" s="650"/>
      <c r="J831" s="650"/>
      <c r="K831" s="655"/>
      <c r="L831" s="655"/>
      <c r="M831" s="655"/>
      <c r="N831" s="655"/>
      <c r="O831" s="655"/>
      <c r="P831" s="655"/>
      <c r="Q831" s="655"/>
      <c r="R831" s="655"/>
      <c r="S831" s="655"/>
      <c r="T831" s="655"/>
      <c r="U831" s="655"/>
      <c r="V831" s="655"/>
      <c r="W831" s="655"/>
      <c r="X831" s="655"/>
      <c r="Y831" s="655"/>
      <c r="Z831" s="655"/>
    </row>
    <row r="832">
      <c r="B832" s="462"/>
      <c r="C832" s="671"/>
      <c r="D832" s="462"/>
      <c r="E832" s="654"/>
      <c r="F832" s="650"/>
      <c r="G832" s="654"/>
      <c r="H832" s="654"/>
      <c r="I832" s="650"/>
      <c r="J832" s="650"/>
      <c r="K832" s="655"/>
      <c r="L832" s="655"/>
      <c r="M832" s="655"/>
      <c r="N832" s="655"/>
      <c r="O832" s="655"/>
      <c r="P832" s="655"/>
      <c r="Q832" s="655"/>
      <c r="R832" s="655"/>
      <c r="S832" s="655"/>
      <c r="T832" s="655"/>
      <c r="U832" s="655"/>
      <c r="V832" s="655"/>
      <c r="W832" s="655"/>
      <c r="X832" s="655"/>
      <c r="Y832" s="655"/>
      <c r="Z832" s="655"/>
    </row>
    <row r="833">
      <c r="B833" s="462"/>
      <c r="C833" s="671"/>
      <c r="D833" s="462"/>
      <c r="E833" s="654"/>
      <c r="F833" s="650"/>
      <c r="G833" s="654"/>
      <c r="H833" s="654"/>
      <c r="I833" s="650"/>
      <c r="J833" s="650"/>
      <c r="K833" s="655"/>
      <c r="L833" s="655"/>
      <c r="M833" s="655"/>
      <c r="N833" s="655"/>
      <c r="O833" s="655"/>
      <c r="P833" s="655"/>
      <c r="Q833" s="655"/>
      <c r="R833" s="655"/>
      <c r="S833" s="655"/>
      <c r="T833" s="655"/>
      <c r="U833" s="655"/>
      <c r="V833" s="655"/>
      <c r="W833" s="655"/>
      <c r="X833" s="655"/>
      <c r="Y833" s="655"/>
      <c r="Z833" s="655"/>
    </row>
    <row r="834">
      <c r="B834" s="462"/>
      <c r="C834" s="671"/>
      <c r="D834" s="462"/>
      <c r="E834" s="654"/>
      <c r="F834" s="650"/>
      <c r="G834" s="654"/>
      <c r="H834" s="654"/>
      <c r="I834" s="650"/>
      <c r="J834" s="650"/>
      <c r="K834" s="655"/>
      <c r="L834" s="655"/>
      <c r="M834" s="655"/>
      <c r="N834" s="655"/>
      <c r="O834" s="655"/>
      <c r="P834" s="655"/>
      <c r="Q834" s="655"/>
      <c r="R834" s="655"/>
      <c r="S834" s="655"/>
      <c r="T834" s="655"/>
      <c r="U834" s="655"/>
      <c r="V834" s="655"/>
      <c r="W834" s="655"/>
      <c r="X834" s="655"/>
      <c r="Y834" s="655"/>
      <c r="Z834" s="655"/>
    </row>
    <row r="835">
      <c r="B835" s="462"/>
      <c r="C835" s="671"/>
      <c r="D835" s="462"/>
      <c r="E835" s="654"/>
      <c r="F835" s="650"/>
      <c r="G835" s="654"/>
      <c r="H835" s="654"/>
      <c r="I835" s="650"/>
      <c r="J835" s="650"/>
      <c r="K835" s="655"/>
      <c r="L835" s="655"/>
      <c r="M835" s="655"/>
      <c r="N835" s="655"/>
      <c r="O835" s="655"/>
      <c r="P835" s="655"/>
      <c r="Q835" s="655"/>
      <c r="R835" s="655"/>
      <c r="S835" s="655"/>
      <c r="T835" s="655"/>
      <c r="U835" s="655"/>
      <c r="V835" s="655"/>
      <c r="W835" s="655"/>
      <c r="X835" s="655"/>
      <c r="Y835" s="655"/>
      <c r="Z835" s="655"/>
    </row>
    <row r="836">
      <c r="B836" s="462"/>
      <c r="C836" s="671"/>
      <c r="D836" s="462"/>
      <c r="E836" s="654"/>
      <c r="F836" s="650"/>
      <c r="G836" s="654"/>
      <c r="H836" s="654"/>
      <c r="I836" s="650"/>
      <c r="J836" s="650"/>
      <c r="K836" s="655"/>
      <c r="L836" s="655"/>
      <c r="M836" s="655"/>
      <c r="N836" s="655"/>
      <c r="O836" s="655"/>
      <c r="P836" s="655"/>
      <c r="Q836" s="655"/>
      <c r="R836" s="655"/>
      <c r="S836" s="655"/>
      <c r="T836" s="655"/>
      <c r="U836" s="655"/>
      <c r="V836" s="655"/>
      <c r="W836" s="655"/>
      <c r="X836" s="655"/>
      <c r="Y836" s="655"/>
      <c r="Z836" s="655"/>
    </row>
    <row r="837">
      <c r="B837" s="462"/>
      <c r="C837" s="671"/>
      <c r="D837" s="462"/>
      <c r="E837" s="654"/>
      <c r="F837" s="650"/>
      <c r="G837" s="654"/>
      <c r="H837" s="654"/>
      <c r="I837" s="650"/>
      <c r="J837" s="650"/>
      <c r="K837" s="655"/>
      <c r="L837" s="655"/>
      <c r="M837" s="655"/>
      <c r="N837" s="655"/>
      <c r="O837" s="655"/>
      <c r="P837" s="655"/>
      <c r="Q837" s="655"/>
      <c r="R837" s="655"/>
      <c r="S837" s="655"/>
      <c r="T837" s="655"/>
      <c r="U837" s="655"/>
      <c r="V837" s="655"/>
      <c r="W837" s="655"/>
      <c r="X837" s="655"/>
      <c r="Y837" s="655"/>
      <c r="Z837" s="655"/>
    </row>
    <row r="838">
      <c r="B838" s="462"/>
      <c r="C838" s="671"/>
      <c r="D838" s="462"/>
      <c r="E838" s="654"/>
      <c r="F838" s="650"/>
      <c r="G838" s="654"/>
      <c r="H838" s="654"/>
      <c r="I838" s="650"/>
      <c r="J838" s="650"/>
      <c r="K838" s="655"/>
      <c r="L838" s="655"/>
      <c r="M838" s="655"/>
      <c r="N838" s="655"/>
      <c r="O838" s="655"/>
      <c r="P838" s="655"/>
      <c r="Q838" s="655"/>
      <c r="R838" s="655"/>
      <c r="S838" s="655"/>
      <c r="T838" s="655"/>
      <c r="U838" s="655"/>
      <c r="V838" s="655"/>
      <c r="W838" s="655"/>
      <c r="X838" s="655"/>
      <c r="Y838" s="655"/>
      <c r="Z838" s="655"/>
    </row>
    <row r="839">
      <c r="B839" s="462"/>
      <c r="C839" s="671"/>
      <c r="D839" s="462"/>
      <c r="E839" s="654"/>
      <c r="F839" s="650"/>
      <c r="G839" s="654"/>
      <c r="H839" s="654"/>
      <c r="I839" s="650"/>
      <c r="J839" s="650"/>
      <c r="K839" s="655"/>
      <c r="L839" s="655"/>
      <c r="M839" s="655"/>
      <c r="N839" s="655"/>
      <c r="O839" s="655"/>
      <c r="P839" s="655"/>
      <c r="Q839" s="655"/>
      <c r="R839" s="655"/>
      <c r="S839" s="655"/>
      <c r="T839" s="655"/>
      <c r="U839" s="655"/>
      <c r="V839" s="655"/>
      <c r="W839" s="655"/>
      <c r="X839" s="655"/>
      <c r="Y839" s="655"/>
      <c r="Z839" s="655"/>
    </row>
    <row r="840">
      <c r="B840" s="462"/>
      <c r="C840" s="671"/>
      <c r="D840" s="462"/>
      <c r="E840" s="654"/>
      <c r="F840" s="650"/>
      <c r="G840" s="654"/>
      <c r="H840" s="654"/>
      <c r="I840" s="650"/>
      <c r="J840" s="650"/>
      <c r="K840" s="655"/>
      <c r="L840" s="655"/>
      <c r="M840" s="655"/>
      <c r="N840" s="655"/>
      <c r="O840" s="655"/>
      <c r="P840" s="655"/>
      <c r="Q840" s="655"/>
      <c r="R840" s="655"/>
      <c r="S840" s="655"/>
      <c r="T840" s="655"/>
      <c r="U840" s="655"/>
      <c r="V840" s="655"/>
      <c r="W840" s="655"/>
      <c r="X840" s="655"/>
      <c r="Y840" s="655"/>
      <c r="Z840" s="655"/>
    </row>
    <row r="841">
      <c r="B841" s="462"/>
      <c r="C841" s="671"/>
      <c r="D841" s="462"/>
      <c r="E841" s="654"/>
      <c r="F841" s="650"/>
      <c r="G841" s="654"/>
      <c r="H841" s="654"/>
      <c r="I841" s="650"/>
      <c r="J841" s="650"/>
      <c r="K841" s="655"/>
      <c r="L841" s="655"/>
      <c r="M841" s="655"/>
      <c r="N841" s="655"/>
      <c r="O841" s="655"/>
      <c r="P841" s="655"/>
      <c r="Q841" s="655"/>
      <c r="R841" s="655"/>
      <c r="S841" s="655"/>
      <c r="T841" s="655"/>
      <c r="U841" s="655"/>
      <c r="V841" s="655"/>
      <c r="W841" s="655"/>
      <c r="X841" s="655"/>
      <c r="Y841" s="655"/>
      <c r="Z841" s="655"/>
    </row>
    <row r="842">
      <c r="B842" s="462"/>
      <c r="C842" s="671"/>
      <c r="D842" s="462"/>
      <c r="E842" s="654"/>
      <c r="F842" s="650"/>
      <c r="G842" s="654"/>
      <c r="H842" s="654"/>
      <c r="I842" s="650"/>
      <c r="J842" s="650"/>
      <c r="K842" s="655"/>
      <c r="L842" s="655"/>
      <c r="M842" s="655"/>
      <c r="N842" s="655"/>
      <c r="O842" s="655"/>
      <c r="P842" s="655"/>
      <c r="Q842" s="655"/>
      <c r="R842" s="655"/>
      <c r="S842" s="655"/>
      <c r="T842" s="655"/>
      <c r="U842" s="655"/>
      <c r="V842" s="655"/>
      <c r="W842" s="655"/>
      <c r="X842" s="655"/>
      <c r="Y842" s="655"/>
      <c r="Z842" s="655"/>
    </row>
    <row r="843">
      <c r="B843" s="462"/>
      <c r="C843" s="671"/>
      <c r="D843" s="462"/>
      <c r="E843" s="654"/>
      <c r="F843" s="650"/>
      <c r="G843" s="654"/>
      <c r="H843" s="654"/>
      <c r="I843" s="650"/>
      <c r="J843" s="650"/>
      <c r="K843" s="655"/>
      <c r="L843" s="655"/>
      <c r="M843" s="655"/>
      <c r="N843" s="655"/>
      <c r="O843" s="655"/>
      <c r="P843" s="655"/>
      <c r="Q843" s="655"/>
      <c r="R843" s="655"/>
      <c r="S843" s="655"/>
      <c r="T843" s="655"/>
      <c r="U843" s="655"/>
      <c r="V843" s="655"/>
      <c r="W843" s="655"/>
      <c r="X843" s="655"/>
      <c r="Y843" s="655"/>
      <c r="Z843" s="655"/>
    </row>
    <row r="844">
      <c r="B844" s="462"/>
      <c r="C844" s="671"/>
      <c r="D844" s="462"/>
      <c r="E844" s="654"/>
      <c r="F844" s="650"/>
      <c r="G844" s="654"/>
      <c r="H844" s="654"/>
      <c r="I844" s="650"/>
      <c r="J844" s="650"/>
      <c r="K844" s="655"/>
      <c r="L844" s="655"/>
      <c r="M844" s="655"/>
      <c r="N844" s="655"/>
      <c r="O844" s="655"/>
      <c r="P844" s="655"/>
      <c r="Q844" s="655"/>
      <c r="R844" s="655"/>
      <c r="S844" s="655"/>
      <c r="T844" s="655"/>
      <c r="U844" s="655"/>
      <c r="V844" s="655"/>
      <c r="W844" s="655"/>
      <c r="X844" s="655"/>
      <c r="Y844" s="655"/>
      <c r="Z844" s="655"/>
    </row>
    <row r="845">
      <c r="B845" s="462"/>
      <c r="C845" s="671"/>
      <c r="D845" s="462"/>
      <c r="E845" s="654"/>
      <c r="F845" s="650"/>
      <c r="G845" s="654"/>
      <c r="H845" s="654"/>
      <c r="I845" s="650"/>
      <c r="J845" s="650"/>
      <c r="K845" s="655"/>
      <c r="L845" s="655"/>
      <c r="M845" s="655"/>
      <c r="N845" s="655"/>
      <c r="O845" s="655"/>
      <c r="P845" s="655"/>
      <c r="Q845" s="655"/>
      <c r="R845" s="655"/>
      <c r="S845" s="655"/>
      <c r="T845" s="655"/>
      <c r="U845" s="655"/>
      <c r="V845" s="655"/>
      <c r="W845" s="655"/>
      <c r="X845" s="655"/>
      <c r="Y845" s="655"/>
      <c r="Z845" s="655"/>
    </row>
    <row r="846">
      <c r="B846" s="462"/>
      <c r="C846" s="671"/>
      <c r="D846" s="462"/>
      <c r="E846" s="654"/>
      <c r="F846" s="650"/>
      <c r="G846" s="654"/>
      <c r="H846" s="654"/>
      <c r="I846" s="650"/>
      <c r="J846" s="650"/>
      <c r="K846" s="655"/>
      <c r="L846" s="655"/>
      <c r="M846" s="655"/>
      <c r="N846" s="655"/>
      <c r="O846" s="655"/>
      <c r="P846" s="655"/>
      <c r="Q846" s="655"/>
      <c r="R846" s="655"/>
      <c r="S846" s="655"/>
      <c r="T846" s="655"/>
      <c r="U846" s="655"/>
      <c r="V846" s="655"/>
      <c r="W846" s="655"/>
      <c r="X846" s="655"/>
      <c r="Y846" s="655"/>
      <c r="Z846" s="655"/>
    </row>
    <row r="847">
      <c r="B847" s="462"/>
      <c r="C847" s="671"/>
      <c r="D847" s="462"/>
      <c r="E847" s="654"/>
      <c r="F847" s="650"/>
      <c r="G847" s="654"/>
      <c r="H847" s="654"/>
      <c r="I847" s="650"/>
      <c r="J847" s="650"/>
      <c r="K847" s="655"/>
      <c r="L847" s="655"/>
      <c r="M847" s="655"/>
      <c r="N847" s="655"/>
      <c r="O847" s="655"/>
      <c r="P847" s="655"/>
      <c r="Q847" s="655"/>
      <c r="R847" s="655"/>
      <c r="S847" s="655"/>
      <c r="T847" s="655"/>
      <c r="U847" s="655"/>
      <c r="V847" s="655"/>
      <c r="W847" s="655"/>
      <c r="X847" s="655"/>
      <c r="Y847" s="655"/>
      <c r="Z847" s="655"/>
    </row>
    <row r="848">
      <c r="B848" s="462"/>
      <c r="C848" s="671"/>
      <c r="D848" s="462"/>
      <c r="E848" s="654"/>
      <c r="F848" s="650"/>
      <c r="G848" s="654"/>
      <c r="H848" s="654"/>
      <c r="I848" s="650"/>
      <c r="J848" s="650"/>
      <c r="K848" s="655"/>
      <c r="L848" s="655"/>
      <c r="M848" s="655"/>
      <c r="N848" s="655"/>
      <c r="O848" s="655"/>
      <c r="P848" s="655"/>
      <c r="Q848" s="655"/>
      <c r="R848" s="655"/>
      <c r="S848" s="655"/>
      <c r="T848" s="655"/>
      <c r="U848" s="655"/>
      <c r="V848" s="655"/>
      <c r="W848" s="655"/>
      <c r="X848" s="655"/>
      <c r="Y848" s="655"/>
      <c r="Z848" s="655"/>
    </row>
    <row r="849">
      <c r="B849" s="462"/>
      <c r="C849" s="671"/>
      <c r="D849" s="462"/>
      <c r="E849" s="654"/>
      <c r="F849" s="650"/>
      <c r="G849" s="654"/>
      <c r="H849" s="654"/>
      <c r="I849" s="650"/>
      <c r="J849" s="650"/>
      <c r="K849" s="655"/>
      <c r="L849" s="655"/>
      <c r="M849" s="655"/>
      <c r="N849" s="655"/>
      <c r="O849" s="655"/>
      <c r="P849" s="655"/>
      <c r="Q849" s="655"/>
      <c r="R849" s="655"/>
      <c r="S849" s="655"/>
      <c r="T849" s="655"/>
      <c r="U849" s="655"/>
      <c r="V849" s="655"/>
      <c r="W849" s="655"/>
      <c r="X849" s="655"/>
      <c r="Y849" s="655"/>
      <c r="Z849" s="655"/>
    </row>
    <row r="850">
      <c r="B850" s="462"/>
      <c r="C850" s="671"/>
      <c r="D850" s="462"/>
      <c r="E850" s="654"/>
      <c r="F850" s="650"/>
      <c r="G850" s="654"/>
      <c r="H850" s="654"/>
      <c r="I850" s="650"/>
      <c r="J850" s="650"/>
      <c r="K850" s="655"/>
      <c r="L850" s="655"/>
      <c r="M850" s="655"/>
      <c r="N850" s="655"/>
      <c r="O850" s="655"/>
      <c r="P850" s="655"/>
      <c r="Q850" s="655"/>
      <c r="R850" s="655"/>
      <c r="S850" s="655"/>
      <c r="T850" s="655"/>
      <c r="U850" s="655"/>
      <c r="V850" s="655"/>
      <c r="W850" s="655"/>
      <c r="X850" s="655"/>
      <c r="Y850" s="655"/>
      <c r="Z850" s="655"/>
    </row>
    <row r="851">
      <c r="B851" s="462"/>
      <c r="C851" s="671"/>
      <c r="D851" s="462"/>
      <c r="E851" s="654"/>
      <c r="F851" s="650"/>
      <c r="G851" s="654"/>
      <c r="H851" s="654"/>
      <c r="I851" s="650"/>
      <c r="J851" s="650"/>
      <c r="K851" s="655"/>
      <c r="L851" s="655"/>
      <c r="M851" s="655"/>
      <c r="N851" s="655"/>
      <c r="O851" s="655"/>
      <c r="P851" s="655"/>
      <c r="Q851" s="655"/>
      <c r="R851" s="655"/>
      <c r="S851" s="655"/>
      <c r="T851" s="655"/>
      <c r="U851" s="655"/>
      <c r="V851" s="655"/>
      <c r="W851" s="655"/>
      <c r="X851" s="655"/>
      <c r="Y851" s="655"/>
      <c r="Z851" s="655"/>
    </row>
    <row r="852">
      <c r="B852" s="462"/>
      <c r="C852" s="671"/>
      <c r="D852" s="462"/>
      <c r="E852" s="654"/>
      <c r="F852" s="650"/>
      <c r="G852" s="654"/>
      <c r="H852" s="654"/>
      <c r="I852" s="650"/>
      <c r="J852" s="650"/>
      <c r="K852" s="655"/>
      <c r="L852" s="655"/>
      <c r="M852" s="655"/>
      <c r="N852" s="655"/>
      <c r="O852" s="655"/>
      <c r="P852" s="655"/>
      <c r="Q852" s="655"/>
      <c r="R852" s="655"/>
      <c r="S852" s="655"/>
      <c r="T852" s="655"/>
      <c r="U852" s="655"/>
      <c r="V852" s="655"/>
      <c r="W852" s="655"/>
      <c r="X852" s="655"/>
      <c r="Y852" s="655"/>
      <c r="Z852" s="655"/>
    </row>
    <row r="853">
      <c r="B853" s="462"/>
      <c r="C853" s="671"/>
      <c r="D853" s="462"/>
      <c r="E853" s="654"/>
      <c r="F853" s="650"/>
      <c r="G853" s="654"/>
      <c r="H853" s="654"/>
      <c r="I853" s="650"/>
      <c r="J853" s="650"/>
      <c r="K853" s="655"/>
      <c r="L853" s="655"/>
      <c r="M853" s="655"/>
      <c r="N853" s="655"/>
      <c r="O853" s="655"/>
      <c r="P853" s="655"/>
      <c r="Q853" s="655"/>
      <c r="R853" s="655"/>
      <c r="S853" s="655"/>
      <c r="T853" s="655"/>
      <c r="U853" s="655"/>
      <c r="V853" s="655"/>
      <c r="W853" s="655"/>
      <c r="X853" s="655"/>
      <c r="Y853" s="655"/>
      <c r="Z853" s="655"/>
    </row>
    <row r="854">
      <c r="B854" s="462"/>
      <c r="C854" s="671"/>
      <c r="D854" s="462"/>
      <c r="E854" s="654"/>
      <c r="F854" s="650"/>
      <c r="G854" s="654"/>
      <c r="H854" s="654"/>
      <c r="I854" s="650"/>
      <c r="J854" s="650"/>
      <c r="K854" s="655"/>
      <c r="L854" s="655"/>
      <c r="M854" s="655"/>
      <c r="N854" s="655"/>
      <c r="O854" s="655"/>
      <c r="P854" s="655"/>
      <c r="Q854" s="655"/>
      <c r="R854" s="655"/>
      <c r="S854" s="655"/>
      <c r="T854" s="655"/>
      <c r="U854" s="655"/>
      <c r="V854" s="655"/>
      <c r="W854" s="655"/>
      <c r="X854" s="655"/>
      <c r="Y854" s="655"/>
      <c r="Z854" s="655"/>
    </row>
    <row r="855">
      <c r="B855" s="462"/>
      <c r="C855" s="671"/>
      <c r="D855" s="462"/>
      <c r="E855" s="654"/>
      <c r="F855" s="650"/>
      <c r="G855" s="654"/>
      <c r="H855" s="654"/>
      <c r="I855" s="650"/>
      <c r="J855" s="650"/>
      <c r="K855" s="655"/>
      <c r="L855" s="655"/>
      <c r="M855" s="655"/>
      <c r="N855" s="655"/>
      <c r="O855" s="655"/>
      <c r="P855" s="655"/>
      <c r="Q855" s="655"/>
      <c r="R855" s="655"/>
      <c r="S855" s="655"/>
      <c r="T855" s="655"/>
      <c r="U855" s="655"/>
      <c r="V855" s="655"/>
      <c r="W855" s="655"/>
      <c r="X855" s="655"/>
      <c r="Y855" s="655"/>
      <c r="Z855" s="655"/>
    </row>
    <row r="856">
      <c r="B856" s="462"/>
      <c r="C856" s="671"/>
      <c r="D856" s="462"/>
      <c r="E856" s="654"/>
      <c r="F856" s="650"/>
      <c r="G856" s="654"/>
      <c r="H856" s="654"/>
      <c r="I856" s="650"/>
      <c r="J856" s="650"/>
      <c r="K856" s="655"/>
      <c r="L856" s="655"/>
      <c r="M856" s="655"/>
      <c r="N856" s="655"/>
      <c r="O856" s="655"/>
      <c r="P856" s="655"/>
      <c r="Q856" s="655"/>
      <c r="R856" s="655"/>
      <c r="S856" s="655"/>
      <c r="T856" s="655"/>
      <c r="U856" s="655"/>
      <c r="V856" s="655"/>
      <c r="W856" s="655"/>
      <c r="X856" s="655"/>
      <c r="Y856" s="655"/>
      <c r="Z856" s="655"/>
    </row>
    <row r="857">
      <c r="B857" s="462"/>
      <c r="C857" s="671"/>
      <c r="D857" s="462"/>
      <c r="E857" s="654"/>
      <c r="F857" s="650"/>
      <c r="G857" s="654"/>
      <c r="H857" s="654"/>
      <c r="I857" s="650"/>
      <c r="J857" s="650"/>
      <c r="K857" s="655"/>
      <c r="L857" s="655"/>
      <c r="M857" s="655"/>
      <c r="N857" s="655"/>
      <c r="O857" s="655"/>
      <c r="P857" s="655"/>
      <c r="Q857" s="655"/>
      <c r="R857" s="655"/>
      <c r="S857" s="655"/>
      <c r="T857" s="655"/>
      <c r="U857" s="655"/>
      <c r="V857" s="655"/>
      <c r="W857" s="655"/>
      <c r="X857" s="655"/>
      <c r="Y857" s="655"/>
      <c r="Z857" s="655"/>
    </row>
    <row r="858">
      <c r="B858" s="462"/>
      <c r="C858" s="671"/>
      <c r="D858" s="462"/>
      <c r="E858" s="654"/>
      <c r="F858" s="650"/>
      <c r="G858" s="654"/>
      <c r="H858" s="654"/>
      <c r="I858" s="650"/>
      <c r="J858" s="650"/>
      <c r="K858" s="655"/>
      <c r="L858" s="655"/>
      <c r="M858" s="655"/>
      <c r="N858" s="655"/>
      <c r="O858" s="655"/>
      <c r="P858" s="655"/>
      <c r="Q858" s="655"/>
      <c r="R858" s="655"/>
      <c r="S858" s="655"/>
      <c r="T858" s="655"/>
      <c r="U858" s="655"/>
      <c r="V858" s="655"/>
      <c r="W858" s="655"/>
      <c r="X858" s="655"/>
      <c r="Y858" s="655"/>
      <c r="Z858" s="655"/>
    </row>
    <row r="859">
      <c r="B859" s="462"/>
      <c r="C859" s="671"/>
      <c r="D859" s="462"/>
      <c r="E859" s="654"/>
      <c r="F859" s="650"/>
      <c r="G859" s="654"/>
      <c r="H859" s="654"/>
      <c r="I859" s="650"/>
      <c r="J859" s="650"/>
      <c r="K859" s="655"/>
      <c r="L859" s="655"/>
      <c r="M859" s="655"/>
      <c r="N859" s="655"/>
      <c r="O859" s="655"/>
      <c r="P859" s="655"/>
      <c r="Q859" s="655"/>
      <c r="R859" s="655"/>
      <c r="S859" s="655"/>
      <c r="T859" s="655"/>
      <c r="U859" s="655"/>
      <c r="V859" s="655"/>
      <c r="W859" s="655"/>
      <c r="X859" s="655"/>
      <c r="Y859" s="655"/>
      <c r="Z859" s="655"/>
    </row>
    <row r="860">
      <c r="B860" s="462"/>
      <c r="C860" s="671"/>
      <c r="D860" s="462"/>
      <c r="E860" s="654"/>
      <c r="F860" s="650"/>
      <c r="G860" s="654"/>
      <c r="H860" s="654"/>
      <c r="I860" s="650"/>
      <c r="J860" s="650"/>
      <c r="K860" s="655"/>
      <c r="L860" s="655"/>
      <c r="M860" s="655"/>
      <c r="N860" s="655"/>
      <c r="O860" s="655"/>
      <c r="P860" s="655"/>
      <c r="Q860" s="655"/>
      <c r="R860" s="655"/>
      <c r="S860" s="655"/>
      <c r="T860" s="655"/>
      <c r="U860" s="655"/>
      <c r="V860" s="655"/>
      <c r="W860" s="655"/>
      <c r="X860" s="655"/>
      <c r="Y860" s="655"/>
      <c r="Z860" s="655"/>
    </row>
    <row r="861">
      <c r="B861" s="462"/>
      <c r="C861" s="671"/>
      <c r="D861" s="462"/>
      <c r="E861" s="654"/>
      <c r="F861" s="650"/>
      <c r="G861" s="654"/>
      <c r="H861" s="654"/>
      <c r="I861" s="650"/>
      <c r="J861" s="650"/>
      <c r="K861" s="655"/>
      <c r="L861" s="655"/>
      <c r="M861" s="655"/>
      <c r="N861" s="655"/>
      <c r="O861" s="655"/>
      <c r="P861" s="655"/>
      <c r="Q861" s="655"/>
      <c r="R861" s="655"/>
      <c r="S861" s="655"/>
      <c r="T861" s="655"/>
      <c r="U861" s="655"/>
      <c r="V861" s="655"/>
      <c r="W861" s="655"/>
      <c r="X861" s="655"/>
      <c r="Y861" s="655"/>
      <c r="Z861" s="655"/>
    </row>
    <row r="862">
      <c r="B862" s="462"/>
      <c r="C862" s="671"/>
      <c r="D862" s="462"/>
      <c r="E862" s="654"/>
      <c r="F862" s="650"/>
      <c r="G862" s="654"/>
      <c r="H862" s="654"/>
      <c r="I862" s="650"/>
      <c r="J862" s="650"/>
      <c r="K862" s="655"/>
      <c r="L862" s="655"/>
      <c r="M862" s="655"/>
      <c r="N862" s="655"/>
      <c r="O862" s="655"/>
      <c r="P862" s="655"/>
      <c r="Q862" s="655"/>
      <c r="R862" s="655"/>
      <c r="S862" s="655"/>
      <c r="T862" s="655"/>
      <c r="U862" s="655"/>
      <c r="V862" s="655"/>
      <c r="W862" s="655"/>
      <c r="X862" s="655"/>
      <c r="Y862" s="655"/>
      <c r="Z862" s="655"/>
    </row>
    <row r="863">
      <c r="B863" s="462"/>
      <c r="C863" s="671"/>
      <c r="D863" s="462"/>
      <c r="E863" s="654"/>
      <c r="F863" s="650"/>
      <c r="G863" s="654"/>
      <c r="H863" s="654"/>
      <c r="I863" s="650"/>
      <c r="J863" s="650"/>
      <c r="K863" s="655"/>
      <c r="L863" s="655"/>
      <c r="M863" s="655"/>
      <c r="N863" s="655"/>
      <c r="O863" s="655"/>
      <c r="P863" s="655"/>
      <c r="Q863" s="655"/>
      <c r="R863" s="655"/>
      <c r="S863" s="655"/>
      <c r="T863" s="655"/>
      <c r="U863" s="655"/>
      <c r="V863" s="655"/>
      <c r="W863" s="655"/>
      <c r="X863" s="655"/>
      <c r="Y863" s="655"/>
      <c r="Z863" s="655"/>
    </row>
    <row r="864">
      <c r="B864" s="462"/>
      <c r="C864" s="671"/>
      <c r="D864" s="462"/>
      <c r="E864" s="654"/>
      <c r="F864" s="650"/>
      <c r="G864" s="654"/>
      <c r="H864" s="654"/>
      <c r="I864" s="650"/>
      <c r="J864" s="650"/>
      <c r="K864" s="655"/>
      <c r="L864" s="655"/>
      <c r="M864" s="655"/>
      <c r="N864" s="655"/>
      <c r="O864" s="655"/>
      <c r="P864" s="655"/>
      <c r="Q864" s="655"/>
      <c r="R864" s="655"/>
      <c r="S864" s="655"/>
      <c r="T864" s="655"/>
      <c r="U864" s="655"/>
      <c r="V864" s="655"/>
      <c r="W864" s="655"/>
      <c r="X864" s="655"/>
      <c r="Y864" s="655"/>
      <c r="Z864" s="655"/>
    </row>
    <row r="865">
      <c r="B865" s="462"/>
      <c r="C865" s="671"/>
      <c r="D865" s="462"/>
      <c r="E865" s="654"/>
      <c r="F865" s="650"/>
      <c r="G865" s="654"/>
      <c r="H865" s="654"/>
      <c r="I865" s="650"/>
      <c r="J865" s="650"/>
      <c r="K865" s="655"/>
      <c r="L865" s="655"/>
      <c r="M865" s="655"/>
      <c r="N865" s="655"/>
      <c r="O865" s="655"/>
      <c r="P865" s="655"/>
      <c r="Q865" s="655"/>
      <c r="R865" s="655"/>
      <c r="S865" s="655"/>
      <c r="T865" s="655"/>
      <c r="U865" s="655"/>
      <c r="V865" s="655"/>
      <c r="W865" s="655"/>
      <c r="X865" s="655"/>
      <c r="Y865" s="655"/>
      <c r="Z865" s="655"/>
    </row>
    <row r="866">
      <c r="B866" s="462"/>
      <c r="C866" s="671"/>
      <c r="D866" s="462"/>
      <c r="E866" s="654"/>
      <c r="F866" s="650"/>
      <c r="G866" s="654"/>
      <c r="H866" s="654"/>
      <c r="I866" s="650"/>
      <c r="J866" s="650"/>
      <c r="K866" s="655"/>
      <c r="L866" s="655"/>
      <c r="M866" s="655"/>
      <c r="N866" s="655"/>
      <c r="O866" s="655"/>
      <c r="P866" s="655"/>
      <c r="Q866" s="655"/>
      <c r="R866" s="655"/>
      <c r="S866" s="655"/>
      <c r="T866" s="655"/>
      <c r="U866" s="655"/>
      <c r="V866" s="655"/>
      <c r="W866" s="655"/>
      <c r="X866" s="655"/>
      <c r="Y866" s="655"/>
      <c r="Z866" s="655"/>
    </row>
    <row r="867">
      <c r="B867" s="462"/>
      <c r="C867" s="671"/>
      <c r="D867" s="462"/>
      <c r="E867" s="654"/>
      <c r="F867" s="650"/>
      <c r="G867" s="654"/>
      <c r="H867" s="654"/>
      <c r="I867" s="650"/>
      <c r="J867" s="650"/>
      <c r="K867" s="655"/>
      <c r="L867" s="655"/>
      <c r="M867" s="655"/>
      <c r="N867" s="655"/>
      <c r="O867" s="655"/>
      <c r="P867" s="655"/>
      <c r="Q867" s="655"/>
      <c r="R867" s="655"/>
      <c r="S867" s="655"/>
      <c r="T867" s="655"/>
      <c r="U867" s="655"/>
      <c r="V867" s="655"/>
      <c r="W867" s="655"/>
      <c r="X867" s="655"/>
      <c r="Y867" s="655"/>
      <c r="Z867" s="655"/>
    </row>
    <row r="868">
      <c r="B868" s="462"/>
      <c r="C868" s="671"/>
      <c r="D868" s="462"/>
      <c r="E868" s="654"/>
      <c r="F868" s="650"/>
      <c r="G868" s="654"/>
      <c r="H868" s="654"/>
      <c r="I868" s="650"/>
      <c r="J868" s="650"/>
      <c r="K868" s="655"/>
      <c r="L868" s="655"/>
      <c r="M868" s="655"/>
      <c r="N868" s="655"/>
      <c r="O868" s="655"/>
      <c r="P868" s="655"/>
      <c r="Q868" s="655"/>
      <c r="R868" s="655"/>
      <c r="S868" s="655"/>
      <c r="T868" s="655"/>
      <c r="U868" s="655"/>
      <c r="V868" s="655"/>
      <c r="W868" s="655"/>
      <c r="X868" s="655"/>
      <c r="Y868" s="655"/>
      <c r="Z868" s="655"/>
    </row>
    <row r="869">
      <c r="B869" s="462"/>
      <c r="C869" s="671"/>
      <c r="D869" s="462"/>
      <c r="E869" s="654"/>
      <c r="F869" s="650"/>
      <c r="G869" s="654"/>
      <c r="H869" s="654"/>
      <c r="I869" s="650"/>
      <c r="J869" s="650"/>
      <c r="K869" s="655"/>
      <c r="L869" s="655"/>
      <c r="M869" s="655"/>
      <c r="N869" s="655"/>
      <c r="O869" s="655"/>
      <c r="P869" s="655"/>
      <c r="Q869" s="655"/>
      <c r="R869" s="655"/>
      <c r="S869" s="655"/>
      <c r="T869" s="655"/>
      <c r="U869" s="655"/>
      <c r="V869" s="655"/>
      <c r="W869" s="655"/>
      <c r="X869" s="655"/>
      <c r="Y869" s="655"/>
      <c r="Z869" s="655"/>
    </row>
    <row r="870">
      <c r="B870" s="462"/>
      <c r="C870" s="671"/>
      <c r="D870" s="462"/>
      <c r="E870" s="654"/>
      <c r="F870" s="650"/>
      <c r="G870" s="654"/>
      <c r="H870" s="654"/>
      <c r="I870" s="650"/>
      <c r="J870" s="650"/>
      <c r="K870" s="655"/>
      <c r="L870" s="655"/>
      <c r="M870" s="655"/>
      <c r="N870" s="655"/>
      <c r="O870" s="655"/>
      <c r="P870" s="655"/>
      <c r="Q870" s="655"/>
      <c r="R870" s="655"/>
      <c r="S870" s="655"/>
      <c r="T870" s="655"/>
      <c r="U870" s="655"/>
      <c r="V870" s="655"/>
      <c r="W870" s="655"/>
      <c r="X870" s="655"/>
      <c r="Y870" s="655"/>
      <c r="Z870" s="655"/>
    </row>
    <row r="871">
      <c r="B871" s="462"/>
      <c r="C871" s="671"/>
      <c r="D871" s="462"/>
      <c r="E871" s="654"/>
      <c r="F871" s="650"/>
      <c r="G871" s="654"/>
      <c r="H871" s="654"/>
      <c r="I871" s="650"/>
      <c r="J871" s="650"/>
      <c r="K871" s="655"/>
      <c r="L871" s="655"/>
      <c r="M871" s="655"/>
      <c r="N871" s="655"/>
      <c r="O871" s="655"/>
      <c r="P871" s="655"/>
      <c r="Q871" s="655"/>
      <c r="R871" s="655"/>
      <c r="S871" s="655"/>
      <c r="T871" s="655"/>
      <c r="U871" s="655"/>
      <c r="V871" s="655"/>
      <c r="W871" s="655"/>
      <c r="X871" s="655"/>
      <c r="Y871" s="655"/>
      <c r="Z871" s="655"/>
    </row>
    <row r="872">
      <c r="B872" s="462"/>
      <c r="C872" s="671"/>
      <c r="D872" s="462"/>
      <c r="E872" s="654"/>
      <c r="F872" s="650"/>
      <c r="G872" s="654"/>
      <c r="H872" s="654"/>
      <c r="I872" s="650"/>
      <c r="J872" s="650"/>
      <c r="K872" s="655"/>
      <c r="L872" s="655"/>
      <c r="M872" s="655"/>
      <c r="N872" s="655"/>
      <c r="O872" s="655"/>
      <c r="P872" s="655"/>
      <c r="Q872" s="655"/>
      <c r="R872" s="655"/>
      <c r="S872" s="655"/>
      <c r="T872" s="655"/>
      <c r="U872" s="655"/>
      <c r="V872" s="655"/>
      <c r="W872" s="655"/>
      <c r="X872" s="655"/>
      <c r="Y872" s="655"/>
      <c r="Z872" s="655"/>
    </row>
    <row r="873">
      <c r="B873" s="462"/>
      <c r="C873" s="671"/>
      <c r="D873" s="462"/>
      <c r="E873" s="654"/>
      <c r="F873" s="650"/>
      <c r="G873" s="654"/>
      <c r="H873" s="654"/>
      <c r="I873" s="650"/>
      <c r="J873" s="650"/>
      <c r="K873" s="655"/>
      <c r="L873" s="655"/>
      <c r="M873" s="655"/>
      <c r="N873" s="655"/>
      <c r="O873" s="655"/>
      <c r="P873" s="655"/>
      <c r="Q873" s="655"/>
      <c r="R873" s="655"/>
      <c r="S873" s="655"/>
      <c r="T873" s="655"/>
      <c r="U873" s="655"/>
      <c r="V873" s="655"/>
      <c r="W873" s="655"/>
      <c r="X873" s="655"/>
      <c r="Y873" s="655"/>
      <c r="Z873" s="655"/>
    </row>
    <row r="874">
      <c r="B874" s="462"/>
      <c r="C874" s="671"/>
      <c r="D874" s="462"/>
      <c r="E874" s="654"/>
      <c r="F874" s="650"/>
      <c r="G874" s="654"/>
      <c r="H874" s="654"/>
      <c r="I874" s="650"/>
      <c r="J874" s="650"/>
      <c r="K874" s="655"/>
      <c r="L874" s="655"/>
      <c r="M874" s="655"/>
      <c r="N874" s="655"/>
      <c r="O874" s="655"/>
      <c r="P874" s="655"/>
      <c r="Q874" s="655"/>
      <c r="R874" s="655"/>
      <c r="S874" s="655"/>
      <c r="T874" s="655"/>
      <c r="U874" s="655"/>
      <c r="V874" s="655"/>
      <c r="W874" s="655"/>
      <c r="X874" s="655"/>
      <c r="Y874" s="655"/>
      <c r="Z874" s="655"/>
    </row>
    <row r="875">
      <c r="B875" s="462"/>
      <c r="C875" s="671"/>
      <c r="D875" s="462"/>
      <c r="E875" s="654"/>
      <c r="F875" s="650"/>
      <c r="G875" s="654"/>
      <c r="H875" s="654"/>
      <c r="I875" s="650"/>
      <c r="J875" s="650"/>
      <c r="K875" s="655"/>
      <c r="L875" s="655"/>
      <c r="M875" s="655"/>
      <c r="N875" s="655"/>
      <c r="O875" s="655"/>
      <c r="P875" s="655"/>
      <c r="Q875" s="655"/>
      <c r="R875" s="655"/>
      <c r="S875" s="655"/>
      <c r="T875" s="655"/>
      <c r="U875" s="655"/>
      <c r="V875" s="655"/>
      <c r="W875" s="655"/>
      <c r="X875" s="655"/>
      <c r="Y875" s="655"/>
      <c r="Z875" s="655"/>
    </row>
    <row r="876">
      <c r="B876" s="462"/>
      <c r="C876" s="671"/>
      <c r="D876" s="462"/>
      <c r="E876" s="654"/>
      <c r="F876" s="650"/>
      <c r="G876" s="654"/>
      <c r="H876" s="654"/>
      <c r="I876" s="650"/>
      <c r="J876" s="650"/>
      <c r="K876" s="655"/>
      <c r="L876" s="655"/>
      <c r="M876" s="655"/>
      <c r="N876" s="655"/>
      <c r="O876" s="655"/>
      <c r="P876" s="655"/>
      <c r="Q876" s="655"/>
      <c r="R876" s="655"/>
      <c r="S876" s="655"/>
      <c r="T876" s="655"/>
      <c r="U876" s="655"/>
      <c r="V876" s="655"/>
      <c r="W876" s="655"/>
      <c r="X876" s="655"/>
      <c r="Y876" s="655"/>
      <c r="Z876" s="655"/>
    </row>
    <row r="877">
      <c r="B877" s="462"/>
      <c r="C877" s="671"/>
      <c r="D877" s="462"/>
      <c r="E877" s="654"/>
      <c r="F877" s="650"/>
      <c r="G877" s="654"/>
      <c r="H877" s="654"/>
      <c r="I877" s="650"/>
      <c r="J877" s="650"/>
      <c r="K877" s="655"/>
      <c r="L877" s="655"/>
      <c r="M877" s="655"/>
      <c r="N877" s="655"/>
      <c r="O877" s="655"/>
      <c r="P877" s="655"/>
      <c r="Q877" s="655"/>
      <c r="R877" s="655"/>
      <c r="S877" s="655"/>
      <c r="T877" s="655"/>
      <c r="U877" s="655"/>
      <c r="V877" s="655"/>
      <c r="W877" s="655"/>
      <c r="X877" s="655"/>
      <c r="Y877" s="655"/>
      <c r="Z877" s="655"/>
    </row>
    <row r="878">
      <c r="B878" s="462"/>
      <c r="C878" s="671"/>
      <c r="D878" s="462"/>
      <c r="E878" s="654"/>
      <c r="F878" s="650"/>
      <c r="G878" s="654"/>
      <c r="H878" s="654"/>
      <c r="I878" s="650"/>
      <c r="J878" s="650"/>
      <c r="K878" s="655"/>
      <c r="L878" s="655"/>
      <c r="M878" s="655"/>
      <c r="N878" s="655"/>
      <c r="O878" s="655"/>
      <c r="P878" s="655"/>
      <c r="Q878" s="655"/>
      <c r="R878" s="655"/>
      <c r="S878" s="655"/>
      <c r="T878" s="655"/>
      <c r="U878" s="655"/>
      <c r="V878" s="655"/>
      <c r="W878" s="655"/>
      <c r="X878" s="655"/>
      <c r="Y878" s="655"/>
      <c r="Z878" s="655"/>
    </row>
    <row r="879">
      <c r="B879" s="462"/>
      <c r="C879" s="671"/>
      <c r="D879" s="462"/>
      <c r="E879" s="654"/>
      <c r="F879" s="650"/>
      <c r="G879" s="654"/>
      <c r="H879" s="654"/>
      <c r="I879" s="650"/>
      <c r="J879" s="650"/>
      <c r="K879" s="655"/>
      <c r="L879" s="655"/>
      <c r="M879" s="655"/>
      <c r="N879" s="655"/>
      <c r="O879" s="655"/>
      <c r="P879" s="655"/>
      <c r="Q879" s="655"/>
      <c r="R879" s="655"/>
      <c r="S879" s="655"/>
      <c r="T879" s="655"/>
      <c r="U879" s="655"/>
      <c r="V879" s="655"/>
      <c r="W879" s="655"/>
      <c r="X879" s="655"/>
      <c r="Y879" s="655"/>
      <c r="Z879" s="655"/>
    </row>
    <row r="880">
      <c r="B880" s="462"/>
      <c r="C880" s="671"/>
      <c r="D880" s="462"/>
      <c r="E880" s="654"/>
      <c r="F880" s="650"/>
      <c r="G880" s="654"/>
      <c r="H880" s="654"/>
      <c r="I880" s="650"/>
      <c r="J880" s="650"/>
      <c r="K880" s="655"/>
      <c r="L880" s="655"/>
      <c r="M880" s="655"/>
      <c r="N880" s="655"/>
      <c r="O880" s="655"/>
      <c r="P880" s="655"/>
      <c r="Q880" s="655"/>
      <c r="R880" s="655"/>
      <c r="S880" s="655"/>
      <c r="T880" s="655"/>
      <c r="U880" s="655"/>
      <c r="V880" s="655"/>
      <c r="W880" s="655"/>
      <c r="X880" s="655"/>
      <c r="Y880" s="655"/>
      <c r="Z880" s="655"/>
    </row>
    <row r="881">
      <c r="B881" s="462"/>
      <c r="C881" s="671"/>
      <c r="D881" s="462"/>
      <c r="E881" s="654"/>
      <c r="F881" s="650"/>
      <c r="G881" s="654"/>
      <c r="H881" s="654"/>
      <c r="I881" s="650"/>
      <c r="J881" s="650"/>
      <c r="K881" s="655"/>
      <c r="L881" s="655"/>
      <c r="M881" s="655"/>
      <c r="N881" s="655"/>
      <c r="O881" s="655"/>
      <c r="P881" s="655"/>
      <c r="Q881" s="655"/>
      <c r="R881" s="655"/>
      <c r="S881" s="655"/>
      <c r="T881" s="655"/>
      <c r="U881" s="655"/>
      <c r="V881" s="655"/>
      <c r="W881" s="655"/>
      <c r="X881" s="655"/>
      <c r="Y881" s="655"/>
      <c r="Z881" s="655"/>
    </row>
    <row r="882">
      <c r="B882" s="462"/>
      <c r="C882" s="671"/>
      <c r="D882" s="462"/>
      <c r="E882" s="654"/>
      <c r="F882" s="650"/>
      <c r="G882" s="654"/>
      <c r="H882" s="654"/>
      <c r="I882" s="650"/>
      <c r="J882" s="650"/>
      <c r="K882" s="655"/>
      <c r="L882" s="655"/>
      <c r="M882" s="655"/>
      <c r="N882" s="655"/>
      <c r="O882" s="655"/>
      <c r="P882" s="655"/>
      <c r="Q882" s="655"/>
      <c r="R882" s="655"/>
      <c r="S882" s="655"/>
      <c r="T882" s="655"/>
      <c r="U882" s="655"/>
      <c r="V882" s="655"/>
      <c r="W882" s="655"/>
      <c r="X882" s="655"/>
      <c r="Y882" s="655"/>
      <c r="Z882" s="655"/>
    </row>
    <row r="883">
      <c r="B883" s="462"/>
      <c r="C883" s="671"/>
      <c r="D883" s="462"/>
      <c r="E883" s="654"/>
      <c r="F883" s="650"/>
      <c r="G883" s="654"/>
      <c r="H883" s="654"/>
      <c r="I883" s="650"/>
      <c r="J883" s="650"/>
      <c r="K883" s="655"/>
      <c r="L883" s="655"/>
      <c r="M883" s="655"/>
      <c r="N883" s="655"/>
      <c r="O883" s="655"/>
      <c r="P883" s="655"/>
      <c r="Q883" s="655"/>
      <c r="R883" s="655"/>
      <c r="S883" s="655"/>
      <c r="T883" s="655"/>
      <c r="U883" s="655"/>
      <c r="V883" s="655"/>
      <c r="W883" s="655"/>
      <c r="X883" s="655"/>
      <c r="Y883" s="655"/>
      <c r="Z883" s="655"/>
    </row>
    <row r="884">
      <c r="B884" s="462"/>
      <c r="C884" s="671"/>
      <c r="D884" s="462"/>
      <c r="E884" s="654"/>
      <c r="F884" s="650"/>
      <c r="G884" s="654"/>
      <c r="H884" s="654"/>
      <c r="I884" s="650"/>
      <c r="J884" s="650"/>
      <c r="K884" s="655"/>
      <c r="L884" s="655"/>
      <c r="M884" s="655"/>
      <c r="N884" s="655"/>
      <c r="O884" s="655"/>
      <c r="P884" s="655"/>
      <c r="Q884" s="655"/>
      <c r="R884" s="655"/>
      <c r="S884" s="655"/>
      <c r="T884" s="655"/>
      <c r="U884" s="655"/>
      <c r="V884" s="655"/>
      <c r="W884" s="655"/>
      <c r="X884" s="655"/>
      <c r="Y884" s="655"/>
      <c r="Z884" s="655"/>
    </row>
    <row r="885">
      <c r="B885" s="462"/>
      <c r="C885" s="671"/>
      <c r="D885" s="462"/>
      <c r="E885" s="654"/>
      <c r="F885" s="650"/>
      <c r="G885" s="654"/>
      <c r="H885" s="654"/>
      <c r="I885" s="650"/>
      <c r="J885" s="650"/>
      <c r="K885" s="655"/>
      <c r="L885" s="655"/>
      <c r="M885" s="655"/>
      <c r="N885" s="655"/>
      <c r="O885" s="655"/>
      <c r="P885" s="655"/>
      <c r="Q885" s="655"/>
      <c r="R885" s="655"/>
      <c r="S885" s="655"/>
      <c r="T885" s="655"/>
      <c r="U885" s="655"/>
      <c r="V885" s="655"/>
      <c r="W885" s="655"/>
      <c r="X885" s="655"/>
      <c r="Y885" s="655"/>
      <c r="Z885" s="655"/>
    </row>
    <row r="886">
      <c r="B886" s="462"/>
      <c r="C886" s="671"/>
      <c r="D886" s="462"/>
      <c r="E886" s="654"/>
      <c r="F886" s="650"/>
      <c r="G886" s="654"/>
      <c r="H886" s="654"/>
      <c r="I886" s="650"/>
      <c r="J886" s="650"/>
      <c r="K886" s="655"/>
      <c r="L886" s="655"/>
      <c r="M886" s="655"/>
      <c r="N886" s="655"/>
      <c r="O886" s="655"/>
      <c r="P886" s="655"/>
      <c r="Q886" s="655"/>
      <c r="R886" s="655"/>
      <c r="S886" s="655"/>
      <c r="T886" s="655"/>
      <c r="U886" s="655"/>
      <c r="V886" s="655"/>
      <c r="W886" s="655"/>
      <c r="X886" s="655"/>
      <c r="Y886" s="655"/>
      <c r="Z886" s="655"/>
    </row>
    <row r="887">
      <c r="B887" s="462"/>
      <c r="C887" s="671"/>
      <c r="D887" s="462"/>
      <c r="E887" s="654"/>
      <c r="F887" s="650"/>
      <c r="G887" s="654"/>
      <c r="H887" s="654"/>
      <c r="I887" s="650"/>
      <c r="J887" s="650"/>
      <c r="K887" s="655"/>
      <c r="L887" s="655"/>
      <c r="M887" s="655"/>
      <c r="N887" s="655"/>
      <c r="O887" s="655"/>
      <c r="P887" s="655"/>
      <c r="Q887" s="655"/>
      <c r="R887" s="655"/>
      <c r="S887" s="655"/>
      <c r="T887" s="655"/>
      <c r="U887" s="655"/>
      <c r="V887" s="655"/>
      <c r="W887" s="655"/>
      <c r="X887" s="655"/>
      <c r="Y887" s="655"/>
      <c r="Z887" s="655"/>
    </row>
    <row r="888">
      <c r="B888" s="462"/>
      <c r="C888" s="671"/>
      <c r="D888" s="462"/>
      <c r="E888" s="654"/>
      <c r="F888" s="650"/>
      <c r="G888" s="654"/>
      <c r="H888" s="654"/>
      <c r="I888" s="650"/>
      <c r="J888" s="650"/>
      <c r="K888" s="655"/>
      <c r="L888" s="655"/>
      <c r="M888" s="655"/>
      <c r="N888" s="655"/>
      <c r="O888" s="655"/>
      <c r="P888" s="655"/>
      <c r="Q888" s="655"/>
      <c r="R888" s="655"/>
      <c r="S888" s="655"/>
      <c r="T888" s="655"/>
      <c r="U888" s="655"/>
      <c r="V888" s="655"/>
      <c r="W888" s="655"/>
      <c r="X888" s="655"/>
      <c r="Y888" s="655"/>
      <c r="Z888" s="655"/>
    </row>
    <row r="889">
      <c r="B889" s="462"/>
      <c r="C889" s="671"/>
      <c r="D889" s="462"/>
      <c r="E889" s="654"/>
      <c r="F889" s="650"/>
      <c r="G889" s="654"/>
      <c r="H889" s="654"/>
      <c r="I889" s="650"/>
      <c r="J889" s="650"/>
      <c r="K889" s="655"/>
      <c r="L889" s="655"/>
      <c r="M889" s="655"/>
      <c r="N889" s="655"/>
      <c r="O889" s="655"/>
      <c r="P889" s="655"/>
      <c r="Q889" s="655"/>
      <c r="R889" s="655"/>
      <c r="S889" s="655"/>
      <c r="T889" s="655"/>
      <c r="U889" s="655"/>
      <c r="V889" s="655"/>
      <c r="W889" s="655"/>
      <c r="X889" s="655"/>
      <c r="Y889" s="655"/>
      <c r="Z889" s="655"/>
    </row>
    <row r="890">
      <c r="B890" s="462"/>
      <c r="C890" s="671"/>
      <c r="D890" s="462"/>
      <c r="E890" s="654"/>
      <c r="F890" s="650"/>
      <c r="G890" s="654"/>
      <c r="H890" s="654"/>
      <c r="I890" s="650"/>
      <c r="J890" s="650"/>
      <c r="K890" s="655"/>
      <c r="L890" s="655"/>
      <c r="M890" s="655"/>
      <c r="N890" s="655"/>
      <c r="O890" s="655"/>
      <c r="P890" s="655"/>
      <c r="Q890" s="655"/>
      <c r="R890" s="655"/>
      <c r="S890" s="655"/>
      <c r="T890" s="655"/>
      <c r="U890" s="655"/>
      <c r="V890" s="655"/>
      <c r="W890" s="655"/>
      <c r="X890" s="655"/>
      <c r="Y890" s="655"/>
      <c r="Z890" s="655"/>
    </row>
    <row r="891">
      <c r="B891" s="462"/>
      <c r="C891" s="671"/>
      <c r="D891" s="462"/>
      <c r="E891" s="654"/>
      <c r="F891" s="650"/>
      <c r="G891" s="654"/>
      <c r="H891" s="654"/>
      <c r="I891" s="650"/>
      <c r="J891" s="650"/>
      <c r="K891" s="655"/>
      <c r="L891" s="655"/>
      <c r="M891" s="655"/>
      <c r="N891" s="655"/>
      <c r="O891" s="655"/>
      <c r="P891" s="655"/>
      <c r="Q891" s="655"/>
      <c r="R891" s="655"/>
      <c r="S891" s="655"/>
      <c r="T891" s="655"/>
      <c r="U891" s="655"/>
      <c r="V891" s="655"/>
      <c r="W891" s="655"/>
      <c r="X891" s="655"/>
      <c r="Y891" s="655"/>
      <c r="Z891" s="655"/>
    </row>
    <row r="892">
      <c r="B892" s="462"/>
      <c r="C892" s="671"/>
      <c r="D892" s="462"/>
      <c r="E892" s="654"/>
      <c r="F892" s="650"/>
      <c r="G892" s="654"/>
      <c r="H892" s="654"/>
      <c r="I892" s="650"/>
      <c r="J892" s="650"/>
      <c r="K892" s="655"/>
      <c r="L892" s="655"/>
      <c r="M892" s="655"/>
      <c r="N892" s="655"/>
      <c r="O892" s="655"/>
      <c r="P892" s="655"/>
      <c r="Q892" s="655"/>
      <c r="R892" s="655"/>
      <c r="S892" s="655"/>
      <c r="T892" s="655"/>
      <c r="U892" s="655"/>
      <c r="V892" s="655"/>
      <c r="W892" s="655"/>
      <c r="X892" s="655"/>
      <c r="Y892" s="655"/>
      <c r="Z892" s="655"/>
    </row>
    <row r="893">
      <c r="B893" s="462"/>
      <c r="C893" s="671"/>
      <c r="D893" s="462"/>
      <c r="E893" s="654"/>
      <c r="F893" s="650"/>
      <c r="G893" s="654"/>
      <c r="H893" s="654"/>
      <c r="I893" s="650"/>
      <c r="J893" s="650"/>
      <c r="K893" s="655"/>
      <c r="L893" s="655"/>
      <c r="M893" s="655"/>
      <c r="N893" s="655"/>
      <c r="O893" s="655"/>
      <c r="P893" s="655"/>
      <c r="Q893" s="655"/>
      <c r="R893" s="655"/>
      <c r="S893" s="655"/>
      <c r="T893" s="655"/>
      <c r="U893" s="655"/>
      <c r="V893" s="655"/>
      <c r="W893" s="655"/>
      <c r="X893" s="655"/>
      <c r="Y893" s="655"/>
      <c r="Z893" s="655"/>
    </row>
    <row r="894">
      <c r="B894" s="462"/>
      <c r="C894" s="671"/>
      <c r="D894" s="462"/>
      <c r="E894" s="654"/>
      <c r="F894" s="650"/>
      <c r="G894" s="654"/>
      <c r="H894" s="654"/>
      <c r="I894" s="650"/>
      <c r="J894" s="650"/>
      <c r="K894" s="655"/>
      <c r="L894" s="655"/>
      <c r="M894" s="655"/>
      <c r="N894" s="655"/>
      <c r="O894" s="655"/>
      <c r="P894" s="655"/>
      <c r="Q894" s="655"/>
      <c r="R894" s="655"/>
      <c r="S894" s="655"/>
      <c r="T894" s="655"/>
      <c r="U894" s="655"/>
      <c r="V894" s="655"/>
      <c r="W894" s="655"/>
      <c r="X894" s="655"/>
      <c r="Y894" s="655"/>
      <c r="Z894" s="655"/>
    </row>
    <row r="895">
      <c r="B895" s="462"/>
      <c r="C895" s="671"/>
      <c r="D895" s="462"/>
      <c r="E895" s="654"/>
      <c r="F895" s="650"/>
      <c r="G895" s="654"/>
      <c r="H895" s="654"/>
      <c r="I895" s="650"/>
      <c r="J895" s="650"/>
      <c r="K895" s="655"/>
      <c r="L895" s="655"/>
      <c r="M895" s="655"/>
      <c r="N895" s="655"/>
      <c r="O895" s="655"/>
      <c r="P895" s="655"/>
      <c r="Q895" s="655"/>
      <c r="R895" s="655"/>
      <c r="S895" s="655"/>
      <c r="T895" s="655"/>
      <c r="U895" s="655"/>
      <c r="V895" s="655"/>
      <c r="W895" s="655"/>
      <c r="X895" s="655"/>
      <c r="Y895" s="655"/>
      <c r="Z895" s="655"/>
    </row>
    <row r="896">
      <c r="B896" s="462"/>
      <c r="C896" s="671"/>
      <c r="D896" s="462"/>
      <c r="E896" s="654"/>
      <c r="F896" s="650"/>
      <c r="G896" s="654"/>
      <c r="H896" s="654"/>
      <c r="I896" s="650"/>
      <c r="J896" s="650"/>
      <c r="K896" s="655"/>
      <c r="L896" s="655"/>
      <c r="M896" s="655"/>
      <c r="N896" s="655"/>
      <c r="O896" s="655"/>
      <c r="P896" s="655"/>
      <c r="Q896" s="655"/>
      <c r="R896" s="655"/>
      <c r="S896" s="655"/>
      <c r="T896" s="655"/>
      <c r="U896" s="655"/>
      <c r="V896" s="655"/>
      <c r="W896" s="655"/>
      <c r="X896" s="655"/>
      <c r="Y896" s="655"/>
      <c r="Z896" s="655"/>
    </row>
    <row r="897">
      <c r="B897" s="462"/>
      <c r="C897" s="671"/>
      <c r="D897" s="462"/>
      <c r="E897" s="654"/>
      <c r="F897" s="650"/>
      <c r="G897" s="654"/>
      <c r="H897" s="654"/>
      <c r="I897" s="650"/>
      <c r="J897" s="650"/>
      <c r="K897" s="655"/>
      <c r="L897" s="655"/>
      <c r="M897" s="655"/>
      <c r="N897" s="655"/>
      <c r="O897" s="655"/>
      <c r="P897" s="655"/>
      <c r="Q897" s="655"/>
      <c r="R897" s="655"/>
      <c r="S897" s="655"/>
      <c r="T897" s="655"/>
      <c r="U897" s="655"/>
      <c r="V897" s="655"/>
      <c r="W897" s="655"/>
      <c r="X897" s="655"/>
      <c r="Y897" s="655"/>
      <c r="Z897" s="655"/>
    </row>
    <row r="898">
      <c r="B898" s="462"/>
      <c r="C898" s="671"/>
      <c r="D898" s="462"/>
      <c r="E898" s="654"/>
      <c r="F898" s="650"/>
      <c r="G898" s="654"/>
      <c r="H898" s="654"/>
      <c r="I898" s="650"/>
      <c r="J898" s="650"/>
      <c r="K898" s="655"/>
      <c r="L898" s="655"/>
      <c r="M898" s="655"/>
      <c r="N898" s="655"/>
      <c r="O898" s="655"/>
      <c r="P898" s="655"/>
      <c r="Q898" s="655"/>
      <c r="R898" s="655"/>
      <c r="S898" s="655"/>
      <c r="T898" s="655"/>
      <c r="U898" s="655"/>
      <c r="V898" s="655"/>
      <c r="W898" s="655"/>
      <c r="X898" s="655"/>
      <c r="Y898" s="655"/>
      <c r="Z898" s="655"/>
    </row>
    <row r="899">
      <c r="B899" s="462"/>
      <c r="C899" s="671"/>
      <c r="D899" s="462"/>
      <c r="E899" s="654"/>
      <c r="F899" s="650"/>
      <c r="G899" s="654"/>
      <c r="H899" s="654"/>
      <c r="I899" s="650"/>
      <c r="J899" s="650"/>
      <c r="K899" s="655"/>
      <c r="L899" s="655"/>
      <c r="M899" s="655"/>
      <c r="N899" s="655"/>
      <c r="O899" s="655"/>
      <c r="P899" s="655"/>
      <c r="Q899" s="655"/>
      <c r="R899" s="655"/>
      <c r="S899" s="655"/>
      <c r="T899" s="655"/>
      <c r="U899" s="655"/>
      <c r="V899" s="655"/>
      <c r="W899" s="655"/>
      <c r="X899" s="655"/>
      <c r="Y899" s="655"/>
      <c r="Z899" s="655"/>
    </row>
    <row r="900">
      <c r="B900" s="462"/>
      <c r="C900" s="671"/>
      <c r="D900" s="462"/>
      <c r="E900" s="654"/>
      <c r="F900" s="650"/>
      <c r="G900" s="654"/>
      <c r="H900" s="654"/>
      <c r="I900" s="650"/>
      <c r="J900" s="650"/>
      <c r="K900" s="655"/>
      <c r="L900" s="655"/>
      <c r="M900" s="655"/>
      <c r="N900" s="655"/>
      <c r="O900" s="655"/>
      <c r="P900" s="655"/>
      <c r="Q900" s="655"/>
      <c r="R900" s="655"/>
      <c r="S900" s="655"/>
      <c r="T900" s="655"/>
      <c r="U900" s="655"/>
      <c r="V900" s="655"/>
      <c r="W900" s="655"/>
      <c r="X900" s="655"/>
      <c r="Y900" s="655"/>
      <c r="Z900" s="655"/>
    </row>
    <row r="901">
      <c r="B901" s="462"/>
      <c r="C901" s="671"/>
      <c r="D901" s="462"/>
      <c r="E901" s="654"/>
      <c r="F901" s="650"/>
      <c r="G901" s="654"/>
      <c r="H901" s="654"/>
      <c r="I901" s="650"/>
      <c r="J901" s="650"/>
      <c r="K901" s="655"/>
      <c r="L901" s="655"/>
      <c r="M901" s="655"/>
      <c r="N901" s="655"/>
      <c r="O901" s="655"/>
      <c r="P901" s="655"/>
      <c r="Q901" s="655"/>
      <c r="R901" s="655"/>
      <c r="S901" s="655"/>
      <c r="T901" s="655"/>
      <c r="U901" s="655"/>
      <c r="V901" s="655"/>
      <c r="W901" s="655"/>
      <c r="X901" s="655"/>
      <c r="Y901" s="655"/>
      <c r="Z901" s="655"/>
    </row>
    <row r="902">
      <c r="B902" s="462"/>
      <c r="C902" s="671"/>
      <c r="D902" s="462"/>
      <c r="E902" s="654"/>
      <c r="F902" s="650"/>
      <c r="G902" s="654"/>
      <c r="H902" s="654"/>
      <c r="I902" s="650"/>
      <c r="J902" s="650"/>
      <c r="K902" s="655"/>
      <c r="L902" s="655"/>
      <c r="M902" s="655"/>
      <c r="N902" s="655"/>
      <c r="O902" s="655"/>
      <c r="P902" s="655"/>
      <c r="Q902" s="655"/>
      <c r="R902" s="655"/>
      <c r="S902" s="655"/>
      <c r="T902" s="655"/>
      <c r="U902" s="655"/>
      <c r="V902" s="655"/>
      <c r="W902" s="655"/>
      <c r="X902" s="655"/>
      <c r="Y902" s="655"/>
      <c r="Z902" s="655"/>
    </row>
    <row r="903">
      <c r="B903" s="462"/>
      <c r="C903" s="671"/>
      <c r="D903" s="462"/>
      <c r="E903" s="654"/>
      <c r="F903" s="650"/>
      <c r="G903" s="654"/>
      <c r="H903" s="654"/>
      <c r="I903" s="650"/>
      <c r="J903" s="650"/>
      <c r="K903" s="655"/>
      <c r="L903" s="655"/>
      <c r="M903" s="655"/>
      <c r="N903" s="655"/>
      <c r="O903" s="655"/>
      <c r="P903" s="655"/>
      <c r="Q903" s="655"/>
      <c r="R903" s="655"/>
      <c r="S903" s="655"/>
      <c r="T903" s="655"/>
      <c r="U903" s="655"/>
      <c r="V903" s="655"/>
      <c r="W903" s="655"/>
      <c r="X903" s="655"/>
      <c r="Y903" s="655"/>
      <c r="Z903" s="655"/>
    </row>
    <row r="904">
      <c r="B904" s="462"/>
      <c r="C904" s="671"/>
      <c r="D904" s="462"/>
      <c r="E904" s="654"/>
      <c r="F904" s="650"/>
      <c r="G904" s="654"/>
      <c r="H904" s="654"/>
      <c r="I904" s="650"/>
      <c r="J904" s="650"/>
      <c r="K904" s="655"/>
      <c r="L904" s="655"/>
      <c r="M904" s="655"/>
      <c r="N904" s="655"/>
      <c r="O904" s="655"/>
      <c r="P904" s="655"/>
      <c r="Q904" s="655"/>
      <c r="R904" s="655"/>
      <c r="S904" s="655"/>
      <c r="T904" s="655"/>
      <c r="U904" s="655"/>
      <c r="V904" s="655"/>
      <c r="W904" s="655"/>
      <c r="X904" s="655"/>
      <c r="Y904" s="655"/>
      <c r="Z904" s="655"/>
    </row>
    <row r="905">
      <c r="B905" s="462"/>
      <c r="C905" s="671"/>
      <c r="D905" s="462"/>
      <c r="E905" s="654"/>
      <c r="F905" s="650"/>
      <c r="G905" s="654"/>
      <c r="H905" s="654"/>
      <c r="I905" s="650"/>
      <c r="J905" s="650"/>
      <c r="K905" s="655"/>
      <c r="L905" s="655"/>
      <c r="M905" s="655"/>
      <c r="N905" s="655"/>
      <c r="O905" s="655"/>
      <c r="P905" s="655"/>
      <c r="Q905" s="655"/>
      <c r="R905" s="655"/>
      <c r="S905" s="655"/>
      <c r="T905" s="655"/>
      <c r="U905" s="655"/>
      <c r="V905" s="655"/>
      <c r="W905" s="655"/>
      <c r="X905" s="655"/>
      <c r="Y905" s="655"/>
      <c r="Z905" s="655"/>
    </row>
    <row r="906">
      <c r="B906" s="462"/>
      <c r="C906" s="671"/>
      <c r="D906" s="462"/>
      <c r="E906" s="654"/>
      <c r="F906" s="650"/>
      <c r="G906" s="654"/>
      <c r="H906" s="654"/>
      <c r="I906" s="650"/>
      <c r="J906" s="650"/>
      <c r="K906" s="655"/>
      <c r="L906" s="655"/>
      <c r="M906" s="655"/>
      <c r="N906" s="655"/>
      <c r="O906" s="655"/>
      <c r="P906" s="655"/>
      <c r="Q906" s="655"/>
      <c r="R906" s="655"/>
      <c r="S906" s="655"/>
      <c r="T906" s="655"/>
      <c r="U906" s="655"/>
      <c r="V906" s="655"/>
      <c r="W906" s="655"/>
      <c r="X906" s="655"/>
      <c r="Y906" s="655"/>
      <c r="Z906" s="655"/>
    </row>
    <row r="907">
      <c r="B907" s="462"/>
      <c r="C907" s="671"/>
      <c r="D907" s="462"/>
      <c r="E907" s="654"/>
      <c r="F907" s="650"/>
      <c r="G907" s="654"/>
      <c r="H907" s="654"/>
      <c r="I907" s="650"/>
      <c r="J907" s="650"/>
      <c r="K907" s="655"/>
      <c r="L907" s="655"/>
      <c r="M907" s="655"/>
      <c r="N907" s="655"/>
      <c r="O907" s="655"/>
      <c r="P907" s="655"/>
      <c r="Q907" s="655"/>
      <c r="R907" s="655"/>
      <c r="S907" s="655"/>
      <c r="T907" s="655"/>
      <c r="U907" s="655"/>
      <c r="V907" s="655"/>
      <c r="W907" s="655"/>
      <c r="X907" s="655"/>
      <c r="Y907" s="655"/>
      <c r="Z907" s="655"/>
    </row>
    <row r="908">
      <c r="B908" s="462"/>
      <c r="C908" s="671"/>
      <c r="D908" s="462"/>
      <c r="E908" s="654"/>
      <c r="F908" s="650"/>
      <c r="G908" s="654"/>
      <c r="H908" s="654"/>
      <c r="I908" s="650"/>
      <c r="J908" s="650"/>
      <c r="K908" s="655"/>
      <c r="L908" s="655"/>
      <c r="M908" s="655"/>
      <c r="N908" s="655"/>
      <c r="O908" s="655"/>
      <c r="P908" s="655"/>
      <c r="Q908" s="655"/>
      <c r="R908" s="655"/>
      <c r="S908" s="655"/>
      <c r="T908" s="655"/>
      <c r="U908" s="655"/>
      <c r="V908" s="655"/>
      <c r="W908" s="655"/>
      <c r="X908" s="655"/>
      <c r="Y908" s="655"/>
      <c r="Z908" s="655"/>
    </row>
    <row r="909">
      <c r="B909" s="462"/>
      <c r="C909" s="671"/>
      <c r="D909" s="462"/>
      <c r="E909" s="654"/>
      <c r="F909" s="650"/>
      <c r="G909" s="654"/>
      <c r="H909" s="654"/>
      <c r="I909" s="650"/>
      <c r="J909" s="650"/>
      <c r="K909" s="655"/>
      <c r="L909" s="655"/>
      <c r="M909" s="655"/>
      <c r="N909" s="655"/>
      <c r="O909" s="655"/>
      <c r="P909" s="655"/>
      <c r="Q909" s="655"/>
      <c r="R909" s="655"/>
      <c r="S909" s="655"/>
      <c r="T909" s="655"/>
      <c r="U909" s="655"/>
      <c r="V909" s="655"/>
      <c r="W909" s="655"/>
      <c r="X909" s="655"/>
      <c r="Y909" s="655"/>
      <c r="Z909" s="655"/>
    </row>
    <row r="910">
      <c r="B910" s="462"/>
      <c r="C910" s="671"/>
      <c r="D910" s="462"/>
      <c r="E910" s="654"/>
      <c r="F910" s="650"/>
      <c r="G910" s="654"/>
      <c r="H910" s="654"/>
      <c r="I910" s="650"/>
      <c r="J910" s="650"/>
      <c r="K910" s="655"/>
      <c r="L910" s="655"/>
      <c r="M910" s="655"/>
      <c r="N910" s="655"/>
      <c r="O910" s="655"/>
      <c r="P910" s="655"/>
      <c r="Q910" s="655"/>
      <c r="R910" s="655"/>
      <c r="S910" s="655"/>
      <c r="T910" s="655"/>
      <c r="U910" s="655"/>
      <c r="V910" s="655"/>
      <c r="W910" s="655"/>
      <c r="X910" s="655"/>
      <c r="Y910" s="655"/>
      <c r="Z910" s="655"/>
    </row>
    <row r="911">
      <c r="B911" s="462"/>
      <c r="C911" s="671"/>
      <c r="D911" s="462"/>
      <c r="E911" s="654"/>
      <c r="F911" s="650"/>
      <c r="G911" s="654"/>
      <c r="H911" s="654"/>
      <c r="I911" s="650"/>
      <c r="J911" s="650"/>
      <c r="K911" s="655"/>
      <c r="L911" s="655"/>
      <c r="M911" s="655"/>
      <c r="N911" s="655"/>
      <c r="O911" s="655"/>
      <c r="P911" s="655"/>
      <c r="Q911" s="655"/>
      <c r="R911" s="655"/>
      <c r="S911" s="655"/>
      <c r="T911" s="655"/>
      <c r="U911" s="655"/>
      <c r="V911" s="655"/>
      <c r="W911" s="655"/>
      <c r="X911" s="655"/>
      <c r="Y911" s="655"/>
      <c r="Z911" s="655"/>
    </row>
    <row r="912">
      <c r="B912" s="462"/>
      <c r="C912" s="671"/>
      <c r="D912" s="462"/>
      <c r="E912" s="654"/>
      <c r="F912" s="650"/>
      <c r="G912" s="654"/>
      <c r="H912" s="654"/>
      <c r="I912" s="650"/>
      <c r="J912" s="650"/>
      <c r="K912" s="655"/>
      <c r="L912" s="655"/>
      <c r="M912" s="655"/>
      <c r="N912" s="655"/>
      <c r="O912" s="655"/>
      <c r="P912" s="655"/>
      <c r="Q912" s="655"/>
      <c r="R912" s="655"/>
      <c r="S912" s="655"/>
      <c r="T912" s="655"/>
      <c r="U912" s="655"/>
      <c r="V912" s="655"/>
      <c r="W912" s="655"/>
      <c r="X912" s="655"/>
      <c r="Y912" s="655"/>
      <c r="Z912" s="655"/>
    </row>
    <row r="913">
      <c r="B913" s="462"/>
      <c r="C913" s="671"/>
      <c r="D913" s="462"/>
      <c r="E913" s="654"/>
      <c r="F913" s="650"/>
      <c r="G913" s="654"/>
      <c r="H913" s="654"/>
      <c r="I913" s="650"/>
      <c r="J913" s="650"/>
      <c r="K913" s="655"/>
      <c r="L913" s="655"/>
      <c r="M913" s="655"/>
      <c r="N913" s="655"/>
      <c r="O913" s="655"/>
      <c r="P913" s="655"/>
      <c r="Q913" s="655"/>
      <c r="R913" s="655"/>
      <c r="S913" s="655"/>
      <c r="T913" s="655"/>
      <c r="U913" s="655"/>
      <c r="V913" s="655"/>
      <c r="W913" s="655"/>
      <c r="X913" s="655"/>
      <c r="Y913" s="655"/>
      <c r="Z913" s="655"/>
    </row>
    <row r="914">
      <c r="B914" s="462"/>
      <c r="C914" s="671"/>
      <c r="D914" s="462"/>
      <c r="E914" s="654"/>
      <c r="F914" s="650"/>
      <c r="G914" s="654"/>
      <c r="H914" s="654"/>
      <c r="I914" s="650"/>
      <c r="J914" s="650"/>
      <c r="K914" s="655"/>
      <c r="L914" s="655"/>
      <c r="M914" s="655"/>
      <c r="N914" s="655"/>
      <c r="O914" s="655"/>
      <c r="P914" s="655"/>
      <c r="Q914" s="655"/>
      <c r="R914" s="655"/>
      <c r="S914" s="655"/>
      <c r="T914" s="655"/>
      <c r="U914" s="655"/>
      <c r="V914" s="655"/>
      <c r="W914" s="655"/>
      <c r="X914" s="655"/>
      <c r="Y914" s="655"/>
      <c r="Z914" s="655"/>
    </row>
    <row r="915">
      <c r="B915" s="462"/>
      <c r="C915" s="671"/>
      <c r="D915" s="462"/>
      <c r="E915" s="654"/>
      <c r="F915" s="650"/>
      <c r="G915" s="654"/>
      <c r="H915" s="654"/>
      <c r="I915" s="650"/>
      <c r="J915" s="650"/>
      <c r="K915" s="655"/>
      <c r="L915" s="655"/>
      <c r="M915" s="655"/>
      <c r="N915" s="655"/>
      <c r="O915" s="655"/>
      <c r="P915" s="655"/>
      <c r="Q915" s="655"/>
      <c r="R915" s="655"/>
      <c r="S915" s="655"/>
      <c r="T915" s="655"/>
      <c r="U915" s="655"/>
      <c r="V915" s="655"/>
      <c r="W915" s="655"/>
      <c r="X915" s="655"/>
      <c r="Y915" s="655"/>
      <c r="Z915" s="655"/>
    </row>
    <row r="916">
      <c r="B916" s="462"/>
      <c r="C916" s="671"/>
      <c r="D916" s="462"/>
      <c r="E916" s="654"/>
      <c r="F916" s="650"/>
      <c r="G916" s="654"/>
      <c r="H916" s="654"/>
      <c r="I916" s="650"/>
      <c r="J916" s="650"/>
      <c r="K916" s="655"/>
      <c r="L916" s="655"/>
      <c r="M916" s="655"/>
      <c r="N916" s="655"/>
      <c r="O916" s="655"/>
      <c r="P916" s="655"/>
      <c r="Q916" s="655"/>
      <c r="R916" s="655"/>
      <c r="S916" s="655"/>
      <c r="T916" s="655"/>
      <c r="U916" s="655"/>
      <c r="V916" s="655"/>
      <c r="W916" s="655"/>
      <c r="X916" s="655"/>
      <c r="Y916" s="655"/>
      <c r="Z916" s="655"/>
    </row>
    <row r="917">
      <c r="B917" s="462"/>
      <c r="C917" s="671"/>
      <c r="D917" s="462"/>
      <c r="E917" s="654"/>
      <c r="F917" s="650"/>
      <c r="G917" s="654"/>
      <c r="H917" s="654"/>
      <c r="I917" s="650"/>
      <c r="J917" s="650"/>
      <c r="K917" s="655"/>
      <c r="L917" s="655"/>
      <c r="M917" s="655"/>
      <c r="N917" s="655"/>
      <c r="O917" s="655"/>
      <c r="P917" s="655"/>
      <c r="Q917" s="655"/>
      <c r="R917" s="655"/>
      <c r="S917" s="655"/>
      <c r="T917" s="655"/>
      <c r="U917" s="655"/>
      <c r="V917" s="655"/>
      <c r="W917" s="655"/>
      <c r="X917" s="655"/>
      <c r="Y917" s="655"/>
      <c r="Z917" s="655"/>
    </row>
    <row r="918">
      <c r="B918" s="462"/>
      <c r="C918" s="671"/>
      <c r="D918" s="462"/>
      <c r="E918" s="654"/>
      <c r="F918" s="650"/>
      <c r="G918" s="654"/>
      <c r="H918" s="654"/>
      <c r="I918" s="650"/>
      <c r="J918" s="650"/>
      <c r="K918" s="655"/>
      <c r="L918" s="655"/>
      <c r="M918" s="655"/>
      <c r="N918" s="655"/>
      <c r="O918" s="655"/>
      <c r="P918" s="655"/>
      <c r="Q918" s="655"/>
      <c r="R918" s="655"/>
      <c r="S918" s="655"/>
      <c r="T918" s="655"/>
      <c r="U918" s="655"/>
      <c r="V918" s="655"/>
      <c r="W918" s="655"/>
      <c r="X918" s="655"/>
      <c r="Y918" s="655"/>
      <c r="Z918" s="655"/>
    </row>
    <row r="919">
      <c r="B919" s="462"/>
      <c r="C919" s="671"/>
      <c r="D919" s="462"/>
      <c r="E919" s="654"/>
      <c r="F919" s="650"/>
      <c r="G919" s="654"/>
      <c r="H919" s="654"/>
      <c r="I919" s="650"/>
      <c r="J919" s="650"/>
      <c r="K919" s="655"/>
      <c r="L919" s="655"/>
      <c r="M919" s="655"/>
      <c r="N919" s="655"/>
      <c r="O919" s="655"/>
      <c r="P919" s="655"/>
      <c r="Q919" s="655"/>
      <c r="R919" s="655"/>
      <c r="S919" s="655"/>
      <c r="T919" s="655"/>
      <c r="U919" s="655"/>
      <c r="V919" s="655"/>
      <c r="W919" s="655"/>
      <c r="X919" s="655"/>
      <c r="Y919" s="655"/>
      <c r="Z919" s="655"/>
    </row>
    <row r="920">
      <c r="B920" s="462"/>
      <c r="C920" s="671"/>
      <c r="D920" s="462"/>
      <c r="E920" s="654"/>
      <c r="F920" s="650"/>
      <c r="G920" s="654"/>
      <c r="H920" s="654"/>
      <c r="I920" s="650"/>
      <c r="J920" s="650"/>
      <c r="K920" s="655"/>
      <c r="L920" s="655"/>
      <c r="M920" s="655"/>
      <c r="N920" s="655"/>
      <c r="O920" s="655"/>
      <c r="P920" s="655"/>
      <c r="Q920" s="655"/>
      <c r="R920" s="655"/>
      <c r="S920" s="655"/>
      <c r="T920" s="655"/>
      <c r="U920" s="655"/>
      <c r="V920" s="655"/>
      <c r="W920" s="655"/>
      <c r="X920" s="655"/>
      <c r="Y920" s="655"/>
      <c r="Z920" s="655"/>
    </row>
    <row r="921">
      <c r="B921" s="462"/>
      <c r="C921" s="671"/>
      <c r="D921" s="462"/>
      <c r="E921" s="654"/>
      <c r="F921" s="650"/>
      <c r="G921" s="654"/>
      <c r="H921" s="654"/>
      <c r="I921" s="650"/>
      <c r="J921" s="650"/>
      <c r="K921" s="655"/>
      <c r="L921" s="655"/>
      <c r="M921" s="655"/>
      <c r="N921" s="655"/>
      <c r="O921" s="655"/>
      <c r="P921" s="655"/>
      <c r="Q921" s="655"/>
      <c r="R921" s="655"/>
      <c r="S921" s="655"/>
      <c r="T921" s="655"/>
      <c r="U921" s="655"/>
      <c r="V921" s="655"/>
      <c r="W921" s="655"/>
      <c r="X921" s="655"/>
      <c r="Y921" s="655"/>
      <c r="Z921" s="655"/>
    </row>
    <row r="922">
      <c r="B922" s="462"/>
      <c r="C922" s="671"/>
      <c r="D922" s="462"/>
      <c r="E922" s="654"/>
      <c r="F922" s="650"/>
      <c r="G922" s="654"/>
      <c r="H922" s="654"/>
      <c r="I922" s="650"/>
      <c r="J922" s="650"/>
      <c r="K922" s="655"/>
      <c r="L922" s="655"/>
      <c r="M922" s="655"/>
      <c r="N922" s="655"/>
      <c r="O922" s="655"/>
      <c r="P922" s="655"/>
      <c r="Q922" s="655"/>
      <c r="R922" s="655"/>
      <c r="S922" s="655"/>
      <c r="T922" s="655"/>
      <c r="U922" s="655"/>
      <c r="V922" s="655"/>
      <c r="W922" s="655"/>
      <c r="X922" s="655"/>
      <c r="Y922" s="655"/>
      <c r="Z922" s="655"/>
    </row>
    <row r="923">
      <c r="B923" s="462"/>
      <c r="C923" s="671"/>
      <c r="D923" s="462"/>
      <c r="E923" s="654"/>
      <c r="F923" s="650"/>
      <c r="G923" s="654"/>
      <c r="H923" s="654"/>
      <c r="I923" s="650"/>
      <c r="J923" s="650"/>
      <c r="K923" s="655"/>
      <c r="L923" s="655"/>
      <c r="M923" s="655"/>
      <c r="N923" s="655"/>
      <c r="O923" s="655"/>
      <c r="P923" s="655"/>
      <c r="Q923" s="655"/>
      <c r="R923" s="655"/>
      <c r="S923" s="655"/>
      <c r="T923" s="655"/>
      <c r="U923" s="655"/>
      <c r="V923" s="655"/>
      <c r="W923" s="655"/>
      <c r="X923" s="655"/>
      <c r="Y923" s="655"/>
      <c r="Z923" s="655"/>
    </row>
    <row r="924">
      <c r="B924" s="462"/>
      <c r="C924" s="671"/>
      <c r="D924" s="462"/>
      <c r="E924" s="654"/>
      <c r="F924" s="650"/>
      <c r="G924" s="654"/>
      <c r="H924" s="654"/>
      <c r="I924" s="650"/>
      <c r="J924" s="650"/>
      <c r="K924" s="655"/>
      <c r="L924" s="655"/>
      <c r="M924" s="655"/>
      <c r="N924" s="655"/>
      <c r="O924" s="655"/>
      <c r="P924" s="655"/>
      <c r="Q924" s="655"/>
      <c r="R924" s="655"/>
      <c r="S924" s="655"/>
      <c r="T924" s="655"/>
      <c r="U924" s="655"/>
      <c r="V924" s="655"/>
      <c r="W924" s="655"/>
      <c r="X924" s="655"/>
      <c r="Y924" s="655"/>
      <c r="Z924" s="655"/>
    </row>
    <row r="925">
      <c r="B925" s="462"/>
      <c r="C925" s="671"/>
      <c r="D925" s="462"/>
      <c r="E925" s="654"/>
      <c r="F925" s="650"/>
      <c r="G925" s="654"/>
      <c r="H925" s="654"/>
      <c r="I925" s="650"/>
      <c r="J925" s="650"/>
      <c r="K925" s="655"/>
      <c r="L925" s="655"/>
      <c r="M925" s="655"/>
      <c r="N925" s="655"/>
      <c r="O925" s="655"/>
      <c r="P925" s="655"/>
      <c r="Q925" s="655"/>
      <c r="R925" s="655"/>
      <c r="S925" s="655"/>
      <c r="T925" s="655"/>
      <c r="U925" s="655"/>
      <c r="V925" s="655"/>
      <c r="W925" s="655"/>
      <c r="X925" s="655"/>
      <c r="Y925" s="655"/>
      <c r="Z925" s="655"/>
    </row>
    <row r="926">
      <c r="B926" s="462"/>
      <c r="C926" s="671"/>
      <c r="D926" s="462"/>
      <c r="E926" s="654"/>
      <c r="F926" s="650"/>
      <c r="G926" s="654"/>
      <c r="H926" s="654"/>
      <c r="I926" s="650"/>
      <c r="J926" s="650"/>
      <c r="K926" s="655"/>
      <c r="L926" s="655"/>
      <c r="M926" s="655"/>
      <c r="N926" s="655"/>
      <c r="O926" s="655"/>
      <c r="P926" s="655"/>
      <c r="Q926" s="655"/>
      <c r="R926" s="655"/>
      <c r="S926" s="655"/>
      <c r="T926" s="655"/>
      <c r="U926" s="655"/>
      <c r="V926" s="655"/>
      <c r="W926" s="655"/>
      <c r="X926" s="655"/>
      <c r="Y926" s="655"/>
      <c r="Z926" s="655"/>
    </row>
    <row r="927">
      <c r="B927" s="462"/>
      <c r="C927" s="671"/>
      <c r="D927" s="462"/>
      <c r="E927" s="654"/>
      <c r="F927" s="650"/>
      <c r="G927" s="654"/>
      <c r="H927" s="654"/>
      <c r="I927" s="650"/>
      <c r="J927" s="650"/>
      <c r="K927" s="655"/>
      <c r="L927" s="655"/>
      <c r="M927" s="655"/>
      <c r="N927" s="655"/>
      <c r="O927" s="655"/>
      <c r="P927" s="655"/>
      <c r="Q927" s="655"/>
      <c r="R927" s="655"/>
      <c r="S927" s="655"/>
      <c r="T927" s="655"/>
      <c r="U927" s="655"/>
      <c r="V927" s="655"/>
      <c r="W927" s="655"/>
      <c r="X927" s="655"/>
      <c r="Y927" s="655"/>
      <c r="Z927" s="655"/>
    </row>
    <row r="928">
      <c r="B928" s="462"/>
      <c r="C928" s="671"/>
      <c r="D928" s="462"/>
      <c r="E928" s="654"/>
      <c r="F928" s="650"/>
      <c r="G928" s="654"/>
      <c r="H928" s="654"/>
      <c r="I928" s="650"/>
      <c r="J928" s="650"/>
      <c r="K928" s="655"/>
      <c r="L928" s="655"/>
      <c r="M928" s="655"/>
      <c r="N928" s="655"/>
      <c r="O928" s="655"/>
      <c r="P928" s="655"/>
      <c r="Q928" s="655"/>
      <c r="R928" s="655"/>
      <c r="S928" s="655"/>
      <c r="T928" s="655"/>
      <c r="U928" s="655"/>
      <c r="V928" s="655"/>
      <c r="W928" s="655"/>
      <c r="X928" s="655"/>
      <c r="Y928" s="655"/>
      <c r="Z928" s="655"/>
    </row>
    <row r="929">
      <c r="B929" s="462"/>
      <c r="C929" s="671"/>
      <c r="D929" s="462"/>
      <c r="E929" s="654"/>
      <c r="F929" s="650"/>
      <c r="G929" s="654"/>
      <c r="H929" s="654"/>
      <c r="I929" s="650"/>
      <c r="J929" s="650"/>
      <c r="K929" s="655"/>
      <c r="L929" s="655"/>
      <c r="M929" s="655"/>
      <c r="N929" s="655"/>
      <c r="O929" s="655"/>
      <c r="P929" s="655"/>
      <c r="Q929" s="655"/>
      <c r="R929" s="655"/>
      <c r="S929" s="655"/>
      <c r="T929" s="655"/>
      <c r="U929" s="655"/>
      <c r="V929" s="655"/>
      <c r="W929" s="655"/>
      <c r="X929" s="655"/>
      <c r="Y929" s="655"/>
      <c r="Z929" s="655"/>
    </row>
    <row r="930">
      <c r="B930" s="462"/>
      <c r="C930" s="671"/>
      <c r="D930" s="462"/>
      <c r="E930" s="654"/>
      <c r="F930" s="650"/>
      <c r="G930" s="654"/>
      <c r="H930" s="654"/>
      <c r="I930" s="650"/>
      <c r="J930" s="650"/>
      <c r="K930" s="655"/>
      <c r="L930" s="655"/>
      <c r="M930" s="655"/>
      <c r="N930" s="655"/>
      <c r="O930" s="655"/>
      <c r="P930" s="655"/>
      <c r="Q930" s="655"/>
      <c r="R930" s="655"/>
      <c r="S930" s="655"/>
      <c r="T930" s="655"/>
      <c r="U930" s="655"/>
      <c r="V930" s="655"/>
      <c r="W930" s="655"/>
      <c r="X930" s="655"/>
      <c r="Y930" s="655"/>
      <c r="Z930" s="655"/>
    </row>
    <row r="931">
      <c r="B931" s="462"/>
      <c r="C931" s="671"/>
      <c r="D931" s="462"/>
      <c r="E931" s="654"/>
      <c r="F931" s="650"/>
      <c r="G931" s="654"/>
      <c r="H931" s="654"/>
      <c r="I931" s="650"/>
      <c r="J931" s="650"/>
      <c r="K931" s="655"/>
      <c r="L931" s="655"/>
      <c r="M931" s="655"/>
      <c r="N931" s="655"/>
      <c r="O931" s="655"/>
      <c r="P931" s="655"/>
      <c r="Q931" s="655"/>
      <c r="R931" s="655"/>
      <c r="S931" s="655"/>
      <c r="T931" s="655"/>
      <c r="U931" s="655"/>
      <c r="V931" s="655"/>
      <c r="W931" s="655"/>
      <c r="X931" s="655"/>
      <c r="Y931" s="655"/>
      <c r="Z931" s="655"/>
    </row>
    <row r="932">
      <c r="B932" s="462"/>
      <c r="C932" s="671"/>
      <c r="D932" s="462"/>
      <c r="E932" s="654"/>
      <c r="F932" s="650"/>
      <c r="G932" s="654"/>
      <c r="H932" s="654"/>
      <c r="I932" s="650"/>
      <c r="J932" s="650"/>
      <c r="K932" s="655"/>
      <c r="L932" s="655"/>
      <c r="M932" s="655"/>
      <c r="N932" s="655"/>
      <c r="O932" s="655"/>
      <c r="P932" s="655"/>
      <c r="Q932" s="655"/>
      <c r="R932" s="655"/>
      <c r="S932" s="655"/>
      <c r="T932" s="655"/>
      <c r="U932" s="655"/>
      <c r="V932" s="655"/>
      <c r="W932" s="655"/>
      <c r="X932" s="655"/>
      <c r="Y932" s="655"/>
      <c r="Z932" s="655"/>
    </row>
    <row r="933">
      <c r="B933" s="462"/>
      <c r="C933" s="671"/>
      <c r="D933" s="462"/>
      <c r="E933" s="654"/>
      <c r="F933" s="650"/>
      <c r="G933" s="654"/>
      <c r="H933" s="654"/>
      <c r="I933" s="650"/>
      <c r="J933" s="650"/>
      <c r="K933" s="655"/>
      <c r="L933" s="655"/>
      <c r="M933" s="655"/>
      <c r="N933" s="655"/>
      <c r="O933" s="655"/>
      <c r="P933" s="655"/>
      <c r="Q933" s="655"/>
      <c r="R933" s="655"/>
      <c r="S933" s="655"/>
      <c r="T933" s="655"/>
      <c r="U933" s="655"/>
      <c r="V933" s="655"/>
      <c r="W933" s="655"/>
      <c r="X933" s="655"/>
      <c r="Y933" s="655"/>
      <c r="Z933" s="655"/>
    </row>
    <row r="934">
      <c r="B934" s="462"/>
      <c r="C934" s="671"/>
      <c r="D934" s="462"/>
      <c r="E934" s="654"/>
      <c r="F934" s="650"/>
      <c r="G934" s="654"/>
      <c r="H934" s="654"/>
      <c r="I934" s="650"/>
      <c r="J934" s="650"/>
      <c r="K934" s="655"/>
      <c r="L934" s="655"/>
      <c r="M934" s="655"/>
      <c r="N934" s="655"/>
      <c r="O934" s="655"/>
      <c r="P934" s="655"/>
      <c r="Q934" s="655"/>
      <c r="R934" s="655"/>
      <c r="S934" s="655"/>
      <c r="T934" s="655"/>
      <c r="U934" s="655"/>
      <c r="V934" s="655"/>
      <c r="W934" s="655"/>
      <c r="X934" s="655"/>
      <c r="Y934" s="655"/>
      <c r="Z934" s="655"/>
    </row>
    <row r="935">
      <c r="B935" s="462"/>
      <c r="C935" s="671"/>
      <c r="D935" s="462"/>
      <c r="E935" s="654"/>
      <c r="F935" s="650"/>
      <c r="G935" s="654"/>
      <c r="H935" s="654"/>
      <c r="I935" s="650"/>
      <c r="J935" s="650"/>
      <c r="K935" s="655"/>
      <c r="L935" s="655"/>
      <c r="M935" s="655"/>
      <c r="N935" s="655"/>
      <c r="O935" s="655"/>
      <c r="P935" s="655"/>
      <c r="Q935" s="655"/>
      <c r="R935" s="655"/>
      <c r="S935" s="655"/>
      <c r="T935" s="655"/>
      <c r="U935" s="655"/>
      <c r="V935" s="655"/>
      <c r="W935" s="655"/>
      <c r="X935" s="655"/>
      <c r="Y935" s="655"/>
      <c r="Z935" s="655"/>
    </row>
    <row r="936">
      <c r="B936" s="462"/>
      <c r="C936" s="671"/>
      <c r="D936" s="462"/>
      <c r="E936" s="654"/>
      <c r="F936" s="650"/>
      <c r="G936" s="654"/>
      <c r="H936" s="654"/>
      <c r="I936" s="650"/>
      <c r="J936" s="650"/>
      <c r="K936" s="655"/>
      <c r="L936" s="655"/>
      <c r="M936" s="655"/>
      <c r="N936" s="655"/>
      <c r="O936" s="655"/>
      <c r="P936" s="655"/>
      <c r="Q936" s="655"/>
      <c r="R936" s="655"/>
      <c r="S936" s="655"/>
      <c r="T936" s="655"/>
      <c r="U936" s="655"/>
      <c r="V936" s="655"/>
      <c r="W936" s="655"/>
      <c r="X936" s="655"/>
      <c r="Y936" s="655"/>
      <c r="Z936" s="655"/>
    </row>
    <row r="937">
      <c r="B937" s="462"/>
      <c r="C937" s="671"/>
      <c r="D937" s="462"/>
      <c r="E937" s="654"/>
      <c r="F937" s="650"/>
      <c r="G937" s="654"/>
      <c r="H937" s="654"/>
      <c r="I937" s="650"/>
      <c r="J937" s="650"/>
      <c r="K937" s="655"/>
      <c r="L937" s="655"/>
      <c r="M937" s="655"/>
      <c r="N937" s="655"/>
      <c r="O937" s="655"/>
      <c r="P937" s="655"/>
      <c r="Q937" s="655"/>
      <c r="R937" s="655"/>
      <c r="S937" s="655"/>
      <c r="T937" s="655"/>
      <c r="U937" s="655"/>
      <c r="V937" s="655"/>
      <c r="W937" s="655"/>
      <c r="X937" s="655"/>
      <c r="Y937" s="655"/>
      <c r="Z937" s="655"/>
    </row>
    <row r="938">
      <c r="B938" s="462"/>
      <c r="C938" s="671"/>
      <c r="D938" s="462"/>
      <c r="E938" s="654"/>
      <c r="F938" s="650"/>
      <c r="G938" s="654"/>
      <c r="H938" s="654"/>
      <c r="I938" s="650"/>
      <c r="J938" s="650"/>
      <c r="K938" s="655"/>
      <c r="L938" s="655"/>
      <c r="M938" s="655"/>
      <c r="N938" s="655"/>
      <c r="O938" s="655"/>
      <c r="P938" s="655"/>
      <c r="Q938" s="655"/>
      <c r="R938" s="655"/>
      <c r="S938" s="655"/>
      <c r="T938" s="655"/>
      <c r="U938" s="655"/>
      <c r="V938" s="655"/>
      <c r="W938" s="655"/>
      <c r="X938" s="655"/>
      <c r="Y938" s="655"/>
      <c r="Z938" s="655"/>
    </row>
    <row r="939">
      <c r="B939" s="462"/>
      <c r="C939" s="671"/>
      <c r="D939" s="462"/>
      <c r="E939" s="654"/>
      <c r="F939" s="650"/>
      <c r="G939" s="654"/>
      <c r="H939" s="654"/>
      <c r="I939" s="650"/>
      <c r="J939" s="650"/>
      <c r="K939" s="655"/>
      <c r="L939" s="655"/>
      <c r="M939" s="655"/>
      <c r="N939" s="655"/>
      <c r="O939" s="655"/>
      <c r="P939" s="655"/>
      <c r="Q939" s="655"/>
      <c r="R939" s="655"/>
      <c r="S939" s="655"/>
      <c r="T939" s="655"/>
      <c r="U939" s="655"/>
      <c r="V939" s="655"/>
      <c r="W939" s="655"/>
      <c r="X939" s="655"/>
      <c r="Y939" s="655"/>
      <c r="Z939" s="655"/>
    </row>
    <row r="940">
      <c r="B940" s="462"/>
      <c r="C940" s="671"/>
      <c r="D940" s="462"/>
      <c r="E940" s="654"/>
      <c r="F940" s="650"/>
      <c r="G940" s="654"/>
      <c r="H940" s="654"/>
      <c r="I940" s="650"/>
      <c r="J940" s="650"/>
      <c r="K940" s="655"/>
      <c r="L940" s="655"/>
      <c r="M940" s="655"/>
      <c r="N940" s="655"/>
      <c r="O940" s="655"/>
      <c r="P940" s="655"/>
      <c r="Q940" s="655"/>
      <c r="R940" s="655"/>
      <c r="S940" s="655"/>
      <c r="T940" s="655"/>
      <c r="U940" s="655"/>
      <c r="V940" s="655"/>
      <c r="W940" s="655"/>
      <c r="X940" s="655"/>
      <c r="Y940" s="655"/>
      <c r="Z940" s="655"/>
    </row>
    <row r="941">
      <c r="B941" s="462"/>
      <c r="C941" s="671"/>
      <c r="D941" s="462"/>
      <c r="E941" s="654"/>
      <c r="F941" s="650"/>
      <c r="G941" s="654"/>
      <c r="H941" s="654"/>
      <c r="I941" s="650"/>
      <c r="J941" s="650"/>
      <c r="K941" s="655"/>
      <c r="L941" s="655"/>
      <c r="M941" s="655"/>
      <c r="N941" s="655"/>
      <c r="O941" s="655"/>
      <c r="P941" s="655"/>
      <c r="Q941" s="655"/>
      <c r="R941" s="655"/>
      <c r="S941" s="655"/>
      <c r="T941" s="655"/>
      <c r="U941" s="655"/>
      <c r="V941" s="655"/>
      <c r="W941" s="655"/>
      <c r="X941" s="655"/>
      <c r="Y941" s="655"/>
      <c r="Z941" s="655"/>
    </row>
    <row r="942">
      <c r="B942" s="462"/>
      <c r="C942" s="671"/>
      <c r="D942" s="462"/>
      <c r="E942" s="654"/>
      <c r="F942" s="650"/>
      <c r="G942" s="654"/>
      <c r="H942" s="654"/>
      <c r="I942" s="650"/>
      <c r="J942" s="650"/>
      <c r="K942" s="655"/>
      <c r="L942" s="655"/>
      <c r="M942" s="655"/>
      <c r="N942" s="655"/>
      <c r="O942" s="655"/>
      <c r="P942" s="655"/>
      <c r="Q942" s="655"/>
      <c r="R942" s="655"/>
      <c r="S942" s="655"/>
      <c r="T942" s="655"/>
      <c r="U942" s="655"/>
      <c r="V942" s="655"/>
      <c r="W942" s="655"/>
      <c r="X942" s="655"/>
      <c r="Y942" s="655"/>
      <c r="Z942" s="655"/>
    </row>
    <row r="943">
      <c r="B943" s="462"/>
      <c r="C943" s="671"/>
      <c r="D943" s="462"/>
      <c r="E943" s="654"/>
      <c r="F943" s="650"/>
      <c r="G943" s="654"/>
      <c r="H943" s="654"/>
      <c r="I943" s="650"/>
      <c r="J943" s="650"/>
      <c r="K943" s="655"/>
      <c r="L943" s="655"/>
      <c r="M943" s="655"/>
      <c r="N943" s="655"/>
      <c r="O943" s="655"/>
      <c r="P943" s="655"/>
      <c r="Q943" s="655"/>
      <c r="R943" s="655"/>
      <c r="S943" s="655"/>
      <c r="T943" s="655"/>
      <c r="U943" s="655"/>
      <c r="V943" s="655"/>
      <c r="W943" s="655"/>
      <c r="X943" s="655"/>
      <c r="Y943" s="655"/>
      <c r="Z943" s="655"/>
    </row>
    <row r="944">
      <c r="B944" s="462"/>
      <c r="C944" s="671"/>
      <c r="D944" s="462"/>
      <c r="E944" s="654"/>
      <c r="F944" s="650"/>
      <c r="G944" s="654"/>
      <c r="H944" s="654"/>
      <c r="I944" s="650"/>
      <c r="J944" s="650"/>
      <c r="K944" s="655"/>
      <c r="L944" s="655"/>
      <c r="M944" s="655"/>
      <c r="N944" s="655"/>
      <c r="O944" s="655"/>
      <c r="P944" s="655"/>
      <c r="Q944" s="655"/>
      <c r="R944" s="655"/>
      <c r="S944" s="655"/>
      <c r="T944" s="655"/>
      <c r="U944" s="655"/>
      <c r="V944" s="655"/>
      <c r="W944" s="655"/>
      <c r="X944" s="655"/>
      <c r="Y944" s="655"/>
      <c r="Z944" s="655"/>
    </row>
    <row r="945">
      <c r="B945" s="462"/>
      <c r="C945" s="671"/>
      <c r="D945" s="462"/>
      <c r="E945" s="654"/>
      <c r="F945" s="650"/>
      <c r="G945" s="654"/>
      <c r="H945" s="654"/>
      <c r="I945" s="650"/>
      <c r="J945" s="650"/>
      <c r="K945" s="655"/>
      <c r="L945" s="655"/>
      <c r="M945" s="655"/>
      <c r="N945" s="655"/>
      <c r="O945" s="655"/>
      <c r="P945" s="655"/>
      <c r="Q945" s="655"/>
      <c r="R945" s="655"/>
      <c r="S945" s="655"/>
      <c r="T945" s="655"/>
      <c r="U945" s="655"/>
      <c r="V945" s="655"/>
      <c r="W945" s="655"/>
      <c r="X945" s="655"/>
      <c r="Y945" s="655"/>
      <c r="Z945" s="655"/>
    </row>
    <row r="946">
      <c r="B946" s="462"/>
      <c r="C946" s="671"/>
      <c r="D946" s="462"/>
      <c r="E946" s="654"/>
      <c r="F946" s="650"/>
      <c r="G946" s="654"/>
      <c r="H946" s="654"/>
      <c r="I946" s="650"/>
      <c r="J946" s="650"/>
      <c r="K946" s="655"/>
      <c r="L946" s="655"/>
      <c r="M946" s="655"/>
      <c r="N946" s="655"/>
      <c r="O946" s="655"/>
      <c r="P946" s="655"/>
      <c r="Q946" s="655"/>
      <c r="R946" s="655"/>
      <c r="S946" s="655"/>
      <c r="T946" s="655"/>
      <c r="U946" s="655"/>
      <c r="V946" s="655"/>
      <c r="W946" s="655"/>
      <c r="X946" s="655"/>
      <c r="Y946" s="655"/>
      <c r="Z946" s="655"/>
    </row>
    <row r="947">
      <c r="B947" s="462"/>
      <c r="C947" s="671"/>
      <c r="D947" s="462"/>
      <c r="E947" s="654"/>
      <c r="F947" s="650"/>
      <c r="G947" s="654"/>
      <c r="H947" s="654"/>
      <c r="I947" s="650"/>
      <c r="J947" s="650"/>
      <c r="K947" s="655"/>
      <c r="L947" s="655"/>
      <c r="M947" s="655"/>
      <c r="N947" s="655"/>
      <c r="O947" s="655"/>
      <c r="P947" s="655"/>
      <c r="Q947" s="655"/>
      <c r="R947" s="655"/>
      <c r="S947" s="655"/>
      <c r="T947" s="655"/>
      <c r="U947" s="655"/>
      <c r="V947" s="655"/>
      <c r="W947" s="655"/>
      <c r="X947" s="655"/>
      <c r="Y947" s="655"/>
      <c r="Z947" s="655"/>
    </row>
    <row r="948">
      <c r="B948" s="462"/>
      <c r="C948" s="671"/>
      <c r="D948" s="462"/>
      <c r="E948" s="654"/>
      <c r="F948" s="650"/>
      <c r="G948" s="654"/>
      <c r="H948" s="654"/>
      <c r="I948" s="650"/>
      <c r="J948" s="650"/>
      <c r="K948" s="655"/>
      <c r="L948" s="655"/>
      <c r="M948" s="655"/>
      <c r="N948" s="655"/>
      <c r="O948" s="655"/>
      <c r="P948" s="655"/>
      <c r="Q948" s="655"/>
      <c r="R948" s="655"/>
      <c r="S948" s="655"/>
      <c r="T948" s="655"/>
      <c r="U948" s="655"/>
      <c r="V948" s="655"/>
      <c r="W948" s="655"/>
      <c r="X948" s="655"/>
      <c r="Y948" s="655"/>
      <c r="Z948" s="655"/>
    </row>
    <row r="949">
      <c r="B949" s="462"/>
      <c r="C949" s="671"/>
      <c r="D949" s="462"/>
      <c r="E949" s="654"/>
      <c r="F949" s="650"/>
      <c r="G949" s="654"/>
      <c r="H949" s="654"/>
      <c r="I949" s="650"/>
      <c r="J949" s="650"/>
      <c r="K949" s="655"/>
      <c r="L949" s="655"/>
      <c r="M949" s="655"/>
      <c r="N949" s="655"/>
      <c r="O949" s="655"/>
      <c r="P949" s="655"/>
      <c r="Q949" s="655"/>
      <c r="R949" s="655"/>
      <c r="S949" s="655"/>
      <c r="T949" s="655"/>
      <c r="U949" s="655"/>
      <c r="V949" s="655"/>
      <c r="W949" s="655"/>
      <c r="X949" s="655"/>
      <c r="Y949" s="655"/>
      <c r="Z949" s="655"/>
    </row>
    <row r="950">
      <c r="B950" s="462"/>
      <c r="C950" s="671"/>
      <c r="D950" s="462"/>
      <c r="E950" s="654"/>
      <c r="F950" s="650"/>
      <c r="G950" s="654"/>
      <c r="H950" s="654"/>
      <c r="I950" s="650"/>
      <c r="J950" s="650"/>
      <c r="K950" s="655"/>
      <c r="L950" s="655"/>
      <c r="M950" s="655"/>
      <c r="N950" s="655"/>
      <c r="O950" s="655"/>
      <c r="P950" s="655"/>
      <c r="Q950" s="655"/>
      <c r="R950" s="655"/>
      <c r="S950" s="655"/>
      <c r="T950" s="655"/>
      <c r="U950" s="655"/>
      <c r="V950" s="655"/>
      <c r="W950" s="655"/>
      <c r="X950" s="655"/>
      <c r="Y950" s="655"/>
      <c r="Z950" s="655"/>
    </row>
    <row r="951">
      <c r="B951" s="462"/>
      <c r="C951" s="671"/>
      <c r="D951" s="462"/>
      <c r="E951" s="654"/>
      <c r="F951" s="650"/>
      <c r="G951" s="654"/>
      <c r="H951" s="654"/>
      <c r="I951" s="650"/>
      <c r="J951" s="650"/>
      <c r="K951" s="655"/>
      <c r="L951" s="655"/>
      <c r="M951" s="655"/>
      <c r="N951" s="655"/>
      <c r="O951" s="655"/>
      <c r="P951" s="655"/>
      <c r="Q951" s="655"/>
      <c r="R951" s="655"/>
      <c r="S951" s="655"/>
      <c r="T951" s="655"/>
      <c r="U951" s="655"/>
      <c r="V951" s="655"/>
      <c r="W951" s="655"/>
      <c r="X951" s="655"/>
      <c r="Y951" s="655"/>
      <c r="Z951" s="655"/>
    </row>
    <row r="952">
      <c r="B952" s="462"/>
      <c r="C952" s="671"/>
      <c r="D952" s="462"/>
      <c r="E952" s="654"/>
      <c r="F952" s="650"/>
      <c r="G952" s="654"/>
      <c r="H952" s="654"/>
      <c r="I952" s="650"/>
      <c r="J952" s="650"/>
      <c r="K952" s="655"/>
      <c r="L952" s="655"/>
      <c r="M952" s="655"/>
      <c r="N952" s="655"/>
      <c r="O952" s="655"/>
      <c r="P952" s="655"/>
      <c r="Q952" s="655"/>
      <c r="R952" s="655"/>
      <c r="S952" s="655"/>
      <c r="T952" s="655"/>
      <c r="U952" s="655"/>
      <c r="V952" s="655"/>
      <c r="W952" s="655"/>
      <c r="X952" s="655"/>
      <c r="Y952" s="655"/>
      <c r="Z952" s="655"/>
    </row>
    <row r="953">
      <c r="B953" s="462"/>
      <c r="C953" s="671"/>
      <c r="D953" s="462"/>
      <c r="E953" s="654"/>
      <c r="F953" s="650"/>
      <c r="G953" s="654"/>
      <c r="H953" s="654"/>
      <c r="I953" s="650"/>
      <c r="J953" s="650"/>
      <c r="K953" s="655"/>
      <c r="L953" s="655"/>
      <c r="M953" s="655"/>
      <c r="N953" s="655"/>
      <c r="O953" s="655"/>
      <c r="P953" s="655"/>
      <c r="Q953" s="655"/>
      <c r="R953" s="655"/>
      <c r="S953" s="655"/>
      <c r="T953" s="655"/>
      <c r="U953" s="655"/>
      <c r="V953" s="655"/>
      <c r="W953" s="655"/>
      <c r="X953" s="655"/>
      <c r="Y953" s="655"/>
      <c r="Z953" s="655"/>
    </row>
    <row r="954">
      <c r="B954" s="462"/>
      <c r="C954" s="671"/>
      <c r="D954" s="462"/>
      <c r="E954" s="654"/>
      <c r="F954" s="650"/>
      <c r="G954" s="654"/>
      <c r="H954" s="654"/>
      <c r="I954" s="650"/>
      <c r="J954" s="650"/>
      <c r="K954" s="655"/>
      <c r="L954" s="655"/>
      <c r="M954" s="655"/>
      <c r="N954" s="655"/>
      <c r="O954" s="655"/>
      <c r="P954" s="655"/>
      <c r="Q954" s="655"/>
      <c r="R954" s="655"/>
      <c r="S954" s="655"/>
      <c r="T954" s="655"/>
      <c r="U954" s="655"/>
      <c r="V954" s="655"/>
      <c r="W954" s="655"/>
      <c r="X954" s="655"/>
      <c r="Y954" s="655"/>
      <c r="Z954" s="655"/>
    </row>
    <row r="955">
      <c r="B955" s="462"/>
      <c r="C955" s="671"/>
      <c r="D955" s="462"/>
      <c r="E955" s="654"/>
      <c r="F955" s="650"/>
      <c r="G955" s="654"/>
      <c r="H955" s="654"/>
      <c r="I955" s="650"/>
      <c r="J955" s="650"/>
      <c r="K955" s="655"/>
      <c r="L955" s="655"/>
      <c r="M955" s="655"/>
      <c r="N955" s="655"/>
      <c r="O955" s="655"/>
      <c r="P955" s="655"/>
      <c r="Q955" s="655"/>
      <c r="R955" s="655"/>
      <c r="S955" s="655"/>
      <c r="T955" s="655"/>
      <c r="U955" s="655"/>
      <c r="V955" s="655"/>
      <c r="W955" s="655"/>
      <c r="X955" s="655"/>
      <c r="Y955" s="655"/>
      <c r="Z955" s="655"/>
    </row>
    <row r="956">
      <c r="B956" s="462"/>
      <c r="C956" s="671"/>
      <c r="D956" s="462"/>
      <c r="E956" s="654"/>
      <c r="F956" s="650"/>
      <c r="G956" s="654"/>
      <c r="H956" s="654"/>
      <c r="I956" s="650"/>
      <c r="J956" s="650"/>
      <c r="K956" s="655"/>
      <c r="L956" s="655"/>
      <c r="M956" s="655"/>
      <c r="N956" s="655"/>
      <c r="O956" s="655"/>
      <c r="P956" s="655"/>
      <c r="Q956" s="655"/>
      <c r="R956" s="655"/>
      <c r="S956" s="655"/>
      <c r="T956" s="655"/>
      <c r="U956" s="655"/>
      <c r="V956" s="655"/>
      <c r="W956" s="655"/>
      <c r="X956" s="655"/>
      <c r="Y956" s="655"/>
      <c r="Z956" s="655"/>
    </row>
    <row r="957">
      <c r="B957" s="462"/>
      <c r="C957" s="671"/>
      <c r="D957" s="462"/>
      <c r="E957" s="654"/>
      <c r="F957" s="650"/>
      <c r="G957" s="654"/>
      <c r="H957" s="654"/>
      <c r="I957" s="650"/>
      <c r="J957" s="650"/>
      <c r="K957" s="655"/>
      <c r="L957" s="655"/>
      <c r="M957" s="655"/>
      <c r="N957" s="655"/>
      <c r="O957" s="655"/>
      <c r="P957" s="655"/>
      <c r="Q957" s="655"/>
      <c r="R957" s="655"/>
      <c r="S957" s="655"/>
      <c r="T957" s="655"/>
      <c r="U957" s="655"/>
      <c r="V957" s="655"/>
      <c r="W957" s="655"/>
      <c r="X957" s="655"/>
      <c r="Y957" s="655"/>
      <c r="Z957" s="655"/>
    </row>
    <row r="958">
      <c r="B958" s="462"/>
      <c r="C958" s="671"/>
      <c r="D958" s="462"/>
      <c r="E958" s="654"/>
      <c r="F958" s="650"/>
      <c r="G958" s="654"/>
      <c r="H958" s="654"/>
      <c r="I958" s="650"/>
      <c r="J958" s="650"/>
      <c r="K958" s="655"/>
      <c r="L958" s="655"/>
      <c r="M958" s="655"/>
      <c r="N958" s="655"/>
      <c r="O958" s="655"/>
      <c r="P958" s="655"/>
      <c r="Q958" s="655"/>
      <c r="R958" s="655"/>
      <c r="S958" s="655"/>
      <c r="T958" s="655"/>
      <c r="U958" s="655"/>
      <c r="V958" s="655"/>
      <c r="W958" s="655"/>
      <c r="X958" s="655"/>
      <c r="Y958" s="655"/>
      <c r="Z958" s="655"/>
    </row>
    <row r="959">
      <c r="B959" s="462"/>
      <c r="C959" s="671"/>
      <c r="D959" s="462"/>
      <c r="E959" s="654"/>
      <c r="F959" s="650"/>
      <c r="G959" s="654"/>
      <c r="H959" s="654"/>
      <c r="I959" s="650"/>
      <c r="J959" s="650"/>
      <c r="K959" s="655"/>
      <c r="L959" s="655"/>
      <c r="M959" s="655"/>
      <c r="N959" s="655"/>
      <c r="O959" s="655"/>
      <c r="P959" s="655"/>
      <c r="Q959" s="655"/>
      <c r="R959" s="655"/>
      <c r="S959" s="655"/>
      <c r="T959" s="655"/>
      <c r="U959" s="655"/>
      <c r="V959" s="655"/>
      <c r="W959" s="655"/>
      <c r="X959" s="655"/>
      <c r="Y959" s="655"/>
      <c r="Z959" s="655"/>
    </row>
    <row r="960">
      <c r="B960" s="462"/>
      <c r="C960" s="671"/>
      <c r="D960" s="462"/>
      <c r="E960" s="654"/>
      <c r="F960" s="650"/>
      <c r="G960" s="654"/>
      <c r="H960" s="654"/>
      <c r="I960" s="650"/>
      <c r="J960" s="650"/>
      <c r="K960" s="655"/>
      <c r="L960" s="655"/>
      <c r="M960" s="655"/>
      <c r="N960" s="655"/>
      <c r="O960" s="655"/>
      <c r="P960" s="655"/>
      <c r="Q960" s="655"/>
      <c r="R960" s="655"/>
      <c r="S960" s="655"/>
      <c r="T960" s="655"/>
      <c r="U960" s="655"/>
      <c r="V960" s="655"/>
      <c r="W960" s="655"/>
      <c r="X960" s="655"/>
      <c r="Y960" s="655"/>
      <c r="Z960" s="655"/>
    </row>
    <row r="961">
      <c r="B961" s="462"/>
      <c r="C961" s="671"/>
      <c r="D961" s="462"/>
      <c r="E961" s="654"/>
      <c r="F961" s="650"/>
      <c r="G961" s="654"/>
      <c r="H961" s="654"/>
      <c r="I961" s="650"/>
      <c r="J961" s="650"/>
      <c r="K961" s="655"/>
      <c r="L961" s="655"/>
      <c r="M961" s="655"/>
      <c r="N961" s="655"/>
      <c r="O961" s="655"/>
      <c r="P961" s="655"/>
      <c r="Q961" s="655"/>
      <c r="R961" s="655"/>
      <c r="S961" s="655"/>
      <c r="T961" s="655"/>
      <c r="U961" s="655"/>
      <c r="V961" s="655"/>
      <c r="W961" s="655"/>
      <c r="X961" s="655"/>
      <c r="Y961" s="655"/>
      <c r="Z961" s="655"/>
    </row>
    <row r="962">
      <c r="B962" s="462"/>
      <c r="C962" s="671"/>
      <c r="D962" s="462"/>
      <c r="E962" s="654"/>
      <c r="F962" s="650"/>
      <c r="G962" s="654"/>
      <c r="H962" s="654"/>
      <c r="I962" s="650"/>
      <c r="J962" s="650"/>
      <c r="K962" s="655"/>
      <c r="L962" s="655"/>
      <c r="M962" s="655"/>
      <c r="N962" s="655"/>
      <c r="O962" s="655"/>
      <c r="P962" s="655"/>
      <c r="Q962" s="655"/>
      <c r="R962" s="655"/>
      <c r="S962" s="655"/>
      <c r="T962" s="655"/>
      <c r="U962" s="655"/>
      <c r="V962" s="655"/>
      <c r="W962" s="655"/>
      <c r="X962" s="655"/>
      <c r="Y962" s="655"/>
      <c r="Z962" s="655"/>
    </row>
    <row r="963">
      <c r="B963" s="462"/>
      <c r="C963" s="671"/>
      <c r="D963" s="462"/>
      <c r="E963" s="654"/>
      <c r="F963" s="650"/>
      <c r="G963" s="654"/>
      <c r="H963" s="654"/>
      <c r="I963" s="650"/>
      <c r="J963" s="650"/>
      <c r="K963" s="655"/>
      <c r="L963" s="655"/>
      <c r="M963" s="655"/>
      <c r="N963" s="655"/>
      <c r="O963" s="655"/>
      <c r="P963" s="655"/>
      <c r="Q963" s="655"/>
      <c r="R963" s="655"/>
      <c r="S963" s="655"/>
      <c r="T963" s="655"/>
      <c r="U963" s="655"/>
      <c r="V963" s="655"/>
      <c r="W963" s="655"/>
      <c r="X963" s="655"/>
      <c r="Y963" s="655"/>
      <c r="Z963" s="655"/>
    </row>
    <row r="964">
      <c r="B964" s="462"/>
      <c r="C964" s="671"/>
      <c r="D964" s="462"/>
      <c r="E964" s="654"/>
      <c r="F964" s="650"/>
      <c r="G964" s="654"/>
      <c r="H964" s="654"/>
      <c r="I964" s="650"/>
      <c r="J964" s="650"/>
      <c r="K964" s="655"/>
      <c r="L964" s="655"/>
      <c r="M964" s="655"/>
      <c r="N964" s="655"/>
      <c r="O964" s="655"/>
      <c r="P964" s="655"/>
      <c r="Q964" s="655"/>
      <c r="R964" s="655"/>
      <c r="S964" s="655"/>
      <c r="T964" s="655"/>
      <c r="U964" s="655"/>
      <c r="V964" s="655"/>
      <c r="W964" s="655"/>
      <c r="X964" s="655"/>
      <c r="Y964" s="655"/>
      <c r="Z964" s="655"/>
    </row>
    <row r="965">
      <c r="B965" s="462"/>
      <c r="C965" s="671"/>
      <c r="D965" s="462"/>
      <c r="E965" s="654"/>
      <c r="F965" s="650"/>
      <c r="G965" s="654"/>
      <c r="H965" s="654"/>
      <c r="I965" s="650"/>
      <c r="J965" s="650"/>
      <c r="K965" s="655"/>
      <c r="L965" s="655"/>
      <c r="M965" s="655"/>
      <c r="N965" s="655"/>
      <c r="O965" s="655"/>
      <c r="P965" s="655"/>
      <c r="Q965" s="655"/>
      <c r="R965" s="655"/>
      <c r="S965" s="655"/>
      <c r="T965" s="655"/>
      <c r="U965" s="655"/>
      <c r="V965" s="655"/>
      <c r="W965" s="655"/>
      <c r="X965" s="655"/>
      <c r="Y965" s="655"/>
      <c r="Z965" s="655"/>
    </row>
    <row r="966">
      <c r="B966" s="462"/>
      <c r="C966" s="671"/>
      <c r="D966" s="462"/>
      <c r="E966" s="654"/>
      <c r="F966" s="650"/>
      <c r="G966" s="654"/>
      <c r="H966" s="654"/>
      <c r="I966" s="650"/>
      <c r="J966" s="650"/>
      <c r="K966" s="655"/>
      <c r="L966" s="655"/>
      <c r="M966" s="655"/>
      <c r="N966" s="655"/>
      <c r="O966" s="655"/>
      <c r="P966" s="655"/>
      <c r="Q966" s="655"/>
      <c r="R966" s="655"/>
      <c r="S966" s="655"/>
      <c r="T966" s="655"/>
      <c r="U966" s="655"/>
      <c r="V966" s="655"/>
      <c r="W966" s="655"/>
      <c r="X966" s="655"/>
      <c r="Y966" s="655"/>
      <c r="Z966" s="655"/>
    </row>
    <row r="967">
      <c r="B967" s="462"/>
      <c r="C967" s="671"/>
      <c r="D967" s="462"/>
      <c r="E967" s="654"/>
      <c r="F967" s="650"/>
      <c r="G967" s="654"/>
      <c r="H967" s="654"/>
      <c r="I967" s="650"/>
      <c r="J967" s="650"/>
      <c r="K967" s="655"/>
      <c r="L967" s="655"/>
      <c r="M967" s="655"/>
      <c r="N967" s="655"/>
      <c r="O967" s="655"/>
      <c r="P967" s="655"/>
      <c r="Q967" s="655"/>
      <c r="R967" s="655"/>
      <c r="S967" s="655"/>
      <c r="T967" s="655"/>
      <c r="U967" s="655"/>
      <c r="V967" s="655"/>
      <c r="W967" s="655"/>
      <c r="X967" s="655"/>
      <c r="Y967" s="655"/>
      <c r="Z967" s="655"/>
    </row>
    <row r="968">
      <c r="B968" s="462"/>
      <c r="C968" s="671"/>
      <c r="D968" s="462"/>
      <c r="E968" s="654"/>
      <c r="F968" s="650"/>
      <c r="G968" s="654"/>
      <c r="H968" s="654"/>
      <c r="I968" s="650"/>
      <c r="J968" s="650"/>
      <c r="K968" s="655"/>
      <c r="L968" s="655"/>
      <c r="M968" s="655"/>
      <c r="N968" s="655"/>
      <c r="O968" s="655"/>
      <c r="P968" s="655"/>
      <c r="Q968" s="655"/>
      <c r="R968" s="655"/>
      <c r="S968" s="655"/>
      <c r="T968" s="655"/>
      <c r="U968" s="655"/>
      <c r="V968" s="655"/>
      <c r="W968" s="655"/>
      <c r="X968" s="655"/>
      <c r="Y968" s="655"/>
      <c r="Z968" s="655"/>
    </row>
    <row r="969">
      <c r="B969" s="462"/>
      <c r="C969" s="671"/>
      <c r="D969" s="462"/>
      <c r="E969" s="654"/>
      <c r="F969" s="650"/>
      <c r="G969" s="654"/>
      <c r="H969" s="654"/>
      <c r="I969" s="650"/>
      <c r="J969" s="650"/>
      <c r="K969" s="655"/>
      <c r="L969" s="655"/>
      <c r="M969" s="655"/>
      <c r="N969" s="655"/>
      <c r="O969" s="655"/>
      <c r="P969" s="655"/>
      <c r="Q969" s="655"/>
      <c r="R969" s="655"/>
      <c r="S969" s="655"/>
      <c r="T969" s="655"/>
      <c r="U969" s="655"/>
      <c r="V969" s="655"/>
      <c r="W969" s="655"/>
      <c r="X969" s="655"/>
      <c r="Y969" s="655"/>
      <c r="Z969" s="655"/>
    </row>
    <row r="970">
      <c r="B970" s="462"/>
      <c r="C970" s="671"/>
      <c r="D970" s="462"/>
      <c r="E970" s="654"/>
      <c r="F970" s="650"/>
      <c r="G970" s="654"/>
      <c r="H970" s="654"/>
      <c r="I970" s="650"/>
      <c r="J970" s="650"/>
      <c r="K970" s="655"/>
      <c r="L970" s="655"/>
      <c r="M970" s="655"/>
      <c r="N970" s="655"/>
      <c r="O970" s="655"/>
      <c r="P970" s="655"/>
      <c r="Q970" s="655"/>
      <c r="R970" s="655"/>
      <c r="S970" s="655"/>
      <c r="T970" s="655"/>
      <c r="U970" s="655"/>
      <c r="V970" s="655"/>
      <c r="W970" s="655"/>
      <c r="X970" s="655"/>
      <c r="Y970" s="655"/>
      <c r="Z970" s="655"/>
    </row>
    <row r="971">
      <c r="B971" s="462"/>
      <c r="C971" s="671"/>
      <c r="D971" s="462"/>
      <c r="E971" s="654"/>
      <c r="F971" s="650"/>
      <c r="G971" s="654"/>
      <c r="H971" s="654"/>
      <c r="I971" s="650"/>
      <c r="J971" s="650"/>
      <c r="K971" s="655"/>
      <c r="L971" s="655"/>
      <c r="M971" s="655"/>
      <c r="N971" s="655"/>
      <c r="O971" s="655"/>
      <c r="P971" s="655"/>
      <c r="Q971" s="655"/>
      <c r="R971" s="655"/>
      <c r="S971" s="655"/>
      <c r="T971" s="655"/>
      <c r="U971" s="655"/>
      <c r="V971" s="655"/>
      <c r="W971" s="655"/>
      <c r="X971" s="655"/>
      <c r="Y971" s="655"/>
      <c r="Z971" s="655"/>
    </row>
    <row r="972">
      <c r="B972" s="462"/>
      <c r="C972" s="671"/>
      <c r="D972" s="462"/>
      <c r="E972" s="654"/>
      <c r="F972" s="650"/>
      <c r="G972" s="654"/>
      <c r="H972" s="654"/>
      <c r="I972" s="650"/>
      <c r="J972" s="650"/>
      <c r="K972" s="655"/>
      <c r="L972" s="655"/>
      <c r="M972" s="655"/>
      <c r="N972" s="655"/>
      <c r="O972" s="655"/>
      <c r="P972" s="655"/>
      <c r="Q972" s="655"/>
      <c r="R972" s="655"/>
      <c r="S972" s="655"/>
      <c r="T972" s="655"/>
      <c r="U972" s="655"/>
      <c r="V972" s="655"/>
      <c r="W972" s="655"/>
      <c r="X972" s="655"/>
      <c r="Y972" s="655"/>
      <c r="Z972" s="655"/>
    </row>
    <row r="973">
      <c r="B973" s="462"/>
      <c r="C973" s="671"/>
      <c r="D973" s="462"/>
      <c r="E973" s="654"/>
      <c r="F973" s="650"/>
      <c r="G973" s="654"/>
      <c r="H973" s="654"/>
      <c r="I973" s="650"/>
      <c r="J973" s="650"/>
      <c r="K973" s="655"/>
      <c r="L973" s="655"/>
      <c r="M973" s="655"/>
      <c r="N973" s="655"/>
      <c r="O973" s="655"/>
      <c r="P973" s="655"/>
      <c r="Q973" s="655"/>
      <c r="R973" s="655"/>
      <c r="S973" s="655"/>
      <c r="T973" s="655"/>
      <c r="U973" s="655"/>
      <c r="V973" s="655"/>
      <c r="W973" s="655"/>
      <c r="X973" s="655"/>
      <c r="Y973" s="655"/>
      <c r="Z973" s="655"/>
    </row>
    <row r="974">
      <c r="B974" s="462"/>
      <c r="C974" s="671"/>
      <c r="D974" s="462"/>
      <c r="E974" s="654"/>
      <c r="F974" s="650"/>
      <c r="G974" s="654"/>
      <c r="H974" s="654"/>
      <c r="I974" s="650"/>
      <c r="J974" s="650"/>
      <c r="K974" s="655"/>
      <c r="L974" s="655"/>
      <c r="M974" s="655"/>
      <c r="N974" s="655"/>
      <c r="O974" s="655"/>
      <c r="P974" s="655"/>
      <c r="Q974" s="655"/>
      <c r="R974" s="655"/>
      <c r="S974" s="655"/>
      <c r="T974" s="655"/>
      <c r="U974" s="655"/>
      <c r="V974" s="655"/>
      <c r="W974" s="655"/>
      <c r="X974" s="655"/>
      <c r="Y974" s="655"/>
      <c r="Z974" s="655"/>
    </row>
    <row r="975">
      <c r="B975" s="462"/>
      <c r="C975" s="671"/>
      <c r="D975" s="462"/>
      <c r="E975" s="654"/>
      <c r="F975" s="650"/>
      <c r="G975" s="654"/>
      <c r="H975" s="654"/>
      <c r="I975" s="650"/>
      <c r="J975" s="650"/>
      <c r="K975" s="655"/>
      <c r="L975" s="655"/>
      <c r="M975" s="655"/>
      <c r="N975" s="655"/>
      <c r="O975" s="655"/>
      <c r="P975" s="655"/>
      <c r="Q975" s="655"/>
      <c r="R975" s="655"/>
      <c r="S975" s="655"/>
      <c r="T975" s="655"/>
      <c r="U975" s="655"/>
      <c r="V975" s="655"/>
      <c r="W975" s="655"/>
      <c r="X975" s="655"/>
      <c r="Y975" s="655"/>
      <c r="Z975" s="655"/>
    </row>
    <row r="976">
      <c r="B976" s="462"/>
      <c r="C976" s="671"/>
      <c r="D976" s="462"/>
      <c r="E976" s="654"/>
      <c r="F976" s="650"/>
      <c r="G976" s="654"/>
      <c r="H976" s="654"/>
      <c r="I976" s="650"/>
      <c r="J976" s="650"/>
      <c r="K976" s="655"/>
      <c r="L976" s="655"/>
      <c r="M976" s="655"/>
      <c r="N976" s="655"/>
      <c r="O976" s="655"/>
      <c r="P976" s="655"/>
      <c r="Q976" s="655"/>
      <c r="R976" s="655"/>
      <c r="S976" s="655"/>
      <c r="T976" s="655"/>
      <c r="U976" s="655"/>
      <c r="V976" s="655"/>
      <c r="W976" s="655"/>
      <c r="X976" s="655"/>
      <c r="Y976" s="655"/>
      <c r="Z976" s="655"/>
    </row>
    <row r="977">
      <c r="B977" s="462"/>
      <c r="C977" s="671"/>
      <c r="D977" s="462"/>
      <c r="E977" s="654"/>
      <c r="F977" s="650"/>
      <c r="G977" s="654"/>
      <c r="H977" s="654"/>
      <c r="I977" s="650"/>
      <c r="J977" s="650"/>
      <c r="K977" s="655"/>
      <c r="L977" s="655"/>
      <c r="M977" s="655"/>
      <c r="N977" s="655"/>
      <c r="O977" s="655"/>
      <c r="P977" s="655"/>
      <c r="Q977" s="655"/>
      <c r="R977" s="655"/>
      <c r="S977" s="655"/>
      <c r="T977" s="655"/>
      <c r="U977" s="655"/>
      <c r="V977" s="655"/>
      <c r="W977" s="655"/>
      <c r="X977" s="655"/>
      <c r="Y977" s="655"/>
      <c r="Z977" s="655"/>
    </row>
    <row r="978">
      <c r="B978" s="462"/>
      <c r="C978" s="671"/>
      <c r="D978" s="462"/>
      <c r="E978" s="654"/>
      <c r="F978" s="650"/>
      <c r="G978" s="654"/>
      <c r="H978" s="654"/>
      <c r="I978" s="650"/>
      <c r="J978" s="650"/>
      <c r="K978" s="655"/>
      <c r="L978" s="655"/>
      <c r="M978" s="655"/>
      <c r="N978" s="655"/>
      <c r="O978" s="655"/>
      <c r="P978" s="655"/>
      <c r="Q978" s="655"/>
      <c r="R978" s="655"/>
      <c r="S978" s="655"/>
      <c r="T978" s="655"/>
      <c r="U978" s="655"/>
      <c r="V978" s="655"/>
      <c r="W978" s="655"/>
      <c r="X978" s="655"/>
      <c r="Y978" s="655"/>
      <c r="Z978" s="655"/>
    </row>
    <row r="979">
      <c r="B979" s="462"/>
      <c r="C979" s="671"/>
      <c r="D979" s="462"/>
      <c r="E979" s="654"/>
      <c r="F979" s="650"/>
      <c r="G979" s="654"/>
      <c r="H979" s="654"/>
      <c r="I979" s="650"/>
      <c r="J979" s="650"/>
      <c r="K979" s="655"/>
      <c r="L979" s="655"/>
      <c r="M979" s="655"/>
      <c r="N979" s="655"/>
      <c r="O979" s="655"/>
      <c r="P979" s="655"/>
      <c r="Q979" s="655"/>
      <c r="R979" s="655"/>
      <c r="S979" s="655"/>
      <c r="T979" s="655"/>
      <c r="U979" s="655"/>
      <c r="V979" s="655"/>
      <c r="W979" s="655"/>
      <c r="X979" s="655"/>
      <c r="Y979" s="655"/>
      <c r="Z979" s="655"/>
    </row>
    <row r="980">
      <c r="B980" s="462"/>
      <c r="C980" s="671"/>
      <c r="D980" s="462"/>
      <c r="E980" s="654"/>
      <c r="F980" s="650"/>
      <c r="G980" s="654"/>
      <c r="H980" s="654"/>
      <c r="I980" s="650"/>
      <c r="J980" s="650"/>
      <c r="K980" s="655"/>
      <c r="L980" s="655"/>
      <c r="M980" s="655"/>
      <c r="N980" s="655"/>
      <c r="O980" s="655"/>
      <c r="P980" s="655"/>
      <c r="Q980" s="655"/>
      <c r="R980" s="655"/>
      <c r="S980" s="655"/>
      <c r="T980" s="655"/>
      <c r="U980" s="655"/>
      <c r="V980" s="655"/>
      <c r="W980" s="655"/>
      <c r="X980" s="655"/>
      <c r="Y980" s="655"/>
      <c r="Z980" s="655"/>
    </row>
    <row r="981">
      <c r="B981" s="462"/>
      <c r="C981" s="671"/>
      <c r="D981" s="462"/>
      <c r="E981" s="654"/>
      <c r="F981" s="650"/>
      <c r="G981" s="654"/>
      <c r="H981" s="654"/>
      <c r="I981" s="650"/>
      <c r="J981" s="650"/>
      <c r="K981" s="655"/>
      <c r="L981" s="655"/>
      <c r="M981" s="655"/>
      <c r="N981" s="655"/>
      <c r="O981" s="655"/>
      <c r="P981" s="655"/>
      <c r="Q981" s="655"/>
      <c r="R981" s="655"/>
      <c r="S981" s="655"/>
      <c r="T981" s="655"/>
      <c r="U981" s="655"/>
      <c r="V981" s="655"/>
      <c r="W981" s="655"/>
      <c r="X981" s="655"/>
      <c r="Y981" s="655"/>
      <c r="Z981" s="655"/>
    </row>
    <row r="982">
      <c r="B982" s="462"/>
      <c r="C982" s="671"/>
      <c r="D982" s="462"/>
      <c r="E982" s="654"/>
      <c r="F982" s="650"/>
      <c r="G982" s="654"/>
      <c r="H982" s="654"/>
      <c r="I982" s="650"/>
      <c r="J982" s="650"/>
      <c r="K982" s="655"/>
      <c r="L982" s="655"/>
      <c r="M982" s="655"/>
      <c r="N982" s="655"/>
      <c r="O982" s="655"/>
      <c r="P982" s="655"/>
      <c r="Q982" s="655"/>
      <c r="R982" s="655"/>
      <c r="S982" s="655"/>
      <c r="T982" s="655"/>
      <c r="U982" s="655"/>
      <c r="V982" s="655"/>
      <c r="W982" s="655"/>
      <c r="X982" s="655"/>
      <c r="Y982" s="655"/>
      <c r="Z982" s="655"/>
    </row>
    <row r="983">
      <c r="B983" s="462"/>
      <c r="C983" s="671"/>
      <c r="D983" s="462"/>
      <c r="E983" s="654"/>
      <c r="F983" s="650"/>
      <c r="G983" s="654"/>
      <c r="H983" s="654"/>
      <c r="I983" s="650"/>
      <c r="J983" s="650"/>
      <c r="K983" s="655"/>
      <c r="L983" s="655"/>
      <c r="M983" s="655"/>
      <c r="N983" s="655"/>
      <c r="O983" s="655"/>
      <c r="P983" s="655"/>
      <c r="Q983" s="655"/>
      <c r="R983" s="655"/>
      <c r="S983" s="655"/>
      <c r="T983" s="655"/>
      <c r="U983" s="655"/>
      <c r="V983" s="655"/>
      <c r="W983" s="655"/>
      <c r="X983" s="655"/>
      <c r="Y983" s="655"/>
      <c r="Z983" s="655"/>
    </row>
    <row r="984">
      <c r="B984" s="462"/>
      <c r="C984" s="671"/>
      <c r="D984" s="462"/>
      <c r="E984" s="654"/>
      <c r="F984" s="650"/>
      <c r="G984" s="654"/>
      <c r="H984" s="654"/>
      <c r="I984" s="650"/>
      <c r="J984" s="650"/>
      <c r="K984" s="655"/>
      <c r="L984" s="655"/>
      <c r="M984" s="655"/>
      <c r="N984" s="655"/>
      <c r="O984" s="655"/>
      <c r="P984" s="655"/>
      <c r="Q984" s="655"/>
      <c r="R984" s="655"/>
      <c r="S984" s="655"/>
      <c r="T984" s="655"/>
      <c r="U984" s="655"/>
      <c r="V984" s="655"/>
      <c r="W984" s="655"/>
      <c r="X984" s="655"/>
      <c r="Y984" s="655"/>
      <c r="Z984" s="655"/>
    </row>
    <row r="985">
      <c r="B985" s="462"/>
      <c r="C985" s="671"/>
      <c r="D985" s="462"/>
      <c r="E985" s="654"/>
      <c r="F985" s="650"/>
      <c r="G985" s="654"/>
      <c r="H985" s="654"/>
      <c r="I985" s="650"/>
      <c r="J985" s="650"/>
      <c r="K985" s="655"/>
      <c r="L985" s="655"/>
      <c r="M985" s="655"/>
      <c r="N985" s="655"/>
      <c r="O985" s="655"/>
      <c r="P985" s="655"/>
      <c r="Q985" s="655"/>
      <c r="R985" s="655"/>
      <c r="S985" s="655"/>
      <c r="T985" s="655"/>
      <c r="U985" s="655"/>
      <c r="V985" s="655"/>
      <c r="W985" s="655"/>
      <c r="X985" s="655"/>
      <c r="Y985" s="655"/>
      <c r="Z985" s="655"/>
    </row>
    <row r="986">
      <c r="B986" s="462"/>
      <c r="C986" s="671"/>
      <c r="D986" s="462"/>
      <c r="E986" s="654"/>
      <c r="F986" s="650"/>
      <c r="G986" s="654"/>
      <c r="H986" s="654"/>
      <c r="I986" s="650"/>
      <c r="J986" s="650"/>
      <c r="K986" s="655"/>
      <c r="L986" s="655"/>
      <c r="M986" s="655"/>
      <c r="N986" s="655"/>
      <c r="O986" s="655"/>
      <c r="P986" s="655"/>
      <c r="Q986" s="655"/>
      <c r="R986" s="655"/>
      <c r="S986" s="655"/>
      <c r="T986" s="655"/>
      <c r="U986" s="655"/>
      <c r="V986" s="655"/>
      <c r="W986" s="655"/>
      <c r="X986" s="655"/>
      <c r="Y986" s="655"/>
      <c r="Z986" s="655"/>
    </row>
    <row r="987">
      <c r="B987" s="462"/>
      <c r="C987" s="671"/>
      <c r="D987" s="462"/>
      <c r="E987" s="654"/>
      <c r="F987" s="650"/>
      <c r="G987" s="654"/>
      <c r="H987" s="654"/>
      <c r="I987" s="650"/>
      <c r="J987" s="650"/>
      <c r="K987" s="655"/>
      <c r="L987" s="655"/>
      <c r="M987" s="655"/>
      <c r="N987" s="655"/>
      <c r="O987" s="655"/>
      <c r="P987" s="655"/>
      <c r="Q987" s="655"/>
      <c r="R987" s="655"/>
      <c r="S987" s="655"/>
      <c r="T987" s="655"/>
      <c r="U987" s="655"/>
      <c r="V987" s="655"/>
      <c r="W987" s="655"/>
      <c r="X987" s="655"/>
      <c r="Y987" s="655"/>
      <c r="Z987" s="655"/>
    </row>
    <row r="988">
      <c r="B988" s="462"/>
      <c r="C988" s="671"/>
      <c r="D988" s="462"/>
      <c r="E988" s="654"/>
      <c r="F988" s="650"/>
      <c r="G988" s="654"/>
      <c r="H988" s="654"/>
      <c r="I988" s="650"/>
      <c r="J988" s="650"/>
      <c r="K988" s="655"/>
      <c r="L988" s="655"/>
      <c r="M988" s="655"/>
      <c r="N988" s="655"/>
      <c r="O988" s="655"/>
      <c r="P988" s="655"/>
      <c r="Q988" s="655"/>
      <c r="R988" s="655"/>
      <c r="S988" s="655"/>
      <c r="T988" s="655"/>
      <c r="U988" s="655"/>
      <c r="V988" s="655"/>
      <c r="W988" s="655"/>
      <c r="X988" s="655"/>
      <c r="Y988" s="655"/>
      <c r="Z988" s="655"/>
    </row>
    <row r="989">
      <c r="B989" s="462"/>
      <c r="C989" s="671"/>
      <c r="D989" s="462"/>
      <c r="E989" s="654"/>
      <c r="F989" s="650"/>
      <c r="G989" s="654"/>
      <c r="H989" s="654"/>
      <c r="I989" s="650"/>
      <c r="J989" s="650"/>
      <c r="K989" s="655"/>
      <c r="L989" s="655"/>
      <c r="M989" s="655"/>
      <c r="N989" s="655"/>
      <c r="O989" s="655"/>
      <c r="P989" s="655"/>
      <c r="Q989" s="655"/>
      <c r="R989" s="655"/>
      <c r="S989" s="655"/>
      <c r="T989" s="655"/>
      <c r="U989" s="655"/>
      <c r="V989" s="655"/>
      <c r="W989" s="655"/>
      <c r="X989" s="655"/>
      <c r="Y989" s="655"/>
      <c r="Z989" s="655"/>
    </row>
    <row r="990">
      <c r="B990" s="462"/>
      <c r="C990" s="671"/>
      <c r="D990" s="462"/>
      <c r="E990" s="654"/>
      <c r="F990" s="650"/>
      <c r="G990" s="654"/>
      <c r="H990" s="654"/>
      <c r="I990" s="650"/>
      <c r="J990" s="650"/>
      <c r="K990" s="655"/>
      <c r="L990" s="655"/>
      <c r="M990" s="655"/>
      <c r="N990" s="655"/>
      <c r="O990" s="655"/>
      <c r="P990" s="655"/>
      <c r="Q990" s="655"/>
      <c r="R990" s="655"/>
      <c r="S990" s="655"/>
      <c r="T990" s="655"/>
      <c r="U990" s="655"/>
      <c r="V990" s="655"/>
      <c r="W990" s="655"/>
      <c r="X990" s="655"/>
      <c r="Y990" s="655"/>
      <c r="Z990" s="655"/>
    </row>
    <row r="991">
      <c r="B991" s="462"/>
      <c r="C991" s="671"/>
      <c r="D991" s="462"/>
      <c r="E991" s="654"/>
      <c r="F991" s="650"/>
      <c r="G991" s="654"/>
      <c r="H991" s="654"/>
      <c r="I991" s="650"/>
      <c r="J991" s="650"/>
      <c r="K991" s="655"/>
      <c r="L991" s="655"/>
      <c r="M991" s="655"/>
      <c r="N991" s="655"/>
      <c r="O991" s="655"/>
      <c r="P991" s="655"/>
      <c r="Q991" s="655"/>
      <c r="R991" s="655"/>
      <c r="S991" s="655"/>
      <c r="T991" s="655"/>
      <c r="U991" s="655"/>
      <c r="V991" s="655"/>
      <c r="W991" s="655"/>
      <c r="X991" s="655"/>
      <c r="Y991" s="655"/>
      <c r="Z991" s="655"/>
    </row>
    <row r="992">
      <c r="B992" s="462"/>
      <c r="C992" s="671"/>
      <c r="D992" s="462"/>
      <c r="E992" s="654"/>
      <c r="F992" s="650"/>
      <c r="G992" s="654"/>
      <c r="H992" s="654"/>
      <c r="I992" s="650"/>
      <c r="J992" s="650"/>
      <c r="K992" s="655"/>
      <c r="L992" s="655"/>
      <c r="M992" s="655"/>
      <c r="N992" s="655"/>
      <c r="O992" s="655"/>
      <c r="P992" s="655"/>
      <c r="Q992" s="655"/>
      <c r="R992" s="655"/>
      <c r="S992" s="655"/>
      <c r="T992" s="655"/>
      <c r="U992" s="655"/>
      <c r="V992" s="655"/>
      <c r="W992" s="655"/>
      <c r="X992" s="655"/>
      <c r="Y992" s="655"/>
      <c r="Z992" s="655"/>
    </row>
    <row r="993">
      <c r="B993" s="462"/>
      <c r="C993" s="671"/>
      <c r="D993" s="462"/>
      <c r="E993" s="654"/>
      <c r="F993" s="650"/>
      <c r="G993" s="654"/>
      <c r="H993" s="654"/>
      <c r="I993" s="650"/>
      <c r="J993" s="650"/>
      <c r="K993" s="655"/>
      <c r="L993" s="655"/>
      <c r="M993" s="655"/>
      <c r="N993" s="655"/>
      <c r="O993" s="655"/>
      <c r="P993" s="655"/>
      <c r="Q993" s="655"/>
      <c r="R993" s="655"/>
      <c r="S993" s="655"/>
      <c r="T993" s="655"/>
      <c r="U993" s="655"/>
      <c r="V993" s="655"/>
      <c r="W993" s="655"/>
      <c r="X993" s="655"/>
      <c r="Y993" s="655"/>
      <c r="Z993" s="655"/>
    </row>
    <row r="994">
      <c r="B994" s="462"/>
      <c r="C994" s="671"/>
      <c r="D994" s="462"/>
      <c r="E994" s="654"/>
      <c r="F994" s="650"/>
      <c r="G994" s="654"/>
      <c r="H994" s="654"/>
      <c r="I994" s="650"/>
      <c r="J994" s="650"/>
      <c r="K994" s="655"/>
      <c r="L994" s="655"/>
      <c r="M994" s="655"/>
      <c r="N994" s="655"/>
      <c r="O994" s="655"/>
      <c r="P994" s="655"/>
      <c r="Q994" s="655"/>
      <c r="R994" s="655"/>
      <c r="S994" s="655"/>
      <c r="T994" s="655"/>
      <c r="U994" s="655"/>
      <c r="V994" s="655"/>
      <c r="W994" s="655"/>
      <c r="X994" s="655"/>
      <c r="Y994" s="655"/>
      <c r="Z994" s="655"/>
    </row>
    <row r="995">
      <c r="B995" s="462"/>
      <c r="C995" s="671"/>
      <c r="D995" s="462"/>
      <c r="E995" s="654"/>
      <c r="F995" s="650"/>
      <c r="G995" s="654"/>
      <c r="H995" s="654"/>
      <c r="I995" s="650"/>
      <c r="J995" s="650"/>
      <c r="K995" s="655"/>
      <c r="L995" s="655"/>
      <c r="M995" s="655"/>
      <c r="N995" s="655"/>
      <c r="O995" s="655"/>
      <c r="P995" s="655"/>
      <c r="Q995" s="655"/>
      <c r="R995" s="655"/>
      <c r="S995" s="655"/>
      <c r="T995" s="655"/>
      <c r="U995" s="655"/>
      <c r="V995" s="655"/>
      <c r="W995" s="655"/>
      <c r="X995" s="655"/>
      <c r="Y995" s="655"/>
      <c r="Z995" s="655"/>
    </row>
    <row r="996">
      <c r="B996" s="462"/>
      <c r="C996" s="671"/>
      <c r="D996" s="462"/>
      <c r="E996" s="654"/>
      <c r="F996" s="650"/>
      <c r="G996" s="654"/>
      <c r="H996" s="654"/>
      <c r="I996" s="650"/>
      <c r="J996" s="650"/>
      <c r="K996" s="655"/>
      <c r="L996" s="655"/>
      <c r="M996" s="655"/>
      <c r="N996" s="655"/>
      <c r="O996" s="655"/>
      <c r="P996" s="655"/>
      <c r="Q996" s="655"/>
      <c r="R996" s="655"/>
      <c r="S996" s="655"/>
      <c r="T996" s="655"/>
      <c r="U996" s="655"/>
      <c r="V996" s="655"/>
      <c r="W996" s="655"/>
      <c r="X996" s="655"/>
      <c r="Y996" s="655"/>
      <c r="Z996" s="655"/>
    </row>
    <row r="997">
      <c r="B997" s="462"/>
      <c r="C997" s="671"/>
      <c r="D997" s="462"/>
      <c r="E997" s="654"/>
      <c r="F997" s="650"/>
      <c r="G997" s="654"/>
      <c r="H997" s="654"/>
      <c r="I997" s="650"/>
      <c r="J997" s="650"/>
      <c r="K997" s="655"/>
      <c r="L997" s="655"/>
      <c r="M997" s="655"/>
      <c r="N997" s="655"/>
      <c r="O997" s="655"/>
      <c r="P997" s="655"/>
      <c r="Q997" s="655"/>
      <c r="R997" s="655"/>
      <c r="S997" s="655"/>
      <c r="T997" s="655"/>
      <c r="U997" s="655"/>
      <c r="V997" s="655"/>
      <c r="W997" s="655"/>
      <c r="X997" s="655"/>
      <c r="Y997" s="655"/>
      <c r="Z997" s="655"/>
    </row>
    <row r="998">
      <c r="B998" s="462"/>
      <c r="C998" s="671"/>
      <c r="D998" s="462"/>
      <c r="E998" s="654"/>
      <c r="F998" s="650"/>
      <c r="G998" s="654"/>
      <c r="H998" s="654"/>
      <c r="I998" s="650"/>
      <c r="J998" s="650"/>
      <c r="K998" s="655"/>
      <c r="L998" s="655"/>
      <c r="M998" s="655"/>
      <c r="N998" s="655"/>
      <c r="O998" s="655"/>
      <c r="P998" s="655"/>
      <c r="Q998" s="655"/>
      <c r="R998" s="655"/>
      <c r="S998" s="655"/>
      <c r="T998" s="655"/>
      <c r="U998" s="655"/>
      <c r="V998" s="655"/>
      <c r="W998" s="655"/>
      <c r="X998" s="655"/>
      <c r="Y998" s="655"/>
      <c r="Z998" s="655"/>
    </row>
    <row r="999">
      <c r="B999" s="462"/>
      <c r="C999" s="671"/>
      <c r="D999" s="462"/>
      <c r="E999" s="654"/>
      <c r="F999" s="650"/>
      <c r="G999" s="654"/>
      <c r="H999" s="654"/>
      <c r="I999" s="650"/>
      <c r="J999" s="650"/>
      <c r="K999" s="655"/>
      <c r="L999" s="655"/>
      <c r="M999" s="655"/>
      <c r="N999" s="655"/>
      <c r="O999" s="655"/>
      <c r="P999" s="655"/>
      <c r="Q999" s="655"/>
      <c r="R999" s="655"/>
      <c r="S999" s="655"/>
      <c r="T999" s="655"/>
      <c r="U999" s="655"/>
      <c r="V999" s="655"/>
      <c r="W999" s="655"/>
      <c r="X999" s="655"/>
      <c r="Y999" s="655"/>
      <c r="Z999" s="655"/>
    </row>
    <row r="1000">
      <c r="B1000" s="462"/>
      <c r="C1000" s="671"/>
      <c r="D1000" s="462"/>
      <c r="E1000" s="654"/>
      <c r="F1000" s="650"/>
      <c r="G1000" s="654"/>
      <c r="H1000" s="654"/>
      <c r="I1000" s="650"/>
      <c r="J1000" s="650"/>
      <c r="K1000" s="655"/>
      <c r="L1000" s="655"/>
      <c r="M1000" s="655"/>
      <c r="N1000" s="655"/>
      <c r="O1000" s="655"/>
      <c r="P1000" s="655"/>
      <c r="Q1000" s="655"/>
      <c r="R1000" s="655"/>
      <c r="S1000" s="655"/>
      <c r="T1000" s="655"/>
      <c r="U1000" s="655"/>
      <c r="V1000" s="655"/>
      <c r="W1000" s="655"/>
      <c r="X1000" s="655"/>
      <c r="Y1000" s="655"/>
      <c r="Z1000" s="655"/>
    </row>
    <row r="1001">
      <c r="B1001" s="462"/>
      <c r="C1001" s="671"/>
      <c r="D1001" s="462"/>
      <c r="E1001" s="654"/>
      <c r="F1001" s="650"/>
      <c r="G1001" s="654"/>
      <c r="H1001" s="654"/>
      <c r="I1001" s="650"/>
      <c r="J1001" s="650"/>
      <c r="K1001" s="655"/>
      <c r="L1001" s="655"/>
      <c r="M1001" s="655"/>
      <c r="N1001" s="655"/>
      <c r="O1001" s="655"/>
      <c r="P1001" s="655"/>
      <c r="Q1001" s="655"/>
      <c r="R1001" s="655"/>
      <c r="S1001" s="655"/>
      <c r="T1001" s="655"/>
      <c r="U1001" s="655"/>
      <c r="V1001" s="655"/>
      <c r="W1001" s="655"/>
      <c r="X1001" s="655"/>
      <c r="Y1001" s="655"/>
      <c r="Z1001" s="655"/>
    </row>
    <row r="1002">
      <c r="B1002" s="462"/>
      <c r="C1002" s="671"/>
      <c r="D1002" s="462"/>
      <c r="E1002" s="654"/>
      <c r="F1002" s="650"/>
      <c r="G1002" s="654"/>
      <c r="H1002" s="654"/>
      <c r="I1002" s="650"/>
      <c r="J1002" s="650"/>
      <c r="K1002" s="655"/>
      <c r="L1002" s="655"/>
      <c r="M1002" s="655"/>
      <c r="N1002" s="655"/>
      <c r="O1002" s="655"/>
      <c r="P1002" s="655"/>
      <c r="Q1002" s="655"/>
      <c r="R1002" s="655"/>
      <c r="S1002" s="655"/>
      <c r="T1002" s="655"/>
      <c r="U1002" s="655"/>
      <c r="V1002" s="655"/>
      <c r="W1002" s="655"/>
      <c r="X1002" s="655"/>
      <c r="Y1002" s="655"/>
      <c r="Z1002" s="655"/>
    </row>
    <row r="1003">
      <c r="B1003" s="462"/>
      <c r="C1003" s="671"/>
      <c r="D1003" s="462"/>
      <c r="E1003" s="654"/>
      <c r="F1003" s="650"/>
      <c r="G1003" s="654"/>
      <c r="H1003" s="654"/>
      <c r="I1003" s="650"/>
      <c r="J1003" s="650"/>
      <c r="K1003" s="655"/>
      <c r="L1003" s="655"/>
      <c r="M1003" s="655"/>
      <c r="N1003" s="655"/>
      <c r="O1003" s="655"/>
      <c r="P1003" s="655"/>
      <c r="Q1003" s="655"/>
      <c r="R1003" s="655"/>
      <c r="S1003" s="655"/>
      <c r="T1003" s="655"/>
      <c r="U1003" s="655"/>
      <c r="V1003" s="655"/>
      <c r="W1003" s="655"/>
      <c r="X1003" s="655"/>
      <c r="Y1003" s="655"/>
      <c r="Z1003" s="655"/>
    </row>
    <row r="1004">
      <c r="B1004" s="462"/>
      <c r="C1004" s="671"/>
      <c r="D1004" s="462"/>
      <c r="E1004" s="654"/>
      <c r="F1004" s="650"/>
      <c r="G1004" s="654"/>
      <c r="H1004" s="654"/>
      <c r="I1004" s="650"/>
      <c r="J1004" s="650"/>
      <c r="K1004" s="655"/>
      <c r="L1004" s="655"/>
      <c r="M1004" s="655"/>
      <c r="N1004" s="655"/>
      <c r="O1004" s="655"/>
      <c r="P1004" s="655"/>
      <c r="Q1004" s="655"/>
      <c r="R1004" s="655"/>
      <c r="S1004" s="655"/>
      <c r="T1004" s="655"/>
      <c r="U1004" s="655"/>
      <c r="V1004" s="655"/>
      <c r="W1004" s="655"/>
      <c r="X1004" s="655"/>
      <c r="Y1004" s="655"/>
      <c r="Z1004" s="655"/>
    </row>
    <row r="1005">
      <c r="B1005" s="462"/>
      <c r="C1005" s="671"/>
      <c r="D1005" s="462"/>
      <c r="E1005" s="654"/>
      <c r="F1005" s="650"/>
      <c r="G1005" s="654"/>
      <c r="H1005" s="654"/>
      <c r="I1005" s="650"/>
      <c r="J1005" s="650"/>
      <c r="K1005" s="655"/>
      <c r="L1005" s="655"/>
      <c r="M1005" s="655"/>
      <c r="N1005" s="655"/>
      <c r="O1005" s="655"/>
      <c r="P1005" s="655"/>
      <c r="Q1005" s="655"/>
      <c r="R1005" s="655"/>
      <c r="S1005" s="655"/>
      <c r="T1005" s="655"/>
      <c r="U1005" s="655"/>
      <c r="V1005" s="655"/>
      <c r="W1005" s="655"/>
      <c r="X1005" s="655"/>
      <c r="Y1005" s="655"/>
      <c r="Z1005" s="655"/>
    </row>
    <row r="1006">
      <c r="B1006" s="462"/>
      <c r="C1006" s="671"/>
      <c r="D1006" s="462"/>
      <c r="E1006" s="654"/>
      <c r="F1006" s="650"/>
      <c r="G1006" s="654"/>
      <c r="H1006" s="654"/>
      <c r="I1006" s="650"/>
      <c r="J1006" s="650"/>
      <c r="K1006" s="655"/>
      <c r="L1006" s="655"/>
      <c r="M1006" s="655"/>
      <c r="N1006" s="655"/>
      <c r="O1006" s="655"/>
      <c r="P1006" s="655"/>
      <c r="Q1006" s="655"/>
      <c r="R1006" s="655"/>
      <c r="S1006" s="655"/>
      <c r="T1006" s="655"/>
      <c r="U1006" s="655"/>
      <c r="V1006" s="655"/>
      <c r="W1006" s="655"/>
      <c r="X1006" s="655"/>
      <c r="Y1006" s="655"/>
      <c r="Z1006" s="655"/>
    </row>
    <row r="1007">
      <c r="B1007" s="462"/>
      <c r="C1007" s="671"/>
      <c r="D1007" s="462"/>
      <c r="E1007" s="654"/>
      <c r="F1007" s="650"/>
      <c r="G1007" s="654"/>
      <c r="H1007" s="654"/>
      <c r="I1007" s="650"/>
      <c r="J1007" s="650"/>
      <c r="K1007" s="655"/>
      <c r="L1007" s="655"/>
      <c r="M1007" s="655"/>
      <c r="N1007" s="655"/>
      <c r="O1007" s="655"/>
      <c r="P1007" s="655"/>
      <c r="Q1007" s="655"/>
      <c r="R1007" s="655"/>
      <c r="S1007" s="655"/>
      <c r="T1007" s="655"/>
      <c r="U1007" s="655"/>
      <c r="V1007" s="655"/>
      <c r="W1007" s="655"/>
      <c r="X1007" s="655"/>
      <c r="Y1007" s="655"/>
      <c r="Z1007" s="655"/>
    </row>
    <row r="1008">
      <c r="B1008" s="462"/>
      <c r="C1008" s="671"/>
      <c r="D1008" s="462"/>
      <c r="E1008" s="654"/>
      <c r="F1008" s="650"/>
      <c r="G1008" s="654"/>
      <c r="H1008" s="654"/>
      <c r="I1008" s="650"/>
      <c r="J1008" s="650"/>
      <c r="K1008" s="655"/>
      <c r="L1008" s="655"/>
      <c r="M1008" s="655"/>
      <c r="N1008" s="655"/>
      <c r="O1008" s="655"/>
      <c r="P1008" s="655"/>
      <c r="Q1008" s="655"/>
      <c r="R1008" s="655"/>
      <c r="S1008" s="655"/>
      <c r="T1008" s="655"/>
      <c r="U1008" s="655"/>
      <c r="V1008" s="655"/>
      <c r="W1008" s="655"/>
      <c r="X1008" s="655"/>
      <c r="Y1008" s="655"/>
      <c r="Z1008" s="655"/>
    </row>
    <row r="1009">
      <c r="B1009" s="462"/>
      <c r="C1009" s="671"/>
      <c r="D1009" s="462"/>
      <c r="E1009" s="654"/>
      <c r="F1009" s="650"/>
      <c r="G1009" s="654"/>
      <c r="H1009" s="654"/>
      <c r="I1009" s="650"/>
      <c r="J1009" s="650"/>
      <c r="K1009" s="655"/>
      <c r="L1009" s="655"/>
      <c r="M1009" s="655"/>
      <c r="N1009" s="655"/>
      <c r="O1009" s="655"/>
      <c r="P1009" s="655"/>
      <c r="Q1009" s="655"/>
      <c r="R1009" s="655"/>
      <c r="S1009" s="655"/>
      <c r="T1009" s="655"/>
      <c r="U1009" s="655"/>
      <c r="V1009" s="655"/>
      <c r="W1009" s="655"/>
      <c r="X1009" s="655"/>
      <c r="Y1009" s="655"/>
      <c r="Z1009" s="655"/>
    </row>
    <row r="1010">
      <c r="B1010" s="462"/>
      <c r="C1010" s="671"/>
      <c r="D1010" s="462"/>
      <c r="E1010" s="654"/>
      <c r="F1010" s="650"/>
      <c r="G1010" s="654"/>
      <c r="H1010" s="654"/>
      <c r="I1010" s="650"/>
      <c r="J1010" s="650"/>
      <c r="K1010" s="655"/>
      <c r="L1010" s="655"/>
      <c r="M1010" s="655"/>
      <c r="N1010" s="655"/>
      <c r="O1010" s="655"/>
      <c r="P1010" s="655"/>
      <c r="Q1010" s="655"/>
      <c r="R1010" s="655"/>
      <c r="S1010" s="655"/>
      <c r="T1010" s="655"/>
      <c r="U1010" s="655"/>
      <c r="V1010" s="655"/>
      <c r="W1010" s="655"/>
      <c r="X1010" s="655"/>
      <c r="Y1010" s="655"/>
      <c r="Z1010" s="655"/>
    </row>
    <row r="1011">
      <c r="B1011" s="462"/>
      <c r="C1011" s="671"/>
      <c r="D1011" s="462"/>
      <c r="E1011" s="654"/>
      <c r="F1011" s="650"/>
      <c r="G1011" s="654"/>
      <c r="H1011" s="654"/>
      <c r="I1011" s="650"/>
      <c r="J1011" s="650"/>
      <c r="K1011" s="655"/>
      <c r="L1011" s="655"/>
      <c r="M1011" s="655"/>
      <c r="N1011" s="655"/>
      <c r="O1011" s="655"/>
      <c r="P1011" s="655"/>
      <c r="Q1011" s="655"/>
      <c r="R1011" s="655"/>
      <c r="S1011" s="655"/>
      <c r="T1011" s="655"/>
      <c r="U1011" s="655"/>
      <c r="V1011" s="655"/>
      <c r="W1011" s="655"/>
      <c r="X1011" s="655"/>
      <c r="Y1011" s="655"/>
      <c r="Z1011" s="655"/>
    </row>
    <row r="1012">
      <c r="B1012" s="462"/>
      <c r="C1012" s="671"/>
      <c r="D1012" s="462"/>
      <c r="E1012" s="654"/>
      <c r="F1012" s="650"/>
      <c r="G1012" s="654"/>
      <c r="H1012" s="654"/>
      <c r="I1012" s="650"/>
      <c r="J1012" s="650"/>
      <c r="K1012" s="655"/>
      <c r="L1012" s="655"/>
      <c r="M1012" s="655"/>
      <c r="N1012" s="655"/>
      <c r="O1012" s="655"/>
      <c r="P1012" s="655"/>
      <c r="Q1012" s="655"/>
      <c r="R1012" s="655"/>
      <c r="S1012" s="655"/>
      <c r="T1012" s="655"/>
      <c r="U1012" s="655"/>
      <c r="V1012" s="655"/>
      <c r="W1012" s="655"/>
      <c r="X1012" s="655"/>
      <c r="Y1012" s="655"/>
      <c r="Z1012" s="655"/>
    </row>
    <row r="1013">
      <c r="B1013" s="462"/>
      <c r="C1013" s="671"/>
      <c r="D1013" s="462"/>
      <c r="E1013" s="654"/>
      <c r="F1013" s="650"/>
      <c r="G1013" s="654"/>
      <c r="H1013" s="654"/>
      <c r="I1013" s="650"/>
      <c r="J1013" s="650"/>
      <c r="K1013" s="655"/>
      <c r="L1013" s="655"/>
      <c r="M1013" s="655"/>
      <c r="N1013" s="655"/>
      <c r="O1013" s="655"/>
      <c r="P1013" s="655"/>
      <c r="Q1013" s="655"/>
      <c r="R1013" s="655"/>
      <c r="S1013" s="655"/>
      <c r="T1013" s="655"/>
      <c r="U1013" s="655"/>
      <c r="V1013" s="655"/>
      <c r="W1013" s="655"/>
      <c r="X1013" s="655"/>
      <c r="Y1013" s="655"/>
      <c r="Z1013" s="655"/>
    </row>
    <row r="1014">
      <c r="B1014" s="462"/>
      <c r="C1014" s="671"/>
      <c r="D1014" s="462"/>
      <c r="E1014" s="654"/>
      <c r="F1014" s="650"/>
      <c r="G1014" s="654"/>
      <c r="H1014" s="654"/>
      <c r="I1014" s="650"/>
      <c r="J1014" s="650"/>
      <c r="K1014" s="655"/>
      <c r="L1014" s="655"/>
      <c r="M1014" s="655"/>
      <c r="N1014" s="655"/>
      <c r="O1014" s="655"/>
      <c r="P1014" s="655"/>
      <c r="Q1014" s="655"/>
      <c r="R1014" s="655"/>
      <c r="S1014" s="655"/>
      <c r="T1014" s="655"/>
      <c r="U1014" s="655"/>
      <c r="V1014" s="655"/>
      <c r="W1014" s="655"/>
      <c r="X1014" s="655"/>
      <c r="Y1014" s="655"/>
      <c r="Z1014" s="655"/>
    </row>
    <row r="1015">
      <c r="B1015" s="462"/>
      <c r="C1015" s="671"/>
      <c r="D1015" s="462"/>
      <c r="E1015" s="654"/>
      <c r="F1015" s="650"/>
      <c r="G1015" s="654"/>
      <c r="H1015" s="654"/>
      <c r="I1015" s="650"/>
      <c r="J1015" s="650"/>
      <c r="K1015" s="655"/>
      <c r="L1015" s="655"/>
      <c r="M1015" s="655"/>
      <c r="N1015" s="655"/>
      <c r="O1015" s="655"/>
      <c r="P1015" s="655"/>
      <c r="Q1015" s="655"/>
      <c r="R1015" s="655"/>
      <c r="S1015" s="655"/>
      <c r="T1015" s="655"/>
      <c r="U1015" s="655"/>
      <c r="V1015" s="655"/>
      <c r="W1015" s="655"/>
      <c r="X1015" s="655"/>
      <c r="Y1015" s="655"/>
      <c r="Z1015" s="655"/>
    </row>
    <row r="1016">
      <c r="B1016" s="462"/>
      <c r="C1016" s="671"/>
      <c r="D1016" s="462"/>
      <c r="E1016" s="654"/>
      <c r="F1016" s="650"/>
      <c r="G1016" s="654"/>
      <c r="H1016" s="654"/>
      <c r="I1016" s="650"/>
      <c r="J1016" s="650"/>
      <c r="K1016" s="655"/>
      <c r="L1016" s="655"/>
      <c r="M1016" s="655"/>
      <c r="N1016" s="655"/>
      <c r="O1016" s="655"/>
      <c r="P1016" s="655"/>
      <c r="Q1016" s="655"/>
      <c r="R1016" s="655"/>
      <c r="S1016" s="655"/>
      <c r="T1016" s="655"/>
      <c r="U1016" s="655"/>
      <c r="V1016" s="655"/>
      <c r="W1016" s="655"/>
      <c r="X1016" s="655"/>
      <c r="Y1016" s="655"/>
      <c r="Z1016" s="655"/>
    </row>
    <row r="1017">
      <c r="B1017" s="462"/>
      <c r="C1017" s="671"/>
      <c r="D1017" s="462"/>
      <c r="E1017" s="654"/>
      <c r="F1017" s="650"/>
      <c r="G1017" s="654"/>
      <c r="H1017" s="654"/>
      <c r="I1017" s="650"/>
      <c r="J1017" s="650"/>
      <c r="K1017" s="655"/>
      <c r="L1017" s="655"/>
      <c r="M1017" s="655"/>
      <c r="N1017" s="655"/>
      <c r="O1017" s="655"/>
      <c r="P1017" s="655"/>
      <c r="Q1017" s="655"/>
      <c r="R1017" s="655"/>
      <c r="S1017" s="655"/>
      <c r="T1017" s="655"/>
      <c r="U1017" s="655"/>
      <c r="V1017" s="655"/>
      <c r="W1017" s="655"/>
      <c r="X1017" s="655"/>
      <c r="Y1017" s="655"/>
      <c r="Z1017" s="655"/>
    </row>
    <row r="1018">
      <c r="B1018" s="462"/>
      <c r="C1018" s="671"/>
      <c r="D1018" s="462"/>
      <c r="E1018" s="654"/>
      <c r="F1018" s="650"/>
      <c r="G1018" s="654"/>
      <c r="H1018" s="654"/>
      <c r="I1018" s="650"/>
      <c r="J1018" s="650"/>
      <c r="K1018" s="655"/>
      <c r="L1018" s="655"/>
      <c r="M1018" s="655"/>
      <c r="N1018" s="655"/>
      <c r="O1018" s="655"/>
      <c r="P1018" s="655"/>
      <c r="Q1018" s="655"/>
      <c r="R1018" s="655"/>
      <c r="S1018" s="655"/>
      <c r="T1018" s="655"/>
      <c r="U1018" s="655"/>
      <c r="V1018" s="655"/>
      <c r="W1018" s="655"/>
      <c r="X1018" s="655"/>
      <c r="Y1018" s="655"/>
      <c r="Z1018" s="655"/>
    </row>
    <row r="1019">
      <c r="B1019" s="462"/>
      <c r="C1019" s="671"/>
      <c r="D1019" s="462"/>
      <c r="E1019" s="654"/>
      <c r="F1019" s="650"/>
      <c r="G1019" s="654"/>
      <c r="H1019" s="654"/>
      <c r="I1019" s="650"/>
      <c r="J1019" s="650"/>
      <c r="K1019" s="655"/>
      <c r="L1019" s="655"/>
      <c r="M1019" s="655"/>
      <c r="N1019" s="655"/>
      <c r="O1019" s="655"/>
      <c r="P1019" s="655"/>
      <c r="Q1019" s="655"/>
      <c r="R1019" s="655"/>
      <c r="S1019" s="655"/>
      <c r="T1019" s="655"/>
      <c r="U1019" s="655"/>
      <c r="V1019" s="655"/>
      <c r="W1019" s="655"/>
      <c r="X1019" s="655"/>
      <c r="Y1019" s="655"/>
      <c r="Z1019" s="655"/>
    </row>
    <row r="1020">
      <c r="B1020" s="462"/>
      <c r="C1020" s="671"/>
      <c r="D1020" s="462"/>
      <c r="E1020" s="654"/>
      <c r="F1020" s="650"/>
      <c r="G1020" s="654"/>
      <c r="H1020" s="654"/>
      <c r="I1020" s="650"/>
      <c r="J1020" s="650"/>
      <c r="K1020" s="655"/>
      <c r="L1020" s="655"/>
      <c r="M1020" s="655"/>
      <c r="N1020" s="655"/>
      <c r="O1020" s="655"/>
      <c r="P1020" s="655"/>
      <c r="Q1020" s="655"/>
      <c r="R1020" s="655"/>
      <c r="S1020" s="655"/>
      <c r="T1020" s="655"/>
      <c r="U1020" s="655"/>
      <c r="V1020" s="655"/>
      <c r="W1020" s="655"/>
      <c r="X1020" s="655"/>
      <c r="Y1020" s="655"/>
      <c r="Z1020" s="655"/>
    </row>
    <row r="1021">
      <c r="B1021" s="462"/>
      <c r="C1021" s="671"/>
      <c r="D1021" s="462"/>
      <c r="E1021" s="654"/>
      <c r="F1021" s="650"/>
      <c r="G1021" s="654"/>
      <c r="H1021" s="654"/>
      <c r="I1021" s="650"/>
      <c r="J1021" s="650"/>
      <c r="K1021" s="655"/>
      <c r="L1021" s="655"/>
      <c r="M1021" s="655"/>
      <c r="N1021" s="655"/>
      <c r="O1021" s="655"/>
      <c r="P1021" s="655"/>
      <c r="Q1021" s="655"/>
      <c r="R1021" s="655"/>
      <c r="S1021" s="655"/>
      <c r="T1021" s="655"/>
      <c r="U1021" s="655"/>
      <c r="V1021" s="655"/>
      <c r="W1021" s="655"/>
      <c r="X1021" s="655"/>
      <c r="Y1021" s="655"/>
      <c r="Z1021" s="655"/>
    </row>
    <row r="1022">
      <c r="B1022" s="462"/>
      <c r="C1022" s="671"/>
      <c r="D1022" s="462"/>
      <c r="E1022" s="654"/>
      <c r="F1022" s="650"/>
      <c r="G1022" s="654"/>
      <c r="H1022" s="654"/>
      <c r="I1022" s="650"/>
      <c r="J1022" s="650"/>
      <c r="K1022" s="655"/>
      <c r="L1022" s="655"/>
      <c r="M1022" s="655"/>
      <c r="N1022" s="655"/>
      <c r="O1022" s="655"/>
      <c r="P1022" s="655"/>
      <c r="Q1022" s="655"/>
      <c r="R1022" s="655"/>
      <c r="S1022" s="655"/>
      <c r="T1022" s="655"/>
      <c r="U1022" s="655"/>
      <c r="V1022" s="655"/>
      <c r="W1022" s="655"/>
      <c r="X1022" s="655"/>
      <c r="Y1022" s="655"/>
      <c r="Z1022" s="655"/>
    </row>
    <row r="1023">
      <c r="B1023" s="462"/>
      <c r="C1023" s="671"/>
      <c r="D1023" s="462"/>
      <c r="E1023" s="654"/>
      <c r="F1023" s="650"/>
      <c r="G1023" s="654"/>
      <c r="H1023" s="654"/>
      <c r="I1023" s="650"/>
      <c r="J1023" s="650"/>
      <c r="K1023" s="655"/>
      <c r="L1023" s="655"/>
      <c r="M1023" s="655"/>
      <c r="N1023" s="655"/>
      <c r="O1023" s="655"/>
      <c r="P1023" s="655"/>
      <c r="Q1023" s="655"/>
      <c r="R1023" s="655"/>
      <c r="S1023" s="655"/>
      <c r="T1023" s="655"/>
      <c r="U1023" s="655"/>
      <c r="V1023" s="655"/>
      <c r="W1023" s="655"/>
      <c r="X1023" s="655"/>
      <c r="Y1023" s="655"/>
      <c r="Z1023" s="655"/>
    </row>
    <row r="1024">
      <c r="B1024" s="462"/>
      <c r="C1024" s="671"/>
      <c r="D1024" s="462"/>
      <c r="E1024" s="654"/>
      <c r="F1024" s="650"/>
      <c r="G1024" s="654"/>
      <c r="H1024" s="654"/>
      <c r="I1024" s="650"/>
      <c r="J1024" s="650"/>
      <c r="K1024" s="655"/>
      <c r="L1024" s="655"/>
      <c r="M1024" s="655"/>
      <c r="N1024" s="655"/>
      <c r="O1024" s="655"/>
      <c r="P1024" s="655"/>
      <c r="Q1024" s="655"/>
      <c r="R1024" s="655"/>
      <c r="S1024" s="655"/>
      <c r="T1024" s="655"/>
      <c r="U1024" s="655"/>
      <c r="V1024" s="655"/>
      <c r="W1024" s="655"/>
      <c r="X1024" s="655"/>
      <c r="Y1024" s="655"/>
      <c r="Z1024" s="655"/>
    </row>
    <row r="1025">
      <c r="B1025" s="462"/>
      <c r="C1025" s="671"/>
      <c r="D1025" s="462"/>
      <c r="E1025" s="654"/>
      <c r="F1025" s="650"/>
      <c r="G1025" s="654"/>
      <c r="H1025" s="654"/>
      <c r="I1025" s="650"/>
      <c r="J1025" s="650"/>
      <c r="K1025" s="655"/>
      <c r="L1025" s="655"/>
      <c r="M1025" s="655"/>
      <c r="N1025" s="655"/>
      <c r="O1025" s="655"/>
      <c r="P1025" s="655"/>
      <c r="Q1025" s="655"/>
      <c r="R1025" s="655"/>
      <c r="S1025" s="655"/>
      <c r="T1025" s="655"/>
      <c r="U1025" s="655"/>
      <c r="V1025" s="655"/>
      <c r="W1025" s="655"/>
      <c r="X1025" s="655"/>
      <c r="Y1025" s="655"/>
      <c r="Z1025" s="655"/>
    </row>
    <row r="1026">
      <c r="B1026" s="462"/>
      <c r="C1026" s="671"/>
      <c r="D1026" s="462"/>
      <c r="E1026" s="654"/>
      <c r="F1026" s="650"/>
      <c r="G1026" s="654"/>
      <c r="H1026" s="654"/>
      <c r="I1026" s="650"/>
      <c r="J1026" s="650"/>
      <c r="K1026" s="655"/>
      <c r="L1026" s="655"/>
      <c r="M1026" s="655"/>
      <c r="N1026" s="655"/>
      <c r="O1026" s="655"/>
      <c r="P1026" s="655"/>
      <c r="Q1026" s="655"/>
      <c r="R1026" s="655"/>
      <c r="S1026" s="655"/>
      <c r="T1026" s="655"/>
      <c r="U1026" s="655"/>
      <c r="V1026" s="655"/>
      <c r="W1026" s="655"/>
      <c r="X1026" s="655"/>
      <c r="Y1026" s="655"/>
      <c r="Z1026" s="655"/>
    </row>
    <row r="1027">
      <c r="B1027" s="462"/>
      <c r="C1027" s="671"/>
      <c r="D1027" s="462"/>
      <c r="E1027" s="654"/>
      <c r="F1027" s="650"/>
      <c r="G1027" s="654"/>
      <c r="H1027" s="654"/>
      <c r="I1027" s="650"/>
      <c r="J1027" s="650"/>
      <c r="K1027" s="655"/>
      <c r="L1027" s="655"/>
      <c r="M1027" s="655"/>
      <c r="N1027" s="655"/>
      <c r="O1027" s="655"/>
      <c r="P1027" s="655"/>
      <c r="Q1027" s="655"/>
      <c r="R1027" s="655"/>
      <c r="S1027" s="655"/>
      <c r="T1027" s="655"/>
      <c r="U1027" s="655"/>
      <c r="V1027" s="655"/>
      <c r="W1027" s="655"/>
      <c r="X1027" s="655"/>
      <c r="Y1027" s="655"/>
      <c r="Z1027" s="655"/>
    </row>
    <row r="1028">
      <c r="B1028" s="462"/>
      <c r="C1028" s="671"/>
      <c r="D1028" s="462"/>
      <c r="E1028" s="654"/>
      <c r="F1028" s="650"/>
      <c r="G1028" s="654"/>
      <c r="H1028" s="654"/>
      <c r="I1028" s="650"/>
      <c r="J1028" s="650"/>
      <c r="K1028" s="655"/>
      <c r="L1028" s="655"/>
      <c r="M1028" s="655"/>
      <c r="N1028" s="655"/>
      <c r="O1028" s="655"/>
      <c r="P1028" s="655"/>
      <c r="Q1028" s="655"/>
      <c r="R1028" s="655"/>
      <c r="S1028" s="655"/>
      <c r="T1028" s="655"/>
      <c r="U1028" s="655"/>
      <c r="V1028" s="655"/>
      <c r="W1028" s="655"/>
      <c r="X1028" s="655"/>
      <c r="Y1028" s="655"/>
      <c r="Z1028" s="655"/>
    </row>
    <row r="1029">
      <c r="B1029" s="462"/>
      <c r="C1029" s="671"/>
      <c r="D1029" s="462"/>
      <c r="E1029" s="654"/>
      <c r="F1029" s="650"/>
      <c r="G1029" s="654"/>
      <c r="H1029" s="654"/>
      <c r="I1029" s="650"/>
      <c r="J1029" s="650"/>
      <c r="K1029" s="655"/>
      <c r="L1029" s="655"/>
      <c r="M1029" s="655"/>
      <c r="N1029" s="655"/>
      <c r="O1029" s="655"/>
      <c r="P1029" s="655"/>
      <c r="Q1029" s="655"/>
      <c r="R1029" s="655"/>
      <c r="S1029" s="655"/>
      <c r="T1029" s="655"/>
      <c r="U1029" s="655"/>
      <c r="V1029" s="655"/>
      <c r="W1029" s="655"/>
      <c r="X1029" s="655"/>
      <c r="Y1029" s="655"/>
      <c r="Z1029" s="655"/>
    </row>
    <row r="1030">
      <c r="B1030" s="462"/>
      <c r="C1030" s="671"/>
      <c r="D1030" s="462"/>
      <c r="E1030" s="654"/>
      <c r="F1030" s="650"/>
      <c r="G1030" s="654"/>
      <c r="H1030" s="654"/>
      <c r="I1030" s="650"/>
      <c r="J1030" s="650"/>
      <c r="K1030" s="655"/>
      <c r="L1030" s="655"/>
      <c r="M1030" s="655"/>
      <c r="N1030" s="655"/>
      <c r="O1030" s="655"/>
      <c r="P1030" s="655"/>
      <c r="Q1030" s="655"/>
      <c r="R1030" s="655"/>
      <c r="S1030" s="655"/>
      <c r="T1030" s="655"/>
      <c r="U1030" s="655"/>
      <c r="V1030" s="655"/>
      <c r="W1030" s="655"/>
      <c r="X1030" s="655"/>
      <c r="Y1030" s="655"/>
      <c r="Z1030" s="655"/>
    </row>
    <row r="1031">
      <c r="B1031" s="462"/>
      <c r="C1031" s="671"/>
      <c r="D1031" s="462"/>
      <c r="E1031" s="654"/>
      <c r="F1031" s="650"/>
      <c r="G1031" s="654"/>
      <c r="H1031" s="654"/>
      <c r="I1031" s="650"/>
      <c r="J1031" s="650"/>
      <c r="K1031" s="655"/>
      <c r="L1031" s="655"/>
      <c r="M1031" s="655"/>
      <c r="N1031" s="655"/>
      <c r="O1031" s="655"/>
      <c r="P1031" s="655"/>
      <c r="Q1031" s="655"/>
      <c r="R1031" s="655"/>
      <c r="S1031" s="655"/>
      <c r="T1031" s="655"/>
      <c r="U1031" s="655"/>
      <c r="V1031" s="655"/>
      <c r="W1031" s="655"/>
      <c r="X1031" s="655"/>
      <c r="Y1031" s="655"/>
      <c r="Z1031" s="655"/>
    </row>
    <row r="1032">
      <c r="B1032" s="462"/>
      <c r="C1032" s="671"/>
      <c r="D1032" s="462"/>
      <c r="E1032" s="654"/>
      <c r="F1032" s="650"/>
      <c r="G1032" s="654"/>
      <c r="H1032" s="654"/>
      <c r="I1032" s="650"/>
      <c r="J1032" s="650"/>
      <c r="K1032" s="655"/>
      <c r="L1032" s="655"/>
      <c r="M1032" s="655"/>
      <c r="N1032" s="655"/>
      <c r="O1032" s="655"/>
      <c r="P1032" s="655"/>
      <c r="Q1032" s="655"/>
      <c r="R1032" s="655"/>
      <c r="S1032" s="655"/>
      <c r="T1032" s="655"/>
      <c r="U1032" s="655"/>
      <c r="V1032" s="655"/>
      <c r="W1032" s="655"/>
      <c r="X1032" s="655"/>
      <c r="Y1032" s="655"/>
      <c r="Z1032" s="655"/>
    </row>
    <row r="1033">
      <c r="B1033" s="462"/>
      <c r="C1033" s="671"/>
      <c r="D1033" s="462"/>
      <c r="E1033" s="654"/>
      <c r="F1033" s="650"/>
      <c r="G1033" s="654"/>
      <c r="H1033" s="654"/>
      <c r="I1033" s="650"/>
      <c r="J1033" s="650"/>
      <c r="K1033" s="655"/>
      <c r="L1033" s="655"/>
      <c r="M1033" s="655"/>
      <c r="N1033" s="655"/>
      <c r="O1033" s="655"/>
      <c r="P1033" s="655"/>
      <c r="Q1033" s="655"/>
      <c r="R1033" s="655"/>
      <c r="S1033" s="655"/>
      <c r="T1033" s="655"/>
      <c r="U1033" s="655"/>
      <c r="V1033" s="655"/>
      <c r="W1033" s="655"/>
      <c r="X1033" s="655"/>
      <c r="Y1033" s="655"/>
      <c r="Z1033" s="655"/>
    </row>
    <row r="1034">
      <c r="B1034" s="462"/>
      <c r="C1034" s="671"/>
      <c r="D1034" s="462"/>
      <c r="E1034" s="654"/>
      <c r="F1034" s="650"/>
      <c r="G1034" s="654"/>
      <c r="H1034" s="654"/>
      <c r="I1034" s="650"/>
      <c r="J1034" s="650"/>
      <c r="K1034" s="655"/>
      <c r="L1034" s="655"/>
      <c r="M1034" s="655"/>
      <c r="N1034" s="655"/>
      <c r="O1034" s="655"/>
      <c r="P1034" s="655"/>
      <c r="Q1034" s="655"/>
      <c r="R1034" s="655"/>
      <c r="S1034" s="655"/>
      <c r="T1034" s="655"/>
      <c r="U1034" s="655"/>
      <c r="V1034" s="655"/>
      <c r="W1034" s="655"/>
      <c r="X1034" s="655"/>
      <c r="Y1034" s="655"/>
      <c r="Z1034" s="655"/>
    </row>
    <row r="1035">
      <c r="B1035" s="462"/>
      <c r="C1035" s="671"/>
      <c r="D1035" s="462"/>
      <c r="E1035" s="654"/>
      <c r="F1035" s="650"/>
      <c r="G1035" s="654"/>
      <c r="H1035" s="654"/>
      <c r="I1035" s="650"/>
      <c r="J1035" s="650"/>
      <c r="K1035" s="655"/>
      <c r="L1035" s="655"/>
      <c r="M1035" s="655"/>
      <c r="N1035" s="655"/>
      <c r="O1035" s="655"/>
      <c r="P1035" s="655"/>
      <c r="Q1035" s="655"/>
      <c r="R1035" s="655"/>
      <c r="S1035" s="655"/>
      <c r="T1035" s="655"/>
      <c r="U1035" s="655"/>
      <c r="V1035" s="655"/>
      <c r="W1035" s="655"/>
      <c r="X1035" s="655"/>
      <c r="Y1035" s="655"/>
      <c r="Z1035" s="655"/>
    </row>
    <row r="1036">
      <c r="B1036" s="462"/>
      <c r="C1036" s="671"/>
      <c r="D1036" s="462"/>
      <c r="E1036" s="654"/>
      <c r="F1036" s="650"/>
      <c r="G1036" s="654"/>
      <c r="H1036" s="654"/>
      <c r="I1036" s="650"/>
      <c r="J1036" s="650"/>
      <c r="K1036" s="655"/>
      <c r="L1036" s="655"/>
      <c r="M1036" s="655"/>
      <c r="N1036" s="655"/>
      <c r="O1036" s="655"/>
      <c r="P1036" s="655"/>
      <c r="Q1036" s="655"/>
      <c r="R1036" s="655"/>
      <c r="S1036" s="655"/>
      <c r="T1036" s="655"/>
      <c r="U1036" s="655"/>
      <c r="V1036" s="655"/>
      <c r="W1036" s="655"/>
      <c r="X1036" s="655"/>
      <c r="Y1036" s="655"/>
      <c r="Z1036" s="655"/>
    </row>
    <row r="1037">
      <c r="B1037" s="462"/>
      <c r="C1037" s="671"/>
      <c r="D1037" s="462"/>
      <c r="E1037" s="654"/>
      <c r="F1037" s="650"/>
      <c r="G1037" s="654"/>
      <c r="H1037" s="654"/>
      <c r="I1037" s="650"/>
      <c r="J1037" s="650"/>
      <c r="K1037" s="655"/>
      <c r="L1037" s="655"/>
      <c r="M1037" s="655"/>
      <c r="N1037" s="655"/>
      <c r="O1037" s="655"/>
      <c r="P1037" s="655"/>
      <c r="Q1037" s="655"/>
      <c r="R1037" s="655"/>
      <c r="S1037" s="655"/>
      <c r="T1037" s="655"/>
      <c r="U1037" s="655"/>
      <c r="V1037" s="655"/>
      <c r="W1037" s="655"/>
      <c r="X1037" s="655"/>
      <c r="Y1037" s="655"/>
      <c r="Z1037" s="655"/>
    </row>
    <row r="1038">
      <c r="B1038" s="462"/>
      <c r="C1038" s="671"/>
      <c r="D1038" s="462"/>
      <c r="E1038" s="654"/>
      <c r="F1038" s="650"/>
      <c r="G1038" s="654"/>
      <c r="H1038" s="654"/>
      <c r="I1038" s="650"/>
      <c r="J1038" s="650"/>
      <c r="K1038" s="655"/>
      <c r="L1038" s="655"/>
      <c r="M1038" s="655"/>
      <c r="N1038" s="655"/>
      <c r="O1038" s="655"/>
      <c r="P1038" s="655"/>
      <c r="Q1038" s="655"/>
      <c r="R1038" s="655"/>
      <c r="S1038" s="655"/>
      <c r="T1038" s="655"/>
      <c r="U1038" s="655"/>
      <c r="V1038" s="655"/>
      <c r="W1038" s="655"/>
      <c r="X1038" s="655"/>
      <c r="Y1038" s="655"/>
      <c r="Z1038" s="655"/>
    </row>
    <row r="1039">
      <c r="B1039" s="462"/>
      <c r="C1039" s="671"/>
      <c r="D1039" s="462"/>
      <c r="E1039" s="654"/>
      <c r="F1039" s="650"/>
      <c r="G1039" s="654"/>
      <c r="H1039" s="654"/>
      <c r="I1039" s="650"/>
      <c r="J1039" s="650"/>
      <c r="K1039" s="655"/>
      <c r="L1039" s="655"/>
      <c r="M1039" s="655"/>
      <c r="N1039" s="655"/>
      <c r="O1039" s="655"/>
      <c r="P1039" s="655"/>
      <c r="Q1039" s="655"/>
      <c r="R1039" s="655"/>
      <c r="S1039" s="655"/>
      <c r="T1039" s="655"/>
      <c r="U1039" s="655"/>
      <c r="V1039" s="655"/>
      <c r="W1039" s="655"/>
      <c r="X1039" s="655"/>
      <c r="Y1039" s="655"/>
      <c r="Z1039" s="655"/>
    </row>
    <row r="1040">
      <c r="B1040" s="462"/>
      <c r="C1040" s="671"/>
      <c r="D1040" s="462"/>
      <c r="E1040" s="654"/>
      <c r="F1040" s="650"/>
      <c r="G1040" s="654"/>
      <c r="H1040" s="654"/>
      <c r="I1040" s="650"/>
      <c r="J1040" s="650"/>
      <c r="K1040" s="655"/>
      <c r="L1040" s="655"/>
      <c r="M1040" s="655"/>
      <c r="N1040" s="655"/>
      <c r="O1040" s="655"/>
      <c r="P1040" s="655"/>
      <c r="Q1040" s="655"/>
      <c r="R1040" s="655"/>
      <c r="S1040" s="655"/>
      <c r="T1040" s="655"/>
      <c r="U1040" s="655"/>
      <c r="V1040" s="655"/>
      <c r="W1040" s="655"/>
      <c r="X1040" s="655"/>
      <c r="Y1040" s="655"/>
      <c r="Z1040" s="655"/>
    </row>
    <row r="1041">
      <c r="B1041" s="462"/>
      <c r="C1041" s="671"/>
      <c r="D1041" s="462"/>
      <c r="E1041" s="654"/>
      <c r="F1041" s="650"/>
      <c r="G1041" s="654"/>
      <c r="H1041" s="654"/>
      <c r="I1041" s="650"/>
      <c r="J1041" s="650"/>
      <c r="K1041" s="655"/>
      <c r="L1041" s="655"/>
      <c r="M1041" s="655"/>
      <c r="N1041" s="655"/>
      <c r="O1041" s="655"/>
      <c r="P1041" s="655"/>
      <c r="Q1041" s="655"/>
      <c r="R1041" s="655"/>
      <c r="S1041" s="655"/>
      <c r="T1041" s="655"/>
      <c r="U1041" s="655"/>
      <c r="V1041" s="655"/>
      <c r="W1041" s="655"/>
      <c r="X1041" s="655"/>
      <c r="Y1041" s="655"/>
      <c r="Z1041" s="655"/>
    </row>
    <row r="1042">
      <c r="B1042" s="462"/>
      <c r="C1042" s="671"/>
      <c r="D1042" s="462"/>
      <c r="E1042" s="654"/>
      <c r="F1042" s="650"/>
      <c r="G1042" s="654"/>
      <c r="H1042" s="654"/>
      <c r="I1042" s="650"/>
      <c r="J1042" s="650"/>
      <c r="K1042" s="655"/>
      <c r="L1042" s="655"/>
      <c r="M1042" s="655"/>
      <c r="N1042" s="655"/>
      <c r="O1042" s="655"/>
      <c r="P1042" s="655"/>
      <c r="Q1042" s="655"/>
      <c r="R1042" s="655"/>
      <c r="S1042" s="655"/>
      <c r="T1042" s="655"/>
      <c r="U1042" s="655"/>
      <c r="V1042" s="655"/>
      <c r="W1042" s="655"/>
      <c r="X1042" s="655"/>
      <c r="Y1042" s="655"/>
      <c r="Z1042" s="655"/>
    </row>
    <row r="1043">
      <c r="B1043" s="462"/>
      <c r="C1043" s="671"/>
      <c r="D1043" s="462"/>
      <c r="E1043" s="654"/>
      <c r="F1043" s="650"/>
      <c r="G1043" s="654"/>
      <c r="H1043" s="654"/>
      <c r="I1043" s="650"/>
      <c r="J1043" s="650"/>
      <c r="K1043" s="655"/>
      <c r="L1043" s="655"/>
      <c r="M1043" s="655"/>
      <c r="N1043" s="655"/>
      <c r="O1043" s="655"/>
      <c r="P1043" s="655"/>
      <c r="Q1043" s="655"/>
      <c r="R1043" s="655"/>
      <c r="S1043" s="655"/>
      <c r="T1043" s="655"/>
      <c r="U1043" s="655"/>
      <c r="V1043" s="655"/>
      <c r="W1043" s="655"/>
      <c r="X1043" s="655"/>
      <c r="Y1043" s="655"/>
      <c r="Z1043" s="655"/>
    </row>
    <row r="1044">
      <c r="B1044" s="462"/>
      <c r="C1044" s="671"/>
      <c r="D1044" s="462"/>
      <c r="E1044" s="654"/>
      <c r="F1044" s="650"/>
      <c r="G1044" s="654"/>
      <c r="H1044" s="654"/>
      <c r="I1044" s="650"/>
      <c r="J1044" s="650"/>
      <c r="K1044" s="655"/>
      <c r="L1044" s="655"/>
      <c r="M1044" s="655"/>
      <c r="N1044" s="655"/>
      <c r="O1044" s="655"/>
      <c r="P1044" s="655"/>
      <c r="Q1044" s="655"/>
      <c r="R1044" s="655"/>
      <c r="S1044" s="655"/>
      <c r="T1044" s="655"/>
      <c r="U1044" s="655"/>
      <c r="V1044" s="655"/>
      <c r="W1044" s="655"/>
      <c r="X1044" s="655"/>
      <c r="Y1044" s="655"/>
      <c r="Z1044" s="655"/>
    </row>
    <row r="1045">
      <c r="B1045" s="462"/>
      <c r="C1045" s="671"/>
      <c r="D1045" s="462"/>
      <c r="E1045" s="654"/>
      <c r="F1045" s="650"/>
      <c r="G1045" s="654"/>
      <c r="H1045" s="654"/>
      <c r="I1045" s="650"/>
      <c r="J1045" s="650"/>
      <c r="K1045" s="655"/>
      <c r="L1045" s="655"/>
      <c r="M1045" s="655"/>
      <c r="N1045" s="655"/>
      <c r="O1045" s="655"/>
      <c r="P1045" s="655"/>
      <c r="Q1045" s="655"/>
      <c r="R1045" s="655"/>
      <c r="S1045" s="655"/>
      <c r="T1045" s="655"/>
      <c r="U1045" s="655"/>
      <c r="V1045" s="655"/>
      <c r="W1045" s="655"/>
      <c r="X1045" s="655"/>
      <c r="Y1045" s="655"/>
      <c r="Z1045" s="655"/>
    </row>
    <row r="1046">
      <c r="B1046" s="462"/>
      <c r="C1046" s="671"/>
      <c r="D1046" s="462"/>
      <c r="E1046" s="654"/>
      <c r="F1046" s="650"/>
      <c r="G1046" s="654"/>
      <c r="H1046" s="654"/>
      <c r="I1046" s="650"/>
      <c r="J1046" s="650"/>
      <c r="K1046" s="655"/>
      <c r="L1046" s="655"/>
      <c r="M1046" s="655"/>
      <c r="N1046" s="655"/>
      <c r="O1046" s="655"/>
      <c r="P1046" s="655"/>
      <c r="Q1046" s="655"/>
      <c r="R1046" s="655"/>
      <c r="S1046" s="655"/>
      <c r="T1046" s="655"/>
      <c r="U1046" s="655"/>
      <c r="V1046" s="655"/>
      <c r="W1046" s="655"/>
      <c r="X1046" s="655"/>
      <c r="Y1046" s="655"/>
      <c r="Z1046" s="655"/>
    </row>
    <row r="1047">
      <c r="B1047" s="462"/>
      <c r="C1047" s="671"/>
      <c r="D1047" s="462"/>
      <c r="E1047" s="654"/>
      <c r="F1047" s="650"/>
      <c r="G1047" s="654"/>
      <c r="H1047" s="654"/>
      <c r="I1047" s="650"/>
      <c r="J1047" s="650"/>
      <c r="K1047" s="655"/>
      <c r="L1047" s="655"/>
      <c r="M1047" s="655"/>
      <c r="N1047" s="655"/>
      <c r="O1047" s="655"/>
      <c r="P1047" s="655"/>
      <c r="Q1047" s="655"/>
      <c r="R1047" s="655"/>
      <c r="S1047" s="655"/>
      <c r="T1047" s="655"/>
      <c r="U1047" s="655"/>
      <c r="V1047" s="655"/>
      <c r="W1047" s="655"/>
      <c r="X1047" s="655"/>
      <c r="Y1047" s="655"/>
      <c r="Z1047" s="655"/>
    </row>
    <row r="1048">
      <c r="B1048" s="462"/>
      <c r="C1048" s="671"/>
      <c r="D1048" s="462"/>
      <c r="E1048" s="654"/>
      <c r="F1048" s="650"/>
      <c r="G1048" s="654"/>
      <c r="H1048" s="654"/>
      <c r="I1048" s="650"/>
      <c r="J1048" s="650"/>
      <c r="K1048" s="655"/>
      <c r="L1048" s="655"/>
      <c r="M1048" s="655"/>
      <c r="N1048" s="655"/>
      <c r="O1048" s="655"/>
      <c r="P1048" s="655"/>
      <c r="Q1048" s="655"/>
      <c r="R1048" s="655"/>
      <c r="S1048" s="655"/>
      <c r="T1048" s="655"/>
      <c r="U1048" s="655"/>
      <c r="V1048" s="655"/>
      <c r="W1048" s="655"/>
      <c r="X1048" s="655"/>
      <c r="Y1048" s="655"/>
      <c r="Z1048" s="655"/>
    </row>
    <row r="1049">
      <c r="B1049" s="462"/>
      <c r="C1049" s="671"/>
      <c r="D1049" s="462"/>
      <c r="E1049" s="654"/>
      <c r="F1049" s="650"/>
      <c r="G1049" s="654"/>
      <c r="H1049" s="654"/>
      <c r="I1049" s="650"/>
      <c r="J1049" s="650"/>
      <c r="K1049" s="655"/>
      <c r="L1049" s="655"/>
      <c r="M1049" s="655"/>
      <c r="N1049" s="655"/>
      <c r="O1049" s="655"/>
      <c r="P1049" s="655"/>
      <c r="Q1049" s="655"/>
      <c r="R1049" s="655"/>
      <c r="S1049" s="655"/>
      <c r="T1049" s="655"/>
      <c r="U1049" s="655"/>
      <c r="V1049" s="655"/>
      <c r="W1049" s="655"/>
      <c r="X1049" s="655"/>
      <c r="Y1049" s="655"/>
      <c r="Z1049" s="655"/>
    </row>
    <row r="1050">
      <c r="B1050" s="462"/>
      <c r="C1050" s="671"/>
      <c r="D1050" s="462"/>
      <c r="E1050" s="654"/>
      <c r="F1050" s="650"/>
      <c r="G1050" s="654"/>
      <c r="H1050" s="654"/>
      <c r="I1050" s="650"/>
      <c r="J1050" s="650"/>
      <c r="K1050" s="655"/>
      <c r="L1050" s="655"/>
      <c r="M1050" s="655"/>
      <c r="N1050" s="655"/>
      <c r="O1050" s="655"/>
      <c r="P1050" s="655"/>
      <c r="Q1050" s="655"/>
      <c r="R1050" s="655"/>
      <c r="S1050" s="655"/>
      <c r="T1050" s="655"/>
      <c r="U1050" s="655"/>
      <c r="V1050" s="655"/>
      <c r="W1050" s="655"/>
      <c r="X1050" s="655"/>
      <c r="Y1050" s="655"/>
      <c r="Z1050" s="655"/>
    </row>
    <row r="1051">
      <c r="B1051" s="462"/>
      <c r="C1051" s="671"/>
      <c r="D1051" s="462"/>
      <c r="E1051" s="654"/>
      <c r="F1051" s="650"/>
      <c r="G1051" s="654"/>
      <c r="H1051" s="654"/>
      <c r="I1051" s="650"/>
      <c r="J1051" s="650"/>
      <c r="K1051" s="655"/>
      <c r="L1051" s="655"/>
      <c r="M1051" s="655"/>
      <c r="N1051" s="655"/>
      <c r="O1051" s="655"/>
      <c r="P1051" s="655"/>
      <c r="Q1051" s="655"/>
      <c r="R1051" s="655"/>
      <c r="S1051" s="655"/>
      <c r="T1051" s="655"/>
      <c r="U1051" s="655"/>
      <c r="V1051" s="655"/>
      <c r="W1051" s="655"/>
      <c r="X1051" s="655"/>
      <c r="Y1051" s="655"/>
      <c r="Z1051" s="655"/>
    </row>
    <row r="1052">
      <c r="B1052" s="462"/>
      <c r="C1052" s="671"/>
      <c r="D1052" s="462"/>
      <c r="E1052" s="654"/>
      <c r="F1052" s="650"/>
      <c r="G1052" s="654"/>
      <c r="H1052" s="654"/>
      <c r="I1052" s="650"/>
      <c r="J1052" s="650"/>
      <c r="K1052" s="655"/>
      <c r="L1052" s="655"/>
      <c r="M1052" s="655"/>
      <c r="N1052" s="655"/>
      <c r="O1052" s="655"/>
      <c r="P1052" s="655"/>
      <c r="Q1052" s="655"/>
      <c r="R1052" s="655"/>
      <c r="S1052" s="655"/>
      <c r="T1052" s="655"/>
      <c r="U1052" s="655"/>
      <c r="V1052" s="655"/>
      <c r="W1052" s="655"/>
      <c r="X1052" s="655"/>
      <c r="Y1052" s="655"/>
      <c r="Z1052" s="655"/>
    </row>
    <row r="1053">
      <c r="B1053" s="462"/>
      <c r="C1053" s="671"/>
      <c r="D1053" s="462"/>
      <c r="E1053" s="654"/>
      <c r="F1053" s="650"/>
      <c r="G1053" s="654"/>
      <c r="H1053" s="654"/>
      <c r="I1053" s="650"/>
      <c r="J1053" s="650"/>
      <c r="K1053" s="655"/>
      <c r="L1053" s="655"/>
      <c r="M1053" s="655"/>
      <c r="N1053" s="655"/>
      <c r="O1053" s="655"/>
      <c r="P1053" s="655"/>
      <c r="Q1053" s="655"/>
      <c r="R1053" s="655"/>
      <c r="S1053" s="655"/>
      <c r="T1053" s="655"/>
      <c r="U1053" s="655"/>
      <c r="V1053" s="655"/>
      <c r="W1053" s="655"/>
      <c r="X1053" s="655"/>
      <c r="Y1053" s="655"/>
      <c r="Z1053" s="655"/>
    </row>
    <row r="1054">
      <c r="B1054" s="462"/>
      <c r="C1054" s="671"/>
      <c r="D1054" s="462"/>
      <c r="E1054" s="654"/>
      <c r="F1054" s="650"/>
      <c r="G1054" s="654"/>
      <c r="H1054" s="654"/>
      <c r="I1054" s="650"/>
      <c r="J1054" s="650"/>
      <c r="K1054" s="655"/>
      <c r="L1054" s="655"/>
      <c r="M1054" s="655"/>
      <c r="N1054" s="655"/>
      <c r="O1054" s="655"/>
      <c r="P1054" s="655"/>
      <c r="Q1054" s="655"/>
      <c r="R1054" s="655"/>
      <c r="S1054" s="655"/>
      <c r="T1054" s="655"/>
      <c r="U1054" s="655"/>
      <c r="V1054" s="655"/>
      <c r="W1054" s="655"/>
      <c r="X1054" s="655"/>
      <c r="Y1054" s="655"/>
      <c r="Z1054" s="655"/>
    </row>
    <row r="1055">
      <c r="B1055" s="462"/>
      <c r="C1055" s="671"/>
      <c r="D1055" s="462"/>
      <c r="E1055" s="654"/>
      <c r="F1055" s="650"/>
      <c r="G1055" s="654"/>
      <c r="H1055" s="654"/>
      <c r="I1055" s="650"/>
      <c r="J1055" s="650"/>
      <c r="K1055" s="655"/>
      <c r="L1055" s="655"/>
      <c r="M1055" s="655"/>
      <c r="N1055" s="655"/>
      <c r="O1055" s="655"/>
      <c r="P1055" s="655"/>
      <c r="Q1055" s="655"/>
      <c r="R1055" s="655"/>
      <c r="S1055" s="655"/>
      <c r="T1055" s="655"/>
      <c r="U1055" s="655"/>
      <c r="V1055" s="655"/>
      <c r="W1055" s="655"/>
      <c r="X1055" s="655"/>
      <c r="Y1055" s="655"/>
      <c r="Z1055" s="655"/>
    </row>
    <row r="1056">
      <c r="B1056" s="462"/>
      <c r="C1056" s="671"/>
      <c r="D1056" s="462"/>
      <c r="E1056" s="654"/>
      <c r="F1056" s="650"/>
      <c r="G1056" s="654"/>
      <c r="H1056" s="654"/>
      <c r="I1056" s="650"/>
      <c r="J1056" s="650"/>
      <c r="K1056" s="655"/>
      <c r="L1056" s="655"/>
      <c r="M1056" s="655"/>
      <c r="N1056" s="655"/>
      <c r="O1056" s="655"/>
      <c r="P1056" s="655"/>
      <c r="Q1056" s="655"/>
      <c r="R1056" s="655"/>
      <c r="S1056" s="655"/>
      <c r="T1056" s="655"/>
      <c r="U1056" s="655"/>
      <c r="V1056" s="655"/>
      <c r="W1056" s="655"/>
      <c r="X1056" s="655"/>
      <c r="Y1056" s="655"/>
      <c r="Z1056" s="655"/>
    </row>
    <row r="1057">
      <c r="B1057" s="462"/>
      <c r="C1057" s="671"/>
      <c r="D1057" s="462"/>
      <c r="E1057" s="654"/>
      <c r="F1057" s="650"/>
      <c r="G1057" s="654"/>
      <c r="H1057" s="654"/>
      <c r="I1057" s="650"/>
      <c r="J1057" s="650"/>
      <c r="K1057" s="655"/>
      <c r="L1057" s="655"/>
      <c r="M1057" s="655"/>
      <c r="N1057" s="655"/>
      <c r="O1057" s="655"/>
      <c r="P1057" s="655"/>
      <c r="Q1057" s="655"/>
      <c r="R1057" s="655"/>
      <c r="S1057" s="655"/>
      <c r="T1057" s="655"/>
      <c r="U1057" s="655"/>
      <c r="V1057" s="655"/>
      <c r="W1057" s="655"/>
      <c r="X1057" s="655"/>
      <c r="Y1057" s="655"/>
      <c r="Z1057" s="655"/>
    </row>
    <row r="1058">
      <c r="B1058" s="462"/>
      <c r="C1058" s="671"/>
      <c r="D1058" s="462"/>
      <c r="E1058" s="654"/>
      <c r="F1058" s="650"/>
      <c r="G1058" s="654"/>
      <c r="H1058" s="654"/>
      <c r="I1058" s="650"/>
      <c r="J1058" s="650"/>
      <c r="K1058" s="655"/>
      <c r="L1058" s="655"/>
      <c r="M1058" s="655"/>
      <c r="N1058" s="655"/>
      <c r="O1058" s="655"/>
      <c r="P1058" s="655"/>
      <c r="Q1058" s="655"/>
      <c r="R1058" s="655"/>
      <c r="S1058" s="655"/>
      <c r="T1058" s="655"/>
      <c r="U1058" s="655"/>
      <c r="V1058" s="655"/>
      <c r="W1058" s="655"/>
      <c r="X1058" s="655"/>
      <c r="Y1058" s="655"/>
      <c r="Z1058" s="655"/>
    </row>
    <row r="1059">
      <c r="B1059" s="462"/>
      <c r="C1059" s="671"/>
      <c r="D1059" s="462"/>
      <c r="E1059" s="654"/>
      <c r="F1059" s="650"/>
      <c r="G1059" s="654"/>
      <c r="H1059" s="654"/>
      <c r="I1059" s="650"/>
      <c r="J1059" s="650"/>
      <c r="K1059" s="655"/>
      <c r="L1059" s="655"/>
      <c r="M1059" s="655"/>
      <c r="N1059" s="655"/>
      <c r="O1059" s="655"/>
      <c r="P1059" s="655"/>
      <c r="Q1059" s="655"/>
      <c r="R1059" s="655"/>
      <c r="S1059" s="655"/>
      <c r="T1059" s="655"/>
      <c r="U1059" s="655"/>
      <c r="V1059" s="655"/>
      <c r="W1059" s="655"/>
      <c r="X1059" s="655"/>
      <c r="Y1059" s="655"/>
      <c r="Z1059" s="655"/>
    </row>
    <row r="1060">
      <c r="B1060" s="462"/>
      <c r="C1060" s="671"/>
      <c r="D1060" s="462"/>
      <c r="E1060" s="654"/>
      <c r="F1060" s="650"/>
      <c r="G1060" s="654"/>
      <c r="H1060" s="654"/>
      <c r="I1060" s="650"/>
      <c r="J1060" s="650"/>
      <c r="K1060" s="655"/>
      <c r="L1060" s="655"/>
      <c r="M1060" s="655"/>
      <c r="N1060" s="655"/>
      <c r="O1060" s="655"/>
      <c r="P1060" s="655"/>
      <c r="Q1060" s="655"/>
      <c r="R1060" s="655"/>
      <c r="S1060" s="655"/>
      <c r="T1060" s="655"/>
      <c r="U1060" s="655"/>
      <c r="V1060" s="655"/>
      <c r="W1060" s="655"/>
      <c r="X1060" s="655"/>
      <c r="Y1060" s="655"/>
      <c r="Z1060" s="655"/>
    </row>
    <row r="1061">
      <c r="B1061" s="462"/>
      <c r="C1061" s="671"/>
      <c r="D1061" s="462"/>
      <c r="E1061" s="654"/>
      <c r="F1061" s="650"/>
      <c r="G1061" s="654"/>
      <c r="H1061" s="654"/>
      <c r="I1061" s="650"/>
      <c r="J1061" s="650"/>
      <c r="K1061" s="655"/>
      <c r="L1061" s="655"/>
      <c r="M1061" s="655"/>
      <c r="N1061" s="655"/>
      <c r="O1061" s="655"/>
      <c r="P1061" s="655"/>
      <c r="Q1061" s="655"/>
      <c r="R1061" s="655"/>
      <c r="S1061" s="655"/>
      <c r="T1061" s="655"/>
      <c r="U1061" s="655"/>
      <c r="V1061" s="655"/>
      <c r="W1061" s="655"/>
      <c r="X1061" s="655"/>
      <c r="Y1061" s="655"/>
      <c r="Z1061" s="655"/>
    </row>
    <row r="1062">
      <c r="B1062" s="462"/>
      <c r="C1062" s="671"/>
      <c r="D1062" s="462"/>
      <c r="E1062" s="654"/>
      <c r="F1062" s="650"/>
      <c r="G1062" s="654"/>
      <c r="H1062" s="654"/>
      <c r="I1062" s="650"/>
      <c r="J1062" s="650"/>
      <c r="K1062" s="655"/>
      <c r="L1062" s="655"/>
      <c r="M1062" s="655"/>
      <c r="N1062" s="655"/>
      <c r="O1062" s="655"/>
      <c r="P1062" s="655"/>
      <c r="Q1062" s="655"/>
      <c r="R1062" s="655"/>
      <c r="S1062" s="655"/>
      <c r="T1062" s="655"/>
      <c r="U1062" s="655"/>
      <c r="V1062" s="655"/>
      <c r="W1062" s="655"/>
      <c r="X1062" s="655"/>
      <c r="Y1062" s="655"/>
      <c r="Z1062" s="655"/>
    </row>
    <row r="1063">
      <c r="B1063" s="462"/>
      <c r="C1063" s="671"/>
      <c r="D1063" s="462"/>
      <c r="E1063" s="654"/>
      <c r="F1063" s="650"/>
      <c r="G1063" s="654"/>
      <c r="H1063" s="654"/>
      <c r="I1063" s="650"/>
      <c r="J1063" s="650"/>
      <c r="K1063" s="655"/>
      <c r="L1063" s="655"/>
      <c r="M1063" s="655"/>
      <c r="N1063" s="655"/>
      <c r="O1063" s="655"/>
      <c r="P1063" s="655"/>
      <c r="Q1063" s="655"/>
      <c r="R1063" s="655"/>
      <c r="S1063" s="655"/>
      <c r="T1063" s="655"/>
      <c r="U1063" s="655"/>
      <c r="V1063" s="655"/>
      <c r="W1063" s="655"/>
      <c r="X1063" s="655"/>
      <c r="Y1063" s="655"/>
      <c r="Z1063" s="655"/>
    </row>
    <row r="1064">
      <c r="B1064" s="462"/>
      <c r="C1064" s="671"/>
      <c r="D1064" s="462"/>
      <c r="E1064" s="654"/>
      <c r="F1064" s="650"/>
      <c r="G1064" s="654"/>
      <c r="H1064" s="654"/>
      <c r="I1064" s="650"/>
      <c r="J1064" s="650"/>
      <c r="K1064" s="655"/>
      <c r="L1064" s="655"/>
      <c r="M1064" s="655"/>
      <c r="N1064" s="655"/>
      <c r="O1064" s="655"/>
      <c r="P1064" s="655"/>
      <c r="Q1064" s="655"/>
      <c r="R1064" s="655"/>
      <c r="S1064" s="655"/>
      <c r="T1064" s="655"/>
      <c r="U1064" s="655"/>
      <c r="V1064" s="655"/>
      <c r="W1064" s="655"/>
      <c r="X1064" s="655"/>
      <c r="Y1064" s="655"/>
      <c r="Z1064" s="655"/>
    </row>
    <row r="1065">
      <c r="B1065" s="462"/>
      <c r="C1065" s="671"/>
      <c r="D1065" s="462"/>
      <c r="E1065" s="654"/>
      <c r="F1065" s="650"/>
      <c r="G1065" s="654"/>
      <c r="H1065" s="654"/>
      <c r="I1065" s="650"/>
      <c r="J1065" s="650"/>
      <c r="K1065" s="655"/>
      <c r="L1065" s="655"/>
      <c r="M1065" s="655"/>
      <c r="N1065" s="655"/>
      <c r="O1065" s="655"/>
      <c r="P1065" s="655"/>
      <c r="Q1065" s="655"/>
      <c r="R1065" s="655"/>
      <c r="S1065" s="655"/>
      <c r="T1065" s="655"/>
      <c r="U1065" s="655"/>
      <c r="V1065" s="655"/>
      <c r="W1065" s="655"/>
      <c r="X1065" s="655"/>
      <c r="Y1065" s="655"/>
      <c r="Z1065" s="655"/>
    </row>
    <row r="1066">
      <c r="B1066" s="462"/>
      <c r="C1066" s="671"/>
      <c r="D1066" s="462"/>
      <c r="E1066" s="654"/>
      <c r="F1066" s="650"/>
      <c r="G1066" s="654"/>
      <c r="H1066" s="654"/>
      <c r="I1066" s="650"/>
      <c r="J1066" s="650"/>
      <c r="K1066" s="655"/>
      <c r="L1066" s="655"/>
      <c r="M1066" s="655"/>
      <c r="N1066" s="655"/>
      <c r="O1066" s="655"/>
      <c r="P1066" s="655"/>
      <c r="Q1066" s="655"/>
      <c r="R1066" s="655"/>
      <c r="S1066" s="655"/>
      <c r="T1066" s="655"/>
      <c r="U1066" s="655"/>
      <c r="V1066" s="655"/>
      <c r="W1066" s="655"/>
      <c r="X1066" s="655"/>
      <c r="Y1066" s="655"/>
      <c r="Z1066" s="655"/>
    </row>
    <row r="1067">
      <c r="B1067" s="462"/>
      <c r="C1067" s="671"/>
      <c r="D1067" s="462"/>
      <c r="E1067" s="654"/>
      <c r="F1067" s="650"/>
      <c r="G1067" s="654"/>
      <c r="H1067" s="654"/>
      <c r="I1067" s="650"/>
      <c r="J1067" s="650"/>
      <c r="K1067" s="655"/>
      <c r="L1067" s="655"/>
      <c r="M1067" s="655"/>
      <c r="N1067" s="655"/>
      <c r="O1067" s="655"/>
      <c r="P1067" s="655"/>
      <c r="Q1067" s="655"/>
      <c r="R1067" s="655"/>
      <c r="S1067" s="655"/>
      <c r="T1067" s="655"/>
      <c r="U1067" s="655"/>
      <c r="V1067" s="655"/>
      <c r="W1067" s="655"/>
      <c r="X1067" s="655"/>
      <c r="Y1067" s="655"/>
      <c r="Z1067" s="655"/>
    </row>
    <row r="1068">
      <c r="B1068" s="462"/>
      <c r="C1068" s="671"/>
      <c r="D1068" s="462"/>
      <c r="E1068" s="654"/>
      <c r="F1068" s="650"/>
      <c r="G1068" s="654"/>
      <c r="H1068" s="654"/>
      <c r="I1068" s="650"/>
      <c r="J1068" s="650"/>
      <c r="K1068" s="655"/>
      <c r="L1068" s="655"/>
      <c r="M1068" s="655"/>
      <c r="N1068" s="655"/>
      <c r="O1068" s="655"/>
      <c r="P1068" s="655"/>
      <c r="Q1068" s="655"/>
      <c r="R1068" s="655"/>
      <c r="S1068" s="655"/>
      <c r="T1068" s="655"/>
      <c r="U1068" s="655"/>
      <c r="V1068" s="655"/>
      <c r="W1068" s="655"/>
      <c r="X1068" s="655"/>
      <c r="Y1068" s="655"/>
      <c r="Z1068" s="655"/>
    </row>
    <row r="1069">
      <c r="B1069" s="462"/>
      <c r="C1069" s="671"/>
      <c r="D1069" s="462"/>
      <c r="E1069" s="654"/>
      <c r="F1069" s="650"/>
      <c r="G1069" s="654"/>
      <c r="H1069" s="654"/>
      <c r="I1069" s="650"/>
      <c r="J1069" s="650"/>
      <c r="K1069" s="655"/>
      <c r="L1069" s="655"/>
      <c r="M1069" s="655"/>
      <c r="N1069" s="655"/>
      <c r="O1069" s="655"/>
      <c r="P1069" s="655"/>
      <c r="Q1069" s="655"/>
      <c r="R1069" s="655"/>
      <c r="S1069" s="655"/>
      <c r="T1069" s="655"/>
      <c r="U1069" s="655"/>
      <c r="V1069" s="655"/>
      <c r="W1069" s="655"/>
      <c r="X1069" s="655"/>
      <c r="Y1069" s="655"/>
      <c r="Z1069" s="655"/>
    </row>
    <row r="1070">
      <c r="B1070" s="462"/>
      <c r="C1070" s="671"/>
      <c r="D1070" s="462"/>
      <c r="E1070" s="654"/>
      <c r="F1070" s="650"/>
      <c r="G1070" s="654"/>
      <c r="H1070" s="654"/>
      <c r="I1070" s="650"/>
      <c r="J1070" s="650"/>
      <c r="K1070" s="655"/>
      <c r="L1070" s="655"/>
      <c r="M1070" s="655"/>
      <c r="N1070" s="655"/>
      <c r="O1070" s="655"/>
      <c r="P1070" s="655"/>
      <c r="Q1070" s="655"/>
      <c r="R1070" s="655"/>
      <c r="S1070" s="655"/>
      <c r="T1070" s="655"/>
      <c r="U1070" s="655"/>
      <c r="V1070" s="655"/>
      <c r="W1070" s="655"/>
      <c r="X1070" s="655"/>
      <c r="Y1070" s="655"/>
      <c r="Z1070" s="655"/>
    </row>
    <row r="1071">
      <c r="B1071" s="462"/>
      <c r="C1071" s="671"/>
      <c r="D1071" s="462"/>
      <c r="E1071" s="654"/>
      <c r="F1071" s="650"/>
      <c r="G1071" s="654"/>
      <c r="H1071" s="654"/>
      <c r="I1071" s="650"/>
      <c r="J1071" s="650"/>
      <c r="K1071" s="655"/>
      <c r="L1071" s="655"/>
      <c r="M1071" s="655"/>
      <c r="N1071" s="655"/>
      <c r="O1071" s="655"/>
      <c r="P1071" s="655"/>
      <c r="Q1071" s="655"/>
      <c r="R1071" s="655"/>
      <c r="S1071" s="655"/>
      <c r="T1071" s="655"/>
      <c r="U1071" s="655"/>
      <c r="V1071" s="655"/>
      <c r="W1071" s="655"/>
      <c r="X1071" s="655"/>
      <c r="Y1071" s="655"/>
      <c r="Z1071" s="655"/>
    </row>
    <row r="1072">
      <c r="B1072" s="462"/>
      <c r="C1072" s="671"/>
      <c r="D1072" s="462"/>
      <c r="E1072" s="654"/>
      <c r="F1072" s="650"/>
      <c r="G1072" s="654"/>
      <c r="H1072" s="654"/>
      <c r="I1072" s="650"/>
      <c r="J1072" s="650"/>
      <c r="K1072" s="655"/>
      <c r="L1072" s="655"/>
      <c r="M1072" s="655"/>
      <c r="N1072" s="655"/>
      <c r="O1072" s="655"/>
      <c r="P1072" s="655"/>
      <c r="Q1072" s="655"/>
      <c r="R1072" s="655"/>
      <c r="S1072" s="655"/>
      <c r="T1072" s="655"/>
      <c r="U1072" s="655"/>
      <c r="V1072" s="655"/>
      <c r="W1072" s="655"/>
      <c r="X1072" s="655"/>
      <c r="Y1072" s="655"/>
      <c r="Z1072" s="655"/>
    </row>
    <row r="1073">
      <c r="B1073" s="462"/>
      <c r="C1073" s="671"/>
      <c r="D1073" s="462"/>
      <c r="E1073" s="654"/>
      <c r="F1073" s="650"/>
      <c r="G1073" s="654"/>
      <c r="H1073" s="654"/>
      <c r="I1073" s="650"/>
      <c r="J1073" s="650"/>
      <c r="K1073" s="655"/>
      <c r="L1073" s="655"/>
      <c r="M1073" s="655"/>
      <c r="N1073" s="655"/>
      <c r="O1073" s="655"/>
      <c r="P1073" s="655"/>
      <c r="Q1073" s="655"/>
      <c r="R1073" s="655"/>
      <c r="S1073" s="655"/>
      <c r="T1073" s="655"/>
      <c r="U1073" s="655"/>
      <c r="V1073" s="655"/>
      <c r="W1073" s="655"/>
      <c r="X1073" s="655"/>
      <c r="Y1073" s="655"/>
      <c r="Z1073" s="655"/>
    </row>
    <row r="1074">
      <c r="B1074" s="462"/>
      <c r="C1074" s="671"/>
      <c r="D1074" s="462"/>
      <c r="E1074" s="654"/>
      <c r="F1074" s="650"/>
      <c r="G1074" s="654"/>
      <c r="H1074" s="654"/>
      <c r="I1074" s="650"/>
      <c r="J1074" s="650"/>
      <c r="K1074" s="655"/>
      <c r="L1074" s="655"/>
      <c r="M1074" s="655"/>
      <c r="N1074" s="655"/>
      <c r="O1074" s="655"/>
      <c r="P1074" s="655"/>
      <c r="Q1074" s="655"/>
      <c r="R1074" s="655"/>
      <c r="S1074" s="655"/>
      <c r="T1074" s="655"/>
      <c r="U1074" s="655"/>
      <c r="V1074" s="655"/>
      <c r="W1074" s="655"/>
      <c r="X1074" s="655"/>
      <c r="Y1074" s="655"/>
      <c r="Z1074" s="655"/>
    </row>
    <row r="1075">
      <c r="B1075" s="462"/>
      <c r="C1075" s="671"/>
      <c r="D1075" s="462"/>
      <c r="E1075" s="654"/>
      <c r="F1075" s="650"/>
      <c r="G1075" s="654"/>
      <c r="H1075" s="654"/>
      <c r="I1075" s="650"/>
      <c r="J1075" s="650"/>
      <c r="K1075" s="655"/>
      <c r="L1075" s="655"/>
      <c r="M1075" s="655"/>
      <c r="N1075" s="655"/>
      <c r="O1075" s="655"/>
      <c r="P1075" s="655"/>
      <c r="Q1075" s="655"/>
      <c r="R1075" s="655"/>
      <c r="S1075" s="655"/>
      <c r="T1075" s="655"/>
      <c r="U1075" s="655"/>
      <c r="V1075" s="655"/>
      <c r="W1075" s="655"/>
      <c r="X1075" s="655"/>
      <c r="Y1075" s="655"/>
      <c r="Z1075" s="655"/>
    </row>
    <row r="1076">
      <c r="B1076" s="462"/>
      <c r="C1076" s="671"/>
      <c r="D1076" s="462"/>
      <c r="E1076" s="654"/>
      <c r="F1076" s="650"/>
      <c r="G1076" s="654"/>
      <c r="H1076" s="654"/>
      <c r="I1076" s="650"/>
      <c r="J1076" s="650"/>
      <c r="K1076" s="655"/>
      <c r="L1076" s="655"/>
      <c r="M1076" s="655"/>
      <c r="N1076" s="655"/>
      <c r="O1076" s="655"/>
      <c r="P1076" s="655"/>
      <c r="Q1076" s="655"/>
      <c r="R1076" s="655"/>
      <c r="S1076" s="655"/>
      <c r="T1076" s="655"/>
      <c r="U1076" s="655"/>
      <c r="V1076" s="655"/>
      <c r="W1076" s="655"/>
      <c r="X1076" s="655"/>
      <c r="Y1076" s="655"/>
      <c r="Z1076" s="655"/>
    </row>
    <row r="1077">
      <c r="B1077" s="462"/>
      <c r="C1077" s="671"/>
      <c r="D1077" s="462"/>
      <c r="E1077" s="654"/>
      <c r="F1077" s="650"/>
      <c r="G1077" s="654"/>
      <c r="H1077" s="654"/>
      <c r="I1077" s="650"/>
      <c r="J1077" s="650"/>
      <c r="K1077" s="655"/>
      <c r="L1077" s="655"/>
      <c r="M1077" s="655"/>
      <c r="N1077" s="655"/>
      <c r="O1077" s="655"/>
      <c r="P1077" s="655"/>
      <c r="Q1077" s="655"/>
      <c r="R1077" s="655"/>
      <c r="S1077" s="655"/>
      <c r="T1077" s="655"/>
      <c r="U1077" s="655"/>
      <c r="V1077" s="655"/>
      <c r="W1077" s="655"/>
      <c r="X1077" s="655"/>
      <c r="Y1077" s="655"/>
      <c r="Z1077" s="655"/>
    </row>
    <row r="1078">
      <c r="B1078" s="462"/>
      <c r="C1078" s="671"/>
      <c r="D1078" s="462"/>
      <c r="E1078" s="654"/>
      <c r="F1078" s="650"/>
      <c r="G1078" s="654"/>
      <c r="H1078" s="654"/>
      <c r="I1078" s="650"/>
      <c r="J1078" s="650"/>
      <c r="K1078" s="655"/>
      <c r="L1078" s="655"/>
      <c r="M1078" s="655"/>
      <c r="N1078" s="655"/>
      <c r="O1078" s="655"/>
      <c r="P1078" s="655"/>
      <c r="Q1078" s="655"/>
      <c r="R1078" s="655"/>
      <c r="S1078" s="655"/>
      <c r="T1078" s="655"/>
      <c r="U1078" s="655"/>
      <c r="V1078" s="655"/>
      <c r="W1078" s="655"/>
      <c r="X1078" s="655"/>
      <c r="Y1078" s="655"/>
      <c r="Z1078" s="655"/>
    </row>
    <row r="1079">
      <c r="B1079" s="462"/>
      <c r="C1079" s="671"/>
      <c r="D1079" s="462"/>
      <c r="E1079" s="654"/>
      <c r="F1079" s="650"/>
      <c r="G1079" s="654"/>
      <c r="H1079" s="654"/>
      <c r="I1079" s="650"/>
      <c r="J1079" s="650"/>
      <c r="K1079" s="655"/>
      <c r="L1079" s="655"/>
      <c r="M1079" s="655"/>
      <c r="N1079" s="655"/>
      <c r="O1079" s="655"/>
      <c r="P1079" s="655"/>
      <c r="Q1079" s="655"/>
      <c r="R1079" s="655"/>
      <c r="S1079" s="655"/>
      <c r="T1079" s="655"/>
      <c r="U1079" s="655"/>
      <c r="V1079" s="655"/>
      <c r="W1079" s="655"/>
      <c r="X1079" s="655"/>
      <c r="Y1079" s="655"/>
      <c r="Z1079" s="655"/>
    </row>
    <row r="1080">
      <c r="B1080" s="462"/>
      <c r="C1080" s="671"/>
      <c r="D1080" s="462"/>
      <c r="E1080" s="654"/>
      <c r="F1080" s="650"/>
      <c r="G1080" s="654"/>
      <c r="H1080" s="654"/>
      <c r="I1080" s="650"/>
      <c r="J1080" s="650"/>
      <c r="K1080" s="655"/>
      <c r="L1080" s="655"/>
      <c r="M1080" s="655"/>
      <c r="N1080" s="655"/>
      <c r="O1080" s="655"/>
      <c r="P1080" s="655"/>
      <c r="Q1080" s="655"/>
      <c r="R1080" s="655"/>
      <c r="S1080" s="655"/>
      <c r="T1080" s="655"/>
      <c r="U1080" s="655"/>
      <c r="V1080" s="655"/>
      <c r="W1080" s="655"/>
      <c r="X1080" s="655"/>
      <c r="Y1080" s="655"/>
      <c r="Z1080" s="655"/>
    </row>
    <row r="1081">
      <c r="B1081" s="462"/>
      <c r="C1081" s="671"/>
      <c r="D1081" s="462"/>
      <c r="E1081" s="654"/>
      <c r="F1081" s="650"/>
      <c r="G1081" s="654"/>
      <c r="H1081" s="654"/>
      <c r="I1081" s="650"/>
      <c r="J1081" s="650"/>
      <c r="K1081" s="655"/>
      <c r="L1081" s="655"/>
      <c r="M1081" s="655"/>
      <c r="N1081" s="655"/>
      <c r="O1081" s="655"/>
      <c r="P1081" s="655"/>
      <c r="Q1081" s="655"/>
      <c r="R1081" s="655"/>
      <c r="S1081" s="655"/>
      <c r="T1081" s="655"/>
      <c r="U1081" s="655"/>
      <c r="V1081" s="655"/>
      <c r="W1081" s="655"/>
      <c r="X1081" s="655"/>
      <c r="Y1081" s="655"/>
      <c r="Z1081" s="655"/>
    </row>
    <row r="1082">
      <c r="B1082" s="462"/>
      <c r="C1082" s="671"/>
      <c r="D1082" s="462"/>
      <c r="E1082" s="654"/>
      <c r="F1082" s="650"/>
      <c r="G1082" s="654"/>
      <c r="H1082" s="654"/>
      <c r="I1082" s="650"/>
      <c r="J1082" s="650"/>
      <c r="K1082" s="655"/>
      <c r="L1082" s="655"/>
      <c r="M1082" s="655"/>
      <c r="N1082" s="655"/>
      <c r="O1082" s="655"/>
      <c r="P1082" s="655"/>
      <c r="Q1082" s="655"/>
      <c r="R1082" s="655"/>
      <c r="S1082" s="655"/>
      <c r="T1082" s="655"/>
      <c r="U1082" s="655"/>
      <c r="V1082" s="655"/>
      <c r="W1082" s="655"/>
      <c r="X1082" s="655"/>
      <c r="Y1082" s="655"/>
      <c r="Z1082" s="655"/>
    </row>
    <row r="1083">
      <c r="B1083" s="462"/>
      <c r="C1083" s="671"/>
      <c r="D1083" s="462"/>
      <c r="E1083" s="654"/>
      <c r="F1083" s="650"/>
      <c r="G1083" s="654"/>
      <c r="H1083" s="654"/>
      <c r="I1083" s="650"/>
      <c r="J1083" s="650"/>
      <c r="K1083" s="655"/>
      <c r="L1083" s="655"/>
      <c r="M1083" s="655"/>
      <c r="N1083" s="655"/>
      <c r="O1083" s="655"/>
      <c r="P1083" s="655"/>
      <c r="Q1083" s="655"/>
      <c r="R1083" s="655"/>
      <c r="S1083" s="655"/>
      <c r="T1083" s="655"/>
      <c r="U1083" s="655"/>
      <c r="V1083" s="655"/>
      <c r="W1083" s="655"/>
      <c r="X1083" s="655"/>
      <c r="Y1083" s="655"/>
      <c r="Z1083" s="655"/>
    </row>
    <row r="1084">
      <c r="B1084" s="462"/>
      <c r="C1084" s="671"/>
      <c r="D1084" s="462"/>
      <c r="E1084" s="654"/>
      <c r="F1084" s="650"/>
      <c r="G1084" s="654"/>
      <c r="H1084" s="654"/>
      <c r="I1084" s="650"/>
      <c r="J1084" s="650"/>
      <c r="K1084" s="655"/>
      <c r="L1084" s="655"/>
      <c r="M1084" s="655"/>
      <c r="N1084" s="655"/>
      <c r="O1084" s="655"/>
      <c r="P1084" s="655"/>
      <c r="Q1084" s="655"/>
      <c r="R1084" s="655"/>
      <c r="S1084" s="655"/>
      <c r="T1084" s="655"/>
      <c r="U1084" s="655"/>
      <c r="V1084" s="655"/>
      <c r="W1084" s="655"/>
      <c r="X1084" s="655"/>
      <c r="Y1084" s="655"/>
      <c r="Z1084" s="655"/>
    </row>
    <row r="1085">
      <c r="B1085" s="462"/>
      <c r="C1085" s="671"/>
      <c r="D1085" s="462"/>
      <c r="E1085" s="654"/>
      <c r="F1085" s="650"/>
      <c r="G1085" s="654"/>
      <c r="H1085" s="654"/>
      <c r="I1085" s="650"/>
      <c r="J1085" s="650"/>
      <c r="K1085" s="655"/>
      <c r="L1085" s="655"/>
      <c r="M1085" s="655"/>
      <c r="N1085" s="655"/>
      <c r="O1085" s="655"/>
      <c r="P1085" s="655"/>
      <c r="Q1085" s="655"/>
      <c r="R1085" s="655"/>
      <c r="S1085" s="655"/>
      <c r="T1085" s="655"/>
      <c r="U1085" s="655"/>
      <c r="V1085" s="655"/>
      <c r="W1085" s="655"/>
      <c r="X1085" s="655"/>
      <c r="Y1085" s="655"/>
      <c r="Z1085" s="655"/>
    </row>
    <row r="1086">
      <c r="B1086" s="462"/>
      <c r="C1086" s="671"/>
      <c r="D1086" s="462"/>
      <c r="E1086" s="654"/>
      <c r="F1086" s="650"/>
      <c r="G1086" s="654"/>
      <c r="H1086" s="654"/>
      <c r="I1086" s="650"/>
      <c r="J1086" s="650"/>
      <c r="K1086" s="655"/>
      <c r="L1086" s="655"/>
      <c r="M1086" s="655"/>
      <c r="N1086" s="655"/>
      <c r="O1086" s="655"/>
      <c r="P1086" s="655"/>
      <c r="Q1086" s="655"/>
      <c r="R1086" s="655"/>
      <c r="S1086" s="655"/>
      <c r="T1086" s="655"/>
      <c r="U1086" s="655"/>
      <c r="V1086" s="655"/>
      <c r="W1086" s="655"/>
      <c r="X1086" s="655"/>
      <c r="Y1086" s="655"/>
      <c r="Z1086" s="655"/>
    </row>
  </sheetData>
  <autoFilter ref="$A$2:$Z$109"/>
  <hyperlinks>
    <hyperlink r:id="rId2" location="gid=1607319145" ref="A102"/>
  </hyperlinks>
  <drawing r:id="rId3"/>
  <legacyDrawing r:id="rId4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</cols>
  <sheetData>
    <row r="2">
      <c r="B2" s="110" t="s">
        <v>988</v>
      </c>
    </row>
    <row r="3">
      <c r="B3" s="110" t="s">
        <v>422</v>
      </c>
    </row>
    <row r="4">
      <c r="B4" s="110" t="s">
        <v>989</v>
      </c>
    </row>
    <row r="5">
      <c r="B5" s="110" t="s">
        <v>990</v>
      </c>
    </row>
    <row r="7">
      <c r="B7" s="110" t="s">
        <v>991</v>
      </c>
    </row>
    <row r="8">
      <c r="B8" s="110" t="s">
        <v>688</v>
      </c>
    </row>
    <row r="9">
      <c r="B9" s="110" t="s">
        <v>992</v>
      </c>
    </row>
    <row r="10">
      <c r="B10" s="110" t="s">
        <v>993</v>
      </c>
    </row>
    <row r="12">
      <c r="B12" s="108" t="s">
        <v>994</v>
      </c>
    </row>
    <row r="13">
      <c r="B13" s="110" t="s">
        <v>995</v>
      </c>
    </row>
    <row r="14">
      <c r="B14" s="110" t="s">
        <v>996</v>
      </c>
    </row>
    <row r="15">
      <c r="B15" s="110" t="s">
        <v>997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9.38"/>
    <col customWidth="1" min="2" max="2" width="32.75"/>
    <col hidden="1" min="3" max="7" width="12.63"/>
    <col customWidth="1" hidden="1" min="8" max="12" width="15.0"/>
    <col customWidth="1" hidden="1" min="13" max="13" width="16.25"/>
    <col customWidth="1" hidden="1" min="14" max="14" width="15.0"/>
    <col hidden="1" min="15" max="16" width="12.63"/>
  </cols>
  <sheetData>
    <row r="1" ht="20.25" customHeight="1">
      <c r="A1" s="123" t="s">
        <v>94</v>
      </c>
      <c r="B1" s="123"/>
      <c r="C1" s="124" t="s">
        <v>95</v>
      </c>
      <c r="D1" s="124" t="s">
        <v>96</v>
      </c>
      <c r="E1" s="124" t="s">
        <v>97</v>
      </c>
      <c r="F1" s="124" t="s">
        <v>98</v>
      </c>
      <c r="G1" s="124" t="s">
        <v>99</v>
      </c>
      <c r="H1" s="125" t="s">
        <v>100</v>
      </c>
      <c r="I1" s="123" t="s">
        <v>101</v>
      </c>
      <c r="J1" s="123" t="s">
        <v>102</v>
      </c>
      <c r="K1" s="123" t="s">
        <v>103</v>
      </c>
      <c r="L1" s="123" t="s">
        <v>104</v>
      </c>
      <c r="M1" s="123" t="s">
        <v>105</v>
      </c>
      <c r="N1" s="123" t="s">
        <v>106</v>
      </c>
      <c r="O1" s="123" t="s">
        <v>107</v>
      </c>
      <c r="P1" s="123" t="s">
        <v>108</v>
      </c>
      <c r="Q1" s="123" t="s">
        <v>109</v>
      </c>
      <c r="R1" s="123" t="s">
        <v>110</v>
      </c>
      <c r="S1" s="123" t="s">
        <v>111</v>
      </c>
      <c r="T1" s="123" t="s">
        <v>112</v>
      </c>
      <c r="U1" s="123" t="s">
        <v>113</v>
      </c>
      <c r="V1" s="123" t="s">
        <v>114</v>
      </c>
      <c r="W1" s="123" t="s">
        <v>115</v>
      </c>
      <c r="X1" s="123" t="s">
        <v>116</v>
      </c>
      <c r="Y1" s="123" t="s">
        <v>117</v>
      </c>
      <c r="Z1" s="123" t="s">
        <v>118</v>
      </c>
    </row>
    <row r="2">
      <c r="A2" s="132" t="s">
        <v>195</v>
      </c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>
      <c r="A3" s="136" t="s">
        <v>196</v>
      </c>
      <c r="B3" s="136"/>
      <c r="C3" s="137"/>
      <c r="D3" s="137"/>
      <c r="E3" s="137"/>
      <c r="F3" s="137"/>
      <c r="G3" s="137"/>
      <c r="H3" s="137"/>
      <c r="I3" s="138"/>
      <c r="J3" s="138"/>
      <c r="K3" s="138"/>
      <c r="L3" s="138"/>
      <c r="M3" s="139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</row>
    <row r="4">
      <c r="B4" s="144" t="s">
        <v>197</v>
      </c>
      <c r="C4" s="145">
        <v>10000.0</v>
      </c>
      <c r="D4" s="145">
        <v>10000.0</v>
      </c>
      <c r="E4" s="145">
        <v>10000.0</v>
      </c>
      <c r="F4" s="145">
        <v>10000.0</v>
      </c>
      <c r="G4" s="145">
        <v>10000.0</v>
      </c>
      <c r="H4" s="146">
        <v>10000.0</v>
      </c>
      <c r="I4" s="145">
        <v>10000.0</v>
      </c>
      <c r="J4" s="145">
        <f t="shared" ref="J4:P4" si="1">120000/12</f>
        <v>10000</v>
      </c>
      <c r="K4" s="145">
        <f t="shared" si="1"/>
        <v>10000</v>
      </c>
      <c r="L4" s="145">
        <f t="shared" si="1"/>
        <v>10000</v>
      </c>
      <c r="M4" s="145">
        <f t="shared" si="1"/>
        <v>10000</v>
      </c>
      <c r="N4" s="145">
        <f t="shared" si="1"/>
        <v>10000</v>
      </c>
      <c r="O4" s="145">
        <f t="shared" si="1"/>
        <v>10000</v>
      </c>
      <c r="P4" s="145">
        <f t="shared" si="1"/>
        <v>10000</v>
      </c>
      <c r="Q4" s="145">
        <f t="shared" ref="Q4:T4" si="2">123000/12</f>
        <v>10250</v>
      </c>
      <c r="R4" s="145">
        <f t="shared" si="2"/>
        <v>10250</v>
      </c>
      <c r="S4" s="145">
        <f t="shared" si="2"/>
        <v>10250</v>
      </c>
      <c r="T4" s="145">
        <f t="shared" si="2"/>
        <v>10250</v>
      </c>
      <c r="U4" s="145">
        <f>150000/12</f>
        <v>12500</v>
      </c>
      <c r="V4" s="145">
        <f t="shared" ref="V4:Z4" si="3">123000/12</f>
        <v>10250</v>
      </c>
      <c r="W4" s="145">
        <f t="shared" si="3"/>
        <v>10250</v>
      </c>
      <c r="X4" s="145">
        <f t="shared" si="3"/>
        <v>10250</v>
      </c>
      <c r="Y4" s="145">
        <f t="shared" si="3"/>
        <v>10250</v>
      </c>
      <c r="Z4" s="145">
        <f t="shared" si="3"/>
        <v>10250</v>
      </c>
    </row>
    <row r="5">
      <c r="B5" s="137" t="s">
        <v>998</v>
      </c>
      <c r="C5" s="145">
        <v>0.0</v>
      </c>
      <c r="D5" s="145">
        <v>3000.0</v>
      </c>
      <c r="E5" s="145">
        <v>0.0</v>
      </c>
      <c r="F5" s="145">
        <v>0.0</v>
      </c>
      <c r="G5" s="145">
        <v>0.0</v>
      </c>
      <c r="H5" s="146">
        <v>0.0</v>
      </c>
      <c r="I5" s="145">
        <v>5000.0</v>
      </c>
      <c r="J5" s="145">
        <v>5000.0</v>
      </c>
      <c r="K5" s="145">
        <v>0.0</v>
      </c>
      <c r="L5" s="145">
        <v>0.0</v>
      </c>
      <c r="M5" s="145">
        <v>800.0</v>
      </c>
      <c r="N5" s="145">
        <f>500</f>
        <v>500</v>
      </c>
      <c r="O5" s="145">
        <v>0.0</v>
      </c>
      <c r="P5" s="145">
        <f>5000</f>
        <v>5000</v>
      </c>
      <c r="Q5" s="145">
        <v>0.0</v>
      </c>
      <c r="R5" s="145">
        <v>0.0</v>
      </c>
      <c r="S5" s="145">
        <v>0.0</v>
      </c>
      <c r="T5" s="145">
        <v>0.0</v>
      </c>
      <c r="U5" s="145">
        <v>0.0</v>
      </c>
      <c r="V5" s="145">
        <v>0.0</v>
      </c>
      <c r="W5" s="145">
        <v>0.0</v>
      </c>
      <c r="X5" s="145">
        <v>0.0</v>
      </c>
      <c r="Y5" s="145">
        <v>0.0</v>
      </c>
      <c r="Z5" s="145">
        <v>0.0</v>
      </c>
    </row>
    <row r="6">
      <c r="A6" s="136" t="s">
        <v>199</v>
      </c>
      <c r="B6" s="136"/>
      <c r="C6" s="137"/>
      <c r="D6" s="137"/>
      <c r="E6" s="137"/>
      <c r="F6" s="137"/>
      <c r="G6" s="137"/>
      <c r="H6" s="137"/>
      <c r="I6" s="138"/>
      <c r="J6" s="138"/>
      <c r="K6" s="138"/>
      <c r="L6" s="138"/>
      <c r="M6" s="139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</row>
    <row r="7" ht="15.0" customHeight="1">
      <c r="B7" s="137" t="s">
        <v>201</v>
      </c>
      <c r="C7" s="145">
        <v>0.0</v>
      </c>
      <c r="D7" s="145">
        <v>0.0</v>
      </c>
      <c r="E7" s="145">
        <v>0.0</v>
      </c>
      <c r="F7" s="145">
        <v>0.0</v>
      </c>
      <c r="G7" s="145">
        <v>0.0</v>
      </c>
      <c r="H7" s="146">
        <v>0.0</v>
      </c>
      <c r="I7" s="145">
        <v>0.0</v>
      </c>
      <c r="J7" s="145">
        <v>0.0</v>
      </c>
      <c r="K7" s="145">
        <v>0.0</v>
      </c>
      <c r="L7" s="145">
        <v>0.0</v>
      </c>
      <c r="M7" s="145">
        <v>0.0</v>
      </c>
      <c r="N7" s="145">
        <v>0.0</v>
      </c>
      <c r="O7" s="145">
        <v>0.0</v>
      </c>
      <c r="P7" s="161">
        <v>0.0</v>
      </c>
      <c r="Q7" s="161">
        <v>400.0</v>
      </c>
      <c r="R7" s="1120">
        <v>5000.0</v>
      </c>
      <c r="S7" s="1120">
        <v>5000.0</v>
      </c>
      <c r="T7" s="1120">
        <v>5000.0</v>
      </c>
      <c r="U7" s="1120">
        <v>5000.0</v>
      </c>
      <c r="V7" s="1120">
        <v>5000.0</v>
      </c>
      <c r="W7" s="1120">
        <v>5000.0</v>
      </c>
      <c r="X7" s="1120">
        <v>5000.0</v>
      </c>
      <c r="Y7" s="1120">
        <v>5000.0</v>
      </c>
      <c r="Z7" s="1120">
        <v>5000.0</v>
      </c>
    </row>
    <row r="8">
      <c r="B8" s="137" t="s">
        <v>202</v>
      </c>
      <c r="C8" s="145"/>
      <c r="D8" s="145"/>
      <c r="E8" s="145"/>
      <c r="F8" s="145"/>
      <c r="G8" s="145"/>
      <c r="H8" s="146"/>
      <c r="I8" s="145"/>
      <c r="J8" s="145"/>
      <c r="K8" s="145"/>
      <c r="L8" s="145"/>
      <c r="M8" s="145"/>
      <c r="N8" s="145"/>
      <c r="O8" s="145">
        <f>1000</f>
        <v>1000</v>
      </c>
      <c r="P8" s="145">
        <f>2723</f>
        <v>2723</v>
      </c>
      <c r="Q8" s="145">
        <f>500+60</f>
        <v>560</v>
      </c>
      <c r="R8" s="145">
        <f t="shared" ref="R8:S8" si="4">500</f>
        <v>500</v>
      </c>
      <c r="S8" s="145">
        <f t="shared" si="4"/>
        <v>500</v>
      </c>
      <c r="T8" s="145">
        <v>0.0</v>
      </c>
      <c r="U8" s="145">
        <v>0.0</v>
      </c>
      <c r="V8" s="145">
        <v>0.0</v>
      </c>
      <c r="W8" s="145">
        <v>0.0</v>
      </c>
      <c r="X8" s="145">
        <v>0.0</v>
      </c>
      <c r="Y8" s="145">
        <v>0.0</v>
      </c>
      <c r="Z8" s="145">
        <v>0.0</v>
      </c>
    </row>
    <row r="9">
      <c r="A9" s="167"/>
      <c r="B9" s="167"/>
      <c r="C9" s="168"/>
      <c r="D9" s="168"/>
      <c r="E9" s="168"/>
      <c r="F9" s="168"/>
      <c r="G9" s="168"/>
      <c r="H9" s="169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</row>
    <row r="10">
      <c r="A10" s="172" t="s">
        <v>203</v>
      </c>
      <c r="B10" s="172"/>
      <c r="C10" s="173">
        <f t="shared" ref="C10:O10" si="5">sum(C4:C7)</f>
        <v>10000</v>
      </c>
      <c r="D10" s="173">
        <f t="shared" si="5"/>
        <v>13000</v>
      </c>
      <c r="E10" s="173">
        <f t="shared" si="5"/>
        <v>10000</v>
      </c>
      <c r="F10" s="173">
        <f t="shared" si="5"/>
        <v>10000</v>
      </c>
      <c r="G10" s="173">
        <f t="shared" si="5"/>
        <v>10000</v>
      </c>
      <c r="H10" s="174">
        <f t="shared" si="5"/>
        <v>10000</v>
      </c>
      <c r="I10" s="173">
        <f t="shared" si="5"/>
        <v>15000</v>
      </c>
      <c r="J10" s="173">
        <f t="shared" si="5"/>
        <v>15000</v>
      </c>
      <c r="K10" s="173">
        <f t="shared" si="5"/>
        <v>10000</v>
      </c>
      <c r="L10" s="173">
        <f t="shared" si="5"/>
        <v>10000</v>
      </c>
      <c r="M10" s="173">
        <f t="shared" si="5"/>
        <v>10800</v>
      </c>
      <c r="N10" s="173">
        <f t="shared" si="5"/>
        <v>10500</v>
      </c>
      <c r="O10" s="173">
        <f t="shared" si="5"/>
        <v>10000</v>
      </c>
      <c r="P10" s="173">
        <f t="shared" ref="P10:Z10" si="6">sum(P4:P8)</f>
        <v>17723</v>
      </c>
      <c r="Q10" s="173">
        <f t="shared" si="6"/>
        <v>11210</v>
      </c>
      <c r="R10" s="173">
        <f t="shared" si="6"/>
        <v>15750</v>
      </c>
      <c r="S10" s="173">
        <f t="shared" si="6"/>
        <v>15750</v>
      </c>
      <c r="T10" s="173">
        <f t="shared" si="6"/>
        <v>15250</v>
      </c>
      <c r="U10" s="173">
        <f t="shared" si="6"/>
        <v>17500</v>
      </c>
      <c r="V10" s="173">
        <f t="shared" si="6"/>
        <v>15250</v>
      </c>
      <c r="W10" s="173">
        <f t="shared" si="6"/>
        <v>15250</v>
      </c>
      <c r="X10" s="173">
        <f t="shared" si="6"/>
        <v>15250</v>
      </c>
      <c r="Y10" s="173">
        <f t="shared" si="6"/>
        <v>15250</v>
      </c>
      <c r="Z10" s="173">
        <f t="shared" si="6"/>
        <v>15250</v>
      </c>
    </row>
    <row r="11">
      <c r="A11" s="172" t="s">
        <v>999</v>
      </c>
      <c r="B11" s="172"/>
      <c r="C11" s="137">
        <f>C10*0.38</f>
        <v>3800</v>
      </c>
      <c r="D11" s="137">
        <f t="shared" ref="D11:L11" si="7">D10*0.34</f>
        <v>4420</v>
      </c>
      <c r="E11" s="137">
        <f t="shared" si="7"/>
        <v>3400</v>
      </c>
      <c r="F11" s="137">
        <f t="shared" si="7"/>
        <v>3400</v>
      </c>
      <c r="G11" s="137">
        <f t="shared" si="7"/>
        <v>3400</v>
      </c>
      <c r="H11" s="175">
        <f t="shared" si="7"/>
        <v>3400</v>
      </c>
      <c r="I11" s="137">
        <f t="shared" si="7"/>
        <v>5100</v>
      </c>
      <c r="J11" s="137">
        <f t="shared" si="7"/>
        <v>5100</v>
      </c>
      <c r="K11" s="137">
        <f t="shared" si="7"/>
        <v>3400</v>
      </c>
      <c r="L11" s="137">
        <f t="shared" si="7"/>
        <v>3400</v>
      </c>
      <c r="M11" s="137">
        <f t="shared" ref="M11:N11" si="8">sum(M4:M7)*0.34</f>
        <v>3672</v>
      </c>
      <c r="N11" s="137">
        <f t="shared" si="8"/>
        <v>3570</v>
      </c>
      <c r="O11" s="137">
        <f>sum(O4:O7)*0.34+O5*0.41</f>
        <v>3400</v>
      </c>
      <c r="P11" s="137">
        <f>P4*0.34+P5*0.41+P7*0.34</f>
        <v>5450</v>
      </c>
      <c r="Q11" s="137">
        <f t="shared" ref="Q11:Z11" si="9">sum(Q4:Q7)*0.34+Q5*0.41</f>
        <v>3621</v>
      </c>
      <c r="R11" s="137">
        <f t="shared" si="9"/>
        <v>5185</v>
      </c>
      <c r="S11" s="137">
        <f t="shared" si="9"/>
        <v>5185</v>
      </c>
      <c r="T11" s="137">
        <f t="shared" si="9"/>
        <v>5185</v>
      </c>
      <c r="U11" s="137">
        <f t="shared" si="9"/>
        <v>5950</v>
      </c>
      <c r="V11" s="137">
        <f t="shared" si="9"/>
        <v>5185</v>
      </c>
      <c r="W11" s="137">
        <f t="shared" si="9"/>
        <v>5185</v>
      </c>
      <c r="X11" s="137">
        <f t="shared" si="9"/>
        <v>5185</v>
      </c>
      <c r="Y11" s="137">
        <f t="shared" si="9"/>
        <v>5185</v>
      </c>
      <c r="Z11" s="137">
        <f t="shared" si="9"/>
        <v>5185</v>
      </c>
    </row>
    <row r="12">
      <c r="A12" s="172" t="s">
        <v>1000</v>
      </c>
      <c r="B12" s="172"/>
      <c r="C12" s="137"/>
      <c r="D12" s="137"/>
      <c r="E12" s="137"/>
      <c r="F12" s="137"/>
      <c r="G12" s="137"/>
      <c r="H12" s="175"/>
      <c r="I12" s="137"/>
      <c r="J12" s="137"/>
      <c r="K12" s="137"/>
      <c r="L12" s="137"/>
      <c r="M12" s="137"/>
      <c r="N12" s="137"/>
      <c r="O12" s="137">
        <f t="shared" ref="O12:Z12" si="10">O4*0.04</f>
        <v>400</v>
      </c>
      <c r="P12" s="137">
        <f t="shared" si="10"/>
        <v>400</v>
      </c>
      <c r="Q12" s="137">
        <f t="shared" si="10"/>
        <v>410</v>
      </c>
      <c r="R12" s="137">
        <f t="shared" si="10"/>
        <v>410</v>
      </c>
      <c r="S12" s="137">
        <f t="shared" si="10"/>
        <v>410</v>
      </c>
      <c r="T12" s="137">
        <f t="shared" si="10"/>
        <v>410</v>
      </c>
      <c r="U12" s="137">
        <f t="shared" si="10"/>
        <v>500</v>
      </c>
      <c r="V12" s="137">
        <f t="shared" si="10"/>
        <v>410</v>
      </c>
      <c r="W12" s="137">
        <f t="shared" si="10"/>
        <v>410</v>
      </c>
      <c r="X12" s="137">
        <f t="shared" si="10"/>
        <v>410</v>
      </c>
      <c r="Y12" s="137">
        <f t="shared" si="10"/>
        <v>410</v>
      </c>
      <c r="Z12" s="137">
        <f t="shared" si="10"/>
        <v>410</v>
      </c>
    </row>
    <row r="13">
      <c r="A13" s="176" t="s">
        <v>206</v>
      </c>
      <c r="B13" s="176"/>
      <c r="C13" s="177">
        <f t="shared" ref="C13:L13" si="11">C10-C11+C5</f>
        <v>6200</v>
      </c>
      <c r="D13" s="177">
        <f t="shared" si="11"/>
        <v>11580</v>
      </c>
      <c r="E13" s="177">
        <f t="shared" si="11"/>
        <v>6600</v>
      </c>
      <c r="F13" s="177">
        <f t="shared" si="11"/>
        <v>6600</v>
      </c>
      <c r="G13" s="177">
        <f t="shared" si="11"/>
        <v>6600</v>
      </c>
      <c r="H13" s="178">
        <f t="shared" si="11"/>
        <v>6600</v>
      </c>
      <c r="I13" s="177">
        <f t="shared" si="11"/>
        <v>14900</v>
      </c>
      <c r="J13" s="177">
        <f t="shared" si="11"/>
        <v>14900</v>
      </c>
      <c r="K13" s="177">
        <f t="shared" si="11"/>
        <v>6600</v>
      </c>
      <c r="L13" s="177">
        <f t="shared" si="11"/>
        <v>6600</v>
      </c>
      <c r="M13" s="177">
        <f t="shared" ref="M13:N13" si="12">M10-M11</f>
        <v>7128</v>
      </c>
      <c r="N13" s="177">
        <f t="shared" si="12"/>
        <v>6930</v>
      </c>
      <c r="O13" s="177">
        <f>O4+O7+O5-O11-O12+O8</f>
        <v>7200</v>
      </c>
      <c r="P13" s="179">
        <f t="shared" ref="P13:Z13" si="13">P10-P11-P12</f>
        <v>11873</v>
      </c>
      <c r="Q13" s="179">
        <f t="shared" si="13"/>
        <v>7179</v>
      </c>
      <c r="R13" s="179">
        <f t="shared" si="13"/>
        <v>10155</v>
      </c>
      <c r="S13" s="179">
        <f t="shared" si="13"/>
        <v>10155</v>
      </c>
      <c r="T13" s="179">
        <f t="shared" si="13"/>
        <v>9655</v>
      </c>
      <c r="U13" s="179">
        <f t="shared" si="13"/>
        <v>11050</v>
      </c>
      <c r="V13" s="179">
        <f t="shared" si="13"/>
        <v>9655</v>
      </c>
      <c r="W13" s="179">
        <f t="shared" si="13"/>
        <v>9655</v>
      </c>
      <c r="X13" s="179">
        <f t="shared" si="13"/>
        <v>9655</v>
      </c>
      <c r="Y13" s="179">
        <f t="shared" si="13"/>
        <v>9655</v>
      </c>
      <c r="Z13" s="179">
        <f t="shared" si="13"/>
        <v>9655</v>
      </c>
    </row>
    <row r="14">
      <c r="A14" s="182"/>
      <c r="B14" s="182"/>
      <c r="C14" s="183"/>
      <c r="D14" s="183"/>
      <c r="E14" s="183"/>
      <c r="F14" s="183"/>
      <c r="G14" s="183"/>
      <c r="H14" s="184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</row>
    <row r="15">
      <c r="A15" s="187" t="s">
        <v>1001</v>
      </c>
      <c r="B15" s="187"/>
      <c r="C15" s="133"/>
      <c r="D15" s="133"/>
      <c r="E15" s="133"/>
      <c r="F15" s="133"/>
      <c r="G15" s="133"/>
      <c r="H15" s="134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>
      <c r="A16" s="136" t="s">
        <v>1002</v>
      </c>
      <c r="B16" s="136"/>
      <c r="C16" s="137"/>
      <c r="D16" s="137"/>
      <c r="E16" s="137"/>
      <c r="F16" s="137"/>
      <c r="G16" s="137"/>
      <c r="H16" s="137"/>
      <c r="I16" s="138"/>
      <c r="J16" s="138"/>
      <c r="K16" s="138"/>
      <c r="L16" s="138"/>
      <c r="M16" s="139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</row>
    <row r="17">
      <c r="A17" s="1121" t="s">
        <v>209</v>
      </c>
      <c r="B17" s="144" t="s">
        <v>210</v>
      </c>
      <c r="C17" s="137">
        <v>1450.0</v>
      </c>
      <c r="D17" s="137">
        <v>1450.0</v>
      </c>
      <c r="E17" s="137">
        <v>1450.0</v>
      </c>
      <c r="F17" s="137">
        <v>1450.0</v>
      </c>
      <c r="G17" s="137">
        <v>1450.0</v>
      </c>
      <c r="H17" s="175">
        <f>1450+350</f>
        <v>1800</v>
      </c>
      <c r="I17" s="137">
        <f>1853+569</f>
        <v>2422</v>
      </c>
      <c r="J17" s="137">
        <v>0.0</v>
      </c>
      <c r="K17" s="137">
        <v>1000.0</v>
      </c>
      <c r="L17" s="137">
        <f>3383-1500</f>
        <v>1883</v>
      </c>
      <c r="M17" s="137">
        <f>1954</f>
        <v>1954</v>
      </c>
      <c r="N17" s="137">
        <v>1900.0</v>
      </c>
      <c r="O17" s="137">
        <v>1900.0</v>
      </c>
      <c r="P17" s="137">
        <v>1900.0</v>
      </c>
      <c r="Q17" s="137">
        <v>1900.0</v>
      </c>
      <c r="R17" s="137">
        <v>1900.0</v>
      </c>
      <c r="S17" s="137">
        <v>1900.0</v>
      </c>
      <c r="T17" s="137">
        <v>1900.0</v>
      </c>
      <c r="U17" s="137">
        <f>2400*2</f>
        <v>4800</v>
      </c>
      <c r="V17" s="137">
        <v>2400.0</v>
      </c>
      <c r="W17" s="137">
        <v>2400.0</v>
      </c>
      <c r="X17" s="137">
        <v>2400.0</v>
      </c>
      <c r="Y17" s="137">
        <v>2400.0</v>
      </c>
      <c r="Z17" s="137">
        <v>2400.0</v>
      </c>
    </row>
    <row r="18">
      <c r="B18" s="144" t="s">
        <v>568</v>
      </c>
      <c r="C18" s="145">
        <v>9.0</v>
      </c>
      <c r="D18" s="145">
        <v>9.0</v>
      </c>
      <c r="E18" s="145">
        <v>9.0</v>
      </c>
      <c r="F18" s="145">
        <v>9.0</v>
      </c>
      <c r="G18" s="145">
        <v>9.0</v>
      </c>
      <c r="H18" s="146">
        <v>9.0</v>
      </c>
      <c r="I18" s="145">
        <v>9.0</v>
      </c>
      <c r="J18" s="145">
        <f t="shared" ref="J18:L18" si="14">18.42/2</f>
        <v>9.21</v>
      </c>
      <c r="K18" s="145">
        <f t="shared" si="14"/>
        <v>9.21</v>
      </c>
      <c r="L18" s="145">
        <f t="shared" si="14"/>
        <v>9.21</v>
      </c>
      <c r="M18" s="145">
        <v>11.0</v>
      </c>
      <c r="N18" s="145">
        <f t="shared" ref="N18:Z18" si="15">18.42/2</f>
        <v>9.21</v>
      </c>
      <c r="O18" s="145">
        <f t="shared" si="15"/>
        <v>9.21</v>
      </c>
      <c r="P18" s="145">
        <f t="shared" si="15"/>
        <v>9.21</v>
      </c>
      <c r="Q18" s="145">
        <f t="shared" si="15"/>
        <v>9.21</v>
      </c>
      <c r="R18" s="145">
        <f t="shared" si="15"/>
        <v>9.21</v>
      </c>
      <c r="S18" s="145">
        <f t="shared" si="15"/>
        <v>9.21</v>
      </c>
      <c r="T18" s="145">
        <f t="shared" si="15"/>
        <v>9.21</v>
      </c>
      <c r="U18" s="145">
        <f t="shared" si="15"/>
        <v>9.21</v>
      </c>
      <c r="V18" s="145">
        <f t="shared" si="15"/>
        <v>9.21</v>
      </c>
      <c r="W18" s="145">
        <f t="shared" si="15"/>
        <v>9.21</v>
      </c>
      <c r="X18" s="145">
        <f t="shared" si="15"/>
        <v>9.21</v>
      </c>
      <c r="Y18" s="145">
        <f t="shared" si="15"/>
        <v>9.21</v>
      </c>
      <c r="Z18" s="145">
        <f t="shared" si="15"/>
        <v>9.21</v>
      </c>
    </row>
    <row r="19">
      <c r="B19" s="144" t="s">
        <v>363</v>
      </c>
      <c r="C19" s="137"/>
      <c r="D19" s="137"/>
      <c r="E19" s="137"/>
      <c r="F19" s="137"/>
      <c r="G19" s="137"/>
      <c r="H19" s="175"/>
      <c r="I19" s="137">
        <v>100.0</v>
      </c>
      <c r="J19" s="137">
        <v>35.0</v>
      </c>
      <c r="K19" s="137">
        <v>90.0</v>
      </c>
      <c r="L19" s="137">
        <f>90</f>
        <v>90</v>
      </c>
      <c r="M19" s="137">
        <v>20.0</v>
      </c>
      <c r="N19" s="137">
        <v>90.0</v>
      </c>
      <c r="O19" s="137">
        <v>90.0</v>
      </c>
      <c r="P19" s="137">
        <v>90.0</v>
      </c>
      <c r="Q19" s="137">
        <v>90.0</v>
      </c>
      <c r="R19" s="137">
        <v>90.0</v>
      </c>
      <c r="S19" s="137">
        <v>90.0</v>
      </c>
      <c r="T19" s="137">
        <v>90.0</v>
      </c>
      <c r="U19" s="137">
        <v>90.0</v>
      </c>
      <c r="V19" s="137">
        <v>90.0</v>
      </c>
      <c r="W19" s="137">
        <v>90.0</v>
      </c>
      <c r="X19" s="137">
        <v>90.0</v>
      </c>
      <c r="Y19" s="137">
        <v>90.0</v>
      </c>
      <c r="Z19" s="137">
        <v>90.0</v>
      </c>
    </row>
    <row r="20">
      <c r="B20" s="144" t="s">
        <v>212</v>
      </c>
      <c r="C20" s="145">
        <f t="shared" ref="C20:Z20" si="16">62.95/2</f>
        <v>31.475</v>
      </c>
      <c r="D20" s="145">
        <f t="shared" si="16"/>
        <v>31.475</v>
      </c>
      <c r="E20" s="145">
        <f t="shared" si="16"/>
        <v>31.475</v>
      </c>
      <c r="F20" s="145">
        <f t="shared" si="16"/>
        <v>31.475</v>
      </c>
      <c r="G20" s="145">
        <f t="shared" si="16"/>
        <v>31.475</v>
      </c>
      <c r="H20" s="146">
        <f t="shared" si="16"/>
        <v>31.475</v>
      </c>
      <c r="I20" s="145">
        <f t="shared" si="16"/>
        <v>31.475</v>
      </c>
      <c r="J20" s="145">
        <f t="shared" si="16"/>
        <v>31.475</v>
      </c>
      <c r="K20" s="145">
        <f t="shared" si="16"/>
        <v>31.475</v>
      </c>
      <c r="L20" s="145">
        <f t="shared" si="16"/>
        <v>31.475</v>
      </c>
      <c r="M20" s="145">
        <f t="shared" si="16"/>
        <v>31.475</v>
      </c>
      <c r="N20" s="145">
        <f t="shared" si="16"/>
        <v>31.475</v>
      </c>
      <c r="O20" s="145">
        <f t="shared" si="16"/>
        <v>31.475</v>
      </c>
      <c r="P20" s="145">
        <f t="shared" si="16"/>
        <v>31.475</v>
      </c>
      <c r="Q20" s="145">
        <f t="shared" si="16"/>
        <v>31.475</v>
      </c>
      <c r="R20" s="145">
        <f t="shared" si="16"/>
        <v>31.475</v>
      </c>
      <c r="S20" s="145">
        <f t="shared" si="16"/>
        <v>31.475</v>
      </c>
      <c r="T20" s="145">
        <f t="shared" si="16"/>
        <v>31.475</v>
      </c>
      <c r="U20" s="145">
        <f t="shared" si="16"/>
        <v>31.475</v>
      </c>
      <c r="V20" s="145">
        <f t="shared" si="16"/>
        <v>31.475</v>
      </c>
      <c r="W20" s="145">
        <f t="shared" si="16"/>
        <v>31.475</v>
      </c>
      <c r="X20" s="145">
        <f t="shared" si="16"/>
        <v>31.475</v>
      </c>
      <c r="Y20" s="145">
        <f t="shared" si="16"/>
        <v>31.475</v>
      </c>
      <c r="Z20" s="145">
        <f t="shared" si="16"/>
        <v>31.475</v>
      </c>
    </row>
    <row r="21">
      <c r="B21" s="144" t="s">
        <v>22</v>
      </c>
      <c r="C21" s="137"/>
      <c r="D21" s="137"/>
      <c r="E21" s="137"/>
      <c r="F21" s="137"/>
      <c r="G21" s="137"/>
      <c r="H21" s="175"/>
      <c r="I21" s="137">
        <v>400.0</v>
      </c>
      <c r="J21" s="137">
        <f>75*4</f>
        <v>300</v>
      </c>
      <c r="K21" s="137">
        <f>50*4</f>
        <v>200</v>
      </c>
      <c r="L21" s="137">
        <f t="shared" ref="L21:O21" si="17">55*4</f>
        <v>220</v>
      </c>
      <c r="M21" s="137">
        <f t="shared" si="17"/>
        <v>220</v>
      </c>
      <c r="N21" s="137">
        <f t="shared" si="17"/>
        <v>220</v>
      </c>
      <c r="O21" s="137">
        <f t="shared" si="17"/>
        <v>220</v>
      </c>
      <c r="P21" s="137">
        <f t="shared" ref="P21:Z21" si="18">60*4</f>
        <v>240</v>
      </c>
      <c r="Q21" s="137">
        <f t="shared" si="18"/>
        <v>240</v>
      </c>
      <c r="R21" s="137">
        <f t="shared" si="18"/>
        <v>240</v>
      </c>
      <c r="S21" s="137">
        <f t="shared" si="18"/>
        <v>240</v>
      </c>
      <c r="T21" s="137">
        <f t="shared" si="18"/>
        <v>240</v>
      </c>
      <c r="U21" s="137">
        <f t="shared" si="18"/>
        <v>240</v>
      </c>
      <c r="V21" s="137">
        <f t="shared" si="18"/>
        <v>240</v>
      </c>
      <c r="W21" s="137">
        <f t="shared" si="18"/>
        <v>240</v>
      </c>
      <c r="X21" s="137">
        <f t="shared" si="18"/>
        <v>240</v>
      </c>
      <c r="Y21" s="137">
        <f t="shared" si="18"/>
        <v>240</v>
      </c>
      <c r="Z21" s="137">
        <f t="shared" si="18"/>
        <v>240</v>
      </c>
    </row>
    <row r="22">
      <c r="A22" s="1121" t="s">
        <v>213</v>
      </c>
      <c r="B22" s="144" t="s">
        <v>1003</v>
      </c>
      <c r="C22" s="145"/>
      <c r="D22" s="145"/>
      <c r="E22" s="145">
        <v>100.0</v>
      </c>
      <c r="F22" s="145">
        <v>128.79</v>
      </c>
      <c r="G22" s="145">
        <v>120.0</v>
      </c>
      <c r="H22" s="146">
        <f>120+500</f>
        <v>620</v>
      </c>
      <c r="I22" s="145">
        <v>120.64</v>
      </c>
      <c r="J22" s="145">
        <v>120.64</v>
      </c>
      <c r="K22" s="145">
        <v>120.64</v>
      </c>
      <c r="L22" s="145">
        <v>150.0</v>
      </c>
      <c r="M22" s="145">
        <v>120.64</v>
      </c>
      <c r="N22" s="145">
        <v>120.64</v>
      </c>
      <c r="O22" s="145">
        <v>120.0</v>
      </c>
      <c r="P22" s="145">
        <v>120.0</v>
      </c>
      <c r="Q22" s="145">
        <v>120.0</v>
      </c>
      <c r="R22" s="145">
        <v>120.0</v>
      </c>
      <c r="S22" s="145">
        <v>120.0</v>
      </c>
      <c r="T22" s="145">
        <v>120.0</v>
      </c>
      <c r="U22" s="145">
        <v>120.0</v>
      </c>
      <c r="V22" s="145">
        <v>120.0</v>
      </c>
      <c r="W22" s="145">
        <v>120.0</v>
      </c>
      <c r="X22" s="145">
        <v>120.0</v>
      </c>
      <c r="Y22" s="145">
        <v>120.0</v>
      </c>
      <c r="Z22" s="145">
        <v>120.0</v>
      </c>
    </row>
    <row r="23">
      <c r="A23" s="1121" t="s">
        <v>215</v>
      </c>
      <c r="B23" s="144" t="s">
        <v>215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>
        <v>0.0</v>
      </c>
      <c r="O23" s="137">
        <v>0.0</v>
      </c>
      <c r="P23" s="137">
        <v>0.0</v>
      </c>
      <c r="Q23" s="137">
        <v>0.0</v>
      </c>
      <c r="R23" s="137">
        <v>0.0</v>
      </c>
      <c r="S23" s="137">
        <v>0.0</v>
      </c>
      <c r="T23" s="137">
        <v>0.0</v>
      </c>
      <c r="U23" s="137">
        <v>0.0</v>
      </c>
      <c r="V23" s="137">
        <v>0.0</v>
      </c>
      <c r="W23" s="137">
        <v>0.0</v>
      </c>
      <c r="X23" s="137">
        <v>0.0</v>
      </c>
      <c r="Y23" s="137">
        <v>0.0</v>
      </c>
      <c r="Z23" s="137">
        <v>0.0</v>
      </c>
    </row>
    <row r="24">
      <c r="A24" s="1121" t="s">
        <v>216</v>
      </c>
      <c r="B24" s="144" t="s">
        <v>217</v>
      </c>
      <c r="C24" s="137"/>
      <c r="D24" s="137"/>
      <c r="E24" s="137"/>
      <c r="F24" s="137"/>
      <c r="G24" s="137"/>
      <c r="H24" s="137"/>
      <c r="I24" s="137"/>
      <c r="J24" s="137">
        <f>170*4-20</f>
        <v>660</v>
      </c>
      <c r="K24" s="137">
        <f t="shared" ref="K24:L24" si="19">22*7*4</f>
        <v>616</v>
      </c>
      <c r="L24" s="137">
        <f t="shared" si="19"/>
        <v>616</v>
      </c>
      <c r="M24" s="137">
        <f t="shared" ref="M24:N24" si="20">20*4*4</f>
        <v>320</v>
      </c>
      <c r="N24" s="137">
        <f t="shared" si="20"/>
        <v>320</v>
      </c>
      <c r="O24" s="137">
        <f>15*7*4</f>
        <v>420</v>
      </c>
      <c r="P24" s="137">
        <f t="shared" ref="P24:Z24" si="21">15*30</f>
        <v>450</v>
      </c>
      <c r="Q24" s="137">
        <f t="shared" si="21"/>
        <v>450</v>
      </c>
      <c r="R24" s="137">
        <f t="shared" si="21"/>
        <v>450</v>
      </c>
      <c r="S24" s="137">
        <f t="shared" si="21"/>
        <v>450</v>
      </c>
      <c r="T24" s="137">
        <f t="shared" si="21"/>
        <v>450</v>
      </c>
      <c r="U24" s="137">
        <f t="shared" si="21"/>
        <v>450</v>
      </c>
      <c r="V24" s="137">
        <f t="shared" si="21"/>
        <v>450</v>
      </c>
      <c r="W24" s="137">
        <f t="shared" si="21"/>
        <v>450</v>
      </c>
      <c r="X24" s="137">
        <f t="shared" si="21"/>
        <v>450</v>
      </c>
      <c r="Y24" s="137">
        <f t="shared" si="21"/>
        <v>450</v>
      </c>
      <c r="Z24" s="137">
        <f t="shared" si="21"/>
        <v>450</v>
      </c>
    </row>
    <row r="25">
      <c r="B25" s="144" t="s">
        <v>1004</v>
      </c>
      <c r="C25" s="137">
        <v>200.0</v>
      </c>
      <c r="D25" s="137">
        <v>200.0</v>
      </c>
      <c r="E25" s="137">
        <v>100.0</v>
      </c>
      <c r="F25" s="137">
        <v>200.0</v>
      </c>
      <c r="G25" s="137">
        <v>200.0</v>
      </c>
      <c r="H25" s="175">
        <v>200.0</v>
      </c>
      <c r="I25" s="137">
        <f>8*4*4+20*4</f>
        <v>208</v>
      </c>
      <c r="J25" s="137">
        <f>8*7*4</f>
        <v>224</v>
      </c>
      <c r="K25" s="137">
        <f>8*4*4</f>
        <v>128</v>
      </c>
      <c r="L25" s="137">
        <f>8*7*4</f>
        <v>224</v>
      </c>
      <c r="M25" s="137">
        <f>8*4*4</f>
        <v>128</v>
      </c>
      <c r="N25" s="137">
        <f>8*5*4</f>
        <v>160</v>
      </c>
      <c r="O25" s="137">
        <f>8*7*4</f>
        <v>224</v>
      </c>
      <c r="P25" s="137">
        <f t="shared" ref="P25:Z25" si="22">8*5*4</f>
        <v>160</v>
      </c>
      <c r="Q25" s="137">
        <f t="shared" si="22"/>
        <v>160</v>
      </c>
      <c r="R25" s="137">
        <f t="shared" si="22"/>
        <v>160</v>
      </c>
      <c r="S25" s="137">
        <f t="shared" si="22"/>
        <v>160</v>
      </c>
      <c r="T25" s="137">
        <f t="shared" si="22"/>
        <v>160</v>
      </c>
      <c r="U25" s="137">
        <f t="shared" si="22"/>
        <v>160</v>
      </c>
      <c r="V25" s="137">
        <f t="shared" si="22"/>
        <v>160</v>
      </c>
      <c r="W25" s="137">
        <f t="shared" si="22"/>
        <v>160</v>
      </c>
      <c r="X25" s="137">
        <f t="shared" si="22"/>
        <v>160</v>
      </c>
      <c r="Y25" s="137">
        <f t="shared" si="22"/>
        <v>160</v>
      </c>
      <c r="Z25" s="137">
        <f t="shared" si="22"/>
        <v>160</v>
      </c>
    </row>
    <row r="26">
      <c r="A26" s="1121"/>
      <c r="B26" s="144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96">
        <f t="shared" ref="P26:Z26" si="23">sum(P17:P25)/P13</f>
        <v>0.2527318285</v>
      </c>
      <c r="Q26" s="196">
        <f t="shared" si="23"/>
        <v>0.4179809166</v>
      </c>
      <c r="R26" s="196">
        <f t="shared" si="23"/>
        <v>0.2954884293</v>
      </c>
      <c r="S26" s="196">
        <f t="shared" si="23"/>
        <v>0.2954884293</v>
      </c>
      <c r="T26" s="196">
        <f t="shared" si="23"/>
        <v>0.310790782</v>
      </c>
      <c r="U26" s="196">
        <f t="shared" si="23"/>
        <v>0.5339986425</v>
      </c>
      <c r="V26" s="196">
        <f t="shared" si="23"/>
        <v>0.362577421</v>
      </c>
      <c r="W26" s="196">
        <f t="shared" si="23"/>
        <v>0.362577421</v>
      </c>
      <c r="X26" s="196">
        <f t="shared" si="23"/>
        <v>0.362577421</v>
      </c>
      <c r="Y26" s="196">
        <f t="shared" si="23"/>
        <v>0.362577421</v>
      </c>
      <c r="Z26" s="196">
        <f t="shared" si="23"/>
        <v>0.362577421</v>
      </c>
    </row>
    <row r="27">
      <c r="A27" s="136" t="s">
        <v>1005</v>
      </c>
      <c r="B27" s="136"/>
      <c r="C27" s="137"/>
      <c r="D27" s="137"/>
      <c r="E27" s="137"/>
      <c r="F27" s="137"/>
      <c r="G27" s="137"/>
      <c r="H27" s="137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</row>
    <row r="28">
      <c r="A28" s="1121" t="s">
        <v>220</v>
      </c>
      <c r="B28" s="144" t="s">
        <v>1006</v>
      </c>
      <c r="C28" s="137">
        <v>1150.0</v>
      </c>
      <c r="D28" s="137">
        <v>1000.0</v>
      </c>
      <c r="E28" s="137">
        <v>1000.0</v>
      </c>
      <c r="F28" s="137">
        <v>1120.0</v>
      </c>
      <c r="G28" s="137">
        <v>1000.0</v>
      </c>
      <c r="H28" s="175">
        <v>500.0</v>
      </c>
      <c r="I28" s="137">
        <f>160*4</f>
        <v>640</v>
      </c>
      <c r="J28" s="137">
        <f>125*4</f>
        <v>500</v>
      </c>
      <c r="K28" s="137">
        <f>25*7*4</f>
        <v>700</v>
      </c>
      <c r="L28" s="137">
        <f>50*7*4</f>
        <v>1400</v>
      </c>
      <c r="M28" s="137">
        <f>25*7*4</f>
        <v>700</v>
      </c>
      <c r="N28" s="137">
        <v>1500.0</v>
      </c>
      <c r="O28" s="137">
        <f>30*5*4</f>
        <v>600</v>
      </c>
      <c r="P28" s="137">
        <f>30*20</f>
        <v>600</v>
      </c>
      <c r="Q28" s="137">
        <f>25*20</f>
        <v>500</v>
      </c>
      <c r="R28" s="137">
        <f t="shared" ref="R28:Z28" si="24">30*20</f>
        <v>600</v>
      </c>
      <c r="S28" s="137">
        <f t="shared" si="24"/>
        <v>600</v>
      </c>
      <c r="T28" s="137">
        <f t="shared" si="24"/>
        <v>600</v>
      </c>
      <c r="U28" s="137">
        <f t="shared" si="24"/>
        <v>600</v>
      </c>
      <c r="V28" s="137">
        <f t="shared" si="24"/>
        <v>600</v>
      </c>
      <c r="W28" s="137">
        <f t="shared" si="24"/>
        <v>600</v>
      </c>
      <c r="X28" s="137">
        <f t="shared" si="24"/>
        <v>600</v>
      </c>
      <c r="Y28" s="137">
        <f t="shared" si="24"/>
        <v>600</v>
      </c>
      <c r="Z28" s="137">
        <f t="shared" si="24"/>
        <v>600</v>
      </c>
    </row>
    <row r="29">
      <c r="B29" s="144" t="s">
        <v>1007</v>
      </c>
      <c r="C29" s="137"/>
      <c r="D29" s="137"/>
      <c r="E29" s="137"/>
      <c r="F29" s="137"/>
      <c r="G29" s="137"/>
      <c r="H29" s="175"/>
      <c r="I29" s="137">
        <f>100*4</f>
        <v>400</v>
      </c>
      <c r="J29" s="137">
        <f>200*4</f>
        <v>800</v>
      </c>
      <c r="K29" s="137">
        <f t="shared" ref="K29:L29" si="25">50*2*2*4</f>
        <v>800</v>
      </c>
      <c r="L29" s="137">
        <f t="shared" si="25"/>
        <v>800</v>
      </c>
      <c r="M29" s="137">
        <f>40*2*4</f>
        <v>320</v>
      </c>
      <c r="N29" s="137">
        <f t="shared" ref="N29:O29" si="26">50*2*4</f>
        <v>400</v>
      </c>
      <c r="O29" s="137">
        <f t="shared" si="26"/>
        <v>400</v>
      </c>
      <c r="P29" s="137">
        <f>100*4</f>
        <v>400</v>
      </c>
      <c r="Q29" s="137">
        <f>75*4</f>
        <v>300</v>
      </c>
      <c r="R29" s="137">
        <f t="shared" ref="R29:Z29" si="27">100*4</f>
        <v>400</v>
      </c>
      <c r="S29" s="137">
        <f t="shared" si="27"/>
        <v>400</v>
      </c>
      <c r="T29" s="137">
        <f t="shared" si="27"/>
        <v>400</v>
      </c>
      <c r="U29" s="137">
        <f t="shared" si="27"/>
        <v>400</v>
      </c>
      <c r="V29" s="137">
        <f t="shared" si="27"/>
        <v>400</v>
      </c>
      <c r="W29" s="137">
        <f t="shared" si="27"/>
        <v>400</v>
      </c>
      <c r="X29" s="137">
        <f t="shared" si="27"/>
        <v>400</v>
      </c>
      <c r="Y29" s="137">
        <f t="shared" si="27"/>
        <v>400</v>
      </c>
      <c r="Z29" s="137">
        <f t="shared" si="27"/>
        <v>400</v>
      </c>
    </row>
    <row r="30">
      <c r="A30" s="144"/>
      <c r="B30" s="144" t="s">
        <v>223</v>
      </c>
      <c r="C30" s="137">
        <v>0.0</v>
      </c>
      <c r="D30" s="137">
        <v>0.0</v>
      </c>
      <c r="E30" s="137">
        <v>0.0</v>
      </c>
      <c r="F30" s="137">
        <v>0.0</v>
      </c>
      <c r="G30" s="137">
        <v>0.0</v>
      </c>
      <c r="H30" s="175">
        <v>0.0</v>
      </c>
      <c r="I30" s="137">
        <v>0.0</v>
      </c>
      <c r="J30" s="137">
        <v>0.0</v>
      </c>
      <c r="K30" s="137">
        <v>0.0</v>
      </c>
      <c r="L30" s="137">
        <v>0.0</v>
      </c>
      <c r="M30" s="137">
        <v>0.0</v>
      </c>
      <c r="N30" s="194">
        <v>200.0</v>
      </c>
      <c r="O30" s="194">
        <v>400.0</v>
      </c>
      <c r="P30" s="113">
        <v>0.0</v>
      </c>
      <c r="Q30" s="194">
        <v>700.0</v>
      </c>
      <c r="R30" s="194">
        <v>300.0</v>
      </c>
      <c r="S30" s="137">
        <v>0.0</v>
      </c>
      <c r="T30" s="137">
        <v>0.0</v>
      </c>
      <c r="U30" s="137">
        <v>0.0</v>
      </c>
      <c r="V30" s="137">
        <v>0.0</v>
      </c>
      <c r="W30" s="137">
        <v>0.0</v>
      </c>
      <c r="X30" s="137">
        <v>0.0</v>
      </c>
      <c r="Y30" s="137">
        <v>0.0</v>
      </c>
      <c r="Z30" s="137">
        <v>0.0</v>
      </c>
    </row>
    <row r="31">
      <c r="A31" s="144"/>
      <c r="B31" s="144" t="s">
        <v>569</v>
      </c>
      <c r="C31" s="137">
        <v>10.0</v>
      </c>
      <c r="D31" s="137">
        <v>10.0</v>
      </c>
      <c r="E31" s="137">
        <v>10.0</v>
      </c>
      <c r="F31" s="137">
        <v>10.0</v>
      </c>
      <c r="G31" s="137">
        <f t="shared" ref="G31:H31" si="28">10+5+20</f>
        <v>35</v>
      </c>
      <c r="H31" s="137">
        <f t="shared" si="28"/>
        <v>35</v>
      </c>
      <c r="I31" s="137">
        <f>10+20+60</f>
        <v>90</v>
      </c>
      <c r="J31" s="137">
        <f>10+20+30+15</f>
        <v>75</v>
      </c>
      <c r="K31" s="137">
        <f>10+5+20+30</f>
        <v>65</v>
      </c>
      <c r="L31" s="137">
        <f t="shared" ref="L31:O31" si="29">10+5+20+60</f>
        <v>95</v>
      </c>
      <c r="M31" s="137">
        <f t="shared" si="29"/>
        <v>95</v>
      </c>
      <c r="N31" s="137">
        <f t="shared" si="29"/>
        <v>95</v>
      </c>
      <c r="O31" s="137">
        <f t="shared" si="29"/>
        <v>95</v>
      </c>
      <c r="P31" s="137">
        <f>10+5+20+60+4+4</f>
        <v>103</v>
      </c>
      <c r="Q31" s="137">
        <f t="shared" ref="Q31:Z31" si="30">10+5+20+60</f>
        <v>95</v>
      </c>
      <c r="R31" s="137">
        <f t="shared" si="30"/>
        <v>95</v>
      </c>
      <c r="S31" s="137">
        <f t="shared" si="30"/>
        <v>95</v>
      </c>
      <c r="T31" s="137">
        <f t="shared" si="30"/>
        <v>95</v>
      </c>
      <c r="U31" s="137">
        <f t="shared" si="30"/>
        <v>95</v>
      </c>
      <c r="V31" s="137">
        <f t="shared" si="30"/>
        <v>95</v>
      </c>
      <c r="W31" s="137">
        <f t="shared" si="30"/>
        <v>95</v>
      </c>
      <c r="X31" s="137">
        <f t="shared" si="30"/>
        <v>95</v>
      </c>
      <c r="Y31" s="137">
        <f t="shared" si="30"/>
        <v>95</v>
      </c>
      <c r="Z31" s="137">
        <f t="shared" si="30"/>
        <v>95</v>
      </c>
    </row>
    <row r="32">
      <c r="A32" s="144"/>
      <c r="B32" s="144" t="s">
        <v>225</v>
      </c>
      <c r="C32" s="137">
        <v>0.0</v>
      </c>
      <c r="D32" s="137">
        <v>0.0</v>
      </c>
      <c r="E32" s="137">
        <v>500.0</v>
      </c>
      <c r="F32" s="137">
        <v>500.0</v>
      </c>
      <c r="G32" s="137">
        <v>0.0</v>
      </c>
      <c r="H32" s="175">
        <v>0.0</v>
      </c>
      <c r="I32" s="137">
        <v>0.0</v>
      </c>
      <c r="J32" s="194">
        <v>500.0</v>
      </c>
      <c r="K32" s="194">
        <v>450.0</v>
      </c>
      <c r="L32" s="194">
        <v>300.0</v>
      </c>
      <c r="M32" s="194">
        <v>200.0</v>
      </c>
      <c r="N32" s="194">
        <v>100.0</v>
      </c>
      <c r="O32" s="137">
        <v>0.0</v>
      </c>
      <c r="P32" s="194">
        <f>250+179</f>
        <v>429</v>
      </c>
      <c r="Q32" s="194">
        <v>300.0</v>
      </c>
      <c r="R32" s="194">
        <v>300.0</v>
      </c>
      <c r="S32" s="194">
        <v>500.0</v>
      </c>
      <c r="T32" s="194">
        <v>500.0</v>
      </c>
      <c r="U32" s="194">
        <v>750.0</v>
      </c>
      <c r="V32" s="137">
        <v>0.0</v>
      </c>
      <c r="W32" s="137">
        <v>0.0</v>
      </c>
      <c r="X32" s="194">
        <v>1600.0</v>
      </c>
      <c r="Y32" s="137">
        <v>0.0</v>
      </c>
      <c r="Z32" s="137">
        <v>0.0</v>
      </c>
    </row>
    <row r="33">
      <c r="A33" s="1121" t="s">
        <v>209</v>
      </c>
      <c r="B33" s="144" t="s">
        <v>1008</v>
      </c>
      <c r="C33" s="137"/>
      <c r="D33" s="137"/>
      <c r="E33" s="137"/>
      <c r="F33" s="137"/>
      <c r="G33" s="137"/>
      <c r="H33" s="137"/>
      <c r="I33" s="137">
        <v>600.0</v>
      </c>
      <c r="J33" s="137">
        <v>0.0</v>
      </c>
      <c r="K33" s="137">
        <v>0.0</v>
      </c>
      <c r="L33" s="137">
        <v>0.0</v>
      </c>
      <c r="M33" s="137">
        <v>0.0</v>
      </c>
      <c r="N33" s="137">
        <v>0.0</v>
      </c>
      <c r="O33" s="137">
        <v>0.0</v>
      </c>
      <c r="P33" s="137">
        <f>43+83</f>
        <v>126</v>
      </c>
      <c r="Q33" s="137">
        <v>0.0</v>
      </c>
      <c r="R33" s="137">
        <v>0.0</v>
      </c>
      <c r="S33" s="137">
        <v>0.0</v>
      </c>
      <c r="T33" s="137">
        <v>0.0</v>
      </c>
      <c r="U33" s="137">
        <v>0.0</v>
      </c>
      <c r="V33" s="137">
        <v>0.0</v>
      </c>
      <c r="W33" s="137">
        <v>0.0</v>
      </c>
      <c r="X33" s="137">
        <v>0.0</v>
      </c>
      <c r="Y33" s="137">
        <v>0.0</v>
      </c>
      <c r="Z33" s="137">
        <v>0.0</v>
      </c>
    </row>
    <row r="34" ht="15.75" customHeight="1">
      <c r="B34" s="144" t="s">
        <v>227</v>
      </c>
      <c r="C34" s="137"/>
      <c r="D34" s="137"/>
      <c r="E34" s="137"/>
      <c r="F34" s="137"/>
      <c r="G34" s="137"/>
      <c r="H34" s="137"/>
      <c r="I34" s="137">
        <v>10.0</v>
      </c>
      <c r="J34" s="137">
        <v>0.0</v>
      </c>
      <c r="K34" s="137">
        <f>12*2</f>
        <v>24</v>
      </c>
      <c r="L34" s="137">
        <v>0.0</v>
      </c>
      <c r="M34" s="137">
        <v>0.0</v>
      </c>
      <c r="N34" s="137">
        <f t="shared" ref="N34:O34" si="31">12*1</f>
        <v>12</v>
      </c>
      <c r="O34" s="137">
        <f t="shared" si="31"/>
        <v>12</v>
      </c>
      <c r="P34" s="137">
        <f>13</f>
        <v>13</v>
      </c>
      <c r="Q34" s="137">
        <v>0.0</v>
      </c>
      <c r="R34" s="137">
        <f t="shared" ref="R34:Z34" si="32">12*1</f>
        <v>12</v>
      </c>
      <c r="S34" s="137">
        <f t="shared" si="32"/>
        <v>12</v>
      </c>
      <c r="T34" s="137">
        <f t="shared" si="32"/>
        <v>12</v>
      </c>
      <c r="U34" s="137">
        <f t="shared" si="32"/>
        <v>12</v>
      </c>
      <c r="V34" s="137">
        <f t="shared" si="32"/>
        <v>12</v>
      </c>
      <c r="W34" s="137">
        <f t="shared" si="32"/>
        <v>12</v>
      </c>
      <c r="X34" s="137">
        <f t="shared" si="32"/>
        <v>12</v>
      </c>
      <c r="Y34" s="137">
        <f t="shared" si="32"/>
        <v>12</v>
      </c>
      <c r="Z34" s="137">
        <f t="shared" si="32"/>
        <v>12</v>
      </c>
    </row>
    <row r="35">
      <c r="B35" s="144" t="s">
        <v>29</v>
      </c>
      <c r="C35" s="137"/>
      <c r="D35" s="137"/>
      <c r="E35" s="137"/>
      <c r="F35" s="137"/>
      <c r="G35" s="137"/>
      <c r="H35" s="137"/>
      <c r="I35" s="137">
        <v>100.0</v>
      </c>
      <c r="J35" s="137">
        <v>60.0</v>
      </c>
      <c r="K35" s="137">
        <v>250.0</v>
      </c>
      <c r="L35" s="137">
        <v>0.0</v>
      </c>
      <c r="M35" s="137">
        <v>50.0</v>
      </c>
      <c r="N35" s="137">
        <v>0.0</v>
      </c>
      <c r="O35" s="137">
        <v>100.0</v>
      </c>
      <c r="P35" s="137">
        <v>0.0</v>
      </c>
      <c r="Q35" s="137">
        <v>100.0</v>
      </c>
      <c r="R35" s="137">
        <v>100.0</v>
      </c>
      <c r="S35" s="137">
        <v>100.0</v>
      </c>
      <c r="T35" s="137">
        <v>100.0</v>
      </c>
      <c r="U35" s="137">
        <v>100.0</v>
      </c>
      <c r="V35" s="137">
        <v>100.0</v>
      </c>
      <c r="W35" s="137">
        <v>100.0</v>
      </c>
      <c r="X35" s="137">
        <v>100.0</v>
      </c>
      <c r="Y35" s="137">
        <v>100.0</v>
      </c>
      <c r="Z35" s="137">
        <v>100.0</v>
      </c>
    </row>
    <row r="36">
      <c r="A36" s="1122" t="s">
        <v>228</v>
      </c>
      <c r="B36" s="144" t="s">
        <v>229</v>
      </c>
      <c r="C36" s="137">
        <v>0.0</v>
      </c>
      <c r="D36" s="137">
        <v>0.0</v>
      </c>
      <c r="E36" s="137">
        <v>0.0</v>
      </c>
      <c r="F36" s="137">
        <v>0.0</v>
      </c>
      <c r="G36" s="137">
        <v>0.0</v>
      </c>
      <c r="H36" s="175">
        <v>0.0</v>
      </c>
      <c r="I36" s="137">
        <v>25.0</v>
      </c>
      <c r="J36" s="137">
        <v>0.0</v>
      </c>
      <c r="K36" s="137">
        <v>0.0</v>
      </c>
      <c r="L36" s="137">
        <v>0.0</v>
      </c>
      <c r="M36" s="137">
        <v>0.0</v>
      </c>
      <c r="N36" s="137">
        <v>0.0</v>
      </c>
      <c r="O36" s="137">
        <v>0.0</v>
      </c>
      <c r="P36" s="137">
        <v>0.0</v>
      </c>
      <c r="Q36" s="137">
        <v>20.0</v>
      </c>
      <c r="R36" s="137">
        <v>0.0</v>
      </c>
      <c r="S36" s="137">
        <v>0.0</v>
      </c>
      <c r="T36" s="137">
        <v>0.0</v>
      </c>
      <c r="U36" s="137">
        <v>0.0</v>
      </c>
      <c r="V36" s="137">
        <v>0.0</v>
      </c>
      <c r="W36" s="137">
        <v>0.0</v>
      </c>
      <c r="X36" s="137">
        <v>0.0</v>
      </c>
      <c r="Y36" s="137">
        <v>0.0</v>
      </c>
      <c r="Z36" s="137">
        <v>0.0</v>
      </c>
    </row>
    <row r="37">
      <c r="A37" s="144"/>
      <c r="B37" s="144" t="s">
        <v>30</v>
      </c>
      <c r="C37" s="137"/>
      <c r="D37" s="137"/>
      <c r="E37" s="137"/>
      <c r="F37" s="137"/>
      <c r="G37" s="137"/>
      <c r="H37" s="175"/>
      <c r="I37" s="137"/>
      <c r="J37" s="137">
        <v>0.0</v>
      </c>
      <c r="K37" s="137">
        <v>0.0</v>
      </c>
      <c r="L37" s="137">
        <v>0.0</v>
      </c>
      <c r="M37" s="137">
        <v>0.0</v>
      </c>
      <c r="N37" s="137">
        <v>0.0</v>
      </c>
      <c r="O37" s="137">
        <v>0.0</v>
      </c>
      <c r="P37" s="137">
        <v>0.0</v>
      </c>
      <c r="Q37" s="137">
        <v>0.0</v>
      </c>
      <c r="R37" s="137">
        <v>0.0</v>
      </c>
      <c r="S37" s="137">
        <v>0.0</v>
      </c>
      <c r="T37" s="137">
        <v>0.0</v>
      </c>
      <c r="U37" s="137">
        <v>0.0</v>
      </c>
      <c r="V37" s="137">
        <v>0.0</v>
      </c>
      <c r="W37" s="137">
        <v>0.0</v>
      </c>
      <c r="X37" s="137">
        <v>0.0</v>
      </c>
      <c r="Y37" s="137">
        <v>0.0</v>
      </c>
      <c r="Z37" s="137">
        <v>0.0</v>
      </c>
    </row>
    <row r="38">
      <c r="B38" s="144" t="s">
        <v>230</v>
      </c>
      <c r="C38" s="137"/>
      <c r="D38" s="137"/>
      <c r="E38" s="137"/>
      <c r="F38" s="137"/>
      <c r="G38" s="137"/>
      <c r="H38" s="137"/>
      <c r="I38" s="137">
        <v>100.0</v>
      </c>
      <c r="J38" s="137">
        <f>60+20+350</f>
        <v>430</v>
      </c>
      <c r="K38" s="137">
        <v>50.0</v>
      </c>
      <c r="L38" s="137">
        <v>60.0</v>
      </c>
      <c r="M38" s="137">
        <v>60.0</v>
      </c>
      <c r="N38" s="137">
        <v>95.0</v>
      </c>
      <c r="O38" s="137">
        <v>100.0</v>
      </c>
      <c r="P38" s="137">
        <v>100.0</v>
      </c>
      <c r="Q38" s="137">
        <v>100.0</v>
      </c>
      <c r="R38" s="137">
        <v>100.0</v>
      </c>
      <c r="S38" s="137">
        <v>100.0</v>
      </c>
      <c r="T38" s="137">
        <v>100.0</v>
      </c>
      <c r="U38" s="137">
        <v>100.0</v>
      </c>
      <c r="V38" s="137">
        <v>100.0</v>
      </c>
      <c r="W38" s="137">
        <v>100.0</v>
      </c>
      <c r="X38" s="137">
        <v>100.0</v>
      </c>
      <c r="Y38" s="137">
        <v>100.0</v>
      </c>
      <c r="Z38" s="137">
        <v>100.0</v>
      </c>
    </row>
    <row r="39">
      <c r="A39" s="144"/>
      <c r="B39" s="144" t="s">
        <v>231</v>
      </c>
      <c r="C39" s="137">
        <v>0.0</v>
      </c>
      <c r="D39" s="137">
        <v>0.0</v>
      </c>
      <c r="E39" s="137">
        <v>0.0</v>
      </c>
      <c r="F39" s="137">
        <v>0.0</v>
      </c>
      <c r="G39" s="137">
        <v>0.0</v>
      </c>
      <c r="H39" s="175">
        <v>0.0</v>
      </c>
      <c r="I39" s="137">
        <v>0.0</v>
      </c>
      <c r="J39" s="137">
        <v>0.0</v>
      </c>
      <c r="K39" s="137">
        <v>0.0</v>
      </c>
      <c r="L39" s="137">
        <v>0.0</v>
      </c>
      <c r="M39" s="137">
        <v>0.0</v>
      </c>
      <c r="N39" s="137">
        <v>0.0</v>
      </c>
      <c r="O39" s="137">
        <v>0.0</v>
      </c>
      <c r="P39" s="137">
        <v>0.0</v>
      </c>
      <c r="Q39" s="137">
        <v>0.0</v>
      </c>
      <c r="R39" s="137">
        <v>0.0</v>
      </c>
      <c r="S39" s="194">
        <v>175.0</v>
      </c>
      <c r="T39" s="194">
        <v>175.0</v>
      </c>
      <c r="U39" s="194">
        <v>175.0</v>
      </c>
      <c r="V39" s="194">
        <v>175.0</v>
      </c>
      <c r="W39" s="194">
        <v>175.0</v>
      </c>
      <c r="X39" s="194">
        <v>175.0</v>
      </c>
      <c r="Y39" s="194">
        <v>175.0</v>
      </c>
      <c r="Z39" s="194">
        <v>175.0</v>
      </c>
    </row>
    <row r="40">
      <c r="A40" s="1121" t="s">
        <v>232</v>
      </c>
      <c r="B40" s="144" t="s">
        <v>1009</v>
      </c>
      <c r="C40" s="137"/>
      <c r="D40" s="137"/>
      <c r="E40" s="137">
        <v>50.0</v>
      </c>
      <c r="F40" s="137">
        <v>50.0</v>
      </c>
      <c r="G40" s="137">
        <v>50.0</v>
      </c>
      <c r="H40" s="137">
        <v>50.0</v>
      </c>
      <c r="I40" s="137">
        <v>100.0</v>
      </c>
      <c r="J40" s="137">
        <f>30+40</f>
        <v>70</v>
      </c>
      <c r="K40" s="137">
        <v>0.0</v>
      </c>
      <c r="L40" s="137">
        <v>50.0</v>
      </c>
      <c r="M40" s="137">
        <v>50.0</v>
      </c>
      <c r="N40" s="137">
        <v>20.0</v>
      </c>
      <c r="O40" s="137">
        <v>0.0</v>
      </c>
      <c r="P40" s="137">
        <v>50.0</v>
      </c>
      <c r="Q40" s="137">
        <v>50.0</v>
      </c>
      <c r="R40" s="137">
        <v>50.0</v>
      </c>
      <c r="S40" s="137">
        <v>50.0</v>
      </c>
      <c r="T40" s="137">
        <v>50.0</v>
      </c>
      <c r="U40" s="137">
        <v>50.0</v>
      </c>
      <c r="V40" s="137">
        <v>50.0</v>
      </c>
      <c r="W40" s="137">
        <v>50.0</v>
      </c>
      <c r="X40" s="137">
        <v>50.0</v>
      </c>
      <c r="Y40" s="137">
        <v>50.0</v>
      </c>
      <c r="Z40" s="137">
        <v>50.0</v>
      </c>
    </row>
    <row r="41">
      <c r="A41" s="144"/>
      <c r="B41" s="144" t="s">
        <v>234</v>
      </c>
      <c r="C41" s="137"/>
      <c r="D41" s="137"/>
      <c r="E41" s="137"/>
      <c r="F41" s="137"/>
      <c r="G41" s="137"/>
      <c r="H41" s="175"/>
      <c r="I41" s="137"/>
      <c r="J41" s="137"/>
      <c r="K41" s="137">
        <v>0.0</v>
      </c>
      <c r="L41" s="137">
        <v>0.0</v>
      </c>
      <c r="M41" s="137">
        <v>0.0</v>
      </c>
      <c r="N41" s="194">
        <v>250.0</v>
      </c>
      <c r="O41" s="137">
        <v>0.0</v>
      </c>
      <c r="P41" s="194">
        <v>200.0</v>
      </c>
      <c r="Q41" s="194">
        <v>450.0</v>
      </c>
      <c r="R41" s="194">
        <v>800.0</v>
      </c>
      <c r="S41" s="137">
        <v>0.0</v>
      </c>
      <c r="T41" s="137">
        <v>0.0</v>
      </c>
      <c r="U41" s="194">
        <v>1000.0</v>
      </c>
      <c r="V41" s="137">
        <v>0.0</v>
      </c>
      <c r="W41" s="137">
        <v>0.0</v>
      </c>
      <c r="X41" s="137">
        <v>0.0</v>
      </c>
      <c r="Y41" s="137">
        <v>0.0</v>
      </c>
      <c r="Z41" s="137">
        <v>0.0</v>
      </c>
    </row>
    <row r="42">
      <c r="A42" s="209"/>
      <c r="B42" s="209"/>
      <c r="C42" s="168"/>
      <c r="D42" s="210"/>
      <c r="E42" s="210"/>
      <c r="F42" s="210"/>
      <c r="G42" s="210"/>
      <c r="H42" s="211"/>
      <c r="I42" s="210"/>
      <c r="J42" s="210"/>
      <c r="K42" s="210"/>
      <c r="L42" s="210"/>
      <c r="M42" s="210"/>
      <c r="N42" s="210"/>
      <c r="O42" s="210"/>
      <c r="P42" s="212">
        <f>sum(P17:P41)/P13</f>
        <v>0.4229712568</v>
      </c>
      <c r="Q42" s="212">
        <f t="shared" ref="Q42:Z42" si="33">sum(Q28:Q41)/Q13</f>
        <v>0.3642568603</v>
      </c>
      <c r="R42" s="212">
        <f t="shared" si="33"/>
        <v>0.2714918759</v>
      </c>
      <c r="S42" s="212">
        <f t="shared" si="33"/>
        <v>0.2000984737</v>
      </c>
      <c r="T42" s="212">
        <f t="shared" si="33"/>
        <v>0.2104609011</v>
      </c>
      <c r="U42" s="212">
        <f t="shared" si="33"/>
        <v>0.2970135747</v>
      </c>
      <c r="V42" s="212">
        <f t="shared" si="33"/>
        <v>0.158674262</v>
      </c>
      <c r="W42" s="212">
        <f t="shared" si="33"/>
        <v>0.158674262</v>
      </c>
      <c r="X42" s="212">
        <f t="shared" si="33"/>
        <v>0.324391507</v>
      </c>
      <c r="Y42" s="212">
        <f t="shared" si="33"/>
        <v>0.158674262</v>
      </c>
      <c r="Z42" s="212">
        <f t="shared" si="33"/>
        <v>0.158674262</v>
      </c>
    </row>
    <row r="43">
      <c r="A43" s="235" t="s">
        <v>236</v>
      </c>
      <c r="B43" s="235"/>
      <c r="C43" s="1123">
        <f t="shared" ref="C43:G43" si="34">sum(C17:C40)</f>
        <v>2850.475</v>
      </c>
      <c r="D43" s="1123">
        <f t="shared" si="34"/>
        <v>2700.475</v>
      </c>
      <c r="E43" s="1123">
        <f t="shared" si="34"/>
        <v>3250.475</v>
      </c>
      <c r="F43" s="1123">
        <f t="shared" si="34"/>
        <v>3499.265</v>
      </c>
      <c r="G43" s="1123">
        <f t="shared" si="34"/>
        <v>2895.475</v>
      </c>
      <c r="H43" s="1124">
        <f t="shared" ref="H43:M43" si="35">sum(H23:H40)</f>
        <v>785</v>
      </c>
      <c r="I43" s="1123">
        <f t="shared" si="35"/>
        <v>2273</v>
      </c>
      <c r="J43" s="1123">
        <f t="shared" si="35"/>
        <v>3319</v>
      </c>
      <c r="K43" s="1123">
        <f t="shared" si="35"/>
        <v>3083</v>
      </c>
      <c r="L43" s="1123">
        <f t="shared" si="35"/>
        <v>3545</v>
      </c>
      <c r="M43" s="1123">
        <f t="shared" si="35"/>
        <v>1923</v>
      </c>
      <c r="N43" s="1123">
        <f t="shared" ref="N43:O43" si="36">sum(N23:N41)</f>
        <v>3152</v>
      </c>
      <c r="O43" s="1123">
        <f t="shared" si="36"/>
        <v>2351</v>
      </c>
      <c r="P43" s="1123">
        <f t="shared" ref="P43:Z43" si="37">sum(P17:P41)</f>
        <v>5021.937732</v>
      </c>
      <c r="Q43" s="1123">
        <f t="shared" si="37"/>
        <v>5616.102981</v>
      </c>
      <c r="R43" s="1123">
        <f t="shared" si="37"/>
        <v>5757.980488</v>
      </c>
      <c r="S43" s="1123">
        <f t="shared" si="37"/>
        <v>5032.980488</v>
      </c>
      <c r="T43" s="1123">
        <f t="shared" si="37"/>
        <v>5032.995791</v>
      </c>
      <c r="U43" s="1123">
        <f t="shared" si="37"/>
        <v>9183.218999</v>
      </c>
      <c r="V43" s="1123">
        <f t="shared" si="37"/>
        <v>5033.047577</v>
      </c>
      <c r="W43" s="1123">
        <f t="shared" si="37"/>
        <v>5033.047577</v>
      </c>
      <c r="X43" s="1123">
        <f t="shared" si="37"/>
        <v>6633.047577</v>
      </c>
      <c r="Y43" s="1123">
        <f t="shared" si="37"/>
        <v>5033.047577</v>
      </c>
      <c r="Z43" s="1123">
        <f t="shared" si="37"/>
        <v>5033.047577</v>
      </c>
    </row>
    <row r="44">
      <c r="A44" s="183"/>
      <c r="B44" s="183"/>
      <c r="C44" s="183"/>
      <c r="D44" s="183"/>
      <c r="E44" s="183"/>
      <c r="F44" s="183"/>
      <c r="G44" s="183"/>
      <c r="H44" s="184"/>
      <c r="I44" s="183"/>
      <c r="J44" s="183"/>
      <c r="K44" s="183"/>
      <c r="L44" s="183"/>
      <c r="M44" s="183"/>
      <c r="N44" s="183"/>
      <c r="O44" s="183"/>
      <c r="P44" s="183"/>
      <c r="Q44" s="216"/>
      <c r="R44" s="183"/>
      <c r="S44" s="183"/>
      <c r="T44" s="183"/>
      <c r="U44" s="183"/>
      <c r="V44" s="183"/>
      <c r="W44" s="183"/>
      <c r="X44" s="183"/>
      <c r="Y44" s="183"/>
      <c r="Z44" s="183"/>
    </row>
    <row r="45">
      <c r="A45" s="187" t="s">
        <v>1010</v>
      </c>
      <c r="B45" s="187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>
      <c r="A46" s="136" t="s">
        <v>1011</v>
      </c>
      <c r="B46" s="136"/>
      <c r="C46" s="137"/>
      <c r="D46" s="137"/>
      <c r="E46" s="137"/>
      <c r="F46" s="137"/>
      <c r="G46" s="137"/>
      <c r="H46" s="137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</row>
    <row r="47">
      <c r="A47" s="144"/>
      <c r="B47" s="144" t="s">
        <v>1012</v>
      </c>
      <c r="C47" s="137">
        <v>2500.0</v>
      </c>
      <c r="D47" s="137">
        <v>4500.0</v>
      </c>
      <c r="E47" s="137">
        <v>2800.0</v>
      </c>
      <c r="F47" s="137">
        <v>2800.0</v>
      </c>
      <c r="G47" s="137">
        <v>2000.0</v>
      </c>
      <c r="H47" s="175">
        <v>3093.0</v>
      </c>
      <c r="I47" s="137">
        <v>1600.0</v>
      </c>
      <c r="J47" s="137">
        <f>'PAYMENT SCHEDULE'!C13+'PAYMENT SCHEDULE'!C29</f>
        <v>3200</v>
      </c>
      <c r="K47" s="194">
        <f>LIABILITIES!E26</f>
        <v>1000</v>
      </c>
      <c r="L47" s="194">
        <f>LIABILITIES!E26</f>
        <v>1000</v>
      </c>
      <c r="M47" s="217" t="str">
        <f>'PAYMENT SCHEDULE'!C33</f>
        <v/>
      </c>
      <c r="N47" s="194">
        <f>N13*0.25</f>
        <v>1732.5</v>
      </c>
      <c r="O47" s="194">
        <f>O13*0.35</f>
        <v>2520</v>
      </c>
      <c r="P47" s="194">
        <v>5956.0</v>
      </c>
      <c r="Q47" s="194">
        <f>Q13*0.25</f>
        <v>1794.75</v>
      </c>
      <c r="R47" s="194">
        <v>4000.0</v>
      </c>
      <c r="S47" s="194">
        <v>4000.0</v>
      </c>
      <c r="T47" s="194">
        <v>4000.0</v>
      </c>
      <c r="U47" s="194">
        <v>4000.0</v>
      </c>
      <c r="V47" s="194">
        <v>4000.0</v>
      </c>
      <c r="W47" s="194">
        <v>4000.0</v>
      </c>
      <c r="X47" s="194">
        <v>4000.0</v>
      </c>
      <c r="Y47" s="194">
        <v>4000.0</v>
      </c>
      <c r="Z47" s="194">
        <v>4000.0</v>
      </c>
    </row>
    <row r="48">
      <c r="A48" s="136" t="s">
        <v>1013</v>
      </c>
      <c r="B48" s="136"/>
      <c r="C48" s="137"/>
      <c r="D48" s="137"/>
      <c r="E48" s="137"/>
      <c r="F48" s="137"/>
      <c r="G48" s="137"/>
      <c r="H48" s="137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</row>
    <row r="49">
      <c r="A49" s="1125"/>
      <c r="B49" s="220" t="s">
        <v>1014</v>
      </c>
      <c r="C49" s="137">
        <v>0.0</v>
      </c>
      <c r="D49" s="137">
        <v>200.0</v>
      </c>
      <c r="E49" s="137">
        <v>50.0</v>
      </c>
      <c r="F49" s="137">
        <v>150.0</v>
      </c>
      <c r="G49" s="137">
        <v>200.0</v>
      </c>
      <c r="H49" s="175">
        <v>250.0</v>
      </c>
      <c r="I49" s="137">
        <v>0.0</v>
      </c>
      <c r="J49" s="137">
        <f t="shared" ref="J49:K49" si="38">J13*0</f>
        <v>0</v>
      </c>
      <c r="K49" s="137">
        <f t="shared" si="38"/>
        <v>0</v>
      </c>
      <c r="L49" s="137">
        <v>0.0</v>
      </c>
      <c r="M49" s="137">
        <v>0.0</v>
      </c>
      <c r="N49" s="137">
        <v>50.0</v>
      </c>
      <c r="O49" s="137">
        <v>50.0</v>
      </c>
      <c r="P49" s="137">
        <v>0.0</v>
      </c>
      <c r="Q49" s="137">
        <v>25.0</v>
      </c>
      <c r="R49" s="137">
        <v>25.0</v>
      </c>
      <c r="S49" s="137">
        <v>25.0</v>
      </c>
      <c r="T49" s="137">
        <v>25.0</v>
      </c>
      <c r="U49" s="137">
        <v>25.0</v>
      </c>
      <c r="V49" s="137">
        <v>25.0</v>
      </c>
      <c r="W49" s="137">
        <v>25.0</v>
      </c>
      <c r="X49" s="137">
        <v>25.0</v>
      </c>
      <c r="Y49" s="137">
        <v>25.0</v>
      </c>
      <c r="Z49" s="137">
        <f>Z13*0.01</f>
        <v>96.55</v>
      </c>
    </row>
    <row r="50">
      <c r="A50" s="1125"/>
      <c r="B50" s="1126" t="s">
        <v>1015</v>
      </c>
      <c r="C50" s="137"/>
      <c r="D50" s="137"/>
      <c r="E50" s="137"/>
      <c r="F50" s="137"/>
      <c r="G50" s="137"/>
      <c r="H50" s="175"/>
      <c r="I50" s="137">
        <v>0.0</v>
      </c>
      <c r="J50" s="137">
        <v>0.0</v>
      </c>
      <c r="K50" s="137">
        <f t="shared" ref="K50:L50" si="39">K13*0</f>
        <v>0</v>
      </c>
      <c r="L50" s="137">
        <f t="shared" si="39"/>
        <v>0</v>
      </c>
      <c r="M50" s="137">
        <v>0.0</v>
      </c>
      <c r="N50" s="137">
        <v>25.0</v>
      </c>
      <c r="O50" s="137">
        <v>25.0</v>
      </c>
      <c r="P50" s="137">
        <v>20.0</v>
      </c>
      <c r="Q50" s="137">
        <v>25.0</v>
      </c>
      <c r="R50" s="137">
        <v>25.0</v>
      </c>
      <c r="S50" s="137">
        <v>25.0</v>
      </c>
      <c r="T50" s="137">
        <v>25.0</v>
      </c>
      <c r="U50" s="137">
        <v>25.0</v>
      </c>
      <c r="V50" s="137">
        <v>25.0</v>
      </c>
      <c r="W50" s="137">
        <v>25.0</v>
      </c>
      <c r="X50" s="137">
        <v>25.0</v>
      </c>
      <c r="Y50" s="137">
        <v>25.0</v>
      </c>
      <c r="Z50" s="137">
        <f>Z13*0.01</f>
        <v>96.55</v>
      </c>
    </row>
    <row r="51">
      <c r="A51" s="136" t="s">
        <v>380</v>
      </c>
      <c r="B51" s="136"/>
      <c r="C51" s="137"/>
      <c r="D51" s="137"/>
      <c r="E51" s="137"/>
      <c r="F51" s="137"/>
      <c r="G51" s="137"/>
      <c r="H51" s="137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</row>
    <row r="52">
      <c r="A52" s="1125"/>
      <c r="B52" s="1127" t="s">
        <v>1016</v>
      </c>
      <c r="C52" s="137"/>
      <c r="D52" s="137"/>
      <c r="E52" s="137"/>
      <c r="F52" s="137"/>
      <c r="G52" s="137"/>
      <c r="H52" s="137"/>
      <c r="I52" s="137"/>
      <c r="J52" s="137"/>
      <c r="K52" s="137">
        <v>0.0</v>
      </c>
      <c r="L52" s="137">
        <f>150+345</f>
        <v>495</v>
      </c>
      <c r="M52" s="137">
        <v>0.0</v>
      </c>
      <c r="N52" s="137">
        <v>0.0</v>
      </c>
      <c r="O52" s="137">
        <f>O13*0</f>
        <v>0</v>
      </c>
      <c r="P52" s="137">
        <v>78.0</v>
      </c>
      <c r="Q52" s="137">
        <v>0.0</v>
      </c>
      <c r="R52" s="137">
        <f>$Q13*0.01</f>
        <v>71.79</v>
      </c>
      <c r="S52" s="137">
        <f t="shared" ref="S52:Z52" si="40">$Q13*0</f>
        <v>0</v>
      </c>
      <c r="T52" s="137">
        <f t="shared" si="40"/>
        <v>0</v>
      </c>
      <c r="U52" s="137">
        <f t="shared" si="40"/>
        <v>0</v>
      </c>
      <c r="V52" s="137">
        <f t="shared" si="40"/>
        <v>0</v>
      </c>
      <c r="W52" s="137">
        <f t="shared" si="40"/>
        <v>0</v>
      </c>
      <c r="X52" s="137">
        <f t="shared" si="40"/>
        <v>0</v>
      </c>
      <c r="Y52" s="137">
        <f t="shared" si="40"/>
        <v>0</v>
      </c>
      <c r="Z52" s="137">
        <f t="shared" si="40"/>
        <v>0</v>
      </c>
    </row>
    <row r="53">
      <c r="A53" s="1125"/>
      <c r="B53" s="1127" t="s">
        <v>1017</v>
      </c>
      <c r="C53" s="137"/>
      <c r="D53" s="137"/>
      <c r="E53" s="137"/>
      <c r="F53" s="137"/>
      <c r="G53" s="137"/>
      <c r="H53" s="137"/>
      <c r="I53" s="137"/>
      <c r="J53" s="137">
        <v>0.0</v>
      </c>
      <c r="K53" s="137">
        <v>0.0</v>
      </c>
      <c r="L53" s="137">
        <v>0.0</v>
      </c>
      <c r="M53" s="137">
        <f>M13*0</f>
        <v>0</v>
      </c>
      <c r="N53" s="137">
        <v>0.0</v>
      </c>
      <c r="O53" s="137">
        <f>O10*0</f>
        <v>0</v>
      </c>
      <c r="P53" s="137">
        <v>0.0</v>
      </c>
      <c r="Q53" s="137">
        <v>175.0</v>
      </c>
      <c r="R53" s="137">
        <v>25.0</v>
      </c>
      <c r="S53" s="137">
        <v>25.0</v>
      </c>
      <c r="T53" s="137">
        <v>25.0</v>
      </c>
      <c r="U53" s="137">
        <v>25.0</v>
      </c>
      <c r="V53" s="137">
        <v>25.0</v>
      </c>
      <c r="W53" s="137">
        <v>25.0</v>
      </c>
      <c r="X53" s="137">
        <v>25.0</v>
      </c>
      <c r="Y53" s="137">
        <v>25.0</v>
      </c>
      <c r="Z53" s="137">
        <v>25.0</v>
      </c>
    </row>
    <row r="54">
      <c r="A54" s="1125"/>
      <c r="B54" s="1127" t="s">
        <v>1018</v>
      </c>
      <c r="C54" s="137"/>
      <c r="D54" s="137"/>
      <c r="E54" s="137"/>
      <c r="F54" s="137"/>
      <c r="G54" s="137"/>
      <c r="H54" s="137"/>
      <c r="I54" s="137"/>
      <c r="J54" s="137">
        <v>0.0</v>
      </c>
      <c r="K54" s="137">
        <v>0.0</v>
      </c>
      <c r="L54" s="137">
        <v>0.0</v>
      </c>
      <c r="M54" s="137">
        <v>0.0</v>
      </c>
      <c r="N54" s="137">
        <v>0.0</v>
      </c>
      <c r="O54" s="137">
        <f>O13*0</f>
        <v>0</v>
      </c>
      <c r="P54" s="137">
        <v>500.0</v>
      </c>
      <c r="Q54" s="137">
        <v>25.0</v>
      </c>
      <c r="R54" s="137">
        <v>25.0</v>
      </c>
      <c r="S54" s="137">
        <v>25.0</v>
      </c>
      <c r="T54" s="137">
        <v>25.0</v>
      </c>
      <c r="U54" s="137">
        <v>25.0</v>
      </c>
      <c r="V54" s="137">
        <v>25.0</v>
      </c>
      <c r="W54" s="137">
        <v>25.0</v>
      </c>
      <c r="X54" s="137">
        <v>25.0</v>
      </c>
      <c r="Y54" s="137">
        <v>25.0</v>
      </c>
      <c r="Z54" s="137">
        <v>25.0</v>
      </c>
    </row>
    <row r="55">
      <c r="A55" s="1125"/>
      <c r="B55" s="1127" t="s">
        <v>1019</v>
      </c>
      <c r="C55" s="137"/>
      <c r="D55" s="137"/>
      <c r="E55" s="137"/>
      <c r="F55" s="137"/>
      <c r="G55" s="137"/>
      <c r="H55" s="137">
        <v>0.0</v>
      </c>
      <c r="I55" s="137">
        <v>0.0</v>
      </c>
      <c r="J55" s="137">
        <f t="shared" ref="J55:L55" si="41">J13*0</f>
        <v>0</v>
      </c>
      <c r="K55" s="137">
        <f t="shared" si="41"/>
        <v>0</v>
      </c>
      <c r="L55" s="137">
        <f t="shared" si="41"/>
        <v>0</v>
      </c>
      <c r="M55" s="137">
        <v>0.0</v>
      </c>
      <c r="N55" s="137">
        <v>20.0</v>
      </c>
      <c r="O55" s="137">
        <f>O13*0</f>
        <v>0</v>
      </c>
      <c r="P55" s="137">
        <v>100.0</v>
      </c>
      <c r="Q55" s="137">
        <v>25.0</v>
      </c>
      <c r="R55" s="137">
        <v>25.0</v>
      </c>
      <c r="S55" s="137">
        <v>25.0</v>
      </c>
      <c r="T55" s="137">
        <v>25.0</v>
      </c>
      <c r="U55" s="137">
        <v>25.0</v>
      </c>
      <c r="V55" s="137">
        <v>25.0</v>
      </c>
      <c r="W55" s="137">
        <v>25.0</v>
      </c>
      <c r="X55" s="137">
        <v>25.0</v>
      </c>
      <c r="Y55" s="137">
        <v>25.0</v>
      </c>
      <c r="Z55" s="137">
        <v>25.0</v>
      </c>
    </row>
    <row r="56">
      <c r="A56" s="1128"/>
      <c r="B56" s="1129" t="s">
        <v>1020</v>
      </c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222">
        <f t="shared" ref="M56:N56" si="42">M4*0.03</f>
        <v>300</v>
      </c>
      <c r="N56" s="222">
        <f t="shared" si="42"/>
        <v>300</v>
      </c>
      <c r="O56" s="222">
        <f t="shared" ref="O56:Z56" si="43">O12</f>
        <v>400</v>
      </c>
      <c r="P56" s="222">
        <f t="shared" si="43"/>
        <v>400</v>
      </c>
      <c r="Q56" s="222">
        <f t="shared" si="43"/>
        <v>410</v>
      </c>
      <c r="R56" s="222">
        <f t="shared" si="43"/>
        <v>410</v>
      </c>
      <c r="S56" s="222">
        <f t="shared" si="43"/>
        <v>410</v>
      </c>
      <c r="T56" s="222">
        <f t="shared" si="43"/>
        <v>410</v>
      </c>
      <c r="U56" s="222">
        <f t="shared" si="43"/>
        <v>500</v>
      </c>
      <c r="V56" s="222">
        <f t="shared" si="43"/>
        <v>410</v>
      </c>
      <c r="W56" s="222">
        <f t="shared" si="43"/>
        <v>410</v>
      </c>
      <c r="X56" s="222">
        <f t="shared" si="43"/>
        <v>410</v>
      </c>
      <c r="Y56" s="222">
        <f t="shared" si="43"/>
        <v>410</v>
      </c>
      <c r="Z56" s="222">
        <f t="shared" si="43"/>
        <v>410</v>
      </c>
    </row>
    <row r="57">
      <c r="A57" s="176" t="s">
        <v>733</v>
      </c>
      <c r="B57" s="176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</row>
    <row r="58">
      <c r="A58" s="137"/>
      <c r="B58" s="137" t="s">
        <v>1021</v>
      </c>
      <c r="C58" s="137"/>
      <c r="D58" s="137"/>
      <c r="E58" s="137"/>
      <c r="F58" s="137"/>
      <c r="G58" s="137"/>
      <c r="H58" s="175"/>
      <c r="I58" s="137">
        <v>0.0</v>
      </c>
      <c r="J58" s="137">
        <v>0.0</v>
      </c>
      <c r="K58" s="137">
        <f t="shared" ref="K58:L58" si="44">K14*0</f>
        <v>0</v>
      </c>
      <c r="L58" s="137">
        <f t="shared" si="44"/>
        <v>0</v>
      </c>
      <c r="M58" s="137">
        <v>0.0</v>
      </c>
      <c r="N58" s="137">
        <v>0.0</v>
      </c>
      <c r="O58" s="137">
        <f>O13*0.01</f>
        <v>72</v>
      </c>
      <c r="P58" s="137">
        <v>0.0</v>
      </c>
      <c r="Q58" s="137">
        <v>70.0</v>
      </c>
      <c r="R58" s="137">
        <v>25.0</v>
      </c>
      <c r="S58" s="137">
        <v>25.0</v>
      </c>
      <c r="T58" s="137">
        <v>25.0</v>
      </c>
      <c r="U58" s="137">
        <v>25.0</v>
      </c>
      <c r="V58" s="137">
        <v>25.0</v>
      </c>
      <c r="W58" s="137">
        <v>25.0</v>
      </c>
      <c r="X58" s="137">
        <v>25.0</v>
      </c>
      <c r="Y58" s="137">
        <v>25.0</v>
      </c>
      <c r="Z58" s="137">
        <v>25.0</v>
      </c>
    </row>
    <row r="59">
      <c r="A59" s="702"/>
      <c r="B59" s="702"/>
      <c r="C59" s="167"/>
      <c r="D59" s="167"/>
      <c r="E59" s="167"/>
      <c r="F59" s="167"/>
      <c r="G59" s="167"/>
      <c r="H59" s="703"/>
      <c r="I59" s="167"/>
      <c r="J59" s="167"/>
      <c r="K59" s="167"/>
      <c r="L59" s="167"/>
      <c r="M59" s="167"/>
      <c r="N59" s="167"/>
      <c r="O59" s="167"/>
      <c r="P59" s="704">
        <f t="shared" ref="P59:Z59" si="45">sum(P47:P55)/P13</f>
        <v>0.5604312305</v>
      </c>
      <c r="Q59" s="704">
        <f t="shared" si="45"/>
        <v>0.2883061708</v>
      </c>
      <c r="R59" s="704">
        <f t="shared" si="45"/>
        <v>0.4132732644</v>
      </c>
      <c r="S59" s="704">
        <f t="shared" si="45"/>
        <v>0.4062038405</v>
      </c>
      <c r="T59" s="704">
        <f t="shared" si="45"/>
        <v>0.4272397721</v>
      </c>
      <c r="U59" s="704">
        <f t="shared" si="45"/>
        <v>0.3733031674</v>
      </c>
      <c r="V59" s="704">
        <f t="shared" si="45"/>
        <v>0.4272397721</v>
      </c>
      <c r="W59" s="704">
        <f t="shared" si="45"/>
        <v>0.4272397721</v>
      </c>
      <c r="X59" s="704">
        <f t="shared" si="45"/>
        <v>0.4272397721</v>
      </c>
      <c r="Y59" s="704">
        <f t="shared" si="45"/>
        <v>0.4272397721</v>
      </c>
      <c r="Z59" s="704">
        <f t="shared" si="45"/>
        <v>0.4420611082</v>
      </c>
    </row>
    <row r="60">
      <c r="A60" s="235" t="s">
        <v>252</v>
      </c>
      <c r="B60" s="235"/>
      <c r="C60" s="236">
        <f>C13-C43-C49-C47+'BUDGET 2018 (Archive)'!O35</f>
        <v>427.415</v>
      </c>
      <c r="D60" s="236">
        <f>D13-D43-D49-D47+'BUDGET 2018 (Archive)'!P35</f>
        <v>4179.525</v>
      </c>
      <c r="E60" s="236">
        <f>E13-E43-E49-E47+'BUDGET 2018 (Archive)'!Q35</f>
        <v>499.525</v>
      </c>
      <c r="F60" s="236">
        <f>F13-F43-F49-F47+'BUDGET 2018 (Archive)'!R35</f>
        <v>150.735</v>
      </c>
      <c r="G60" s="236">
        <f>G13-G43-G49-G47+'BUDGET 2018 (Archive)'!S35</f>
        <v>1504.525</v>
      </c>
      <c r="H60" s="237">
        <f>H13-H43-H49-H47+'BUDGET 2018 (Archive)'!T35</f>
        <v>2472</v>
      </c>
      <c r="I60" s="236">
        <f>H60+I13-I43-I49-I55-I47</f>
        <v>13499</v>
      </c>
      <c r="J60" s="236">
        <f t="shared" ref="J60:L60" si="46">sum(J47:J58)</f>
        <v>3200</v>
      </c>
      <c r="K60" s="236">
        <f t="shared" si="46"/>
        <v>1000</v>
      </c>
      <c r="L60" s="236">
        <f t="shared" si="46"/>
        <v>1495</v>
      </c>
      <c r="M60" s="236">
        <f t="shared" ref="M60:O60" si="47">sum(M47:M55)+M58</f>
        <v>0</v>
      </c>
      <c r="N60" s="236">
        <f t="shared" si="47"/>
        <v>1827.5</v>
      </c>
      <c r="O60" s="236">
        <f t="shared" si="47"/>
        <v>2667</v>
      </c>
      <c r="P60" s="236">
        <f>sum(P47:P58)</f>
        <v>7054</v>
      </c>
      <c r="Q60" s="236">
        <f t="shared" ref="Q60:Z60" si="48">sum(Q47:Q55)+Q58</f>
        <v>2139.75</v>
      </c>
      <c r="R60" s="236">
        <f t="shared" si="48"/>
        <v>4221.79</v>
      </c>
      <c r="S60" s="706">
        <f t="shared" si="48"/>
        <v>4150</v>
      </c>
      <c r="T60" s="236">
        <f t="shared" si="48"/>
        <v>4150</v>
      </c>
      <c r="U60" s="236">
        <f t="shared" si="48"/>
        <v>4150</v>
      </c>
      <c r="V60" s="236">
        <f t="shared" si="48"/>
        <v>4150</v>
      </c>
      <c r="W60" s="236">
        <f t="shared" si="48"/>
        <v>4150</v>
      </c>
      <c r="X60" s="236">
        <f t="shared" si="48"/>
        <v>4150</v>
      </c>
      <c r="Y60" s="236">
        <f t="shared" si="48"/>
        <v>4150</v>
      </c>
      <c r="Z60" s="236">
        <f t="shared" si="48"/>
        <v>4293.1</v>
      </c>
    </row>
    <row r="61">
      <c r="A61" s="241"/>
      <c r="B61" s="241"/>
      <c r="C61" s="177"/>
      <c r="D61" s="177"/>
      <c r="E61" s="177"/>
      <c r="F61" s="177"/>
      <c r="G61" s="177"/>
      <c r="H61" s="178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>
      <c r="A62" s="1130"/>
      <c r="B62" s="1130"/>
      <c r="C62" s="247"/>
      <c r="D62" s="247"/>
      <c r="E62" s="247"/>
      <c r="F62" s="247"/>
      <c r="G62" s="247"/>
      <c r="H62" s="1131"/>
      <c r="I62" s="247"/>
      <c r="J62" s="247"/>
      <c r="K62" s="247"/>
      <c r="L62" s="247"/>
      <c r="M62" s="247"/>
      <c r="N62" s="247"/>
      <c r="O62" s="247"/>
      <c r="P62" s="247"/>
      <c r="Q62" s="247"/>
      <c r="R62" s="247"/>
      <c r="S62" s="247"/>
      <c r="T62" s="247"/>
      <c r="U62" s="247"/>
      <c r="V62" s="247"/>
      <c r="W62" s="247"/>
      <c r="X62" s="247"/>
      <c r="Y62" s="247"/>
      <c r="Z62" s="247"/>
    </row>
    <row r="63">
      <c r="A63" s="708" t="s">
        <v>253</v>
      </c>
      <c r="B63" s="708"/>
      <c r="C63" s="177"/>
      <c r="D63" s="177"/>
      <c r="E63" s="177"/>
      <c r="F63" s="177"/>
      <c r="G63" s="177"/>
      <c r="H63" s="178"/>
      <c r="I63" s="177"/>
      <c r="J63" s="177" t="str">
        <f t="shared" ref="J63:K63" si="49">J13-#REF!-J43-J60</f>
        <v>#REF!</v>
      </c>
      <c r="K63" s="177" t="str">
        <f t="shared" si="49"/>
        <v>#REF!</v>
      </c>
      <c r="L63" s="177" t="str">
        <f t="shared" ref="L63:M63" si="50">L13-#REF!-L43-L60+K63</f>
        <v>#REF!</v>
      </c>
      <c r="M63" s="177" t="str">
        <f t="shared" si="50"/>
        <v>#REF!</v>
      </c>
      <c r="N63" s="177">
        <f>N13-N43-N60</f>
        <v>1950.5</v>
      </c>
      <c r="O63" s="177">
        <f>N63+O13-O43-O60</f>
        <v>4132.5</v>
      </c>
      <c r="P63" s="177">
        <f>P13-P43-P60+P56</f>
        <v>197.0622682</v>
      </c>
      <c r="Q63" s="177">
        <f t="shared" ref="Q63:Y63" si="51">Q13-Q43-Q60+Q56+P63</f>
        <v>30.20928725</v>
      </c>
      <c r="R63" s="177">
        <f t="shared" si="51"/>
        <v>615.4387988</v>
      </c>
      <c r="S63" s="177">
        <f t="shared" si="51"/>
        <v>1997.45831</v>
      </c>
      <c r="T63" s="177">
        <f t="shared" si="51"/>
        <v>2879.46252</v>
      </c>
      <c r="U63" s="177">
        <f t="shared" si="51"/>
        <v>1096.243521</v>
      </c>
      <c r="V63" s="177">
        <f t="shared" si="51"/>
        <v>1978.195944</v>
      </c>
      <c r="W63" s="177">
        <f t="shared" si="51"/>
        <v>2860.148366</v>
      </c>
      <c r="X63" s="177">
        <f t="shared" si="51"/>
        <v>2142.100789</v>
      </c>
      <c r="Y63" s="177">
        <f t="shared" si="51"/>
        <v>3024.053211</v>
      </c>
      <c r="Z63" s="177">
        <f>Z13-Z43-Z60+Z56</f>
        <v>738.8524226</v>
      </c>
    </row>
    <row r="64">
      <c r="A64" s="252"/>
      <c r="B64" s="252"/>
      <c r="C64" s="177"/>
      <c r="D64" s="177"/>
      <c r="E64" s="177"/>
      <c r="F64" s="177"/>
      <c r="G64" s="177"/>
      <c r="H64" s="178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</row>
    <row r="65">
      <c r="A65" s="137"/>
      <c r="B65" s="137"/>
      <c r="C65" s="177"/>
      <c r="D65" s="177"/>
      <c r="E65" s="177"/>
      <c r="F65" s="177"/>
      <c r="G65" s="177"/>
      <c r="H65" s="178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</row>
    <row r="66">
      <c r="A66" s="1132" t="s">
        <v>1022</v>
      </c>
      <c r="B66" s="183"/>
      <c r="C66" s="177"/>
      <c r="D66" s="177"/>
      <c r="E66" s="177"/>
      <c r="F66" s="177"/>
      <c r="G66" s="177"/>
      <c r="H66" s="178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</row>
    <row r="67">
      <c r="A67" s="250">
        <f>12000+3000</f>
        <v>15000</v>
      </c>
      <c r="B67" s="179" t="s">
        <v>1023</v>
      </c>
      <c r="C67" s="177"/>
      <c r="D67" s="177"/>
      <c r="E67" s="177"/>
      <c r="F67" s="177"/>
      <c r="G67" s="177"/>
      <c r="H67" s="178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</row>
    <row r="68">
      <c r="A68" s="179"/>
      <c r="B68" s="179" t="s">
        <v>1024</v>
      </c>
      <c r="C68" s="177"/>
      <c r="D68" s="177"/>
      <c r="E68" s="177"/>
      <c r="F68" s="177"/>
      <c r="G68" s="177"/>
      <c r="H68" s="178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</row>
    <row r="69">
      <c r="A69" s="137"/>
      <c r="B69" s="137"/>
      <c r="C69" s="177"/>
      <c r="D69" s="177"/>
      <c r="E69" s="177"/>
      <c r="F69" s="177"/>
      <c r="G69" s="177"/>
      <c r="H69" s="178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</row>
    <row r="70">
      <c r="A70" s="179"/>
      <c r="B70" s="179"/>
      <c r="C70" s="177"/>
      <c r="D70" s="177"/>
      <c r="E70" s="177"/>
      <c r="F70" s="177"/>
      <c r="G70" s="177"/>
      <c r="H70" s="178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</row>
    <row r="71">
      <c r="A71" s="177"/>
      <c r="B71" s="177"/>
      <c r="C71" s="177"/>
      <c r="D71" s="177"/>
      <c r="E71" s="177"/>
      <c r="F71" s="177"/>
      <c r="G71" s="177"/>
      <c r="H71" s="178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</row>
    <row r="72">
      <c r="A72" s="177"/>
      <c r="B72" s="177"/>
      <c r="C72" s="177"/>
      <c r="D72" s="177"/>
      <c r="E72" s="177"/>
      <c r="F72" s="177"/>
      <c r="G72" s="177"/>
      <c r="H72" s="178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</row>
    <row r="73">
      <c r="A73" s="177"/>
      <c r="B73" s="177"/>
      <c r="C73" s="177"/>
      <c r="D73" s="177"/>
      <c r="E73" s="177"/>
      <c r="F73" s="177"/>
      <c r="G73" s="177"/>
      <c r="H73" s="178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</row>
    <row r="74">
      <c r="A74" s="177"/>
      <c r="B74" s="177"/>
      <c r="C74" s="177"/>
      <c r="D74" s="177"/>
      <c r="E74" s="177"/>
      <c r="F74" s="177"/>
      <c r="G74" s="177"/>
      <c r="H74" s="178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</row>
    <row r="75">
      <c r="A75" s="177"/>
      <c r="B75" s="177"/>
      <c r="C75" s="177"/>
      <c r="D75" s="177"/>
      <c r="E75" s="177"/>
      <c r="F75" s="177"/>
      <c r="G75" s="177"/>
      <c r="H75" s="178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</row>
    <row r="76">
      <c r="A76" s="177"/>
      <c r="B76" s="177"/>
      <c r="C76" s="177"/>
      <c r="D76" s="177"/>
      <c r="E76" s="177"/>
      <c r="F76" s="177"/>
      <c r="G76" s="177"/>
      <c r="H76" s="178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</row>
    <row r="77">
      <c r="A77" s="177"/>
      <c r="B77" s="177"/>
      <c r="C77" s="177"/>
      <c r="D77" s="177"/>
      <c r="E77" s="177"/>
      <c r="F77" s="177"/>
      <c r="G77" s="177"/>
      <c r="H77" s="178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</row>
    <row r="78">
      <c r="A78" s="177"/>
      <c r="B78" s="177"/>
      <c r="C78" s="177"/>
      <c r="D78" s="177"/>
      <c r="E78" s="177"/>
      <c r="F78" s="177"/>
      <c r="G78" s="177"/>
      <c r="H78" s="178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</row>
    <row r="79">
      <c r="A79" s="177"/>
      <c r="B79" s="177"/>
      <c r="C79" s="177"/>
      <c r="D79" s="177"/>
      <c r="E79" s="177"/>
      <c r="F79" s="177"/>
      <c r="G79" s="177"/>
      <c r="H79" s="178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</row>
    <row r="80">
      <c r="A80" s="177"/>
      <c r="B80" s="177"/>
      <c r="C80" s="177"/>
      <c r="D80" s="177"/>
      <c r="E80" s="177"/>
      <c r="F80" s="177"/>
      <c r="G80" s="177"/>
      <c r="H80" s="178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</row>
    <row r="81">
      <c r="A81" s="177"/>
      <c r="B81" s="177"/>
      <c r="C81" s="177"/>
      <c r="D81" s="177"/>
      <c r="E81" s="177"/>
      <c r="F81" s="177"/>
      <c r="G81" s="177"/>
      <c r="H81" s="178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</row>
    <row r="82">
      <c r="A82" s="177"/>
      <c r="B82" s="177"/>
      <c r="C82" s="177"/>
      <c r="D82" s="177"/>
      <c r="E82" s="177"/>
      <c r="F82" s="177"/>
      <c r="G82" s="177"/>
      <c r="H82" s="178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</row>
    <row r="83">
      <c r="A83" s="177"/>
      <c r="B83" s="177"/>
      <c r="C83" s="177"/>
      <c r="D83" s="177"/>
      <c r="E83" s="177"/>
      <c r="F83" s="177"/>
      <c r="G83" s="177"/>
      <c r="H83" s="178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</row>
    <row r="84">
      <c r="A84" s="177"/>
      <c r="B84" s="177"/>
      <c r="C84" s="177"/>
      <c r="D84" s="177"/>
      <c r="E84" s="177"/>
      <c r="F84" s="177"/>
      <c r="G84" s="177"/>
      <c r="H84" s="178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</row>
    <row r="85">
      <c r="A85" s="177"/>
      <c r="B85" s="177"/>
      <c r="C85" s="177"/>
      <c r="D85" s="177"/>
      <c r="E85" s="177"/>
      <c r="F85" s="177"/>
      <c r="G85" s="177"/>
      <c r="H85" s="178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</row>
    <row r="86">
      <c r="A86" s="177"/>
      <c r="B86" s="177"/>
      <c r="C86" s="177"/>
      <c r="D86" s="177"/>
      <c r="E86" s="177"/>
      <c r="F86" s="177"/>
      <c r="G86" s="177"/>
      <c r="H86" s="178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</row>
    <row r="87">
      <c r="A87" s="177"/>
      <c r="B87" s="177"/>
      <c r="C87" s="177"/>
      <c r="D87" s="177"/>
      <c r="E87" s="177"/>
      <c r="F87" s="177"/>
      <c r="G87" s="177"/>
      <c r="H87" s="178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</row>
    <row r="88">
      <c r="A88" s="177"/>
      <c r="B88" s="177"/>
      <c r="C88" s="177"/>
      <c r="D88" s="177"/>
      <c r="E88" s="177"/>
      <c r="F88" s="177"/>
      <c r="G88" s="177"/>
      <c r="H88" s="178"/>
      <c r="I88" s="177"/>
      <c r="J88" s="177"/>
      <c r="K88" s="177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  <c r="Z88" s="177"/>
    </row>
    <row r="89">
      <c r="A89" s="177"/>
      <c r="B89" s="177"/>
      <c r="C89" s="177"/>
      <c r="D89" s="177"/>
      <c r="E89" s="177"/>
      <c r="F89" s="177"/>
      <c r="G89" s="177"/>
      <c r="H89" s="178"/>
      <c r="I89" s="177"/>
      <c r="J89" s="177"/>
      <c r="K89" s="177"/>
      <c r="L89" s="177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  <c r="Z89" s="177"/>
    </row>
    <row r="90">
      <c r="A90" s="177"/>
      <c r="B90" s="177"/>
      <c r="C90" s="177"/>
      <c r="D90" s="177"/>
      <c r="E90" s="177"/>
      <c r="F90" s="177"/>
      <c r="G90" s="177"/>
      <c r="H90" s="178"/>
      <c r="I90" s="177"/>
      <c r="J90" s="177"/>
      <c r="K90" s="177"/>
      <c r="L90" s="177"/>
      <c r="M90" s="177"/>
      <c r="N90" s="177"/>
      <c r="O90" s="177"/>
      <c r="P90" s="177"/>
      <c r="Q90" s="177"/>
      <c r="R90" s="177"/>
      <c r="S90" s="177"/>
      <c r="T90" s="177"/>
      <c r="U90" s="177"/>
      <c r="V90" s="177"/>
      <c r="W90" s="177"/>
      <c r="X90" s="177"/>
      <c r="Y90" s="177"/>
      <c r="Z90" s="177"/>
    </row>
    <row r="91">
      <c r="A91" s="177"/>
      <c r="B91" s="177"/>
      <c r="C91" s="177"/>
      <c r="D91" s="177"/>
      <c r="E91" s="177"/>
      <c r="F91" s="177"/>
      <c r="G91" s="177"/>
      <c r="H91" s="178"/>
      <c r="I91" s="177"/>
      <c r="J91" s="177"/>
      <c r="K91" s="177"/>
      <c r="L91" s="177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77"/>
      <c r="Z91" s="177"/>
    </row>
    <row r="92">
      <c r="A92" s="177"/>
      <c r="B92" s="177"/>
      <c r="C92" s="177"/>
      <c r="D92" s="177"/>
      <c r="E92" s="177"/>
      <c r="F92" s="177"/>
      <c r="G92" s="177"/>
      <c r="H92" s="178"/>
      <c r="I92" s="177"/>
      <c r="J92" s="177"/>
      <c r="K92" s="177"/>
      <c r="L92" s="177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77"/>
      <c r="Z92" s="177"/>
    </row>
    <row r="93">
      <c r="A93" s="177"/>
      <c r="B93" s="177"/>
      <c r="C93" s="177"/>
      <c r="D93" s="177"/>
      <c r="E93" s="177"/>
      <c r="F93" s="177"/>
      <c r="G93" s="177"/>
      <c r="H93" s="178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  <c r="Z93" s="177"/>
    </row>
    <row r="94">
      <c r="A94" s="177"/>
      <c r="B94" s="177"/>
      <c r="C94" s="177"/>
      <c r="D94" s="177"/>
      <c r="E94" s="177"/>
      <c r="F94" s="177"/>
      <c r="G94" s="177"/>
      <c r="H94" s="178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</row>
    <row r="95">
      <c r="A95" s="177"/>
      <c r="B95" s="177"/>
      <c r="C95" s="177"/>
      <c r="D95" s="177"/>
      <c r="E95" s="177"/>
      <c r="F95" s="177"/>
      <c r="G95" s="177"/>
      <c r="H95" s="178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</row>
    <row r="96">
      <c r="A96" s="177"/>
      <c r="B96" s="177"/>
      <c r="C96" s="177"/>
      <c r="D96" s="177"/>
      <c r="E96" s="177"/>
      <c r="F96" s="177"/>
      <c r="G96" s="177"/>
      <c r="H96" s="178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</row>
    <row r="97">
      <c r="A97" s="177"/>
      <c r="B97" s="177"/>
      <c r="C97" s="177"/>
      <c r="D97" s="177"/>
      <c r="E97" s="177"/>
      <c r="F97" s="177"/>
      <c r="G97" s="177"/>
      <c r="H97" s="178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</row>
    <row r="98">
      <c r="A98" s="177"/>
      <c r="B98" s="177"/>
      <c r="C98" s="177"/>
      <c r="D98" s="177"/>
      <c r="E98" s="177"/>
      <c r="F98" s="177"/>
      <c r="G98" s="177"/>
      <c r="H98" s="178"/>
      <c r="I98" s="177"/>
      <c r="J98" s="177"/>
      <c r="K98" s="177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</row>
    <row r="99">
      <c r="A99" s="177"/>
      <c r="B99" s="177"/>
      <c r="C99" s="177"/>
      <c r="D99" s="177"/>
      <c r="E99" s="177"/>
      <c r="F99" s="177"/>
      <c r="G99" s="177"/>
      <c r="H99" s="178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</row>
    <row r="100">
      <c r="A100" s="177"/>
      <c r="B100" s="177"/>
      <c r="C100" s="177"/>
      <c r="D100" s="177"/>
      <c r="E100" s="177"/>
      <c r="F100" s="177"/>
      <c r="G100" s="177"/>
      <c r="H100" s="178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</row>
    <row r="101">
      <c r="A101" s="177"/>
      <c r="B101" s="177"/>
      <c r="C101" s="177"/>
      <c r="D101" s="177"/>
      <c r="E101" s="177"/>
      <c r="F101" s="177"/>
      <c r="G101" s="177"/>
      <c r="H101" s="178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</row>
    <row r="102">
      <c r="A102" s="177"/>
      <c r="B102" s="177"/>
      <c r="C102" s="177"/>
      <c r="D102" s="177"/>
      <c r="E102" s="177"/>
      <c r="F102" s="177"/>
      <c r="G102" s="177"/>
      <c r="H102" s="178"/>
      <c r="I102" s="177"/>
      <c r="J102" s="177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</row>
    <row r="103">
      <c r="A103" s="177"/>
      <c r="B103" s="177"/>
      <c r="C103" s="177"/>
      <c r="D103" s="177"/>
      <c r="E103" s="177"/>
      <c r="F103" s="177"/>
      <c r="G103" s="177"/>
      <c r="H103" s="178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</row>
    <row r="104">
      <c r="A104" s="177"/>
      <c r="B104" s="177"/>
      <c r="C104" s="177"/>
      <c r="D104" s="177"/>
      <c r="E104" s="177"/>
      <c r="F104" s="177"/>
      <c r="G104" s="177"/>
      <c r="H104" s="178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</row>
    <row r="105">
      <c r="A105" s="177"/>
      <c r="B105" s="177"/>
      <c r="C105" s="177"/>
      <c r="D105" s="177"/>
      <c r="E105" s="177"/>
      <c r="F105" s="177"/>
      <c r="G105" s="177"/>
      <c r="H105" s="178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</row>
    <row r="106">
      <c r="A106" s="177"/>
      <c r="B106" s="177"/>
      <c r="C106" s="177"/>
      <c r="D106" s="177"/>
      <c r="E106" s="177"/>
      <c r="F106" s="177"/>
      <c r="G106" s="177"/>
      <c r="H106" s="178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  <c r="Z106" s="177"/>
    </row>
    <row r="107">
      <c r="A107" s="177"/>
      <c r="B107" s="177"/>
      <c r="C107" s="177"/>
      <c r="D107" s="177"/>
      <c r="E107" s="177"/>
      <c r="F107" s="177"/>
      <c r="G107" s="177"/>
      <c r="H107" s="178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</row>
    <row r="108">
      <c r="A108" s="177"/>
      <c r="B108" s="177"/>
      <c r="C108" s="177"/>
      <c r="D108" s="177"/>
      <c r="E108" s="177"/>
      <c r="F108" s="177"/>
      <c r="G108" s="177"/>
      <c r="H108" s="178"/>
      <c r="I108" s="177"/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  <c r="Y108" s="177"/>
      <c r="Z108" s="177"/>
    </row>
    <row r="109">
      <c r="A109" s="177"/>
      <c r="B109" s="177"/>
      <c r="C109" s="177"/>
      <c r="D109" s="177"/>
      <c r="E109" s="177"/>
      <c r="F109" s="177"/>
      <c r="G109" s="177"/>
      <c r="H109" s="178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</row>
    <row r="110">
      <c r="A110" s="177"/>
      <c r="B110" s="177"/>
      <c r="C110" s="177"/>
      <c r="D110" s="177"/>
      <c r="E110" s="177"/>
      <c r="F110" s="177"/>
      <c r="G110" s="177"/>
      <c r="H110" s="178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  <c r="Y110" s="177"/>
      <c r="Z110" s="177"/>
    </row>
    <row r="111">
      <c r="A111" s="177"/>
      <c r="B111" s="177"/>
      <c r="C111" s="177"/>
      <c r="D111" s="177"/>
      <c r="E111" s="177"/>
      <c r="F111" s="177"/>
      <c r="G111" s="177"/>
      <c r="H111" s="178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</row>
    <row r="112">
      <c r="A112" s="177"/>
      <c r="B112" s="177"/>
      <c r="C112" s="177"/>
      <c r="D112" s="177"/>
      <c r="E112" s="177"/>
      <c r="F112" s="177"/>
      <c r="G112" s="177"/>
      <c r="H112" s="178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</row>
    <row r="113">
      <c r="A113" s="177"/>
      <c r="B113" s="177"/>
      <c r="C113" s="177"/>
      <c r="D113" s="177"/>
      <c r="E113" s="177"/>
      <c r="F113" s="177"/>
      <c r="G113" s="177"/>
      <c r="H113" s="178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</row>
    <row r="114">
      <c r="A114" s="177"/>
      <c r="B114" s="177"/>
      <c r="C114" s="177"/>
      <c r="D114" s="177"/>
      <c r="E114" s="177"/>
      <c r="F114" s="177"/>
      <c r="G114" s="177"/>
      <c r="H114" s="178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  <c r="Z114" s="177"/>
    </row>
    <row r="115">
      <c r="A115" s="177"/>
      <c r="B115" s="177"/>
      <c r="C115" s="177"/>
      <c r="D115" s="177"/>
      <c r="E115" s="177"/>
      <c r="F115" s="177"/>
      <c r="G115" s="177"/>
      <c r="H115" s="178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  <c r="Z115" s="177"/>
    </row>
    <row r="116">
      <c r="A116" s="177"/>
      <c r="B116" s="177"/>
      <c r="C116" s="177"/>
      <c r="D116" s="177"/>
      <c r="E116" s="177"/>
      <c r="F116" s="177"/>
      <c r="G116" s="177"/>
      <c r="H116" s="178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  <c r="Z116" s="177"/>
    </row>
    <row r="117">
      <c r="A117" s="177"/>
      <c r="B117" s="177"/>
      <c r="C117" s="177"/>
      <c r="D117" s="177"/>
      <c r="E117" s="177"/>
      <c r="F117" s="177"/>
      <c r="G117" s="177"/>
      <c r="H117" s="178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  <c r="Z117" s="177"/>
    </row>
    <row r="118">
      <c r="A118" s="177"/>
      <c r="B118" s="177"/>
      <c r="C118" s="177"/>
      <c r="D118" s="177"/>
      <c r="E118" s="177"/>
      <c r="F118" s="177"/>
      <c r="G118" s="177"/>
      <c r="H118" s="178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  <c r="Z118" s="177"/>
    </row>
    <row r="119">
      <c r="A119" s="177"/>
      <c r="B119" s="177"/>
      <c r="C119" s="177"/>
      <c r="D119" s="177"/>
      <c r="E119" s="177"/>
      <c r="F119" s="177"/>
      <c r="G119" s="177"/>
      <c r="H119" s="178"/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  <c r="Z119" s="177"/>
    </row>
    <row r="120">
      <c r="A120" s="177"/>
      <c r="B120" s="177"/>
      <c r="C120" s="177"/>
      <c r="D120" s="177"/>
      <c r="E120" s="177"/>
      <c r="F120" s="177"/>
      <c r="G120" s="177"/>
      <c r="H120" s="178"/>
      <c r="I120" s="177"/>
      <c r="J120" s="177"/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  <c r="Z120" s="177"/>
    </row>
    <row r="121">
      <c r="A121" s="177"/>
      <c r="B121" s="177"/>
      <c r="C121" s="177"/>
      <c r="D121" s="177"/>
      <c r="E121" s="177"/>
      <c r="F121" s="177"/>
      <c r="G121" s="177"/>
      <c r="H121" s="178"/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  <c r="Z121" s="177"/>
    </row>
    <row r="122">
      <c r="A122" s="177"/>
      <c r="B122" s="177"/>
      <c r="C122" s="177"/>
      <c r="D122" s="177"/>
      <c r="E122" s="177"/>
      <c r="F122" s="177"/>
      <c r="G122" s="177"/>
      <c r="H122" s="178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</row>
    <row r="123">
      <c r="A123" s="177"/>
      <c r="B123" s="177"/>
      <c r="C123" s="177"/>
      <c r="D123" s="177"/>
      <c r="E123" s="177"/>
      <c r="F123" s="177"/>
      <c r="G123" s="177"/>
      <c r="H123" s="178"/>
      <c r="I123" s="177"/>
      <c r="J123" s="177"/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</row>
    <row r="124">
      <c r="A124" s="177"/>
      <c r="B124" s="177"/>
      <c r="C124" s="177"/>
      <c r="D124" s="177"/>
      <c r="E124" s="177"/>
      <c r="F124" s="177"/>
      <c r="G124" s="177"/>
      <c r="H124" s="178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</row>
    <row r="125">
      <c r="A125" s="177"/>
      <c r="B125" s="177"/>
      <c r="C125" s="177"/>
      <c r="D125" s="177"/>
      <c r="E125" s="177"/>
      <c r="F125" s="177"/>
      <c r="G125" s="177"/>
      <c r="H125" s="178"/>
      <c r="I125" s="177"/>
      <c r="J125" s="177"/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  <c r="Z125" s="177"/>
    </row>
    <row r="126">
      <c r="A126" s="177"/>
      <c r="B126" s="177"/>
      <c r="C126" s="177"/>
      <c r="D126" s="177"/>
      <c r="E126" s="177"/>
      <c r="F126" s="177"/>
      <c r="G126" s="177"/>
      <c r="H126" s="178"/>
      <c r="I126" s="177"/>
      <c r="J126" s="177"/>
      <c r="K126" s="177"/>
      <c r="L126" s="177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  <c r="Z126" s="177"/>
    </row>
    <row r="127">
      <c r="A127" s="177"/>
      <c r="B127" s="177"/>
      <c r="C127" s="177"/>
      <c r="D127" s="177"/>
      <c r="E127" s="177"/>
      <c r="F127" s="177"/>
      <c r="G127" s="177"/>
      <c r="H127" s="178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</row>
    <row r="128">
      <c r="A128" s="177"/>
      <c r="B128" s="177"/>
      <c r="C128" s="177"/>
      <c r="D128" s="177"/>
      <c r="E128" s="177"/>
      <c r="F128" s="177"/>
      <c r="G128" s="177"/>
      <c r="H128" s="178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  <c r="Z128" s="177"/>
    </row>
    <row r="129">
      <c r="A129" s="177"/>
      <c r="B129" s="177"/>
      <c r="C129" s="177"/>
      <c r="D129" s="177"/>
      <c r="E129" s="177"/>
      <c r="F129" s="177"/>
      <c r="G129" s="177"/>
      <c r="H129" s="178"/>
      <c r="I129" s="177"/>
      <c r="J129" s="177"/>
      <c r="K129" s="177"/>
      <c r="L129" s="177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</row>
    <row r="130">
      <c r="A130" s="177"/>
      <c r="B130" s="177"/>
      <c r="C130" s="177"/>
      <c r="D130" s="177"/>
      <c r="E130" s="177"/>
      <c r="F130" s="177"/>
      <c r="G130" s="177"/>
      <c r="H130" s="178"/>
      <c r="I130" s="177"/>
      <c r="J130" s="177"/>
      <c r="K130" s="177"/>
      <c r="L130" s="177"/>
      <c r="M130" s="177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</row>
    <row r="131">
      <c r="A131" s="177"/>
      <c r="B131" s="177"/>
      <c r="C131" s="177"/>
      <c r="D131" s="177"/>
      <c r="E131" s="177"/>
      <c r="F131" s="177"/>
      <c r="G131" s="177"/>
      <c r="H131" s="178"/>
      <c r="I131" s="177"/>
      <c r="J131" s="177"/>
      <c r="K131" s="177"/>
      <c r="L131" s="177"/>
      <c r="M131" s="177"/>
      <c r="N131" s="177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  <c r="Y131" s="177"/>
      <c r="Z131" s="177"/>
    </row>
    <row r="132">
      <c r="A132" s="177"/>
      <c r="B132" s="177"/>
      <c r="C132" s="177"/>
      <c r="D132" s="177"/>
      <c r="E132" s="177"/>
      <c r="F132" s="177"/>
      <c r="G132" s="177"/>
      <c r="H132" s="178"/>
      <c r="I132" s="177"/>
      <c r="J132" s="177"/>
      <c r="K132" s="177"/>
      <c r="L132" s="177"/>
      <c r="M132" s="177"/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  <c r="Y132" s="177"/>
      <c r="Z132" s="177"/>
    </row>
    <row r="133">
      <c r="A133" s="177"/>
      <c r="B133" s="177"/>
      <c r="C133" s="177"/>
      <c r="D133" s="177"/>
      <c r="E133" s="177"/>
      <c r="F133" s="177"/>
      <c r="G133" s="177"/>
      <c r="H133" s="178"/>
      <c r="I133" s="177"/>
      <c r="J133" s="177"/>
      <c r="K133" s="177"/>
      <c r="L133" s="177"/>
      <c r="M133" s="177"/>
      <c r="N133" s="177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  <c r="Y133" s="177"/>
      <c r="Z133" s="177"/>
    </row>
    <row r="134">
      <c r="A134" s="177"/>
      <c r="B134" s="177"/>
      <c r="C134" s="177"/>
      <c r="D134" s="177"/>
      <c r="E134" s="177"/>
      <c r="F134" s="177"/>
      <c r="G134" s="177"/>
      <c r="H134" s="178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  <c r="Z134" s="177"/>
    </row>
    <row r="135">
      <c r="A135" s="177"/>
      <c r="B135" s="177"/>
      <c r="C135" s="177"/>
      <c r="D135" s="177"/>
      <c r="E135" s="177"/>
      <c r="F135" s="177"/>
      <c r="G135" s="177"/>
      <c r="H135" s="178"/>
      <c r="I135" s="177"/>
      <c r="J135" s="177"/>
      <c r="K135" s="177"/>
      <c r="L135" s="177"/>
      <c r="M135" s="177"/>
      <c r="N135" s="177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  <c r="Y135" s="177"/>
      <c r="Z135" s="177"/>
    </row>
    <row r="136">
      <c r="A136" s="177"/>
      <c r="B136" s="177"/>
      <c r="C136" s="177"/>
      <c r="D136" s="177"/>
      <c r="E136" s="177"/>
      <c r="F136" s="177"/>
      <c r="G136" s="177"/>
      <c r="H136" s="178"/>
      <c r="I136" s="177"/>
      <c r="J136" s="177"/>
      <c r="K136" s="177"/>
      <c r="L136" s="177"/>
      <c r="M136" s="177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</row>
    <row r="137">
      <c r="A137" s="177"/>
      <c r="B137" s="177"/>
      <c r="C137" s="177"/>
      <c r="D137" s="177"/>
      <c r="E137" s="177"/>
      <c r="F137" s="177"/>
      <c r="G137" s="177"/>
      <c r="H137" s="178"/>
      <c r="I137" s="177"/>
      <c r="J137" s="177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7"/>
      <c r="Z137" s="177"/>
    </row>
    <row r="138">
      <c r="A138" s="177"/>
      <c r="B138" s="177"/>
      <c r="C138" s="177"/>
      <c r="D138" s="177"/>
      <c r="E138" s="177"/>
      <c r="F138" s="177"/>
      <c r="G138" s="177"/>
      <c r="H138" s="178"/>
      <c r="I138" s="177"/>
      <c r="J138" s="177"/>
      <c r="K138" s="177"/>
      <c r="L138" s="177"/>
      <c r="M138" s="177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</row>
    <row r="139">
      <c r="A139" s="177"/>
      <c r="B139" s="177"/>
      <c r="C139" s="177"/>
      <c r="D139" s="177"/>
      <c r="E139" s="177"/>
      <c r="F139" s="177"/>
      <c r="G139" s="177"/>
      <c r="H139" s="178"/>
      <c r="I139" s="177"/>
      <c r="J139" s="177"/>
      <c r="K139" s="177"/>
      <c r="L139" s="177"/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  <c r="Z139" s="177"/>
    </row>
    <row r="140">
      <c r="A140" s="177"/>
      <c r="B140" s="177"/>
      <c r="C140" s="177"/>
      <c r="D140" s="177"/>
      <c r="E140" s="177"/>
      <c r="F140" s="177"/>
      <c r="G140" s="177"/>
      <c r="H140" s="178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</row>
    <row r="141">
      <c r="A141" s="177"/>
      <c r="B141" s="177"/>
      <c r="C141" s="177"/>
      <c r="D141" s="177"/>
      <c r="E141" s="177"/>
      <c r="F141" s="177"/>
      <c r="G141" s="177"/>
      <c r="H141" s="178"/>
      <c r="I141" s="177"/>
      <c r="J141" s="177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  <c r="Y141" s="177"/>
      <c r="Z141" s="177"/>
    </row>
    <row r="142">
      <c r="A142" s="177"/>
      <c r="B142" s="177"/>
      <c r="C142" s="177"/>
      <c r="D142" s="177"/>
      <c r="E142" s="177"/>
      <c r="F142" s="177"/>
      <c r="G142" s="177"/>
      <c r="H142" s="178"/>
      <c r="I142" s="177"/>
      <c r="J142" s="177"/>
      <c r="K142" s="177"/>
      <c r="L142" s="177"/>
      <c r="M142" s="177"/>
      <c r="N142" s="177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  <c r="Y142" s="177"/>
      <c r="Z142" s="177"/>
    </row>
    <row r="143">
      <c r="A143" s="177"/>
      <c r="B143" s="177"/>
      <c r="C143" s="177"/>
      <c r="D143" s="177"/>
      <c r="E143" s="177"/>
      <c r="F143" s="177"/>
      <c r="G143" s="177"/>
      <c r="H143" s="178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  <c r="Y143" s="177"/>
      <c r="Z143" s="177"/>
    </row>
    <row r="144">
      <c r="A144" s="177"/>
      <c r="B144" s="177"/>
      <c r="C144" s="177"/>
      <c r="D144" s="177"/>
      <c r="E144" s="177"/>
      <c r="F144" s="177"/>
      <c r="G144" s="177"/>
      <c r="H144" s="178"/>
      <c r="I144" s="177"/>
      <c r="J144" s="177"/>
      <c r="K144" s="177"/>
      <c r="L144" s="177"/>
      <c r="M144" s="177"/>
      <c r="N144" s="177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  <c r="Y144" s="177"/>
      <c r="Z144" s="177"/>
    </row>
    <row r="145">
      <c r="A145" s="177"/>
      <c r="B145" s="177"/>
      <c r="C145" s="177"/>
      <c r="D145" s="177"/>
      <c r="E145" s="177"/>
      <c r="F145" s="177"/>
      <c r="G145" s="177"/>
      <c r="H145" s="178"/>
      <c r="I145" s="177"/>
      <c r="J145" s="177"/>
      <c r="K145" s="177"/>
      <c r="L145" s="177"/>
      <c r="M145" s="177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  <c r="Y145" s="177"/>
      <c r="Z145" s="177"/>
    </row>
    <row r="146">
      <c r="A146" s="177"/>
      <c r="B146" s="177"/>
      <c r="C146" s="177"/>
      <c r="D146" s="177"/>
      <c r="E146" s="177"/>
      <c r="F146" s="177"/>
      <c r="G146" s="177"/>
      <c r="H146" s="178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  <c r="Y146" s="177"/>
      <c r="Z146" s="177"/>
    </row>
    <row r="147">
      <c r="A147" s="177"/>
      <c r="B147" s="177"/>
      <c r="C147" s="177"/>
      <c r="D147" s="177"/>
      <c r="E147" s="177"/>
      <c r="F147" s="177"/>
      <c r="G147" s="177"/>
      <c r="H147" s="178"/>
      <c r="I147" s="177"/>
      <c r="J147" s="177"/>
      <c r="K147" s="177"/>
      <c r="L147" s="177"/>
      <c r="M147" s="177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  <c r="Y147" s="177"/>
      <c r="Z147" s="177"/>
    </row>
    <row r="148">
      <c r="A148" s="177"/>
      <c r="B148" s="177"/>
      <c r="C148" s="177"/>
      <c r="D148" s="177"/>
      <c r="E148" s="177"/>
      <c r="F148" s="177"/>
      <c r="G148" s="177"/>
      <c r="H148" s="178"/>
      <c r="I148" s="177"/>
      <c r="J148" s="177"/>
      <c r="K148" s="177"/>
      <c r="L148" s="177"/>
      <c r="M148" s="177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  <c r="Y148" s="177"/>
      <c r="Z148" s="177"/>
    </row>
    <row r="149">
      <c r="A149" s="177"/>
      <c r="B149" s="177"/>
      <c r="C149" s="177"/>
      <c r="D149" s="177"/>
      <c r="E149" s="177"/>
      <c r="F149" s="177"/>
      <c r="G149" s="177"/>
      <c r="H149" s="178"/>
      <c r="I149" s="177"/>
      <c r="J149" s="177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</row>
    <row r="150">
      <c r="A150" s="177"/>
      <c r="B150" s="177"/>
      <c r="C150" s="177"/>
      <c r="D150" s="177"/>
      <c r="E150" s="177"/>
      <c r="F150" s="177"/>
      <c r="G150" s="177"/>
      <c r="H150" s="178"/>
      <c r="I150" s="177"/>
      <c r="J150" s="177"/>
      <c r="K150" s="177"/>
      <c r="L150" s="177"/>
      <c r="M150" s="177"/>
      <c r="N150" s="177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  <c r="Y150" s="177"/>
      <c r="Z150" s="177"/>
    </row>
    <row r="151">
      <c r="A151" s="177"/>
      <c r="B151" s="177"/>
      <c r="C151" s="177"/>
      <c r="D151" s="177"/>
      <c r="E151" s="177"/>
      <c r="F151" s="177"/>
      <c r="G151" s="177"/>
      <c r="H151" s="178"/>
      <c r="I151" s="177"/>
      <c r="J151" s="177"/>
      <c r="K151" s="177"/>
      <c r="L151" s="177"/>
      <c r="M151" s="177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</row>
    <row r="152">
      <c r="A152" s="177"/>
      <c r="B152" s="177"/>
      <c r="C152" s="177"/>
      <c r="D152" s="177"/>
      <c r="E152" s="177"/>
      <c r="F152" s="177"/>
      <c r="G152" s="177"/>
      <c r="H152" s="178"/>
      <c r="I152" s="177"/>
      <c r="J152" s="177"/>
      <c r="K152" s="177"/>
      <c r="L152" s="177"/>
      <c r="M152" s="177"/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  <c r="Y152" s="177"/>
      <c r="Z152" s="177"/>
    </row>
    <row r="153">
      <c r="A153" s="177"/>
      <c r="B153" s="177"/>
      <c r="C153" s="177"/>
      <c r="D153" s="177"/>
      <c r="E153" s="177"/>
      <c r="F153" s="177"/>
      <c r="G153" s="177"/>
      <c r="H153" s="178"/>
      <c r="I153" s="177"/>
      <c r="J153" s="177"/>
      <c r="K153" s="177"/>
      <c r="L153" s="177"/>
      <c r="M153" s="177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  <c r="Y153" s="177"/>
      <c r="Z153" s="177"/>
    </row>
    <row r="154">
      <c r="A154" s="177"/>
      <c r="B154" s="177"/>
      <c r="C154" s="177"/>
      <c r="D154" s="177"/>
      <c r="E154" s="177"/>
      <c r="F154" s="177"/>
      <c r="G154" s="177"/>
      <c r="H154" s="178"/>
      <c r="I154" s="177"/>
      <c r="J154" s="177"/>
      <c r="K154" s="177"/>
      <c r="L154" s="177"/>
      <c r="M154" s="177"/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  <c r="Y154" s="177"/>
      <c r="Z154" s="177"/>
    </row>
    <row r="155">
      <c r="A155" s="177"/>
      <c r="B155" s="177"/>
      <c r="C155" s="177"/>
      <c r="D155" s="177"/>
      <c r="E155" s="177"/>
      <c r="F155" s="177"/>
      <c r="G155" s="177"/>
      <c r="H155" s="178"/>
      <c r="I155" s="177"/>
      <c r="J155" s="177"/>
      <c r="K155" s="177"/>
      <c r="L155" s="177"/>
      <c r="M155" s="177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  <c r="Y155" s="177"/>
      <c r="Z155" s="177"/>
    </row>
    <row r="156">
      <c r="A156" s="177"/>
      <c r="B156" s="177"/>
      <c r="C156" s="177"/>
      <c r="D156" s="177"/>
      <c r="E156" s="177"/>
      <c r="F156" s="177"/>
      <c r="G156" s="177"/>
      <c r="H156" s="178"/>
      <c r="I156" s="177"/>
      <c r="J156" s="177"/>
      <c r="K156" s="177"/>
      <c r="L156" s="177"/>
      <c r="M156" s="177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  <c r="Y156" s="177"/>
      <c r="Z156" s="177"/>
    </row>
    <row r="157">
      <c r="A157" s="177"/>
      <c r="B157" s="177"/>
      <c r="C157" s="177"/>
      <c r="D157" s="177"/>
      <c r="E157" s="177"/>
      <c r="F157" s="177"/>
      <c r="G157" s="177"/>
      <c r="H157" s="178"/>
      <c r="I157" s="177"/>
      <c r="J157" s="177"/>
      <c r="K157" s="177"/>
      <c r="L157" s="177"/>
      <c r="M157" s="177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  <c r="Y157" s="177"/>
      <c r="Z157" s="177"/>
    </row>
    <row r="158">
      <c r="A158" s="177"/>
      <c r="B158" s="177"/>
      <c r="C158" s="177"/>
      <c r="D158" s="177"/>
      <c r="E158" s="177"/>
      <c r="F158" s="177"/>
      <c r="G158" s="177"/>
      <c r="H158" s="178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</row>
    <row r="159">
      <c r="A159" s="177"/>
      <c r="B159" s="177"/>
      <c r="C159" s="177"/>
      <c r="D159" s="177"/>
      <c r="E159" s="177"/>
      <c r="F159" s="177"/>
      <c r="G159" s="177"/>
      <c r="H159" s="178"/>
      <c r="I159" s="177"/>
      <c r="J159" s="177"/>
      <c r="K159" s="177"/>
      <c r="L159" s="177"/>
      <c r="M159" s="177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  <c r="Y159" s="177"/>
      <c r="Z159" s="177"/>
    </row>
    <row r="160">
      <c r="A160" s="177"/>
      <c r="B160" s="177"/>
      <c r="C160" s="177"/>
      <c r="D160" s="177"/>
      <c r="E160" s="177"/>
      <c r="F160" s="177"/>
      <c r="G160" s="177"/>
      <c r="H160" s="178"/>
      <c r="I160" s="177"/>
      <c r="J160" s="177"/>
      <c r="K160" s="177"/>
      <c r="L160" s="177"/>
      <c r="M160" s="177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  <c r="Y160" s="177"/>
      <c r="Z160" s="177"/>
    </row>
    <row r="161">
      <c r="A161" s="177"/>
      <c r="B161" s="177"/>
      <c r="C161" s="177"/>
      <c r="D161" s="177"/>
      <c r="E161" s="177"/>
      <c r="F161" s="177"/>
      <c r="G161" s="177"/>
      <c r="H161" s="178"/>
      <c r="I161" s="177"/>
      <c r="J161" s="177"/>
      <c r="K161" s="177"/>
      <c r="L161" s="177"/>
      <c r="M161" s="177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  <c r="Z161" s="177"/>
    </row>
    <row r="162">
      <c r="A162" s="177"/>
      <c r="B162" s="177"/>
      <c r="C162" s="177"/>
      <c r="D162" s="177"/>
      <c r="E162" s="177"/>
      <c r="F162" s="177"/>
      <c r="G162" s="177"/>
      <c r="H162" s="178"/>
      <c r="I162" s="177"/>
      <c r="J162" s="177"/>
      <c r="K162" s="177"/>
      <c r="L162" s="177"/>
      <c r="M162" s="177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  <c r="Y162" s="177"/>
      <c r="Z162" s="177"/>
    </row>
    <row r="163">
      <c r="A163" s="177"/>
      <c r="B163" s="177"/>
      <c r="C163" s="177"/>
      <c r="D163" s="177"/>
      <c r="E163" s="177"/>
      <c r="F163" s="177"/>
      <c r="G163" s="177"/>
      <c r="H163" s="178"/>
      <c r="I163" s="177"/>
      <c r="J163" s="177"/>
      <c r="K163" s="177"/>
      <c r="L163" s="177"/>
      <c r="M163" s="177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  <c r="Y163" s="177"/>
      <c r="Z163" s="177"/>
    </row>
    <row r="164">
      <c r="A164" s="177"/>
      <c r="B164" s="177"/>
      <c r="C164" s="177"/>
      <c r="D164" s="177"/>
      <c r="E164" s="177"/>
      <c r="F164" s="177"/>
      <c r="G164" s="177"/>
      <c r="H164" s="178"/>
      <c r="I164" s="177"/>
      <c r="J164" s="177"/>
      <c r="K164" s="177"/>
      <c r="L164" s="177"/>
      <c r="M164" s="177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  <c r="Y164" s="177"/>
      <c r="Z164" s="177"/>
    </row>
    <row r="165">
      <c r="A165" s="177"/>
      <c r="B165" s="177"/>
      <c r="C165" s="177"/>
      <c r="D165" s="177"/>
      <c r="E165" s="177"/>
      <c r="F165" s="177"/>
      <c r="G165" s="177"/>
      <c r="H165" s="178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</row>
    <row r="166">
      <c r="A166" s="177"/>
      <c r="B166" s="177"/>
      <c r="C166" s="177"/>
      <c r="D166" s="177"/>
      <c r="E166" s="177"/>
      <c r="F166" s="177"/>
      <c r="G166" s="177"/>
      <c r="H166" s="178"/>
      <c r="I166" s="177"/>
      <c r="J166" s="177"/>
      <c r="K166" s="177"/>
      <c r="L166" s="177"/>
      <c r="M166" s="177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  <c r="Y166" s="177"/>
      <c r="Z166" s="177"/>
    </row>
    <row r="167">
      <c r="A167" s="177"/>
      <c r="B167" s="177"/>
      <c r="C167" s="177"/>
      <c r="D167" s="177"/>
      <c r="E167" s="177"/>
      <c r="F167" s="177"/>
      <c r="G167" s="177"/>
      <c r="H167" s="178"/>
      <c r="I167" s="177"/>
      <c r="J167" s="177"/>
      <c r="K167" s="177"/>
      <c r="L167" s="177"/>
      <c r="M167" s="177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  <c r="Y167" s="177"/>
      <c r="Z167" s="177"/>
    </row>
    <row r="168">
      <c r="A168" s="177"/>
      <c r="B168" s="177"/>
      <c r="C168" s="177"/>
      <c r="D168" s="177"/>
      <c r="E168" s="177"/>
      <c r="F168" s="177"/>
      <c r="G168" s="177"/>
      <c r="H168" s="178"/>
      <c r="I168" s="177"/>
      <c r="J168" s="177"/>
      <c r="K168" s="177"/>
      <c r="L168" s="177"/>
      <c r="M168" s="177"/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  <c r="Y168" s="177"/>
      <c r="Z168" s="177"/>
    </row>
    <row r="169">
      <c r="A169" s="177"/>
      <c r="B169" s="177"/>
      <c r="C169" s="177"/>
      <c r="D169" s="177"/>
      <c r="E169" s="177"/>
      <c r="F169" s="177"/>
      <c r="G169" s="177"/>
      <c r="H169" s="178"/>
      <c r="I169" s="177"/>
      <c r="J169" s="177"/>
      <c r="K169" s="177"/>
      <c r="L169" s="177"/>
      <c r="M169" s="177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  <c r="Y169" s="177"/>
      <c r="Z169" s="177"/>
    </row>
    <row r="170">
      <c r="A170" s="177"/>
      <c r="B170" s="177"/>
      <c r="C170" s="177"/>
      <c r="D170" s="177"/>
      <c r="E170" s="177"/>
      <c r="F170" s="177"/>
      <c r="G170" s="177"/>
      <c r="H170" s="178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  <c r="Z170" s="177"/>
    </row>
    <row r="171">
      <c r="A171" s="177"/>
      <c r="B171" s="177"/>
      <c r="C171" s="177"/>
      <c r="D171" s="177"/>
      <c r="E171" s="177"/>
      <c r="F171" s="177"/>
      <c r="G171" s="177"/>
      <c r="H171" s="178"/>
      <c r="I171" s="177"/>
      <c r="J171" s="177"/>
      <c r="K171" s="177"/>
      <c r="L171" s="177"/>
      <c r="M171" s="177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  <c r="Y171" s="177"/>
      <c r="Z171" s="177"/>
    </row>
    <row r="172">
      <c r="A172" s="177"/>
      <c r="B172" s="177"/>
      <c r="C172" s="177"/>
      <c r="D172" s="177"/>
      <c r="E172" s="177"/>
      <c r="F172" s="177"/>
      <c r="G172" s="177"/>
      <c r="H172" s="178"/>
      <c r="I172" s="177"/>
      <c r="J172" s="177"/>
      <c r="K172" s="177"/>
      <c r="L172" s="177"/>
      <c r="M172" s="177"/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  <c r="Y172" s="177"/>
      <c r="Z172" s="177"/>
    </row>
    <row r="173">
      <c r="A173" s="177"/>
      <c r="B173" s="177"/>
      <c r="C173" s="177"/>
      <c r="D173" s="177"/>
      <c r="E173" s="177"/>
      <c r="F173" s="177"/>
      <c r="G173" s="177"/>
      <c r="H173" s="178"/>
      <c r="I173" s="177"/>
      <c r="J173" s="177"/>
      <c r="K173" s="177"/>
      <c r="L173" s="177"/>
      <c r="M173" s="177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  <c r="Y173" s="177"/>
      <c r="Z173" s="177"/>
    </row>
    <row r="174">
      <c r="A174" s="177"/>
      <c r="B174" s="177"/>
      <c r="C174" s="177"/>
      <c r="D174" s="177"/>
      <c r="E174" s="177"/>
      <c r="F174" s="177"/>
      <c r="G174" s="177"/>
      <c r="H174" s="178"/>
      <c r="I174" s="177"/>
      <c r="J174" s="177"/>
      <c r="K174" s="177"/>
      <c r="L174" s="177"/>
      <c r="M174" s="177"/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  <c r="Y174" s="177"/>
      <c r="Z174" s="177"/>
    </row>
    <row r="175">
      <c r="A175" s="177"/>
      <c r="B175" s="177"/>
      <c r="C175" s="177"/>
      <c r="D175" s="177"/>
      <c r="E175" s="177"/>
      <c r="F175" s="177"/>
      <c r="G175" s="177"/>
      <c r="H175" s="178"/>
      <c r="I175" s="177"/>
      <c r="J175" s="177"/>
      <c r="K175" s="177"/>
      <c r="L175" s="177"/>
      <c r="M175" s="177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  <c r="Y175" s="177"/>
      <c r="Z175" s="177"/>
    </row>
    <row r="176">
      <c r="A176" s="177"/>
      <c r="B176" s="177"/>
      <c r="C176" s="177"/>
      <c r="D176" s="177"/>
      <c r="E176" s="177"/>
      <c r="F176" s="177"/>
      <c r="G176" s="177"/>
      <c r="H176" s="178"/>
      <c r="I176" s="177"/>
      <c r="J176" s="177"/>
      <c r="K176" s="177"/>
      <c r="L176" s="177"/>
      <c r="M176" s="177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  <c r="Y176" s="177"/>
      <c r="Z176" s="177"/>
    </row>
    <row r="177">
      <c r="A177" s="177"/>
      <c r="B177" s="177"/>
      <c r="C177" s="177"/>
      <c r="D177" s="177"/>
      <c r="E177" s="177"/>
      <c r="F177" s="177"/>
      <c r="G177" s="177"/>
      <c r="H177" s="178"/>
      <c r="I177" s="177"/>
      <c r="J177" s="177"/>
      <c r="K177" s="177"/>
      <c r="L177" s="177"/>
      <c r="M177" s="177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  <c r="Y177" s="177"/>
      <c r="Z177" s="177"/>
    </row>
    <row r="178">
      <c r="A178" s="177"/>
      <c r="B178" s="177"/>
      <c r="C178" s="177"/>
      <c r="D178" s="177"/>
      <c r="E178" s="177"/>
      <c r="F178" s="177"/>
      <c r="G178" s="177"/>
      <c r="H178" s="178"/>
      <c r="I178" s="177"/>
      <c r="J178" s="177"/>
      <c r="K178" s="177"/>
      <c r="L178" s="177"/>
      <c r="M178" s="177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  <c r="Y178" s="177"/>
      <c r="Z178" s="177"/>
    </row>
    <row r="179">
      <c r="A179" s="177"/>
      <c r="B179" s="177"/>
      <c r="C179" s="177"/>
      <c r="D179" s="177"/>
      <c r="E179" s="177"/>
      <c r="F179" s="177"/>
      <c r="G179" s="177"/>
      <c r="H179" s="178"/>
      <c r="I179" s="177"/>
      <c r="J179" s="177"/>
      <c r="K179" s="177"/>
      <c r="L179" s="177"/>
      <c r="M179" s="177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  <c r="Y179" s="177"/>
      <c r="Z179" s="177"/>
    </row>
    <row r="180">
      <c r="A180" s="177"/>
      <c r="B180" s="177"/>
      <c r="C180" s="177"/>
      <c r="D180" s="177"/>
      <c r="E180" s="177"/>
      <c r="F180" s="177"/>
      <c r="G180" s="177"/>
      <c r="H180" s="178"/>
      <c r="I180" s="177"/>
      <c r="J180" s="177"/>
      <c r="K180" s="177"/>
      <c r="L180" s="177"/>
      <c r="M180" s="177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  <c r="Y180" s="177"/>
      <c r="Z180" s="177"/>
    </row>
    <row r="181">
      <c r="A181" s="177"/>
      <c r="B181" s="177"/>
      <c r="C181" s="177"/>
      <c r="D181" s="177"/>
      <c r="E181" s="177"/>
      <c r="F181" s="177"/>
      <c r="G181" s="177"/>
      <c r="H181" s="178"/>
      <c r="I181" s="177"/>
      <c r="J181" s="177"/>
      <c r="K181" s="177"/>
      <c r="L181" s="177"/>
      <c r="M181" s="177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  <c r="Y181" s="177"/>
      <c r="Z181" s="177"/>
    </row>
    <row r="182">
      <c r="A182" s="177"/>
      <c r="B182" s="177"/>
      <c r="C182" s="177"/>
      <c r="D182" s="177"/>
      <c r="E182" s="177"/>
      <c r="F182" s="177"/>
      <c r="G182" s="177"/>
      <c r="H182" s="178"/>
      <c r="I182" s="177"/>
      <c r="J182" s="177"/>
      <c r="K182" s="177"/>
      <c r="L182" s="177"/>
      <c r="M182" s="177"/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  <c r="Y182" s="177"/>
      <c r="Z182" s="177"/>
    </row>
    <row r="183">
      <c r="A183" s="177"/>
      <c r="B183" s="177"/>
      <c r="C183" s="177"/>
      <c r="D183" s="177"/>
      <c r="E183" s="177"/>
      <c r="F183" s="177"/>
      <c r="G183" s="177"/>
      <c r="H183" s="178"/>
      <c r="I183" s="177"/>
      <c r="J183" s="177"/>
      <c r="K183" s="177"/>
      <c r="L183" s="177"/>
      <c r="M183" s="177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  <c r="Y183" s="177"/>
      <c r="Z183" s="177"/>
    </row>
    <row r="184">
      <c r="A184" s="177"/>
      <c r="B184" s="177"/>
      <c r="C184" s="177"/>
      <c r="D184" s="177"/>
      <c r="E184" s="177"/>
      <c r="F184" s="177"/>
      <c r="G184" s="177"/>
      <c r="H184" s="178"/>
      <c r="I184" s="177"/>
      <c r="J184" s="177"/>
      <c r="K184" s="177"/>
      <c r="L184" s="177"/>
      <c r="M184" s="177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  <c r="Y184" s="177"/>
      <c r="Z184" s="177"/>
    </row>
    <row r="185">
      <c r="A185" s="177"/>
      <c r="B185" s="177"/>
      <c r="C185" s="177"/>
      <c r="D185" s="177"/>
      <c r="E185" s="177"/>
      <c r="F185" s="177"/>
      <c r="G185" s="177"/>
      <c r="H185" s="178"/>
      <c r="I185" s="177"/>
      <c r="J185" s="177"/>
      <c r="K185" s="177"/>
      <c r="L185" s="177"/>
      <c r="M185" s="177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  <c r="Y185" s="177"/>
      <c r="Z185" s="177"/>
    </row>
    <row r="186">
      <c r="A186" s="177"/>
      <c r="B186" s="177"/>
      <c r="C186" s="177"/>
      <c r="D186" s="177"/>
      <c r="E186" s="177"/>
      <c r="F186" s="177"/>
      <c r="G186" s="177"/>
      <c r="H186" s="178"/>
      <c r="I186" s="177"/>
      <c r="J186" s="177"/>
      <c r="K186" s="177"/>
      <c r="L186" s="177"/>
      <c r="M186" s="177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  <c r="Z186" s="177"/>
    </row>
    <row r="187">
      <c r="A187" s="177"/>
      <c r="B187" s="177"/>
      <c r="C187" s="177"/>
      <c r="D187" s="177"/>
      <c r="E187" s="177"/>
      <c r="F187" s="177"/>
      <c r="G187" s="177"/>
      <c r="H187" s="178"/>
      <c r="I187" s="177"/>
      <c r="J187" s="177"/>
      <c r="K187" s="177"/>
      <c r="L187" s="177"/>
      <c r="M187" s="177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  <c r="Y187" s="177"/>
      <c r="Z187" s="177"/>
    </row>
    <row r="188">
      <c r="A188" s="177"/>
      <c r="B188" s="177"/>
      <c r="C188" s="177"/>
      <c r="D188" s="177"/>
      <c r="E188" s="177"/>
      <c r="F188" s="177"/>
      <c r="G188" s="177"/>
      <c r="H188" s="178"/>
      <c r="I188" s="177"/>
      <c r="J188" s="177"/>
      <c r="K188" s="177"/>
      <c r="L188" s="177"/>
      <c r="M188" s="177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  <c r="Y188" s="177"/>
      <c r="Z188" s="177"/>
    </row>
    <row r="189">
      <c r="A189" s="177"/>
      <c r="B189" s="177"/>
      <c r="C189" s="177"/>
      <c r="D189" s="177"/>
      <c r="E189" s="177"/>
      <c r="F189" s="177"/>
      <c r="G189" s="177"/>
      <c r="H189" s="178"/>
      <c r="I189" s="177"/>
      <c r="J189" s="177"/>
      <c r="K189" s="177"/>
      <c r="L189" s="177"/>
      <c r="M189" s="177"/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  <c r="Y189" s="177"/>
      <c r="Z189" s="177"/>
    </row>
    <row r="190">
      <c r="A190" s="177"/>
      <c r="B190" s="177"/>
      <c r="C190" s="177"/>
      <c r="D190" s="177"/>
      <c r="E190" s="177"/>
      <c r="F190" s="177"/>
      <c r="G190" s="177"/>
      <c r="H190" s="178"/>
      <c r="I190" s="177"/>
      <c r="J190" s="177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  <c r="Z190" s="177"/>
    </row>
    <row r="191">
      <c r="A191" s="177"/>
      <c r="B191" s="177"/>
      <c r="C191" s="177"/>
      <c r="D191" s="177"/>
      <c r="E191" s="177"/>
      <c r="F191" s="177"/>
      <c r="G191" s="177"/>
      <c r="H191" s="178"/>
      <c r="I191" s="177"/>
      <c r="J191" s="177"/>
      <c r="K191" s="177"/>
      <c r="L191" s="177"/>
      <c r="M191" s="177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  <c r="Y191" s="177"/>
      <c r="Z191" s="177"/>
    </row>
    <row r="192">
      <c r="A192" s="177"/>
      <c r="B192" s="177"/>
      <c r="C192" s="177"/>
      <c r="D192" s="177"/>
      <c r="E192" s="177"/>
      <c r="F192" s="177"/>
      <c r="G192" s="177"/>
      <c r="H192" s="178"/>
      <c r="I192" s="177"/>
      <c r="J192" s="177"/>
      <c r="K192" s="177"/>
      <c r="L192" s="177"/>
      <c r="M192" s="177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  <c r="Y192" s="177"/>
      <c r="Z192" s="177"/>
    </row>
    <row r="193">
      <c r="A193" s="177"/>
      <c r="B193" s="177"/>
      <c r="C193" s="177"/>
      <c r="D193" s="177"/>
      <c r="E193" s="177"/>
      <c r="F193" s="177"/>
      <c r="G193" s="177"/>
      <c r="H193" s="178"/>
      <c r="I193" s="177"/>
      <c r="J193" s="177"/>
      <c r="K193" s="177"/>
      <c r="L193" s="177"/>
      <c r="M193" s="177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  <c r="Y193" s="177"/>
      <c r="Z193" s="177"/>
    </row>
    <row r="194">
      <c r="A194" s="177"/>
      <c r="B194" s="177"/>
      <c r="C194" s="177"/>
      <c r="D194" s="177"/>
      <c r="E194" s="177"/>
      <c r="F194" s="177"/>
      <c r="G194" s="177"/>
      <c r="H194" s="178"/>
      <c r="I194" s="177"/>
      <c r="J194" s="177"/>
      <c r="K194" s="177"/>
      <c r="L194" s="177"/>
      <c r="M194" s="177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  <c r="Y194" s="177"/>
      <c r="Z194" s="177"/>
    </row>
    <row r="195">
      <c r="A195" s="177"/>
      <c r="B195" s="177"/>
      <c r="C195" s="177"/>
      <c r="D195" s="177"/>
      <c r="E195" s="177"/>
      <c r="F195" s="177"/>
      <c r="G195" s="177"/>
      <c r="H195" s="178"/>
      <c r="I195" s="177"/>
      <c r="J195" s="177"/>
      <c r="K195" s="177"/>
      <c r="L195" s="177"/>
      <c r="M195" s="177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  <c r="Y195" s="177"/>
      <c r="Z195" s="177"/>
    </row>
    <row r="196">
      <c r="A196" s="177"/>
      <c r="B196" s="177"/>
      <c r="C196" s="177"/>
      <c r="D196" s="177"/>
      <c r="E196" s="177"/>
      <c r="F196" s="177"/>
      <c r="G196" s="177"/>
      <c r="H196" s="178"/>
      <c r="I196" s="177"/>
      <c r="J196" s="177"/>
      <c r="K196" s="177"/>
      <c r="L196" s="177"/>
      <c r="M196" s="177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  <c r="Y196" s="177"/>
      <c r="Z196" s="177"/>
    </row>
    <row r="197">
      <c r="A197" s="177"/>
      <c r="B197" s="177"/>
      <c r="C197" s="177"/>
      <c r="D197" s="177"/>
      <c r="E197" s="177"/>
      <c r="F197" s="177"/>
      <c r="G197" s="177"/>
      <c r="H197" s="178"/>
      <c r="I197" s="177"/>
      <c r="J197" s="177"/>
      <c r="K197" s="177"/>
      <c r="L197" s="177"/>
      <c r="M197" s="177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  <c r="Y197" s="177"/>
      <c r="Z197" s="177"/>
    </row>
    <row r="198">
      <c r="A198" s="177"/>
      <c r="B198" s="177"/>
      <c r="C198" s="177"/>
      <c r="D198" s="177"/>
      <c r="E198" s="177"/>
      <c r="F198" s="177"/>
      <c r="G198" s="177"/>
      <c r="H198" s="178"/>
      <c r="I198" s="177"/>
      <c r="J198" s="177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  <c r="Z198" s="177"/>
    </row>
    <row r="199">
      <c r="A199" s="177"/>
      <c r="B199" s="177"/>
      <c r="C199" s="177"/>
      <c r="D199" s="177"/>
      <c r="E199" s="177"/>
      <c r="F199" s="177"/>
      <c r="G199" s="177"/>
      <c r="H199" s="178"/>
      <c r="I199" s="177"/>
      <c r="J199" s="177"/>
      <c r="K199" s="177"/>
      <c r="L199" s="177"/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  <c r="Y199" s="177"/>
      <c r="Z199" s="177"/>
    </row>
    <row r="200">
      <c r="A200" s="177"/>
      <c r="B200" s="177"/>
      <c r="C200" s="177"/>
      <c r="D200" s="177"/>
      <c r="E200" s="177"/>
      <c r="F200" s="177"/>
      <c r="G200" s="177"/>
      <c r="H200" s="178"/>
      <c r="I200" s="177"/>
      <c r="J200" s="177"/>
      <c r="K200" s="177"/>
      <c r="L200" s="177"/>
      <c r="M200" s="177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  <c r="Y200" s="177"/>
      <c r="Z200" s="177"/>
    </row>
    <row r="201">
      <c r="A201" s="177"/>
      <c r="B201" s="177"/>
      <c r="C201" s="177"/>
      <c r="D201" s="177"/>
      <c r="E201" s="177"/>
      <c r="F201" s="177"/>
      <c r="G201" s="177"/>
      <c r="H201" s="178"/>
      <c r="I201" s="177"/>
      <c r="J201" s="177"/>
      <c r="K201" s="177"/>
      <c r="L201" s="177"/>
      <c r="M201" s="177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  <c r="Y201" s="177"/>
      <c r="Z201" s="177"/>
    </row>
    <row r="202">
      <c r="A202" s="177"/>
      <c r="B202" s="177"/>
      <c r="C202" s="177"/>
      <c r="D202" s="177"/>
      <c r="E202" s="177"/>
      <c r="F202" s="177"/>
      <c r="G202" s="177"/>
      <c r="H202" s="178"/>
      <c r="I202" s="177"/>
      <c r="J202" s="177"/>
      <c r="K202" s="177"/>
      <c r="L202" s="177"/>
      <c r="M202" s="177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  <c r="Z202" s="177"/>
    </row>
    <row r="203">
      <c r="A203" s="177"/>
      <c r="B203" s="177"/>
      <c r="C203" s="177"/>
      <c r="D203" s="177"/>
      <c r="E203" s="177"/>
      <c r="F203" s="177"/>
      <c r="G203" s="177"/>
      <c r="H203" s="178"/>
      <c r="I203" s="177"/>
      <c r="J203" s="177"/>
      <c r="K203" s="177"/>
      <c r="L203" s="177"/>
      <c r="M203" s="177"/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  <c r="Y203" s="177"/>
      <c r="Z203" s="177"/>
    </row>
    <row r="204">
      <c r="A204" s="177"/>
      <c r="B204" s="177"/>
      <c r="C204" s="177"/>
      <c r="D204" s="177"/>
      <c r="E204" s="177"/>
      <c r="F204" s="177"/>
      <c r="G204" s="177"/>
      <c r="H204" s="178"/>
      <c r="I204" s="177"/>
      <c r="J204" s="177"/>
      <c r="K204" s="177"/>
      <c r="L204" s="177"/>
      <c r="M204" s="177"/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  <c r="Y204" s="177"/>
      <c r="Z204" s="177"/>
    </row>
    <row r="205">
      <c r="A205" s="177"/>
      <c r="B205" s="177"/>
      <c r="C205" s="177"/>
      <c r="D205" s="177"/>
      <c r="E205" s="177"/>
      <c r="F205" s="177"/>
      <c r="G205" s="177"/>
      <c r="H205" s="178"/>
      <c r="I205" s="177"/>
      <c r="J205" s="177"/>
      <c r="K205" s="177"/>
      <c r="L205" s="177"/>
      <c r="M205" s="177"/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  <c r="Y205" s="177"/>
      <c r="Z205" s="177"/>
    </row>
    <row r="206">
      <c r="A206" s="177"/>
      <c r="B206" s="177"/>
      <c r="C206" s="177"/>
      <c r="D206" s="177"/>
      <c r="E206" s="177"/>
      <c r="F206" s="177"/>
      <c r="G206" s="177"/>
      <c r="H206" s="178"/>
      <c r="I206" s="177"/>
      <c r="J206" s="177"/>
      <c r="K206" s="177"/>
      <c r="L206" s="177"/>
      <c r="M206" s="177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  <c r="Y206" s="177"/>
      <c r="Z206" s="177"/>
    </row>
    <row r="207">
      <c r="A207" s="177"/>
      <c r="B207" s="177"/>
      <c r="C207" s="177"/>
      <c r="D207" s="177"/>
      <c r="E207" s="177"/>
      <c r="F207" s="177"/>
      <c r="G207" s="177"/>
      <c r="H207" s="178"/>
      <c r="I207" s="177"/>
      <c r="J207" s="177"/>
      <c r="K207" s="177"/>
      <c r="L207" s="177"/>
      <c r="M207" s="177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  <c r="Y207" s="177"/>
      <c r="Z207" s="177"/>
    </row>
    <row r="208">
      <c r="A208" s="177"/>
      <c r="B208" s="177"/>
      <c r="C208" s="177"/>
      <c r="D208" s="177"/>
      <c r="E208" s="177"/>
      <c r="F208" s="177"/>
      <c r="G208" s="177"/>
      <c r="H208" s="178"/>
      <c r="I208" s="177"/>
      <c r="J208" s="177"/>
      <c r="K208" s="177"/>
      <c r="L208" s="177"/>
      <c r="M208" s="177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  <c r="Y208" s="177"/>
      <c r="Z208" s="177"/>
    </row>
    <row r="209">
      <c r="A209" s="177"/>
      <c r="B209" s="177"/>
      <c r="C209" s="177"/>
      <c r="D209" s="177"/>
      <c r="E209" s="177"/>
      <c r="F209" s="177"/>
      <c r="G209" s="177"/>
      <c r="H209" s="178"/>
      <c r="I209" s="177"/>
      <c r="J209" s="177"/>
      <c r="K209" s="177"/>
      <c r="L209" s="177"/>
      <c r="M209" s="177"/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  <c r="Y209" s="177"/>
      <c r="Z209" s="177"/>
    </row>
    <row r="210">
      <c r="A210" s="177"/>
      <c r="B210" s="177"/>
      <c r="C210" s="177"/>
      <c r="D210" s="177"/>
      <c r="E210" s="177"/>
      <c r="F210" s="177"/>
      <c r="G210" s="177"/>
      <c r="H210" s="178"/>
      <c r="I210" s="177"/>
      <c r="J210" s="177"/>
      <c r="K210" s="177"/>
      <c r="L210" s="177"/>
      <c r="M210" s="177"/>
      <c r="N210" s="177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  <c r="Y210" s="177"/>
      <c r="Z210" s="177"/>
    </row>
    <row r="211">
      <c r="A211" s="177"/>
      <c r="B211" s="177"/>
      <c r="C211" s="177"/>
      <c r="D211" s="177"/>
      <c r="E211" s="177"/>
      <c r="F211" s="177"/>
      <c r="G211" s="177"/>
      <c r="H211" s="178"/>
      <c r="I211" s="177"/>
      <c r="J211" s="177"/>
      <c r="K211" s="177"/>
      <c r="L211" s="177"/>
      <c r="M211" s="177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  <c r="Z211" s="177"/>
    </row>
    <row r="212">
      <c r="A212" s="177"/>
      <c r="B212" s="177"/>
      <c r="C212" s="177"/>
      <c r="D212" s="177"/>
      <c r="E212" s="177"/>
      <c r="F212" s="177"/>
      <c r="G212" s="177"/>
      <c r="H212" s="178"/>
      <c r="I212" s="177"/>
      <c r="J212" s="177"/>
      <c r="K212" s="177"/>
      <c r="L212" s="177"/>
      <c r="M212" s="177"/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  <c r="Y212" s="177"/>
      <c r="Z212" s="177"/>
    </row>
    <row r="213">
      <c r="A213" s="177"/>
      <c r="B213" s="177"/>
      <c r="C213" s="177"/>
      <c r="D213" s="177"/>
      <c r="E213" s="177"/>
      <c r="F213" s="177"/>
      <c r="G213" s="177"/>
      <c r="H213" s="178"/>
      <c r="I213" s="177"/>
      <c r="J213" s="177"/>
      <c r="K213" s="177"/>
      <c r="L213" s="177"/>
      <c r="M213" s="177"/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  <c r="Y213" s="177"/>
      <c r="Z213" s="177"/>
    </row>
    <row r="214">
      <c r="A214" s="177"/>
      <c r="B214" s="177"/>
      <c r="C214" s="177"/>
      <c r="D214" s="177"/>
      <c r="E214" s="177"/>
      <c r="F214" s="177"/>
      <c r="G214" s="177"/>
      <c r="H214" s="178"/>
      <c r="I214" s="177"/>
      <c r="J214" s="177"/>
      <c r="K214" s="177"/>
      <c r="L214" s="177"/>
      <c r="M214" s="177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  <c r="Y214" s="177"/>
      <c r="Z214" s="177"/>
    </row>
    <row r="215">
      <c r="A215" s="177"/>
      <c r="B215" s="177"/>
      <c r="C215" s="177"/>
      <c r="D215" s="177"/>
      <c r="E215" s="177"/>
      <c r="F215" s="177"/>
      <c r="G215" s="177"/>
      <c r="H215" s="178"/>
      <c r="I215" s="177"/>
      <c r="J215" s="177"/>
      <c r="K215" s="177"/>
      <c r="L215" s="177"/>
      <c r="M215" s="177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  <c r="Y215" s="177"/>
      <c r="Z215" s="177"/>
    </row>
    <row r="216">
      <c r="A216" s="177"/>
      <c r="B216" s="177"/>
      <c r="C216" s="177"/>
      <c r="D216" s="177"/>
      <c r="E216" s="177"/>
      <c r="F216" s="177"/>
      <c r="G216" s="177"/>
      <c r="H216" s="178"/>
      <c r="I216" s="177"/>
      <c r="J216" s="177"/>
      <c r="K216" s="177"/>
      <c r="L216" s="177"/>
      <c r="M216" s="177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  <c r="Y216" s="177"/>
      <c r="Z216" s="177"/>
    </row>
    <row r="217">
      <c r="A217" s="177"/>
      <c r="B217" s="177"/>
      <c r="C217" s="177"/>
      <c r="D217" s="177"/>
      <c r="E217" s="177"/>
      <c r="F217" s="177"/>
      <c r="G217" s="177"/>
      <c r="H217" s="178"/>
      <c r="I217" s="177"/>
      <c r="J217" s="177"/>
      <c r="K217" s="177"/>
      <c r="L217" s="177"/>
      <c r="M217" s="177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  <c r="Y217" s="177"/>
      <c r="Z217" s="177"/>
    </row>
    <row r="218">
      <c r="A218" s="177"/>
      <c r="B218" s="177"/>
      <c r="C218" s="177"/>
      <c r="D218" s="177"/>
      <c r="E218" s="177"/>
      <c r="F218" s="177"/>
      <c r="G218" s="177"/>
      <c r="H218" s="178"/>
      <c r="I218" s="177"/>
      <c r="J218" s="177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  <c r="Y218" s="177"/>
      <c r="Z218" s="177"/>
    </row>
    <row r="219">
      <c r="A219" s="177"/>
      <c r="B219" s="177"/>
      <c r="C219" s="177"/>
      <c r="D219" s="177"/>
      <c r="E219" s="177"/>
      <c r="F219" s="177"/>
      <c r="G219" s="177"/>
      <c r="H219" s="178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  <c r="Z219" s="177"/>
    </row>
    <row r="220">
      <c r="A220" s="177"/>
      <c r="B220" s="177"/>
      <c r="C220" s="177"/>
      <c r="D220" s="177"/>
      <c r="E220" s="177"/>
      <c r="F220" s="177"/>
      <c r="G220" s="177"/>
      <c r="H220" s="178"/>
      <c r="I220" s="177"/>
      <c r="J220" s="177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  <c r="Z220" s="177"/>
    </row>
    <row r="221">
      <c r="A221" s="177"/>
      <c r="B221" s="177"/>
      <c r="C221" s="177"/>
      <c r="D221" s="177"/>
      <c r="E221" s="177"/>
      <c r="F221" s="177"/>
      <c r="G221" s="177"/>
      <c r="H221" s="178"/>
      <c r="I221" s="177"/>
      <c r="J221" s="177"/>
      <c r="K221" s="177"/>
      <c r="L221" s="177"/>
      <c r="M221" s="177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  <c r="Y221" s="177"/>
      <c r="Z221" s="177"/>
    </row>
    <row r="222">
      <c r="A222" s="177"/>
      <c r="B222" s="177"/>
      <c r="C222" s="177"/>
      <c r="D222" s="177"/>
      <c r="E222" s="177"/>
      <c r="F222" s="177"/>
      <c r="G222" s="177"/>
      <c r="H222" s="178"/>
      <c r="I222" s="177"/>
      <c r="J222" s="177"/>
      <c r="K222" s="177"/>
      <c r="L222" s="177"/>
      <c r="M222" s="177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  <c r="Z222" s="177"/>
    </row>
    <row r="223">
      <c r="A223" s="177"/>
      <c r="B223" s="177"/>
      <c r="C223" s="177"/>
      <c r="D223" s="177"/>
      <c r="E223" s="177"/>
      <c r="F223" s="177"/>
      <c r="G223" s="177"/>
      <c r="H223" s="178"/>
      <c r="I223" s="177"/>
      <c r="J223" s="177"/>
      <c r="K223" s="177"/>
      <c r="L223" s="177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  <c r="Z223" s="177"/>
    </row>
    <row r="224">
      <c r="A224" s="177"/>
      <c r="B224" s="177"/>
      <c r="C224" s="177"/>
      <c r="D224" s="177"/>
      <c r="E224" s="177"/>
      <c r="F224" s="177"/>
      <c r="G224" s="177"/>
      <c r="H224" s="178"/>
      <c r="I224" s="177"/>
      <c r="J224" s="177"/>
      <c r="K224" s="177"/>
      <c r="L224" s="177"/>
      <c r="M224" s="177"/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  <c r="Y224" s="177"/>
      <c r="Z224" s="177"/>
    </row>
    <row r="225">
      <c r="A225" s="177"/>
      <c r="B225" s="177"/>
      <c r="C225" s="177"/>
      <c r="D225" s="177"/>
      <c r="E225" s="177"/>
      <c r="F225" s="177"/>
      <c r="G225" s="177"/>
      <c r="H225" s="178"/>
      <c r="I225" s="177"/>
      <c r="J225" s="177"/>
      <c r="K225" s="177"/>
      <c r="L225" s="177"/>
      <c r="M225" s="177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  <c r="Z225" s="177"/>
    </row>
    <row r="226">
      <c r="A226" s="177"/>
      <c r="B226" s="177"/>
      <c r="C226" s="177"/>
      <c r="D226" s="177"/>
      <c r="E226" s="177"/>
      <c r="F226" s="177"/>
      <c r="G226" s="177"/>
      <c r="H226" s="178"/>
      <c r="I226" s="177"/>
      <c r="J226" s="177"/>
      <c r="K226" s="177"/>
      <c r="L226" s="177"/>
      <c r="M226" s="177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  <c r="Z226" s="177"/>
    </row>
    <row r="227">
      <c r="A227" s="177"/>
      <c r="B227" s="177"/>
      <c r="C227" s="177"/>
      <c r="D227" s="177"/>
      <c r="E227" s="177"/>
      <c r="F227" s="177"/>
      <c r="G227" s="177"/>
      <c r="H227" s="178"/>
      <c r="I227" s="177"/>
      <c r="J227" s="177"/>
      <c r="K227" s="177"/>
      <c r="L227" s="177"/>
      <c r="M227" s="177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  <c r="Z227" s="177"/>
    </row>
    <row r="228">
      <c r="A228" s="177"/>
      <c r="B228" s="177"/>
      <c r="C228" s="177"/>
      <c r="D228" s="177"/>
      <c r="E228" s="177"/>
      <c r="F228" s="177"/>
      <c r="G228" s="177"/>
      <c r="H228" s="178"/>
      <c r="I228" s="177"/>
      <c r="J228" s="177"/>
      <c r="K228" s="177"/>
      <c r="L228" s="177"/>
      <c r="M228" s="177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</row>
    <row r="229">
      <c r="A229" s="177"/>
      <c r="B229" s="177"/>
      <c r="C229" s="177"/>
      <c r="D229" s="177"/>
      <c r="E229" s="177"/>
      <c r="F229" s="177"/>
      <c r="G229" s="177"/>
      <c r="H229" s="178"/>
      <c r="I229" s="177"/>
      <c r="J229" s="177"/>
      <c r="K229" s="177"/>
      <c r="L229" s="177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</row>
    <row r="230">
      <c r="A230" s="177"/>
      <c r="B230" s="177"/>
      <c r="C230" s="177"/>
      <c r="D230" s="177"/>
      <c r="E230" s="177"/>
      <c r="F230" s="177"/>
      <c r="G230" s="177"/>
      <c r="H230" s="178"/>
      <c r="I230" s="177"/>
      <c r="J230" s="177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</row>
    <row r="231">
      <c r="A231" s="177"/>
      <c r="B231" s="177"/>
      <c r="C231" s="177"/>
      <c r="D231" s="177"/>
      <c r="E231" s="177"/>
      <c r="F231" s="177"/>
      <c r="G231" s="177"/>
      <c r="H231" s="178"/>
      <c r="I231" s="177"/>
      <c r="J231" s="177"/>
      <c r="K231" s="177"/>
      <c r="L231" s="177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</row>
    <row r="232">
      <c r="A232" s="177"/>
      <c r="B232" s="177"/>
      <c r="C232" s="177"/>
      <c r="D232" s="177"/>
      <c r="E232" s="177"/>
      <c r="F232" s="177"/>
      <c r="G232" s="177"/>
      <c r="H232" s="178"/>
      <c r="I232" s="177"/>
      <c r="J232" s="177"/>
      <c r="K232" s="177"/>
      <c r="L232" s="177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</row>
    <row r="233">
      <c r="A233" s="177"/>
      <c r="B233" s="177"/>
      <c r="C233" s="177"/>
      <c r="D233" s="177"/>
      <c r="E233" s="177"/>
      <c r="F233" s="177"/>
      <c r="G233" s="177"/>
      <c r="H233" s="178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</row>
    <row r="234">
      <c r="A234" s="177"/>
      <c r="B234" s="177"/>
      <c r="C234" s="177"/>
      <c r="D234" s="177"/>
      <c r="E234" s="177"/>
      <c r="F234" s="177"/>
      <c r="G234" s="177"/>
      <c r="H234" s="178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</row>
    <row r="235">
      <c r="A235" s="177"/>
      <c r="B235" s="177"/>
      <c r="C235" s="177"/>
      <c r="D235" s="177"/>
      <c r="E235" s="177"/>
      <c r="F235" s="177"/>
      <c r="G235" s="177"/>
      <c r="H235" s="178"/>
      <c r="I235" s="177"/>
      <c r="J235" s="177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</row>
    <row r="236">
      <c r="A236" s="177"/>
      <c r="B236" s="177"/>
      <c r="C236" s="177"/>
      <c r="D236" s="177"/>
      <c r="E236" s="177"/>
      <c r="F236" s="177"/>
      <c r="G236" s="177"/>
      <c r="H236" s="178"/>
      <c r="I236" s="177"/>
      <c r="J236" s="177"/>
      <c r="K236" s="177"/>
      <c r="L236" s="177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</row>
    <row r="237">
      <c r="A237" s="177"/>
      <c r="B237" s="177"/>
      <c r="C237" s="177"/>
      <c r="D237" s="177"/>
      <c r="E237" s="177"/>
      <c r="F237" s="177"/>
      <c r="G237" s="177"/>
      <c r="H237" s="178"/>
      <c r="I237" s="177"/>
      <c r="J237" s="177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</row>
    <row r="238">
      <c r="A238" s="177"/>
      <c r="B238" s="177"/>
      <c r="C238" s="177"/>
      <c r="D238" s="177"/>
      <c r="E238" s="177"/>
      <c r="F238" s="177"/>
      <c r="G238" s="177"/>
      <c r="H238" s="178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</row>
    <row r="239">
      <c r="A239" s="177"/>
      <c r="B239" s="177"/>
      <c r="C239" s="177"/>
      <c r="D239" s="177"/>
      <c r="E239" s="177"/>
      <c r="F239" s="177"/>
      <c r="G239" s="177"/>
      <c r="H239" s="178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</row>
    <row r="240">
      <c r="A240" s="177"/>
      <c r="B240" s="177"/>
      <c r="C240" s="177"/>
      <c r="D240" s="177"/>
      <c r="E240" s="177"/>
      <c r="F240" s="177"/>
      <c r="G240" s="177"/>
      <c r="H240" s="178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</row>
    <row r="241">
      <c r="A241" s="177"/>
      <c r="B241" s="177"/>
      <c r="C241" s="177"/>
      <c r="D241" s="177"/>
      <c r="E241" s="177"/>
      <c r="F241" s="177"/>
      <c r="G241" s="177"/>
      <c r="H241" s="178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</row>
    <row r="242">
      <c r="A242" s="177"/>
      <c r="B242" s="177"/>
      <c r="C242" s="177"/>
      <c r="D242" s="177"/>
      <c r="E242" s="177"/>
      <c r="F242" s="177"/>
      <c r="G242" s="177"/>
      <c r="H242" s="178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</row>
    <row r="243">
      <c r="A243" s="177"/>
      <c r="B243" s="177"/>
      <c r="C243" s="177"/>
      <c r="D243" s="177"/>
      <c r="E243" s="177"/>
      <c r="F243" s="177"/>
      <c r="G243" s="177"/>
      <c r="H243" s="178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</row>
    <row r="244">
      <c r="A244" s="177"/>
      <c r="B244" s="177"/>
      <c r="C244" s="177"/>
      <c r="D244" s="177"/>
      <c r="E244" s="177"/>
      <c r="F244" s="177"/>
      <c r="G244" s="177"/>
      <c r="H244" s="178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</row>
    <row r="245">
      <c r="A245" s="177"/>
      <c r="B245" s="177"/>
      <c r="C245" s="177"/>
      <c r="D245" s="177"/>
      <c r="E245" s="177"/>
      <c r="F245" s="177"/>
      <c r="G245" s="177"/>
      <c r="H245" s="178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</row>
    <row r="246">
      <c r="A246" s="177"/>
      <c r="B246" s="177"/>
      <c r="C246" s="177"/>
      <c r="D246" s="177"/>
      <c r="E246" s="177"/>
      <c r="F246" s="177"/>
      <c r="G246" s="177"/>
      <c r="H246" s="178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</row>
    <row r="247">
      <c r="A247" s="177"/>
      <c r="B247" s="177"/>
      <c r="C247" s="177"/>
      <c r="D247" s="177"/>
      <c r="E247" s="177"/>
      <c r="F247" s="177"/>
      <c r="G247" s="177"/>
      <c r="H247" s="178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</row>
    <row r="248">
      <c r="A248" s="177"/>
      <c r="B248" s="177"/>
      <c r="C248" s="177"/>
      <c r="D248" s="177"/>
      <c r="E248" s="177"/>
      <c r="F248" s="177"/>
      <c r="G248" s="177"/>
      <c r="H248" s="178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</row>
    <row r="249">
      <c r="A249" s="177"/>
      <c r="B249" s="177"/>
      <c r="C249" s="177"/>
      <c r="D249" s="177"/>
      <c r="E249" s="177"/>
      <c r="F249" s="177"/>
      <c r="G249" s="177"/>
      <c r="H249" s="178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</row>
    <row r="250">
      <c r="A250" s="177"/>
      <c r="B250" s="177"/>
      <c r="C250" s="177"/>
      <c r="D250" s="177"/>
      <c r="E250" s="177"/>
      <c r="F250" s="177"/>
      <c r="G250" s="177"/>
      <c r="H250" s="178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</row>
    <row r="251">
      <c r="A251" s="177"/>
      <c r="B251" s="177"/>
      <c r="C251" s="177"/>
      <c r="D251" s="177"/>
      <c r="E251" s="177"/>
      <c r="F251" s="177"/>
      <c r="G251" s="177"/>
      <c r="H251" s="178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</row>
    <row r="252">
      <c r="A252" s="177"/>
      <c r="B252" s="177"/>
      <c r="C252" s="177"/>
      <c r="D252" s="177"/>
      <c r="E252" s="177"/>
      <c r="F252" s="177"/>
      <c r="G252" s="177"/>
      <c r="H252" s="178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</row>
    <row r="253">
      <c r="A253" s="177"/>
      <c r="B253" s="177"/>
      <c r="C253" s="177"/>
      <c r="D253" s="177"/>
      <c r="E253" s="177"/>
      <c r="F253" s="177"/>
      <c r="G253" s="177"/>
      <c r="H253" s="178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</row>
    <row r="254">
      <c r="A254" s="177"/>
      <c r="B254" s="177"/>
      <c r="C254" s="177"/>
      <c r="D254" s="177"/>
      <c r="E254" s="177"/>
      <c r="F254" s="177"/>
      <c r="G254" s="177"/>
      <c r="H254" s="178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</row>
    <row r="255">
      <c r="A255" s="177"/>
      <c r="B255" s="177"/>
      <c r="C255" s="177"/>
      <c r="D255" s="177"/>
      <c r="E255" s="177"/>
      <c r="F255" s="177"/>
      <c r="G255" s="177"/>
      <c r="H255" s="178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</row>
    <row r="256">
      <c r="A256" s="177"/>
      <c r="B256" s="177"/>
      <c r="C256" s="177"/>
      <c r="D256" s="177"/>
      <c r="E256" s="177"/>
      <c r="F256" s="177"/>
      <c r="G256" s="177"/>
      <c r="H256" s="178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</row>
    <row r="257">
      <c r="A257" s="177"/>
      <c r="B257" s="177"/>
      <c r="C257" s="177"/>
      <c r="D257" s="177"/>
      <c r="E257" s="177"/>
      <c r="F257" s="177"/>
      <c r="G257" s="177"/>
      <c r="H257" s="178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</row>
    <row r="258">
      <c r="A258" s="177"/>
      <c r="B258" s="177"/>
      <c r="C258" s="177"/>
      <c r="D258" s="177"/>
      <c r="E258" s="177"/>
      <c r="F258" s="177"/>
      <c r="G258" s="177"/>
      <c r="H258" s="178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</row>
    <row r="259">
      <c r="A259" s="177"/>
      <c r="B259" s="177"/>
      <c r="C259" s="177"/>
      <c r="D259" s="177"/>
      <c r="E259" s="177"/>
      <c r="F259" s="177"/>
      <c r="G259" s="177"/>
      <c r="H259" s="178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</row>
    <row r="260">
      <c r="A260" s="177"/>
      <c r="B260" s="177"/>
      <c r="C260" s="177"/>
      <c r="D260" s="177"/>
      <c r="E260" s="177"/>
      <c r="F260" s="177"/>
      <c r="G260" s="177"/>
      <c r="H260" s="178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</row>
    <row r="261">
      <c r="A261" s="177"/>
      <c r="B261" s="177"/>
      <c r="C261" s="177"/>
      <c r="D261" s="177"/>
      <c r="E261" s="177"/>
      <c r="F261" s="177"/>
      <c r="G261" s="177"/>
      <c r="H261" s="178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</row>
    <row r="262">
      <c r="A262" s="177"/>
      <c r="B262" s="177"/>
      <c r="C262" s="177"/>
      <c r="D262" s="177"/>
      <c r="E262" s="177"/>
      <c r="F262" s="177"/>
      <c r="G262" s="177"/>
      <c r="H262" s="178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</row>
    <row r="263">
      <c r="A263" s="177"/>
      <c r="B263" s="177"/>
      <c r="C263" s="177"/>
      <c r="D263" s="177"/>
      <c r="E263" s="177"/>
      <c r="F263" s="177"/>
      <c r="G263" s="177"/>
      <c r="H263" s="178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</row>
    <row r="264">
      <c r="A264" s="177"/>
      <c r="B264" s="177"/>
      <c r="C264" s="177"/>
      <c r="D264" s="177"/>
      <c r="E264" s="177"/>
      <c r="F264" s="177"/>
      <c r="G264" s="177"/>
      <c r="H264" s="178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</row>
    <row r="265">
      <c r="A265" s="177"/>
      <c r="B265" s="177"/>
      <c r="C265" s="177"/>
      <c r="D265" s="177"/>
      <c r="E265" s="177"/>
      <c r="F265" s="177"/>
      <c r="G265" s="177"/>
      <c r="H265" s="178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</row>
    <row r="266">
      <c r="A266" s="177"/>
      <c r="B266" s="177"/>
      <c r="C266" s="177"/>
      <c r="D266" s="177"/>
      <c r="E266" s="177"/>
      <c r="F266" s="177"/>
      <c r="G266" s="177"/>
      <c r="H266" s="178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</row>
    <row r="267">
      <c r="A267" s="177"/>
      <c r="B267" s="177"/>
      <c r="C267" s="177"/>
      <c r="D267" s="177"/>
      <c r="E267" s="177"/>
      <c r="F267" s="177"/>
      <c r="G267" s="177"/>
      <c r="H267" s="178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</row>
    <row r="268">
      <c r="A268" s="177"/>
      <c r="B268" s="177"/>
      <c r="C268" s="177"/>
      <c r="D268" s="177"/>
      <c r="E268" s="177"/>
      <c r="F268" s="177"/>
      <c r="G268" s="177"/>
      <c r="H268" s="178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</row>
    <row r="269">
      <c r="A269" s="177"/>
      <c r="B269" s="177"/>
      <c r="C269" s="177"/>
      <c r="D269" s="177"/>
      <c r="E269" s="177"/>
      <c r="F269" s="177"/>
      <c r="G269" s="177"/>
      <c r="H269" s="178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</row>
    <row r="270">
      <c r="A270" s="177"/>
      <c r="B270" s="177"/>
      <c r="C270" s="177"/>
      <c r="D270" s="177"/>
      <c r="E270" s="177"/>
      <c r="F270" s="177"/>
      <c r="G270" s="177"/>
      <c r="H270" s="178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</row>
    <row r="271">
      <c r="A271" s="177"/>
      <c r="B271" s="177"/>
      <c r="C271" s="177"/>
      <c r="D271" s="177"/>
      <c r="E271" s="177"/>
      <c r="F271" s="177"/>
      <c r="G271" s="177"/>
      <c r="H271" s="178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</row>
    <row r="272">
      <c r="A272" s="177"/>
      <c r="B272" s="177"/>
      <c r="C272" s="177"/>
      <c r="D272" s="177"/>
      <c r="E272" s="177"/>
      <c r="F272" s="177"/>
      <c r="G272" s="177"/>
      <c r="H272" s="178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</row>
    <row r="273">
      <c r="A273" s="177"/>
      <c r="B273" s="177"/>
      <c r="C273" s="177"/>
      <c r="D273" s="177"/>
      <c r="E273" s="177"/>
      <c r="F273" s="177"/>
      <c r="G273" s="177"/>
      <c r="H273" s="178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</row>
    <row r="274">
      <c r="A274" s="177"/>
      <c r="B274" s="177"/>
      <c r="C274" s="177"/>
      <c r="D274" s="177"/>
      <c r="E274" s="177"/>
      <c r="F274" s="177"/>
      <c r="G274" s="177"/>
      <c r="H274" s="178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</row>
    <row r="275">
      <c r="A275" s="177"/>
      <c r="B275" s="177"/>
      <c r="C275" s="177"/>
      <c r="D275" s="177"/>
      <c r="E275" s="177"/>
      <c r="F275" s="177"/>
      <c r="G275" s="177"/>
      <c r="H275" s="178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</row>
    <row r="276">
      <c r="A276" s="177"/>
      <c r="B276" s="177"/>
      <c r="C276" s="177"/>
      <c r="D276" s="177"/>
      <c r="E276" s="177"/>
      <c r="F276" s="177"/>
      <c r="G276" s="177"/>
      <c r="H276" s="178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</row>
    <row r="277">
      <c r="A277" s="177"/>
      <c r="B277" s="177"/>
      <c r="C277" s="177"/>
      <c r="D277" s="177"/>
      <c r="E277" s="177"/>
      <c r="F277" s="177"/>
      <c r="G277" s="177"/>
      <c r="H277" s="178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</row>
    <row r="278">
      <c r="A278" s="177"/>
      <c r="B278" s="177"/>
      <c r="C278" s="177"/>
      <c r="D278" s="177"/>
      <c r="E278" s="177"/>
      <c r="F278" s="177"/>
      <c r="G278" s="177"/>
      <c r="H278" s="178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</row>
    <row r="279">
      <c r="A279" s="177"/>
      <c r="B279" s="177"/>
      <c r="C279" s="177"/>
      <c r="D279" s="177"/>
      <c r="E279" s="177"/>
      <c r="F279" s="177"/>
      <c r="G279" s="177"/>
      <c r="H279" s="178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</row>
    <row r="280">
      <c r="A280" s="177"/>
      <c r="B280" s="177"/>
      <c r="C280" s="177"/>
      <c r="D280" s="177"/>
      <c r="E280" s="177"/>
      <c r="F280" s="177"/>
      <c r="G280" s="177"/>
      <c r="H280" s="178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</row>
    <row r="281">
      <c r="A281" s="177"/>
      <c r="B281" s="177"/>
      <c r="C281" s="177"/>
      <c r="D281" s="177"/>
      <c r="E281" s="177"/>
      <c r="F281" s="177"/>
      <c r="G281" s="177"/>
      <c r="H281" s="178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</row>
    <row r="282">
      <c r="A282" s="177"/>
      <c r="B282" s="177"/>
      <c r="C282" s="177"/>
      <c r="D282" s="177"/>
      <c r="E282" s="177"/>
      <c r="F282" s="177"/>
      <c r="G282" s="177"/>
      <c r="H282" s="178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</row>
    <row r="283">
      <c r="A283" s="177"/>
      <c r="B283" s="177"/>
      <c r="C283" s="177"/>
      <c r="D283" s="177"/>
      <c r="E283" s="177"/>
      <c r="F283" s="177"/>
      <c r="G283" s="177"/>
      <c r="H283" s="178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</row>
    <row r="284">
      <c r="A284" s="177"/>
      <c r="B284" s="177"/>
      <c r="C284" s="177"/>
      <c r="D284" s="177"/>
      <c r="E284" s="177"/>
      <c r="F284" s="177"/>
      <c r="G284" s="177"/>
      <c r="H284" s="178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</row>
    <row r="285">
      <c r="A285" s="177"/>
      <c r="B285" s="177"/>
      <c r="C285" s="177"/>
      <c r="D285" s="177"/>
      <c r="E285" s="177"/>
      <c r="F285" s="177"/>
      <c r="G285" s="177"/>
      <c r="H285" s="178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</row>
    <row r="286">
      <c r="A286" s="177"/>
      <c r="B286" s="177"/>
      <c r="C286" s="177"/>
      <c r="D286" s="177"/>
      <c r="E286" s="177"/>
      <c r="F286" s="177"/>
      <c r="G286" s="177"/>
      <c r="H286" s="178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</row>
    <row r="287">
      <c r="A287" s="177"/>
      <c r="B287" s="177"/>
      <c r="C287" s="177"/>
      <c r="D287" s="177"/>
      <c r="E287" s="177"/>
      <c r="F287" s="177"/>
      <c r="G287" s="177"/>
      <c r="H287" s="178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</row>
    <row r="288">
      <c r="A288" s="177"/>
      <c r="B288" s="177"/>
      <c r="C288" s="177"/>
      <c r="D288" s="177"/>
      <c r="E288" s="177"/>
      <c r="F288" s="177"/>
      <c r="G288" s="177"/>
      <c r="H288" s="178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</row>
    <row r="289">
      <c r="A289" s="177"/>
      <c r="B289" s="177"/>
      <c r="C289" s="177"/>
      <c r="D289" s="177"/>
      <c r="E289" s="177"/>
      <c r="F289" s="177"/>
      <c r="G289" s="177"/>
      <c r="H289" s="178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</row>
    <row r="290">
      <c r="A290" s="177"/>
      <c r="B290" s="177"/>
      <c r="C290" s="177"/>
      <c r="D290" s="177"/>
      <c r="E290" s="177"/>
      <c r="F290" s="177"/>
      <c r="G290" s="177"/>
      <c r="H290" s="178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</row>
    <row r="291">
      <c r="A291" s="177"/>
      <c r="B291" s="177"/>
      <c r="C291" s="177"/>
      <c r="D291" s="177"/>
      <c r="E291" s="177"/>
      <c r="F291" s="177"/>
      <c r="G291" s="177"/>
      <c r="H291" s="178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</row>
    <row r="292">
      <c r="A292" s="177"/>
      <c r="B292" s="177"/>
      <c r="C292" s="177"/>
      <c r="D292" s="177"/>
      <c r="E292" s="177"/>
      <c r="F292" s="177"/>
      <c r="G292" s="177"/>
      <c r="H292" s="178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</row>
    <row r="293">
      <c r="A293" s="177"/>
      <c r="B293" s="177"/>
      <c r="C293" s="177"/>
      <c r="D293" s="177"/>
      <c r="E293" s="177"/>
      <c r="F293" s="177"/>
      <c r="G293" s="177"/>
      <c r="H293" s="178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</row>
    <row r="294">
      <c r="A294" s="177"/>
      <c r="B294" s="177"/>
      <c r="C294" s="177"/>
      <c r="D294" s="177"/>
      <c r="E294" s="177"/>
      <c r="F294" s="177"/>
      <c r="G294" s="177"/>
      <c r="H294" s="178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</row>
    <row r="295">
      <c r="A295" s="177"/>
      <c r="B295" s="177"/>
      <c r="C295" s="177"/>
      <c r="D295" s="177"/>
      <c r="E295" s="177"/>
      <c r="F295" s="177"/>
      <c r="G295" s="177"/>
      <c r="H295" s="178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</row>
    <row r="296">
      <c r="A296" s="177"/>
      <c r="B296" s="177"/>
      <c r="C296" s="177"/>
      <c r="D296" s="177"/>
      <c r="E296" s="177"/>
      <c r="F296" s="177"/>
      <c r="G296" s="177"/>
      <c r="H296" s="178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</row>
    <row r="297">
      <c r="A297" s="177"/>
      <c r="B297" s="177"/>
      <c r="C297" s="177"/>
      <c r="D297" s="177"/>
      <c r="E297" s="177"/>
      <c r="F297" s="177"/>
      <c r="G297" s="177"/>
      <c r="H297" s="178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</row>
    <row r="298">
      <c r="A298" s="177"/>
      <c r="B298" s="177"/>
      <c r="C298" s="177"/>
      <c r="D298" s="177"/>
      <c r="E298" s="177"/>
      <c r="F298" s="177"/>
      <c r="G298" s="177"/>
      <c r="H298" s="178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</row>
    <row r="299">
      <c r="A299" s="177"/>
      <c r="B299" s="177"/>
      <c r="C299" s="177"/>
      <c r="D299" s="177"/>
      <c r="E299" s="177"/>
      <c r="F299" s="177"/>
      <c r="G299" s="177"/>
      <c r="H299" s="178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</row>
    <row r="300">
      <c r="A300" s="177"/>
      <c r="B300" s="177"/>
      <c r="C300" s="177"/>
      <c r="D300" s="177"/>
      <c r="E300" s="177"/>
      <c r="F300" s="177"/>
      <c r="G300" s="177"/>
      <c r="H300" s="178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</row>
    <row r="301">
      <c r="A301" s="177"/>
      <c r="B301" s="177"/>
      <c r="C301" s="177"/>
      <c r="D301" s="177"/>
      <c r="E301" s="177"/>
      <c r="F301" s="177"/>
      <c r="G301" s="177"/>
      <c r="H301" s="178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</row>
    <row r="302">
      <c r="A302" s="177"/>
      <c r="B302" s="177"/>
      <c r="C302" s="177"/>
      <c r="D302" s="177"/>
      <c r="E302" s="177"/>
      <c r="F302" s="177"/>
      <c r="G302" s="177"/>
      <c r="H302" s="178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</row>
    <row r="303">
      <c r="A303" s="177"/>
      <c r="B303" s="177"/>
      <c r="C303" s="177"/>
      <c r="D303" s="177"/>
      <c r="E303" s="177"/>
      <c r="F303" s="177"/>
      <c r="G303" s="177"/>
      <c r="H303" s="178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</row>
    <row r="304">
      <c r="A304" s="177"/>
      <c r="B304" s="177"/>
      <c r="C304" s="177"/>
      <c r="D304" s="177"/>
      <c r="E304" s="177"/>
      <c r="F304" s="177"/>
      <c r="G304" s="177"/>
      <c r="H304" s="178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</row>
    <row r="305">
      <c r="A305" s="177"/>
      <c r="B305" s="177"/>
      <c r="C305" s="177"/>
      <c r="D305" s="177"/>
      <c r="E305" s="177"/>
      <c r="F305" s="177"/>
      <c r="G305" s="177"/>
      <c r="H305" s="178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</row>
    <row r="306">
      <c r="A306" s="177"/>
      <c r="B306" s="177"/>
      <c r="C306" s="177"/>
      <c r="D306" s="177"/>
      <c r="E306" s="177"/>
      <c r="F306" s="177"/>
      <c r="G306" s="177"/>
      <c r="H306" s="178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</row>
    <row r="307">
      <c r="A307" s="177"/>
      <c r="B307" s="177"/>
      <c r="C307" s="177"/>
      <c r="D307" s="177"/>
      <c r="E307" s="177"/>
      <c r="F307" s="177"/>
      <c r="G307" s="177"/>
      <c r="H307" s="178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</row>
    <row r="308">
      <c r="A308" s="177"/>
      <c r="B308" s="177"/>
      <c r="C308" s="177"/>
      <c r="D308" s="177"/>
      <c r="E308" s="177"/>
      <c r="F308" s="177"/>
      <c r="G308" s="177"/>
      <c r="H308" s="178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</row>
    <row r="309">
      <c r="A309" s="177"/>
      <c r="B309" s="177"/>
      <c r="C309" s="177"/>
      <c r="D309" s="177"/>
      <c r="E309" s="177"/>
      <c r="F309" s="177"/>
      <c r="G309" s="177"/>
      <c r="H309" s="178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</row>
    <row r="310">
      <c r="A310" s="177"/>
      <c r="B310" s="177"/>
      <c r="C310" s="177"/>
      <c r="D310" s="177"/>
      <c r="E310" s="177"/>
      <c r="F310" s="177"/>
      <c r="G310" s="177"/>
      <c r="H310" s="178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</row>
    <row r="311">
      <c r="A311" s="177"/>
      <c r="B311" s="177"/>
      <c r="C311" s="177"/>
      <c r="D311" s="177"/>
      <c r="E311" s="177"/>
      <c r="F311" s="177"/>
      <c r="G311" s="177"/>
      <c r="H311" s="178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</row>
    <row r="312">
      <c r="A312" s="177"/>
      <c r="B312" s="177"/>
      <c r="C312" s="177"/>
      <c r="D312" s="177"/>
      <c r="E312" s="177"/>
      <c r="F312" s="177"/>
      <c r="G312" s="177"/>
      <c r="H312" s="178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</row>
    <row r="313">
      <c r="A313" s="177"/>
      <c r="B313" s="177"/>
      <c r="C313" s="177"/>
      <c r="D313" s="177"/>
      <c r="E313" s="177"/>
      <c r="F313" s="177"/>
      <c r="G313" s="177"/>
      <c r="H313" s="178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</row>
    <row r="314">
      <c r="A314" s="177"/>
      <c r="B314" s="177"/>
      <c r="C314" s="177"/>
      <c r="D314" s="177"/>
      <c r="E314" s="177"/>
      <c r="F314" s="177"/>
      <c r="G314" s="177"/>
      <c r="H314" s="178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</row>
    <row r="315">
      <c r="A315" s="177"/>
      <c r="B315" s="177"/>
      <c r="C315" s="177"/>
      <c r="D315" s="177"/>
      <c r="E315" s="177"/>
      <c r="F315" s="177"/>
      <c r="G315" s="177"/>
      <c r="H315" s="178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</row>
    <row r="316">
      <c r="A316" s="177"/>
      <c r="B316" s="177"/>
      <c r="C316" s="177"/>
      <c r="D316" s="177"/>
      <c r="E316" s="177"/>
      <c r="F316" s="177"/>
      <c r="G316" s="177"/>
      <c r="H316" s="178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</row>
    <row r="317">
      <c r="A317" s="177"/>
      <c r="B317" s="177"/>
      <c r="C317" s="177"/>
      <c r="D317" s="177"/>
      <c r="E317" s="177"/>
      <c r="F317" s="177"/>
      <c r="G317" s="177"/>
      <c r="H317" s="178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</row>
    <row r="318">
      <c r="A318" s="177"/>
      <c r="B318" s="177"/>
      <c r="C318" s="177"/>
      <c r="D318" s="177"/>
      <c r="E318" s="177"/>
      <c r="F318" s="177"/>
      <c r="G318" s="177"/>
      <c r="H318" s="178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</row>
    <row r="319">
      <c r="A319" s="177"/>
      <c r="B319" s="177"/>
      <c r="C319" s="177"/>
      <c r="D319" s="177"/>
      <c r="E319" s="177"/>
      <c r="F319" s="177"/>
      <c r="G319" s="177"/>
      <c r="H319" s="178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</row>
    <row r="320">
      <c r="A320" s="177"/>
      <c r="B320" s="177"/>
      <c r="C320" s="177"/>
      <c r="D320" s="177"/>
      <c r="E320" s="177"/>
      <c r="F320" s="177"/>
      <c r="G320" s="177"/>
      <c r="H320" s="178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</row>
    <row r="321">
      <c r="A321" s="177"/>
      <c r="B321" s="177"/>
      <c r="C321" s="177"/>
      <c r="D321" s="177"/>
      <c r="E321" s="177"/>
      <c r="F321" s="177"/>
      <c r="G321" s="177"/>
      <c r="H321" s="178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</row>
    <row r="322">
      <c r="A322" s="177"/>
      <c r="B322" s="177"/>
      <c r="C322" s="177"/>
      <c r="D322" s="177"/>
      <c r="E322" s="177"/>
      <c r="F322" s="177"/>
      <c r="G322" s="177"/>
      <c r="H322" s="178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</row>
    <row r="323">
      <c r="A323" s="177"/>
      <c r="B323" s="177"/>
      <c r="C323" s="177"/>
      <c r="D323" s="177"/>
      <c r="E323" s="177"/>
      <c r="F323" s="177"/>
      <c r="G323" s="177"/>
      <c r="H323" s="178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</row>
    <row r="324">
      <c r="A324" s="177"/>
      <c r="B324" s="177"/>
      <c r="C324" s="177"/>
      <c r="D324" s="177"/>
      <c r="E324" s="177"/>
      <c r="F324" s="177"/>
      <c r="G324" s="177"/>
      <c r="H324" s="178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</row>
    <row r="325">
      <c r="A325" s="177"/>
      <c r="B325" s="177"/>
      <c r="C325" s="177"/>
      <c r="D325" s="177"/>
      <c r="E325" s="177"/>
      <c r="F325" s="177"/>
      <c r="G325" s="177"/>
      <c r="H325" s="178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</row>
    <row r="326">
      <c r="A326" s="177"/>
      <c r="B326" s="177"/>
      <c r="C326" s="177"/>
      <c r="D326" s="177"/>
      <c r="E326" s="177"/>
      <c r="F326" s="177"/>
      <c r="G326" s="177"/>
      <c r="H326" s="178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</row>
    <row r="327">
      <c r="A327" s="177"/>
      <c r="B327" s="177"/>
      <c r="C327" s="177"/>
      <c r="D327" s="177"/>
      <c r="E327" s="177"/>
      <c r="F327" s="177"/>
      <c r="G327" s="177"/>
      <c r="H327" s="178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</row>
    <row r="328">
      <c r="A328" s="177"/>
      <c r="B328" s="177"/>
      <c r="C328" s="177"/>
      <c r="D328" s="177"/>
      <c r="E328" s="177"/>
      <c r="F328" s="177"/>
      <c r="G328" s="177"/>
      <c r="H328" s="178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</row>
    <row r="329">
      <c r="A329" s="177"/>
      <c r="B329" s="177"/>
      <c r="C329" s="177"/>
      <c r="D329" s="177"/>
      <c r="E329" s="177"/>
      <c r="F329" s="177"/>
      <c r="G329" s="177"/>
      <c r="H329" s="178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</row>
    <row r="330">
      <c r="A330" s="177"/>
      <c r="B330" s="177"/>
      <c r="C330" s="177"/>
      <c r="D330" s="177"/>
      <c r="E330" s="177"/>
      <c r="F330" s="177"/>
      <c r="G330" s="177"/>
      <c r="H330" s="178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</row>
    <row r="331">
      <c r="A331" s="177"/>
      <c r="B331" s="177"/>
      <c r="C331" s="177"/>
      <c r="D331" s="177"/>
      <c r="E331" s="177"/>
      <c r="F331" s="177"/>
      <c r="G331" s="177"/>
      <c r="H331" s="178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</row>
    <row r="332">
      <c r="A332" s="177"/>
      <c r="B332" s="177"/>
      <c r="C332" s="177"/>
      <c r="D332" s="177"/>
      <c r="E332" s="177"/>
      <c r="F332" s="177"/>
      <c r="G332" s="177"/>
      <c r="H332" s="178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</row>
    <row r="333">
      <c r="A333" s="177"/>
      <c r="B333" s="177"/>
      <c r="C333" s="177"/>
      <c r="D333" s="177"/>
      <c r="E333" s="177"/>
      <c r="F333" s="177"/>
      <c r="G333" s="177"/>
      <c r="H333" s="178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</row>
    <row r="334">
      <c r="A334" s="177"/>
      <c r="B334" s="177"/>
      <c r="C334" s="177"/>
      <c r="D334" s="177"/>
      <c r="E334" s="177"/>
      <c r="F334" s="177"/>
      <c r="G334" s="177"/>
      <c r="H334" s="178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</row>
    <row r="335">
      <c r="A335" s="177"/>
      <c r="B335" s="177"/>
      <c r="C335" s="177"/>
      <c r="D335" s="177"/>
      <c r="E335" s="177"/>
      <c r="F335" s="177"/>
      <c r="G335" s="177"/>
      <c r="H335" s="178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</row>
    <row r="336">
      <c r="A336" s="177"/>
      <c r="B336" s="177"/>
      <c r="C336" s="177"/>
      <c r="D336" s="177"/>
      <c r="E336" s="177"/>
      <c r="F336" s="177"/>
      <c r="G336" s="177"/>
      <c r="H336" s="178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</row>
    <row r="337">
      <c r="A337" s="177"/>
      <c r="B337" s="177"/>
      <c r="C337" s="177"/>
      <c r="D337" s="177"/>
      <c r="E337" s="177"/>
      <c r="F337" s="177"/>
      <c r="G337" s="177"/>
      <c r="H337" s="178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</row>
    <row r="338">
      <c r="A338" s="177"/>
      <c r="B338" s="177"/>
      <c r="C338" s="177"/>
      <c r="D338" s="177"/>
      <c r="E338" s="177"/>
      <c r="F338" s="177"/>
      <c r="G338" s="177"/>
      <c r="H338" s="178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</row>
    <row r="339">
      <c r="A339" s="177"/>
      <c r="B339" s="177"/>
      <c r="C339" s="177"/>
      <c r="D339" s="177"/>
      <c r="E339" s="177"/>
      <c r="F339" s="177"/>
      <c r="G339" s="177"/>
      <c r="H339" s="178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</row>
    <row r="340">
      <c r="A340" s="177"/>
      <c r="B340" s="177"/>
      <c r="C340" s="177"/>
      <c r="D340" s="177"/>
      <c r="E340" s="177"/>
      <c r="F340" s="177"/>
      <c r="G340" s="177"/>
      <c r="H340" s="178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</row>
    <row r="341">
      <c r="A341" s="177"/>
      <c r="B341" s="177"/>
      <c r="C341" s="177"/>
      <c r="D341" s="177"/>
      <c r="E341" s="177"/>
      <c r="F341" s="177"/>
      <c r="G341" s="177"/>
      <c r="H341" s="178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</row>
    <row r="342">
      <c r="A342" s="177"/>
      <c r="B342" s="177"/>
      <c r="C342" s="177"/>
      <c r="D342" s="177"/>
      <c r="E342" s="177"/>
      <c r="F342" s="177"/>
      <c r="G342" s="177"/>
      <c r="H342" s="178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</row>
    <row r="343">
      <c r="A343" s="177"/>
      <c r="B343" s="177"/>
      <c r="C343" s="177"/>
      <c r="D343" s="177"/>
      <c r="E343" s="177"/>
      <c r="F343" s="177"/>
      <c r="G343" s="177"/>
      <c r="H343" s="178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  <c r="Z343" s="177"/>
    </row>
    <row r="344">
      <c r="A344" s="177"/>
      <c r="B344" s="177"/>
      <c r="C344" s="177"/>
      <c r="D344" s="177"/>
      <c r="E344" s="177"/>
      <c r="F344" s="177"/>
      <c r="G344" s="177"/>
      <c r="H344" s="178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</row>
    <row r="345">
      <c r="A345" s="177"/>
      <c r="B345" s="177"/>
      <c r="C345" s="177"/>
      <c r="D345" s="177"/>
      <c r="E345" s="177"/>
      <c r="F345" s="177"/>
      <c r="G345" s="177"/>
      <c r="H345" s="178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  <c r="Z345" s="177"/>
    </row>
    <row r="346">
      <c r="A346" s="177"/>
      <c r="B346" s="177"/>
      <c r="C346" s="177"/>
      <c r="D346" s="177"/>
      <c r="E346" s="177"/>
      <c r="F346" s="177"/>
      <c r="G346" s="177"/>
      <c r="H346" s="178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  <c r="Z346" s="177"/>
    </row>
    <row r="347">
      <c r="A347" s="177"/>
      <c r="B347" s="177"/>
      <c r="C347" s="177"/>
      <c r="D347" s="177"/>
      <c r="E347" s="177"/>
      <c r="F347" s="177"/>
      <c r="G347" s="177"/>
      <c r="H347" s="178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  <c r="Z347" s="177"/>
    </row>
    <row r="348">
      <c r="A348" s="177"/>
      <c r="B348" s="177"/>
      <c r="C348" s="177"/>
      <c r="D348" s="177"/>
      <c r="E348" s="177"/>
      <c r="F348" s="177"/>
      <c r="G348" s="177"/>
      <c r="H348" s="178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</row>
    <row r="349">
      <c r="A349" s="177"/>
      <c r="B349" s="177"/>
      <c r="C349" s="177"/>
      <c r="D349" s="177"/>
      <c r="E349" s="177"/>
      <c r="F349" s="177"/>
      <c r="G349" s="177"/>
      <c r="H349" s="178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</row>
    <row r="350">
      <c r="A350" s="177"/>
      <c r="B350" s="177"/>
      <c r="C350" s="177"/>
      <c r="D350" s="177"/>
      <c r="E350" s="177"/>
      <c r="F350" s="177"/>
      <c r="G350" s="177"/>
      <c r="H350" s="178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  <c r="Z350" s="177"/>
    </row>
    <row r="351">
      <c r="A351" s="177"/>
      <c r="B351" s="177"/>
      <c r="C351" s="177"/>
      <c r="D351" s="177"/>
      <c r="E351" s="177"/>
      <c r="F351" s="177"/>
      <c r="G351" s="177"/>
      <c r="H351" s="178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</row>
    <row r="352">
      <c r="A352" s="177"/>
      <c r="B352" s="177"/>
      <c r="C352" s="177"/>
      <c r="D352" s="177"/>
      <c r="E352" s="177"/>
      <c r="F352" s="177"/>
      <c r="G352" s="177"/>
      <c r="H352" s="178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</row>
    <row r="353">
      <c r="A353" s="177"/>
      <c r="B353" s="177"/>
      <c r="C353" s="177"/>
      <c r="D353" s="177"/>
      <c r="E353" s="177"/>
      <c r="F353" s="177"/>
      <c r="G353" s="177"/>
      <c r="H353" s="178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</row>
    <row r="354">
      <c r="A354" s="177"/>
      <c r="B354" s="177"/>
      <c r="C354" s="177"/>
      <c r="D354" s="177"/>
      <c r="E354" s="177"/>
      <c r="F354" s="177"/>
      <c r="G354" s="177"/>
      <c r="H354" s="178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</row>
    <row r="355">
      <c r="A355" s="177"/>
      <c r="B355" s="177"/>
      <c r="C355" s="177"/>
      <c r="D355" s="177"/>
      <c r="E355" s="177"/>
      <c r="F355" s="177"/>
      <c r="G355" s="177"/>
      <c r="H355" s="178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</row>
    <row r="356">
      <c r="A356" s="177"/>
      <c r="B356" s="177"/>
      <c r="C356" s="177"/>
      <c r="D356" s="177"/>
      <c r="E356" s="177"/>
      <c r="F356" s="177"/>
      <c r="G356" s="177"/>
      <c r="H356" s="178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</row>
    <row r="357">
      <c r="A357" s="177"/>
      <c r="B357" s="177"/>
      <c r="C357" s="177"/>
      <c r="D357" s="177"/>
      <c r="E357" s="177"/>
      <c r="F357" s="177"/>
      <c r="G357" s="177"/>
      <c r="H357" s="178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</row>
    <row r="358">
      <c r="A358" s="177"/>
      <c r="B358" s="177"/>
      <c r="C358" s="177"/>
      <c r="D358" s="177"/>
      <c r="E358" s="177"/>
      <c r="F358" s="177"/>
      <c r="G358" s="177"/>
      <c r="H358" s="178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</row>
    <row r="359">
      <c r="A359" s="177"/>
      <c r="B359" s="177"/>
      <c r="C359" s="177"/>
      <c r="D359" s="177"/>
      <c r="E359" s="177"/>
      <c r="F359" s="177"/>
      <c r="G359" s="177"/>
      <c r="H359" s="178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</row>
    <row r="360">
      <c r="A360" s="177"/>
      <c r="B360" s="177"/>
      <c r="C360" s="177"/>
      <c r="D360" s="177"/>
      <c r="E360" s="177"/>
      <c r="F360" s="177"/>
      <c r="G360" s="177"/>
      <c r="H360" s="178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</row>
    <row r="361">
      <c r="A361" s="177"/>
      <c r="B361" s="177"/>
      <c r="C361" s="177"/>
      <c r="D361" s="177"/>
      <c r="E361" s="177"/>
      <c r="F361" s="177"/>
      <c r="G361" s="177"/>
      <c r="H361" s="178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</row>
    <row r="362">
      <c r="A362" s="177"/>
      <c r="B362" s="177"/>
      <c r="C362" s="177"/>
      <c r="D362" s="177"/>
      <c r="E362" s="177"/>
      <c r="F362" s="177"/>
      <c r="G362" s="177"/>
      <c r="H362" s="178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</row>
    <row r="363">
      <c r="A363" s="177"/>
      <c r="B363" s="177"/>
      <c r="C363" s="177"/>
      <c r="D363" s="177"/>
      <c r="E363" s="177"/>
      <c r="F363" s="177"/>
      <c r="G363" s="177"/>
      <c r="H363" s="178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</row>
    <row r="364">
      <c r="A364" s="177"/>
      <c r="B364" s="177"/>
      <c r="C364" s="177"/>
      <c r="D364" s="177"/>
      <c r="E364" s="177"/>
      <c r="F364" s="177"/>
      <c r="G364" s="177"/>
      <c r="H364" s="178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</row>
    <row r="365">
      <c r="A365" s="177"/>
      <c r="B365" s="177"/>
      <c r="C365" s="177"/>
      <c r="D365" s="177"/>
      <c r="E365" s="177"/>
      <c r="F365" s="177"/>
      <c r="G365" s="177"/>
      <c r="H365" s="178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</row>
    <row r="366">
      <c r="A366" s="177"/>
      <c r="B366" s="177"/>
      <c r="C366" s="177"/>
      <c r="D366" s="177"/>
      <c r="E366" s="177"/>
      <c r="F366" s="177"/>
      <c r="G366" s="177"/>
      <c r="H366" s="178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</row>
    <row r="367">
      <c r="A367" s="177"/>
      <c r="B367" s="177"/>
      <c r="C367" s="177"/>
      <c r="D367" s="177"/>
      <c r="E367" s="177"/>
      <c r="F367" s="177"/>
      <c r="G367" s="177"/>
      <c r="H367" s="178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</row>
    <row r="368">
      <c r="A368" s="177"/>
      <c r="B368" s="177"/>
      <c r="C368" s="177"/>
      <c r="D368" s="177"/>
      <c r="E368" s="177"/>
      <c r="F368" s="177"/>
      <c r="G368" s="177"/>
      <c r="H368" s="178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</row>
    <row r="369">
      <c r="A369" s="177"/>
      <c r="B369" s="177"/>
      <c r="C369" s="177"/>
      <c r="D369" s="177"/>
      <c r="E369" s="177"/>
      <c r="F369" s="177"/>
      <c r="G369" s="177"/>
      <c r="H369" s="178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</row>
    <row r="370">
      <c r="A370" s="177"/>
      <c r="B370" s="177"/>
      <c r="C370" s="177"/>
      <c r="D370" s="177"/>
      <c r="E370" s="177"/>
      <c r="F370" s="177"/>
      <c r="G370" s="177"/>
      <c r="H370" s="178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</row>
    <row r="371">
      <c r="A371" s="177"/>
      <c r="B371" s="177"/>
      <c r="C371" s="177"/>
      <c r="D371" s="177"/>
      <c r="E371" s="177"/>
      <c r="F371" s="177"/>
      <c r="G371" s="177"/>
      <c r="H371" s="178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</row>
    <row r="372">
      <c r="A372" s="177"/>
      <c r="B372" s="177"/>
      <c r="C372" s="177"/>
      <c r="D372" s="177"/>
      <c r="E372" s="177"/>
      <c r="F372" s="177"/>
      <c r="G372" s="177"/>
      <c r="H372" s="178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</row>
    <row r="373">
      <c r="A373" s="177"/>
      <c r="B373" s="177"/>
      <c r="C373" s="177"/>
      <c r="D373" s="177"/>
      <c r="E373" s="177"/>
      <c r="F373" s="177"/>
      <c r="G373" s="177"/>
      <c r="H373" s="178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</row>
    <row r="374">
      <c r="A374" s="177"/>
      <c r="B374" s="177"/>
      <c r="C374" s="177"/>
      <c r="D374" s="177"/>
      <c r="E374" s="177"/>
      <c r="F374" s="177"/>
      <c r="G374" s="177"/>
      <c r="H374" s="178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</row>
    <row r="375">
      <c r="A375" s="177"/>
      <c r="B375" s="177"/>
      <c r="C375" s="177"/>
      <c r="D375" s="177"/>
      <c r="E375" s="177"/>
      <c r="F375" s="177"/>
      <c r="G375" s="177"/>
      <c r="H375" s="178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</row>
    <row r="376">
      <c r="A376" s="177"/>
      <c r="B376" s="177"/>
      <c r="C376" s="177"/>
      <c r="D376" s="177"/>
      <c r="E376" s="177"/>
      <c r="F376" s="177"/>
      <c r="G376" s="177"/>
      <c r="H376" s="178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</row>
    <row r="377">
      <c r="A377" s="177"/>
      <c r="B377" s="177"/>
      <c r="C377" s="177"/>
      <c r="D377" s="177"/>
      <c r="E377" s="177"/>
      <c r="F377" s="177"/>
      <c r="G377" s="177"/>
      <c r="H377" s="178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</row>
    <row r="378">
      <c r="A378" s="177"/>
      <c r="B378" s="177"/>
      <c r="C378" s="177"/>
      <c r="D378" s="177"/>
      <c r="E378" s="177"/>
      <c r="F378" s="177"/>
      <c r="G378" s="177"/>
      <c r="H378" s="178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</row>
    <row r="379">
      <c r="A379" s="177"/>
      <c r="B379" s="177"/>
      <c r="C379" s="177"/>
      <c r="D379" s="177"/>
      <c r="E379" s="177"/>
      <c r="F379" s="177"/>
      <c r="G379" s="177"/>
      <c r="H379" s="178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</row>
    <row r="380">
      <c r="A380" s="177"/>
      <c r="B380" s="177"/>
      <c r="C380" s="177"/>
      <c r="D380" s="177"/>
      <c r="E380" s="177"/>
      <c r="F380" s="177"/>
      <c r="G380" s="177"/>
      <c r="H380" s="178"/>
      <c r="I380" s="177"/>
      <c r="J380" s="177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</row>
    <row r="381">
      <c r="A381" s="177"/>
      <c r="B381" s="177"/>
      <c r="C381" s="177"/>
      <c r="D381" s="177"/>
      <c r="E381" s="177"/>
      <c r="F381" s="177"/>
      <c r="G381" s="177"/>
      <c r="H381" s="178"/>
      <c r="I381" s="177"/>
      <c r="J381" s="177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</row>
    <row r="382">
      <c r="A382" s="177"/>
      <c r="B382" s="177"/>
      <c r="C382" s="177"/>
      <c r="D382" s="177"/>
      <c r="E382" s="177"/>
      <c r="F382" s="177"/>
      <c r="G382" s="177"/>
      <c r="H382" s="178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</row>
    <row r="383">
      <c r="A383" s="177"/>
      <c r="B383" s="177"/>
      <c r="C383" s="177"/>
      <c r="D383" s="177"/>
      <c r="E383" s="177"/>
      <c r="F383" s="177"/>
      <c r="G383" s="177"/>
      <c r="H383" s="178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</row>
    <row r="384">
      <c r="A384" s="177"/>
      <c r="B384" s="177"/>
      <c r="C384" s="177"/>
      <c r="D384" s="177"/>
      <c r="E384" s="177"/>
      <c r="F384" s="177"/>
      <c r="G384" s="177"/>
      <c r="H384" s="178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</row>
    <row r="385">
      <c r="A385" s="177"/>
      <c r="B385" s="177"/>
      <c r="C385" s="177"/>
      <c r="D385" s="177"/>
      <c r="E385" s="177"/>
      <c r="F385" s="177"/>
      <c r="G385" s="177"/>
      <c r="H385" s="178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</row>
    <row r="386">
      <c r="A386" s="177"/>
      <c r="B386" s="177"/>
      <c r="C386" s="177"/>
      <c r="D386" s="177"/>
      <c r="E386" s="177"/>
      <c r="F386" s="177"/>
      <c r="G386" s="177"/>
      <c r="H386" s="178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</row>
    <row r="387">
      <c r="A387" s="177"/>
      <c r="B387" s="177"/>
      <c r="C387" s="177"/>
      <c r="D387" s="177"/>
      <c r="E387" s="177"/>
      <c r="F387" s="177"/>
      <c r="G387" s="177"/>
      <c r="H387" s="178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</row>
    <row r="388">
      <c r="A388" s="177"/>
      <c r="B388" s="177"/>
      <c r="C388" s="177"/>
      <c r="D388" s="177"/>
      <c r="E388" s="177"/>
      <c r="F388" s="177"/>
      <c r="G388" s="177"/>
      <c r="H388" s="178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</row>
    <row r="389">
      <c r="A389" s="177"/>
      <c r="B389" s="177"/>
      <c r="C389" s="177"/>
      <c r="D389" s="177"/>
      <c r="E389" s="177"/>
      <c r="F389" s="177"/>
      <c r="G389" s="177"/>
      <c r="H389" s="178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</row>
    <row r="390">
      <c r="A390" s="177"/>
      <c r="B390" s="177"/>
      <c r="C390" s="177"/>
      <c r="D390" s="177"/>
      <c r="E390" s="177"/>
      <c r="F390" s="177"/>
      <c r="G390" s="177"/>
      <c r="H390" s="178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</row>
    <row r="391">
      <c r="A391" s="177"/>
      <c r="B391" s="177"/>
      <c r="C391" s="177"/>
      <c r="D391" s="177"/>
      <c r="E391" s="177"/>
      <c r="F391" s="177"/>
      <c r="G391" s="177"/>
      <c r="H391" s="178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</row>
    <row r="392">
      <c r="A392" s="177"/>
      <c r="B392" s="177"/>
      <c r="C392" s="177"/>
      <c r="D392" s="177"/>
      <c r="E392" s="177"/>
      <c r="F392" s="177"/>
      <c r="G392" s="177"/>
      <c r="H392" s="178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</row>
    <row r="393">
      <c r="A393" s="177"/>
      <c r="B393" s="177"/>
      <c r="C393" s="177"/>
      <c r="D393" s="177"/>
      <c r="E393" s="177"/>
      <c r="F393" s="177"/>
      <c r="G393" s="177"/>
      <c r="H393" s="178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</row>
    <row r="394">
      <c r="A394" s="177"/>
      <c r="B394" s="177"/>
      <c r="C394" s="177"/>
      <c r="D394" s="177"/>
      <c r="E394" s="177"/>
      <c r="F394" s="177"/>
      <c r="G394" s="177"/>
      <c r="H394" s="178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</row>
    <row r="395">
      <c r="A395" s="177"/>
      <c r="B395" s="177"/>
      <c r="C395" s="177"/>
      <c r="D395" s="177"/>
      <c r="E395" s="177"/>
      <c r="F395" s="177"/>
      <c r="G395" s="177"/>
      <c r="H395" s="178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</row>
    <row r="396">
      <c r="A396" s="177"/>
      <c r="B396" s="177"/>
      <c r="C396" s="177"/>
      <c r="D396" s="177"/>
      <c r="E396" s="177"/>
      <c r="F396" s="177"/>
      <c r="G396" s="177"/>
      <c r="H396" s="178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</row>
    <row r="397">
      <c r="A397" s="177"/>
      <c r="B397" s="177"/>
      <c r="C397" s="177"/>
      <c r="D397" s="177"/>
      <c r="E397" s="177"/>
      <c r="F397" s="177"/>
      <c r="G397" s="177"/>
      <c r="H397" s="178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</row>
    <row r="398">
      <c r="A398" s="177"/>
      <c r="B398" s="177"/>
      <c r="C398" s="177"/>
      <c r="D398" s="177"/>
      <c r="E398" s="177"/>
      <c r="F398" s="177"/>
      <c r="G398" s="177"/>
      <c r="H398" s="178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</row>
    <row r="399">
      <c r="A399" s="177"/>
      <c r="B399" s="177"/>
      <c r="C399" s="177"/>
      <c r="D399" s="177"/>
      <c r="E399" s="177"/>
      <c r="F399" s="177"/>
      <c r="G399" s="177"/>
      <c r="H399" s="178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</row>
    <row r="400">
      <c r="A400" s="177"/>
      <c r="B400" s="177"/>
      <c r="C400" s="177"/>
      <c r="D400" s="177"/>
      <c r="E400" s="177"/>
      <c r="F400" s="177"/>
      <c r="G400" s="177"/>
      <c r="H400" s="178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</row>
    <row r="401">
      <c r="A401" s="177"/>
      <c r="B401" s="177"/>
      <c r="C401" s="177"/>
      <c r="D401" s="177"/>
      <c r="E401" s="177"/>
      <c r="F401" s="177"/>
      <c r="G401" s="177"/>
      <c r="H401" s="178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</row>
    <row r="402">
      <c r="A402" s="177"/>
      <c r="B402" s="177"/>
      <c r="C402" s="177"/>
      <c r="D402" s="177"/>
      <c r="E402" s="177"/>
      <c r="F402" s="177"/>
      <c r="G402" s="177"/>
      <c r="H402" s="178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</row>
    <row r="403">
      <c r="A403" s="177"/>
      <c r="B403" s="177"/>
      <c r="C403" s="177"/>
      <c r="D403" s="177"/>
      <c r="E403" s="177"/>
      <c r="F403" s="177"/>
      <c r="G403" s="177"/>
      <c r="H403" s="178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</row>
    <row r="404">
      <c r="A404" s="177"/>
      <c r="B404" s="177"/>
      <c r="C404" s="177"/>
      <c r="D404" s="177"/>
      <c r="E404" s="177"/>
      <c r="F404" s="177"/>
      <c r="G404" s="177"/>
      <c r="H404" s="178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</row>
    <row r="405">
      <c r="A405" s="177"/>
      <c r="B405" s="177"/>
      <c r="C405" s="177"/>
      <c r="D405" s="177"/>
      <c r="E405" s="177"/>
      <c r="F405" s="177"/>
      <c r="G405" s="177"/>
      <c r="H405" s="178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</row>
    <row r="406">
      <c r="A406" s="177"/>
      <c r="B406" s="177"/>
      <c r="C406" s="177"/>
      <c r="D406" s="177"/>
      <c r="E406" s="177"/>
      <c r="F406" s="177"/>
      <c r="G406" s="177"/>
      <c r="H406" s="178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</row>
    <row r="407">
      <c r="A407" s="177"/>
      <c r="B407" s="177"/>
      <c r="C407" s="177"/>
      <c r="D407" s="177"/>
      <c r="E407" s="177"/>
      <c r="F407" s="177"/>
      <c r="G407" s="177"/>
      <c r="H407" s="178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</row>
    <row r="408">
      <c r="A408" s="177"/>
      <c r="B408" s="177"/>
      <c r="C408" s="177"/>
      <c r="D408" s="177"/>
      <c r="E408" s="177"/>
      <c r="F408" s="177"/>
      <c r="G408" s="177"/>
      <c r="H408" s="178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</row>
    <row r="409">
      <c r="A409" s="177"/>
      <c r="B409" s="177"/>
      <c r="C409" s="177"/>
      <c r="D409" s="177"/>
      <c r="E409" s="177"/>
      <c r="F409" s="177"/>
      <c r="G409" s="177"/>
      <c r="H409" s="178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</row>
    <row r="410">
      <c r="A410" s="177"/>
      <c r="B410" s="177"/>
      <c r="C410" s="177"/>
      <c r="D410" s="177"/>
      <c r="E410" s="177"/>
      <c r="F410" s="177"/>
      <c r="G410" s="177"/>
      <c r="H410" s="178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</row>
    <row r="411">
      <c r="A411" s="177"/>
      <c r="B411" s="177"/>
      <c r="C411" s="177"/>
      <c r="D411" s="177"/>
      <c r="E411" s="177"/>
      <c r="F411" s="177"/>
      <c r="G411" s="177"/>
      <c r="H411" s="178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</row>
    <row r="412">
      <c r="A412" s="177"/>
      <c r="B412" s="177"/>
      <c r="C412" s="177"/>
      <c r="D412" s="177"/>
      <c r="E412" s="177"/>
      <c r="F412" s="177"/>
      <c r="G412" s="177"/>
      <c r="H412" s="178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</row>
    <row r="413">
      <c r="A413" s="177"/>
      <c r="B413" s="177"/>
      <c r="C413" s="177"/>
      <c r="D413" s="177"/>
      <c r="E413" s="177"/>
      <c r="F413" s="177"/>
      <c r="G413" s="177"/>
      <c r="H413" s="178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</row>
    <row r="414">
      <c r="A414" s="177"/>
      <c r="B414" s="177"/>
      <c r="C414" s="177"/>
      <c r="D414" s="177"/>
      <c r="E414" s="177"/>
      <c r="F414" s="177"/>
      <c r="G414" s="177"/>
      <c r="H414" s="178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</row>
    <row r="415">
      <c r="A415" s="177"/>
      <c r="B415" s="177"/>
      <c r="C415" s="177"/>
      <c r="D415" s="177"/>
      <c r="E415" s="177"/>
      <c r="F415" s="177"/>
      <c r="G415" s="177"/>
      <c r="H415" s="178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</row>
    <row r="416">
      <c r="A416" s="177"/>
      <c r="B416" s="177"/>
      <c r="C416" s="177"/>
      <c r="D416" s="177"/>
      <c r="E416" s="177"/>
      <c r="F416" s="177"/>
      <c r="G416" s="177"/>
      <c r="H416" s="178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</row>
    <row r="417">
      <c r="A417" s="177"/>
      <c r="B417" s="177"/>
      <c r="C417" s="177"/>
      <c r="D417" s="177"/>
      <c r="E417" s="177"/>
      <c r="F417" s="177"/>
      <c r="G417" s="177"/>
      <c r="H417" s="178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</row>
    <row r="418">
      <c r="A418" s="177"/>
      <c r="B418" s="177"/>
      <c r="C418" s="177"/>
      <c r="D418" s="177"/>
      <c r="E418" s="177"/>
      <c r="F418" s="177"/>
      <c r="G418" s="177"/>
      <c r="H418" s="178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</row>
    <row r="419">
      <c r="A419" s="177"/>
      <c r="B419" s="177"/>
      <c r="C419" s="177"/>
      <c r="D419" s="177"/>
      <c r="E419" s="177"/>
      <c r="F419" s="177"/>
      <c r="G419" s="177"/>
      <c r="H419" s="178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</row>
    <row r="420">
      <c r="A420" s="177"/>
      <c r="B420" s="177"/>
      <c r="C420" s="177"/>
      <c r="D420" s="177"/>
      <c r="E420" s="177"/>
      <c r="F420" s="177"/>
      <c r="G420" s="177"/>
      <c r="H420" s="178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</row>
    <row r="421">
      <c r="A421" s="177"/>
      <c r="B421" s="177"/>
      <c r="C421" s="177"/>
      <c r="D421" s="177"/>
      <c r="E421" s="177"/>
      <c r="F421" s="177"/>
      <c r="G421" s="177"/>
      <c r="H421" s="178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</row>
    <row r="422">
      <c r="A422" s="177"/>
      <c r="B422" s="177"/>
      <c r="C422" s="177"/>
      <c r="D422" s="177"/>
      <c r="E422" s="177"/>
      <c r="F422" s="177"/>
      <c r="G422" s="177"/>
      <c r="H422" s="178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</row>
    <row r="423">
      <c r="A423" s="177"/>
      <c r="B423" s="177"/>
      <c r="C423" s="177"/>
      <c r="D423" s="177"/>
      <c r="E423" s="177"/>
      <c r="F423" s="177"/>
      <c r="G423" s="177"/>
      <c r="H423" s="178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</row>
    <row r="424">
      <c r="A424" s="177"/>
      <c r="B424" s="177"/>
      <c r="C424" s="177"/>
      <c r="D424" s="177"/>
      <c r="E424" s="177"/>
      <c r="F424" s="177"/>
      <c r="G424" s="177"/>
      <c r="H424" s="178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</row>
    <row r="425">
      <c r="A425" s="177"/>
      <c r="B425" s="177"/>
      <c r="C425" s="177"/>
      <c r="D425" s="177"/>
      <c r="E425" s="177"/>
      <c r="F425" s="177"/>
      <c r="G425" s="177"/>
      <c r="H425" s="178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</row>
    <row r="426">
      <c r="A426" s="177"/>
      <c r="B426" s="177"/>
      <c r="C426" s="177"/>
      <c r="D426" s="177"/>
      <c r="E426" s="177"/>
      <c r="F426" s="177"/>
      <c r="G426" s="177"/>
      <c r="H426" s="178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</row>
    <row r="427">
      <c r="A427" s="177"/>
      <c r="B427" s="177"/>
      <c r="C427" s="177"/>
      <c r="D427" s="177"/>
      <c r="E427" s="177"/>
      <c r="F427" s="177"/>
      <c r="G427" s="177"/>
      <c r="H427" s="178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</row>
    <row r="428">
      <c r="A428" s="177"/>
      <c r="B428" s="177"/>
      <c r="C428" s="177"/>
      <c r="D428" s="177"/>
      <c r="E428" s="177"/>
      <c r="F428" s="177"/>
      <c r="G428" s="177"/>
      <c r="H428" s="178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</row>
    <row r="429">
      <c r="A429" s="177"/>
      <c r="B429" s="177"/>
      <c r="C429" s="177"/>
      <c r="D429" s="177"/>
      <c r="E429" s="177"/>
      <c r="F429" s="177"/>
      <c r="G429" s="177"/>
      <c r="H429" s="178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</row>
    <row r="430">
      <c r="A430" s="177"/>
      <c r="B430" s="177"/>
      <c r="C430" s="177"/>
      <c r="D430" s="177"/>
      <c r="E430" s="177"/>
      <c r="F430" s="177"/>
      <c r="G430" s="177"/>
      <c r="H430" s="178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</row>
    <row r="431">
      <c r="A431" s="177"/>
      <c r="B431" s="177"/>
      <c r="C431" s="177"/>
      <c r="D431" s="177"/>
      <c r="E431" s="177"/>
      <c r="F431" s="177"/>
      <c r="G431" s="177"/>
      <c r="H431" s="178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</row>
    <row r="432">
      <c r="A432" s="177"/>
      <c r="B432" s="177"/>
      <c r="C432" s="177"/>
      <c r="D432" s="177"/>
      <c r="E432" s="177"/>
      <c r="F432" s="177"/>
      <c r="G432" s="177"/>
      <c r="H432" s="178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</row>
    <row r="433">
      <c r="A433" s="177"/>
      <c r="B433" s="177"/>
      <c r="C433" s="177"/>
      <c r="D433" s="177"/>
      <c r="E433" s="177"/>
      <c r="F433" s="177"/>
      <c r="G433" s="177"/>
      <c r="H433" s="178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</row>
    <row r="434">
      <c r="A434" s="177"/>
      <c r="B434" s="177"/>
      <c r="C434" s="177"/>
      <c r="D434" s="177"/>
      <c r="E434" s="177"/>
      <c r="F434" s="177"/>
      <c r="G434" s="177"/>
      <c r="H434" s="178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</row>
    <row r="435">
      <c r="A435" s="177"/>
      <c r="B435" s="177"/>
      <c r="C435" s="177"/>
      <c r="D435" s="177"/>
      <c r="E435" s="177"/>
      <c r="F435" s="177"/>
      <c r="G435" s="177"/>
      <c r="H435" s="178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</row>
    <row r="436">
      <c r="A436" s="177"/>
      <c r="B436" s="177"/>
      <c r="C436" s="177"/>
      <c r="D436" s="177"/>
      <c r="E436" s="177"/>
      <c r="F436" s="177"/>
      <c r="G436" s="177"/>
      <c r="H436" s="178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</row>
    <row r="437">
      <c r="A437" s="177"/>
      <c r="B437" s="177"/>
      <c r="C437" s="177"/>
      <c r="D437" s="177"/>
      <c r="E437" s="177"/>
      <c r="F437" s="177"/>
      <c r="G437" s="177"/>
      <c r="H437" s="178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</row>
    <row r="438">
      <c r="A438" s="177"/>
      <c r="B438" s="177"/>
      <c r="C438" s="177"/>
      <c r="D438" s="177"/>
      <c r="E438" s="177"/>
      <c r="F438" s="177"/>
      <c r="G438" s="177"/>
      <c r="H438" s="178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</row>
    <row r="439">
      <c r="A439" s="177"/>
      <c r="B439" s="177"/>
      <c r="C439" s="177"/>
      <c r="D439" s="177"/>
      <c r="E439" s="177"/>
      <c r="F439" s="177"/>
      <c r="G439" s="177"/>
      <c r="H439" s="178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</row>
    <row r="440">
      <c r="A440" s="177"/>
      <c r="B440" s="177"/>
      <c r="C440" s="177"/>
      <c r="D440" s="177"/>
      <c r="E440" s="177"/>
      <c r="F440" s="177"/>
      <c r="G440" s="177"/>
      <c r="H440" s="178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</row>
    <row r="441">
      <c r="A441" s="177"/>
      <c r="B441" s="177"/>
      <c r="C441" s="177"/>
      <c r="D441" s="177"/>
      <c r="E441" s="177"/>
      <c r="F441" s="177"/>
      <c r="G441" s="177"/>
      <c r="H441" s="178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</row>
    <row r="442">
      <c r="A442" s="177"/>
      <c r="B442" s="177"/>
      <c r="C442" s="177"/>
      <c r="D442" s="177"/>
      <c r="E442" s="177"/>
      <c r="F442" s="177"/>
      <c r="G442" s="177"/>
      <c r="H442" s="178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</row>
    <row r="443">
      <c r="A443" s="177"/>
      <c r="B443" s="177"/>
      <c r="C443" s="177"/>
      <c r="D443" s="177"/>
      <c r="E443" s="177"/>
      <c r="F443" s="177"/>
      <c r="G443" s="177"/>
      <c r="H443" s="178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</row>
    <row r="444">
      <c r="A444" s="177"/>
      <c r="B444" s="177"/>
      <c r="C444" s="177"/>
      <c r="D444" s="177"/>
      <c r="E444" s="177"/>
      <c r="F444" s="177"/>
      <c r="G444" s="177"/>
      <c r="H444" s="178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</row>
    <row r="445">
      <c r="A445" s="177"/>
      <c r="B445" s="177"/>
      <c r="C445" s="177"/>
      <c r="D445" s="177"/>
      <c r="E445" s="177"/>
      <c r="F445" s="177"/>
      <c r="G445" s="177"/>
      <c r="H445" s="178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</row>
    <row r="446">
      <c r="A446" s="177"/>
      <c r="B446" s="177"/>
      <c r="C446" s="177"/>
      <c r="D446" s="177"/>
      <c r="E446" s="177"/>
      <c r="F446" s="177"/>
      <c r="G446" s="177"/>
      <c r="H446" s="178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</row>
    <row r="447">
      <c r="A447" s="177"/>
      <c r="B447" s="177"/>
      <c r="C447" s="177"/>
      <c r="D447" s="177"/>
      <c r="E447" s="177"/>
      <c r="F447" s="177"/>
      <c r="G447" s="177"/>
      <c r="H447" s="178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</row>
    <row r="448">
      <c r="A448" s="177"/>
      <c r="B448" s="177"/>
      <c r="C448" s="177"/>
      <c r="D448" s="177"/>
      <c r="E448" s="177"/>
      <c r="F448" s="177"/>
      <c r="G448" s="177"/>
      <c r="H448" s="178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</row>
    <row r="449">
      <c r="A449" s="177"/>
      <c r="B449" s="177"/>
      <c r="C449" s="177"/>
      <c r="D449" s="177"/>
      <c r="E449" s="177"/>
      <c r="F449" s="177"/>
      <c r="G449" s="177"/>
      <c r="H449" s="178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</row>
    <row r="450">
      <c r="A450" s="177"/>
      <c r="B450" s="177"/>
      <c r="C450" s="177"/>
      <c r="D450" s="177"/>
      <c r="E450" s="177"/>
      <c r="F450" s="177"/>
      <c r="G450" s="177"/>
      <c r="H450" s="178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</row>
    <row r="451">
      <c r="A451" s="177"/>
      <c r="B451" s="177"/>
      <c r="C451" s="177"/>
      <c r="D451" s="177"/>
      <c r="E451" s="177"/>
      <c r="F451" s="177"/>
      <c r="G451" s="177"/>
      <c r="H451" s="178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</row>
    <row r="452">
      <c r="A452" s="177"/>
      <c r="B452" s="177"/>
      <c r="C452" s="177"/>
      <c r="D452" s="177"/>
      <c r="E452" s="177"/>
      <c r="F452" s="177"/>
      <c r="G452" s="177"/>
      <c r="H452" s="178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</row>
    <row r="453">
      <c r="A453" s="177"/>
      <c r="B453" s="177"/>
      <c r="C453" s="177"/>
      <c r="D453" s="177"/>
      <c r="E453" s="177"/>
      <c r="F453" s="177"/>
      <c r="G453" s="177"/>
      <c r="H453" s="178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</row>
    <row r="454">
      <c r="A454" s="177"/>
      <c r="B454" s="177"/>
      <c r="C454" s="177"/>
      <c r="D454" s="177"/>
      <c r="E454" s="177"/>
      <c r="F454" s="177"/>
      <c r="G454" s="177"/>
      <c r="H454" s="178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</row>
    <row r="455">
      <c r="A455" s="177"/>
      <c r="B455" s="177"/>
      <c r="C455" s="177"/>
      <c r="D455" s="177"/>
      <c r="E455" s="177"/>
      <c r="F455" s="177"/>
      <c r="G455" s="177"/>
      <c r="H455" s="178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</row>
    <row r="456">
      <c r="A456" s="177"/>
      <c r="B456" s="177"/>
      <c r="C456" s="177"/>
      <c r="D456" s="177"/>
      <c r="E456" s="177"/>
      <c r="F456" s="177"/>
      <c r="G456" s="177"/>
      <c r="H456" s="178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</row>
    <row r="457">
      <c r="A457" s="177"/>
      <c r="B457" s="177"/>
      <c r="C457" s="177"/>
      <c r="D457" s="177"/>
      <c r="E457" s="177"/>
      <c r="F457" s="177"/>
      <c r="G457" s="177"/>
      <c r="H457" s="178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</row>
    <row r="458">
      <c r="A458" s="177"/>
      <c r="B458" s="177"/>
      <c r="C458" s="177"/>
      <c r="D458" s="177"/>
      <c r="E458" s="177"/>
      <c r="F458" s="177"/>
      <c r="G458" s="177"/>
      <c r="H458" s="178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</row>
    <row r="459">
      <c r="A459" s="177"/>
      <c r="B459" s="177"/>
      <c r="C459" s="177"/>
      <c r="D459" s="177"/>
      <c r="E459" s="177"/>
      <c r="F459" s="177"/>
      <c r="G459" s="177"/>
      <c r="H459" s="178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</row>
    <row r="460">
      <c r="A460" s="177"/>
      <c r="B460" s="177"/>
      <c r="C460" s="177"/>
      <c r="D460" s="177"/>
      <c r="E460" s="177"/>
      <c r="F460" s="177"/>
      <c r="G460" s="177"/>
      <c r="H460" s="178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</row>
    <row r="461">
      <c r="A461" s="177"/>
      <c r="B461" s="177"/>
      <c r="C461" s="177"/>
      <c r="D461" s="177"/>
      <c r="E461" s="177"/>
      <c r="F461" s="177"/>
      <c r="G461" s="177"/>
      <c r="H461" s="178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</row>
    <row r="462">
      <c r="A462" s="177"/>
      <c r="B462" s="177"/>
      <c r="C462" s="177"/>
      <c r="D462" s="177"/>
      <c r="E462" s="177"/>
      <c r="F462" s="177"/>
      <c r="G462" s="177"/>
      <c r="H462" s="178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</row>
    <row r="463">
      <c r="A463" s="177"/>
      <c r="B463" s="177"/>
      <c r="C463" s="177"/>
      <c r="D463" s="177"/>
      <c r="E463" s="177"/>
      <c r="F463" s="177"/>
      <c r="G463" s="177"/>
      <c r="H463" s="178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</row>
    <row r="464">
      <c r="A464" s="177"/>
      <c r="B464" s="177"/>
      <c r="C464" s="177"/>
      <c r="D464" s="177"/>
      <c r="E464" s="177"/>
      <c r="F464" s="177"/>
      <c r="G464" s="177"/>
      <c r="H464" s="178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</row>
    <row r="465">
      <c r="A465" s="177"/>
      <c r="B465" s="177"/>
      <c r="C465" s="177"/>
      <c r="D465" s="177"/>
      <c r="E465" s="177"/>
      <c r="F465" s="177"/>
      <c r="G465" s="177"/>
      <c r="H465" s="178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</row>
    <row r="466">
      <c r="A466" s="177"/>
      <c r="B466" s="177"/>
      <c r="C466" s="177"/>
      <c r="D466" s="177"/>
      <c r="E466" s="177"/>
      <c r="F466" s="177"/>
      <c r="G466" s="177"/>
      <c r="H466" s="178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</row>
    <row r="467">
      <c r="A467" s="177"/>
      <c r="B467" s="177"/>
      <c r="C467" s="177"/>
      <c r="D467" s="177"/>
      <c r="E467" s="177"/>
      <c r="F467" s="177"/>
      <c r="G467" s="177"/>
      <c r="H467" s="178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</row>
    <row r="468">
      <c r="A468" s="177"/>
      <c r="B468" s="177"/>
      <c r="C468" s="177"/>
      <c r="D468" s="177"/>
      <c r="E468" s="177"/>
      <c r="F468" s="177"/>
      <c r="G468" s="177"/>
      <c r="H468" s="178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</row>
    <row r="469">
      <c r="A469" s="177"/>
      <c r="B469" s="177"/>
      <c r="C469" s="177"/>
      <c r="D469" s="177"/>
      <c r="E469" s="177"/>
      <c r="F469" s="177"/>
      <c r="G469" s="177"/>
      <c r="H469" s="178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</row>
    <row r="470">
      <c r="A470" s="177"/>
      <c r="B470" s="177"/>
      <c r="C470" s="177"/>
      <c r="D470" s="177"/>
      <c r="E470" s="177"/>
      <c r="F470" s="177"/>
      <c r="G470" s="177"/>
      <c r="H470" s="178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</row>
    <row r="471">
      <c r="A471" s="177"/>
      <c r="B471" s="177"/>
      <c r="C471" s="177"/>
      <c r="D471" s="177"/>
      <c r="E471" s="177"/>
      <c r="F471" s="177"/>
      <c r="G471" s="177"/>
      <c r="H471" s="178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</row>
    <row r="472">
      <c r="A472" s="177"/>
      <c r="B472" s="177"/>
      <c r="C472" s="177"/>
      <c r="D472" s="177"/>
      <c r="E472" s="177"/>
      <c r="F472" s="177"/>
      <c r="G472" s="177"/>
      <c r="H472" s="178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</row>
    <row r="473">
      <c r="A473" s="177"/>
      <c r="B473" s="177"/>
      <c r="C473" s="177"/>
      <c r="D473" s="177"/>
      <c r="E473" s="177"/>
      <c r="F473" s="177"/>
      <c r="G473" s="177"/>
      <c r="H473" s="178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</row>
    <row r="474">
      <c r="A474" s="177"/>
      <c r="B474" s="177"/>
      <c r="C474" s="177"/>
      <c r="D474" s="177"/>
      <c r="E474" s="177"/>
      <c r="F474" s="177"/>
      <c r="G474" s="177"/>
      <c r="H474" s="178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</row>
    <row r="475">
      <c r="A475" s="177"/>
      <c r="B475" s="177"/>
      <c r="C475" s="177"/>
      <c r="D475" s="177"/>
      <c r="E475" s="177"/>
      <c r="F475" s="177"/>
      <c r="G475" s="177"/>
      <c r="H475" s="178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</row>
    <row r="476">
      <c r="A476" s="177"/>
      <c r="B476" s="177"/>
      <c r="C476" s="177"/>
      <c r="D476" s="177"/>
      <c r="E476" s="177"/>
      <c r="F476" s="177"/>
      <c r="G476" s="177"/>
      <c r="H476" s="178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</row>
    <row r="477">
      <c r="A477" s="177"/>
      <c r="B477" s="177"/>
      <c r="C477" s="177"/>
      <c r="D477" s="177"/>
      <c r="E477" s="177"/>
      <c r="F477" s="177"/>
      <c r="G477" s="177"/>
      <c r="H477" s="178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</row>
    <row r="478">
      <c r="A478" s="177"/>
      <c r="B478" s="177"/>
      <c r="C478" s="177"/>
      <c r="D478" s="177"/>
      <c r="E478" s="177"/>
      <c r="F478" s="177"/>
      <c r="G478" s="177"/>
      <c r="H478" s="178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</row>
    <row r="479">
      <c r="A479" s="177"/>
      <c r="B479" s="177"/>
      <c r="C479" s="177"/>
      <c r="D479" s="177"/>
      <c r="E479" s="177"/>
      <c r="F479" s="177"/>
      <c r="G479" s="177"/>
      <c r="H479" s="178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</row>
    <row r="480">
      <c r="A480" s="177"/>
      <c r="B480" s="177"/>
      <c r="C480" s="177"/>
      <c r="D480" s="177"/>
      <c r="E480" s="177"/>
      <c r="F480" s="177"/>
      <c r="G480" s="177"/>
      <c r="H480" s="178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</row>
    <row r="481">
      <c r="A481" s="177"/>
      <c r="B481" s="177"/>
      <c r="C481" s="177"/>
      <c r="D481" s="177"/>
      <c r="E481" s="177"/>
      <c r="F481" s="177"/>
      <c r="G481" s="177"/>
      <c r="H481" s="178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</row>
    <row r="482">
      <c r="A482" s="177"/>
      <c r="B482" s="177"/>
      <c r="C482" s="177"/>
      <c r="D482" s="177"/>
      <c r="E482" s="177"/>
      <c r="F482" s="177"/>
      <c r="G482" s="177"/>
      <c r="H482" s="178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</row>
    <row r="483">
      <c r="A483" s="177"/>
      <c r="B483" s="177"/>
      <c r="C483" s="177"/>
      <c r="D483" s="177"/>
      <c r="E483" s="177"/>
      <c r="F483" s="177"/>
      <c r="G483" s="177"/>
      <c r="H483" s="178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</row>
    <row r="484">
      <c r="A484" s="177"/>
      <c r="B484" s="177"/>
      <c r="C484" s="177"/>
      <c r="D484" s="177"/>
      <c r="E484" s="177"/>
      <c r="F484" s="177"/>
      <c r="G484" s="177"/>
      <c r="H484" s="178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</row>
    <row r="485">
      <c r="A485" s="177"/>
      <c r="B485" s="177"/>
      <c r="C485" s="177"/>
      <c r="D485" s="177"/>
      <c r="E485" s="177"/>
      <c r="F485" s="177"/>
      <c r="G485" s="177"/>
      <c r="H485" s="178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</row>
    <row r="486">
      <c r="A486" s="177"/>
      <c r="B486" s="177"/>
      <c r="C486" s="177"/>
      <c r="D486" s="177"/>
      <c r="E486" s="177"/>
      <c r="F486" s="177"/>
      <c r="G486" s="177"/>
      <c r="H486" s="178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</row>
    <row r="487">
      <c r="A487" s="177"/>
      <c r="B487" s="177"/>
      <c r="C487" s="177"/>
      <c r="D487" s="177"/>
      <c r="E487" s="177"/>
      <c r="F487" s="177"/>
      <c r="G487" s="177"/>
      <c r="H487" s="178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</row>
    <row r="488">
      <c r="A488" s="177"/>
      <c r="B488" s="177"/>
      <c r="C488" s="177"/>
      <c r="D488" s="177"/>
      <c r="E488" s="177"/>
      <c r="F488" s="177"/>
      <c r="G488" s="177"/>
      <c r="H488" s="178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</row>
    <row r="489">
      <c r="A489" s="177"/>
      <c r="B489" s="177"/>
      <c r="C489" s="177"/>
      <c r="D489" s="177"/>
      <c r="E489" s="177"/>
      <c r="F489" s="177"/>
      <c r="G489" s="177"/>
      <c r="H489" s="178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</row>
    <row r="490">
      <c r="A490" s="177"/>
      <c r="B490" s="177"/>
      <c r="C490" s="177"/>
      <c r="D490" s="177"/>
      <c r="E490" s="177"/>
      <c r="F490" s="177"/>
      <c r="G490" s="177"/>
      <c r="H490" s="178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</row>
    <row r="491">
      <c r="A491" s="177"/>
      <c r="B491" s="177"/>
      <c r="C491" s="177"/>
      <c r="D491" s="177"/>
      <c r="E491" s="177"/>
      <c r="F491" s="177"/>
      <c r="G491" s="177"/>
      <c r="H491" s="178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</row>
    <row r="492">
      <c r="A492" s="177"/>
      <c r="B492" s="177"/>
      <c r="C492" s="177"/>
      <c r="D492" s="177"/>
      <c r="E492" s="177"/>
      <c r="F492" s="177"/>
      <c r="G492" s="177"/>
      <c r="H492" s="178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</row>
    <row r="493">
      <c r="A493" s="177"/>
      <c r="B493" s="177"/>
      <c r="C493" s="177"/>
      <c r="D493" s="177"/>
      <c r="E493" s="177"/>
      <c r="F493" s="177"/>
      <c r="G493" s="177"/>
      <c r="H493" s="178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</row>
    <row r="494">
      <c r="A494" s="177"/>
      <c r="B494" s="177"/>
      <c r="C494" s="177"/>
      <c r="D494" s="177"/>
      <c r="E494" s="177"/>
      <c r="F494" s="177"/>
      <c r="G494" s="177"/>
      <c r="H494" s="178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</row>
    <row r="495">
      <c r="A495" s="177"/>
      <c r="B495" s="177"/>
      <c r="C495" s="177"/>
      <c r="D495" s="177"/>
      <c r="E495" s="177"/>
      <c r="F495" s="177"/>
      <c r="G495" s="177"/>
      <c r="H495" s="178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</row>
    <row r="496">
      <c r="A496" s="177"/>
      <c r="B496" s="177"/>
      <c r="C496" s="177"/>
      <c r="D496" s="177"/>
      <c r="E496" s="177"/>
      <c r="F496" s="177"/>
      <c r="G496" s="177"/>
      <c r="H496" s="178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</row>
    <row r="497">
      <c r="A497" s="177"/>
      <c r="B497" s="177"/>
      <c r="C497" s="177"/>
      <c r="D497" s="177"/>
      <c r="E497" s="177"/>
      <c r="F497" s="177"/>
      <c r="G497" s="177"/>
      <c r="H497" s="178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</row>
    <row r="498">
      <c r="A498" s="177"/>
      <c r="B498" s="177"/>
      <c r="C498" s="177"/>
      <c r="D498" s="177"/>
      <c r="E498" s="177"/>
      <c r="F498" s="177"/>
      <c r="G498" s="177"/>
      <c r="H498" s="178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</row>
    <row r="499">
      <c r="A499" s="177"/>
      <c r="B499" s="177"/>
      <c r="C499" s="177"/>
      <c r="D499" s="177"/>
      <c r="E499" s="177"/>
      <c r="F499" s="177"/>
      <c r="G499" s="177"/>
      <c r="H499" s="178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</row>
    <row r="500">
      <c r="A500" s="177"/>
      <c r="B500" s="177"/>
      <c r="C500" s="177"/>
      <c r="D500" s="177"/>
      <c r="E500" s="177"/>
      <c r="F500" s="177"/>
      <c r="G500" s="177"/>
      <c r="H500" s="178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</row>
    <row r="501">
      <c r="A501" s="177"/>
      <c r="B501" s="177"/>
      <c r="C501" s="177"/>
      <c r="D501" s="177"/>
      <c r="E501" s="177"/>
      <c r="F501" s="177"/>
      <c r="G501" s="177"/>
      <c r="H501" s="178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</row>
    <row r="502">
      <c r="A502" s="177"/>
      <c r="B502" s="177"/>
      <c r="C502" s="177"/>
      <c r="D502" s="177"/>
      <c r="E502" s="177"/>
      <c r="F502" s="177"/>
      <c r="G502" s="177"/>
      <c r="H502" s="178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</row>
    <row r="503">
      <c r="A503" s="177"/>
      <c r="B503" s="177"/>
      <c r="C503" s="177"/>
      <c r="D503" s="177"/>
      <c r="E503" s="177"/>
      <c r="F503" s="177"/>
      <c r="G503" s="177"/>
      <c r="H503" s="178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</row>
    <row r="504">
      <c r="A504" s="177"/>
      <c r="B504" s="177"/>
      <c r="C504" s="177"/>
      <c r="D504" s="177"/>
      <c r="E504" s="177"/>
      <c r="F504" s="177"/>
      <c r="G504" s="177"/>
      <c r="H504" s="178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</row>
    <row r="505">
      <c r="A505" s="177"/>
      <c r="B505" s="177"/>
      <c r="C505" s="177"/>
      <c r="D505" s="177"/>
      <c r="E505" s="177"/>
      <c r="F505" s="177"/>
      <c r="G505" s="177"/>
      <c r="H505" s="178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</row>
    <row r="506">
      <c r="A506" s="177"/>
      <c r="B506" s="177"/>
      <c r="C506" s="177"/>
      <c r="D506" s="177"/>
      <c r="E506" s="177"/>
      <c r="F506" s="177"/>
      <c r="G506" s="177"/>
      <c r="H506" s="178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</row>
    <row r="507">
      <c r="A507" s="177"/>
      <c r="B507" s="177"/>
      <c r="C507" s="177"/>
      <c r="D507" s="177"/>
      <c r="E507" s="177"/>
      <c r="F507" s="177"/>
      <c r="G507" s="177"/>
      <c r="H507" s="178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</row>
    <row r="508">
      <c r="A508" s="177"/>
      <c r="B508" s="177"/>
      <c r="C508" s="177"/>
      <c r="D508" s="177"/>
      <c r="E508" s="177"/>
      <c r="F508" s="177"/>
      <c r="G508" s="177"/>
      <c r="H508" s="178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</row>
    <row r="509">
      <c r="A509" s="177"/>
      <c r="B509" s="177"/>
      <c r="C509" s="177"/>
      <c r="D509" s="177"/>
      <c r="E509" s="177"/>
      <c r="F509" s="177"/>
      <c r="G509" s="177"/>
      <c r="H509" s="178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</row>
    <row r="510">
      <c r="A510" s="177"/>
      <c r="B510" s="177"/>
      <c r="C510" s="177"/>
      <c r="D510" s="177"/>
      <c r="E510" s="177"/>
      <c r="F510" s="177"/>
      <c r="G510" s="177"/>
      <c r="H510" s="178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</row>
    <row r="511">
      <c r="A511" s="177"/>
      <c r="B511" s="177"/>
      <c r="C511" s="177"/>
      <c r="D511" s="177"/>
      <c r="E511" s="177"/>
      <c r="F511" s="177"/>
      <c r="G511" s="177"/>
      <c r="H511" s="178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</row>
    <row r="512">
      <c r="A512" s="177"/>
      <c r="B512" s="177"/>
      <c r="C512" s="177"/>
      <c r="D512" s="177"/>
      <c r="E512" s="177"/>
      <c r="F512" s="177"/>
      <c r="G512" s="177"/>
      <c r="H512" s="178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</row>
    <row r="513">
      <c r="A513" s="177"/>
      <c r="B513" s="177"/>
      <c r="C513" s="177"/>
      <c r="D513" s="177"/>
      <c r="E513" s="177"/>
      <c r="F513" s="177"/>
      <c r="G513" s="177"/>
      <c r="H513" s="178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</row>
    <row r="514">
      <c r="A514" s="177"/>
      <c r="B514" s="177"/>
      <c r="C514" s="177"/>
      <c r="D514" s="177"/>
      <c r="E514" s="177"/>
      <c r="F514" s="177"/>
      <c r="G514" s="177"/>
      <c r="H514" s="178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</row>
    <row r="515">
      <c r="A515" s="177"/>
      <c r="B515" s="177"/>
      <c r="C515" s="177"/>
      <c r="D515" s="177"/>
      <c r="E515" s="177"/>
      <c r="F515" s="177"/>
      <c r="G515" s="177"/>
      <c r="H515" s="178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</row>
    <row r="516">
      <c r="A516" s="177"/>
      <c r="B516" s="177"/>
      <c r="C516" s="177"/>
      <c r="D516" s="177"/>
      <c r="E516" s="177"/>
      <c r="F516" s="177"/>
      <c r="G516" s="177"/>
      <c r="H516" s="178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</row>
    <row r="517">
      <c r="A517" s="177"/>
      <c r="B517" s="177"/>
      <c r="C517" s="177"/>
      <c r="D517" s="177"/>
      <c r="E517" s="177"/>
      <c r="F517" s="177"/>
      <c r="G517" s="177"/>
      <c r="H517" s="178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</row>
    <row r="518">
      <c r="A518" s="177"/>
      <c r="B518" s="177"/>
      <c r="C518" s="177"/>
      <c r="D518" s="177"/>
      <c r="E518" s="177"/>
      <c r="F518" s="177"/>
      <c r="G518" s="177"/>
      <c r="H518" s="178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</row>
    <row r="519">
      <c r="A519" s="177"/>
      <c r="B519" s="177"/>
      <c r="C519" s="177"/>
      <c r="D519" s="177"/>
      <c r="E519" s="177"/>
      <c r="F519" s="177"/>
      <c r="G519" s="177"/>
      <c r="H519" s="178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</row>
    <row r="520">
      <c r="A520" s="177"/>
      <c r="B520" s="177"/>
      <c r="C520" s="177"/>
      <c r="D520" s="177"/>
      <c r="E520" s="177"/>
      <c r="F520" s="177"/>
      <c r="G520" s="177"/>
      <c r="H520" s="178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</row>
    <row r="521">
      <c r="A521" s="177"/>
      <c r="B521" s="177"/>
      <c r="C521" s="177"/>
      <c r="D521" s="177"/>
      <c r="E521" s="177"/>
      <c r="F521" s="177"/>
      <c r="G521" s="177"/>
      <c r="H521" s="178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</row>
    <row r="522">
      <c r="A522" s="177"/>
      <c r="B522" s="177"/>
      <c r="C522" s="177"/>
      <c r="D522" s="177"/>
      <c r="E522" s="177"/>
      <c r="F522" s="177"/>
      <c r="G522" s="177"/>
      <c r="H522" s="178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</row>
    <row r="523">
      <c r="A523" s="177"/>
      <c r="B523" s="177"/>
      <c r="C523" s="177"/>
      <c r="D523" s="177"/>
      <c r="E523" s="177"/>
      <c r="F523" s="177"/>
      <c r="G523" s="177"/>
      <c r="H523" s="178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</row>
    <row r="524">
      <c r="A524" s="177"/>
      <c r="B524" s="177"/>
      <c r="C524" s="177"/>
      <c r="D524" s="177"/>
      <c r="E524" s="177"/>
      <c r="F524" s="177"/>
      <c r="G524" s="177"/>
      <c r="H524" s="178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</row>
    <row r="525">
      <c r="A525" s="177"/>
      <c r="B525" s="177"/>
      <c r="C525" s="177"/>
      <c r="D525" s="177"/>
      <c r="E525" s="177"/>
      <c r="F525" s="177"/>
      <c r="G525" s="177"/>
      <c r="H525" s="178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</row>
    <row r="526">
      <c r="A526" s="177"/>
      <c r="B526" s="177"/>
      <c r="C526" s="177"/>
      <c r="D526" s="177"/>
      <c r="E526" s="177"/>
      <c r="F526" s="177"/>
      <c r="G526" s="177"/>
      <c r="H526" s="178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</row>
    <row r="527">
      <c r="A527" s="177"/>
      <c r="B527" s="177"/>
      <c r="C527" s="177"/>
      <c r="D527" s="177"/>
      <c r="E527" s="177"/>
      <c r="F527" s="177"/>
      <c r="G527" s="177"/>
      <c r="H527" s="178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</row>
    <row r="528">
      <c r="A528" s="177"/>
      <c r="B528" s="177"/>
      <c r="C528" s="177"/>
      <c r="D528" s="177"/>
      <c r="E528" s="177"/>
      <c r="F528" s="177"/>
      <c r="G528" s="177"/>
      <c r="H528" s="178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</row>
    <row r="529">
      <c r="A529" s="177"/>
      <c r="B529" s="177"/>
      <c r="C529" s="177"/>
      <c r="D529" s="177"/>
      <c r="E529" s="177"/>
      <c r="F529" s="177"/>
      <c r="G529" s="177"/>
      <c r="H529" s="178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</row>
    <row r="530">
      <c r="A530" s="177"/>
      <c r="B530" s="177"/>
      <c r="C530" s="177"/>
      <c r="D530" s="177"/>
      <c r="E530" s="177"/>
      <c r="F530" s="177"/>
      <c r="G530" s="177"/>
      <c r="H530" s="178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</row>
    <row r="531">
      <c r="A531" s="177"/>
      <c r="B531" s="177"/>
      <c r="C531" s="177"/>
      <c r="D531" s="177"/>
      <c r="E531" s="177"/>
      <c r="F531" s="177"/>
      <c r="G531" s="177"/>
      <c r="H531" s="178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</row>
    <row r="532">
      <c r="A532" s="177"/>
      <c r="B532" s="177"/>
      <c r="C532" s="177"/>
      <c r="D532" s="177"/>
      <c r="E532" s="177"/>
      <c r="F532" s="177"/>
      <c r="G532" s="177"/>
      <c r="H532" s="178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</row>
    <row r="533">
      <c r="A533" s="177"/>
      <c r="B533" s="177"/>
      <c r="C533" s="177"/>
      <c r="D533" s="177"/>
      <c r="E533" s="177"/>
      <c r="F533" s="177"/>
      <c r="G533" s="177"/>
      <c r="H533" s="178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</row>
    <row r="534">
      <c r="A534" s="177"/>
      <c r="B534" s="177"/>
      <c r="C534" s="177"/>
      <c r="D534" s="177"/>
      <c r="E534" s="177"/>
      <c r="F534" s="177"/>
      <c r="G534" s="177"/>
      <c r="H534" s="178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</row>
    <row r="535">
      <c r="A535" s="177"/>
      <c r="B535" s="177"/>
      <c r="C535" s="177"/>
      <c r="D535" s="177"/>
      <c r="E535" s="177"/>
      <c r="F535" s="177"/>
      <c r="G535" s="177"/>
      <c r="H535" s="178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</row>
    <row r="536">
      <c r="A536" s="177"/>
      <c r="B536" s="177"/>
      <c r="C536" s="177"/>
      <c r="D536" s="177"/>
      <c r="E536" s="177"/>
      <c r="F536" s="177"/>
      <c r="G536" s="177"/>
      <c r="H536" s="178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</row>
    <row r="537">
      <c r="A537" s="177"/>
      <c r="B537" s="177"/>
      <c r="C537" s="177"/>
      <c r="D537" s="177"/>
      <c r="E537" s="177"/>
      <c r="F537" s="177"/>
      <c r="G537" s="177"/>
      <c r="H537" s="178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</row>
    <row r="538">
      <c r="A538" s="177"/>
      <c r="B538" s="177"/>
      <c r="C538" s="177"/>
      <c r="D538" s="177"/>
      <c r="E538" s="177"/>
      <c r="F538" s="177"/>
      <c r="G538" s="177"/>
      <c r="H538" s="178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</row>
    <row r="539">
      <c r="A539" s="177"/>
      <c r="B539" s="177"/>
      <c r="C539" s="177"/>
      <c r="D539" s="177"/>
      <c r="E539" s="177"/>
      <c r="F539" s="177"/>
      <c r="G539" s="177"/>
      <c r="H539" s="178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</row>
    <row r="540">
      <c r="A540" s="177"/>
      <c r="B540" s="177"/>
      <c r="C540" s="177"/>
      <c r="D540" s="177"/>
      <c r="E540" s="177"/>
      <c r="F540" s="177"/>
      <c r="G540" s="177"/>
      <c r="H540" s="178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</row>
    <row r="541">
      <c r="A541" s="177"/>
      <c r="B541" s="177"/>
      <c r="C541" s="177"/>
      <c r="D541" s="177"/>
      <c r="E541" s="177"/>
      <c r="F541" s="177"/>
      <c r="G541" s="177"/>
      <c r="H541" s="178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</row>
    <row r="542">
      <c r="A542" s="177"/>
      <c r="B542" s="177"/>
      <c r="C542" s="177"/>
      <c r="D542" s="177"/>
      <c r="E542" s="177"/>
      <c r="F542" s="177"/>
      <c r="G542" s="177"/>
      <c r="H542" s="178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</row>
    <row r="543">
      <c r="A543" s="177"/>
      <c r="B543" s="177"/>
      <c r="C543" s="177"/>
      <c r="D543" s="177"/>
      <c r="E543" s="177"/>
      <c r="F543" s="177"/>
      <c r="G543" s="177"/>
      <c r="H543" s="178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</row>
    <row r="544">
      <c r="A544" s="177"/>
      <c r="B544" s="177"/>
      <c r="C544" s="177"/>
      <c r="D544" s="177"/>
      <c r="E544" s="177"/>
      <c r="F544" s="177"/>
      <c r="G544" s="177"/>
      <c r="H544" s="178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</row>
    <row r="545">
      <c r="A545" s="177"/>
      <c r="B545" s="177"/>
      <c r="C545" s="177"/>
      <c r="D545" s="177"/>
      <c r="E545" s="177"/>
      <c r="F545" s="177"/>
      <c r="G545" s="177"/>
      <c r="H545" s="178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</row>
    <row r="546">
      <c r="A546" s="177"/>
      <c r="B546" s="177"/>
      <c r="C546" s="177"/>
      <c r="D546" s="177"/>
      <c r="E546" s="177"/>
      <c r="F546" s="177"/>
      <c r="G546" s="177"/>
      <c r="H546" s="178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</row>
    <row r="547">
      <c r="A547" s="177"/>
      <c r="B547" s="177"/>
      <c r="C547" s="177"/>
      <c r="D547" s="177"/>
      <c r="E547" s="177"/>
      <c r="F547" s="177"/>
      <c r="G547" s="177"/>
      <c r="H547" s="178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</row>
    <row r="548">
      <c r="A548" s="177"/>
      <c r="B548" s="177"/>
      <c r="C548" s="177"/>
      <c r="D548" s="177"/>
      <c r="E548" s="177"/>
      <c r="F548" s="177"/>
      <c r="G548" s="177"/>
      <c r="H548" s="178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</row>
    <row r="549">
      <c r="A549" s="177"/>
      <c r="B549" s="177"/>
      <c r="C549" s="177"/>
      <c r="D549" s="177"/>
      <c r="E549" s="177"/>
      <c r="F549" s="177"/>
      <c r="G549" s="177"/>
      <c r="H549" s="178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</row>
    <row r="550">
      <c r="A550" s="177"/>
      <c r="B550" s="177"/>
      <c r="C550" s="177"/>
      <c r="D550" s="177"/>
      <c r="E550" s="177"/>
      <c r="F550" s="177"/>
      <c r="G550" s="177"/>
      <c r="H550" s="178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</row>
    <row r="551">
      <c r="A551" s="177"/>
      <c r="B551" s="177"/>
      <c r="C551" s="177"/>
      <c r="D551" s="177"/>
      <c r="E551" s="177"/>
      <c r="F551" s="177"/>
      <c r="G551" s="177"/>
      <c r="H551" s="178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</row>
    <row r="552">
      <c r="A552" s="177"/>
      <c r="B552" s="177"/>
      <c r="C552" s="177"/>
      <c r="D552" s="177"/>
      <c r="E552" s="177"/>
      <c r="F552" s="177"/>
      <c r="G552" s="177"/>
      <c r="H552" s="178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</row>
    <row r="553">
      <c r="A553" s="177"/>
      <c r="B553" s="177"/>
      <c r="C553" s="177"/>
      <c r="D553" s="177"/>
      <c r="E553" s="177"/>
      <c r="F553" s="177"/>
      <c r="G553" s="177"/>
      <c r="H553" s="178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</row>
    <row r="554">
      <c r="A554" s="177"/>
      <c r="B554" s="177"/>
      <c r="C554" s="177"/>
      <c r="D554" s="177"/>
      <c r="E554" s="177"/>
      <c r="F554" s="177"/>
      <c r="G554" s="177"/>
      <c r="H554" s="178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</row>
    <row r="555">
      <c r="A555" s="177"/>
      <c r="B555" s="177"/>
      <c r="C555" s="177"/>
      <c r="D555" s="177"/>
      <c r="E555" s="177"/>
      <c r="F555" s="177"/>
      <c r="G555" s="177"/>
      <c r="H555" s="178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</row>
    <row r="556">
      <c r="A556" s="177"/>
      <c r="B556" s="177"/>
      <c r="C556" s="177"/>
      <c r="D556" s="177"/>
      <c r="E556" s="177"/>
      <c r="F556" s="177"/>
      <c r="G556" s="177"/>
      <c r="H556" s="178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</row>
    <row r="557">
      <c r="A557" s="177"/>
      <c r="B557" s="177"/>
      <c r="C557" s="177"/>
      <c r="D557" s="177"/>
      <c r="E557" s="177"/>
      <c r="F557" s="177"/>
      <c r="G557" s="177"/>
      <c r="H557" s="178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</row>
    <row r="558">
      <c r="A558" s="177"/>
      <c r="B558" s="177"/>
      <c r="C558" s="177"/>
      <c r="D558" s="177"/>
      <c r="E558" s="177"/>
      <c r="F558" s="177"/>
      <c r="G558" s="177"/>
      <c r="H558" s="178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</row>
    <row r="559">
      <c r="A559" s="177"/>
      <c r="B559" s="177"/>
      <c r="C559" s="177"/>
      <c r="D559" s="177"/>
      <c r="E559" s="177"/>
      <c r="F559" s="177"/>
      <c r="G559" s="177"/>
      <c r="H559" s="178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</row>
    <row r="560">
      <c r="A560" s="177"/>
      <c r="B560" s="177"/>
      <c r="C560" s="177"/>
      <c r="D560" s="177"/>
      <c r="E560" s="177"/>
      <c r="F560" s="177"/>
      <c r="G560" s="177"/>
      <c r="H560" s="178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</row>
    <row r="561">
      <c r="A561" s="177"/>
      <c r="B561" s="177"/>
      <c r="C561" s="177"/>
      <c r="D561" s="177"/>
      <c r="E561" s="177"/>
      <c r="F561" s="177"/>
      <c r="G561" s="177"/>
      <c r="H561" s="178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</row>
    <row r="562">
      <c r="A562" s="177"/>
      <c r="B562" s="177"/>
      <c r="C562" s="177"/>
      <c r="D562" s="177"/>
      <c r="E562" s="177"/>
      <c r="F562" s="177"/>
      <c r="G562" s="177"/>
      <c r="H562" s="178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</row>
    <row r="563">
      <c r="A563" s="177"/>
      <c r="B563" s="177"/>
      <c r="C563" s="177"/>
      <c r="D563" s="177"/>
      <c r="E563" s="177"/>
      <c r="F563" s="177"/>
      <c r="G563" s="177"/>
      <c r="H563" s="178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</row>
    <row r="564">
      <c r="A564" s="177"/>
      <c r="B564" s="177"/>
      <c r="C564" s="177"/>
      <c r="D564" s="177"/>
      <c r="E564" s="177"/>
      <c r="F564" s="177"/>
      <c r="G564" s="177"/>
      <c r="H564" s="178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</row>
    <row r="565">
      <c r="A565" s="177"/>
      <c r="B565" s="177"/>
      <c r="C565" s="177"/>
      <c r="D565" s="177"/>
      <c r="E565" s="177"/>
      <c r="F565" s="177"/>
      <c r="G565" s="177"/>
      <c r="H565" s="178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</row>
    <row r="566">
      <c r="A566" s="177"/>
      <c r="B566" s="177"/>
      <c r="C566" s="177"/>
      <c r="D566" s="177"/>
      <c r="E566" s="177"/>
      <c r="F566" s="177"/>
      <c r="G566" s="177"/>
      <c r="H566" s="178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</row>
    <row r="567">
      <c r="A567" s="177"/>
      <c r="B567" s="177"/>
      <c r="C567" s="177"/>
      <c r="D567" s="177"/>
      <c r="E567" s="177"/>
      <c r="F567" s="177"/>
      <c r="G567" s="177"/>
      <c r="H567" s="178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</row>
    <row r="568">
      <c r="A568" s="177"/>
      <c r="B568" s="177"/>
      <c r="C568" s="177"/>
      <c r="D568" s="177"/>
      <c r="E568" s="177"/>
      <c r="F568" s="177"/>
      <c r="G568" s="177"/>
      <c r="H568" s="178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</row>
    <row r="569">
      <c r="A569" s="177"/>
      <c r="B569" s="177"/>
      <c r="C569" s="177"/>
      <c r="D569" s="177"/>
      <c r="E569" s="177"/>
      <c r="F569" s="177"/>
      <c r="G569" s="177"/>
      <c r="H569" s="178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</row>
    <row r="570">
      <c r="A570" s="177"/>
      <c r="B570" s="177"/>
      <c r="C570" s="177"/>
      <c r="D570" s="177"/>
      <c r="E570" s="177"/>
      <c r="F570" s="177"/>
      <c r="G570" s="177"/>
      <c r="H570" s="178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</row>
    <row r="571">
      <c r="A571" s="177"/>
      <c r="B571" s="177"/>
      <c r="C571" s="177"/>
      <c r="D571" s="177"/>
      <c r="E571" s="177"/>
      <c r="F571" s="177"/>
      <c r="G571" s="177"/>
      <c r="H571" s="178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</row>
    <row r="572">
      <c r="A572" s="177"/>
      <c r="B572" s="177"/>
      <c r="C572" s="177"/>
      <c r="D572" s="177"/>
      <c r="E572" s="177"/>
      <c r="F572" s="177"/>
      <c r="G572" s="177"/>
      <c r="H572" s="178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</row>
    <row r="573">
      <c r="A573" s="177"/>
      <c r="B573" s="177"/>
      <c r="C573" s="177"/>
      <c r="D573" s="177"/>
      <c r="E573" s="177"/>
      <c r="F573" s="177"/>
      <c r="G573" s="177"/>
      <c r="H573" s="178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</row>
    <row r="574">
      <c r="A574" s="177"/>
      <c r="B574" s="177"/>
      <c r="C574" s="177"/>
      <c r="D574" s="177"/>
      <c r="E574" s="177"/>
      <c r="F574" s="177"/>
      <c r="G574" s="177"/>
      <c r="H574" s="178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</row>
    <row r="575">
      <c r="A575" s="177"/>
      <c r="B575" s="177"/>
      <c r="C575" s="177"/>
      <c r="D575" s="177"/>
      <c r="E575" s="177"/>
      <c r="F575" s="177"/>
      <c r="G575" s="177"/>
      <c r="H575" s="178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</row>
    <row r="576">
      <c r="A576" s="177"/>
      <c r="B576" s="177"/>
      <c r="C576" s="177"/>
      <c r="D576" s="177"/>
      <c r="E576" s="177"/>
      <c r="F576" s="177"/>
      <c r="G576" s="177"/>
      <c r="H576" s="178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</row>
    <row r="577">
      <c r="A577" s="177"/>
      <c r="B577" s="177"/>
      <c r="C577" s="177"/>
      <c r="D577" s="177"/>
      <c r="E577" s="177"/>
      <c r="F577" s="177"/>
      <c r="G577" s="177"/>
      <c r="H577" s="178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</row>
    <row r="578">
      <c r="A578" s="177"/>
      <c r="B578" s="177"/>
      <c r="C578" s="177"/>
      <c r="D578" s="177"/>
      <c r="E578" s="177"/>
      <c r="F578" s="177"/>
      <c r="G578" s="177"/>
      <c r="H578" s="178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</row>
    <row r="579">
      <c r="A579" s="177"/>
      <c r="B579" s="177"/>
      <c r="C579" s="177"/>
      <c r="D579" s="177"/>
      <c r="E579" s="177"/>
      <c r="F579" s="177"/>
      <c r="G579" s="177"/>
      <c r="H579" s="178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</row>
    <row r="580">
      <c r="A580" s="177"/>
      <c r="B580" s="177"/>
      <c r="C580" s="177"/>
      <c r="D580" s="177"/>
      <c r="E580" s="177"/>
      <c r="F580" s="177"/>
      <c r="G580" s="177"/>
      <c r="H580" s="178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</row>
    <row r="581">
      <c r="A581" s="177"/>
      <c r="B581" s="177"/>
      <c r="C581" s="177"/>
      <c r="D581" s="177"/>
      <c r="E581" s="177"/>
      <c r="F581" s="177"/>
      <c r="G581" s="177"/>
      <c r="H581" s="178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</row>
    <row r="582">
      <c r="A582" s="177"/>
      <c r="B582" s="177"/>
      <c r="C582" s="177"/>
      <c r="D582" s="177"/>
      <c r="E582" s="177"/>
      <c r="F582" s="177"/>
      <c r="G582" s="177"/>
      <c r="H582" s="178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</row>
    <row r="583">
      <c r="A583" s="177"/>
      <c r="B583" s="177"/>
      <c r="C583" s="177"/>
      <c r="D583" s="177"/>
      <c r="E583" s="177"/>
      <c r="F583" s="177"/>
      <c r="G583" s="177"/>
      <c r="H583" s="178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</row>
    <row r="584">
      <c r="A584" s="177"/>
      <c r="B584" s="177"/>
      <c r="C584" s="177"/>
      <c r="D584" s="177"/>
      <c r="E584" s="177"/>
      <c r="F584" s="177"/>
      <c r="G584" s="177"/>
      <c r="H584" s="178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</row>
    <row r="585">
      <c r="A585" s="177"/>
      <c r="B585" s="177"/>
      <c r="C585" s="177"/>
      <c r="D585" s="177"/>
      <c r="E585" s="177"/>
      <c r="F585" s="177"/>
      <c r="G585" s="177"/>
      <c r="H585" s="178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</row>
    <row r="586">
      <c r="A586" s="177"/>
      <c r="B586" s="177"/>
      <c r="C586" s="177"/>
      <c r="D586" s="177"/>
      <c r="E586" s="177"/>
      <c r="F586" s="177"/>
      <c r="G586" s="177"/>
      <c r="H586" s="178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</row>
    <row r="587">
      <c r="A587" s="177"/>
      <c r="B587" s="177"/>
      <c r="C587" s="177"/>
      <c r="D587" s="177"/>
      <c r="E587" s="177"/>
      <c r="F587" s="177"/>
      <c r="G587" s="177"/>
      <c r="H587" s="178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</row>
    <row r="588">
      <c r="A588" s="177"/>
      <c r="B588" s="177"/>
      <c r="C588" s="177"/>
      <c r="D588" s="177"/>
      <c r="E588" s="177"/>
      <c r="F588" s="177"/>
      <c r="G588" s="177"/>
      <c r="H588" s="178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</row>
    <row r="589">
      <c r="A589" s="177"/>
      <c r="B589" s="177"/>
      <c r="C589" s="177"/>
      <c r="D589" s="177"/>
      <c r="E589" s="177"/>
      <c r="F589" s="177"/>
      <c r="G589" s="177"/>
      <c r="H589" s="178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</row>
    <row r="590">
      <c r="A590" s="177"/>
      <c r="B590" s="177"/>
      <c r="C590" s="177"/>
      <c r="D590" s="177"/>
      <c r="E590" s="177"/>
      <c r="F590" s="177"/>
      <c r="G590" s="177"/>
      <c r="H590" s="178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</row>
    <row r="591">
      <c r="A591" s="177"/>
      <c r="B591" s="177"/>
      <c r="C591" s="177"/>
      <c r="D591" s="177"/>
      <c r="E591" s="177"/>
      <c r="F591" s="177"/>
      <c r="G591" s="177"/>
      <c r="H591" s="178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</row>
    <row r="592">
      <c r="A592" s="177"/>
      <c r="B592" s="177"/>
      <c r="C592" s="177"/>
      <c r="D592" s="177"/>
      <c r="E592" s="177"/>
      <c r="F592" s="177"/>
      <c r="G592" s="177"/>
      <c r="H592" s="178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</row>
    <row r="593">
      <c r="A593" s="177"/>
      <c r="B593" s="177"/>
      <c r="C593" s="177"/>
      <c r="D593" s="177"/>
      <c r="E593" s="177"/>
      <c r="F593" s="177"/>
      <c r="G593" s="177"/>
      <c r="H593" s="178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</row>
    <row r="594">
      <c r="A594" s="177"/>
      <c r="B594" s="177"/>
      <c r="C594" s="177"/>
      <c r="D594" s="177"/>
      <c r="E594" s="177"/>
      <c r="F594" s="177"/>
      <c r="G594" s="177"/>
      <c r="H594" s="178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</row>
    <row r="595">
      <c r="A595" s="177"/>
      <c r="B595" s="177"/>
      <c r="C595" s="177"/>
      <c r="D595" s="177"/>
      <c r="E595" s="177"/>
      <c r="F595" s="177"/>
      <c r="G595" s="177"/>
      <c r="H595" s="178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</row>
    <row r="596">
      <c r="A596" s="177"/>
      <c r="B596" s="177"/>
      <c r="C596" s="177"/>
      <c r="D596" s="177"/>
      <c r="E596" s="177"/>
      <c r="F596" s="177"/>
      <c r="G596" s="177"/>
      <c r="H596" s="178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</row>
    <row r="597">
      <c r="A597" s="177"/>
      <c r="B597" s="177"/>
      <c r="C597" s="177"/>
      <c r="D597" s="177"/>
      <c r="E597" s="177"/>
      <c r="F597" s="177"/>
      <c r="G597" s="177"/>
      <c r="H597" s="178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</row>
    <row r="598">
      <c r="A598" s="177"/>
      <c r="B598" s="177"/>
      <c r="C598" s="177"/>
      <c r="D598" s="177"/>
      <c r="E598" s="177"/>
      <c r="F598" s="177"/>
      <c r="G598" s="177"/>
      <c r="H598" s="178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</row>
    <row r="599">
      <c r="A599" s="177"/>
      <c r="B599" s="177"/>
      <c r="C599" s="177"/>
      <c r="D599" s="177"/>
      <c r="E599" s="177"/>
      <c r="F599" s="177"/>
      <c r="G599" s="177"/>
      <c r="H599" s="178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</row>
    <row r="600">
      <c r="A600" s="177"/>
      <c r="B600" s="177"/>
      <c r="C600" s="177"/>
      <c r="D600" s="177"/>
      <c r="E600" s="177"/>
      <c r="F600" s="177"/>
      <c r="G600" s="177"/>
      <c r="H600" s="178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</row>
    <row r="601">
      <c r="A601" s="177"/>
      <c r="B601" s="177"/>
      <c r="C601" s="177"/>
      <c r="D601" s="177"/>
      <c r="E601" s="177"/>
      <c r="F601" s="177"/>
      <c r="G601" s="177"/>
      <c r="H601" s="178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</row>
    <row r="602">
      <c r="A602" s="177"/>
      <c r="B602" s="177"/>
      <c r="C602" s="177"/>
      <c r="D602" s="177"/>
      <c r="E602" s="177"/>
      <c r="F602" s="177"/>
      <c r="G602" s="177"/>
      <c r="H602" s="178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</row>
    <row r="603">
      <c r="A603" s="177"/>
      <c r="B603" s="177"/>
      <c r="C603" s="177"/>
      <c r="D603" s="177"/>
      <c r="E603" s="177"/>
      <c r="F603" s="177"/>
      <c r="G603" s="177"/>
      <c r="H603" s="178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</row>
    <row r="604">
      <c r="A604" s="177"/>
      <c r="B604" s="177"/>
      <c r="C604" s="177"/>
      <c r="D604" s="177"/>
      <c r="E604" s="177"/>
      <c r="F604" s="177"/>
      <c r="G604" s="177"/>
      <c r="H604" s="178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</row>
    <row r="605">
      <c r="A605" s="177"/>
      <c r="B605" s="177"/>
      <c r="C605" s="177"/>
      <c r="D605" s="177"/>
      <c r="E605" s="177"/>
      <c r="F605" s="177"/>
      <c r="G605" s="177"/>
      <c r="H605" s="178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</row>
    <row r="606">
      <c r="A606" s="177"/>
      <c r="B606" s="177"/>
      <c r="C606" s="177"/>
      <c r="D606" s="177"/>
      <c r="E606" s="177"/>
      <c r="F606" s="177"/>
      <c r="G606" s="177"/>
      <c r="H606" s="178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</row>
    <row r="607">
      <c r="A607" s="177"/>
      <c r="B607" s="177"/>
      <c r="C607" s="177"/>
      <c r="D607" s="177"/>
      <c r="E607" s="177"/>
      <c r="F607" s="177"/>
      <c r="G607" s="177"/>
      <c r="H607" s="178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</row>
    <row r="608">
      <c r="A608" s="177"/>
      <c r="B608" s="177"/>
      <c r="C608" s="177"/>
      <c r="D608" s="177"/>
      <c r="E608" s="177"/>
      <c r="F608" s="177"/>
      <c r="G608" s="177"/>
      <c r="H608" s="178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</row>
    <row r="609">
      <c r="A609" s="177"/>
      <c r="B609" s="177"/>
      <c r="C609" s="177"/>
      <c r="D609" s="177"/>
      <c r="E609" s="177"/>
      <c r="F609" s="177"/>
      <c r="G609" s="177"/>
      <c r="H609" s="178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</row>
    <row r="610">
      <c r="A610" s="177"/>
      <c r="B610" s="177"/>
      <c r="C610" s="177"/>
      <c r="D610" s="177"/>
      <c r="E610" s="177"/>
      <c r="F610" s="177"/>
      <c r="G610" s="177"/>
      <c r="H610" s="178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</row>
    <row r="611">
      <c r="A611" s="177"/>
      <c r="B611" s="177"/>
      <c r="C611" s="177"/>
      <c r="D611" s="177"/>
      <c r="E611" s="177"/>
      <c r="F611" s="177"/>
      <c r="G611" s="177"/>
      <c r="H611" s="178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</row>
    <row r="612">
      <c r="A612" s="177"/>
      <c r="B612" s="177"/>
      <c r="C612" s="177"/>
      <c r="D612" s="177"/>
      <c r="E612" s="177"/>
      <c r="F612" s="177"/>
      <c r="G612" s="177"/>
      <c r="H612" s="178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</row>
    <row r="613">
      <c r="A613" s="177"/>
      <c r="B613" s="177"/>
      <c r="C613" s="177"/>
      <c r="D613" s="177"/>
      <c r="E613" s="177"/>
      <c r="F613" s="177"/>
      <c r="G613" s="177"/>
      <c r="H613" s="178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</row>
    <row r="614">
      <c r="A614" s="177"/>
      <c r="B614" s="177"/>
      <c r="C614" s="177"/>
      <c r="D614" s="177"/>
      <c r="E614" s="177"/>
      <c r="F614" s="177"/>
      <c r="G614" s="177"/>
      <c r="H614" s="178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</row>
    <row r="615">
      <c r="A615" s="177"/>
      <c r="B615" s="177"/>
      <c r="C615" s="177"/>
      <c r="D615" s="177"/>
      <c r="E615" s="177"/>
      <c r="F615" s="177"/>
      <c r="G615" s="177"/>
      <c r="H615" s="178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</row>
    <row r="616">
      <c r="A616" s="177"/>
      <c r="B616" s="177"/>
      <c r="C616" s="177"/>
      <c r="D616" s="177"/>
      <c r="E616" s="177"/>
      <c r="F616" s="177"/>
      <c r="G616" s="177"/>
      <c r="H616" s="178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</row>
    <row r="617">
      <c r="A617" s="177"/>
      <c r="B617" s="177"/>
      <c r="C617" s="177"/>
      <c r="D617" s="177"/>
      <c r="E617" s="177"/>
      <c r="F617" s="177"/>
      <c r="G617" s="177"/>
      <c r="H617" s="178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</row>
    <row r="618">
      <c r="A618" s="177"/>
      <c r="B618" s="177"/>
      <c r="C618" s="177"/>
      <c r="D618" s="177"/>
      <c r="E618" s="177"/>
      <c r="F618" s="177"/>
      <c r="G618" s="177"/>
      <c r="H618" s="178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</row>
    <row r="619">
      <c r="A619" s="177"/>
      <c r="B619" s="177"/>
      <c r="C619" s="177"/>
      <c r="D619" s="177"/>
      <c r="E619" s="177"/>
      <c r="F619" s="177"/>
      <c r="G619" s="177"/>
      <c r="H619" s="178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</row>
    <row r="620">
      <c r="A620" s="177"/>
      <c r="B620" s="177"/>
      <c r="C620" s="177"/>
      <c r="D620" s="177"/>
      <c r="E620" s="177"/>
      <c r="F620" s="177"/>
      <c r="G620" s="177"/>
      <c r="H620" s="178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</row>
    <row r="621">
      <c r="A621" s="177"/>
      <c r="B621" s="177"/>
      <c r="C621" s="177"/>
      <c r="D621" s="177"/>
      <c r="E621" s="177"/>
      <c r="F621" s="177"/>
      <c r="G621" s="177"/>
      <c r="H621" s="178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</row>
    <row r="622">
      <c r="A622" s="177"/>
      <c r="B622" s="177"/>
      <c r="C622" s="177"/>
      <c r="D622" s="177"/>
      <c r="E622" s="177"/>
      <c r="F622" s="177"/>
      <c r="G622" s="177"/>
      <c r="H622" s="178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</row>
    <row r="623">
      <c r="A623" s="177"/>
      <c r="B623" s="177"/>
      <c r="C623" s="177"/>
      <c r="D623" s="177"/>
      <c r="E623" s="177"/>
      <c r="F623" s="177"/>
      <c r="G623" s="177"/>
      <c r="H623" s="178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</row>
    <row r="624">
      <c r="A624" s="177"/>
      <c r="B624" s="177"/>
      <c r="C624" s="177"/>
      <c r="D624" s="177"/>
      <c r="E624" s="177"/>
      <c r="F624" s="177"/>
      <c r="G624" s="177"/>
      <c r="H624" s="178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</row>
    <row r="625">
      <c r="A625" s="177"/>
      <c r="B625" s="177"/>
      <c r="C625" s="177"/>
      <c r="D625" s="177"/>
      <c r="E625" s="177"/>
      <c r="F625" s="177"/>
      <c r="G625" s="177"/>
      <c r="H625" s="178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</row>
    <row r="626">
      <c r="A626" s="177"/>
      <c r="B626" s="177"/>
      <c r="C626" s="177"/>
      <c r="D626" s="177"/>
      <c r="E626" s="177"/>
      <c r="F626" s="177"/>
      <c r="G626" s="177"/>
      <c r="H626" s="178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</row>
    <row r="627">
      <c r="A627" s="177"/>
      <c r="B627" s="177"/>
      <c r="C627" s="177"/>
      <c r="D627" s="177"/>
      <c r="E627" s="177"/>
      <c r="F627" s="177"/>
      <c r="G627" s="177"/>
      <c r="H627" s="178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</row>
    <row r="628">
      <c r="A628" s="177"/>
      <c r="B628" s="177"/>
      <c r="C628" s="177"/>
      <c r="D628" s="177"/>
      <c r="E628" s="177"/>
      <c r="F628" s="177"/>
      <c r="G628" s="177"/>
      <c r="H628" s="178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</row>
    <row r="629">
      <c r="A629" s="177"/>
      <c r="B629" s="177"/>
      <c r="C629" s="177"/>
      <c r="D629" s="177"/>
      <c r="E629" s="177"/>
      <c r="F629" s="177"/>
      <c r="G629" s="177"/>
      <c r="H629" s="178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</row>
    <row r="630">
      <c r="A630" s="177"/>
      <c r="B630" s="177"/>
      <c r="C630" s="177"/>
      <c r="D630" s="177"/>
      <c r="E630" s="177"/>
      <c r="F630" s="177"/>
      <c r="G630" s="177"/>
      <c r="H630" s="178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</row>
    <row r="631">
      <c r="A631" s="177"/>
      <c r="B631" s="177"/>
      <c r="C631" s="177"/>
      <c r="D631" s="177"/>
      <c r="E631" s="177"/>
      <c r="F631" s="177"/>
      <c r="G631" s="177"/>
      <c r="H631" s="178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</row>
    <row r="632">
      <c r="A632" s="177"/>
      <c r="B632" s="177"/>
      <c r="C632" s="177"/>
      <c r="D632" s="177"/>
      <c r="E632" s="177"/>
      <c r="F632" s="177"/>
      <c r="G632" s="177"/>
      <c r="H632" s="178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</row>
    <row r="633">
      <c r="A633" s="177"/>
      <c r="B633" s="177"/>
      <c r="C633" s="177"/>
      <c r="D633" s="177"/>
      <c r="E633" s="177"/>
      <c r="F633" s="177"/>
      <c r="G633" s="177"/>
      <c r="H633" s="178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</row>
    <row r="634">
      <c r="A634" s="177"/>
      <c r="B634" s="177"/>
      <c r="C634" s="177"/>
      <c r="D634" s="177"/>
      <c r="E634" s="177"/>
      <c r="F634" s="177"/>
      <c r="G634" s="177"/>
      <c r="H634" s="178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</row>
    <row r="635">
      <c r="A635" s="177"/>
      <c r="B635" s="177"/>
      <c r="C635" s="177"/>
      <c r="D635" s="177"/>
      <c r="E635" s="177"/>
      <c r="F635" s="177"/>
      <c r="G635" s="177"/>
      <c r="H635" s="178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</row>
    <row r="636">
      <c r="A636" s="177"/>
      <c r="B636" s="177"/>
      <c r="C636" s="177"/>
      <c r="D636" s="177"/>
      <c r="E636" s="177"/>
      <c r="F636" s="177"/>
      <c r="G636" s="177"/>
      <c r="H636" s="178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</row>
    <row r="637">
      <c r="A637" s="177"/>
      <c r="B637" s="177"/>
      <c r="C637" s="177"/>
      <c r="D637" s="177"/>
      <c r="E637" s="177"/>
      <c r="F637" s="177"/>
      <c r="G637" s="177"/>
      <c r="H637" s="178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</row>
    <row r="638">
      <c r="A638" s="177"/>
      <c r="B638" s="177"/>
      <c r="C638" s="177"/>
      <c r="D638" s="177"/>
      <c r="E638" s="177"/>
      <c r="F638" s="177"/>
      <c r="G638" s="177"/>
      <c r="H638" s="178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</row>
    <row r="639">
      <c r="A639" s="177"/>
      <c r="B639" s="177"/>
      <c r="C639" s="177"/>
      <c r="D639" s="177"/>
      <c r="E639" s="177"/>
      <c r="F639" s="177"/>
      <c r="G639" s="177"/>
      <c r="H639" s="178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</row>
    <row r="640">
      <c r="A640" s="177"/>
      <c r="B640" s="177"/>
      <c r="C640" s="177"/>
      <c r="D640" s="177"/>
      <c r="E640" s="177"/>
      <c r="F640" s="177"/>
      <c r="G640" s="177"/>
      <c r="H640" s="178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</row>
    <row r="641">
      <c r="A641" s="177"/>
      <c r="B641" s="177"/>
      <c r="C641" s="177"/>
      <c r="D641" s="177"/>
      <c r="E641" s="177"/>
      <c r="F641" s="177"/>
      <c r="G641" s="177"/>
      <c r="H641" s="178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</row>
    <row r="642">
      <c r="A642" s="177"/>
      <c r="B642" s="177"/>
      <c r="C642" s="177"/>
      <c r="D642" s="177"/>
      <c r="E642" s="177"/>
      <c r="F642" s="177"/>
      <c r="G642" s="177"/>
      <c r="H642" s="178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</row>
    <row r="643">
      <c r="A643" s="177"/>
      <c r="B643" s="177"/>
      <c r="C643" s="177"/>
      <c r="D643" s="177"/>
      <c r="E643" s="177"/>
      <c r="F643" s="177"/>
      <c r="G643" s="177"/>
      <c r="H643" s="178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</row>
    <row r="644">
      <c r="A644" s="177"/>
      <c r="B644" s="177"/>
      <c r="C644" s="177"/>
      <c r="D644" s="177"/>
      <c r="E644" s="177"/>
      <c r="F644" s="177"/>
      <c r="G644" s="177"/>
      <c r="H644" s="178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</row>
    <row r="645">
      <c r="A645" s="177"/>
      <c r="B645" s="177"/>
      <c r="C645" s="177"/>
      <c r="D645" s="177"/>
      <c r="E645" s="177"/>
      <c r="F645" s="177"/>
      <c r="G645" s="177"/>
      <c r="H645" s="178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</row>
    <row r="646">
      <c r="A646" s="177"/>
      <c r="B646" s="177"/>
      <c r="C646" s="177"/>
      <c r="D646" s="177"/>
      <c r="E646" s="177"/>
      <c r="F646" s="177"/>
      <c r="G646" s="177"/>
      <c r="H646" s="178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</row>
    <row r="647">
      <c r="A647" s="177"/>
      <c r="B647" s="177"/>
      <c r="C647" s="177"/>
      <c r="D647" s="177"/>
      <c r="E647" s="177"/>
      <c r="F647" s="177"/>
      <c r="G647" s="177"/>
      <c r="H647" s="178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</row>
    <row r="648">
      <c r="A648" s="177"/>
      <c r="B648" s="177"/>
      <c r="C648" s="177"/>
      <c r="D648" s="177"/>
      <c r="E648" s="177"/>
      <c r="F648" s="177"/>
      <c r="G648" s="177"/>
      <c r="H648" s="178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</row>
    <row r="649">
      <c r="A649" s="177"/>
      <c r="B649" s="177"/>
      <c r="C649" s="177"/>
      <c r="D649" s="177"/>
      <c r="E649" s="177"/>
      <c r="F649" s="177"/>
      <c r="G649" s="177"/>
      <c r="H649" s="178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</row>
    <row r="650">
      <c r="A650" s="177"/>
      <c r="B650" s="177"/>
      <c r="C650" s="177"/>
      <c r="D650" s="177"/>
      <c r="E650" s="177"/>
      <c r="F650" s="177"/>
      <c r="G650" s="177"/>
      <c r="H650" s="178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</row>
    <row r="651">
      <c r="A651" s="177"/>
      <c r="B651" s="177"/>
      <c r="C651" s="177"/>
      <c r="D651" s="177"/>
      <c r="E651" s="177"/>
      <c r="F651" s="177"/>
      <c r="G651" s="177"/>
      <c r="H651" s="178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</row>
    <row r="652">
      <c r="A652" s="177"/>
      <c r="B652" s="177"/>
      <c r="C652" s="177"/>
      <c r="D652" s="177"/>
      <c r="E652" s="177"/>
      <c r="F652" s="177"/>
      <c r="G652" s="177"/>
      <c r="H652" s="178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</row>
    <row r="653">
      <c r="A653" s="177"/>
      <c r="B653" s="177"/>
      <c r="C653" s="177"/>
      <c r="D653" s="177"/>
      <c r="E653" s="177"/>
      <c r="F653" s="177"/>
      <c r="G653" s="177"/>
      <c r="H653" s="178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</row>
    <row r="654">
      <c r="A654" s="177"/>
      <c r="B654" s="177"/>
      <c r="C654" s="177"/>
      <c r="D654" s="177"/>
      <c r="E654" s="177"/>
      <c r="F654" s="177"/>
      <c r="G654" s="177"/>
      <c r="H654" s="178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</row>
    <row r="655">
      <c r="A655" s="177"/>
      <c r="B655" s="177"/>
      <c r="C655" s="177"/>
      <c r="D655" s="177"/>
      <c r="E655" s="177"/>
      <c r="F655" s="177"/>
      <c r="G655" s="177"/>
      <c r="H655" s="178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</row>
    <row r="656">
      <c r="A656" s="177"/>
      <c r="B656" s="177"/>
      <c r="C656" s="177"/>
      <c r="D656" s="177"/>
      <c r="E656" s="177"/>
      <c r="F656" s="177"/>
      <c r="G656" s="177"/>
      <c r="H656" s="178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</row>
    <row r="657">
      <c r="A657" s="177"/>
      <c r="B657" s="177"/>
      <c r="C657" s="177"/>
      <c r="D657" s="177"/>
      <c r="E657" s="177"/>
      <c r="F657" s="177"/>
      <c r="G657" s="177"/>
      <c r="H657" s="178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</row>
    <row r="658">
      <c r="A658" s="177"/>
      <c r="B658" s="177"/>
      <c r="C658" s="177"/>
      <c r="D658" s="177"/>
      <c r="E658" s="177"/>
      <c r="F658" s="177"/>
      <c r="G658" s="177"/>
      <c r="H658" s="178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</row>
    <row r="659">
      <c r="A659" s="177"/>
      <c r="B659" s="177"/>
      <c r="C659" s="177"/>
      <c r="D659" s="177"/>
      <c r="E659" s="177"/>
      <c r="F659" s="177"/>
      <c r="G659" s="177"/>
      <c r="H659" s="178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</row>
    <row r="660">
      <c r="A660" s="177"/>
      <c r="B660" s="177"/>
      <c r="C660" s="177"/>
      <c r="D660" s="177"/>
      <c r="E660" s="177"/>
      <c r="F660" s="177"/>
      <c r="G660" s="177"/>
      <c r="H660" s="178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</row>
    <row r="661">
      <c r="A661" s="177"/>
      <c r="B661" s="177"/>
      <c r="C661" s="177"/>
      <c r="D661" s="177"/>
      <c r="E661" s="177"/>
      <c r="F661" s="177"/>
      <c r="G661" s="177"/>
      <c r="H661" s="178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</row>
    <row r="662">
      <c r="A662" s="177"/>
      <c r="B662" s="177"/>
      <c r="C662" s="177"/>
      <c r="D662" s="177"/>
      <c r="E662" s="177"/>
      <c r="F662" s="177"/>
      <c r="G662" s="177"/>
      <c r="H662" s="178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</row>
    <row r="663">
      <c r="A663" s="177"/>
      <c r="B663" s="177"/>
      <c r="C663" s="177"/>
      <c r="D663" s="177"/>
      <c r="E663" s="177"/>
      <c r="F663" s="177"/>
      <c r="G663" s="177"/>
      <c r="H663" s="178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</row>
    <row r="664">
      <c r="A664" s="177"/>
      <c r="B664" s="177"/>
      <c r="C664" s="177"/>
      <c r="D664" s="177"/>
      <c r="E664" s="177"/>
      <c r="F664" s="177"/>
      <c r="G664" s="177"/>
      <c r="H664" s="178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</row>
    <row r="665">
      <c r="A665" s="177"/>
      <c r="B665" s="177"/>
      <c r="C665" s="177"/>
      <c r="D665" s="177"/>
      <c r="E665" s="177"/>
      <c r="F665" s="177"/>
      <c r="G665" s="177"/>
      <c r="H665" s="178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</row>
    <row r="666">
      <c r="A666" s="177"/>
      <c r="B666" s="177"/>
      <c r="C666" s="177"/>
      <c r="D666" s="177"/>
      <c r="E666" s="177"/>
      <c r="F666" s="177"/>
      <c r="G666" s="177"/>
      <c r="H666" s="178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</row>
    <row r="667">
      <c r="A667" s="177"/>
      <c r="B667" s="177"/>
      <c r="C667" s="177"/>
      <c r="D667" s="177"/>
      <c r="E667" s="177"/>
      <c r="F667" s="177"/>
      <c r="G667" s="177"/>
      <c r="H667" s="178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</row>
    <row r="668">
      <c r="A668" s="177"/>
      <c r="B668" s="177"/>
      <c r="C668" s="177"/>
      <c r="D668" s="177"/>
      <c r="E668" s="177"/>
      <c r="F668" s="177"/>
      <c r="G668" s="177"/>
      <c r="H668" s="178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</row>
    <row r="669">
      <c r="A669" s="177"/>
      <c r="B669" s="177"/>
      <c r="C669" s="177"/>
      <c r="D669" s="177"/>
      <c r="E669" s="177"/>
      <c r="F669" s="177"/>
      <c r="G669" s="177"/>
      <c r="H669" s="178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</row>
    <row r="670">
      <c r="A670" s="177"/>
      <c r="B670" s="177"/>
      <c r="C670" s="177"/>
      <c r="D670" s="177"/>
      <c r="E670" s="177"/>
      <c r="F670" s="177"/>
      <c r="G670" s="177"/>
      <c r="H670" s="178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</row>
    <row r="671">
      <c r="A671" s="177"/>
      <c r="B671" s="177"/>
      <c r="C671" s="177"/>
      <c r="D671" s="177"/>
      <c r="E671" s="177"/>
      <c r="F671" s="177"/>
      <c r="G671" s="177"/>
      <c r="H671" s="178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</row>
    <row r="672">
      <c r="A672" s="177"/>
      <c r="B672" s="177"/>
      <c r="C672" s="177"/>
      <c r="D672" s="177"/>
      <c r="E672" s="177"/>
      <c r="F672" s="177"/>
      <c r="G672" s="177"/>
      <c r="H672" s="178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</row>
    <row r="673">
      <c r="A673" s="177"/>
      <c r="B673" s="177"/>
      <c r="C673" s="177"/>
      <c r="D673" s="177"/>
      <c r="E673" s="177"/>
      <c r="F673" s="177"/>
      <c r="G673" s="177"/>
      <c r="H673" s="178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</row>
    <row r="674">
      <c r="A674" s="177"/>
      <c r="B674" s="177"/>
      <c r="C674" s="177"/>
      <c r="D674" s="177"/>
      <c r="E674" s="177"/>
      <c r="F674" s="177"/>
      <c r="G674" s="177"/>
      <c r="H674" s="178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</row>
    <row r="675">
      <c r="A675" s="177"/>
      <c r="B675" s="177"/>
      <c r="C675" s="177"/>
      <c r="D675" s="177"/>
      <c r="E675" s="177"/>
      <c r="F675" s="177"/>
      <c r="G675" s="177"/>
      <c r="H675" s="178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</row>
    <row r="676">
      <c r="A676" s="177"/>
      <c r="B676" s="177"/>
      <c r="C676" s="177"/>
      <c r="D676" s="177"/>
      <c r="E676" s="177"/>
      <c r="F676" s="177"/>
      <c r="G676" s="177"/>
      <c r="H676" s="178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</row>
    <row r="677">
      <c r="A677" s="177"/>
      <c r="B677" s="177"/>
      <c r="C677" s="177"/>
      <c r="D677" s="177"/>
      <c r="E677" s="177"/>
      <c r="F677" s="177"/>
      <c r="G677" s="177"/>
      <c r="H677" s="178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</row>
    <row r="678">
      <c r="A678" s="177"/>
      <c r="B678" s="177"/>
      <c r="C678" s="177"/>
      <c r="D678" s="177"/>
      <c r="E678" s="177"/>
      <c r="F678" s="177"/>
      <c r="G678" s="177"/>
      <c r="H678" s="178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</row>
    <row r="679">
      <c r="A679" s="177"/>
      <c r="B679" s="177"/>
      <c r="C679" s="177"/>
      <c r="D679" s="177"/>
      <c r="E679" s="177"/>
      <c r="F679" s="177"/>
      <c r="G679" s="177"/>
      <c r="H679" s="178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</row>
    <row r="680">
      <c r="A680" s="177"/>
      <c r="B680" s="177"/>
      <c r="C680" s="177"/>
      <c r="D680" s="177"/>
      <c r="E680" s="177"/>
      <c r="F680" s="177"/>
      <c r="G680" s="177"/>
      <c r="H680" s="178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</row>
    <row r="681">
      <c r="A681" s="177"/>
      <c r="B681" s="177"/>
      <c r="C681" s="177"/>
      <c r="D681" s="177"/>
      <c r="E681" s="177"/>
      <c r="F681" s="177"/>
      <c r="G681" s="177"/>
      <c r="H681" s="178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</row>
    <row r="682">
      <c r="A682" s="177"/>
      <c r="B682" s="177"/>
      <c r="C682" s="177"/>
      <c r="D682" s="177"/>
      <c r="E682" s="177"/>
      <c r="F682" s="177"/>
      <c r="G682" s="177"/>
      <c r="H682" s="178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</row>
    <row r="683">
      <c r="A683" s="177"/>
      <c r="B683" s="177"/>
      <c r="C683" s="177"/>
      <c r="D683" s="177"/>
      <c r="E683" s="177"/>
      <c r="F683" s="177"/>
      <c r="G683" s="177"/>
      <c r="H683" s="178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</row>
    <row r="684">
      <c r="A684" s="177"/>
      <c r="B684" s="177"/>
      <c r="C684" s="177"/>
      <c r="D684" s="177"/>
      <c r="E684" s="177"/>
      <c r="F684" s="177"/>
      <c r="G684" s="177"/>
      <c r="H684" s="178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</row>
    <row r="685">
      <c r="A685" s="177"/>
      <c r="B685" s="177"/>
      <c r="C685" s="177"/>
      <c r="D685" s="177"/>
      <c r="E685" s="177"/>
      <c r="F685" s="177"/>
      <c r="G685" s="177"/>
      <c r="H685" s="178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</row>
    <row r="686">
      <c r="A686" s="177"/>
      <c r="B686" s="177"/>
      <c r="C686" s="177"/>
      <c r="D686" s="177"/>
      <c r="E686" s="177"/>
      <c r="F686" s="177"/>
      <c r="G686" s="177"/>
      <c r="H686" s="178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</row>
    <row r="687">
      <c r="A687" s="177"/>
      <c r="B687" s="177"/>
      <c r="C687" s="177"/>
      <c r="D687" s="177"/>
      <c r="E687" s="177"/>
      <c r="F687" s="177"/>
      <c r="G687" s="177"/>
      <c r="H687" s="178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</row>
    <row r="688">
      <c r="A688" s="177"/>
      <c r="B688" s="177"/>
      <c r="C688" s="177"/>
      <c r="D688" s="177"/>
      <c r="E688" s="177"/>
      <c r="F688" s="177"/>
      <c r="G688" s="177"/>
      <c r="H688" s="178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</row>
    <row r="689">
      <c r="A689" s="177"/>
      <c r="B689" s="177"/>
      <c r="C689" s="177"/>
      <c r="D689" s="177"/>
      <c r="E689" s="177"/>
      <c r="F689" s="177"/>
      <c r="G689" s="177"/>
      <c r="H689" s="178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</row>
    <row r="690">
      <c r="A690" s="177"/>
      <c r="B690" s="177"/>
      <c r="C690" s="177"/>
      <c r="D690" s="177"/>
      <c r="E690" s="177"/>
      <c r="F690" s="177"/>
      <c r="G690" s="177"/>
      <c r="H690" s="178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</row>
    <row r="691">
      <c r="A691" s="177"/>
      <c r="B691" s="177"/>
      <c r="C691" s="177"/>
      <c r="D691" s="177"/>
      <c r="E691" s="177"/>
      <c r="F691" s="177"/>
      <c r="G691" s="177"/>
      <c r="H691" s="178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</row>
    <row r="692">
      <c r="A692" s="177"/>
      <c r="B692" s="177"/>
      <c r="C692" s="177"/>
      <c r="D692" s="177"/>
      <c r="E692" s="177"/>
      <c r="F692" s="177"/>
      <c r="G692" s="177"/>
      <c r="H692" s="178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</row>
    <row r="693">
      <c r="A693" s="177"/>
      <c r="B693" s="177"/>
      <c r="C693" s="177"/>
      <c r="D693" s="177"/>
      <c r="E693" s="177"/>
      <c r="F693" s="177"/>
      <c r="G693" s="177"/>
      <c r="H693" s="178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</row>
    <row r="694">
      <c r="A694" s="177"/>
      <c r="B694" s="177"/>
      <c r="C694" s="177"/>
      <c r="D694" s="177"/>
      <c r="E694" s="177"/>
      <c r="F694" s="177"/>
      <c r="G694" s="177"/>
      <c r="H694" s="178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</row>
    <row r="695">
      <c r="A695" s="177"/>
      <c r="B695" s="177"/>
      <c r="C695" s="177"/>
      <c r="D695" s="177"/>
      <c r="E695" s="177"/>
      <c r="F695" s="177"/>
      <c r="G695" s="177"/>
      <c r="H695" s="178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</row>
    <row r="696">
      <c r="A696" s="177"/>
      <c r="B696" s="177"/>
      <c r="C696" s="177"/>
      <c r="D696" s="177"/>
      <c r="E696" s="177"/>
      <c r="F696" s="177"/>
      <c r="G696" s="177"/>
      <c r="H696" s="178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</row>
    <row r="697">
      <c r="A697" s="177"/>
      <c r="B697" s="177"/>
      <c r="C697" s="177"/>
      <c r="D697" s="177"/>
      <c r="E697" s="177"/>
      <c r="F697" s="177"/>
      <c r="G697" s="177"/>
      <c r="H697" s="178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</row>
    <row r="698">
      <c r="A698" s="177"/>
      <c r="B698" s="177"/>
      <c r="C698" s="177"/>
      <c r="D698" s="177"/>
      <c r="E698" s="177"/>
      <c r="F698" s="177"/>
      <c r="G698" s="177"/>
      <c r="H698" s="178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</row>
    <row r="699">
      <c r="A699" s="177"/>
      <c r="B699" s="177"/>
      <c r="C699" s="177"/>
      <c r="D699" s="177"/>
      <c r="E699" s="177"/>
      <c r="F699" s="177"/>
      <c r="G699" s="177"/>
      <c r="H699" s="178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</row>
    <row r="700">
      <c r="A700" s="177"/>
      <c r="B700" s="177"/>
      <c r="C700" s="177"/>
      <c r="D700" s="177"/>
      <c r="E700" s="177"/>
      <c r="F700" s="177"/>
      <c r="G700" s="177"/>
      <c r="H700" s="178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</row>
    <row r="701">
      <c r="A701" s="177"/>
      <c r="B701" s="177"/>
      <c r="C701" s="177"/>
      <c r="D701" s="177"/>
      <c r="E701" s="177"/>
      <c r="F701" s="177"/>
      <c r="G701" s="177"/>
      <c r="H701" s="178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</row>
    <row r="702">
      <c r="A702" s="177"/>
      <c r="B702" s="177"/>
      <c r="C702" s="177"/>
      <c r="D702" s="177"/>
      <c r="E702" s="177"/>
      <c r="F702" s="177"/>
      <c r="G702" s="177"/>
      <c r="H702" s="178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</row>
    <row r="703">
      <c r="A703" s="177"/>
      <c r="B703" s="177"/>
      <c r="C703" s="177"/>
      <c r="D703" s="177"/>
      <c r="E703" s="177"/>
      <c r="F703" s="177"/>
      <c r="G703" s="177"/>
      <c r="H703" s="178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</row>
    <row r="704">
      <c r="A704" s="177"/>
      <c r="B704" s="177"/>
      <c r="C704" s="177"/>
      <c r="D704" s="177"/>
      <c r="E704" s="177"/>
      <c r="F704" s="177"/>
      <c r="G704" s="177"/>
      <c r="H704" s="178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</row>
    <row r="705">
      <c r="A705" s="177"/>
      <c r="B705" s="177"/>
      <c r="C705" s="177"/>
      <c r="D705" s="177"/>
      <c r="E705" s="177"/>
      <c r="F705" s="177"/>
      <c r="G705" s="177"/>
      <c r="H705" s="178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</row>
    <row r="706">
      <c r="A706" s="177"/>
      <c r="B706" s="177"/>
      <c r="C706" s="177"/>
      <c r="D706" s="177"/>
      <c r="E706" s="177"/>
      <c r="F706" s="177"/>
      <c r="G706" s="177"/>
      <c r="H706" s="178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</row>
    <row r="707">
      <c r="A707" s="177"/>
      <c r="B707" s="177"/>
      <c r="C707" s="177"/>
      <c r="D707" s="177"/>
      <c r="E707" s="177"/>
      <c r="F707" s="177"/>
      <c r="G707" s="177"/>
      <c r="H707" s="178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</row>
    <row r="708">
      <c r="A708" s="177"/>
      <c r="B708" s="177"/>
      <c r="C708" s="177"/>
      <c r="D708" s="177"/>
      <c r="E708" s="177"/>
      <c r="F708" s="177"/>
      <c r="G708" s="177"/>
      <c r="H708" s="178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</row>
    <row r="709">
      <c r="A709" s="177"/>
      <c r="B709" s="177"/>
      <c r="C709" s="177"/>
      <c r="D709" s="177"/>
      <c r="E709" s="177"/>
      <c r="F709" s="177"/>
      <c r="G709" s="177"/>
      <c r="H709" s="178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</row>
    <row r="710">
      <c r="A710" s="177"/>
      <c r="B710" s="177"/>
      <c r="C710" s="177"/>
      <c r="D710" s="177"/>
      <c r="E710" s="177"/>
      <c r="F710" s="177"/>
      <c r="G710" s="177"/>
      <c r="H710" s="178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</row>
    <row r="711">
      <c r="A711" s="177"/>
      <c r="B711" s="177"/>
      <c r="C711" s="177"/>
      <c r="D711" s="177"/>
      <c r="E711" s="177"/>
      <c r="F711" s="177"/>
      <c r="G711" s="177"/>
      <c r="H711" s="178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</row>
    <row r="712">
      <c r="A712" s="177"/>
      <c r="B712" s="177"/>
      <c r="C712" s="177"/>
      <c r="D712" s="177"/>
      <c r="E712" s="177"/>
      <c r="F712" s="177"/>
      <c r="G712" s="177"/>
      <c r="H712" s="178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</row>
    <row r="713">
      <c r="A713" s="177"/>
      <c r="B713" s="177"/>
      <c r="C713" s="177"/>
      <c r="D713" s="177"/>
      <c r="E713" s="177"/>
      <c r="F713" s="177"/>
      <c r="G713" s="177"/>
      <c r="H713" s="178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</row>
    <row r="714">
      <c r="A714" s="177"/>
      <c r="B714" s="177"/>
      <c r="C714" s="177"/>
      <c r="D714" s="177"/>
      <c r="E714" s="177"/>
      <c r="F714" s="177"/>
      <c r="G714" s="177"/>
      <c r="H714" s="178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</row>
    <row r="715">
      <c r="A715" s="177"/>
      <c r="B715" s="177"/>
      <c r="C715" s="177"/>
      <c r="D715" s="177"/>
      <c r="E715" s="177"/>
      <c r="F715" s="177"/>
      <c r="G715" s="177"/>
      <c r="H715" s="178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</row>
    <row r="716">
      <c r="A716" s="177"/>
      <c r="B716" s="177"/>
      <c r="C716" s="177"/>
      <c r="D716" s="177"/>
      <c r="E716" s="177"/>
      <c r="F716" s="177"/>
      <c r="G716" s="177"/>
      <c r="H716" s="178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</row>
    <row r="717">
      <c r="A717" s="177"/>
      <c r="B717" s="177"/>
      <c r="C717" s="177"/>
      <c r="D717" s="177"/>
      <c r="E717" s="177"/>
      <c r="F717" s="177"/>
      <c r="G717" s="177"/>
      <c r="H717" s="178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</row>
    <row r="718">
      <c r="A718" s="177"/>
      <c r="B718" s="177"/>
      <c r="C718" s="177"/>
      <c r="D718" s="177"/>
      <c r="E718" s="177"/>
      <c r="F718" s="177"/>
      <c r="G718" s="177"/>
      <c r="H718" s="178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</row>
    <row r="719">
      <c r="A719" s="177"/>
      <c r="B719" s="177"/>
      <c r="C719" s="177"/>
      <c r="D719" s="177"/>
      <c r="E719" s="177"/>
      <c r="F719" s="177"/>
      <c r="G719" s="177"/>
      <c r="H719" s="178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</row>
    <row r="720">
      <c r="A720" s="177"/>
      <c r="B720" s="177"/>
      <c r="C720" s="177"/>
      <c r="D720" s="177"/>
      <c r="E720" s="177"/>
      <c r="F720" s="177"/>
      <c r="G720" s="177"/>
      <c r="H720" s="178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</row>
    <row r="721">
      <c r="A721" s="177"/>
      <c r="B721" s="177"/>
      <c r="C721" s="177"/>
      <c r="D721" s="177"/>
      <c r="E721" s="177"/>
      <c r="F721" s="177"/>
      <c r="G721" s="177"/>
      <c r="H721" s="178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</row>
    <row r="722">
      <c r="A722" s="177"/>
      <c r="B722" s="177"/>
      <c r="C722" s="177"/>
      <c r="D722" s="177"/>
      <c r="E722" s="177"/>
      <c r="F722" s="177"/>
      <c r="G722" s="177"/>
      <c r="H722" s="178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</row>
    <row r="723">
      <c r="A723" s="177"/>
      <c r="B723" s="177"/>
      <c r="C723" s="177"/>
      <c r="D723" s="177"/>
      <c r="E723" s="177"/>
      <c r="F723" s="177"/>
      <c r="G723" s="177"/>
      <c r="H723" s="178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</row>
    <row r="724">
      <c r="A724" s="177"/>
      <c r="B724" s="177"/>
      <c r="C724" s="177"/>
      <c r="D724" s="177"/>
      <c r="E724" s="177"/>
      <c r="F724" s="177"/>
      <c r="G724" s="177"/>
      <c r="H724" s="178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</row>
    <row r="725">
      <c r="A725" s="177"/>
      <c r="B725" s="177"/>
      <c r="C725" s="177"/>
      <c r="D725" s="177"/>
      <c r="E725" s="177"/>
      <c r="F725" s="177"/>
      <c r="G725" s="177"/>
      <c r="H725" s="178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</row>
    <row r="726">
      <c r="A726" s="177"/>
      <c r="B726" s="177"/>
      <c r="C726" s="177"/>
      <c r="D726" s="177"/>
      <c r="E726" s="177"/>
      <c r="F726" s="177"/>
      <c r="G726" s="177"/>
      <c r="H726" s="178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</row>
    <row r="727">
      <c r="A727" s="177"/>
      <c r="B727" s="177"/>
      <c r="C727" s="177"/>
      <c r="D727" s="177"/>
      <c r="E727" s="177"/>
      <c r="F727" s="177"/>
      <c r="G727" s="177"/>
      <c r="H727" s="178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</row>
    <row r="728">
      <c r="A728" s="177"/>
      <c r="B728" s="177"/>
      <c r="C728" s="177"/>
      <c r="D728" s="177"/>
      <c r="E728" s="177"/>
      <c r="F728" s="177"/>
      <c r="G728" s="177"/>
      <c r="H728" s="178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</row>
    <row r="729">
      <c r="A729" s="177"/>
      <c r="B729" s="177"/>
      <c r="C729" s="177"/>
      <c r="D729" s="177"/>
      <c r="E729" s="177"/>
      <c r="F729" s="177"/>
      <c r="G729" s="177"/>
      <c r="H729" s="178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</row>
    <row r="730">
      <c r="A730" s="177"/>
      <c r="B730" s="177"/>
      <c r="C730" s="177"/>
      <c r="D730" s="177"/>
      <c r="E730" s="177"/>
      <c r="F730" s="177"/>
      <c r="G730" s="177"/>
      <c r="H730" s="178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</row>
    <row r="731">
      <c r="A731" s="177"/>
      <c r="B731" s="177"/>
      <c r="C731" s="177"/>
      <c r="D731" s="177"/>
      <c r="E731" s="177"/>
      <c r="F731" s="177"/>
      <c r="G731" s="177"/>
      <c r="H731" s="178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</row>
    <row r="732">
      <c r="A732" s="177"/>
      <c r="B732" s="177"/>
      <c r="C732" s="177"/>
      <c r="D732" s="177"/>
      <c r="E732" s="177"/>
      <c r="F732" s="177"/>
      <c r="G732" s="177"/>
      <c r="H732" s="178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</row>
    <row r="733">
      <c r="A733" s="177"/>
      <c r="B733" s="177"/>
      <c r="C733" s="177"/>
      <c r="D733" s="177"/>
      <c r="E733" s="177"/>
      <c r="F733" s="177"/>
      <c r="G733" s="177"/>
      <c r="H733" s="178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</row>
    <row r="734">
      <c r="A734" s="177"/>
      <c r="B734" s="177"/>
      <c r="C734" s="177"/>
      <c r="D734" s="177"/>
      <c r="E734" s="177"/>
      <c r="F734" s="177"/>
      <c r="G734" s="177"/>
      <c r="H734" s="178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</row>
    <row r="735">
      <c r="A735" s="177"/>
      <c r="B735" s="177"/>
      <c r="C735" s="177"/>
      <c r="D735" s="177"/>
      <c r="E735" s="177"/>
      <c r="F735" s="177"/>
      <c r="G735" s="177"/>
      <c r="H735" s="178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</row>
    <row r="736">
      <c r="A736" s="177"/>
      <c r="B736" s="177"/>
      <c r="C736" s="177"/>
      <c r="D736" s="177"/>
      <c r="E736" s="177"/>
      <c r="F736" s="177"/>
      <c r="G736" s="177"/>
      <c r="H736" s="178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</row>
    <row r="737">
      <c r="A737" s="177"/>
      <c r="B737" s="177"/>
      <c r="C737" s="177"/>
      <c r="D737" s="177"/>
      <c r="E737" s="177"/>
      <c r="F737" s="177"/>
      <c r="G737" s="177"/>
      <c r="H737" s="178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</row>
    <row r="738">
      <c r="A738" s="177"/>
      <c r="B738" s="177"/>
      <c r="C738" s="177"/>
      <c r="D738" s="177"/>
      <c r="E738" s="177"/>
      <c r="F738" s="177"/>
      <c r="G738" s="177"/>
      <c r="H738" s="178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</row>
    <row r="739">
      <c r="A739" s="177"/>
      <c r="B739" s="177"/>
      <c r="C739" s="177"/>
      <c r="D739" s="177"/>
      <c r="E739" s="177"/>
      <c r="F739" s="177"/>
      <c r="G739" s="177"/>
      <c r="H739" s="178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</row>
    <row r="740">
      <c r="A740" s="177"/>
      <c r="B740" s="177"/>
      <c r="C740" s="177"/>
      <c r="D740" s="177"/>
      <c r="E740" s="177"/>
      <c r="F740" s="177"/>
      <c r="G740" s="177"/>
      <c r="H740" s="178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</row>
    <row r="741">
      <c r="A741" s="177"/>
      <c r="B741" s="177"/>
      <c r="C741" s="177"/>
      <c r="D741" s="177"/>
      <c r="E741" s="177"/>
      <c r="F741" s="177"/>
      <c r="G741" s="177"/>
      <c r="H741" s="178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</row>
    <row r="742">
      <c r="A742" s="177"/>
      <c r="B742" s="177"/>
      <c r="C742" s="177"/>
      <c r="D742" s="177"/>
      <c r="E742" s="177"/>
      <c r="F742" s="177"/>
      <c r="G742" s="177"/>
      <c r="H742" s="178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</row>
    <row r="743">
      <c r="A743" s="177"/>
      <c r="B743" s="177"/>
      <c r="C743" s="177"/>
      <c r="D743" s="177"/>
      <c r="E743" s="177"/>
      <c r="F743" s="177"/>
      <c r="G743" s="177"/>
      <c r="H743" s="178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</row>
    <row r="744">
      <c r="A744" s="177"/>
      <c r="B744" s="177"/>
      <c r="C744" s="177"/>
      <c r="D744" s="177"/>
      <c r="E744" s="177"/>
      <c r="F744" s="177"/>
      <c r="G744" s="177"/>
      <c r="H744" s="178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</row>
    <row r="745">
      <c r="A745" s="177"/>
      <c r="B745" s="177"/>
      <c r="C745" s="177"/>
      <c r="D745" s="177"/>
      <c r="E745" s="177"/>
      <c r="F745" s="177"/>
      <c r="G745" s="177"/>
      <c r="H745" s="178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</row>
    <row r="746">
      <c r="A746" s="177"/>
      <c r="B746" s="177"/>
      <c r="C746" s="177"/>
      <c r="D746" s="177"/>
      <c r="E746" s="177"/>
      <c r="F746" s="177"/>
      <c r="G746" s="177"/>
      <c r="H746" s="178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</row>
    <row r="747">
      <c r="A747" s="177"/>
      <c r="B747" s="177"/>
      <c r="C747" s="177"/>
      <c r="D747" s="177"/>
      <c r="E747" s="177"/>
      <c r="F747" s="177"/>
      <c r="G747" s="177"/>
      <c r="H747" s="178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</row>
    <row r="748">
      <c r="A748" s="177"/>
      <c r="B748" s="177"/>
      <c r="C748" s="177"/>
      <c r="D748" s="177"/>
      <c r="E748" s="177"/>
      <c r="F748" s="177"/>
      <c r="G748" s="177"/>
      <c r="H748" s="178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</row>
    <row r="749">
      <c r="A749" s="177"/>
      <c r="B749" s="177"/>
      <c r="C749" s="177"/>
      <c r="D749" s="177"/>
      <c r="E749" s="177"/>
      <c r="F749" s="177"/>
      <c r="G749" s="177"/>
      <c r="H749" s="178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</row>
    <row r="750">
      <c r="A750" s="177"/>
      <c r="B750" s="177"/>
      <c r="C750" s="177"/>
      <c r="D750" s="177"/>
      <c r="E750" s="177"/>
      <c r="F750" s="177"/>
      <c r="G750" s="177"/>
      <c r="H750" s="178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</row>
    <row r="751">
      <c r="A751" s="177"/>
      <c r="B751" s="177"/>
      <c r="C751" s="177"/>
      <c r="D751" s="177"/>
      <c r="E751" s="177"/>
      <c r="F751" s="177"/>
      <c r="G751" s="177"/>
      <c r="H751" s="178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</row>
    <row r="752">
      <c r="A752" s="177"/>
      <c r="B752" s="177"/>
      <c r="C752" s="177"/>
      <c r="D752" s="177"/>
      <c r="E752" s="177"/>
      <c r="F752" s="177"/>
      <c r="G752" s="177"/>
      <c r="H752" s="178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</row>
    <row r="753">
      <c r="A753" s="177"/>
      <c r="B753" s="177"/>
      <c r="C753" s="177"/>
      <c r="D753" s="177"/>
      <c r="E753" s="177"/>
      <c r="F753" s="177"/>
      <c r="G753" s="177"/>
      <c r="H753" s="178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</row>
    <row r="754">
      <c r="A754" s="177"/>
      <c r="B754" s="177"/>
      <c r="C754" s="177"/>
      <c r="D754" s="177"/>
      <c r="E754" s="177"/>
      <c r="F754" s="177"/>
      <c r="G754" s="177"/>
      <c r="H754" s="178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</row>
    <row r="755">
      <c r="A755" s="177"/>
      <c r="B755" s="177"/>
      <c r="C755" s="177"/>
      <c r="D755" s="177"/>
      <c r="E755" s="177"/>
      <c r="F755" s="177"/>
      <c r="G755" s="177"/>
      <c r="H755" s="178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</row>
    <row r="756">
      <c r="A756" s="177"/>
      <c r="B756" s="177"/>
      <c r="C756" s="177"/>
      <c r="D756" s="177"/>
      <c r="E756" s="177"/>
      <c r="F756" s="177"/>
      <c r="G756" s="177"/>
      <c r="H756" s="178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</row>
    <row r="757">
      <c r="A757" s="177"/>
      <c r="B757" s="177"/>
      <c r="C757" s="177"/>
      <c r="D757" s="177"/>
      <c r="E757" s="177"/>
      <c r="F757" s="177"/>
      <c r="G757" s="177"/>
      <c r="H757" s="178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</row>
    <row r="758">
      <c r="A758" s="177"/>
      <c r="B758" s="177"/>
      <c r="C758" s="177"/>
      <c r="D758" s="177"/>
      <c r="E758" s="177"/>
      <c r="F758" s="177"/>
      <c r="G758" s="177"/>
      <c r="H758" s="178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</row>
    <row r="759">
      <c r="A759" s="177"/>
      <c r="B759" s="177"/>
      <c r="C759" s="177"/>
      <c r="D759" s="177"/>
      <c r="E759" s="177"/>
      <c r="F759" s="177"/>
      <c r="G759" s="177"/>
      <c r="H759" s="178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</row>
    <row r="760">
      <c r="A760" s="177"/>
      <c r="B760" s="177"/>
      <c r="C760" s="177"/>
      <c r="D760" s="177"/>
      <c r="E760" s="177"/>
      <c r="F760" s="177"/>
      <c r="G760" s="177"/>
      <c r="H760" s="178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</row>
    <row r="761">
      <c r="A761" s="177"/>
      <c r="B761" s="177"/>
      <c r="C761" s="177"/>
      <c r="D761" s="177"/>
      <c r="E761" s="177"/>
      <c r="F761" s="177"/>
      <c r="G761" s="177"/>
      <c r="H761" s="178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</row>
    <row r="762">
      <c r="A762" s="177"/>
      <c r="B762" s="177"/>
      <c r="C762" s="177"/>
      <c r="D762" s="177"/>
      <c r="E762" s="177"/>
      <c r="F762" s="177"/>
      <c r="G762" s="177"/>
      <c r="H762" s="178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</row>
    <row r="763">
      <c r="A763" s="177"/>
      <c r="B763" s="177"/>
      <c r="C763" s="177"/>
      <c r="D763" s="177"/>
      <c r="E763" s="177"/>
      <c r="F763" s="177"/>
      <c r="G763" s="177"/>
      <c r="H763" s="178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</row>
    <row r="764">
      <c r="A764" s="177"/>
      <c r="B764" s="177"/>
      <c r="C764" s="177"/>
      <c r="D764" s="177"/>
      <c r="E764" s="177"/>
      <c r="F764" s="177"/>
      <c r="G764" s="177"/>
      <c r="H764" s="178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</row>
    <row r="765">
      <c r="A765" s="177"/>
      <c r="B765" s="177"/>
      <c r="C765" s="177"/>
      <c r="D765" s="177"/>
      <c r="E765" s="177"/>
      <c r="F765" s="177"/>
      <c r="G765" s="177"/>
      <c r="H765" s="178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</row>
    <row r="766">
      <c r="A766" s="177"/>
      <c r="B766" s="177"/>
      <c r="C766" s="177"/>
      <c r="D766" s="177"/>
      <c r="E766" s="177"/>
      <c r="F766" s="177"/>
      <c r="G766" s="177"/>
      <c r="H766" s="178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</row>
    <row r="767">
      <c r="A767" s="177"/>
      <c r="B767" s="177"/>
      <c r="C767" s="177"/>
      <c r="D767" s="177"/>
      <c r="E767" s="177"/>
      <c r="F767" s="177"/>
      <c r="G767" s="177"/>
      <c r="H767" s="178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</row>
    <row r="768">
      <c r="A768" s="177"/>
      <c r="B768" s="177"/>
      <c r="C768" s="177"/>
      <c r="D768" s="177"/>
      <c r="E768" s="177"/>
      <c r="F768" s="177"/>
      <c r="G768" s="177"/>
      <c r="H768" s="178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</row>
    <row r="769">
      <c r="A769" s="177"/>
      <c r="B769" s="177"/>
      <c r="C769" s="177"/>
      <c r="D769" s="177"/>
      <c r="E769" s="177"/>
      <c r="F769" s="177"/>
      <c r="G769" s="177"/>
      <c r="H769" s="178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</row>
    <row r="770">
      <c r="A770" s="177"/>
      <c r="B770" s="177"/>
      <c r="C770" s="177"/>
      <c r="D770" s="177"/>
      <c r="E770" s="177"/>
      <c r="F770" s="177"/>
      <c r="G770" s="177"/>
      <c r="H770" s="178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</row>
    <row r="771">
      <c r="A771" s="177"/>
      <c r="B771" s="177"/>
      <c r="C771" s="177"/>
      <c r="D771" s="177"/>
      <c r="E771" s="177"/>
      <c r="F771" s="177"/>
      <c r="G771" s="177"/>
      <c r="H771" s="178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</row>
    <row r="772">
      <c r="A772" s="177"/>
      <c r="B772" s="177"/>
      <c r="C772" s="177"/>
      <c r="D772" s="177"/>
      <c r="E772" s="177"/>
      <c r="F772" s="177"/>
      <c r="G772" s="177"/>
      <c r="H772" s="178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</row>
    <row r="773">
      <c r="A773" s="177"/>
      <c r="B773" s="177"/>
      <c r="C773" s="177"/>
      <c r="D773" s="177"/>
      <c r="E773" s="177"/>
      <c r="F773" s="177"/>
      <c r="G773" s="177"/>
      <c r="H773" s="178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</row>
    <row r="774">
      <c r="A774" s="177"/>
      <c r="B774" s="177"/>
      <c r="C774" s="177"/>
      <c r="D774" s="177"/>
      <c r="E774" s="177"/>
      <c r="F774" s="177"/>
      <c r="G774" s="177"/>
      <c r="H774" s="178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</row>
    <row r="775">
      <c r="A775" s="177"/>
      <c r="B775" s="177"/>
      <c r="C775" s="177"/>
      <c r="D775" s="177"/>
      <c r="E775" s="177"/>
      <c r="F775" s="177"/>
      <c r="G775" s="177"/>
      <c r="H775" s="178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</row>
    <row r="776">
      <c r="A776" s="177"/>
      <c r="B776" s="177"/>
      <c r="C776" s="177"/>
      <c r="D776" s="177"/>
      <c r="E776" s="177"/>
      <c r="F776" s="177"/>
      <c r="G776" s="177"/>
      <c r="H776" s="178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</row>
    <row r="777">
      <c r="A777" s="177"/>
      <c r="B777" s="177"/>
      <c r="C777" s="177"/>
      <c r="D777" s="177"/>
      <c r="E777" s="177"/>
      <c r="F777" s="177"/>
      <c r="G777" s="177"/>
      <c r="H777" s="178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</row>
    <row r="778">
      <c r="A778" s="177"/>
      <c r="B778" s="177"/>
      <c r="C778" s="177"/>
      <c r="D778" s="177"/>
      <c r="E778" s="177"/>
      <c r="F778" s="177"/>
      <c r="G778" s="177"/>
      <c r="H778" s="178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</row>
    <row r="779">
      <c r="A779" s="177"/>
      <c r="B779" s="177"/>
      <c r="C779" s="177"/>
      <c r="D779" s="177"/>
      <c r="E779" s="177"/>
      <c r="F779" s="177"/>
      <c r="G779" s="177"/>
      <c r="H779" s="178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</row>
    <row r="780">
      <c r="A780" s="177"/>
      <c r="B780" s="177"/>
      <c r="C780" s="177"/>
      <c r="D780" s="177"/>
      <c r="E780" s="177"/>
      <c r="F780" s="177"/>
      <c r="G780" s="177"/>
      <c r="H780" s="178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</row>
    <row r="781">
      <c r="A781" s="177"/>
      <c r="B781" s="177"/>
      <c r="C781" s="177"/>
      <c r="D781" s="177"/>
      <c r="E781" s="177"/>
      <c r="F781" s="177"/>
      <c r="G781" s="177"/>
      <c r="H781" s="178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</row>
    <row r="782">
      <c r="A782" s="177"/>
      <c r="B782" s="177"/>
      <c r="C782" s="177"/>
      <c r="D782" s="177"/>
      <c r="E782" s="177"/>
      <c r="F782" s="177"/>
      <c r="G782" s="177"/>
      <c r="H782" s="178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</row>
    <row r="783">
      <c r="A783" s="177"/>
      <c r="B783" s="177"/>
      <c r="C783" s="177"/>
      <c r="D783" s="177"/>
      <c r="E783" s="177"/>
      <c r="F783" s="177"/>
      <c r="G783" s="177"/>
      <c r="H783" s="178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</row>
    <row r="784">
      <c r="A784" s="177"/>
      <c r="B784" s="177"/>
      <c r="C784" s="177"/>
      <c r="D784" s="177"/>
      <c r="E784" s="177"/>
      <c r="F784" s="177"/>
      <c r="G784" s="177"/>
      <c r="H784" s="178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</row>
    <row r="785">
      <c r="A785" s="177"/>
      <c r="B785" s="177"/>
      <c r="C785" s="177"/>
      <c r="D785" s="177"/>
      <c r="E785" s="177"/>
      <c r="F785" s="177"/>
      <c r="G785" s="177"/>
      <c r="H785" s="178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</row>
    <row r="786">
      <c r="A786" s="177"/>
      <c r="B786" s="177"/>
      <c r="C786" s="177"/>
      <c r="D786" s="177"/>
      <c r="E786" s="177"/>
      <c r="F786" s="177"/>
      <c r="G786" s="177"/>
      <c r="H786" s="178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</row>
    <row r="787">
      <c r="A787" s="177"/>
      <c r="B787" s="177"/>
      <c r="C787" s="177"/>
      <c r="D787" s="177"/>
      <c r="E787" s="177"/>
      <c r="F787" s="177"/>
      <c r="G787" s="177"/>
      <c r="H787" s="178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</row>
    <row r="788">
      <c r="A788" s="177"/>
      <c r="B788" s="177"/>
      <c r="C788" s="177"/>
      <c r="D788" s="177"/>
      <c r="E788" s="177"/>
      <c r="F788" s="177"/>
      <c r="G788" s="177"/>
      <c r="H788" s="178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</row>
    <row r="789">
      <c r="A789" s="177"/>
      <c r="B789" s="177"/>
      <c r="C789" s="177"/>
      <c r="D789" s="177"/>
      <c r="E789" s="177"/>
      <c r="F789" s="177"/>
      <c r="G789" s="177"/>
      <c r="H789" s="178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</row>
    <row r="790">
      <c r="A790" s="177"/>
      <c r="B790" s="177"/>
      <c r="C790" s="177"/>
      <c r="D790" s="177"/>
      <c r="E790" s="177"/>
      <c r="F790" s="177"/>
      <c r="G790" s="177"/>
      <c r="H790" s="178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</row>
    <row r="791">
      <c r="A791" s="177"/>
      <c r="B791" s="177"/>
      <c r="C791" s="177"/>
      <c r="D791" s="177"/>
      <c r="E791" s="177"/>
      <c r="F791" s="177"/>
      <c r="G791" s="177"/>
      <c r="H791" s="178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</row>
    <row r="792">
      <c r="A792" s="177"/>
      <c r="B792" s="177"/>
      <c r="C792" s="177"/>
      <c r="D792" s="177"/>
      <c r="E792" s="177"/>
      <c r="F792" s="177"/>
      <c r="G792" s="177"/>
      <c r="H792" s="178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</row>
    <row r="793">
      <c r="A793" s="177"/>
      <c r="B793" s="177"/>
      <c r="C793" s="177"/>
      <c r="D793" s="177"/>
      <c r="E793" s="177"/>
      <c r="F793" s="177"/>
      <c r="G793" s="177"/>
      <c r="H793" s="178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</row>
    <row r="794">
      <c r="A794" s="177"/>
      <c r="B794" s="177"/>
      <c r="C794" s="177"/>
      <c r="D794" s="177"/>
      <c r="E794" s="177"/>
      <c r="F794" s="177"/>
      <c r="G794" s="177"/>
      <c r="H794" s="178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</row>
    <row r="795">
      <c r="A795" s="177"/>
      <c r="B795" s="177"/>
      <c r="C795" s="177"/>
      <c r="D795" s="177"/>
      <c r="E795" s="177"/>
      <c r="F795" s="177"/>
      <c r="G795" s="177"/>
      <c r="H795" s="178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</row>
    <row r="796">
      <c r="A796" s="177"/>
      <c r="B796" s="177"/>
      <c r="C796" s="177"/>
      <c r="D796" s="177"/>
      <c r="E796" s="177"/>
      <c r="F796" s="177"/>
      <c r="G796" s="177"/>
      <c r="H796" s="178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</row>
    <row r="797">
      <c r="A797" s="177"/>
      <c r="B797" s="177"/>
      <c r="C797" s="177"/>
      <c r="D797" s="177"/>
      <c r="E797" s="177"/>
      <c r="F797" s="177"/>
      <c r="G797" s="177"/>
      <c r="H797" s="178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</row>
    <row r="798">
      <c r="A798" s="177"/>
      <c r="B798" s="177"/>
      <c r="C798" s="177"/>
      <c r="D798" s="177"/>
      <c r="E798" s="177"/>
      <c r="F798" s="177"/>
      <c r="G798" s="177"/>
      <c r="H798" s="178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</row>
    <row r="799">
      <c r="A799" s="177"/>
      <c r="B799" s="177"/>
      <c r="C799" s="177"/>
      <c r="D799" s="177"/>
      <c r="E799" s="177"/>
      <c r="F799" s="177"/>
      <c r="G799" s="177"/>
      <c r="H799" s="178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</row>
    <row r="800">
      <c r="A800" s="177"/>
      <c r="B800" s="177"/>
      <c r="C800" s="177"/>
      <c r="D800" s="177"/>
      <c r="E800" s="177"/>
      <c r="F800" s="177"/>
      <c r="G800" s="177"/>
      <c r="H800" s="178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</row>
    <row r="801">
      <c r="A801" s="177"/>
      <c r="B801" s="177"/>
      <c r="C801" s="177"/>
      <c r="D801" s="177"/>
      <c r="E801" s="177"/>
      <c r="F801" s="177"/>
      <c r="G801" s="177"/>
      <c r="H801" s="178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</row>
    <row r="802">
      <c r="A802" s="177"/>
      <c r="B802" s="177"/>
      <c r="C802" s="177"/>
      <c r="D802" s="177"/>
      <c r="E802" s="177"/>
      <c r="F802" s="177"/>
      <c r="G802" s="177"/>
      <c r="H802" s="178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</row>
    <row r="803">
      <c r="A803" s="177"/>
      <c r="B803" s="177"/>
      <c r="C803" s="177"/>
      <c r="D803" s="177"/>
      <c r="E803" s="177"/>
      <c r="F803" s="177"/>
      <c r="G803" s="177"/>
      <c r="H803" s="178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</row>
    <row r="804">
      <c r="A804" s="177"/>
      <c r="B804" s="177"/>
      <c r="C804" s="177"/>
      <c r="D804" s="177"/>
      <c r="E804" s="177"/>
      <c r="F804" s="177"/>
      <c r="G804" s="177"/>
      <c r="H804" s="178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</row>
    <row r="805">
      <c r="A805" s="177"/>
      <c r="B805" s="177"/>
      <c r="C805" s="177"/>
      <c r="D805" s="177"/>
      <c r="E805" s="177"/>
      <c r="F805" s="177"/>
      <c r="G805" s="177"/>
      <c r="H805" s="178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</row>
    <row r="806">
      <c r="A806" s="177"/>
      <c r="B806" s="177"/>
      <c r="C806" s="177"/>
      <c r="D806" s="177"/>
      <c r="E806" s="177"/>
      <c r="F806" s="177"/>
      <c r="G806" s="177"/>
      <c r="H806" s="178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</row>
    <row r="807">
      <c r="A807" s="177"/>
      <c r="B807" s="177"/>
      <c r="C807" s="177"/>
      <c r="D807" s="177"/>
      <c r="E807" s="177"/>
      <c r="F807" s="177"/>
      <c r="G807" s="177"/>
      <c r="H807" s="178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</row>
    <row r="808">
      <c r="A808" s="177"/>
      <c r="B808" s="177"/>
      <c r="C808" s="177"/>
      <c r="D808" s="177"/>
      <c r="E808" s="177"/>
      <c r="F808" s="177"/>
      <c r="G808" s="177"/>
      <c r="H808" s="178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</row>
    <row r="809">
      <c r="A809" s="177"/>
      <c r="B809" s="177"/>
      <c r="C809" s="177"/>
      <c r="D809" s="177"/>
      <c r="E809" s="177"/>
      <c r="F809" s="177"/>
      <c r="G809" s="177"/>
      <c r="H809" s="178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</row>
    <row r="810">
      <c r="A810" s="177"/>
      <c r="B810" s="177"/>
      <c r="C810" s="177"/>
      <c r="D810" s="177"/>
      <c r="E810" s="177"/>
      <c r="F810" s="177"/>
      <c r="G810" s="177"/>
      <c r="H810" s="178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</row>
    <row r="811">
      <c r="A811" s="177"/>
      <c r="B811" s="177"/>
      <c r="C811" s="177"/>
      <c r="D811" s="177"/>
      <c r="E811" s="177"/>
      <c r="F811" s="177"/>
      <c r="G811" s="177"/>
      <c r="H811" s="178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</row>
    <row r="812">
      <c r="A812" s="177"/>
      <c r="B812" s="177"/>
      <c r="C812" s="177"/>
      <c r="D812" s="177"/>
      <c r="E812" s="177"/>
      <c r="F812" s="177"/>
      <c r="G812" s="177"/>
      <c r="H812" s="178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</row>
    <row r="813">
      <c r="A813" s="177"/>
      <c r="B813" s="177"/>
      <c r="C813" s="177"/>
      <c r="D813" s="177"/>
      <c r="E813" s="177"/>
      <c r="F813" s="177"/>
      <c r="G813" s="177"/>
      <c r="H813" s="178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</row>
    <row r="814">
      <c r="A814" s="177"/>
      <c r="B814" s="177"/>
      <c r="C814" s="177"/>
      <c r="D814" s="177"/>
      <c r="E814" s="177"/>
      <c r="F814" s="177"/>
      <c r="G814" s="177"/>
      <c r="H814" s="178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</row>
    <row r="815">
      <c r="A815" s="177"/>
      <c r="B815" s="177"/>
      <c r="C815" s="177"/>
      <c r="D815" s="177"/>
      <c r="E815" s="177"/>
      <c r="F815" s="177"/>
      <c r="G815" s="177"/>
      <c r="H815" s="178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</row>
    <row r="816">
      <c r="A816" s="177"/>
      <c r="B816" s="177"/>
      <c r="C816" s="177"/>
      <c r="D816" s="177"/>
      <c r="E816" s="177"/>
      <c r="F816" s="177"/>
      <c r="G816" s="177"/>
      <c r="H816" s="178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</row>
    <row r="817">
      <c r="A817" s="177"/>
      <c r="B817" s="177"/>
      <c r="C817" s="177"/>
      <c r="D817" s="177"/>
      <c r="E817" s="177"/>
      <c r="F817" s="177"/>
      <c r="G817" s="177"/>
      <c r="H817" s="178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</row>
    <row r="818">
      <c r="A818" s="177"/>
      <c r="B818" s="177"/>
      <c r="C818" s="177"/>
      <c r="D818" s="177"/>
      <c r="E818" s="177"/>
      <c r="F818" s="177"/>
      <c r="G818" s="177"/>
      <c r="H818" s="178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</row>
    <row r="819">
      <c r="A819" s="177"/>
      <c r="B819" s="177"/>
      <c r="C819" s="177"/>
      <c r="D819" s="177"/>
      <c r="E819" s="177"/>
      <c r="F819" s="177"/>
      <c r="G819" s="177"/>
      <c r="H819" s="178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</row>
    <row r="820">
      <c r="A820" s="177"/>
      <c r="B820" s="177"/>
      <c r="C820" s="177"/>
      <c r="D820" s="177"/>
      <c r="E820" s="177"/>
      <c r="F820" s="177"/>
      <c r="G820" s="177"/>
      <c r="H820" s="178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</row>
    <row r="821">
      <c r="A821" s="177"/>
      <c r="B821" s="177"/>
      <c r="C821" s="177"/>
      <c r="D821" s="177"/>
      <c r="E821" s="177"/>
      <c r="F821" s="177"/>
      <c r="G821" s="177"/>
      <c r="H821" s="178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</row>
    <row r="822">
      <c r="A822" s="177"/>
      <c r="B822" s="177"/>
      <c r="C822" s="177"/>
      <c r="D822" s="177"/>
      <c r="E822" s="177"/>
      <c r="F822" s="177"/>
      <c r="G822" s="177"/>
      <c r="H822" s="178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</row>
    <row r="823">
      <c r="A823" s="177"/>
      <c r="B823" s="177"/>
      <c r="C823" s="177"/>
      <c r="D823" s="177"/>
      <c r="E823" s="177"/>
      <c r="F823" s="177"/>
      <c r="G823" s="177"/>
      <c r="H823" s="178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</row>
    <row r="824">
      <c r="A824" s="177"/>
      <c r="B824" s="177"/>
      <c r="C824" s="177"/>
      <c r="D824" s="177"/>
      <c r="E824" s="177"/>
      <c r="F824" s="177"/>
      <c r="G824" s="177"/>
      <c r="H824" s="178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</row>
    <row r="825">
      <c r="A825" s="177"/>
      <c r="B825" s="177"/>
      <c r="C825" s="177"/>
      <c r="D825" s="177"/>
      <c r="E825" s="177"/>
      <c r="F825" s="177"/>
      <c r="G825" s="177"/>
      <c r="H825" s="178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</row>
    <row r="826">
      <c r="A826" s="177"/>
      <c r="B826" s="177"/>
      <c r="C826" s="177"/>
      <c r="D826" s="177"/>
      <c r="E826" s="177"/>
      <c r="F826" s="177"/>
      <c r="G826" s="177"/>
      <c r="H826" s="178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</row>
    <row r="827">
      <c r="A827" s="177"/>
      <c r="B827" s="177"/>
      <c r="C827" s="177"/>
      <c r="D827" s="177"/>
      <c r="E827" s="177"/>
      <c r="F827" s="177"/>
      <c r="G827" s="177"/>
      <c r="H827" s="178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</row>
    <row r="828">
      <c r="A828" s="177"/>
      <c r="B828" s="177"/>
      <c r="C828" s="177"/>
      <c r="D828" s="177"/>
      <c r="E828" s="177"/>
      <c r="F828" s="177"/>
      <c r="G828" s="177"/>
      <c r="H828" s="178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</row>
    <row r="829">
      <c r="A829" s="177"/>
      <c r="B829" s="177"/>
      <c r="C829" s="177"/>
      <c r="D829" s="177"/>
      <c r="E829" s="177"/>
      <c r="F829" s="177"/>
      <c r="G829" s="177"/>
      <c r="H829" s="178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</row>
    <row r="830">
      <c r="A830" s="177"/>
      <c r="B830" s="177"/>
      <c r="C830" s="177"/>
      <c r="D830" s="177"/>
      <c r="E830" s="177"/>
      <c r="F830" s="177"/>
      <c r="G830" s="177"/>
      <c r="H830" s="178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</row>
    <row r="831">
      <c r="A831" s="177"/>
      <c r="B831" s="177"/>
      <c r="C831" s="177"/>
      <c r="D831" s="177"/>
      <c r="E831" s="177"/>
      <c r="F831" s="177"/>
      <c r="G831" s="177"/>
      <c r="H831" s="178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</row>
    <row r="832">
      <c r="A832" s="177"/>
      <c r="B832" s="177"/>
      <c r="C832" s="177"/>
      <c r="D832" s="177"/>
      <c r="E832" s="177"/>
      <c r="F832" s="177"/>
      <c r="G832" s="177"/>
      <c r="H832" s="178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</row>
    <row r="833">
      <c r="A833" s="177"/>
      <c r="B833" s="177"/>
      <c r="C833" s="177"/>
      <c r="D833" s="177"/>
      <c r="E833" s="177"/>
      <c r="F833" s="177"/>
      <c r="G833" s="177"/>
      <c r="H833" s="178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</row>
    <row r="834">
      <c r="A834" s="177"/>
      <c r="B834" s="177"/>
      <c r="C834" s="177"/>
      <c r="D834" s="177"/>
      <c r="E834" s="177"/>
      <c r="F834" s="177"/>
      <c r="G834" s="177"/>
      <c r="H834" s="178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</row>
    <row r="835">
      <c r="A835" s="177"/>
      <c r="B835" s="177"/>
      <c r="C835" s="177"/>
      <c r="D835" s="177"/>
      <c r="E835" s="177"/>
      <c r="F835" s="177"/>
      <c r="G835" s="177"/>
      <c r="H835" s="178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</row>
    <row r="836">
      <c r="A836" s="177"/>
      <c r="B836" s="177"/>
      <c r="C836" s="177"/>
      <c r="D836" s="177"/>
      <c r="E836" s="177"/>
      <c r="F836" s="177"/>
      <c r="G836" s="177"/>
      <c r="H836" s="178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</row>
    <row r="837">
      <c r="A837" s="177"/>
      <c r="B837" s="177"/>
      <c r="C837" s="177"/>
      <c r="D837" s="177"/>
      <c r="E837" s="177"/>
      <c r="F837" s="177"/>
      <c r="G837" s="177"/>
      <c r="H837" s="178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</row>
    <row r="838">
      <c r="A838" s="177"/>
      <c r="B838" s="177"/>
      <c r="C838" s="177"/>
      <c r="D838" s="177"/>
      <c r="E838" s="177"/>
      <c r="F838" s="177"/>
      <c r="G838" s="177"/>
      <c r="H838" s="178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</row>
    <row r="839">
      <c r="A839" s="177"/>
      <c r="B839" s="177"/>
      <c r="C839" s="177"/>
      <c r="D839" s="177"/>
      <c r="E839" s="177"/>
      <c r="F839" s="177"/>
      <c r="G839" s="177"/>
      <c r="H839" s="178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</row>
    <row r="840">
      <c r="A840" s="177"/>
      <c r="B840" s="177"/>
      <c r="C840" s="177"/>
      <c r="D840" s="177"/>
      <c r="E840" s="177"/>
      <c r="F840" s="177"/>
      <c r="G840" s="177"/>
      <c r="H840" s="178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</row>
    <row r="841">
      <c r="A841" s="177"/>
      <c r="B841" s="177"/>
      <c r="C841" s="177"/>
      <c r="D841" s="177"/>
      <c r="E841" s="177"/>
      <c r="F841" s="177"/>
      <c r="G841" s="177"/>
      <c r="H841" s="178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</row>
    <row r="842">
      <c r="A842" s="177"/>
      <c r="B842" s="177"/>
      <c r="C842" s="177"/>
      <c r="D842" s="177"/>
      <c r="E842" s="177"/>
      <c r="F842" s="177"/>
      <c r="G842" s="177"/>
      <c r="H842" s="178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</row>
    <row r="843">
      <c r="A843" s="177"/>
      <c r="B843" s="177"/>
      <c r="C843" s="177"/>
      <c r="D843" s="177"/>
      <c r="E843" s="177"/>
      <c r="F843" s="177"/>
      <c r="G843" s="177"/>
      <c r="H843" s="178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</row>
    <row r="844">
      <c r="A844" s="177"/>
      <c r="B844" s="177"/>
      <c r="C844" s="177"/>
      <c r="D844" s="177"/>
      <c r="E844" s="177"/>
      <c r="F844" s="177"/>
      <c r="G844" s="177"/>
      <c r="H844" s="178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</row>
    <row r="845">
      <c r="A845" s="177"/>
      <c r="B845" s="177"/>
      <c r="C845" s="177"/>
      <c r="D845" s="177"/>
      <c r="E845" s="177"/>
      <c r="F845" s="177"/>
      <c r="G845" s="177"/>
      <c r="H845" s="178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</row>
    <row r="846">
      <c r="A846" s="177"/>
      <c r="B846" s="177"/>
      <c r="C846" s="177"/>
      <c r="D846" s="177"/>
      <c r="E846" s="177"/>
      <c r="F846" s="177"/>
      <c r="G846" s="177"/>
      <c r="H846" s="178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</row>
    <row r="847">
      <c r="A847" s="177"/>
      <c r="B847" s="177"/>
      <c r="C847" s="177"/>
      <c r="D847" s="177"/>
      <c r="E847" s="177"/>
      <c r="F847" s="177"/>
      <c r="G847" s="177"/>
      <c r="H847" s="178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</row>
    <row r="848">
      <c r="A848" s="177"/>
      <c r="B848" s="177"/>
      <c r="C848" s="177"/>
      <c r="D848" s="177"/>
      <c r="E848" s="177"/>
      <c r="F848" s="177"/>
      <c r="G848" s="177"/>
      <c r="H848" s="178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</row>
    <row r="849">
      <c r="A849" s="177"/>
      <c r="B849" s="177"/>
      <c r="C849" s="177"/>
      <c r="D849" s="177"/>
      <c r="E849" s="177"/>
      <c r="F849" s="177"/>
      <c r="G849" s="177"/>
      <c r="H849" s="178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</row>
    <row r="850">
      <c r="A850" s="177"/>
      <c r="B850" s="177"/>
      <c r="C850" s="177"/>
      <c r="D850" s="177"/>
      <c r="E850" s="177"/>
      <c r="F850" s="177"/>
      <c r="G850" s="177"/>
      <c r="H850" s="178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</row>
    <row r="851">
      <c r="A851" s="177"/>
      <c r="B851" s="177"/>
      <c r="C851" s="177"/>
      <c r="D851" s="177"/>
      <c r="E851" s="177"/>
      <c r="F851" s="177"/>
      <c r="G851" s="177"/>
      <c r="H851" s="178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</row>
    <row r="852">
      <c r="A852" s="177"/>
      <c r="B852" s="177"/>
      <c r="C852" s="177"/>
      <c r="D852" s="177"/>
      <c r="E852" s="177"/>
      <c r="F852" s="177"/>
      <c r="G852" s="177"/>
      <c r="H852" s="178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</row>
    <row r="853">
      <c r="A853" s="177"/>
      <c r="B853" s="177"/>
      <c r="C853" s="177"/>
      <c r="D853" s="177"/>
      <c r="E853" s="177"/>
      <c r="F853" s="177"/>
      <c r="G853" s="177"/>
      <c r="H853" s="178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</row>
    <row r="854">
      <c r="A854" s="177"/>
      <c r="B854" s="177"/>
      <c r="C854" s="177"/>
      <c r="D854" s="177"/>
      <c r="E854" s="177"/>
      <c r="F854" s="177"/>
      <c r="G854" s="177"/>
      <c r="H854" s="178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</row>
    <row r="855">
      <c r="A855" s="177"/>
      <c r="B855" s="177"/>
      <c r="C855" s="177"/>
      <c r="D855" s="177"/>
      <c r="E855" s="177"/>
      <c r="F855" s="177"/>
      <c r="G855" s="177"/>
      <c r="H855" s="178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</row>
    <row r="856">
      <c r="A856" s="177"/>
      <c r="B856" s="177"/>
      <c r="C856" s="177"/>
      <c r="D856" s="177"/>
      <c r="E856" s="177"/>
      <c r="F856" s="177"/>
      <c r="G856" s="177"/>
      <c r="H856" s="178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</row>
    <row r="857">
      <c r="A857" s="177"/>
      <c r="B857" s="177"/>
      <c r="C857" s="177"/>
      <c r="D857" s="177"/>
      <c r="E857" s="177"/>
      <c r="F857" s="177"/>
      <c r="G857" s="177"/>
      <c r="H857" s="178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</row>
    <row r="858">
      <c r="A858" s="177"/>
      <c r="B858" s="177"/>
      <c r="C858" s="177"/>
      <c r="D858" s="177"/>
      <c r="E858" s="177"/>
      <c r="F858" s="177"/>
      <c r="G858" s="177"/>
      <c r="H858" s="178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</row>
    <row r="859">
      <c r="A859" s="177"/>
      <c r="B859" s="177"/>
      <c r="C859" s="177"/>
      <c r="D859" s="177"/>
      <c r="E859" s="177"/>
      <c r="F859" s="177"/>
      <c r="G859" s="177"/>
      <c r="H859" s="178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</row>
    <row r="860">
      <c r="A860" s="177"/>
      <c r="B860" s="177"/>
      <c r="C860" s="177"/>
      <c r="D860" s="177"/>
      <c r="E860" s="177"/>
      <c r="F860" s="177"/>
      <c r="G860" s="177"/>
      <c r="H860" s="178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</row>
    <row r="861">
      <c r="A861" s="177"/>
      <c r="B861" s="177"/>
      <c r="C861" s="177"/>
      <c r="D861" s="177"/>
      <c r="E861" s="177"/>
      <c r="F861" s="177"/>
      <c r="G861" s="177"/>
      <c r="H861" s="178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</row>
    <row r="862">
      <c r="A862" s="177"/>
      <c r="B862" s="177"/>
      <c r="C862" s="177"/>
      <c r="D862" s="177"/>
      <c r="E862" s="177"/>
      <c r="F862" s="177"/>
      <c r="G862" s="177"/>
      <c r="H862" s="178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</row>
    <row r="863">
      <c r="A863" s="177"/>
      <c r="B863" s="177"/>
      <c r="C863" s="177"/>
      <c r="D863" s="177"/>
      <c r="E863" s="177"/>
      <c r="F863" s="177"/>
      <c r="G863" s="177"/>
      <c r="H863" s="178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</row>
    <row r="864">
      <c r="A864" s="177"/>
      <c r="B864" s="177"/>
      <c r="C864" s="177"/>
      <c r="D864" s="177"/>
      <c r="E864" s="177"/>
      <c r="F864" s="177"/>
      <c r="G864" s="177"/>
      <c r="H864" s="178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</row>
    <row r="865">
      <c r="A865" s="177"/>
      <c r="B865" s="177"/>
      <c r="C865" s="177"/>
      <c r="D865" s="177"/>
      <c r="E865" s="177"/>
      <c r="F865" s="177"/>
      <c r="G865" s="177"/>
      <c r="H865" s="178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</row>
    <row r="866">
      <c r="A866" s="177"/>
      <c r="B866" s="177"/>
      <c r="C866" s="177"/>
      <c r="D866" s="177"/>
      <c r="E866" s="177"/>
      <c r="F866" s="177"/>
      <c r="G866" s="177"/>
      <c r="H866" s="178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</row>
    <row r="867">
      <c r="A867" s="177"/>
      <c r="B867" s="177"/>
      <c r="C867" s="177"/>
      <c r="D867" s="177"/>
      <c r="E867" s="177"/>
      <c r="F867" s="177"/>
      <c r="G867" s="177"/>
      <c r="H867" s="178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</row>
    <row r="868">
      <c r="A868" s="177"/>
      <c r="B868" s="177"/>
      <c r="C868" s="177"/>
      <c r="D868" s="177"/>
      <c r="E868" s="177"/>
      <c r="F868" s="177"/>
      <c r="G868" s="177"/>
      <c r="H868" s="178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</row>
    <row r="869">
      <c r="A869" s="177"/>
      <c r="B869" s="177"/>
      <c r="C869" s="177"/>
      <c r="D869" s="177"/>
      <c r="E869" s="177"/>
      <c r="F869" s="177"/>
      <c r="G869" s="177"/>
      <c r="H869" s="178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</row>
    <row r="870">
      <c r="A870" s="177"/>
      <c r="B870" s="177"/>
      <c r="C870" s="177"/>
      <c r="D870" s="177"/>
      <c r="E870" s="177"/>
      <c r="F870" s="177"/>
      <c r="G870" s="177"/>
      <c r="H870" s="178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</row>
    <row r="871">
      <c r="A871" s="177"/>
      <c r="B871" s="177"/>
      <c r="C871" s="177"/>
      <c r="D871" s="177"/>
      <c r="E871" s="177"/>
      <c r="F871" s="177"/>
      <c r="G871" s="177"/>
      <c r="H871" s="178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</row>
    <row r="872">
      <c r="A872" s="177"/>
      <c r="B872" s="177"/>
      <c r="C872" s="177"/>
      <c r="D872" s="177"/>
      <c r="E872" s="177"/>
      <c r="F872" s="177"/>
      <c r="G872" s="177"/>
      <c r="H872" s="178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</row>
    <row r="873">
      <c r="A873" s="177"/>
      <c r="B873" s="177"/>
      <c r="C873" s="177"/>
      <c r="D873" s="177"/>
      <c r="E873" s="177"/>
      <c r="F873" s="177"/>
      <c r="G873" s="177"/>
      <c r="H873" s="178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</row>
    <row r="874">
      <c r="A874" s="177"/>
      <c r="B874" s="177"/>
      <c r="C874" s="177"/>
      <c r="D874" s="177"/>
      <c r="E874" s="177"/>
      <c r="F874" s="177"/>
      <c r="G874" s="177"/>
      <c r="H874" s="178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</row>
    <row r="875">
      <c r="A875" s="177"/>
      <c r="B875" s="177"/>
      <c r="C875" s="177"/>
      <c r="D875" s="177"/>
      <c r="E875" s="177"/>
      <c r="F875" s="177"/>
      <c r="G875" s="177"/>
      <c r="H875" s="178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</row>
    <row r="876">
      <c r="A876" s="177"/>
      <c r="B876" s="177"/>
      <c r="C876" s="177"/>
      <c r="D876" s="177"/>
      <c r="E876" s="177"/>
      <c r="F876" s="177"/>
      <c r="G876" s="177"/>
      <c r="H876" s="178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</row>
    <row r="877">
      <c r="A877" s="177"/>
      <c r="B877" s="177"/>
      <c r="C877" s="177"/>
      <c r="D877" s="177"/>
      <c r="E877" s="177"/>
      <c r="F877" s="177"/>
      <c r="G877" s="177"/>
      <c r="H877" s="178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</row>
    <row r="878">
      <c r="A878" s="177"/>
      <c r="B878" s="177"/>
      <c r="C878" s="177"/>
      <c r="D878" s="177"/>
      <c r="E878" s="177"/>
      <c r="F878" s="177"/>
      <c r="G878" s="177"/>
      <c r="H878" s="178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</row>
    <row r="879">
      <c r="A879" s="177"/>
      <c r="B879" s="177"/>
      <c r="C879" s="177"/>
      <c r="D879" s="177"/>
      <c r="E879" s="177"/>
      <c r="F879" s="177"/>
      <c r="G879" s="177"/>
      <c r="H879" s="178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</row>
    <row r="880">
      <c r="A880" s="177"/>
      <c r="B880" s="177"/>
      <c r="C880" s="177"/>
      <c r="D880" s="177"/>
      <c r="E880" s="177"/>
      <c r="F880" s="177"/>
      <c r="G880" s="177"/>
      <c r="H880" s="178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</row>
    <row r="881">
      <c r="A881" s="177"/>
      <c r="B881" s="177"/>
      <c r="C881" s="177"/>
      <c r="D881" s="177"/>
      <c r="E881" s="177"/>
      <c r="F881" s="177"/>
      <c r="G881" s="177"/>
      <c r="H881" s="178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</row>
    <row r="882">
      <c r="A882" s="177"/>
      <c r="B882" s="177"/>
      <c r="C882" s="177"/>
      <c r="D882" s="177"/>
      <c r="E882" s="177"/>
      <c r="F882" s="177"/>
      <c r="G882" s="177"/>
      <c r="H882" s="178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</row>
    <row r="883">
      <c r="A883" s="177"/>
      <c r="B883" s="177"/>
      <c r="C883" s="177"/>
      <c r="D883" s="177"/>
      <c r="E883" s="177"/>
      <c r="F883" s="177"/>
      <c r="G883" s="177"/>
      <c r="H883" s="178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</row>
    <row r="884">
      <c r="A884" s="177"/>
      <c r="B884" s="177"/>
      <c r="C884" s="177"/>
      <c r="D884" s="177"/>
      <c r="E884" s="177"/>
      <c r="F884" s="177"/>
      <c r="G884" s="177"/>
      <c r="H884" s="178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</row>
    <row r="885">
      <c r="A885" s="177"/>
      <c r="B885" s="177"/>
      <c r="C885" s="177"/>
      <c r="D885" s="177"/>
      <c r="E885" s="177"/>
      <c r="F885" s="177"/>
      <c r="G885" s="177"/>
      <c r="H885" s="178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</row>
    <row r="886">
      <c r="A886" s="177"/>
      <c r="B886" s="177"/>
      <c r="C886" s="177"/>
      <c r="D886" s="177"/>
      <c r="E886" s="177"/>
      <c r="F886" s="177"/>
      <c r="G886" s="177"/>
      <c r="H886" s="178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</row>
    <row r="887">
      <c r="A887" s="177"/>
      <c r="B887" s="177"/>
      <c r="C887" s="177"/>
      <c r="D887" s="177"/>
      <c r="E887" s="177"/>
      <c r="F887" s="177"/>
      <c r="G887" s="177"/>
      <c r="H887" s="178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</row>
    <row r="888">
      <c r="A888" s="177"/>
      <c r="B888" s="177"/>
      <c r="C888" s="177"/>
      <c r="D888" s="177"/>
      <c r="E888" s="177"/>
      <c r="F888" s="177"/>
      <c r="G888" s="177"/>
      <c r="H888" s="178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</row>
    <row r="889">
      <c r="A889" s="177"/>
      <c r="B889" s="177"/>
      <c r="C889" s="177"/>
      <c r="D889" s="177"/>
      <c r="E889" s="177"/>
      <c r="F889" s="177"/>
      <c r="G889" s="177"/>
      <c r="H889" s="178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</row>
    <row r="890">
      <c r="A890" s="177"/>
      <c r="B890" s="177"/>
      <c r="C890" s="177"/>
      <c r="D890" s="177"/>
      <c r="E890" s="177"/>
      <c r="F890" s="177"/>
      <c r="G890" s="177"/>
      <c r="H890" s="178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</row>
    <row r="891">
      <c r="A891" s="177"/>
      <c r="B891" s="177"/>
      <c r="C891" s="177"/>
      <c r="D891" s="177"/>
      <c r="E891" s="177"/>
      <c r="F891" s="177"/>
      <c r="G891" s="177"/>
      <c r="H891" s="178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</row>
    <row r="892">
      <c r="A892" s="177"/>
      <c r="B892" s="177"/>
      <c r="C892" s="177"/>
      <c r="D892" s="177"/>
      <c r="E892" s="177"/>
      <c r="F892" s="177"/>
      <c r="G892" s="177"/>
      <c r="H892" s="178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</row>
    <row r="893">
      <c r="A893" s="177"/>
      <c r="B893" s="177"/>
      <c r="C893" s="177"/>
      <c r="D893" s="177"/>
      <c r="E893" s="177"/>
      <c r="F893" s="177"/>
      <c r="G893" s="177"/>
      <c r="H893" s="178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</row>
    <row r="894">
      <c r="A894" s="177"/>
      <c r="B894" s="177"/>
      <c r="C894" s="177"/>
      <c r="D894" s="177"/>
      <c r="E894" s="177"/>
      <c r="F894" s="177"/>
      <c r="G894" s="177"/>
      <c r="H894" s="178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</row>
    <row r="895">
      <c r="A895" s="177"/>
      <c r="B895" s="177"/>
      <c r="C895" s="177"/>
      <c r="D895" s="177"/>
      <c r="E895" s="177"/>
      <c r="F895" s="177"/>
      <c r="G895" s="177"/>
      <c r="H895" s="178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</row>
    <row r="896">
      <c r="A896" s="177"/>
      <c r="B896" s="177"/>
      <c r="C896" s="177"/>
      <c r="D896" s="177"/>
      <c r="E896" s="177"/>
      <c r="F896" s="177"/>
      <c r="G896" s="177"/>
      <c r="H896" s="178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</row>
    <row r="897">
      <c r="A897" s="177"/>
      <c r="B897" s="177"/>
      <c r="C897" s="177"/>
      <c r="D897" s="177"/>
      <c r="E897" s="177"/>
      <c r="F897" s="177"/>
      <c r="G897" s="177"/>
      <c r="H897" s="178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</row>
    <row r="898">
      <c r="A898" s="177"/>
      <c r="B898" s="177"/>
      <c r="C898" s="177"/>
      <c r="D898" s="177"/>
      <c r="E898" s="177"/>
      <c r="F898" s="177"/>
      <c r="G898" s="177"/>
      <c r="H898" s="178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</row>
    <row r="899">
      <c r="A899" s="177"/>
      <c r="B899" s="177"/>
      <c r="C899" s="177"/>
      <c r="D899" s="177"/>
      <c r="E899" s="177"/>
      <c r="F899" s="177"/>
      <c r="G899" s="177"/>
      <c r="H899" s="178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</row>
    <row r="900">
      <c r="A900" s="177"/>
      <c r="B900" s="177"/>
      <c r="C900" s="177"/>
      <c r="D900" s="177"/>
      <c r="E900" s="177"/>
      <c r="F900" s="177"/>
      <c r="G900" s="177"/>
      <c r="H900" s="178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</row>
    <row r="901">
      <c r="A901" s="177"/>
      <c r="B901" s="177"/>
      <c r="C901" s="177"/>
      <c r="D901" s="177"/>
      <c r="E901" s="177"/>
      <c r="F901" s="177"/>
      <c r="G901" s="177"/>
      <c r="H901" s="178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</row>
    <row r="902">
      <c r="A902" s="177"/>
      <c r="B902" s="177"/>
      <c r="C902" s="177"/>
      <c r="D902" s="177"/>
      <c r="E902" s="177"/>
      <c r="F902" s="177"/>
      <c r="G902" s="177"/>
      <c r="H902" s="178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</row>
    <row r="903">
      <c r="A903" s="177"/>
      <c r="B903" s="177"/>
      <c r="C903" s="177"/>
      <c r="D903" s="177"/>
      <c r="E903" s="177"/>
      <c r="F903" s="177"/>
      <c r="G903" s="177"/>
      <c r="H903" s="178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</row>
    <row r="904">
      <c r="A904" s="177"/>
      <c r="B904" s="177"/>
      <c r="C904" s="177"/>
      <c r="D904" s="177"/>
      <c r="E904" s="177"/>
      <c r="F904" s="177"/>
      <c r="G904" s="177"/>
      <c r="H904" s="178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</row>
    <row r="905">
      <c r="A905" s="177"/>
      <c r="B905" s="177"/>
      <c r="C905" s="177"/>
      <c r="D905" s="177"/>
      <c r="E905" s="177"/>
      <c r="F905" s="177"/>
      <c r="G905" s="177"/>
      <c r="H905" s="178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</row>
    <row r="906">
      <c r="A906" s="177"/>
      <c r="B906" s="177"/>
      <c r="C906" s="177"/>
      <c r="D906" s="177"/>
      <c r="E906" s="177"/>
      <c r="F906" s="177"/>
      <c r="G906" s="177"/>
      <c r="H906" s="178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</row>
    <row r="907">
      <c r="A907" s="177"/>
      <c r="B907" s="177"/>
      <c r="C907" s="177"/>
      <c r="D907" s="177"/>
      <c r="E907" s="177"/>
      <c r="F907" s="177"/>
      <c r="G907" s="177"/>
      <c r="H907" s="178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</row>
    <row r="908">
      <c r="A908" s="177"/>
      <c r="B908" s="177"/>
      <c r="C908" s="177"/>
      <c r="D908" s="177"/>
      <c r="E908" s="177"/>
      <c r="F908" s="177"/>
      <c r="G908" s="177"/>
      <c r="H908" s="178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</row>
    <row r="909">
      <c r="A909" s="177"/>
      <c r="B909" s="177"/>
      <c r="C909" s="177"/>
      <c r="D909" s="177"/>
      <c r="E909" s="177"/>
      <c r="F909" s="177"/>
      <c r="G909" s="177"/>
      <c r="H909" s="178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</row>
    <row r="910">
      <c r="A910" s="177"/>
      <c r="B910" s="177"/>
      <c r="C910" s="177"/>
      <c r="D910" s="177"/>
      <c r="E910" s="177"/>
      <c r="F910" s="177"/>
      <c r="G910" s="177"/>
      <c r="H910" s="178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</row>
    <row r="911">
      <c r="A911" s="177"/>
      <c r="B911" s="177"/>
      <c r="C911" s="177"/>
      <c r="D911" s="177"/>
      <c r="E911" s="177"/>
      <c r="F911" s="177"/>
      <c r="G911" s="177"/>
      <c r="H911" s="178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</row>
    <row r="912">
      <c r="A912" s="177"/>
      <c r="B912" s="177"/>
      <c r="C912" s="177"/>
      <c r="D912" s="177"/>
      <c r="E912" s="177"/>
      <c r="F912" s="177"/>
      <c r="G912" s="177"/>
      <c r="H912" s="178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</row>
    <row r="913">
      <c r="A913" s="177"/>
      <c r="B913" s="177"/>
      <c r="C913" s="177"/>
      <c r="D913" s="177"/>
      <c r="E913" s="177"/>
      <c r="F913" s="177"/>
      <c r="G913" s="177"/>
      <c r="H913" s="178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</row>
    <row r="914">
      <c r="A914" s="177"/>
      <c r="B914" s="177"/>
      <c r="C914" s="177"/>
      <c r="D914" s="177"/>
      <c r="E914" s="177"/>
      <c r="F914" s="177"/>
      <c r="G914" s="177"/>
      <c r="H914" s="178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</row>
    <row r="915">
      <c r="A915" s="177"/>
      <c r="B915" s="177"/>
      <c r="C915" s="177"/>
      <c r="D915" s="177"/>
      <c r="E915" s="177"/>
      <c r="F915" s="177"/>
      <c r="G915" s="177"/>
      <c r="H915" s="178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</row>
    <row r="916">
      <c r="A916" s="177"/>
      <c r="B916" s="177"/>
      <c r="C916" s="177"/>
      <c r="D916" s="177"/>
      <c r="E916" s="177"/>
      <c r="F916" s="177"/>
      <c r="G916" s="177"/>
      <c r="H916" s="178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</row>
    <row r="917">
      <c r="A917" s="177"/>
      <c r="B917" s="177"/>
      <c r="C917" s="177"/>
      <c r="D917" s="177"/>
      <c r="E917" s="177"/>
      <c r="F917" s="177"/>
      <c r="G917" s="177"/>
      <c r="H917" s="178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</row>
    <row r="918">
      <c r="A918" s="177"/>
      <c r="B918" s="177"/>
      <c r="C918" s="177"/>
      <c r="D918" s="177"/>
      <c r="E918" s="177"/>
      <c r="F918" s="177"/>
      <c r="G918" s="177"/>
      <c r="H918" s="178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</row>
    <row r="919">
      <c r="A919" s="177"/>
      <c r="B919" s="177"/>
      <c r="C919" s="177"/>
      <c r="D919" s="177"/>
      <c r="E919" s="177"/>
      <c r="F919" s="177"/>
      <c r="G919" s="177"/>
      <c r="H919" s="178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</row>
    <row r="920">
      <c r="A920" s="177"/>
      <c r="B920" s="177"/>
      <c r="C920" s="177"/>
      <c r="D920" s="177"/>
      <c r="E920" s="177"/>
      <c r="F920" s="177"/>
      <c r="G920" s="177"/>
      <c r="H920" s="178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</row>
    <row r="921">
      <c r="A921" s="177"/>
      <c r="B921" s="177"/>
      <c r="C921" s="177"/>
      <c r="D921" s="177"/>
      <c r="E921" s="177"/>
      <c r="F921" s="177"/>
      <c r="G921" s="177"/>
      <c r="H921" s="178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</row>
    <row r="922">
      <c r="A922" s="177"/>
      <c r="B922" s="177"/>
      <c r="C922" s="177"/>
      <c r="D922" s="177"/>
      <c r="E922" s="177"/>
      <c r="F922" s="177"/>
      <c r="G922" s="177"/>
      <c r="H922" s="178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</row>
    <row r="923">
      <c r="A923" s="177"/>
      <c r="B923" s="177"/>
      <c r="C923" s="177"/>
      <c r="D923" s="177"/>
      <c r="E923" s="177"/>
      <c r="F923" s="177"/>
      <c r="G923" s="177"/>
      <c r="H923" s="178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</row>
    <row r="924">
      <c r="A924" s="177"/>
      <c r="B924" s="177"/>
      <c r="C924" s="177"/>
      <c r="D924" s="177"/>
      <c r="E924" s="177"/>
      <c r="F924" s="177"/>
      <c r="G924" s="177"/>
      <c r="H924" s="178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</row>
    <row r="925">
      <c r="A925" s="177"/>
      <c r="B925" s="177"/>
      <c r="C925" s="177"/>
      <c r="D925" s="177"/>
      <c r="E925" s="177"/>
      <c r="F925" s="177"/>
      <c r="G925" s="177"/>
      <c r="H925" s="178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</row>
    <row r="926">
      <c r="A926" s="177"/>
      <c r="B926" s="177"/>
      <c r="C926" s="177"/>
      <c r="D926" s="177"/>
      <c r="E926" s="177"/>
      <c r="F926" s="177"/>
      <c r="G926" s="177"/>
      <c r="H926" s="178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</row>
    <row r="927">
      <c r="A927" s="177"/>
      <c r="B927" s="177"/>
      <c r="C927" s="177"/>
      <c r="D927" s="177"/>
      <c r="E927" s="177"/>
      <c r="F927" s="177"/>
      <c r="G927" s="177"/>
      <c r="H927" s="178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</row>
    <row r="928">
      <c r="A928" s="177"/>
      <c r="B928" s="177"/>
      <c r="C928" s="177"/>
      <c r="D928" s="177"/>
      <c r="E928" s="177"/>
      <c r="F928" s="177"/>
      <c r="G928" s="177"/>
      <c r="H928" s="178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</row>
    <row r="929">
      <c r="A929" s="177"/>
      <c r="B929" s="177"/>
      <c r="C929" s="177"/>
      <c r="D929" s="177"/>
      <c r="E929" s="177"/>
      <c r="F929" s="177"/>
      <c r="G929" s="177"/>
      <c r="H929" s="178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</row>
    <row r="930">
      <c r="A930" s="177"/>
      <c r="B930" s="177"/>
      <c r="C930" s="177"/>
      <c r="D930" s="177"/>
      <c r="E930" s="177"/>
      <c r="F930" s="177"/>
      <c r="G930" s="177"/>
      <c r="H930" s="178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</row>
    <row r="931">
      <c r="A931" s="177"/>
      <c r="B931" s="177"/>
      <c r="C931" s="177"/>
      <c r="D931" s="177"/>
      <c r="E931" s="177"/>
      <c r="F931" s="177"/>
      <c r="G931" s="177"/>
      <c r="H931" s="178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</row>
    <row r="932">
      <c r="A932" s="177"/>
      <c r="B932" s="177"/>
      <c r="C932" s="177"/>
      <c r="D932" s="177"/>
      <c r="E932" s="177"/>
      <c r="F932" s="177"/>
      <c r="G932" s="177"/>
      <c r="H932" s="178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</row>
    <row r="933">
      <c r="A933" s="177"/>
      <c r="B933" s="177"/>
      <c r="C933" s="177"/>
      <c r="D933" s="177"/>
      <c r="E933" s="177"/>
      <c r="F933" s="177"/>
      <c r="G933" s="177"/>
      <c r="H933" s="178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</row>
    <row r="934">
      <c r="A934" s="177"/>
      <c r="B934" s="177"/>
      <c r="C934" s="177"/>
      <c r="D934" s="177"/>
      <c r="E934" s="177"/>
      <c r="F934" s="177"/>
      <c r="G934" s="177"/>
      <c r="H934" s="178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</row>
    <row r="935">
      <c r="A935" s="177"/>
      <c r="B935" s="177"/>
      <c r="C935" s="177"/>
      <c r="D935" s="177"/>
      <c r="E935" s="177"/>
      <c r="F935" s="177"/>
      <c r="G935" s="177"/>
      <c r="H935" s="178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</row>
    <row r="936">
      <c r="A936" s="177"/>
      <c r="B936" s="177"/>
      <c r="C936" s="177"/>
      <c r="D936" s="177"/>
      <c r="E936" s="177"/>
      <c r="F936" s="177"/>
      <c r="G936" s="177"/>
      <c r="H936" s="178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</row>
    <row r="937">
      <c r="A937" s="177"/>
      <c r="B937" s="177"/>
      <c r="C937" s="177"/>
      <c r="D937" s="177"/>
      <c r="E937" s="177"/>
      <c r="F937" s="177"/>
      <c r="G937" s="177"/>
      <c r="H937" s="178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</row>
    <row r="938">
      <c r="A938" s="177"/>
      <c r="B938" s="177"/>
      <c r="C938" s="177"/>
      <c r="D938" s="177"/>
      <c r="E938" s="177"/>
      <c r="F938" s="177"/>
      <c r="G938" s="177"/>
      <c r="H938" s="178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</row>
    <row r="939">
      <c r="A939" s="177"/>
      <c r="B939" s="177"/>
      <c r="C939" s="177"/>
      <c r="D939" s="177"/>
      <c r="E939" s="177"/>
      <c r="F939" s="177"/>
      <c r="G939" s="177"/>
      <c r="H939" s="178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</row>
    <row r="940">
      <c r="A940" s="177"/>
      <c r="B940" s="177"/>
      <c r="C940" s="177"/>
      <c r="D940" s="177"/>
      <c r="E940" s="177"/>
      <c r="F940" s="177"/>
      <c r="G940" s="177"/>
      <c r="H940" s="178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</row>
    <row r="941">
      <c r="A941" s="177"/>
      <c r="B941" s="177"/>
      <c r="C941" s="177"/>
      <c r="D941" s="177"/>
      <c r="E941" s="177"/>
      <c r="F941" s="177"/>
      <c r="G941" s="177"/>
      <c r="H941" s="178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</row>
    <row r="942">
      <c r="A942" s="177"/>
      <c r="B942" s="177"/>
      <c r="C942" s="177"/>
      <c r="D942" s="177"/>
      <c r="E942" s="177"/>
      <c r="F942" s="177"/>
      <c r="G942" s="177"/>
      <c r="H942" s="178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</row>
    <row r="943">
      <c r="A943" s="177"/>
      <c r="B943" s="177"/>
      <c r="C943" s="177"/>
      <c r="D943" s="177"/>
      <c r="E943" s="177"/>
      <c r="F943" s="177"/>
      <c r="G943" s="177"/>
      <c r="H943" s="178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</row>
    <row r="944">
      <c r="A944" s="177"/>
      <c r="B944" s="177"/>
      <c r="C944" s="177"/>
      <c r="D944" s="177"/>
      <c r="E944" s="177"/>
      <c r="F944" s="177"/>
      <c r="G944" s="177"/>
      <c r="H944" s="178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</row>
    <row r="945">
      <c r="A945" s="177"/>
      <c r="B945" s="177"/>
      <c r="C945" s="177"/>
      <c r="D945" s="177"/>
      <c r="E945" s="177"/>
      <c r="F945" s="177"/>
      <c r="G945" s="177"/>
      <c r="H945" s="178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</row>
    <row r="946">
      <c r="A946" s="177"/>
      <c r="B946" s="177"/>
      <c r="C946" s="177"/>
      <c r="D946" s="177"/>
      <c r="E946" s="177"/>
      <c r="F946" s="177"/>
      <c r="G946" s="177"/>
      <c r="H946" s="178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</row>
    <row r="947">
      <c r="A947" s="177"/>
      <c r="B947" s="177"/>
      <c r="C947" s="177"/>
      <c r="D947" s="177"/>
      <c r="E947" s="177"/>
      <c r="F947" s="177"/>
      <c r="G947" s="177"/>
      <c r="H947" s="178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</row>
    <row r="948">
      <c r="A948" s="177"/>
      <c r="B948" s="177"/>
      <c r="C948" s="177"/>
      <c r="D948" s="177"/>
      <c r="E948" s="177"/>
      <c r="F948" s="177"/>
      <c r="G948" s="177"/>
      <c r="H948" s="178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</row>
    <row r="949">
      <c r="A949" s="177"/>
      <c r="B949" s="177"/>
      <c r="C949" s="177"/>
      <c r="D949" s="177"/>
      <c r="E949" s="177"/>
      <c r="F949" s="177"/>
      <c r="G949" s="177"/>
      <c r="H949" s="178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</row>
    <row r="950">
      <c r="A950" s="177"/>
      <c r="B950" s="177"/>
      <c r="C950" s="177"/>
      <c r="D950" s="177"/>
      <c r="E950" s="177"/>
      <c r="F950" s="177"/>
      <c r="G950" s="177"/>
      <c r="H950" s="178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</row>
    <row r="951">
      <c r="A951" s="177"/>
      <c r="B951" s="177"/>
      <c r="C951" s="177"/>
      <c r="D951" s="177"/>
      <c r="E951" s="177"/>
      <c r="F951" s="177"/>
      <c r="G951" s="177"/>
      <c r="H951" s="178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</row>
    <row r="952">
      <c r="A952" s="177"/>
      <c r="B952" s="177"/>
      <c r="C952" s="177"/>
      <c r="D952" s="177"/>
      <c r="E952" s="177"/>
      <c r="F952" s="177"/>
      <c r="G952" s="177"/>
      <c r="H952" s="178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</row>
    <row r="953">
      <c r="A953" s="177"/>
      <c r="B953" s="177"/>
      <c r="C953" s="177"/>
      <c r="D953" s="177"/>
      <c r="E953" s="177"/>
      <c r="F953" s="177"/>
      <c r="G953" s="177"/>
      <c r="H953" s="178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</row>
    <row r="954">
      <c r="A954" s="177"/>
      <c r="B954" s="177"/>
      <c r="C954" s="177"/>
      <c r="D954" s="177"/>
      <c r="E954" s="177"/>
      <c r="F954" s="177"/>
      <c r="G954" s="177"/>
      <c r="H954" s="178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</row>
    <row r="955">
      <c r="A955" s="177"/>
      <c r="B955" s="177"/>
      <c r="C955" s="177"/>
      <c r="D955" s="177"/>
      <c r="E955" s="177"/>
      <c r="F955" s="177"/>
      <c r="G955" s="177"/>
      <c r="H955" s="178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</row>
    <row r="956">
      <c r="A956" s="177"/>
      <c r="B956" s="177"/>
      <c r="C956" s="177"/>
      <c r="D956" s="177"/>
      <c r="E956" s="177"/>
      <c r="F956" s="177"/>
      <c r="G956" s="177"/>
      <c r="H956" s="178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</row>
    <row r="957">
      <c r="A957" s="177"/>
      <c r="B957" s="177"/>
      <c r="C957" s="177"/>
      <c r="D957" s="177"/>
      <c r="E957" s="177"/>
      <c r="F957" s="177"/>
      <c r="G957" s="177"/>
      <c r="H957" s="178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</row>
    <row r="958">
      <c r="A958" s="177"/>
      <c r="B958" s="177"/>
      <c r="C958" s="177"/>
      <c r="D958" s="177"/>
      <c r="E958" s="177"/>
      <c r="F958" s="177"/>
      <c r="G958" s="177"/>
      <c r="H958" s="178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</row>
    <row r="959">
      <c r="A959" s="177"/>
      <c r="B959" s="177"/>
      <c r="C959" s="177"/>
      <c r="D959" s="177"/>
      <c r="E959" s="177"/>
      <c r="F959" s="177"/>
      <c r="G959" s="177"/>
      <c r="H959" s="178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</row>
    <row r="960">
      <c r="A960" s="177"/>
      <c r="B960" s="177"/>
      <c r="C960" s="177"/>
      <c r="D960" s="177"/>
      <c r="E960" s="177"/>
      <c r="F960" s="177"/>
      <c r="G960" s="177"/>
      <c r="H960" s="178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</row>
    <row r="961">
      <c r="A961" s="177"/>
      <c r="B961" s="177"/>
      <c r="C961" s="177"/>
      <c r="D961" s="177"/>
      <c r="E961" s="177"/>
      <c r="F961" s="177"/>
      <c r="G961" s="177"/>
      <c r="H961" s="178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</row>
    <row r="962">
      <c r="A962" s="177"/>
      <c r="B962" s="177"/>
      <c r="C962" s="177"/>
      <c r="D962" s="177"/>
      <c r="E962" s="177"/>
      <c r="F962" s="177"/>
      <c r="G962" s="177"/>
      <c r="H962" s="178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</row>
    <row r="963">
      <c r="A963" s="177"/>
      <c r="B963" s="177"/>
      <c r="C963" s="177"/>
      <c r="D963" s="177"/>
      <c r="E963" s="177"/>
      <c r="F963" s="177"/>
      <c r="G963" s="177"/>
      <c r="H963" s="178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</row>
    <row r="964">
      <c r="A964" s="177"/>
      <c r="B964" s="177"/>
      <c r="C964" s="177"/>
      <c r="D964" s="177"/>
      <c r="E964" s="177"/>
      <c r="F964" s="177"/>
      <c r="G964" s="177"/>
      <c r="H964" s="178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</row>
    <row r="965">
      <c r="A965" s="177"/>
      <c r="B965" s="177"/>
      <c r="C965" s="177"/>
      <c r="D965" s="177"/>
      <c r="E965" s="177"/>
      <c r="F965" s="177"/>
      <c r="G965" s="177"/>
      <c r="H965" s="178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</row>
    <row r="966">
      <c r="A966" s="177"/>
      <c r="B966" s="177"/>
      <c r="C966" s="177"/>
      <c r="D966" s="177"/>
      <c r="E966" s="177"/>
      <c r="F966" s="177"/>
      <c r="G966" s="177"/>
      <c r="H966" s="178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</row>
    <row r="967">
      <c r="A967" s="177"/>
      <c r="B967" s="177"/>
      <c r="C967" s="177"/>
      <c r="D967" s="177"/>
      <c r="E967" s="177"/>
      <c r="F967" s="177"/>
      <c r="G967" s="177"/>
      <c r="H967" s="178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</row>
    <row r="968">
      <c r="A968" s="177"/>
      <c r="B968" s="177"/>
      <c r="C968" s="177"/>
      <c r="D968" s="177"/>
      <c r="E968" s="177"/>
      <c r="F968" s="177"/>
      <c r="G968" s="177"/>
      <c r="H968" s="178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</row>
    <row r="969">
      <c r="A969" s="177"/>
      <c r="B969" s="177"/>
      <c r="C969" s="177"/>
      <c r="D969" s="177"/>
      <c r="E969" s="177"/>
      <c r="F969" s="177"/>
      <c r="G969" s="177"/>
      <c r="H969" s="178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</row>
    <row r="970">
      <c r="A970" s="177"/>
      <c r="B970" s="177"/>
      <c r="C970" s="177"/>
      <c r="D970" s="177"/>
      <c r="E970" s="177"/>
      <c r="F970" s="177"/>
      <c r="G970" s="177"/>
      <c r="H970" s="178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</row>
    <row r="971">
      <c r="A971" s="177"/>
      <c r="B971" s="177"/>
      <c r="C971" s="177"/>
      <c r="D971" s="177"/>
      <c r="E971" s="177"/>
      <c r="F971" s="177"/>
      <c r="G971" s="177"/>
      <c r="H971" s="178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</row>
    <row r="972">
      <c r="A972" s="177"/>
      <c r="B972" s="177"/>
      <c r="C972" s="177"/>
      <c r="D972" s="177"/>
      <c r="E972" s="177"/>
      <c r="F972" s="177"/>
      <c r="G972" s="177"/>
      <c r="H972" s="178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</row>
    <row r="973">
      <c r="A973" s="177"/>
      <c r="B973" s="177"/>
      <c r="C973" s="177"/>
      <c r="D973" s="177"/>
      <c r="E973" s="177"/>
      <c r="F973" s="177"/>
      <c r="G973" s="177"/>
      <c r="H973" s="178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</row>
    <row r="974">
      <c r="A974" s="177"/>
      <c r="B974" s="177"/>
      <c r="C974" s="177"/>
      <c r="D974" s="177"/>
      <c r="E974" s="177"/>
      <c r="F974" s="177"/>
      <c r="G974" s="177"/>
      <c r="H974" s="178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</row>
    <row r="975">
      <c r="A975" s="177"/>
      <c r="B975" s="177"/>
      <c r="C975" s="177"/>
      <c r="D975" s="177"/>
      <c r="E975" s="177"/>
      <c r="F975" s="177"/>
      <c r="G975" s="177"/>
      <c r="H975" s="178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</row>
    <row r="976">
      <c r="A976" s="177"/>
      <c r="B976" s="177"/>
      <c r="C976" s="177"/>
      <c r="D976" s="177"/>
      <c r="E976" s="177"/>
      <c r="F976" s="177"/>
      <c r="G976" s="177"/>
      <c r="H976" s="178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</row>
    <row r="977">
      <c r="A977" s="177"/>
      <c r="B977" s="177"/>
      <c r="C977" s="177"/>
      <c r="D977" s="177"/>
      <c r="E977" s="177"/>
      <c r="F977" s="177"/>
      <c r="G977" s="177"/>
      <c r="H977" s="178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</row>
    <row r="978">
      <c r="A978" s="177"/>
      <c r="B978" s="177"/>
      <c r="C978" s="177"/>
      <c r="D978" s="177"/>
      <c r="E978" s="177"/>
      <c r="F978" s="177"/>
      <c r="G978" s="177"/>
      <c r="H978" s="178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</row>
    <row r="979">
      <c r="A979" s="177"/>
      <c r="B979" s="177"/>
      <c r="C979" s="177"/>
      <c r="D979" s="177"/>
      <c r="E979" s="177"/>
      <c r="F979" s="177"/>
      <c r="G979" s="177"/>
      <c r="H979" s="178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</row>
    <row r="980">
      <c r="A980" s="177"/>
      <c r="B980" s="177"/>
      <c r="C980" s="177"/>
      <c r="D980" s="177"/>
      <c r="E980" s="177"/>
      <c r="F980" s="177"/>
      <c r="G980" s="177"/>
      <c r="H980" s="178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</row>
    <row r="981">
      <c r="A981" s="177"/>
      <c r="B981" s="177"/>
      <c r="C981" s="177"/>
      <c r="D981" s="177"/>
      <c r="E981" s="177"/>
      <c r="F981" s="177"/>
      <c r="G981" s="177"/>
      <c r="H981" s="178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</row>
    <row r="982">
      <c r="A982" s="177"/>
      <c r="B982" s="177"/>
      <c r="C982" s="177"/>
      <c r="D982" s="177"/>
      <c r="E982" s="177"/>
      <c r="F982" s="177"/>
      <c r="G982" s="177"/>
      <c r="H982" s="178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</row>
    <row r="983">
      <c r="A983" s="177"/>
      <c r="B983" s="177"/>
      <c r="C983" s="177"/>
      <c r="D983" s="177"/>
      <c r="E983" s="177"/>
      <c r="F983" s="177"/>
      <c r="G983" s="177"/>
      <c r="H983" s="178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</row>
    <row r="984">
      <c r="A984" s="177"/>
      <c r="B984" s="177"/>
      <c r="C984" s="177"/>
      <c r="D984" s="177"/>
      <c r="E984" s="177"/>
      <c r="F984" s="177"/>
      <c r="G984" s="177"/>
      <c r="H984" s="178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</row>
    <row r="985">
      <c r="A985" s="177"/>
      <c r="B985" s="177"/>
      <c r="C985" s="177"/>
      <c r="D985" s="177"/>
      <c r="E985" s="177"/>
      <c r="F985" s="177"/>
      <c r="G985" s="177"/>
      <c r="H985" s="178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</row>
    <row r="986">
      <c r="A986" s="177"/>
      <c r="B986" s="177"/>
      <c r="C986" s="177"/>
      <c r="D986" s="177"/>
      <c r="E986" s="177"/>
      <c r="F986" s="177"/>
      <c r="G986" s="177"/>
      <c r="H986" s="178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</row>
    <row r="987">
      <c r="A987" s="177"/>
      <c r="B987" s="177"/>
      <c r="C987" s="177"/>
      <c r="D987" s="177"/>
      <c r="E987" s="177"/>
      <c r="F987" s="177"/>
      <c r="G987" s="177"/>
      <c r="H987" s="178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</row>
    <row r="988">
      <c r="A988" s="177"/>
      <c r="B988" s="177"/>
      <c r="C988" s="177"/>
      <c r="D988" s="177"/>
      <c r="E988" s="177"/>
      <c r="F988" s="177"/>
      <c r="G988" s="177"/>
      <c r="H988" s="178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</row>
    <row r="989">
      <c r="A989" s="177"/>
      <c r="B989" s="177"/>
      <c r="C989" s="177"/>
      <c r="D989" s="177"/>
      <c r="E989" s="177"/>
      <c r="F989" s="177"/>
      <c r="G989" s="177"/>
      <c r="H989" s="178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</row>
    <row r="990">
      <c r="A990" s="177"/>
      <c r="B990" s="177"/>
      <c r="C990" s="177"/>
      <c r="D990" s="177"/>
      <c r="E990" s="177"/>
      <c r="F990" s="177"/>
      <c r="G990" s="177"/>
      <c r="H990" s="178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</row>
    <row r="991">
      <c r="A991" s="177"/>
      <c r="B991" s="177"/>
      <c r="C991" s="177"/>
      <c r="D991" s="177"/>
      <c r="E991" s="177"/>
      <c r="F991" s="177"/>
      <c r="G991" s="177"/>
      <c r="H991" s="178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</row>
    <row r="992">
      <c r="A992" s="177"/>
      <c r="B992" s="177"/>
      <c r="C992" s="177"/>
      <c r="D992" s="177"/>
      <c r="E992" s="177"/>
      <c r="F992" s="177"/>
      <c r="G992" s="177"/>
      <c r="H992" s="178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</row>
    <row r="993">
      <c r="A993" s="177"/>
      <c r="B993" s="177"/>
      <c r="C993" s="177"/>
      <c r="D993" s="177"/>
      <c r="E993" s="177"/>
      <c r="F993" s="177"/>
      <c r="G993" s="177"/>
      <c r="H993" s="178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</row>
    <row r="994">
      <c r="A994" s="177"/>
      <c r="B994" s="177"/>
      <c r="C994" s="177"/>
      <c r="D994" s="177"/>
      <c r="E994" s="177"/>
      <c r="F994" s="177"/>
      <c r="G994" s="177"/>
      <c r="H994" s="178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</row>
    <row r="995">
      <c r="A995" s="177"/>
      <c r="B995" s="177"/>
      <c r="C995" s="177"/>
      <c r="D995" s="177"/>
      <c r="E995" s="177"/>
      <c r="F995" s="177"/>
      <c r="G995" s="177"/>
      <c r="H995" s="178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</row>
    <row r="996">
      <c r="A996" s="177"/>
      <c r="B996" s="177"/>
      <c r="C996" s="177"/>
      <c r="D996" s="177"/>
      <c r="E996" s="177"/>
      <c r="F996" s="177"/>
      <c r="G996" s="177"/>
      <c r="H996" s="178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  <c r="Z996" s="177"/>
    </row>
    <row r="997">
      <c r="A997" s="177"/>
      <c r="B997" s="177"/>
      <c r="C997" s="177"/>
      <c r="D997" s="177"/>
      <c r="E997" s="177"/>
      <c r="F997" s="177"/>
      <c r="G997" s="177"/>
      <c r="H997" s="178"/>
      <c r="I997" s="177"/>
      <c r="J997" s="177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</row>
    <row r="998">
      <c r="A998" s="177"/>
      <c r="B998" s="177"/>
      <c r="C998" s="177"/>
      <c r="D998" s="177"/>
      <c r="E998" s="177"/>
      <c r="F998" s="177"/>
      <c r="G998" s="177"/>
      <c r="H998" s="178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</row>
    <row r="999">
      <c r="A999" s="177"/>
      <c r="B999" s="177"/>
      <c r="C999" s="177"/>
      <c r="D999" s="177"/>
      <c r="E999" s="177"/>
      <c r="F999" s="177"/>
      <c r="G999" s="177"/>
      <c r="H999" s="178"/>
      <c r="I999" s="177"/>
      <c r="J999" s="177"/>
      <c r="K999" s="177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  <c r="Z999" s="177"/>
    </row>
    <row r="1000">
      <c r="A1000" s="177"/>
      <c r="B1000" s="177"/>
      <c r="C1000" s="177"/>
      <c r="D1000" s="177"/>
      <c r="E1000" s="177"/>
      <c r="F1000" s="177"/>
      <c r="G1000" s="177"/>
      <c r="H1000" s="178"/>
      <c r="I1000" s="177"/>
      <c r="J1000" s="177"/>
      <c r="K1000" s="177"/>
      <c r="L1000" s="177"/>
      <c r="M1000" s="177"/>
      <c r="N1000" s="177"/>
      <c r="O1000" s="177"/>
      <c r="P1000" s="177"/>
      <c r="Q1000" s="177"/>
      <c r="R1000" s="177"/>
      <c r="S1000" s="177"/>
      <c r="T1000" s="177"/>
      <c r="U1000" s="177"/>
      <c r="V1000" s="177"/>
      <c r="W1000" s="177"/>
      <c r="X1000" s="177"/>
      <c r="Y1000" s="177"/>
      <c r="Z1000" s="177"/>
    </row>
    <row r="1001">
      <c r="A1001" s="177"/>
      <c r="B1001" s="177"/>
      <c r="C1001" s="177"/>
      <c r="D1001" s="177"/>
      <c r="E1001" s="177"/>
      <c r="F1001" s="177"/>
      <c r="G1001" s="177"/>
      <c r="H1001" s="178"/>
      <c r="I1001" s="177"/>
      <c r="J1001" s="177"/>
      <c r="K1001" s="177"/>
      <c r="L1001" s="177"/>
      <c r="M1001" s="177"/>
      <c r="N1001" s="177"/>
      <c r="O1001" s="177"/>
      <c r="P1001" s="177"/>
      <c r="Q1001" s="177"/>
      <c r="R1001" s="177"/>
      <c r="S1001" s="177"/>
      <c r="T1001" s="177"/>
      <c r="U1001" s="177"/>
      <c r="V1001" s="177"/>
      <c r="W1001" s="177"/>
      <c r="X1001" s="177"/>
      <c r="Y1001" s="177"/>
      <c r="Z1001" s="177"/>
    </row>
    <row r="1002">
      <c r="A1002" s="177"/>
      <c r="B1002" s="177"/>
      <c r="C1002" s="177"/>
      <c r="D1002" s="177"/>
      <c r="E1002" s="177"/>
      <c r="F1002" s="177"/>
      <c r="G1002" s="177"/>
      <c r="H1002" s="178"/>
      <c r="I1002" s="177"/>
      <c r="J1002" s="177"/>
      <c r="K1002" s="177"/>
      <c r="L1002" s="177"/>
      <c r="M1002" s="177"/>
      <c r="N1002" s="177"/>
      <c r="O1002" s="177"/>
      <c r="P1002" s="177"/>
      <c r="Q1002" s="177"/>
      <c r="R1002" s="177"/>
      <c r="S1002" s="177"/>
      <c r="T1002" s="177"/>
      <c r="U1002" s="177"/>
      <c r="V1002" s="177"/>
      <c r="W1002" s="177"/>
      <c r="X1002" s="177"/>
      <c r="Y1002" s="177"/>
      <c r="Z1002" s="177"/>
    </row>
    <row r="1003">
      <c r="A1003" s="177"/>
      <c r="B1003" s="177"/>
      <c r="C1003" s="177"/>
      <c r="D1003" s="177"/>
      <c r="E1003" s="177"/>
      <c r="F1003" s="177"/>
      <c r="G1003" s="177"/>
      <c r="H1003" s="178"/>
      <c r="I1003" s="177"/>
      <c r="J1003" s="177"/>
      <c r="K1003" s="177"/>
      <c r="L1003" s="177"/>
      <c r="M1003" s="177"/>
      <c r="N1003" s="177"/>
      <c r="O1003" s="177"/>
      <c r="P1003" s="177"/>
      <c r="Q1003" s="177"/>
      <c r="R1003" s="177"/>
      <c r="S1003" s="177"/>
      <c r="T1003" s="177"/>
      <c r="U1003" s="177"/>
      <c r="V1003" s="177"/>
      <c r="W1003" s="177"/>
      <c r="X1003" s="177"/>
      <c r="Y1003" s="177"/>
      <c r="Z1003" s="177"/>
    </row>
    <row r="1004">
      <c r="A1004" s="177"/>
      <c r="B1004" s="177"/>
      <c r="C1004" s="177"/>
      <c r="D1004" s="177"/>
      <c r="E1004" s="177"/>
      <c r="F1004" s="177"/>
      <c r="G1004" s="177"/>
      <c r="H1004" s="178"/>
      <c r="I1004" s="177"/>
      <c r="J1004" s="177"/>
      <c r="K1004" s="177"/>
      <c r="L1004" s="177"/>
      <c r="M1004" s="177"/>
      <c r="N1004" s="177"/>
      <c r="O1004" s="177"/>
      <c r="P1004" s="177"/>
      <c r="Q1004" s="177"/>
      <c r="R1004" s="177"/>
      <c r="S1004" s="177"/>
      <c r="T1004" s="177"/>
      <c r="U1004" s="177"/>
      <c r="V1004" s="177"/>
      <c r="W1004" s="177"/>
      <c r="X1004" s="177"/>
      <c r="Y1004" s="177"/>
      <c r="Z1004" s="177"/>
    </row>
    <row r="1005">
      <c r="A1005" s="177"/>
      <c r="B1005" s="177"/>
      <c r="C1005" s="177"/>
      <c r="D1005" s="177"/>
      <c r="E1005" s="177"/>
      <c r="F1005" s="177"/>
      <c r="G1005" s="177"/>
      <c r="H1005" s="178"/>
      <c r="I1005" s="177"/>
      <c r="J1005" s="177"/>
      <c r="K1005" s="177"/>
      <c r="L1005" s="177"/>
      <c r="M1005" s="177"/>
      <c r="N1005" s="177"/>
      <c r="O1005" s="177"/>
      <c r="P1005" s="177"/>
      <c r="Q1005" s="177"/>
      <c r="R1005" s="177"/>
      <c r="S1005" s="177"/>
      <c r="T1005" s="177"/>
      <c r="U1005" s="177"/>
      <c r="V1005" s="177"/>
      <c r="W1005" s="177"/>
      <c r="X1005" s="177"/>
      <c r="Y1005" s="177"/>
      <c r="Z1005" s="177"/>
    </row>
    <row r="1006">
      <c r="A1006" s="177"/>
      <c r="B1006" s="177"/>
      <c r="C1006" s="177"/>
      <c r="D1006" s="177"/>
      <c r="E1006" s="177"/>
      <c r="F1006" s="177"/>
      <c r="G1006" s="177"/>
      <c r="H1006" s="178"/>
      <c r="I1006" s="177"/>
      <c r="J1006" s="177"/>
      <c r="K1006" s="177"/>
      <c r="L1006" s="177"/>
      <c r="M1006" s="177"/>
      <c r="N1006" s="177"/>
      <c r="O1006" s="177"/>
      <c r="P1006" s="177"/>
      <c r="Q1006" s="177"/>
      <c r="R1006" s="177"/>
      <c r="S1006" s="177"/>
      <c r="T1006" s="177"/>
      <c r="U1006" s="177"/>
      <c r="V1006" s="177"/>
      <c r="W1006" s="177"/>
      <c r="X1006" s="177"/>
      <c r="Y1006" s="177"/>
      <c r="Z1006" s="177"/>
    </row>
    <row r="1007">
      <c r="A1007" s="177"/>
      <c r="B1007" s="177"/>
      <c r="C1007" s="177"/>
      <c r="D1007" s="177"/>
      <c r="E1007" s="177"/>
      <c r="F1007" s="177"/>
      <c r="G1007" s="177"/>
      <c r="H1007" s="246"/>
      <c r="I1007" s="177"/>
      <c r="J1007" s="177"/>
      <c r="K1007" s="177"/>
      <c r="L1007" s="177"/>
      <c r="M1007" s="177"/>
      <c r="N1007" s="177"/>
      <c r="O1007" s="177"/>
      <c r="P1007" s="177"/>
      <c r="Q1007" s="177"/>
      <c r="R1007" s="177"/>
      <c r="S1007" s="177"/>
      <c r="T1007" s="177"/>
      <c r="U1007" s="177"/>
      <c r="V1007" s="177"/>
      <c r="W1007" s="177"/>
      <c r="X1007" s="177"/>
      <c r="Y1007" s="177"/>
      <c r="Z1007" s="177"/>
    </row>
  </sheetData>
  <conditionalFormatting sqref="J63:Z63">
    <cfRule type="cellIs" dxfId="0" priority="1" operator="greaterThan">
      <formula>0</formula>
    </cfRule>
  </conditionalFormatting>
  <conditionalFormatting sqref="J63:Z63">
    <cfRule type="cellIs" dxfId="1" priority="2" operator="lessThan">
      <formula>0</formula>
    </cfRule>
  </conditionalFormatting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5.0"/>
    <col hidden="1" min="2" max="6" width="12.63"/>
    <col customWidth="1" hidden="1" min="7" max="11" width="15.0"/>
    <col customWidth="1" hidden="1" min="12" max="12" width="16.25"/>
    <col customWidth="1" hidden="1" min="13" max="13" width="15.0"/>
  </cols>
  <sheetData>
    <row r="1">
      <c r="A1" s="1133"/>
      <c r="B1" s="1134"/>
      <c r="C1" s="1134"/>
      <c r="D1" s="1134"/>
      <c r="E1" s="1134"/>
      <c r="F1" s="1134"/>
      <c r="G1" s="1134"/>
      <c r="H1" s="1133"/>
      <c r="I1" s="1133"/>
      <c r="J1" s="1133"/>
      <c r="K1" s="1133"/>
      <c r="L1" s="1133"/>
      <c r="M1" s="1133"/>
      <c r="N1" s="1133"/>
      <c r="O1" s="1133"/>
      <c r="P1" s="1133"/>
      <c r="Q1" s="1133"/>
      <c r="R1" s="1135"/>
      <c r="S1" s="1133"/>
      <c r="T1" s="1133"/>
      <c r="U1" s="1133"/>
      <c r="V1" s="1133"/>
      <c r="W1" s="1133"/>
      <c r="X1" s="1133"/>
      <c r="Y1" s="1133"/>
    </row>
    <row r="2">
      <c r="A2" s="1133" t="s">
        <v>94</v>
      </c>
      <c r="B2" s="1134" t="s">
        <v>95</v>
      </c>
      <c r="C2" s="1134" t="s">
        <v>96</v>
      </c>
      <c r="D2" s="1134" t="s">
        <v>97</v>
      </c>
      <c r="E2" s="1134" t="s">
        <v>98</v>
      </c>
      <c r="F2" s="1134" t="s">
        <v>99</v>
      </c>
      <c r="G2" s="1136" t="s">
        <v>100</v>
      </c>
      <c r="H2" s="1133" t="s">
        <v>101</v>
      </c>
      <c r="I2" s="1133" t="s">
        <v>102</v>
      </c>
      <c r="J2" s="1133" t="s">
        <v>103</v>
      </c>
      <c r="K2" s="1133" t="s">
        <v>104</v>
      </c>
      <c r="L2" s="1133" t="s">
        <v>105</v>
      </c>
      <c r="M2" s="1133" t="s">
        <v>106</v>
      </c>
      <c r="N2" s="1133" t="s">
        <v>107</v>
      </c>
      <c r="O2" s="1133" t="s">
        <v>108</v>
      </c>
      <c r="P2" s="1133" t="s">
        <v>109</v>
      </c>
      <c r="Q2" s="1137" t="s">
        <v>110</v>
      </c>
      <c r="R2" s="1138" t="s">
        <v>111</v>
      </c>
      <c r="S2" s="1133" t="s">
        <v>112</v>
      </c>
      <c r="T2" s="1133" t="s">
        <v>113</v>
      </c>
      <c r="U2" s="1133" t="s">
        <v>114</v>
      </c>
      <c r="V2" s="1133" t="s">
        <v>115</v>
      </c>
      <c r="W2" s="1133" t="s">
        <v>116</v>
      </c>
      <c r="X2" s="1133" t="s">
        <v>117</v>
      </c>
      <c r="Y2" s="1133"/>
    </row>
    <row r="3">
      <c r="A3" s="1139" t="s">
        <v>195</v>
      </c>
      <c r="B3" s="1140"/>
      <c r="C3" s="1140"/>
      <c r="D3" s="1140"/>
      <c r="E3" s="1140"/>
      <c r="F3" s="1140"/>
      <c r="G3" s="1141"/>
      <c r="H3" s="1140"/>
      <c r="I3" s="1140"/>
      <c r="J3" s="1140"/>
      <c r="K3" s="1140"/>
      <c r="L3" s="1140"/>
      <c r="M3" s="1140"/>
      <c r="N3" s="1140"/>
      <c r="O3" s="1140"/>
      <c r="P3" s="1140"/>
      <c r="Q3" s="1140"/>
      <c r="R3" s="1142"/>
      <c r="S3" s="1140"/>
      <c r="T3" s="1140"/>
      <c r="U3" s="1140"/>
      <c r="V3" s="1140"/>
      <c r="W3" s="1140"/>
      <c r="X3" s="1140"/>
      <c r="Y3" s="133"/>
    </row>
    <row r="4">
      <c r="A4" s="144" t="s">
        <v>1025</v>
      </c>
      <c r="B4" s="145">
        <v>10000.0</v>
      </c>
      <c r="C4" s="145">
        <v>10000.0</v>
      </c>
      <c r="D4" s="145">
        <v>10000.0</v>
      </c>
      <c r="E4" s="145">
        <v>10000.0</v>
      </c>
      <c r="F4" s="145">
        <v>10000.0</v>
      </c>
      <c r="G4" s="146">
        <v>10000.0</v>
      </c>
      <c r="H4" s="145">
        <v>10000.0</v>
      </c>
      <c r="I4" s="145">
        <f t="shared" ref="I4:N4" si="1">120000/12</f>
        <v>10000</v>
      </c>
      <c r="J4" s="145">
        <f t="shared" si="1"/>
        <v>10000</v>
      </c>
      <c r="K4" s="145">
        <f t="shared" si="1"/>
        <v>10000</v>
      </c>
      <c r="L4" s="145">
        <f t="shared" si="1"/>
        <v>10000</v>
      </c>
      <c r="M4" s="145">
        <f t="shared" si="1"/>
        <v>10000</v>
      </c>
      <c r="N4" s="145">
        <f t="shared" si="1"/>
        <v>10000</v>
      </c>
      <c r="O4" s="145">
        <f t="shared" ref="O4:P4" si="2">123000/12</f>
        <v>10250</v>
      </c>
      <c r="P4" s="145">
        <f t="shared" si="2"/>
        <v>10250</v>
      </c>
      <c r="Q4" s="1143">
        <f t="shared" ref="Q4:X4" si="3">180000/12</f>
        <v>15000</v>
      </c>
      <c r="R4" s="1143">
        <f t="shared" si="3"/>
        <v>15000</v>
      </c>
      <c r="S4" s="1143">
        <f t="shared" si="3"/>
        <v>15000</v>
      </c>
      <c r="T4" s="1143">
        <f t="shared" si="3"/>
        <v>15000</v>
      </c>
      <c r="U4" s="1143">
        <f t="shared" si="3"/>
        <v>15000</v>
      </c>
      <c r="V4" s="1143">
        <f t="shared" si="3"/>
        <v>15000</v>
      </c>
      <c r="W4" s="1143">
        <f t="shared" si="3"/>
        <v>15000</v>
      </c>
      <c r="X4" s="1143">
        <f t="shared" si="3"/>
        <v>15000</v>
      </c>
      <c r="Y4" s="145"/>
    </row>
    <row r="5" ht="15.0" customHeight="1">
      <c r="A5" s="137" t="s">
        <v>1026</v>
      </c>
      <c r="B5" s="145">
        <v>0.0</v>
      </c>
      <c r="C5" s="145">
        <v>0.0</v>
      </c>
      <c r="D5" s="145">
        <v>0.0</v>
      </c>
      <c r="E5" s="145">
        <v>0.0</v>
      </c>
      <c r="F5" s="145">
        <v>0.0</v>
      </c>
      <c r="G5" s="146">
        <v>0.0</v>
      </c>
      <c r="H5" s="145">
        <v>0.0</v>
      </c>
      <c r="I5" s="145">
        <v>0.0</v>
      </c>
      <c r="J5" s="145">
        <v>0.0</v>
      </c>
      <c r="K5" s="145">
        <v>0.0</v>
      </c>
      <c r="L5" s="145">
        <v>0.0</v>
      </c>
      <c r="M5" s="145">
        <v>0.0</v>
      </c>
      <c r="N5" s="145">
        <v>0.0</v>
      </c>
      <c r="O5" s="145">
        <v>0.0</v>
      </c>
      <c r="P5" s="145">
        <v>0.0</v>
      </c>
      <c r="Q5" s="1143">
        <v>25000.0</v>
      </c>
      <c r="R5" s="1143">
        <v>25000.0</v>
      </c>
      <c r="S5" s="1143">
        <v>25000.0</v>
      </c>
      <c r="T5" s="1143">
        <v>25000.0</v>
      </c>
      <c r="U5" s="1143">
        <v>25000.0</v>
      </c>
      <c r="V5" s="1143">
        <v>25000.0</v>
      </c>
      <c r="W5" s="1143">
        <v>25000.0</v>
      </c>
      <c r="X5" s="1143">
        <v>25000.0</v>
      </c>
      <c r="Y5" s="145"/>
    </row>
    <row r="6">
      <c r="A6" s="137" t="s">
        <v>1027</v>
      </c>
      <c r="B6" s="145">
        <v>0.0</v>
      </c>
      <c r="C6" s="145">
        <v>3000.0</v>
      </c>
      <c r="D6" s="145">
        <v>0.0</v>
      </c>
      <c r="E6" s="145">
        <v>0.0</v>
      </c>
      <c r="F6" s="145">
        <v>0.0</v>
      </c>
      <c r="G6" s="146">
        <v>0.0</v>
      </c>
      <c r="H6" s="145">
        <v>5000.0</v>
      </c>
      <c r="I6" s="145">
        <v>5000.0</v>
      </c>
      <c r="J6" s="145">
        <v>0.0</v>
      </c>
      <c r="K6" s="145">
        <v>0.0</v>
      </c>
      <c r="L6" s="145">
        <v>800.0</v>
      </c>
      <c r="M6" s="145">
        <f>500</f>
        <v>500</v>
      </c>
      <c r="N6" s="1144">
        <f>1000+75</f>
        <v>1075</v>
      </c>
      <c r="O6" s="1144">
        <f>120000*0.042</f>
        <v>5040</v>
      </c>
      <c r="P6" s="145">
        <f>3000+500</f>
        <v>3500</v>
      </c>
      <c r="Q6" s="145">
        <f t="shared" ref="Q6:R6" si="4">500</f>
        <v>500</v>
      </c>
      <c r="R6" s="145">
        <f t="shared" si="4"/>
        <v>500</v>
      </c>
      <c r="S6" s="145">
        <v>0.0</v>
      </c>
      <c r="T6" s="145">
        <v>0.0</v>
      </c>
      <c r="U6" s="145">
        <v>0.0</v>
      </c>
      <c r="V6" s="145">
        <v>0.0</v>
      </c>
      <c r="W6" s="145">
        <v>0.0</v>
      </c>
      <c r="X6" s="145">
        <v>0.0</v>
      </c>
      <c r="Y6" s="145"/>
    </row>
    <row r="7">
      <c r="A7" s="177"/>
      <c r="B7" s="183"/>
      <c r="C7" s="183"/>
      <c r="D7" s="183"/>
      <c r="E7" s="183"/>
      <c r="F7" s="183"/>
      <c r="G7" s="184"/>
      <c r="H7" s="183"/>
      <c r="I7" s="183"/>
      <c r="J7" s="183"/>
      <c r="K7" s="168"/>
      <c r="L7" s="183"/>
      <c r="M7" s="183"/>
      <c r="N7" s="183"/>
      <c r="O7" s="183"/>
      <c r="P7" s="183"/>
      <c r="Q7" s="183"/>
      <c r="R7" s="1145"/>
      <c r="S7" s="183"/>
      <c r="T7" s="183"/>
      <c r="U7" s="183"/>
      <c r="V7" s="183"/>
      <c r="W7" s="183"/>
      <c r="X7" s="183"/>
      <c r="Y7" s="183"/>
    </row>
    <row r="8">
      <c r="A8" s="235" t="s">
        <v>203</v>
      </c>
      <c r="B8" s="1146">
        <f t="shared" ref="B8:K8" si="5">sum(B4:B5)</f>
        <v>10000</v>
      </c>
      <c r="C8" s="1146">
        <f t="shared" si="5"/>
        <v>10000</v>
      </c>
      <c r="D8" s="1146">
        <f t="shared" si="5"/>
        <v>10000</v>
      </c>
      <c r="E8" s="1146">
        <f t="shared" si="5"/>
        <v>10000</v>
      </c>
      <c r="F8" s="1146">
        <f t="shared" si="5"/>
        <v>10000</v>
      </c>
      <c r="G8" s="1147">
        <f t="shared" si="5"/>
        <v>10000</v>
      </c>
      <c r="H8" s="1146">
        <f t="shared" si="5"/>
        <v>10000</v>
      </c>
      <c r="I8" s="1146">
        <f t="shared" si="5"/>
        <v>10000</v>
      </c>
      <c r="J8" s="1146">
        <f t="shared" si="5"/>
        <v>10000</v>
      </c>
      <c r="K8" s="173">
        <f t="shared" si="5"/>
        <v>10000</v>
      </c>
      <c r="L8" s="1146">
        <f t="shared" ref="L8:X8" si="6">sum(L4:L6)</f>
        <v>10800</v>
      </c>
      <c r="M8" s="1146">
        <f t="shared" si="6"/>
        <v>10500</v>
      </c>
      <c r="N8" s="1148">
        <f t="shared" si="6"/>
        <v>11075</v>
      </c>
      <c r="O8" s="1148">
        <f t="shared" si="6"/>
        <v>15290</v>
      </c>
      <c r="P8" s="1148">
        <f t="shared" si="6"/>
        <v>13750</v>
      </c>
      <c r="Q8" s="1148">
        <f t="shared" si="6"/>
        <v>40500</v>
      </c>
      <c r="R8" s="1149">
        <f t="shared" si="6"/>
        <v>40500</v>
      </c>
      <c r="S8" s="1148">
        <f t="shared" si="6"/>
        <v>40000</v>
      </c>
      <c r="T8" s="1148">
        <f t="shared" si="6"/>
        <v>40000</v>
      </c>
      <c r="U8" s="1148">
        <f t="shared" si="6"/>
        <v>40000</v>
      </c>
      <c r="V8" s="1148">
        <f t="shared" si="6"/>
        <v>40000</v>
      </c>
      <c r="W8" s="1148">
        <f t="shared" si="6"/>
        <v>40000</v>
      </c>
      <c r="X8" s="1148">
        <f t="shared" si="6"/>
        <v>40000</v>
      </c>
      <c r="Y8" s="173"/>
    </row>
    <row r="9">
      <c r="A9" s="172" t="s">
        <v>715</v>
      </c>
      <c r="B9" s="137">
        <f>B8*0.38</f>
        <v>3800</v>
      </c>
      <c r="C9" s="137">
        <f t="shared" ref="C9:K9" si="7">C8*0.34</f>
        <v>3400</v>
      </c>
      <c r="D9" s="137">
        <f t="shared" si="7"/>
        <v>3400</v>
      </c>
      <c r="E9" s="137">
        <f t="shared" si="7"/>
        <v>3400</v>
      </c>
      <c r="F9" s="137">
        <f t="shared" si="7"/>
        <v>3400</v>
      </c>
      <c r="G9" s="175">
        <f t="shared" si="7"/>
        <v>3400</v>
      </c>
      <c r="H9" s="137">
        <f t="shared" si="7"/>
        <v>3400</v>
      </c>
      <c r="I9" s="137">
        <f t="shared" si="7"/>
        <v>3400</v>
      </c>
      <c r="J9" s="137">
        <f t="shared" si="7"/>
        <v>3400</v>
      </c>
      <c r="K9" s="137">
        <f t="shared" si="7"/>
        <v>3400</v>
      </c>
      <c r="L9" s="137">
        <f t="shared" ref="L9:N9" si="8">sum(L4:L5)*0.34</f>
        <v>3400</v>
      </c>
      <c r="M9" s="137">
        <f t="shared" si="8"/>
        <v>3400</v>
      </c>
      <c r="N9" s="137">
        <f t="shared" si="8"/>
        <v>3400</v>
      </c>
      <c r="O9" s="137">
        <f>sum(O4:O5)*0.34+O6*0.5</f>
        <v>6005</v>
      </c>
      <c r="P9" s="137">
        <f t="shared" ref="P9:X9" si="9">sum(P4:P5)*0.34</f>
        <v>3485</v>
      </c>
      <c r="Q9" s="137">
        <f t="shared" si="9"/>
        <v>13600</v>
      </c>
      <c r="R9" s="1150">
        <f t="shared" si="9"/>
        <v>13600</v>
      </c>
      <c r="S9" s="137">
        <f t="shared" si="9"/>
        <v>13600</v>
      </c>
      <c r="T9" s="137">
        <f t="shared" si="9"/>
        <v>13600</v>
      </c>
      <c r="U9" s="137">
        <f t="shared" si="9"/>
        <v>13600</v>
      </c>
      <c r="V9" s="137">
        <f t="shared" si="9"/>
        <v>13600</v>
      </c>
      <c r="W9" s="137">
        <f t="shared" si="9"/>
        <v>13600</v>
      </c>
      <c r="X9" s="137">
        <f t="shared" si="9"/>
        <v>13600</v>
      </c>
      <c r="Y9" s="137"/>
    </row>
    <row r="10">
      <c r="A10" s="172" t="s">
        <v>1000</v>
      </c>
      <c r="B10" s="137"/>
      <c r="C10" s="137"/>
      <c r="D10" s="137"/>
      <c r="E10" s="137"/>
      <c r="F10" s="137"/>
      <c r="G10" s="175"/>
      <c r="H10" s="137"/>
      <c r="I10" s="137"/>
      <c r="J10" s="137"/>
      <c r="K10" s="137"/>
      <c r="L10" s="137"/>
      <c r="M10" s="137"/>
      <c r="N10" s="137">
        <f t="shared" ref="N10:X10" si="10">N4*0.04</f>
        <v>400</v>
      </c>
      <c r="O10" s="137">
        <f t="shared" si="10"/>
        <v>410</v>
      </c>
      <c r="P10" s="137">
        <f t="shared" si="10"/>
        <v>410</v>
      </c>
      <c r="Q10" s="137">
        <f t="shared" si="10"/>
        <v>600</v>
      </c>
      <c r="R10" s="137">
        <f t="shared" si="10"/>
        <v>600</v>
      </c>
      <c r="S10" s="137">
        <f t="shared" si="10"/>
        <v>600</v>
      </c>
      <c r="T10" s="137">
        <f t="shared" si="10"/>
        <v>600</v>
      </c>
      <c r="U10" s="137">
        <f t="shared" si="10"/>
        <v>600</v>
      </c>
      <c r="V10" s="137">
        <f t="shared" si="10"/>
        <v>600</v>
      </c>
      <c r="W10" s="137">
        <f t="shared" si="10"/>
        <v>600</v>
      </c>
      <c r="X10" s="137">
        <f t="shared" si="10"/>
        <v>600</v>
      </c>
      <c r="Y10" s="137"/>
    </row>
    <row r="11">
      <c r="A11" s="176" t="s">
        <v>206</v>
      </c>
      <c r="B11" s="177">
        <f t="shared" ref="B11:K11" si="11">B8-B9+B6</f>
        <v>6200</v>
      </c>
      <c r="C11" s="177">
        <f t="shared" si="11"/>
        <v>9600</v>
      </c>
      <c r="D11" s="177">
        <f t="shared" si="11"/>
        <v>6600</v>
      </c>
      <c r="E11" s="177">
        <f t="shared" si="11"/>
        <v>6600</v>
      </c>
      <c r="F11" s="177">
        <f t="shared" si="11"/>
        <v>6600</v>
      </c>
      <c r="G11" s="178">
        <f t="shared" si="11"/>
        <v>6600</v>
      </c>
      <c r="H11" s="177">
        <f t="shared" si="11"/>
        <v>11600</v>
      </c>
      <c r="I11" s="177">
        <f t="shared" si="11"/>
        <v>11600</v>
      </c>
      <c r="J11" s="177">
        <f t="shared" si="11"/>
        <v>6600</v>
      </c>
      <c r="K11" s="177">
        <f t="shared" si="11"/>
        <v>6600</v>
      </c>
      <c r="L11" s="177">
        <f t="shared" ref="L11:M11" si="12">L8-L9</f>
        <v>7400</v>
      </c>
      <c r="M11" s="177">
        <f t="shared" si="12"/>
        <v>7100</v>
      </c>
      <c r="N11" s="177">
        <f t="shared" ref="N11:X11" si="13">N8-N9-N10</f>
        <v>7275</v>
      </c>
      <c r="O11" s="177">
        <f t="shared" si="13"/>
        <v>8875</v>
      </c>
      <c r="P11" s="177">
        <f t="shared" si="13"/>
        <v>9855</v>
      </c>
      <c r="Q11" s="177">
        <f t="shared" si="13"/>
        <v>26300</v>
      </c>
      <c r="R11" s="177">
        <f t="shared" si="13"/>
        <v>26300</v>
      </c>
      <c r="S11" s="177">
        <f t="shared" si="13"/>
        <v>25800</v>
      </c>
      <c r="T11" s="177">
        <f t="shared" si="13"/>
        <v>25800</v>
      </c>
      <c r="U11" s="177">
        <f t="shared" si="13"/>
        <v>25800</v>
      </c>
      <c r="V11" s="177">
        <f t="shared" si="13"/>
        <v>25800</v>
      </c>
      <c r="W11" s="177">
        <f t="shared" si="13"/>
        <v>25800</v>
      </c>
      <c r="X11" s="177">
        <f t="shared" si="13"/>
        <v>25800</v>
      </c>
      <c r="Y11" s="177"/>
    </row>
    <row r="12">
      <c r="A12" s="182"/>
      <c r="B12" s="183"/>
      <c r="C12" s="183"/>
      <c r="D12" s="183"/>
      <c r="E12" s="183"/>
      <c r="F12" s="183"/>
      <c r="G12" s="184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145"/>
      <c r="S12" s="183"/>
      <c r="T12" s="183"/>
      <c r="U12" s="183"/>
      <c r="V12" s="183"/>
      <c r="W12" s="183"/>
      <c r="X12" s="183"/>
      <c r="Y12" s="183"/>
    </row>
    <row r="13">
      <c r="A13" s="1151" t="s">
        <v>1028</v>
      </c>
      <c r="B13" s="1140"/>
      <c r="C13" s="1140"/>
      <c r="D13" s="1140"/>
      <c r="E13" s="1140"/>
      <c r="F13" s="1140"/>
      <c r="G13" s="1141"/>
      <c r="H13" s="1140"/>
      <c r="I13" s="1140"/>
      <c r="J13" s="1140"/>
      <c r="K13" s="1140"/>
      <c r="L13" s="1140"/>
      <c r="M13" s="1140"/>
      <c r="N13" s="1140"/>
      <c r="O13" s="1140"/>
      <c r="P13" s="1140"/>
      <c r="Q13" s="1140"/>
      <c r="R13" s="1142"/>
      <c r="S13" s="1140"/>
      <c r="T13" s="1140"/>
      <c r="U13" s="1140"/>
      <c r="V13" s="1140"/>
      <c r="W13" s="1140"/>
      <c r="X13" s="1140"/>
      <c r="Y13" s="133"/>
    </row>
    <row r="14">
      <c r="A14" s="1152" t="s">
        <v>1006</v>
      </c>
      <c r="B14" s="1153"/>
      <c r="C14" s="1153"/>
      <c r="D14" s="1153"/>
      <c r="E14" s="1153"/>
      <c r="F14" s="1153"/>
      <c r="G14" s="1154"/>
      <c r="H14" s="1155"/>
      <c r="I14" s="1155"/>
      <c r="J14" s="1155"/>
      <c r="K14" s="1155"/>
      <c r="L14" s="1156"/>
      <c r="M14" s="1155"/>
      <c r="N14" s="1155"/>
      <c r="O14" s="1155"/>
      <c r="P14" s="1155"/>
      <c r="Q14" s="1155"/>
      <c r="R14" s="1157"/>
      <c r="S14" s="1155"/>
      <c r="T14" s="1155"/>
      <c r="U14" s="1155"/>
      <c r="V14" s="1155"/>
      <c r="W14" s="1155"/>
      <c r="X14" s="1155"/>
      <c r="Y14" s="138"/>
    </row>
    <row r="15">
      <c r="A15" s="144" t="s">
        <v>1029</v>
      </c>
      <c r="B15" s="137">
        <v>1150.0</v>
      </c>
      <c r="C15" s="137">
        <v>1000.0</v>
      </c>
      <c r="D15" s="137">
        <v>1000.0</v>
      </c>
      <c r="E15" s="137">
        <v>1120.0</v>
      </c>
      <c r="F15" s="137">
        <v>1000.0</v>
      </c>
      <c r="G15" s="175">
        <v>500.0</v>
      </c>
      <c r="H15" s="137">
        <f>160*4</f>
        <v>640</v>
      </c>
      <c r="I15" s="137">
        <f>125*4</f>
        <v>500</v>
      </c>
      <c r="J15" s="137">
        <f>25*7*4</f>
        <v>700</v>
      </c>
      <c r="K15" s="137">
        <f>50*7*4</f>
        <v>1400</v>
      </c>
      <c r="L15" s="137">
        <f>25*7*4</f>
        <v>700</v>
      </c>
      <c r="M15" s="137">
        <v>1500.0</v>
      </c>
      <c r="N15" s="137">
        <f t="shared" ref="N15:Q15" si="14">30*5*4</f>
        <v>600</v>
      </c>
      <c r="O15" s="137">
        <f t="shared" si="14"/>
        <v>600</v>
      </c>
      <c r="P15" s="137">
        <f t="shared" si="14"/>
        <v>600</v>
      </c>
      <c r="Q15" s="137">
        <f t="shared" si="14"/>
        <v>600</v>
      </c>
      <c r="R15" s="137">
        <f t="shared" ref="R15:X15" si="15">50*5*4</f>
        <v>1000</v>
      </c>
      <c r="S15" s="137">
        <f t="shared" si="15"/>
        <v>1000</v>
      </c>
      <c r="T15" s="137">
        <f t="shared" si="15"/>
        <v>1000</v>
      </c>
      <c r="U15" s="137">
        <f t="shared" si="15"/>
        <v>1000</v>
      </c>
      <c r="V15" s="137">
        <f t="shared" si="15"/>
        <v>1000</v>
      </c>
      <c r="W15" s="137">
        <f t="shared" si="15"/>
        <v>1000</v>
      </c>
      <c r="X15" s="137">
        <f t="shared" si="15"/>
        <v>1000</v>
      </c>
      <c r="Y15" s="137"/>
    </row>
    <row r="16">
      <c r="A16" s="144" t="s">
        <v>1030</v>
      </c>
      <c r="B16" s="137"/>
      <c r="C16" s="137"/>
      <c r="D16" s="137"/>
      <c r="E16" s="137"/>
      <c r="F16" s="137"/>
      <c r="G16" s="175"/>
      <c r="H16" s="137">
        <f>100*4</f>
        <v>400</v>
      </c>
      <c r="I16" s="137">
        <f>200*4</f>
        <v>800</v>
      </c>
      <c r="J16" s="137">
        <f t="shared" ref="J16:K16" si="16">50*2*2*4</f>
        <v>800</v>
      </c>
      <c r="K16" s="137">
        <f t="shared" si="16"/>
        <v>800</v>
      </c>
      <c r="L16" s="137">
        <f>40*2*4</f>
        <v>320</v>
      </c>
      <c r="M16" s="137">
        <f t="shared" ref="M16:Q16" si="17">50*2*4</f>
        <v>400</v>
      </c>
      <c r="N16" s="137">
        <f t="shared" si="17"/>
        <v>400</v>
      </c>
      <c r="O16" s="137">
        <f t="shared" si="17"/>
        <v>400</v>
      </c>
      <c r="P16" s="137">
        <f t="shared" si="17"/>
        <v>400</v>
      </c>
      <c r="Q16" s="137">
        <f t="shared" si="17"/>
        <v>400</v>
      </c>
      <c r="R16" s="137">
        <f t="shared" ref="R16:X16" si="18">100*2*4</f>
        <v>800</v>
      </c>
      <c r="S16" s="137">
        <f t="shared" si="18"/>
        <v>800</v>
      </c>
      <c r="T16" s="137">
        <f t="shared" si="18"/>
        <v>800</v>
      </c>
      <c r="U16" s="137">
        <f t="shared" si="18"/>
        <v>800</v>
      </c>
      <c r="V16" s="137">
        <f t="shared" si="18"/>
        <v>800</v>
      </c>
      <c r="W16" s="137">
        <f t="shared" si="18"/>
        <v>800</v>
      </c>
      <c r="X16" s="137">
        <f t="shared" si="18"/>
        <v>800</v>
      </c>
      <c r="Y16" s="137"/>
    </row>
    <row r="17">
      <c r="A17" s="1158" t="s">
        <v>216</v>
      </c>
      <c r="B17" s="1153"/>
      <c r="C17" s="1153"/>
      <c r="D17" s="1153"/>
      <c r="E17" s="1153"/>
      <c r="F17" s="1153"/>
      <c r="G17" s="1154"/>
      <c r="H17" s="1155"/>
      <c r="I17" s="1155"/>
      <c r="J17" s="1155"/>
      <c r="K17" s="1155"/>
      <c r="L17" s="1156"/>
      <c r="M17" s="1155"/>
      <c r="N17" s="1155"/>
      <c r="O17" s="1155"/>
      <c r="P17" s="1155"/>
      <c r="Q17" s="1155"/>
      <c r="R17" s="1157"/>
      <c r="S17" s="1155"/>
      <c r="T17" s="1155"/>
      <c r="U17" s="1155"/>
      <c r="V17" s="1155"/>
      <c r="W17" s="1155"/>
      <c r="X17" s="1155"/>
      <c r="Y17" s="138"/>
    </row>
    <row r="18">
      <c r="A18" s="144" t="s">
        <v>1031</v>
      </c>
      <c r="B18" s="137">
        <v>200.0</v>
      </c>
      <c r="C18" s="137">
        <v>200.0</v>
      </c>
      <c r="D18" s="137">
        <v>100.0</v>
      </c>
      <c r="E18" s="137">
        <v>200.0</v>
      </c>
      <c r="F18" s="137">
        <v>200.0</v>
      </c>
      <c r="G18" s="175">
        <v>200.0</v>
      </c>
      <c r="H18" s="137">
        <f>8*4*4+20*4</f>
        <v>208</v>
      </c>
      <c r="I18" s="137">
        <f>8*7*4</f>
        <v>224</v>
      </c>
      <c r="J18" s="137">
        <f>8*4*4</f>
        <v>128</v>
      </c>
      <c r="K18" s="137">
        <f>8*7*4</f>
        <v>224</v>
      </c>
      <c r="L18" s="137">
        <f>8*4*4</f>
        <v>128</v>
      </c>
      <c r="M18" s="137">
        <f>8*5*4</f>
        <v>160</v>
      </c>
      <c r="N18" s="137">
        <f t="shared" ref="N18:X18" si="19">8*7*4</f>
        <v>224</v>
      </c>
      <c r="O18" s="137">
        <f t="shared" si="19"/>
        <v>224</v>
      </c>
      <c r="P18" s="137">
        <f t="shared" si="19"/>
        <v>224</v>
      </c>
      <c r="Q18" s="137">
        <f t="shared" si="19"/>
        <v>224</v>
      </c>
      <c r="R18" s="1150">
        <f t="shared" si="19"/>
        <v>224</v>
      </c>
      <c r="S18" s="137">
        <f t="shared" si="19"/>
        <v>224</v>
      </c>
      <c r="T18" s="137">
        <f t="shared" si="19"/>
        <v>224</v>
      </c>
      <c r="U18" s="137">
        <f t="shared" si="19"/>
        <v>224</v>
      </c>
      <c r="V18" s="137">
        <f t="shared" si="19"/>
        <v>224</v>
      </c>
      <c r="W18" s="137">
        <f t="shared" si="19"/>
        <v>224</v>
      </c>
      <c r="X18" s="137">
        <f t="shared" si="19"/>
        <v>224</v>
      </c>
      <c r="Y18" s="137"/>
    </row>
    <row r="19">
      <c r="A19" s="144" t="s">
        <v>1032</v>
      </c>
      <c r="B19" s="137"/>
      <c r="C19" s="137"/>
      <c r="D19" s="137"/>
      <c r="E19" s="137"/>
      <c r="F19" s="137"/>
      <c r="G19" s="137"/>
      <c r="H19" s="137"/>
      <c r="I19" s="137">
        <f>170*4-20</f>
        <v>660</v>
      </c>
      <c r="J19" s="137">
        <f t="shared" ref="J19:K19" si="20">22*7*4</f>
        <v>616</v>
      </c>
      <c r="K19" s="137">
        <f t="shared" si="20"/>
        <v>616</v>
      </c>
      <c r="L19" s="137">
        <f t="shared" ref="L19:M19" si="21">20*4*4</f>
        <v>320</v>
      </c>
      <c r="M19" s="137">
        <f t="shared" si="21"/>
        <v>320</v>
      </c>
      <c r="N19" s="137">
        <f>22*7*4</f>
        <v>616</v>
      </c>
      <c r="O19" s="137">
        <f t="shared" ref="O19:Q19" si="22">15*7*4</f>
        <v>420</v>
      </c>
      <c r="P19" s="137">
        <f t="shared" si="22"/>
        <v>420</v>
      </c>
      <c r="Q19" s="137">
        <f t="shared" si="22"/>
        <v>420</v>
      </c>
      <c r="R19" s="137">
        <f t="shared" ref="R19:X19" si="23">20*7*4</f>
        <v>560</v>
      </c>
      <c r="S19" s="137">
        <f t="shared" si="23"/>
        <v>560</v>
      </c>
      <c r="T19" s="137">
        <f t="shared" si="23"/>
        <v>560</v>
      </c>
      <c r="U19" s="137">
        <f t="shared" si="23"/>
        <v>560</v>
      </c>
      <c r="V19" s="137">
        <f t="shared" si="23"/>
        <v>560</v>
      </c>
      <c r="W19" s="137">
        <f t="shared" si="23"/>
        <v>560</v>
      </c>
      <c r="X19" s="137">
        <f t="shared" si="23"/>
        <v>560</v>
      </c>
      <c r="Y19" s="137"/>
    </row>
    <row r="20">
      <c r="A20" s="144" t="s">
        <v>215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>
        <v>0.0</v>
      </c>
      <c r="N20" s="137">
        <v>0.0</v>
      </c>
      <c r="O20" s="137">
        <v>0.0</v>
      </c>
      <c r="P20" s="137">
        <v>0.0</v>
      </c>
      <c r="Q20" s="137">
        <v>0.0</v>
      </c>
      <c r="R20" s="194">
        <v>640.0</v>
      </c>
      <c r="S20" s="194">
        <v>640.0</v>
      </c>
      <c r="T20" s="194">
        <v>640.0</v>
      </c>
      <c r="U20" s="194">
        <v>640.0</v>
      </c>
      <c r="V20" s="194">
        <v>640.0</v>
      </c>
      <c r="W20" s="194">
        <v>640.0</v>
      </c>
      <c r="X20" s="194">
        <v>640.0</v>
      </c>
      <c r="Y20" s="137"/>
    </row>
    <row r="21">
      <c r="A21" s="1152" t="s">
        <v>209</v>
      </c>
      <c r="B21" s="1153"/>
      <c r="C21" s="1153"/>
      <c r="D21" s="1153"/>
      <c r="E21" s="1153"/>
      <c r="F21" s="1153"/>
      <c r="G21" s="1154"/>
      <c r="H21" s="1155"/>
      <c r="I21" s="1155"/>
      <c r="J21" s="1155"/>
      <c r="K21" s="1155"/>
      <c r="L21" s="1156"/>
      <c r="M21" s="1155"/>
      <c r="N21" s="1155"/>
      <c r="O21" s="1155"/>
      <c r="P21" s="1155"/>
      <c r="Q21" s="1155"/>
      <c r="R21" s="1157"/>
      <c r="S21" s="1155"/>
      <c r="T21" s="1155"/>
      <c r="U21" s="1155"/>
      <c r="V21" s="1155"/>
      <c r="W21" s="1155"/>
      <c r="X21" s="1155"/>
      <c r="Y21" s="138"/>
    </row>
    <row r="22">
      <c r="A22" s="144" t="s">
        <v>210</v>
      </c>
      <c r="B22" s="137">
        <v>1450.0</v>
      </c>
      <c r="C22" s="137">
        <v>1450.0</v>
      </c>
      <c r="D22" s="137">
        <v>1450.0</v>
      </c>
      <c r="E22" s="137">
        <v>1450.0</v>
      </c>
      <c r="F22" s="137">
        <v>1450.0</v>
      </c>
      <c r="G22" s="175">
        <f>1450+350</f>
        <v>1800</v>
      </c>
      <c r="H22" s="137">
        <f>1853+569</f>
        <v>2422</v>
      </c>
      <c r="I22" s="137">
        <v>0.0</v>
      </c>
      <c r="J22" s="137">
        <v>1000.0</v>
      </c>
      <c r="K22" s="137">
        <f>3383-1500</f>
        <v>1883</v>
      </c>
      <c r="L22" s="137">
        <f>1954</f>
        <v>1954</v>
      </c>
      <c r="M22" s="137">
        <v>1900.0</v>
      </c>
      <c r="N22" s="137">
        <v>1900.0</v>
      </c>
      <c r="O22" s="137">
        <v>1900.0</v>
      </c>
      <c r="P22" s="137">
        <v>1900.0</v>
      </c>
      <c r="Q22" s="137">
        <v>1900.0</v>
      </c>
      <c r="R22" s="137">
        <v>1900.0</v>
      </c>
      <c r="S22" s="137">
        <v>1900.0</v>
      </c>
      <c r="T22" s="137">
        <v>2200.0</v>
      </c>
      <c r="U22" s="137">
        <v>2200.0</v>
      </c>
      <c r="V22" s="137">
        <v>2200.0</v>
      </c>
      <c r="W22" s="137">
        <v>2200.0</v>
      </c>
      <c r="X22" s="137">
        <v>2200.0</v>
      </c>
      <c r="Y22" s="137"/>
    </row>
    <row r="23">
      <c r="A23" s="144" t="s">
        <v>1033</v>
      </c>
      <c r="B23" s="145">
        <v>9.0</v>
      </c>
      <c r="C23" s="145">
        <v>9.0</v>
      </c>
      <c r="D23" s="145">
        <v>9.0</v>
      </c>
      <c r="E23" s="145">
        <v>9.0</v>
      </c>
      <c r="F23" s="145">
        <v>9.0</v>
      </c>
      <c r="G23" s="146">
        <v>9.0</v>
      </c>
      <c r="H23" s="145">
        <v>9.0</v>
      </c>
      <c r="I23" s="145">
        <f t="shared" ref="I23:K23" si="24">18.42/2</f>
        <v>9.21</v>
      </c>
      <c r="J23" s="145">
        <f t="shared" si="24"/>
        <v>9.21</v>
      </c>
      <c r="K23" s="145">
        <f t="shared" si="24"/>
        <v>9.21</v>
      </c>
      <c r="L23" s="145">
        <v>11.0</v>
      </c>
      <c r="M23" s="145">
        <f t="shared" ref="M23:X23" si="25">18.42/2</f>
        <v>9.21</v>
      </c>
      <c r="N23" s="145">
        <f t="shared" si="25"/>
        <v>9.21</v>
      </c>
      <c r="O23" s="145">
        <f t="shared" si="25"/>
        <v>9.21</v>
      </c>
      <c r="P23" s="145">
        <f t="shared" si="25"/>
        <v>9.21</v>
      </c>
      <c r="Q23" s="145">
        <f t="shared" si="25"/>
        <v>9.21</v>
      </c>
      <c r="R23" s="1159">
        <f t="shared" si="25"/>
        <v>9.21</v>
      </c>
      <c r="S23" s="145">
        <f t="shared" si="25"/>
        <v>9.21</v>
      </c>
      <c r="T23" s="145">
        <f t="shared" si="25"/>
        <v>9.21</v>
      </c>
      <c r="U23" s="145">
        <f t="shared" si="25"/>
        <v>9.21</v>
      </c>
      <c r="V23" s="145">
        <f t="shared" si="25"/>
        <v>9.21</v>
      </c>
      <c r="W23" s="145">
        <f t="shared" si="25"/>
        <v>9.21</v>
      </c>
      <c r="X23" s="145">
        <f t="shared" si="25"/>
        <v>9.21</v>
      </c>
      <c r="Y23" s="145"/>
    </row>
    <row r="24">
      <c r="A24" s="144" t="s">
        <v>1034</v>
      </c>
      <c r="B24" s="137"/>
      <c r="C24" s="137"/>
      <c r="D24" s="137"/>
      <c r="E24" s="137"/>
      <c r="F24" s="137"/>
      <c r="G24" s="175"/>
      <c r="H24" s="137">
        <v>400.0</v>
      </c>
      <c r="I24" s="137">
        <f>75*4</f>
        <v>300</v>
      </c>
      <c r="J24" s="137">
        <f>50*4</f>
        <v>200</v>
      </c>
      <c r="K24" s="137">
        <f t="shared" ref="K24:P24" si="26">55*4</f>
        <v>220</v>
      </c>
      <c r="L24" s="137">
        <f t="shared" si="26"/>
        <v>220</v>
      </c>
      <c r="M24" s="137">
        <f t="shared" si="26"/>
        <v>220</v>
      </c>
      <c r="N24" s="137">
        <f t="shared" si="26"/>
        <v>220</v>
      </c>
      <c r="O24" s="137">
        <f t="shared" si="26"/>
        <v>220</v>
      </c>
      <c r="P24" s="137">
        <f t="shared" si="26"/>
        <v>220</v>
      </c>
      <c r="Q24" s="137">
        <f t="shared" ref="Q24:X24" si="27">100*4</f>
        <v>400</v>
      </c>
      <c r="R24" s="1150">
        <f t="shared" si="27"/>
        <v>400</v>
      </c>
      <c r="S24" s="137">
        <f t="shared" si="27"/>
        <v>400</v>
      </c>
      <c r="T24" s="137">
        <f t="shared" si="27"/>
        <v>400</v>
      </c>
      <c r="U24" s="137">
        <f t="shared" si="27"/>
        <v>400</v>
      </c>
      <c r="V24" s="137">
        <f t="shared" si="27"/>
        <v>400</v>
      </c>
      <c r="W24" s="137">
        <f t="shared" si="27"/>
        <v>400</v>
      </c>
      <c r="X24" s="137">
        <f t="shared" si="27"/>
        <v>400</v>
      </c>
      <c r="Y24" s="137"/>
    </row>
    <row r="25">
      <c r="A25" s="144" t="s">
        <v>1035</v>
      </c>
      <c r="B25" s="137"/>
      <c r="C25" s="137"/>
      <c r="D25" s="137"/>
      <c r="E25" s="137"/>
      <c r="F25" s="137"/>
      <c r="G25" s="175"/>
      <c r="H25" s="137">
        <v>100.0</v>
      </c>
      <c r="I25" s="137">
        <v>35.0</v>
      </c>
      <c r="J25" s="137">
        <v>90.0</v>
      </c>
      <c r="K25" s="137">
        <f>90</f>
        <v>90</v>
      </c>
      <c r="L25" s="137">
        <v>20.0</v>
      </c>
      <c r="M25" s="137">
        <v>90.0</v>
      </c>
      <c r="N25" s="137">
        <v>90.0</v>
      </c>
      <c r="O25" s="137">
        <v>90.0</v>
      </c>
      <c r="P25" s="137">
        <v>90.0</v>
      </c>
      <c r="Q25" s="137">
        <v>90.0</v>
      </c>
      <c r="R25" s="1150">
        <v>90.0</v>
      </c>
      <c r="S25" s="137">
        <v>90.0</v>
      </c>
      <c r="T25" s="137">
        <v>90.0</v>
      </c>
      <c r="U25" s="137">
        <v>90.0</v>
      </c>
      <c r="V25" s="137">
        <v>90.0</v>
      </c>
      <c r="W25" s="137">
        <v>90.0</v>
      </c>
      <c r="X25" s="137">
        <v>90.0</v>
      </c>
      <c r="Y25" s="137"/>
    </row>
    <row r="26">
      <c r="A26" s="144" t="s">
        <v>212</v>
      </c>
      <c r="B26" s="145">
        <f t="shared" ref="B26:X26" si="28">62.95/2</f>
        <v>31.475</v>
      </c>
      <c r="C26" s="145">
        <f t="shared" si="28"/>
        <v>31.475</v>
      </c>
      <c r="D26" s="145">
        <f t="shared" si="28"/>
        <v>31.475</v>
      </c>
      <c r="E26" s="145">
        <f t="shared" si="28"/>
        <v>31.475</v>
      </c>
      <c r="F26" s="145">
        <f t="shared" si="28"/>
        <v>31.475</v>
      </c>
      <c r="G26" s="146">
        <f t="shared" si="28"/>
        <v>31.475</v>
      </c>
      <c r="H26" s="145">
        <f t="shared" si="28"/>
        <v>31.475</v>
      </c>
      <c r="I26" s="145">
        <f t="shared" si="28"/>
        <v>31.475</v>
      </c>
      <c r="J26" s="145">
        <f t="shared" si="28"/>
        <v>31.475</v>
      </c>
      <c r="K26" s="145">
        <f t="shared" si="28"/>
        <v>31.475</v>
      </c>
      <c r="L26" s="145">
        <f t="shared" si="28"/>
        <v>31.475</v>
      </c>
      <c r="M26" s="145">
        <f t="shared" si="28"/>
        <v>31.475</v>
      </c>
      <c r="N26" s="145">
        <f t="shared" si="28"/>
        <v>31.475</v>
      </c>
      <c r="O26" s="145">
        <f t="shared" si="28"/>
        <v>31.475</v>
      </c>
      <c r="P26" s="145">
        <f t="shared" si="28"/>
        <v>31.475</v>
      </c>
      <c r="Q26" s="145">
        <f t="shared" si="28"/>
        <v>31.475</v>
      </c>
      <c r="R26" s="1159">
        <f t="shared" si="28"/>
        <v>31.475</v>
      </c>
      <c r="S26" s="145">
        <f t="shared" si="28"/>
        <v>31.475</v>
      </c>
      <c r="T26" s="145">
        <f t="shared" si="28"/>
        <v>31.475</v>
      </c>
      <c r="U26" s="145">
        <f t="shared" si="28"/>
        <v>31.475</v>
      </c>
      <c r="V26" s="145">
        <f t="shared" si="28"/>
        <v>31.475</v>
      </c>
      <c r="W26" s="145">
        <f t="shared" si="28"/>
        <v>31.475</v>
      </c>
      <c r="X26" s="145">
        <f t="shared" si="28"/>
        <v>31.475</v>
      </c>
      <c r="Y26" s="145"/>
    </row>
    <row r="27">
      <c r="A27" s="144" t="s">
        <v>1036</v>
      </c>
      <c r="B27" s="137"/>
      <c r="C27" s="137"/>
      <c r="D27" s="137">
        <v>50.0</v>
      </c>
      <c r="E27" s="137">
        <v>50.0</v>
      </c>
      <c r="F27" s="137">
        <v>50.0</v>
      </c>
      <c r="G27" s="137">
        <v>50.0</v>
      </c>
      <c r="H27" s="137">
        <v>100.0</v>
      </c>
      <c r="I27" s="137">
        <f>30+40</f>
        <v>70</v>
      </c>
      <c r="J27" s="137">
        <v>0.0</v>
      </c>
      <c r="K27" s="137">
        <v>50.0</v>
      </c>
      <c r="L27" s="137">
        <v>50.0</v>
      </c>
      <c r="M27" s="137">
        <v>20.0</v>
      </c>
      <c r="N27" s="137">
        <v>0.0</v>
      </c>
      <c r="O27" s="137">
        <v>0.0</v>
      </c>
      <c r="P27" s="137">
        <v>50.0</v>
      </c>
      <c r="Q27" s="137">
        <v>50.0</v>
      </c>
      <c r="R27" s="1150">
        <v>50.0</v>
      </c>
      <c r="S27" s="137">
        <v>50.0</v>
      </c>
      <c r="T27" s="137">
        <v>50.0</v>
      </c>
      <c r="U27" s="137">
        <v>50.0</v>
      </c>
      <c r="V27" s="137">
        <v>50.0</v>
      </c>
      <c r="W27" s="137">
        <v>50.0</v>
      </c>
      <c r="X27" s="137">
        <v>50.0</v>
      </c>
      <c r="Y27" s="137"/>
    </row>
    <row r="28">
      <c r="A28" s="144" t="s">
        <v>1037</v>
      </c>
      <c r="B28" s="137"/>
      <c r="C28" s="137"/>
      <c r="D28" s="137"/>
      <c r="E28" s="137"/>
      <c r="F28" s="137"/>
      <c r="G28" s="137"/>
      <c r="H28" s="137">
        <v>600.0</v>
      </c>
      <c r="I28" s="137">
        <v>0.0</v>
      </c>
      <c r="J28" s="137">
        <v>0.0</v>
      </c>
      <c r="K28" s="137">
        <v>0.0</v>
      </c>
      <c r="L28" s="137">
        <v>0.0</v>
      </c>
      <c r="M28" s="137">
        <v>0.0</v>
      </c>
      <c r="N28" s="137">
        <v>0.0</v>
      </c>
      <c r="O28" s="137">
        <v>0.0</v>
      </c>
      <c r="P28" s="137">
        <v>0.0</v>
      </c>
      <c r="Q28" s="137">
        <v>250.0</v>
      </c>
      <c r="R28" s="1150">
        <v>500.0</v>
      </c>
      <c r="S28" s="137">
        <v>250.0</v>
      </c>
      <c r="T28" s="137">
        <v>250.0</v>
      </c>
      <c r="U28" s="137">
        <v>250.0</v>
      </c>
      <c r="V28" s="137">
        <v>250.0</v>
      </c>
      <c r="W28" s="137">
        <v>250.0</v>
      </c>
      <c r="X28" s="137">
        <v>250.0</v>
      </c>
      <c r="Y28" s="137"/>
    </row>
    <row r="29" ht="15.75" customHeight="1">
      <c r="A29" s="144" t="s">
        <v>723</v>
      </c>
      <c r="B29" s="137"/>
      <c r="C29" s="137"/>
      <c r="D29" s="137"/>
      <c r="E29" s="137"/>
      <c r="F29" s="137"/>
      <c r="G29" s="137"/>
      <c r="H29" s="137">
        <v>10.0</v>
      </c>
      <c r="I29" s="137">
        <v>0.0</v>
      </c>
      <c r="J29" s="137">
        <f>12*2</f>
        <v>24</v>
      </c>
      <c r="K29" s="137">
        <v>0.0</v>
      </c>
      <c r="L29" s="137">
        <v>0.0</v>
      </c>
      <c r="M29" s="137">
        <f t="shared" ref="M29:P29" si="29">12*1</f>
        <v>12</v>
      </c>
      <c r="N29" s="137">
        <f t="shared" si="29"/>
        <v>12</v>
      </c>
      <c r="O29" s="137">
        <f t="shared" si="29"/>
        <v>12</v>
      </c>
      <c r="P29" s="137">
        <f t="shared" si="29"/>
        <v>12</v>
      </c>
      <c r="Q29" s="137">
        <v>24.0</v>
      </c>
      <c r="R29" s="137">
        <v>24.0</v>
      </c>
      <c r="S29" s="137">
        <v>24.0</v>
      </c>
      <c r="T29" s="137">
        <v>24.0</v>
      </c>
      <c r="U29" s="137">
        <v>24.0</v>
      </c>
      <c r="V29" s="137">
        <v>24.0</v>
      </c>
      <c r="W29" s="137">
        <v>24.0</v>
      </c>
      <c r="X29" s="137">
        <v>24.0</v>
      </c>
      <c r="Y29" s="137"/>
    </row>
    <row r="30">
      <c r="A30" s="144" t="s">
        <v>29</v>
      </c>
      <c r="B30" s="137"/>
      <c r="C30" s="137"/>
      <c r="D30" s="137"/>
      <c r="E30" s="137"/>
      <c r="F30" s="137"/>
      <c r="G30" s="137"/>
      <c r="H30" s="137">
        <v>100.0</v>
      </c>
      <c r="I30" s="137">
        <v>60.0</v>
      </c>
      <c r="J30" s="137">
        <v>250.0</v>
      </c>
      <c r="K30" s="137">
        <v>0.0</v>
      </c>
      <c r="L30" s="137">
        <v>50.0</v>
      </c>
      <c r="M30" s="137">
        <v>0.0</v>
      </c>
      <c r="N30" s="137">
        <v>100.0</v>
      </c>
      <c r="O30" s="137">
        <v>100.0</v>
      </c>
      <c r="P30" s="137">
        <v>100.0</v>
      </c>
      <c r="Q30" s="137">
        <v>150.0</v>
      </c>
      <c r="R30" s="137">
        <v>200.0</v>
      </c>
      <c r="S30" s="137">
        <v>200.0</v>
      </c>
      <c r="T30" s="137">
        <v>200.0</v>
      </c>
      <c r="U30" s="137">
        <v>200.0</v>
      </c>
      <c r="V30" s="137">
        <v>200.0</v>
      </c>
      <c r="W30" s="137">
        <v>200.0</v>
      </c>
      <c r="X30" s="137">
        <v>200.0</v>
      </c>
      <c r="Y30" s="137"/>
    </row>
    <row r="31">
      <c r="A31" s="144" t="s">
        <v>230</v>
      </c>
      <c r="B31" s="137"/>
      <c r="C31" s="137"/>
      <c r="D31" s="137"/>
      <c r="E31" s="137"/>
      <c r="F31" s="137"/>
      <c r="G31" s="137"/>
      <c r="H31" s="137">
        <v>100.0</v>
      </c>
      <c r="I31" s="137">
        <f>60+20+350</f>
        <v>430</v>
      </c>
      <c r="J31" s="137">
        <v>50.0</v>
      </c>
      <c r="K31" s="137">
        <v>60.0</v>
      </c>
      <c r="L31" s="137">
        <v>60.0</v>
      </c>
      <c r="M31" s="137">
        <v>95.0</v>
      </c>
      <c r="N31" s="137">
        <v>100.0</v>
      </c>
      <c r="O31" s="137">
        <v>100.0</v>
      </c>
      <c r="P31" s="137">
        <v>100.0</v>
      </c>
      <c r="Q31" s="137">
        <v>150.0</v>
      </c>
      <c r="R31" s="137">
        <v>200.0</v>
      </c>
      <c r="S31" s="137">
        <v>200.0</v>
      </c>
      <c r="T31" s="137">
        <v>200.0</v>
      </c>
      <c r="U31" s="137">
        <v>200.0</v>
      </c>
      <c r="V31" s="137">
        <v>200.0</v>
      </c>
      <c r="W31" s="137">
        <v>200.0</v>
      </c>
      <c r="X31" s="137">
        <v>200.0</v>
      </c>
      <c r="Y31" s="137"/>
    </row>
    <row r="32">
      <c r="A32" s="144" t="s">
        <v>1003</v>
      </c>
      <c r="B32" s="145"/>
      <c r="C32" s="145"/>
      <c r="D32" s="145">
        <v>100.0</v>
      </c>
      <c r="E32" s="145">
        <v>128.79</v>
      </c>
      <c r="F32" s="145">
        <v>120.0</v>
      </c>
      <c r="G32" s="146">
        <f>120+500</f>
        <v>620</v>
      </c>
      <c r="H32" s="145">
        <v>120.64</v>
      </c>
      <c r="I32" s="145">
        <v>120.64</v>
      </c>
      <c r="J32" s="145">
        <v>120.64</v>
      </c>
      <c r="K32" s="145">
        <v>150.0</v>
      </c>
      <c r="L32" s="145">
        <v>120.64</v>
      </c>
      <c r="M32" s="145">
        <v>120.64</v>
      </c>
      <c r="N32" s="145">
        <v>120.0</v>
      </c>
      <c r="O32" s="145">
        <v>120.0</v>
      </c>
      <c r="P32" s="145">
        <v>120.0</v>
      </c>
      <c r="Q32" s="145">
        <v>120.0</v>
      </c>
      <c r="R32" s="1159">
        <v>120.0</v>
      </c>
      <c r="S32" s="145">
        <v>120.0</v>
      </c>
      <c r="T32" s="145">
        <v>120.0</v>
      </c>
      <c r="U32" s="145">
        <v>120.0</v>
      </c>
      <c r="V32" s="145">
        <v>120.0</v>
      </c>
      <c r="W32" s="145">
        <v>120.0</v>
      </c>
      <c r="X32" s="145">
        <v>120.0</v>
      </c>
      <c r="Y32" s="145"/>
    </row>
    <row r="33">
      <c r="A33" s="1152" t="s">
        <v>1038</v>
      </c>
      <c r="B33" s="1153"/>
      <c r="C33" s="1153"/>
      <c r="D33" s="1153"/>
      <c r="E33" s="1153"/>
      <c r="F33" s="1153"/>
      <c r="G33" s="1154"/>
      <c r="H33" s="1155"/>
      <c r="I33" s="1155"/>
      <c r="J33" s="1155"/>
      <c r="K33" s="1155"/>
      <c r="L33" s="1155"/>
      <c r="M33" s="1155"/>
      <c r="N33" s="1155"/>
      <c r="O33" s="1155"/>
      <c r="P33" s="1155"/>
      <c r="Q33" s="1155"/>
      <c r="R33" s="1157"/>
      <c r="S33" s="1155"/>
      <c r="T33" s="1155"/>
      <c r="U33" s="1155"/>
      <c r="V33" s="1155"/>
      <c r="W33" s="1155"/>
      <c r="X33" s="1155"/>
      <c r="Y33" s="138"/>
    </row>
    <row r="34">
      <c r="A34" s="144" t="s">
        <v>229</v>
      </c>
      <c r="B34" s="137">
        <v>0.0</v>
      </c>
      <c r="C34" s="137">
        <v>0.0</v>
      </c>
      <c r="D34" s="137">
        <v>0.0</v>
      </c>
      <c r="E34" s="137">
        <v>0.0</v>
      </c>
      <c r="F34" s="137">
        <v>0.0</v>
      </c>
      <c r="G34" s="175">
        <v>0.0</v>
      </c>
      <c r="H34" s="137">
        <v>25.0</v>
      </c>
      <c r="I34" s="137">
        <v>0.0</v>
      </c>
      <c r="J34" s="137">
        <v>0.0</v>
      </c>
      <c r="K34" s="137">
        <v>0.0</v>
      </c>
      <c r="L34" s="137">
        <v>0.0</v>
      </c>
      <c r="M34" s="137">
        <v>0.0</v>
      </c>
      <c r="N34" s="137">
        <v>0.0</v>
      </c>
      <c r="O34" s="137">
        <v>0.0</v>
      </c>
      <c r="P34" s="137">
        <v>0.0</v>
      </c>
      <c r="Q34" s="137">
        <v>0.0</v>
      </c>
      <c r="R34" s="1150">
        <v>0.0</v>
      </c>
      <c r="S34" s="137">
        <v>0.0</v>
      </c>
      <c r="T34" s="137">
        <v>0.0</v>
      </c>
      <c r="U34" s="137">
        <v>0.0</v>
      </c>
      <c r="V34" s="137">
        <v>0.0</v>
      </c>
      <c r="W34" s="137">
        <v>0.0</v>
      </c>
      <c r="X34" s="137">
        <v>0.0</v>
      </c>
      <c r="Y34" s="137"/>
    </row>
    <row r="35">
      <c r="A35" s="144" t="s">
        <v>30</v>
      </c>
      <c r="B35" s="137"/>
      <c r="C35" s="137"/>
      <c r="D35" s="137"/>
      <c r="E35" s="137"/>
      <c r="F35" s="137"/>
      <c r="G35" s="175"/>
      <c r="H35" s="137"/>
      <c r="I35" s="137">
        <v>0.0</v>
      </c>
      <c r="J35" s="137">
        <v>0.0</v>
      </c>
      <c r="K35" s="137">
        <v>0.0</v>
      </c>
      <c r="L35" s="137">
        <v>0.0</v>
      </c>
      <c r="M35" s="137">
        <v>0.0</v>
      </c>
      <c r="N35" s="137">
        <v>0.0</v>
      </c>
      <c r="O35" s="137">
        <v>0.0</v>
      </c>
      <c r="P35" s="137">
        <v>0.0</v>
      </c>
      <c r="Q35" s="137">
        <v>0.0</v>
      </c>
      <c r="R35" s="1150">
        <v>0.0</v>
      </c>
      <c r="S35" s="137">
        <v>0.0</v>
      </c>
      <c r="T35" s="137">
        <v>0.0</v>
      </c>
      <c r="U35" s="137">
        <v>0.0</v>
      </c>
      <c r="V35" s="137">
        <v>0.0</v>
      </c>
      <c r="W35" s="137">
        <v>0.0</v>
      </c>
      <c r="X35" s="137">
        <v>0.0</v>
      </c>
      <c r="Y35" s="137"/>
    </row>
    <row r="36">
      <c r="A36" s="144" t="s">
        <v>231</v>
      </c>
      <c r="B36" s="137">
        <v>0.0</v>
      </c>
      <c r="C36" s="137">
        <v>0.0</v>
      </c>
      <c r="D36" s="137">
        <v>0.0</v>
      </c>
      <c r="E36" s="137">
        <v>0.0</v>
      </c>
      <c r="F36" s="137">
        <v>0.0</v>
      </c>
      <c r="G36" s="175">
        <v>0.0</v>
      </c>
      <c r="H36" s="137">
        <v>0.0</v>
      </c>
      <c r="I36" s="137">
        <v>0.0</v>
      </c>
      <c r="J36" s="137">
        <v>0.0</v>
      </c>
      <c r="K36" s="137">
        <v>0.0</v>
      </c>
      <c r="L36" s="137">
        <v>0.0</v>
      </c>
      <c r="M36" s="137">
        <v>0.0</v>
      </c>
      <c r="N36" s="137">
        <v>0.0</v>
      </c>
      <c r="O36" s="137">
        <v>0.0</v>
      </c>
      <c r="P36" s="137">
        <v>0.0</v>
      </c>
      <c r="Q36" s="137">
        <v>0.0</v>
      </c>
      <c r="R36" s="1150">
        <v>0.0</v>
      </c>
      <c r="S36" s="137">
        <v>0.0</v>
      </c>
      <c r="T36" s="137">
        <v>0.0</v>
      </c>
      <c r="U36" s="137">
        <v>0.0</v>
      </c>
      <c r="V36" s="137">
        <v>0.0</v>
      </c>
      <c r="W36" s="137">
        <v>0.0</v>
      </c>
      <c r="X36" s="137">
        <v>0.0</v>
      </c>
      <c r="Y36" s="137"/>
    </row>
    <row r="37">
      <c r="A37" s="1152" t="s">
        <v>223</v>
      </c>
      <c r="B37" s="1160"/>
      <c r="C37" s="1160"/>
      <c r="D37" s="1160"/>
      <c r="E37" s="1160"/>
      <c r="F37" s="1160"/>
      <c r="G37" s="1160"/>
      <c r="H37" s="1161"/>
      <c r="I37" s="1161"/>
      <c r="J37" s="1161"/>
      <c r="K37" s="1161"/>
      <c r="L37" s="1161"/>
      <c r="M37" s="1161"/>
      <c r="N37" s="1161"/>
      <c r="O37" s="1161"/>
      <c r="P37" s="1161"/>
      <c r="Q37" s="1161"/>
      <c r="R37" s="1162"/>
      <c r="S37" s="1161"/>
      <c r="T37" s="1161"/>
      <c r="U37" s="1161"/>
      <c r="V37" s="1161"/>
      <c r="W37" s="1161"/>
      <c r="X37" s="1161"/>
      <c r="Y37" s="1163"/>
    </row>
    <row r="38">
      <c r="A38" s="144" t="s">
        <v>569</v>
      </c>
      <c r="B38" s="137">
        <v>10.0</v>
      </c>
      <c r="C38" s="137">
        <v>10.0</v>
      </c>
      <c r="D38" s="137">
        <v>10.0</v>
      </c>
      <c r="E38" s="137">
        <v>10.0</v>
      </c>
      <c r="F38" s="137">
        <f t="shared" ref="F38:G38" si="30">10+5+20</f>
        <v>35</v>
      </c>
      <c r="G38" s="137">
        <f t="shared" si="30"/>
        <v>35</v>
      </c>
      <c r="H38" s="137">
        <f>10+20+60</f>
        <v>90</v>
      </c>
      <c r="I38" s="137">
        <f>10+20+30+15</f>
        <v>75</v>
      </c>
      <c r="J38" s="137">
        <f>10+5+20+30</f>
        <v>65</v>
      </c>
      <c r="K38" s="137">
        <f t="shared" ref="K38:X38" si="31">10+5+20+60</f>
        <v>95</v>
      </c>
      <c r="L38" s="137">
        <f t="shared" si="31"/>
        <v>95</v>
      </c>
      <c r="M38" s="137">
        <f t="shared" si="31"/>
        <v>95</v>
      </c>
      <c r="N38" s="137">
        <f t="shared" si="31"/>
        <v>95</v>
      </c>
      <c r="O38" s="137">
        <f t="shared" si="31"/>
        <v>95</v>
      </c>
      <c r="P38" s="137">
        <f t="shared" si="31"/>
        <v>95</v>
      </c>
      <c r="Q38" s="137">
        <f t="shared" si="31"/>
        <v>95</v>
      </c>
      <c r="R38" s="1150">
        <f t="shared" si="31"/>
        <v>95</v>
      </c>
      <c r="S38" s="137">
        <f t="shared" si="31"/>
        <v>95</v>
      </c>
      <c r="T38" s="137">
        <f t="shared" si="31"/>
        <v>95</v>
      </c>
      <c r="U38" s="137">
        <f t="shared" si="31"/>
        <v>95</v>
      </c>
      <c r="V38" s="137">
        <f t="shared" si="31"/>
        <v>95</v>
      </c>
      <c r="W38" s="137">
        <f t="shared" si="31"/>
        <v>95</v>
      </c>
      <c r="X38" s="137">
        <f t="shared" si="31"/>
        <v>95</v>
      </c>
      <c r="Y38" s="137"/>
    </row>
    <row r="39">
      <c r="A39" s="144" t="s">
        <v>225</v>
      </c>
      <c r="B39" s="137">
        <v>0.0</v>
      </c>
      <c r="C39" s="137">
        <v>0.0</v>
      </c>
      <c r="D39" s="137">
        <v>500.0</v>
      </c>
      <c r="E39" s="137">
        <v>500.0</v>
      </c>
      <c r="F39" s="137">
        <v>0.0</v>
      </c>
      <c r="G39" s="175">
        <v>0.0</v>
      </c>
      <c r="H39" s="137">
        <v>0.0</v>
      </c>
      <c r="I39" s="194">
        <v>500.0</v>
      </c>
      <c r="J39" s="194">
        <v>450.0</v>
      </c>
      <c r="K39" s="194">
        <v>300.0</v>
      </c>
      <c r="L39" s="194">
        <v>200.0</v>
      </c>
      <c r="M39" s="194">
        <v>100.0</v>
      </c>
      <c r="N39" s="137">
        <v>0.0</v>
      </c>
      <c r="O39" s="194">
        <v>2000.0</v>
      </c>
      <c r="P39" s="137">
        <v>0.0</v>
      </c>
      <c r="Q39" s="194">
        <v>1000.0</v>
      </c>
      <c r="R39" s="1150">
        <v>0.0</v>
      </c>
      <c r="S39" s="194">
        <v>2000.0</v>
      </c>
      <c r="T39" s="137">
        <v>0.0</v>
      </c>
      <c r="U39" s="137">
        <v>0.0</v>
      </c>
      <c r="V39" s="137">
        <v>0.0</v>
      </c>
      <c r="W39" s="194">
        <v>2000.0</v>
      </c>
      <c r="X39" s="137">
        <v>0.0</v>
      </c>
      <c r="Y39" s="137"/>
    </row>
    <row r="40">
      <c r="A40" s="144" t="s">
        <v>728</v>
      </c>
      <c r="B40" s="137">
        <v>0.0</v>
      </c>
      <c r="C40" s="137">
        <v>0.0</v>
      </c>
      <c r="D40" s="137">
        <v>0.0</v>
      </c>
      <c r="E40" s="137">
        <v>0.0</v>
      </c>
      <c r="F40" s="137">
        <v>0.0</v>
      </c>
      <c r="G40" s="175">
        <v>0.0</v>
      </c>
      <c r="H40" s="137">
        <v>0.0</v>
      </c>
      <c r="I40" s="137">
        <v>0.0</v>
      </c>
      <c r="J40" s="137">
        <v>0.0</v>
      </c>
      <c r="K40" s="137">
        <v>0.0</v>
      </c>
      <c r="L40" s="137">
        <v>0.0</v>
      </c>
      <c r="M40" s="194">
        <v>200.0</v>
      </c>
      <c r="N40" s="137">
        <v>0.0</v>
      </c>
      <c r="O40" s="194">
        <v>1500.0</v>
      </c>
      <c r="P40" s="137">
        <v>0.0</v>
      </c>
      <c r="Q40" s="137">
        <v>150.0</v>
      </c>
      <c r="R40" s="137">
        <v>250.0</v>
      </c>
      <c r="S40" s="137">
        <v>250.0</v>
      </c>
      <c r="T40" s="137">
        <v>250.0</v>
      </c>
      <c r="U40" s="137">
        <v>250.0</v>
      </c>
      <c r="V40" s="137">
        <v>250.0</v>
      </c>
      <c r="W40" s="137">
        <v>250.0</v>
      </c>
      <c r="X40" s="137">
        <v>250.0</v>
      </c>
      <c r="Y40" s="137"/>
    </row>
    <row r="41">
      <c r="A41" s="144" t="s">
        <v>232</v>
      </c>
      <c r="B41" s="137"/>
      <c r="C41" s="137"/>
      <c r="D41" s="137"/>
      <c r="E41" s="137"/>
      <c r="F41" s="137"/>
      <c r="G41" s="175"/>
      <c r="H41" s="137"/>
      <c r="I41" s="137"/>
      <c r="J41" s="137">
        <v>0.0</v>
      </c>
      <c r="K41" s="137">
        <v>0.0</v>
      </c>
      <c r="L41" s="137">
        <v>0.0</v>
      </c>
      <c r="M41" s="194">
        <v>250.0</v>
      </c>
      <c r="N41" s="137">
        <v>0.0</v>
      </c>
      <c r="O41" s="194">
        <v>0.0</v>
      </c>
      <c r="P41" s="137">
        <v>0.0</v>
      </c>
      <c r="Q41" s="202">
        <f>1400</f>
        <v>1400</v>
      </c>
      <c r="R41" s="1164">
        <f>400</f>
        <v>400</v>
      </c>
      <c r="S41" s="137">
        <v>0.0</v>
      </c>
      <c r="T41" s="137">
        <v>0.0</v>
      </c>
      <c r="U41" s="137">
        <v>0.0</v>
      </c>
      <c r="V41" s="137">
        <v>0.0</v>
      </c>
      <c r="W41" s="137">
        <v>0.0</v>
      </c>
      <c r="X41" s="137">
        <v>0.0</v>
      </c>
      <c r="Y41" s="137"/>
    </row>
    <row r="42">
      <c r="A42" s="1165"/>
      <c r="B42" s="183"/>
      <c r="C42" s="1166"/>
      <c r="D42" s="1166"/>
      <c r="E42" s="1166"/>
      <c r="F42" s="1166"/>
      <c r="G42" s="1167"/>
      <c r="H42" s="1166"/>
      <c r="I42" s="1166"/>
      <c r="J42" s="1166"/>
      <c r="K42" s="210"/>
      <c r="L42" s="1166"/>
      <c r="M42" s="1166"/>
      <c r="N42" s="1166"/>
      <c r="O42" s="1166"/>
      <c r="P42" s="1166"/>
      <c r="Q42" s="1166"/>
      <c r="R42" s="1168"/>
      <c r="S42" s="1166"/>
      <c r="T42" s="1166"/>
      <c r="U42" s="1166"/>
      <c r="V42" s="1166"/>
      <c r="W42" s="1166"/>
      <c r="X42" s="1166"/>
      <c r="Y42" s="1166"/>
    </row>
    <row r="43">
      <c r="A43" s="235" t="s">
        <v>1039</v>
      </c>
      <c r="B43" s="1123">
        <f t="shared" ref="B43:F43" si="32">sum(B22:B40)</f>
        <v>1500.475</v>
      </c>
      <c r="C43" s="1123">
        <f t="shared" si="32"/>
        <v>1500.475</v>
      </c>
      <c r="D43" s="1123">
        <f t="shared" si="32"/>
        <v>2150.475</v>
      </c>
      <c r="E43" s="1123">
        <f t="shared" si="32"/>
        <v>2179.265</v>
      </c>
      <c r="F43" s="1123">
        <f t="shared" si="32"/>
        <v>1695.475</v>
      </c>
      <c r="G43" s="1124">
        <f t="shared" ref="G43:H43" si="33">sum(G15:G40)</f>
        <v>3245.475</v>
      </c>
      <c r="H43" s="1123">
        <f t="shared" si="33"/>
        <v>5356.115</v>
      </c>
      <c r="I43" s="1123">
        <f t="shared" ref="I43:L43" si="34">sum(I18:I40)</f>
        <v>2515.325</v>
      </c>
      <c r="J43" s="1123">
        <f t="shared" si="34"/>
        <v>3034.325</v>
      </c>
      <c r="K43" s="1123">
        <f t="shared" si="34"/>
        <v>3728.685</v>
      </c>
      <c r="L43" s="1123">
        <f t="shared" si="34"/>
        <v>3260.115</v>
      </c>
      <c r="M43" s="1123">
        <f>sum(M15:M41)</f>
        <v>5523.325</v>
      </c>
      <c r="N43" s="1123">
        <f t="shared" ref="N43:X43" si="35">sum(N18:N41)</f>
        <v>3517.685</v>
      </c>
      <c r="O43" s="1123">
        <f t="shared" si="35"/>
        <v>6821.685</v>
      </c>
      <c r="P43" s="1123">
        <f t="shared" si="35"/>
        <v>3371.685</v>
      </c>
      <c r="Q43" s="1123">
        <f t="shared" si="35"/>
        <v>6463.685</v>
      </c>
      <c r="R43" s="1123">
        <f t="shared" si="35"/>
        <v>5693.685</v>
      </c>
      <c r="S43" s="1123">
        <f t="shared" si="35"/>
        <v>7043.685</v>
      </c>
      <c r="T43" s="1123">
        <f t="shared" si="35"/>
        <v>5343.685</v>
      </c>
      <c r="U43" s="1123">
        <f t="shared" si="35"/>
        <v>5343.685</v>
      </c>
      <c r="V43" s="1123">
        <f t="shared" si="35"/>
        <v>5343.685</v>
      </c>
      <c r="W43" s="1123">
        <f t="shared" si="35"/>
        <v>7343.685</v>
      </c>
      <c r="X43" s="1123">
        <f t="shared" si="35"/>
        <v>5343.685</v>
      </c>
      <c r="Y43" s="137"/>
    </row>
    <row r="44">
      <c r="A44" s="183"/>
      <c r="B44" s="183"/>
      <c r="C44" s="183"/>
      <c r="D44" s="183"/>
      <c r="E44" s="183"/>
      <c r="F44" s="183"/>
      <c r="G44" s="184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145"/>
      <c r="S44" s="183"/>
      <c r="T44" s="183"/>
      <c r="U44" s="183"/>
      <c r="V44" s="183"/>
      <c r="W44" s="183"/>
      <c r="X44" s="183"/>
      <c r="Y44" s="183"/>
    </row>
    <row r="45">
      <c r="A45" s="1151" t="s">
        <v>1040</v>
      </c>
      <c r="B45" s="1140"/>
      <c r="C45" s="1140"/>
      <c r="D45" s="1140"/>
      <c r="E45" s="1140"/>
      <c r="F45" s="1140"/>
      <c r="G45" s="1141"/>
      <c r="H45" s="1140"/>
      <c r="I45" s="1140"/>
      <c r="J45" s="1140"/>
      <c r="K45" s="1140"/>
      <c r="L45" s="1140"/>
      <c r="M45" s="1140"/>
      <c r="N45" s="1140"/>
      <c r="O45" s="1140"/>
      <c r="P45" s="1140"/>
      <c r="Q45" s="1140"/>
      <c r="R45" s="1142"/>
      <c r="S45" s="1140"/>
      <c r="T45" s="1140"/>
      <c r="U45" s="1140"/>
      <c r="V45" s="1140"/>
      <c r="W45" s="1140"/>
      <c r="X45" s="1140"/>
      <c r="Y45" s="133"/>
    </row>
    <row r="46">
      <c r="A46" s="1152" t="s">
        <v>1011</v>
      </c>
      <c r="B46" s="1153"/>
      <c r="C46" s="1153"/>
      <c r="D46" s="1153"/>
      <c r="E46" s="1153"/>
      <c r="F46" s="1153"/>
      <c r="G46" s="1154"/>
      <c r="H46" s="1155"/>
      <c r="I46" s="1155"/>
      <c r="J46" s="1155"/>
      <c r="K46" s="1155"/>
      <c r="L46" s="1155"/>
      <c r="M46" s="1155"/>
      <c r="N46" s="1155"/>
      <c r="O46" s="1155"/>
      <c r="P46" s="1155"/>
      <c r="Q46" s="1155"/>
      <c r="R46" s="1157"/>
      <c r="S46" s="1155"/>
      <c r="T46" s="1155"/>
      <c r="U46" s="1155"/>
      <c r="V46" s="1155"/>
      <c r="W46" s="1155"/>
      <c r="X46" s="1155"/>
      <c r="Y46" s="138"/>
    </row>
    <row r="47">
      <c r="A47" s="144" t="s">
        <v>1012</v>
      </c>
      <c r="B47" s="137">
        <v>2500.0</v>
      </c>
      <c r="C47" s="137">
        <v>4500.0</v>
      </c>
      <c r="D47" s="137">
        <v>2800.0</v>
      </c>
      <c r="E47" s="137">
        <v>2800.0</v>
      </c>
      <c r="F47" s="137">
        <v>2000.0</v>
      </c>
      <c r="G47" s="175">
        <v>3093.0</v>
      </c>
      <c r="H47" s="137">
        <v>1600.0</v>
      </c>
      <c r="I47" s="137">
        <f>'PAYMENT SCHEDULE'!C13+'PAYMENT SCHEDULE'!C29</f>
        <v>3200</v>
      </c>
      <c r="J47" s="194">
        <f>LIABILITIES!E26</f>
        <v>1000</v>
      </c>
      <c r="K47" s="194">
        <f>LIABILITIES!E26</f>
        <v>1000</v>
      </c>
      <c r="L47" s="217" t="str">
        <f>'PAYMENT SCHEDULE'!C33</f>
        <v/>
      </c>
      <c r="M47" s="194">
        <f t="shared" ref="M47:N47" si="36">M11*0.25</f>
        <v>1775</v>
      </c>
      <c r="N47" s="194">
        <f t="shared" si="36"/>
        <v>1818.75</v>
      </c>
      <c r="O47" s="194">
        <f>O11*0.28</f>
        <v>2485</v>
      </c>
      <c r="P47" s="194">
        <f>P11*0.38</f>
        <v>3744.9</v>
      </c>
      <c r="Q47" s="194">
        <f>Q11*0.68</f>
        <v>17884</v>
      </c>
      <c r="R47" s="194">
        <f t="shared" ref="R47:U47" si="37">R11*0.2</f>
        <v>5260</v>
      </c>
      <c r="S47" s="194">
        <f t="shared" si="37"/>
        <v>5160</v>
      </c>
      <c r="T47" s="194">
        <f t="shared" si="37"/>
        <v>5160</v>
      </c>
      <c r="U47" s="194">
        <f t="shared" si="37"/>
        <v>5160</v>
      </c>
      <c r="V47" s="194">
        <f>V11*0.1</f>
        <v>2580</v>
      </c>
      <c r="W47" s="194">
        <f t="shared" ref="W47:X47" si="38">W11*0</f>
        <v>0</v>
      </c>
      <c r="X47" s="194">
        <f t="shared" si="38"/>
        <v>0</v>
      </c>
      <c r="Y47" s="194">
        <f>sum(N47:X47)</f>
        <v>49252.65</v>
      </c>
    </row>
    <row r="48">
      <c r="A48" s="1152" t="s">
        <v>1013</v>
      </c>
      <c r="B48" s="1153"/>
      <c r="C48" s="1153"/>
      <c r="D48" s="1153"/>
      <c r="E48" s="1153"/>
      <c r="F48" s="1153"/>
      <c r="G48" s="1154"/>
      <c r="H48" s="1155"/>
      <c r="I48" s="1155"/>
      <c r="J48" s="1155"/>
      <c r="K48" s="1155"/>
      <c r="L48" s="1155"/>
      <c r="M48" s="1155"/>
      <c r="N48" s="1155"/>
      <c r="O48" s="1155"/>
      <c r="P48" s="1155"/>
      <c r="Q48" s="1155"/>
      <c r="R48" s="1157"/>
      <c r="S48" s="1155"/>
      <c r="T48" s="1155"/>
      <c r="U48" s="1155"/>
      <c r="V48" s="1155"/>
      <c r="W48" s="1155"/>
      <c r="X48" s="1155"/>
      <c r="Y48" s="138"/>
    </row>
    <row r="49">
      <c r="A49" s="1125" t="s">
        <v>1041</v>
      </c>
      <c r="B49" s="137">
        <v>0.0</v>
      </c>
      <c r="C49" s="137">
        <v>200.0</v>
      </c>
      <c r="D49" s="137">
        <v>50.0</v>
      </c>
      <c r="E49" s="137">
        <v>150.0</v>
      </c>
      <c r="F49" s="137">
        <v>200.0</v>
      </c>
      <c r="G49" s="175">
        <v>250.0</v>
      </c>
      <c r="H49" s="137">
        <v>0.0</v>
      </c>
      <c r="I49" s="137">
        <f t="shared" ref="I49:J49" si="39">I11*0</f>
        <v>0</v>
      </c>
      <c r="J49" s="137">
        <f t="shared" si="39"/>
        <v>0</v>
      </c>
      <c r="K49" s="137">
        <v>0.0</v>
      </c>
      <c r="L49" s="137">
        <v>0.0</v>
      </c>
      <c r="M49" s="137">
        <v>50.0</v>
      </c>
      <c r="N49" s="137">
        <v>50.0</v>
      </c>
      <c r="O49" s="137">
        <v>0.0</v>
      </c>
      <c r="P49" s="137">
        <f>P11*0.025</f>
        <v>246.375</v>
      </c>
      <c r="Q49" s="137">
        <v>50.0</v>
      </c>
      <c r="R49" s="137">
        <v>50.0</v>
      </c>
      <c r="S49" s="137">
        <v>50.0</v>
      </c>
      <c r="T49" s="137">
        <v>50.0</v>
      </c>
      <c r="U49" s="137">
        <v>50.0</v>
      </c>
      <c r="V49" s="137">
        <v>50.0</v>
      </c>
      <c r="W49" s="137">
        <v>50.0</v>
      </c>
      <c r="X49" s="137">
        <v>50.0</v>
      </c>
      <c r="Y49" s="137"/>
    </row>
    <row r="50">
      <c r="A50" s="1125" t="s">
        <v>1015</v>
      </c>
      <c r="B50" s="137"/>
      <c r="C50" s="137"/>
      <c r="D50" s="137"/>
      <c r="E50" s="137"/>
      <c r="F50" s="137"/>
      <c r="G50" s="175"/>
      <c r="H50" s="137">
        <v>0.0</v>
      </c>
      <c r="I50" s="137">
        <v>0.0</v>
      </c>
      <c r="J50" s="137">
        <f t="shared" ref="J50:K50" si="40">J11*0</f>
        <v>0</v>
      </c>
      <c r="K50" s="137">
        <f t="shared" si="40"/>
        <v>0</v>
      </c>
      <c r="L50" s="137">
        <v>0.0</v>
      </c>
      <c r="M50" s="137">
        <v>25.0</v>
      </c>
      <c r="N50" s="137">
        <v>25.0</v>
      </c>
      <c r="O50" s="137">
        <v>0.0</v>
      </c>
      <c r="P50" s="137">
        <f>P11*0.025</f>
        <v>246.375</v>
      </c>
      <c r="Q50" s="137">
        <v>25.0</v>
      </c>
      <c r="R50" s="137">
        <v>25.0</v>
      </c>
      <c r="S50" s="137">
        <v>25.0</v>
      </c>
      <c r="T50" s="137">
        <v>25.0</v>
      </c>
      <c r="U50" s="137">
        <v>25.0</v>
      </c>
      <c r="V50" s="137">
        <v>25.0</v>
      </c>
      <c r="W50" s="137">
        <v>25.0</v>
      </c>
      <c r="X50" s="137">
        <v>25.0</v>
      </c>
      <c r="Y50" s="137"/>
    </row>
    <row r="51">
      <c r="A51" s="1152" t="s">
        <v>1042</v>
      </c>
      <c r="B51" s="1153"/>
      <c r="C51" s="1153"/>
      <c r="D51" s="1153"/>
      <c r="E51" s="1153"/>
      <c r="F51" s="1153"/>
      <c r="G51" s="1154"/>
      <c r="H51" s="1155"/>
      <c r="I51" s="1155"/>
      <c r="J51" s="1155"/>
      <c r="K51" s="1155"/>
      <c r="L51" s="1155"/>
      <c r="M51" s="1155"/>
      <c r="N51" s="1155"/>
      <c r="O51" s="1155"/>
      <c r="P51" s="1155"/>
      <c r="Q51" s="1155"/>
      <c r="R51" s="1157"/>
      <c r="S51" s="1155"/>
      <c r="T51" s="1155"/>
      <c r="U51" s="1155"/>
      <c r="V51" s="1155"/>
      <c r="W51" s="1155"/>
      <c r="X51" s="1155"/>
      <c r="Y51" s="138"/>
    </row>
    <row r="52">
      <c r="A52" s="1125" t="s">
        <v>1043</v>
      </c>
      <c r="B52" s="137"/>
      <c r="C52" s="137"/>
      <c r="D52" s="137"/>
      <c r="E52" s="137"/>
      <c r="F52" s="137"/>
      <c r="G52" s="137"/>
      <c r="H52" s="137"/>
      <c r="I52" s="137"/>
      <c r="J52" s="137">
        <v>0.0</v>
      </c>
      <c r="K52" s="137">
        <f>150+345</f>
        <v>495</v>
      </c>
      <c r="L52" s="137">
        <v>0.0</v>
      </c>
      <c r="M52" s="137">
        <v>0.0</v>
      </c>
      <c r="N52" s="137">
        <v>0.0</v>
      </c>
      <c r="O52" s="137">
        <v>0.0</v>
      </c>
      <c r="P52" s="137">
        <v>0.0</v>
      </c>
      <c r="Q52" s="137">
        <v>0.0</v>
      </c>
      <c r="R52" s="137">
        <v>0.0</v>
      </c>
      <c r="S52" s="137">
        <v>0.0</v>
      </c>
      <c r="T52" s="137">
        <v>0.0</v>
      </c>
      <c r="U52" s="137">
        <v>0.0</v>
      </c>
      <c r="V52" s="137">
        <v>0.0</v>
      </c>
      <c r="W52" s="137">
        <f t="shared" ref="W52:X52" si="41">$P11*0</f>
        <v>0</v>
      </c>
      <c r="X52" s="137">
        <f t="shared" si="41"/>
        <v>0</v>
      </c>
      <c r="Y52" s="137"/>
    </row>
    <row r="53">
      <c r="A53" s="1125" t="s">
        <v>1017</v>
      </c>
      <c r="B53" s="137"/>
      <c r="C53" s="137"/>
      <c r="D53" s="137"/>
      <c r="E53" s="137"/>
      <c r="F53" s="137"/>
      <c r="G53" s="137"/>
      <c r="H53" s="137"/>
      <c r="I53" s="137">
        <v>0.0</v>
      </c>
      <c r="J53" s="137">
        <v>0.0</v>
      </c>
      <c r="K53" s="137">
        <v>0.0</v>
      </c>
      <c r="L53" s="137">
        <f>L11*0</f>
        <v>0</v>
      </c>
      <c r="M53" s="137">
        <v>0.0</v>
      </c>
      <c r="N53" s="137">
        <f>N8*0.02</f>
        <v>221.5</v>
      </c>
      <c r="O53" s="137">
        <f t="shared" ref="O53:X53" si="42">O11*0.02</f>
        <v>177.5</v>
      </c>
      <c r="P53" s="137">
        <f t="shared" si="42"/>
        <v>197.1</v>
      </c>
      <c r="Q53" s="137">
        <f t="shared" si="42"/>
        <v>526</v>
      </c>
      <c r="R53" s="137">
        <f t="shared" si="42"/>
        <v>526</v>
      </c>
      <c r="S53" s="137">
        <f t="shared" si="42"/>
        <v>516</v>
      </c>
      <c r="T53" s="137">
        <f t="shared" si="42"/>
        <v>516</v>
      </c>
      <c r="U53" s="137">
        <f t="shared" si="42"/>
        <v>516</v>
      </c>
      <c r="V53" s="137">
        <f t="shared" si="42"/>
        <v>516</v>
      </c>
      <c r="W53" s="137">
        <f t="shared" si="42"/>
        <v>516</v>
      </c>
      <c r="X53" s="137">
        <f t="shared" si="42"/>
        <v>516</v>
      </c>
      <c r="Y53" s="137"/>
    </row>
    <row r="54">
      <c r="A54" s="1125" t="s">
        <v>1018</v>
      </c>
      <c r="B54" s="137"/>
      <c r="C54" s="137"/>
      <c r="D54" s="137"/>
      <c r="E54" s="137"/>
      <c r="F54" s="137"/>
      <c r="G54" s="137"/>
      <c r="H54" s="137"/>
      <c r="I54" s="137">
        <v>0.0</v>
      </c>
      <c r="J54" s="137">
        <v>0.0</v>
      </c>
      <c r="K54" s="137">
        <v>0.0</v>
      </c>
      <c r="L54" s="137">
        <v>0.0</v>
      </c>
      <c r="M54" s="137">
        <v>0.0</v>
      </c>
      <c r="N54" s="137">
        <f t="shared" ref="N54:X54" si="43">N11*0.05</f>
        <v>363.75</v>
      </c>
      <c r="O54" s="137">
        <f t="shared" si="43"/>
        <v>443.75</v>
      </c>
      <c r="P54" s="137">
        <f t="shared" si="43"/>
        <v>492.75</v>
      </c>
      <c r="Q54" s="137">
        <f t="shared" si="43"/>
        <v>1315</v>
      </c>
      <c r="R54" s="137">
        <f t="shared" si="43"/>
        <v>1315</v>
      </c>
      <c r="S54" s="137">
        <f t="shared" si="43"/>
        <v>1290</v>
      </c>
      <c r="T54" s="137">
        <f t="shared" si="43"/>
        <v>1290</v>
      </c>
      <c r="U54" s="137">
        <f t="shared" si="43"/>
        <v>1290</v>
      </c>
      <c r="V54" s="137">
        <f t="shared" si="43"/>
        <v>1290</v>
      </c>
      <c r="W54" s="137">
        <f t="shared" si="43"/>
        <v>1290</v>
      </c>
      <c r="X54" s="137">
        <f t="shared" si="43"/>
        <v>1290</v>
      </c>
      <c r="Y54" s="137"/>
    </row>
    <row r="55">
      <c r="A55" s="1125" t="s">
        <v>1019</v>
      </c>
      <c r="B55" s="137"/>
      <c r="C55" s="137"/>
      <c r="D55" s="137"/>
      <c r="E55" s="137"/>
      <c r="F55" s="137"/>
      <c r="G55" s="137">
        <v>0.0</v>
      </c>
      <c r="H55" s="137">
        <v>0.0</v>
      </c>
      <c r="I55" s="137">
        <f t="shared" ref="I55:K55" si="44">I11*0</f>
        <v>0</v>
      </c>
      <c r="J55" s="137">
        <f t="shared" si="44"/>
        <v>0</v>
      </c>
      <c r="K55" s="137">
        <f t="shared" si="44"/>
        <v>0</v>
      </c>
      <c r="L55" s="137">
        <v>0.0</v>
      </c>
      <c r="M55" s="137">
        <v>20.0</v>
      </c>
      <c r="N55" s="137">
        <f t="shared" ref="N55:X55" si="45">N11*0.02</f>
        <v>145.5</v>
      </c>
      <c r="O55" s="137">
        <f t="shared" si="45"/>
        <v>177.5</v>
      </c>
      <c r="P55" s="137">
        <f t="shared" si="45"/>
        <v>197.1</v>
      </c>
      <c r="Q55" s="137">
        <f t="shared" si="45"/>
        <v>526</v>
      </c>
      <c r="R55" s="137">
        <f t="shared" si="45"/>
        <v>526</v>
      </c>
      <c r="S55" s="137">
        <f t="shared" si="45"/>
        <v>516</v>
      </c>
      <c r="T55" s="137">
        <f t="shared" si="45"/>
        <v>516</v>
      </c>
      <c r="U55" s="137">
        <f t="shared" si="45"/>
        <v>516</v>
      </c>
      <c r="V55" s="137">
        <f t="shared" si="45"/>
        <v>516</v>
      </c>
      <c r="W55" s="137">
        <f t="shared" si="45"/>
        <v>516</v>
      </c>
      <c r="X55" s="137">
        <f t="shared" si="45"/>
        <v>516</v>
      </c>
      <c r="Y55" s="137"/>
    </row>
    <row r="56">
      <c r="A56" s="1128" t="s">
        <v>1020</v>
      </c>
      <c r="B56" s="222"/>
      <c r="C56" s="222"/>
      <c r="D56" s="222"/>
      <c r="E56" s="222"/>
      <c r="F56" s="222"/>
      <c r="G56" s="222"/>
      <c r="H56" s="222"/>
      <c r="I56" s="222"/>
      <c r="J56" s="222"/>
      <c r="K56" s="222"/>
      <c r="L56" s="222">
        <f t="shared" ref="L56:M56" si="46">L4*0.03</f>
        <v>300</v>
      </c>
      <c r="M56" s="222">
        <f t="shared" si="46"/>
        <v>300</v>
      </c>
      <c r="N56" s="222">
        <f t="shared" ref="N56:Y56" si="47">N10</f>
        <v>400</v>
      </c>
      <c r="O56" s="222">
        <f t="shared" si="47"/>
        <v>410</v>
      </c>
      <c r="P56" s="222">
        <f t="shared" si="47"/>
        <v>410</v>
      </c>
      <c r="Q56" s="222">
        <f t="shared" si="47"/>
        <v>600</v>
      </c>
      <c r="R56" s="222">
        <f t="shared" si="47"/>
        <v>600</v>
      </c>
      <c r="S56" s="222">
        <f t="shared" si="47"/>
        <v>600</v>
      </c>
      <c r="T56" s="222">
        <f t="shared" si="47"/>
        <v>600</v>
      </c>
      <c r="U56" s="222">
        <f t="shared" si="47"/>
        <v>600</v>
      </c>
      <c r="V56" s="222">
        <f t="shared" si="47"/>
        <v>600</v>
      </c>
      <c r="W56" s="222">
        <f t="shared" si="47"/>
        <v>600</v>
      </c>
      <c r="X56" s="222">
        <f t="shared" si="47"/>
        <v>600</v>
      </c>
      <c r="Y56" s="222" t="str">
        <f t="shared" si="47"/>
        <v/>
      </c>
    </row>
    <row r="57">
      <c r="A57" s="1169" t="s">
        <v>733</v>
      </c>
      <c r="B57" s="1153"/>
      <c r="C57" s="1153"/>
      <c r="D57" s="1153"/>
      <c r="E57" s="1153"/>
      <c r="F57" s="1153"/>
      <c r="G57" s="1153"/>
      <c r="H57" s="1153"/>
      <c r="I57" s="1153"/>
      <c r="J57" s="1153"/>
      <c r="K57" s="1153"/>
      <c r="L57" s="1153"/>
      <c r="M57" s="1153"/>
      <c r="N57" s="1153"/>
      <c r="O57" s="1153"/>
      <c r="P57" s="1153"/>
      <c r="Q57" s="1153"/>
      <c r="R57" s="1170"/>
      <c r="S57" s="1153"/>
      <c r="T57" s="1153"/>
      <c r="U57" s="1153"/>
      <c r="V57" s="1153"/>
      <c r="W57" s="1153"/>
      <c r="X57" s="1153"/>
      <c r="Y57" s="137"/>
    </row>
    <row r="58">
      <c r="A58" s="137" t="s">
        <v>1021</v>
      </c>
      <c r="B58" s="137"/>
      <c r="C58" s="137"/>
      <c r="D58" s="137"/>
      <c r="E58" s="137"/>
      <c r="F58" s="137"/>
      <c r="G58" s="175"/>
      <c r="H58" s="137">
        <v>0.0</v>
      </c>
      <c r="I58" s="137">
        <v>0.0</v>
      </c>
      <c r="J58" s="137">
        <f t="shared" ref="J58:K58" si="48">J12*0</f>
        <v>0</v>
      </c>
      <c r="K58" s="137">
        <f t="shared" si="48"/>
        <v>0</v>
      </c>
      <c r="L58" s="137">
        <v>0.0</v>
      </c>
      <c r="M58" s="137">
        <v>0.0</v>
      </c>
      <c r="N58" s="137">
        <f>N11*0.01</f>
        <v>72.75</v>
      </c>
      <c r="O58" s="137">
        <v>0.0</v>
      </c>
      <c r="P58" s="137">
        <v>200.0</v>
      </c>
      <c r="Q58" s="137">
        <v>200.0</v>
      </c>
      <c r="R58" s="137">
        <v>200.0</v>
      </c>
      <c r="S58" s="137">
        <v>200.0</v>
      </c>
      <c r="T58" s="137">
        <v>200.0</v>
      </c>
      <c r="U58" s="137">
        <v>200.0</v>
      </c>
      <c r="V58" s="137">
        <v>200.0</v>
      </c>
      <c r="W58" s="137">
        <v>200.0</v>
      </c>
      <c r="X58" s="137">
        <v>200.0</v>
      </c>
      <c r="Y58" s="137"/>
    </row>
    <row r="59">
      <c r="A59" s="708"/>
      <c r="B59" s="177"/>
      <c r="C59" s="177"/>
      <c r="D59" s="177"/>
      <c r="E59" s="177"/>
      <c r="F59" s="177"/>
      <c r="G59" s="178"/>
      <c r="H59" s="177"/>
      <c r="I59" s="177"/>
      <c r="J59" s="177"/>
      <c r="K59" s="167"/>
      <c r="L59" s="177"/>
      <c r="M59" s="177"/>
      <c r="N59" s="177"/>
      <c r="O59" s="177"/>
      <c r="P59" s="177"/>
      <c r="Q59" s="177"/>
      <c r="R59" s="1171"/>
      <c r="S59" s="177"/>
      <c r="T59" s="177"/>
      <c r="U59" s="177"/>
      <c r="V59" s="177"/>
      <c r="W59" s="177"/>
      <c r="X59" s="177"/>
      <c r="Y59" s="177"/>
    </row>
    <row r="60">
      <c r="A60" s="235" t="s">
        <v>1044</v>
      </c>
      <c r="B60" s="236">
        <f>B11-B43-B49-B47+'BUDGET 2018 (Archive)'!O35</f>
        <v>1777.415</v>
      </c>
      <c r="C60" s="236">
        <f>C11-C43-C49-C47+'BUDGET 2018 (Archive)'!P35</f>
        <v>3399.525</v>
      </c>
      <c r="D60" s="236">
        <f>D11-D43-D49-D47+'BUDGET 2018 (Archive)'!Q35</f>
        <v>1599.525</v>
      </c>
      <c r="E60" s="236">
        <f>E11-E43-E49-E47+'BUDGET 2018 (Archive)'!R35</f>
        <v>1470.735</v>
      </c>
      <c r="F60" s="236">
        <f>F11-F43-F49-F47+'BUDGET 2018 (Archive)'!S35</f>
        <v>2704.525</v>
      </c>
      <c r="G60" s="237">
        <f>G11-G43-G49-G47+'BUDGET 2018 (Archive)'!T35</f>
        <v>11.525</v>
      </c>
      <c r="H60" s="236">
        <f>G60+H11-H43-H49-H55-H47</f>
        <v>4655.41</v>
      </c>
      <c r="I60" s="236">
        <f t="shared" ref="I60:K60" si="49">sum(I47:I58)</f>
        <v>3200</v>
      </c>
      <c r="J60" s="236">
        <f t="shared" si="49"/>
        <v>1000</v>
      </c>
      <c r="K60" s="236">
        <f t="shared" si="49"/>
        <v>1495</v>
      </c>
      <c r="L60" s="236">
        <f t="shared" ref="L60:X60" si="50">sum(L47:L55)+L58</f>
        <v>0</v>
      </c>
      <c r="M60" s="236">
        <f t="shared" si="50"/>
        <v>1870</v>
      </c>
      <c r="N60" s="236">
        <f t="shared" si="50"/>
        <v>2697.25</v>
      </c>
      <c r="O60" s="236">
        <f t="shared" si="50"/>
        <v>3283.75</v>
      </c>
      <c r="P60" s="236">
        <f t="shared" si="50"/>
        <v>5324.6</v>
      </c>
      <c r="Q60" s="236">
        <f t="shared" si="50"/>
        <v>20526</v>
      </c>
      <c r="R60" s="1172">
        <f t="shared" si="50"/>
        <v>7902</v>
      </c>
      <c r="S60" s="236">
        <f t="shared" si="50"/>
        <v>7757</v>
      </c>
      <c r="T60" s="236">
        <f t="shared" si="50"/>
        <v>7757</v>
      </c>
      <c r="U60" s="236">
        <f t="shared" si="50"/>
        <v>7757</v>
      </c>
      <c r="V60" s="236">
        <f t="shared" si="50"/>
        <v>5177</v>
      </c>
      <c r="W60" s="236">
        <f t="shared" si="50"/>
        <v>2597</v>
      </c>
      <c r="X60" s="236">
        <f t="shared" si="50"/>
        <v>2597</v>
      </c>
      <c r="Y60" s="706"/>
    </row>
    <row r="61">
      <c r="A61" s="241"/>
      <c r="B61" s="177"/>
      <c r="C61" s="177"/>
      <c r="D61" s="177"/>
      <c r="E61" s="177"/>
      <c r="F61" s="177"/>
      <c r="G61" s="178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171"/>
      <c r="S61" s="177"/>
      <c r="T61" s="177"/>
      <c r="U61" s="177"/>
      <c r="V61" s="177"/>
      <c r="W61" s="177"/>
      <c r="X61" s="177"/>
      <c r="Y61" s="177"/>
    </row>
    <row r="62">
      <c r="A62" s="1130"/>
      <c r="B62" s="247"/>
      <c r="C62" s="247"/>
      <c r="D62" s="247"/>
      <c r="E62" s="247"/>
      <c r="F62" s="247"/>
      <c r="G62" s="1131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1173"/>
      <c r="S62" s="247"/>
      <c r="T62" s="247"/>
      <c r="U62" s="247"/>
      <c r="V62" s="247"/>
      <c r="W62" s="247"/>
      <c r="X62" s="247"/>
      <c r="Y62" s="177"/>
    </row>
    <row r="63">
      <c r="A63" s="708" t="s">
        <v>253</v>
      </c>
      <c r="B63" s="177"/>
      <c r="C63" s="177"/>
      <c r="D63" s="177"/>
      <c r="E63" s="177"/>
      <c r="F63" s="177"/>
      <c r="G63" s="178"/>
      <c r="H63" s="177"/>
      <c r="I63" s="177" t="str">
        <f t="shared" ref="I63:J63" si="51">I11-#REF!-I43-I60</f>
        <v>#REF!</v>
      </c>
      <c r="J63" s="177" t="str">
        <f t="shared" si="51"/>
        <v>#REF!</v>
      </c>
      <c r="K63" s="177" t="str">
        <f t="shared" ref="K63:L63" si="52">K11-#REF!-K43-K60+J63</f>
        <v>#REF!</v>
      </c>
      <c r="L63" s="177" t="str">
        <f t="shared" si="52"/>
        <v>#REF!</v>
      </c>
      <c r="M63" s="177">
        <f>M11-M43-M60</f>
        <v>-293.325</v>
      </c>
      <c r="N63" s="177">
        <f t="shared" ref="N63:X63" si="53">M63+N11-N43-N60</f>
        <v>766.74</v>
      </c>
      <c r="O63" s="177">
        <f t="shared" si="53"/>
        <v>-463.695</v>
      </c>
      <c r="P63" s="177">
        <f t="shared" si="53"/>
        <v>695.02</v>
      </c>
      <c r="Q63" s="177">
        <f t="shared" si="53"/>
        <v>5.335</v>
      </c>
      <c r="R63" s="177">
        <f t="shared" si="53"/>
        <v>12709.65</v>
      </c>
      <c r="S63" s="177">
        <f t="shared" si="53"/>
        <v>23708.965</v>
      </c>
      <c r="T63" s="177">
        <f t="shared" si="53"/>
        <v>36408.28</v>
      </c>
      <c r="U63" s="177">
        <f t="shared" si="53"/>
        <v>49107.595</v>
      </c>
      <c r="V63" s="177">
        <f t="shared" si="53"/>
        <v>64386.91</v>
      </c>
      <c r="W63" s="177">
        <f t="shared" si="53"/>
        <v>80246.225</v>
      </c>
      <c r="X63" s="177">
        <f t="shared" si="53"/>
        <v>98105.54</v>
      </c>
      <c r="Y63" s="177"/>
    </row>
    <row r="64">
      <c r="A64" s="252"/>
      <c r="B64" s="177"/>
      <c r="C64" s="177"/>
      <c r="D64" s="177"/>
      <c r="E64" s="177"/>
      <c r="F64" s="177"/>
      <c r="G64" s="178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171"/>
      <c r="S64" s="177"/>
      <c r="T64" s="177"/>
      <c r="U64" s="177"/>
      <c r="V64" s="177"/>
      <c r="W64" s="177"/>
      <c r="X64" s="177"/>
      <c r="Y64" s="177"/>
    </row>
    <row r="65">
      <c r="A65" s="137"/>
      <c r="B65" s="177"/>
      <c r="C65" s="177"/>
      <c r="D65" s="177"/>
      <c r="E65" s="177"/>
      <c r="F65" s="177"/>
      <c r="G65" s="178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171"/>
      <c r="S65" s="177"/>
      <c r="T65" s="177"/>
      <c r="U65" s="177"/>
      <c r="V65" s="177"/>
      <c r="W65" s="177"/>
      <c r="X65" s="177"/>
      <c r="Y65" s="177"/>
    </row>
    <row r="66">
      <c r="A66" s="183"/>
      <c r="B66" s="177"/>
      <c r="C66" s="177"/>
      <c r="D66" s="177"/>
      <c r="E66" s="177"/>
      <c r="F66" s="177"/>
      <c r="G66" s="178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171"/>
      <c r="S66" s="177"/>
      <c r="T66" s="177"/>
      <c r="U66" s="177"/>
      <c r="V66" s="177"/>
      <c r="W66" s="177"/>
      <c r="X66" s="177"/>
      <c r="Y66" s="177"/>
    </row>
    <row r="67">
      <c r="A67" s="179"/>
      <c r="B67" s="177"/>
      <c r="C67" s="177"/>
      <c r="D67" s="177"/>
      <c r="E67" s="177"/>
      <c r="F67" s="177"/>
      <c r="G67" s="178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171"/>
      <c r="S67" s="177"/>
      <c r="T67" s="177"/>
      <c r="U67" s="177"/>
      <c r="V67" s="177"/>
      <c r="W67" s="177"/>
      <c r="X67" s="177"/>
      <c r="Y67" s="177"/>
    </row>
    <row r="68">
      <c r="A68" s="179"/>
      <c r="B68" s="177"/>
      <c r="C68" s="177"/>
      <c r="D68" s="177"/>
      <c r="E68" s="177"/>
      <c r="F68" s="177"/>
      <c r="G68" s="178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171"/>
      <c r="S68" s="177"/>
      <c r="T68" s="177"/>
      <c r="U68" s="177"/>
      <c r="V68" s="177"/>
      <c r="W68" s="177"/>
      <c r="X68" s="177"/>
      <c r="Y68" s="177"/>
    </row>
    <row r="69">
      <c r="A69" s="137"/>
      <c r="B69" s="177"/>
      <c r="C69" s="177"/>
      <c r="D69" s="177"/>
      <c r="E69" s="177"/>
      <c r="F69" s="177"/>
      <c r="G69" s="178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171"/>
      <c r="S69" s="177"/>
      <c r="T69" s="177"/>
      <c r="U69" s="177"/>
      <c r="V69" s="177"/>
      <c r="W69" s="177"/>
      <c r="X69" s="177"/>
      <c r="Y69" s="177"/>
    </row>
    <row r="70">
      <c r="A70" s="179"/>
      <c r="B70" s="177"/>
      <c r="C70" s="177"/>
      <c r="D70" s="177"/>
      <c r="E70" s="177"/>
      <c r="F70" s="177"/>
      <c r="G70" s="178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171"/>
      <c r="S70" s="177"/>
      <c r="T70" s="177"/>
      <c r="U70" s="177"/>
      <c r="V70" s="177"/>
      <c r="W70" s="177"/>
      <c r="X70" s="177"/>
      <c r="Y70" s="177"/>
    </row>
    <row r="71">
      <c r="A71" s="177"/>
      <c r="B71" s="177"/>
      <c r="C71" s="177"/>
      <c r="D71" s="177"/>
      <c r="E71" s="177"/>
      <c r="F71" s="177"/>
      <c r="G71" s="178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171"/>
      <c r="S71" s="177"/>
      <c r="T71" s="177"/>
      <c r="U71" s="177"/>
      <c r="V71" s="177"/>
      <c r="W71" s="177"/>
      <c r="X71" s="177"/>
      <c r="Y71" s="177"/>
    </row>
    <row r="72">
      <c r="A72" s="177"/>
      <c r="B72" s="177"/>
      <c r="C72" s="177"/>
      <c r="D72" s="177"/>
      <c r="E72" s="177"/>
      <c r="F72" s="177"/>
      <c r="G72" s="178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171"/>
      <c r="S72" s="177"/>
      <c r="T72" s="177"/>
      <c r="U72" s="177"/>
      <c r="V72" s="177"/>
      <c r="W72" s="177"/>
      <c r="X72" s="177"/>
      <c r="Y72" s="177"/>
    </row>
    <row r="73">
      <c r="A73" s="177"/>
      <c r="B73" s="177"/>
      <c r="C73" s="177"/>
      <c r="D73" s="177"/>
      <c r="E73" s="177"/>
      <c r="F73" s="177"/>
      <c r="G73" s="178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171"/>
      <c r="S73" s="177"/>
      <c r="T73" s="177"/>
      <c r="U73" s="177"/>
      <c r="V73" s="177"/>
      <c r="W73" s="177"/>
      <c r="X73" s="177"/>
      <c r="Y73" s="177"/>
    </row>
    <row r="74">
      <c r="A74" s="177"/>
      <c r="B74" s="177"/>
      <c r="C74" s="177"/>
      <c r="D74" s="177"/>
      <c r="E74" s="177"/>
      <c r="F74" s="177"/>
      <c r="G74" s="178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171"/>
      <c r="S74" s="177"/>
      <c r="T74" s="177"/>
      <c r="U74" s="177"/>
      <c r="V74" s="177"/>
      <c r="W74" s="177"/>
      <c r="X74" s="177"/>
      <c r="Y74" s="177"/>
    </row>
    <row r="75">
      <c r="A75" s="177"/>
      <c r="B75" s="177"/>
      <c r="C75" s="177"/>
      <c r="D75" s="177"/>
      <c r="E75" s="177"/>
      <c r="F75" s="177"/>
      <c r="G75" s="178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171"/>
      <c r="S75" s="177"/>
      <c r="T75" s="177"/>
      <c r="U75" s="177"/>
      <c r="V75" s="177"/>
      <c r="W75" s="177"/>
      <c r="X75" s="177"/>
      <c r="Y75" s="177"/>
    </row>
    <row r="76">
      <c r="A76" s="177"/>
      <c r="B76" s="177"/>
      <c r="C76" s="177"/>
      <c r="D76" s="177"/>
      <c r="E76" s="177"/>
      <c r="F76" s="177"/>
      <c r="G76" s="178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171"/>
      <c r="S76" s="177"/>
      <c r="T76" s="177"/>
      <c r="U76" s="177"/>
      <c r="V76" s="177"/>
      <c r="W76" s="177"/>
      <c r="X76" s="177"/>
      <c r="Y76" s="177"/>
    </row>
    <row r="77">
      <c r="A77" s="177"/>
      <c r="B77" s="177"/>
      <c r="C77" s="177"/>
      <c r="D77" s="177"/>
      <c r="E77" s="177"/>
      <c r="F77" s="177"/>
      <c r="G77" s="178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171"/>
      <c r="S77" s="177"/>
      <c r="T77" s="177"/>
      <c r="U77" s="177"/>
      <c r="V77" s="177"/>
      <c r="W77" s="177"/>
      <c r="X77" s="177"/>
      <c r="Y77" s="177"/>
    </row>
    <row r="78">
      <c r="A78" s="177"/>
      <c r="B78" s="177"/>
      <c r="C78" s="177"/>
      <c r="D78" s="177"/>
      <c r="E78" s="177"/>
      <c r="F78" s="177"/>
      <c r="G78" s="178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171"/>
      <c r="S78" s="177"/>
      <c r="T78" s="177"/>
      <c r="U78" s="177"/>
      <c r="V78" s="177"/>
      <c r="W78" s="177"/>
      <c r="X78" s="177"/>
      <c r="Y78" s="177"/>
    </row>
    <row r="79">
      <c r="A79" s="177"/>
      <c r="B79" s="177"/>
      <c r="C79" s="177"/>
      <c r="D79" s="177"/>
      <c r="E79" s="177"/>
      <c r="F79" s="177"/>
      <c r="G79" s="178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171"/>
      <c r="S79" s="177"/>
      <c r="T79" s="177"/>
      <c r="U79" s="177"/>
      <c r="V79" s="177"/>
      <c r="W79" s="177"/>
      <c r="X79" s="177"/>
      <c r="Y79" s="177"/>
    </row>
    <row r="80">
      <c r="A80" s="177"/>
      <c r="B80" s="177"/>
      <c r="C80" s="177"/>
      <c r="D80" s="177"/>
      <c r="E80" s="177"/>
      <c r="F80" s="177"/>
      <c r="G80" s="178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171"/>
      <c r="S80" s="177"/>
      <c r="T80" s="177"/>
      <c r="U80" s="177"/>
      <c r="V80" s="177"/>
      <c r="W80" s="177"/>
      <c r="X80" s="177"/>
      <c r="Y80" s="177"/>
    </row>
    <row r="81">
      <c r="A81" s="177"/>
      <c r="B81" s="177"/>
      <c r="C81" s="177"/>
      <c r="D81" s="177"/>
      <c r="E81" s="177"/>
      <c r="F81" s="177"/>
      <c r="G81" s="178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171"/>
      <c r="S81" s="177"/>
      <c r="T81" s="177"/>
      <c r="U81" s="177"/>
      <c r="V81" s="177"/>
      <c r="W81" s="177"/>
      <c r="X81" s="177"/>
      <c r="Y81" s="177"/>
    </row>
    <row r="82">
      <c r="A82" s="177"/>
      <c r="B82" s="177"/>
      <c r="C82" s="177"/>
      <c r="D82" s="177"/>
      <c r="E82" s="177"/>
      <c r="F82" s="177"/>
      <c r="G82" s="178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171"/>
      <c r="S82" s="177"/>
      <c r="T82" s="177"/>
      <c r="U82" s="177"/>
      <c r="V82" s="177"/>
      <c r="W82" s="177"/>
      <c r="X82" s="177"/>
      <c r="Y82" s="177"/>
    </row>
    <row r="83">
      <c r="A83" s="177"/>
      <c r="B83" s="177"/>
      <c r="C83" s="177"/>
      <c r="D83" s="177"/>
      <c r="E83" s="177"/>
      <c r="F83" s="177"/>
      <c r="G83" s="178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171"/>
      <c r="S83" s="177"/>
      <c r="T83" s="177"/>
      <c r="U83" s="177"/>
      <c r="V83" s="177"/>
      <c r="W83" s="177"/>
      <c r="X83" s="177"/>
      <c r="Y83" s="177"/>
    </row>
    <row r="84">
      <c r="A84" s="177"/>
      <c r="B84" s="177"/>
      <c r="C84" s="177"/>
      <c r="D84" s="177"/>
      <c r="E84" s="177"/>
      <c r="F84" s="177"/>
      <c r="G84" s="178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171"/>
      <c r="S84" s="177"/>
      <c r="T84" s="177"/>
      <c r="U84" s="177"/>
      <c r="V84" s="177"/>
      <c r="W84" s="177"/>
      <c r="X84" s="177"/>
      <c r="Y84" s="177"/>
    </row>
    <row r="85">
      <c r="A85" s="177"/>
      <c r="B85" s="177"/>
      <c r="C85" s="177"/>
      <c r="D85" s="177"/>
      <c r="E85" s="177"/>
      <c r="F85" s="177"/>
      <c r="G85" s="178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171"/>
      <c r="S85" s="177"/>
      <c r="T85" s="177"/>
      <c r="U85" s="177"/>
      <c r="V85" s="177"/>
      <c r="W85" s="177"/>
      <c r="X85" s="177"/>
      <c r="Y85" s="177"/>
    </row>
    <row r="86">
      <c r="A86" s="177"/>
      <c r="B86" s="177"/>
      <c r="C86" s="177"/>
      <c r="D86" s="177"/>
      <c r="E86" s="177"/>
      <c r="F86" s="177"/>
      <c r="G86" s="178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171"/>
      <c r="S86" s="177"/>
      <c r="T86" s="177"/>
      <c r="U86" s="177"/>
      <c r="V86" s="177"/>
      <c r="W86" s="177"/>
      <c r="X86" s="177"/>
      <c r="Y86" s="177"/>
    </row>
    <row r="87">
      <c r="A87" s="177"/>
      <c r="B87" s="177"/>
      <c r="C87" s="177"/>
      <c r="D87" s="177"/>
      <c r="E87" s="177"/>
      <c r="F87" s="177"/>
      <c r="G87" s="178"/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171"/>
      <c r="S87" s="177"/>
      <c r="T87" s="177"/>
      <c r="U87" s="177"/>
      <c r="V87" s="177"/>
      <c r="W87" s="177"/>
      <c r="X87" s="177"/>
      <c r="Y87" s="177"/>
    </row>
    <row r="88">
      <c r="A88" s="177"/>
      <c r="B88" s="177"/>
      <c r="C88" s="177"/>
      <c r="D88" s="177"/>
      <c r="E88" s="177"/>
      <c r="F88" s="177"/>
      <c r="G88" s="178"/>
      <c r="H88" s="177"/>
      <c r="I88" s="177"/>
      <c r="J88" s="177"/>
      <c r="K88" s="177"/>
      <c r="L88" s="177"/>
      <c r="M88" s="177"/>
      <c r="N88" s="177"/>
      <c r="O88" s="177"/>
      <c r="P88" s="177"/>
      <c r="Q88" s="177"/>
      <c r="R88" s="1171"/>
      <c r="S88" s="177"/>
      <c r="T88" s="177"/>
      <c r="U88" s="177"/>
      <c r="V88" s="177"/>
      <c r="W88" s="177"/>
      <c r="X88" s="177"/>
      <c r="Y88" s="177"/>
    </row>
    <row r="89">
      <c r="A89" s="177"/>
      <c r="B89" s="177"/>
      <c r="C89" s="177"/>
      <c r="D89" s="177"/>
      <c r="E89" s="177"/>
      <c r="F89" s="177"/>
      <c r="G89" s="178"/>
      <c r="H89" s="177"/>
      <c r="I89" s="177"/>
      <c r="J89" s="177"/>
      <c r="K89" s="177"/>
      <c r="L89" s="177"/>
      <c r="M89" s="177"/>
      <c r="N89" s="177"/>
      <c r="O89" s="177"/>
      <c r="P89" s="177"/>
      <c r="Q89" s="177"/>
      <c r="R89" s="1171"/>
      <c r="S89" s="177"/>
      <c r="T89" s="177"/>
      <c r="U89" s="177"/>
      <c r="V89" s="177"/>
      <c r="W89" s="177"/>
      <c r="X89" s="177"/>
      <c r="Y89" s="177"/>
    </row>
    <row r="90">
      <c r="A90" s="177"/>
      <c r="B90" s="177"/>
      <c r="C90" s="177"/>
      <c r="D90" s="177"/>
      <c r="E90" s="177"/>
      <c r="F90" s="177"/>
      <c r="G90" s="178"/>
      <c r="H90" s="177"/>
      <c r="I90" s="177"/>
      <c r="J90" s="177"/>
      <c r="K90" s="177"/>
      <c r="L90" s="177"/>
      <c r="M90" s="177"/>
      <c r="N90" s="177"/>
      <c r="O90" s="177"/>
      <c r="P90" s="177"/>
      <c r="Q90" s="177"/>
      <c r="R90" s="1171"/>
      <c r="S90" s="177"/>
      <c r="T90" s="177"/>
      <c r="U90" s="177"/>
      <c r="V90" s="177"/>
      <c r="W90" s="177"/>
      <c r="X90" s="177"/>
      <c r="Y90" s="177"/>
    </row>
    <row r="91">
      <c r="A91" s="177"/>
      <c r="B91" s="177"/>
      <c r="C91" s="177"/>
      <c r="D91" s="177"/>
      <c r="E91" s="177"/>
      <c r="F91" s="177"/>
      <c r="G91" s="178"/>
      <c r="H91" s="177"/>
      <c r="I91" s="177"/>
      <c r="J91" s="177"/>
      <c r="K91" s="177"/>
      <c r="L91" s="177"/>
      <c r="M91" s="177"/>
      <c r="N91" s="177"/>
      <c r="O91" s="177"/>
      <c r="P91" s="177"/>
      <c r="Q91" s="177"/>
      <c r="R91" s="1171"/>
      <c r="S91" s="177"/>
      <c r="T91" s="177"/>
      <c r="U91" s="177"/>
      <c r="V91" s="177"/>
      <c r="W91" s="177"/>
      <c r="X91" s="177"/>
      <c r="Y91" s="177"/>
    </row>
    <row r="92">
      <c r="A92" s="177"/>
      <c r="B92" s="177"/>
      <c r="C92" s="177"/>
      <c r="D92" s="177"/>
      <c r="E92" s="177"/>
      <c r="F92" s="177"/>
      <c r="G92" s="178"/>
      <c r="H92" s="177"/>
      <c r="I92" s="177"/>
      <c r="J92" s="177"/>
      <c r="K92" s="177"/>
      <c r="L92" s="177"/>
      <c r="M92" s="177"/>
      <c r="N92" s="177"/>
      <c r="O92" s="177"/>
      <c r="P92" s="177"/>
      <c r="Q92" s="177"/>
      <c r="R92" s="1171"/>
      <c r="S92" s="177"/>
      <c r="T92" s="177"/>
      <c r="U92" s="177"/>
      <c r="V92" s="177"/>
      <c r="W92" s="177"/>
      <c r="X92" s="177"/>
      <c r="Y92" s="177"/>
    </row>
    <row r="93">
      <c r="A93" s="177"/>
      <c r="B93" s="177"/>
      <c r="C93" s="177"/>
      <c r="D93" s="177"/>
      <c r="E93" s="177"/>
      <c r="F93" s="177"/>
      <c r="G93" s="178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171"/>
      <c r="S93" s="177"/>
      <c r="T93" s="177"/>
      <c r="U93" s="177"/>
      <c r="V93" s="177"/>
      <c r="W93" s="177"/>
      <c r="X93" s="177"/>
      <c r="Y93" s="177"/>
    </row>
    <row r="94">
      <c r="A94" s="177"/>
      <c r="B94" s="177"/>
      <c r="C94" s="177"/>
      <c r="D94" s="177"/>
      <c r="E94" s="177"/>
      <c r="F94" s="177"/>
      <c r="G94" s="178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171"/>
      <c r="S94" s="177"/>
      <c r="T94" s="177"/>
      <c r="U94" s="177"/>
      <c r="V94" s="177"/>
      <c r="W94" s="177"/>
      <c r="X94" s="177"/>
      <c r="Y94" s="177"/>
    </row>
    <row r="95">
      <c r="A95" s="177"/>
      <c r="B95" s="177"/>
      <c r="C95" s="177"/>
      <c r="D95" s="177"/>
      <c r="E95" s="177"/>
      <c r="F95" s="177"/>
      <c r="G95" s="178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171"/>
      <c r="S95" s="177"/>
      <c r="T95" s="177"/>
      <c r="U95" s="177"/>
      <c r="V95" s="177"/>
      <c r="W95" s="177"/>
      <c r="X95" s="177"/>
      <c r="Y95" s="177"/>
    </row>
    <row r="96">
      <c r="A96" s="177"/>
      <c r="B96" s="177"/>
      <c r="C96" s="177"/>
      <c r="D96" s="177"/>
      <c r="E96" s="177"/>
      <c r="F96" s="177"/>
      <c r="G96" s="178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171"/>
      <c r="S96" s="177"/>
      <c r="T96" s="177"/>
      <c r="U96" s="177"/>
      <c r="V96" s="177"/>
      <c r="W96" s="177"/>
      <c r="X96" s="177"/>
      <c r="Y96" s="177"/>
    </row>
    <row r="97">
      <c r="A97" s="177"/>
      <c r="B97" s="177"/>
      <c r="C97" s="177"/>
      <c r="D97" s="177"/>
      <c r="E97" s="177"/>
      <c r="F97" s="177"/>
      <c r="G97" s="178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171"/>
      <c r="S97" s="177"/>
      <c r="T97" s="177"/>
      <c r="U97" s="177"/>
      <c r="V97" s="177"/>
      <c r="W97" s="177"/>
      <c r="X97" s="177"/>
      <c r="Y97" s="177"/>
    </row>
    <row r="98">
      <c r="A98" s="177"/>
      <c r="B98" s="177"/>
      <c r="C98" s="177"/>
      <c r="D98" s="177"/>
      <c r="E98" s="177"/>
      <c r="F98" s="177"/>
      <c r="G98" s="178"/>
      <c r="H98" s="177"/>
      <c r="I98" s="177"/>
      <c r="J98" s="177"/>
      <c r="K98" s="177"/>
      <c r="L98" s="177"/>
      <c r="M98" s="177"/>
      <c r="N98" s="177"/>
      <c r="O98" s="177"/>
      <c r="P98" s="177"/>
      <c r="Q98" s="177"/>
      <c r="R98" s="1171"/>
      <c r="S98" s="177"/>
      <c r="T98" s="177"/>
      <c r="U98" s="177"/>
      <c r="V98" s="177"/>
      <c r="W98" s="177"/>
      <c r="X98" s="177"/>
      <c r="Y98" s="177"/>
    </row>
    <row r="99">
      <c r="A99" s="177"/>
      <c r="B99" s="177"/>
      <c r="C99" s="177"/>
      <c r="D99" s="177"/>
      <c r="E99" s="177"/>
      <c r="F99" s="177"/>
      <c r="G99" s="178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171"/>
      <c r="S99" s="177"/>
      <c r="T99" s="177"/>
      <c r="U99" s="177"/>
      <c r="V99" s="177"/>
      <c r="W99" s="177"/>
      <c r="X99" s="177"/>
      <c r="Y99" s="177"/>
    </row>
    <row r="100">
      <c r="A100" s="177"/>
      <c r="B100" s="177"/>
      <c r="C100" s="177"/>
      <c r="D100" s="177"/>
      <c r="E100" s="177"/>
      <c r="F100" s="177"/>
      <c r="G100" s="178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171"/>
      <c r="S100" s="177"/>
      <c r="T100" s="177"/>
      <c r="U100" s="177"/>
      <c r="V100" s="177"/>
      <c r="W100" s="177"/>
      <c r="X100" s="177"/>
      <c r="Y100" s="177"/>
    </row>
    <row r="101">
      <c r="A101" s="177"/>
      <c r="B101" s="177"/>
      <c r="C101" s="177"/>
      <c r="D101" s="177"/>
      <c r="E101" s="177"/>
      <c r="F101" s="177"/>
      <c r="G101" s="178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171"/>
      <c r="S101" s="177"/>
      <c r="T101" s="177"/>
      <c r="U101" s="177"/>
      <c r="V101" s="177"/>
      <c r="W101" s="177"/>
      <c r="X101" s="177"/>
      <c r="Y101" s="177"/>
    </row>
    <row r="102">
      <c r="A102" s="177"/>
      <c r="B102" s="177"/>
      <c r="C102" s="177"/>
      <c r="D102" s="177"/>
      <c r="E102" s="177"/>
      <c r="F102" s="177"/>
      <c r="G102" s="178"/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  <c r="R102" s="1171"/>
      <c r="S102" s="177"/>
      <c r="T102" s="177"/>
      <c r="U102" s="177"/>
      <c r="V102" s="177"/>
      <c r="W102" s="177"/>
      <c r="X102" s="177"/>
      <c r="Y102" s="177"/>
    </row>
    <row r="103">
      <c r="A103" s="177"/>
      <c r="B103" s="177"/>
      <c r="C103" s="177"/>
      <c r="D103" s="177"/>
      <c r="E103" s="177"/>
      <c r="F103" s="177"/>
      <c r="G103" s="178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171"/>
      <c r="S103" s="177"/>
      <c r="T103" s="177"/>
      <c r="U103" s="177"/>
      <c r="V103" s="177"/>
      <c r="W103" s="177"/>
      <c r="X103" s="177"/>
      <c r="Y103" s="177"/>
    </row>
    <row r="104">
      <c r="A104" s="177"/>
      <c r="B104" s="177"/>
      <c r="C104" s="177"/>
      <c r="D104" s="177"/>
      <c r="E104" s="177"/>
      <c r="F104" s="177"/>
      <c r="G104" s="178"/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171"/>
      <c r="S104" s="177"/>
      <c r="T104" s="177"/>
      <c r="U104" s="177"/>
      <c r="V104" s="177"/>
      <c r="W104" s="177"/>
      <c r="X104" s="177"/>
      <c r="Y104" s="177"/>
    </row>
    <row r="105">
      <c r="A105" s="177"/>
      <c r="B105" s="177"/>
      <c r="C105" s="177"/>
      <c r="D105" s="177"/>
      <c r="E105" s="177"/>
      <c r="F105" s="177"/>
      <c r="G105" s="178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171"/>
      <c r="S105" s="177"/>
      <c r="T105" s="177"/>
      <c r="U105" s="177"/>
      <c r="V105" s="177"/>
      <c r="W105" s="177"/>
      <c r="X105" s="177"/>
      <c r="Y105" s="177"/>
    </row>
    <row r="106">
      <c r="A106" s="177"/>
      <c r="B106" s="177"/>
      <c r="C106" s="177"/>
      <c r="D106" s="177"/>
      <c r="E106" s="177"/>
      <c r="F106" s="177"/>
      <c r="G106" s="178"/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171"/>
      <c r="S106" s="177"/>
      <c r="T106" s="177"/>
      <c r="U106" s="177"/>
      <c r="V106" s="177"/>
      <c r="W106" s="177"/>
      <c r="X106" s="177"/>
      <c r="Y106" s="177"/>
    </row>
    <row r="107">
      <c r="A107" s="177"/>
      <c r="B107" s="177"/>
      <c r="C107" s="177"/>
      <c r="D107" s="177"/>
      <c r="E107" s="177"/>
      <c r="F107" s="177"/>
      <c r="G107" s="178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171"/>
      <c r="S107" s="177"/>
      <c r="T107" s="177"/>
      <c r="U107" s="177"/>
      <c r="V107" s="177"/>
      <c r="W107" s="177"/>
      <c r="X107" s="177"/>
      <c r="Y107" s="177"/>
    </row>
    <row r="108">
      <c r="A108" s="177"/>
      <c r="B108" s="177"/>
      <c r="C108" s="177"/>
      <c r="D108" s="177"/>
      <c r="E108" s="177"/>
      <c r="F108" s="177"/>
      <c r="G108" s="178"/>
      <c r="H108" s="177"/>
      <c r="I108" s="177"/>
      <c r="J108" s="177"/>
      <c r="K108" s="177"/>
      <c r="L108" s="177"/>
      <c r="M108" s="177"/>
      <c r="N108" s="177"/>
      <c r="O108" s="177"/>
      <c r="P108" s="177"/>
      <c r="Q108" s="177"/>
      <c r="R108" s="1171"/>
      <c r="S108" s="177"/>
      <c r="T108" s="177"/>
      <c r="U108" s="177"/>
      <c r="V108" s="177"/>
      <c r="W108" s="177"/>
      <c r="X108" s="177"/>
      <c r="Y108" s="177"/>
    </row>
    <row r="109">
      <c r="A109" s="177"/>
      <c r="B109" s="177"/>
      <c r="C109" s="177"/>
      <c r="D109" s="177"/>
      <c r="E109" s="177"/>
      <c r="F109" s="177"/>
      <c r="G109" s="178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171"/>
      <c r="S109" s="177"/>
      <c r="T109" s="177"/>
      <c r="U109" s="177"/>
      <c r="V109" s="177"/>
      <c r="W109" s="177"/>
      <c r="X109" s="177"/>
      <c r="Y109" s="177"/>
    </row>
    <row r="110">
      <c r="A110" s="177"/>
      <c r="B110" s="177"/>
      <c r="C110" s="177"/>
      <c r="D110" s="177"/>
      <c r="E110" s="177"/>
      <c r="F110" s="177"/>
      <c r="G110" s="178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171"/>
      <c r="S110" s="177"/>
      <c r="T110" s="177"/>
      <c r="U110" s="177"/>
      <c r="V110" s="177"/>
      <c r="W110" s="177"/>
      <c r="X110" s="177"/>
      <c r="Y110" s="177"/>
    </row>
    <row r="111">
      <c r="A111" s="177"/>
      <c r="B111" s="177"/>
      <c r="C111" s="177"/>
      <c r="D111" s="177"/>
      <c r="E111" s="177"/>
      <c r="F111" s="177"/>
      <c r="G111" s="178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171"/>
      <c r="S111" s="177"/>
      <c r="T111" s="177"/>
      <c r="U111" s="177"/>
      <c r="V111" s="177"/>
      <c r="W111" s="177"/>
      <c r="X111" s="177"/>
      <c r="Y111" s="177"/>
    </row>
    <row r="112">
      <c r="A112" s="177"/>
      <c r="B112" s="177"/>
      <c r="C112" s="177"/>
      <c r="D112" s="177"/>
      <c r="E112" s="177"/>
      <c r="F112" s="177"/>
      <c r="G112" s="178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171"/>
      <c r="S112" s="177"/>
      <c r="T112" s="177"/>
      <c r="U112" s="177"/>
      <c r="V112" s="177"/>
      <c r="W112" s="177"/>
      <c r="X112" s="177"/>
      <c r="Y112" s="177"/>
    </row>
    <row r="113">
      <c r="A113" s="177"/>
      <c r="B113" s="177"/>
      <c r="C113" s="177"/>
      <c r="D113" s="177"/>
      <c r="E113" s="177"/>
      <c r="F113" s="177"/>
      <c r="G113" s="178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171"/>
      <c r="S113" s="177"/>
      <c r="T113" s="177"/>
      <c r="U113" s="177"/>
      <c r="V113" s="177"/>
      <c r="W113" s="177"/>
      <c r="X113" s="177"/>
      <c r="Y113" s="177"/>
    </row>
    <row r="114">
      <c r="A114" s="177"/>
      <c r="B114" s="177"/>
      <c r="C114" s="177"/>
      <c r="D114" s="177"/>
      <c r="E114" s="177"/>
      <c r="F114" s="177"/>
      <c r="G114" s="178"/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171"/>
      <c r="S114" s="177"/>
      <c r="T114" s="177"/>
      <c r="U114" s="177"/>
      <c r="V114" s="177"/>
      <c r="W114" s="177"/>
      <c r="X114" s="177"/>
      <c r="Y114" s="177"/>
    </row>
    <row r="115">
      <c r="A115" s="177"/>
      <c r="B115" s="177"/>
      <c r="C115" s="177"/>
      <c r="D115" s="177"/>
      <c r="E115" s="177"/>
      <c r="F115" s="177"/>
      <c r="G115" s="178"/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171"/>
      <c r="S115" s="177"/>
      <c r="T115" s="177"/>
      <c r="U115" s="177"/>
      <c r="V115" s="177"/>
      <c r="W115" s="177"/>
      <c r="X115" s="177"/>
      <c r="Y115" s="177"/>
    </row>
    <row r="116">
      <c r="A116" s="177"/>
      <c r="B116" s="177"/>
      <c r="C116" s="177"/>
      <c r="D116" s="177"/>
      <c r="E116" s="177"/>
      <c r="F116" s="177"/>
      <c r="G116" s="178"/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171"/>
      <c r="S116" s="177"/>
      <c r="T116" s="177"/>
      <c r="U116" s="177"/>
      <c r="V116" s="177"/>
      <c r="W116" s="177"/>
      <c r="X116" s="177"/>
      <c r="Y116" s="177"/>
    </row>
    <row r="117">
      <c r="A117" s="177"/>
      <c r="B117" s="177"/>
      <c r="C117" s="177"/>
      <c r="D117" s="177"/>
      <c r="E117" s="177"/>
      <c r="F117" s="177"/>
      <c r="G117" s="178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171"/>
      <c r="S117" s="177"/>
      <c r="T117" s="177"/>
      <c r="U117" s="177"/>
      <c r="V117" s="177"/>
      <c r="W117" s="177"/>
      <c r="X117" s="177"/>
      <c r="Y117" s="177"/>
    </row>
    <row r="118">
      <c r="A118" s="177"/>
      <c r="B118" s="177"/>
      <c r="C118" s="177"/>
      <c r="D118" s="177"/>
      <c r="E118" s="177"/>
      <c r="F118" s="177"/>
      <c r="G118" s="178"/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171"/>
      <c r="S118" s="177"/>
      <c r="T118" s="177"/>
      <c r="U118" s="177"/>
      <c r="V118" s="177"/>
      <c r="W118" s="177"/>
      <c r="X118" s="177"/>
      <c r="Y118" s="177"/>
    </row>
    <row r="119">
      <c r="A119" s="177"/>
      <c r="B119" s="177"/>
      <c r="C119" s="177"/>
      <c r="D119" s="177"/>
      <c r="E119" s="177"/>
      <c r="F119" s="177"/>
      <c r="G119" s="178"/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  <c r="R119" s="1171"/>
      <c r="S119" s="177"/>
      <c r="T119" s="177"/>
      <c r="U119" s="177"/>
      <c r="V119" s="177"/>
      <c r="W119" s="177"/>
      <c r="X119" s="177"/>
      <c r="Y119" s="177"/>
    </row>
    <row r="120">
      <c r="A120" s="177"/>
      <c r="B120" s="177"/>
      <c r="C120" s="177"/>
      <c r="D120" s="177"/>
      <c r="E120" s="177"/>
      <c r="F120" s="177"/>
      <c r="G120" s="178"/>
      <c r="H120" s="177"/>
      <c r="I120" s="177"/>
      <c r="J120" s="177"/>
      <c r="K120" s="177"/>
      <c r="L120" s="177"/>
      <c r="M120" s="177"/>
      <c r="N120" s="177"/>
      <c r="O120" s="177"/>
      <c r="P120" s="177"/>
      <c r="Q120" s="177"/>
      <c r="R120" s="1171"/>
      <c r="S120" s="177"/>
      <c r="T120" s="177"/>
      <c r="U120" s="177"/>
      <c r="V120" s="177"/>
      <c r="W120" s="177"/>
      <c r="X120" s="177"/>
      <c r="Y120" s="177"/>
    </row>
    <row r="121">
      <c r="A121" s="177"/>
      <c r="B121" s="177"/>
      <c r="C121" s="177"/>
      <c r="D121" s="177"/>
      <c r="E121" s="177"/>
      <c r="F121" s="177"/>
      <c r="G121" s="178"/>
      <c r="H121" s="177"/>
      <c r="I121" s="177"/>
      <c r="J121" s="177"/>
      <c r="K121" s="177"/>
      <c r="L121" s="177"/>
      <c r="M121" s="177"/>
      <c r="N121" s="177"/>
      <c r="O121" s="177"/>
      <c r="P121" s="177"/>
      <c r="Q121" s="177"/>
      <c r="R121" s="1171"/>
      <c r="S121" s="177"/>
      <c r="T121" s="177"/>
      <c r="U121" s="177"/>
      <c r="V121" s="177"/>
      <c r="W121" s="177"/>
      <c r="X121" s="177"/>
      <c r="Y121" s="177"/>
    </row>
    <row r="122">
      <c r="A122" s="177"/>
      <c r="B122" s="177"/>
      <c r="C122" s="177"/>
      <c r="D122" s="177"/>
      <c r="E122" s="177"/>
      <c r="F122" s="177"/>
      <c r="G122" s="178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171"/>
      <c r="S122" s="177"/>
      <c r="T122" s="177"/>
      <c r="U122" s="177"/>
      <c r="V122" s="177"/>
      <c r="W122" s="177"/>
      <c r="X122" s="177"/>
      <c r="Y122" s="177"/>
    </row>
    <row r="123">
      <c r="A123" s="177"/>
      <c r="B123" s="177"/>
      <c r="C123" s="177"/>
      <c r="D123" s="177"/>
      <c r="E123" s="177"/>
      <c r="F123" s="177"/>
      <c r="G123" s="178"/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R123" s="1171"/>
      <c r="S123" s="177"/>
      <c r="T123" s="177"/>
      <c r="U123" s="177"/>
      <c r="V123" s="177"/>
      <c r="W123" s="177"/>
      <c r="X123" s="177"/>
      <c r="Y123" s="177"/>
    </row>
    <row r="124">
      <c r="A124" s="177"/>
      <c r="B124" s="177"/>
      <c r="C124" s="177"/>
      <c r="D124" s="177"/>
      <c r="E124" s="177"/>
      <c r="F124" s="177"/>
      <c r="G124" s="178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171"/>
      <c r="S124" s="177"/>
      <c r="T124" s="177"/>
      <c r="U124" s="177"/>
      <c r="V124" s="177"/>
      <c r="W124" s="177"/>
      <c r="X124" s="177"/>
      <c r="Y124" s="177"/>
    </row>
    <row r="125">
      <c r="A125" s="177"/>
      <c r="B125" s="177"/>
      <c r="C125" s="177"/>
      <c r="D125" s="177"/>
      <c r="E125" s="177"/>
      <c r="F125" s="177"/>
      <c r="G125" s="178"/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  <c r="R125" s="1171"/>
      <c r="S125" s="177"/>
      <c r="T125" s="177"/>
      <c r="U125" s="177"/>
      <c r="V125" s="177"/>
      <c r="W125" s="177"/>
      <c r="X125" s="177"/>
      <c r="Y125" s="177"/>
    </row>
    <row r="126">
      <c r="A126" s="177"/>
      <c r="B126" s="177"/>
      <c r="C126" s="177"/>
      <c r="D126" s="177"/>
      <c r="E126" s="177"/>
      <c r="F126" s="177"/>
      <c r="G126" s="178"/>
      <c r="H126" s="177"/>
      <c r="I126" s="177"/>
      <c r="J126" s="177"/>
      <c r="K126" s="177"/>
      <c r="L126" s="177"/>
      <c r="M126" s="177"/>
      <c r="N126" s="177"/>
      <c r="O126" s="177"/>
      <c r="P126" s="177"/>
      <c r="Q126" s="177"/>
      <c r="R126" s="1171"/>
      <c r="S126" s="177"/>
      <c r="T126" s="177"/>
      <c r="U126" s="177"/>
      <c r="V126" s="177"/>
      <c r="W126" s="177"/>
      <c r="X126" s="177"/>
      <c r="Y126" s="177"/>
    </row>
    <row r="127">
      <c r="A127" s="177"/>
      <c r="B127" s="177"/>
      <c r="C127" s="177"/>
      <c r="D127" s="177"/>
      <c r="E127" s="177"/>
      <c r="F127" s="177"/>
      <c r="G127" s="178"/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171"/>
      <c r="S127" s="177"/>
      <c r="T127" s="177"/>
      <c r="U127" s="177"/>
      <c r="V127" s="177"/>
      <c r="W127" s="177"/>
      <c r="X127" s="177"/>
      <c r="Y127" s="177"/>
    </row>
    <row r="128">
      <c r="A128" s="177"/>
      <c r="B128" s="177"/>
      <c r="C128" s="177"/>
      <c r="D128" s="177"/>
      <c r="E128" s="177"/>
      <c r="F128" s="177"/>
      <c r="G128" s="178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  <c r="R128" s="1171"/>
      <c r="S128" s="177"/>
      <c r="T128" s="177"/>
      <c r="U128" s="177"/>
      <c r="V128" s="177"/>
      <c r="W128" s="177"/>
      <c r="X128" s="177"/>
      <c r="Y128" s="177"/>
    </row>
    <row r="129">
      <c r="A129" s="177"/>
      <c r="B129" s="177"/>
      <c r="C129" s="177"/>
      <c r="D129" s="177"/>
      <c r="E129" s="177"/>
      <c r="F129" s="177"/>
      <c r="G129" s="178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  <c r="R129" s="1171"/>
      <c r="S129" s="177"/>
      <c r="T129" s="177"/>
      <c r="U129" s="177"/>
      <c r="V129" s="177"/>
      <c r="W129" s="177"/>
      <c r="X129" s="177"/>
      <c r="Y129" s="177"/>
    </row>
    <row r="130">
      <c r="A130" s="177"/>
      <c r="B130" s="177"/>
      <c r="C130" s="177"/>
      <c r="D130" s="177"/>
      <c r="E130" s="177"/>
      <c r="F130" s="177"/>
      <c r="G130" s="178"/>
      <c r="H130" s="177"/>
      <c r="I130" s="177"/>
      <c r="J130" s="177"/>
      <c r="K130" s="177"/>
      <c r="L130" s="177"/>
      <c r="M130" s="177"/>
      <c r="N130" s="177"/>
      <c r="O130" s="177"/>
      <c r="P130" s="177"/>
      <c r="Q130" s="177"/>
      <c r="R130" s="1171"/>
      <c r="S130" s="177"/>
      <c r="T130" s="177"/>
      <c r="U130" s="177"/>
      <c r="V130" s="177"/>
      <c r="W130" s="177"/>
      <c r="X130" s="177"/>
      <c r="Y130" s="177"/>
    </row>
    <row r="131">
      <c r="A131" s="177"/>
      <c r="B131" s="177"/>
      <c r="C131" s="177"/>
      <c r="D131" s="177"/>
      <c r="E131" s="177"/>
      <c r="F131" s="177"/>
      <c r="G131" s="178"/>
      <c r="H131" s="177"/>
      <c r="I131" s="177"/>
      <c r="J131" s="177"/>
      <c r="K131" s="177"/>
      <c r="L131" s="177"/>
      <c r="M131" s="177"/>
      <c r="N131" s="177"/>
      <c r="O131" s="177"/>
      <c r="P131" s="177"/>
      <c r="Q131" s="177"/>
      <c r="R131" s="1171"/>
      <c r="S131" s="177"/>
      <c r="T131" s="177"/>
      <c r="U131" s="177"/>
      <c r="V131" s="177"/>
      <c r="W131" s="177"/>
      <c r="X131" s="177"/>
      <c r="Y131" s="177"/>
    </row>
    <row r="132">
      <c r="A132" s="177"/>
      <c r="B132" s="177"/>
      <c r="C132" s="177"/>
      <c r="D132" s="177"/>
      <c r="E132" s="177"/>
      <c r="F132" s="177"/>
      <c r="G132" s="178"/>
      <c r="H132" s="177"/>
      <c r="I132" s="177"/>
      <c r="J132" s="177"/>
      <c r="K132" s="177"/>
      <c r="L132" s="177"/>
      <c r="M132" s="177"/>
      <c r="N132" s="177"/>
      <c r="O132" s="177"/>
      <c r="P132" s="177"/>
      <c r="Q132" s="177"/>
      <c r="R132" s="1171"/>
      <c r="S132" s="177"/>
      <c r="T132" s="177"/>
      <c r="U132" s="177"/>
      <c r="V132" s="177"/>
      <c r="W132" s="177"/>
      <c r="X132" s="177"/>
      <c r="Y132" s="177"/>
    </row>
    <row r="133">
      <c r="A133" s="177"/>
      <c r="B133" s="177"/>
      <c r="C133" s="177"/>
      <c r="D133" s="177"/>
      <c r="E133" s="177"/>
      <c r="F133" s="177"/>
      <c r="G133" s="178"/>
      <c r="H133" s="177"/>
      <c r="I133" s="177"/>
      <c r="J133" s="177"/>
      <c r="K133" s="177"/>
      <c r="L133" s="177"/>
      <c r="M133" s="177"/>
      <c r="N133" s="177"/>
      <c r="O133" s="177"/>
      <c r="P133" s="177"/>
      <c r="Q133" s="177"/>
      <c r="R133" s="1171"/>
      <c r="S133" s="177"/>
      <c r="T133" s="177"/>
      <c r="U133" s="177"/>
      <c r="V133" s="177"/>
      <c r="W133" s="177"/>
      <c r="X133" s="177"/>
      <c r="Y133" s="177"/>
    </row>
    <row r="134">
      <c r="A134" s="177"/>
      <c r="B134" s="177"/>
      <c r="C134" s="177"/>
      <c r="D134" s="177"/>
      <c r="E134" s="177"/>
      <c r="F134" s="177"/>
      <c r="G134" s="178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171"/>
      <c r="S134" s="177"/>
      <c r="T134" s="177"/>
      <c r="U134" s="177"/>
      <c r="V134" s="177"/>
      <c r="W134" s="177"/>
      <c r="X134" s="177"/>
      <c r="Y134" s="177"/>
    </row>
    <row r="135">
      <c r="A135" s="177"/>
      <c r="B135" s="177"/>
      <c r="C135" s="177"/>
      <c r="D135" s="177"/>
      <c r="E135" s="177"/>
      <c r="F135" s="177"/>
      <c r="G135" s="178"/>
      <c r="H135" s="177"/>
      <c r="I135" s="177"/>
      <c r="J135" s="177"/>
      <c r="K135" s="177"/>
      <c r="L135" s="177"/>
      <c r="M135" s="177"/>
      <c r="N135" s="177"/>
      <c r="O135" s="177"/>
      <c r="P135" s="177"/>
      <c r="Q135" s="177"/>
      <c r="R135" s="1171"/>
      <c r="S135" s="177"/>
      <c r="T135" s="177"/>
      <c r="U135" s="177"/>
      <c r="V135" s="177"/>
      <c r="W135" s="177"/>
      <c r="X135" s="177"/>
      <c r="Y135" s="177"/>
    </row>
    <row r="136">
      <c r="A136" s="177"/>
      <c r="B136" s="177"/>
      <c r="C136" s="177"/>
      <c r="D136" s="177"/>
      <c r="E136" s="177"/>
      <c r="F136" s="177"/>
      <c r="G136" s="178"/>
      <c r="H136" s="177"/>
      <c r="I136" s="177"/>
      <c r="J136" s="177"/>
      <c r="K136" s="177"/>
      <c r="L136" s="177"/>
      <c r="M136" s="177"/>
      <c r="N136" s="177"/>
      <c r="O136" s="177"/>
      <c r="P136" s="177"/>
      <c r="Q136" s="177"/>
      <c r="R136" s="1171"/>
      <c r="S136" s="177"/>
      <c r="T136" s="177"/>
      <c r="U136" s="177"/>
      <c r="V136" s="177"/>
      <c r="W136" s="177"/>
      <c r="X136" s="177"/>
      <c r="Y136" s="177"/>
    </row>
    <row r="137">
      <c r="A137" s="177"/>
      <c r="B137" s="177"/>
      <c r="C137" s="177"/>
      <c r="D137" s="177"/>
      <c r="E137" s="177"/>
      <c r="F137" s="177"/>
      <c r="G137" s="178"/>
      <c r="H137" s="177"/>
      <c r="I137" s="177"/>
      <c r="J137" s="177"/>
      <c r="K137" s="177"/>
      <c r="L137" s="177"/>
      <c r="M137" s="177"/>
      <c r="N137" s="177"/>
      <c r="O137" s="177"/>
      <c r="P137" s="177"/>
      <c r="Q137" s="177"/>
      <c r="R137" s="1171"/>
      <c r="S137" s="177"/>
      <c r="T137" s="177"/>
      <c r="U137" s="177"/>
      <c r="V137" s="177"/>
      <c r="W137" s="177"/>
      <c r="X137" s="177"/>
      <c r="Y137" s="177"/>
    </row>
    <row r="138">
      <c r="A138" s="177"/>
      <c r="B138" s="177"/>
      <c r="C138" s="177"/>
      <c r="D138" s="177"/>
      <c r="E138" s="177"/>
      <c r="F138" s="177"/>
      <c r="G138" s="178"/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  <c r="R138" s="1171"/>
      <c r="S138" s="177"/>
      <c r="T138" s="177"/>
      <c r="U138" s="177"/>
      <c r="V138" s="177"/>
      <c r="W138" s="177"/>
      <c r="X138" s="177"/>
      <c r="Y138" s="177"/>
    </row>
    <row r="139">
      <c r="A139" s="177"/>
      <c r="B139" s="177"/>
      <c r="C139" s="177"/>
      <c r="D139" s="177"/>
      <c r="E139" s="177"/>
      <c r="F139" s="177"/>
      <c r="G139" s="178"/>
      <c r="H139" s="177"/>
      <c r="I139" s="177"/>
      <c r="J139" s="177"/>
      <c r="K139" s="177"/>
      <c r="L139" s="177"/>
      <c r="M139" s="177"/>
      <c r="N139" s="177"/>
      <c r="O139" s="177"/>
      <c r="P139" s="177"/>
      <c r="Q139" s="177"/>
      <c r="R139" s="1171"/>
      <c r="S139" s="177"/>
      <c r="T139" s="177"/>
      <c r="U139" s="177"/>
      <c r="V139" s="177"/>
      <c r="W139" s="177"/>
      <c r="X139" s="177"/>
      <c r="Y139" s="177"/>
    </row>
    <row r="140">
      <c r="A140" s="177"/>
      <c r="B140" s="177"/>
      <c r="C140" s="177"/>
      <c r="D140" s="177"/>
      <c r="E140" s="177"/>
      <c r="F140" s="177"/>
      <c r="G140" s="178"/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  <c r="R140" s="1171"/>
      <c r="S140" s="177"/>
      <c r="T140" s="177"/>
      <c r="U140" s="177"/>
      <c r="V140" s="177"/>
      <c r="W140" s="177"/>
      <c r="X140" s="177"/>
      <c r="Y140" s="177"/>
    </row>
    <row r="141">
      <c r="A141" s="177"/>
      <c r="B141" s="177"/>
      <c r="C141" s="177"/>
      <c r="D141" s="177"/>
      <c r="E141" s="177"/>
      <c r="F141" s="177"/>
      <c r="G141" s="178"/>
      <c r="H141" s="177"/>
      <c r="I141" s="177"/>
      <c r="J141" s="177"/>
      <c r="K141" s="177"/>
      <c r="L141" s="177"/>
      <c r="M141" s="177"/>
      <c r="N141" s="177"/>
      <c r="O141" s="177"/>
      <c r="P141" s="177"/>
      <c r="Q141" s="177"/>
      <c r="R141" s="1171"/>
      <c r="S141" s="177"/>
      <c r="T141" s="177"/>
      <c r="U141" s="177"/>
      <c r="V141" s="177"/>
      <c r="W141" s="177"/>
      <c r="X141" s="177"/>
      <c r="Y141" s="177"/>
    </row>
    <row r="142">
      <c r="A142" s="177"/>
      <c r="B142" s="177"/>
      <c r="C142" s="177"/>
      <c r="D142" s="177"/>
      <c r="E142" s="177"/>
      <c r="F142" s="177"/>
      <c r="G142" s="178"/>
      <c r="H142" s="177"/>
      <c r="I142" s="177"/>
      <c r="J142" s="177"/>
      <c r="K142" s="177"/>
      <c r="L142" s="177"/>
      <c r="M142" s="177"/>
      <c r="N142" s="177"/>
      <c r="O142" s="177"/>
      <c r="P142" s="177"/>
      <c r="Q142" s="177"/>
      <c r="R142" s="1171"/>
      <c r="S142" s="177"/>
      <c r="T142" s="177"/>
      <c r="U142" s="177"/>
      <c r="V142" s="177"/>
      <c r="W142" s="177"/>
      <c r="X142" s="177"/>
      <c r="Y142" s="177"/>
    </row>
    <row r="143">
      <c r="A143" s="177"/>
      <c r="B143" s="177"/>
      <c r="C143" s="177"/>
      <c r="D143" s="177"/>
      <c r="E143" s="177"/>
      <c r="F143" s="177"/>
      <c r="G143" s="178"/>
      <c r="H143" s="177"/>
      <c r="I143" s="177"/>
      <c r="J143" s="177"/>
      <c r="K143" s="177"/>
      <c r="L143" s="177"/>
      <c r="M143" s="177"/>
      <c r="N143" s="177"/>
      <c r="O143" s="177"/>
      <c r="P143" s="177"/>
      <c r="Q143" s="177"/>
      <c r="R143" s="1171"/>
      <c r="S143" s="177"/>
      <c r="T143" s="177"/>
      <c r="U143" s="177"/>
      <c r="V143" s="177"/>
      <c r="W143" s="177"/>
      <c r="X143" s="177"/>
      <c r="Y143" s="177"/>
    </row>
    <row r="144">
      <c r="A144" s="177"/>
      <c r="B144" s="177"/>
      <c r="C144" s="177"/>
      <c r="D144" s="177"/>
      <c r="E144" s="177"/>
      <c r="F144" s="177"/>
      <c r="G144" s="178"/>
      <c r="H144" s="177"/>
      <c r="I144" s="177"/>
      <c r="J144" s="177"/>
      <c r="K144" s="177"/>
      <c r="L144" s="177"/>
      <c r="M144" s="177"/>
      <c r="N144" s="177"/>
      <c r="O144" s="177"/>
      <c r="P144" s="177"/>
      <c r="Q144" s="177"/>
      <c r="R144" s="1171"/>
      <c r="S144" s="177"/>
      <c r="T144" s="177"/>
      <c r="U144" s="177"/>
      <c r="V144" s="177"/>
      <c r="W144" s="177"/>
      <c r="X144" s="177"/>
      <c r="Y144" s="177"/>
    </row>
    <row r="145">
      <c r="A145" s="177"/>
      <c r="B145" s="177"/>
      <c r="C145" s="177"/>
      <c r="D145" s="177"/>
      <c r="E145" s="177"/>
      <c r="F145" s="177"/>
      <c r="G145" s="178"/>
      <c r="H145" s="177"/>
      <c r="I145" s="177"/>
      <c r="J145" s="177"/>
      <c r="K145" s="177"/>
      <c r="L145" s="177"/>
      <c r="M145" s="177"/>
      <c r="N145" s="177"/>
      <c r="O145" s="177"/>
      <c r="P145" s="177"/>
      <c r="Q145" s="177"/>
      <c r="R145" s="1171"/>
      <c r="S145" s="177"/>
      <c r="T145" s="177"/>
      <c r="U145" s="177"/>
      <c r="V145" s="177"/>
      <c r="W145" s="177"/>
      <c r="X145" s="177"/>
      <c r="Y145" s="177"/>
    </row>
    <row r="146">
      <c r="A146" s="177"/>
      <c r="B146" s="177"/>
      <c r="C146" s="177"/>
      <c r="D146" s="177"/>
      <c r="E146" s="177"/>
      <c r="F146" s="177"/>
      <c r="G146" s="178"/>
      <c r="H146" s="177"/>
      <c r="I146" s="177"/>
      <c r="J146" s="177"/>
      <c r="K146" s="177"/>
      <c r="L146" s="177"/>
      <c r="M146" s="177"/>
      <c r="N146" s="177"/>
      <c r="O146" s="177"/>
      <c r="P146" s="177"/>
      <c r="Q146" s="177"/>
      <c r="R146" s="1171"/>
      <c r="S146" s="177"/>
      <c r="T146" s="177"/>
      <c r="U146" s="177"/>
      <c r="V146" s="177"/>
      <c r="W146" s="177"/>
      <c r="X146" s="177"/>
      <c r="Y146" s="177"/>
    </row>
    <row r="147">
      <c r="A147" s="177"/>
      <c r="B147" s="177"/>
      <c r="C147" s="177"/>
      <c r="D147" s="177"/>
      <c r="E147" s="177"/>
      <c r="F147" s="177"/>
      <c r="G147" s="178"/>
      <c r="H147" s="177"/>
      <c r="I147" s="177"/>
      <c r="J147" s="177"/>
      <c r="K147" s="177"/>
      <c r="L147" s="177"/>
      <c r="M147" s="177"/>
      <c r="N147" s="177"/>
      <c r="O147" s="177"/>
      <c r="P147" s="177"/>
      <c r="Q147" s="177"/>
      <c r="R147" s="1171"/>
      <c r="S147" s="177"/>
      <c r="T147" s="177"/>
      <c r="U147" s="177"/>
      <c r="V147" s="177"/>
      <c r="W147" s="177"/>
      <c r="X147" s="177"/>
      <c r="Y147" s="177"/>
    </row>
    <row r="148">
      <c r="A148" s="177"/>
      <c r="B148" s="177"/>
      <c r="C148" s="177"/>
      <c r="D148" s="177"/>
      <c r="E148" s="177"/>
      <c r="F148" s="177"/>
      <c r="G148" s="178"/>
      <c r="H148" s="177"/>
      <c r="I148" s="177"/>
      <c r="J148" s="177"/>
      <c r="K148" s="177"/>
      <c r="L148" s="177"/>
      <c r="M148" s="177"/>
      <c r="N148" s="177"/>
      <c r="O148" s="177"/>
      <c r="P148" s="177"/>
      <c r="Q148" s="177"/>
      <c r="R148" s="1171"/>
      <c r="S148" s="177"/>
      <c r="T148" s="177"/>
      <c r="U148" s="177"/>
      <c r="V148" s="177"/>
      <c r="W148" s="177"/>
      <c r="X148" s="177"/>
      <c r="Y148" s="177"/>
    </row>
    <row r="149">
      <c r="A149" s="177"/>
      <c r="B149" s="177"/>
      <c r="C149" s="177"/>
      <c r="D149" s="177"/>
      <c r="E149" s="177"/>
      <c r="F149" s="177"/>
      <c r="G149" s="178"/>
      <c r="H149" s="177"/>
      <c r="I149" s="177"/>
      <c r="J149" s="177"/>
      <c r="K149" s="177"/>
      <c r="L149" s="177"/>
      <c r="M149" s="177"/>
      <c r="N149" s="177"/>
      <c r="O149" s="177"/>
      <c r="P149" s="177"/>
      <c r="Q149" s="177"/>
      <c r="R149" s="1171"/>
      <c r="S149" s="177"/>
      <c r="T149" s="177"/>
      <c r="U149" s="177"/>
      <c r="V149" s="177"/>
      <c r="W149" s="177"/>
      <c r="X149" s="177"/>
      <c r="Y149" s="177"/>
    </row>
    <row r="150">
      <c r="A150" s="177"/>
      <c r="B150" s="177"/>
      <c r="C150" s="177"/>
      <c r="D150" s="177"/>
      <c r="E150" s="177"/>
      <c r="F150" s="177"/>
      <c r="G150" s="178"/>
      <c r="H150" s="177"/>
      <c r="I150" s="177"/>
      <c r="J150" s="177"/>
      <c r="K150" s="177"/>
      <c r="L150" s="177"/>
      <c r="M150" s="177"/>
      <c r="N150" s="177"/>
      <c r="O150" s="177"/>
      <c r="P150" s="177"/>
      <c r="Q150" s="177"/>
      <c r="R150" s="1171"/>
      <c r="S150" s="177"/>
      <c r="T150" s="177"/>
      <c r="U150" s="177"/>
      <c r="V150" s="177"/>
      <c r="W150" s="177"/>
      <c r="X150" s="177"/>
      <c r="Y150" s="177"/>
    </row>
    <row r="151">
      <c r="A151" s="177"/>
      <c r="B151" s="177"/>
      <c r="C151" s="177"/>
      <c r="D151" s="177"/>
      <c r="E151" s="177"/>
      <c r="F151" s="177"/>
      <c r="G151" s="178"/>
      <c r="H151" s="177"/>
      <c r="I151" s="177"/>
      <c r="J151" s="177"/>
      <c r="K151" s="177"/>
      <c r="L151" s="177"/>
      <c r="M151" s="177"/>
      <c r="N151" s="177"/>
      <c r="O151" s="177"/>
      <c r="P151" s="177"/>
      <c r="Q151" s="177"/>
      <c r="R151" s="1171"/>
      <c r="S151" s="177"/>
      <c r="T151" s="177"/>
      <c r="U151" s="177"/>
      <c r="V151" s="177"/>
      <c r="W151" s="177"/>
      <c r="X151" s="177"/>
      <c r="Y151" s="177"/>
    </row>
    <row r="152">
      <c r="A152" s="177"/>
      <c r="B152" s="177"/>
      <c r="C152" s="177"/>
      <c r="D152" s="177"/>
      <c r="E152" s="177"/>
      <c r="F152" s="177"/>
      <c r="G152" s="178"/>
      <c r="H152" s="177"/>
      <c r="I152" s="177"/>
      <c r="J152" s="177"/>
      <c r="K152" s="177"/>
      <c r="L152" s="177"/>
      <c r="M152" s="177"/>
      <c r="N152" s="177"/>
      <c r="O152" s="177"/>
      <c r="P152" s="177"/>
      <c r="Q152" s="177"/>
      <c r="R152" s="1171"/>
      <c r="S152" s="177"/>
      <c r="T152" s="177"/>
      <c r="U152" s="177"/>
      <c r="V152" s="177"/>
      <c r="W152" s="177"/>
      <c r="X152" s="177"/>
      <c r="Y152" s="177"/>
    </row>
    <row r="153">
      <c r="A153" s="177"/>
      <c r="B153" s="177"/>
      <c r="C153" s="177"/>
      <c r="D153" s="177"/>
      <c r="E153" s="177"/>
      <c r="F153" s="177"/>
      <c r="G153" s="178"/>
      <c r="H153" s="177"/>
      <c r="I153" s="177"/>
      <c r="J153" s="177"/>
      <c r="K153" s="177"/>
      <c r="L153" s="177"/>
      <c r="M153" s="177"/>
      <c r="N153" s="177"/>
      <c r="O153" s="177"/>
      <c r="P153" s="177"/>
      <c r="Q153" s="177"/>
      <c r="R153" s="1171"/>
      <c r="S153" s="177"/>
      <c r="T153" s="177"/>
      <c r="U153" s="177"/>
      <c r="V153" s="177"/>
      <c r="W153" s="177"/>
      <c r="X153" s="177"/>
      <c r="Y153" s="177"/>
    </row>
    <row r="154">
      <c r="A154" s="177"/>
      <c r="B154" s="177"/>
      <c r="C154" s="177"/>
      <c r="D154" s="177"/>
      <c r="E154" s="177"/>
      <c r="F154" s="177"/>
      <c r="G154" s="178"/>
      <c r="H154" s="177"/>
      <c r="I154" s="177"/>
      <c r="J154" s="177"/>
      <c r="K154" s="177"/>
      <c r="L154" s="177"/>
      <c r="M154" s="177"/>
      <c r="N154" s="177"/>
      <c r="O154" s="177"/>
      <c r="P154" s="177"/>
      <c r="Q154" s="177"/>
      <c r="R154" s="1171"/>
      <c r="S154" s="177"/>
      <c r="T154" s="177"/>
      <c r="U154" s="177"/>
      <c r="V154" s="177"/>
      <c r="W154" s="177"/>
      <c r="X154" s="177"/>
      <c r="Y154" s="177"/>
    </row>
    <row r="155">
      <c r="A155" s="177"/>
      <c r="B155" s="177"/>
      <c r="C155" s="177"/>
      <c r="D155" s="177"/>
      <c r="E155" s="177"/>
      <c r="F155" s="177"/>
      <c r="G155" s="178"/>
      <c r="H155" s="177"/>
      <c r="I155" s="177"/>
      <c r="J155" s="177"/>
      <c r="K155" s="177"/>
      <c r="L155" s="177"/>
      <c r="M155" s="177"/>
      <c r="N155" s="177"/>
      <c r="O155" s="177"/>
      <c r="P155" s="177"/>
      <c r="Q155" s="177"/>
      <c r="R155" s="1171"/>
      <c r="S155" s="177"/>
      <c r="T155" s="177"/>
      <c r="U155" s="177"/>
      <c r="V155" s="177"/>
      <c r="W155" s="177"/>
      <c r="X155" s="177"/>
      <c r="Y155" s="177"/>
    </row>
    <row r="156">
      <c r="A156" s="177"/>
      <c r="B156" s="177"/>
      <c r="C156" s="177"/>
      <c r="D156" s="177"/>
      <c r="E156" s="177"/>
      <c r="F156" s="177"/>
      <c r="G156" s="178"/>
      <c r="H156" s="177"/>
      <c r="I156" s="177"/>
      <c r="J156" s="177"/>
      <c r="K156" s="177"/>
      <c r="L156" s="177"/>
      <c r="M156" s="177"/>
      <c r="N156" s="177"/>
      <c r="O156" s="177"/>
      <c r="P156" s="177"/>
      <c r="Q156" s="177"/>
      <c r="R156" s="1171"/>
      <c r="S156" s="177"/>
      <c r="T156" s="177"/>
      <c r="U156" s="177"/>
      <c r="V156" s="177"/>
      <c r="W156" s="177"/>
      <c r="X156" s="177"/>
      <c r="Y156" s="177"/>
    </row>
    <row r="157">
      <c r="A157" s="177"/>
      <c r="B157" s="177"/>
      <c r="C157" s="177"/>
      <c r="D157" s="177"/>
      <c r="E157" s="177"/>
      <c r="F157" s="177"/>
      <c r="G157" s="178"/>
      <c r="H157" s="177"/>
      <c r="I157" s="177"/>
      <c r="J157" s="177"/>
      <c r="K157" s="177"/>
      <c r="L157" s="177"/>
      <c r="M157" s="177"/>
      <c r="N157" s="177"/>
      <c r="O157" s="177"/>
      <c r="P157" s="177"/>
      <c r="Q157" s="177"/>
      <c r="R157" s="1171"/>
      <c r="S157" s="177"/>
      <c r="T157" s="177"/>
      <c r="U157" s="177"/>
      <c r="V157" s="177"/>
      <c r="W157" s="177"/>
      <c r="X157" s="177"/>
      <c r="Y157" s="177"/>
    </row>
    <row r="158">
      <c r="A158" s="177"/>
      <c r="B158" s="177"/>
      <c r="C158" s="177"/>
      <c r="D158" s="177"/>
      <c r="E158" s="177"/>
      <c r="F158" s="177"/>
      <c r="G158" s="178"/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171"/>
      <c r="S158" s="177"/>
      <c r="T158" s="177"/>
      <c r="U158" s="177"/>
      <c r="V158" s="177"/>
      <c r="W158" s="177"/>
      <c r="X158" s="177"/>
      <c r="Y158" s="177"/>
    </row>
    <row r="159">
      <c r="A159" s="177"/>
      <c r="B159" s="177"/>
      <c r="C159" s="177"/>
      <c r="D159" s="177"/>
      <c r="E159" s="177"/>
      <c r="F159" s="177"/>
      <c r="G159" s="178"/>
      <c r="H159" s="177"/>
      <c r="I159" s="177"/>
      <c r="J159" s="177"/>
      <c r="K159" s="177"/>
      <c r="L159" s="177"/>
      <c r="M159" s="177"/>
      <c r="N159" s="177"/>
      <c r="O159" s="177"/>
      <c r="P159" s="177"/>
      <c r="Q159" s="177"/>
      <c r="R159" s="1171"/>
      <c r="S159" s="177"/>
      <c r="T159" s="177"/>
      <c r="U159" s="177"/>
      <c r="V159" s="177"/>
      <c r="W159" s="177"/>
      <c r="X159" s="177"/>
      <c r="Y159" s="177"/>
    </row>
    <row r="160">
      <c r="A160" s="177"/>
      <c r="B160" s="177"/>
      <c r="C160" s="177"/>
      <c r="D160" s="177"/>
      <c r="E160" s="177"/>
      <c r="F160" s="177"/>
      <c r="G160" s="178"/>
      <c r="H160" s="177"/>
      <c r="I160" s="177"/>
      <c r="J160" s="177"/>
      <c r="K160" s="177"/>
      <c r="L160" s="177"/>
      <c r="M160" s="177"/>
      <c r="N160" s="177"/>
      <c r="O160" s="177"/>
      <c r="P160" s="177"/>
      <c r="Q160" s="177"/>
      <c r="R160" s="1171"/>
      <c r="S160" s="177"/>
      <c r="T160" s="177"/>
      <c r="U160" s="177"/>
      <c r="V160" s="177"/>
      <c r="W160" s="177"/>
      <c r="X160" s="177"/>
      <c r="Y160" s="177"/>
    </row>
    <row r="161">
      <c r="A161" s="177"/>
      <c r="B161" s="177"/>
      <c r="C161" s="177"/>
      <c r="D161" s="177"/>
      <c r="E161" s="177"/>
      <c r="F161" s="177"/>
      <c r="G161" s="178"/>
      <c r="H161" s="177"/>
      <c r="I161" s="177"/>
      <c r="J161" s="177"/>
      <c r="K161" s="177"/>
      <c r="L161" s="177"/>
      <c r="M161" s="177"/>
      <c r="N161" s="177"/>
      <c r="O161" s="177"/>
      <c r="P161" s="177"/>
      <c r="Q161" s="177"/>
      <c r="R161" s="1171"/>
      <c r="S161" s="177"/>
      <c r="T161" s="177"/>
      <c r="U161" s="177"/>
      <c r="V161" s="177"/>
      <c r="W161" s="177"/>
      <c r="X161" s="177"/>
      <c r="Y161" s="177"/>
    </row>
    <row r="162">
      <c r="A162" s="177"/>
      <c r="B162" s="177"/>
      <c r="C162" s="177"/>
      <c r="D162" s="177"/>
      <c r="E162" s="177"/>
      <c r="F162" s="177"/>
      <c r="G162" s="178"/>
      <c r="H162" s="177"/>
      <c r="I162" s="177"/>
      <c r="J162" s="177"/>
      <c r="K162" s="177"/>
      <c r="L162" s="177"/>
      <c r="M162" s="177"/>
      <c r="N162" s="177"/>
      <c r="O162" s="177"/>
      <c r="P162" s="177"/>
      <c r="Q162" s="177"/>
      <c r="R162" s="1171"/>
      <c r="S162" s="177"/>
      <c r="T162" s="177"/>
      <c r="U162" s="177"/>
      <c r="V162" s="177"/>
      <c r="W162" s="177"/>
      <c r="X162" s="177"/>
      <c r="Y162" s="177"/>
    </row>
    <row r="163">
      <c r="A163" s="177"/>
      <c r="B163" s="177"/>
      <c r="C163" s="177"/>
      <c r="D163" s="177"/>
      <c r="E163" s="177"/>
      <c r="F163" s="177"/>
      <c r="G163" s="178"/>
      <c r="H163" s="177"/>
      <c r="I163" s="177"/>
      <c r="J163" s="177"/>
      <c r="K163" s="177"/>
      <c r="L163" s="177"/>
      <c r="M163" s="177"/>
      <c r="N163" s="177"/>
      <c r="O163" s="177"/>
      <c r="P163" s="177"/>
      <c r="Q163" s="177"/>
      <c r="R163" s="1171"/>
      <c r="S163" s="177"/>
      <c r="T163" s="177"/>
      <c r="U163" s="177"/>
      <c r="V163" s="177"/>
      <c r="W163" s="177"/>
      <c r="X163" s="177"/>
      <c r="Y163" s="177"/>
    </row>
    <row r="164">
      <c r="A164" s="177"/>
      <c r="B164" s="177"/>
      <c r="C164" s="177"/>
      <c r="D164" s="177"/>
      <c r="E164" s="177"/>
      <c r="F164" s="177"/>
      <c r="G164" s="178"/>
      <c r="H164" s="177"/>
      <c r="I164" s="177"/>
      <c r="J164" s="177"/>
      <c r="K164" s="177"/>
      <c r="L164" s="177"/>
      <c r="M164" s="177"/>
      <c r="N164" s="177"/>
      <c r="O164" s="177"/>
      <c r="P164" s="177"/>
      <c r="Q164" s="177"/>
      <c r="R164" s="1171"/>
      <c r="S164" s="177"/>
      <c r="T164" s="177"/>
      <c r="U164" s="177"/>
      <c r="V164" s="177"/>
      <c r="W164" s="177"/>
      <c r="X164" s="177"/>
      <c r="Y164" s="177"/>
    </row>
    <row r="165">
      <c r="A165" s="177"/>
      <c r="B165" s="177"/>
      <c r="C165" s="177"/>
      <c r="D165" s="177"/>
      <c r="E165" s="177"/>
      <c r="F165" s="177"/>
      <c r="G165" s="178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171"/>
      <c r="S165" s="177"/>
      <c r="T165" s="177"/>
      <c r="U165" s="177"/>
      <c r="V165" s="177"/>
      <c r="W165" s="177"/>
      <c r="X165" s="177"/>
      <c r="Y165" s="177"/>
    </row>
    <row r="166">
      <c r="A166" s="177"/>
      <c r="B166" s="177"/>
      <c r="C166" s="177"/>
      <c r="D166" s="177"/>
      <c r="E166" s="177"/>
      <c r="F166" s="177"/>
      <c r="G166" s="178"/>
      <c r="H166" s="177"/>
      <c r="I166" s="177"/>
      <c r="J166" s="177"/>
      <c r="K166" s="177"/>
      <c r="L166" s="177"/>
      <c r="M166" s="177"/>
      <c r="N166" s="177"/>
      <c r="O166" s="177"/>
      <c r="P166" s="177"/>
      <c r="Q166" s="177"/>
      <c r="R166" s="1171"/>
      <c r="S166" s="177"/>
      <c r="T166" s="177"/>
      <c r="U166" s="177"/>
      <c r="V166" s="177"/>
      <c r="W166" s="177"/>
      <c r="X166" s="177"/>
      <c r="Y166" s="177"/>
    </row>
    <row r="167">
      <c r="A167" s="177"/>
      <c r="B167" s="177"/>
      <c r="C167" s="177"/>
      <c r="D167" s="177"/>
      <c r="E167" s="177"/>
      <c r="F167" s="177"/>
      <c r="G167" s="178"/>
      <c r="H167" s="177"/>
      <c r="I167" s="177"/>
      <c r="J167" s="177"/>
      <c r="K167" s="177"/>
      <c r="L167" s="177"/>
      <c r="M167" s="177"/>
      <c r="N167" s="177"/>
      <c r="O167" s="177"/>
      <c r="P167" s="177"/>
      <c r="Q167" s="177"/>
      <c r="R167" s="1171"/>
      <c r="S167" s="177"/>
      <c r="T167" s="177"/>
      <c r="U167" s="177"/>
      <c r="V167" s="177"/>
      <c r="W167" s="177"/>
      <c r="X167" s="177"/>
      <c r="Y167" s="177"/>
    </row>
    <row r="168">
      <c r="A168" s="177"/>
      <c r="B168" s="177"/>
      <c r="C168" s="177"/>
      <c r="D168" s="177"/>
      <c r="E168" s="177"/>
      <c r="F168" s="177"/>
      <c r="G168" s="178"/>
      <c r="H168" s="177"/>
      <c r="I168" s="177"/>
      <c r="J168" s="177"/>
      <c r="K168" s="177"/>
      <c r="L168" s="177"/>
      <c r="M168" s="177"/>
      <c r="N168" s="177"/>
      <c r="O168" s="177"/>
      <c r="P168" s="177"/>
      <c r="Q168" s="177"/>
      <c r="R168" s="1171"/>
      <c r="S168" s="177"/>
      <c r="T168" s="177"/>
      <c r="U168" s="177"/>
      <c r="V168" s="177"/>
      <c r="W168" s="177"/>
      <c r="X168" s="177"/>
      <c r="Y168" s="177"/>
    </row>
    <row r="169">
      <c r="A169" s="177"/>
      <c r="B169" s="177"/>
      <c r="C169" s="177"/>
      <c r="D169" s="177"/>
      <c r="E169" s="177"/>
      <c r="F169" s="177"/>
      <c r="G169" s="178"/>
      <c r="H169" s="177"/>
      <c r="I169" s="177"/>
      <c r="J169" s="177"/>
      <c r="K169" s="177"/>
      <c r="L169" s="177"/>
      <c r="M169" s="177"/>
      <c r="N169" s="177"/>
      <c r="O169" s="177"/>
      <c r="P169" s="177"/>
      <c r="Q169" s="177"/>
      <c r="R169" s="1171"/>
      <c r="S169" s="177"/>
      <c r="T169" s="177"/>
      <c r="U169" s="177"/>
      <c r="V169" s="177"/>
      <c r="W169" s="177"/>
      <c r="X169" s="177"/>
      <c r="Y169" s="177"/>
    </row>
    <row r="170">
      <c r="A170" s="177"/>
      <c r="B170" s="177"/>
      <c r="C170" s="177"/>
      <c r="D170" s="177"/>
      <c r="E170" s="177"/>
      <c r="F170" s="177"/>
      <c r="G170" s="178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171"/>
      <c r="S170" s="177"/>
      <c r="T170" s="177"/>
      <c r="U170" s="177"/>
      <c r="V170" s="177"/>
      <c r="W170" s="177"/>
      <c r="X170" s="177"/>
      <c r="Y170" s="177"/>
    </row>
    <row r="171">
      <c r="A171" s="177"/>
      <c r="B171" s="177"/>
      <c r="C171" s="177"/>
      <c r="D171" s="177"/>
      <c r="E171" s="177"/>
      <c r="F171" s="177"/>
      <c r="G171" s="178"/>
      <c r="H171" s="177"/>
      <c r="I171" s="177"/>
      <c r="J171" s="177"/>
      <c r="K171" s="177"/>
      <c r="L171" s="177"/>
      <c r="M171" s="177"/>
      <c r="N171" s="177"/>
      <c r="O171" s="177"/>
      <c r="P171" s="177"/>
      <c r="Q171" s="177"/>
      <c r="R171" s="1171"/>
      <c r="S171" s="177"/>
      <c r="T171" s="177"/>
      <c r="U171" s="177"/>
      <c r="V171" s="177"/>
      <c r="W171" s="177"/>
      <c r="X171" s="177"/>
      <c r="Y171" s="177"/>
    </row>
    <row r="172">
      <c r="A172" s="177"/>
      <c r="B172" s="177"/>
      <c r="C172" s="177"/>
      <c r="D172" s="177"/>
      <c r="E172" s="177"/>
      <c r="F172" s="177"/>
      <c r="G172" s="178"/>
      <c r="H172" s="177"/>
      <c r="I172" s="177"/>
      <c r="J172" s="177"/>
      <c r="K172" s="177"/>
      <c r="L172" s="177"/>
      <c r="M172" s="177"/>
      <c r="N172" s="177"/>
      <c r="O172" s="177"/>
      <c r="P172" s="177"/>
      <c r="Q172" s="177"/>
      <c r="R172" s="1171"/>
      <c r="S172" s="177"/>
      <c r="T172" s="177"/>
      <c r="U172" s="177"/>
      <c r="V172" s="177"/>
      <c r="W172" s="177"/>
      <c r="X172" s="177"/>
      <c r="Y172" s="177"/>
    </row>
    <row r="173">
      <c r="A173" s="177"/>
      <c r="B173" s="177"/>
      <c r="C173" s="177"/>
      <c r="D173" s="177"/>
      <c r="E173" s="177"/>
      <c r="F173" s="177"/>
      <c r="G173" s="178"/>
      <c r="H173" s="177"/>
      <c r="I173" s="177"/>
      <c r="J173" s="177"/>
      <c r="K173" s="177"/>
      <c r="L173" s="177"/>
      <c r="M173" s="177"/>
      <c r="N173" s="177"/>
      <c r="O173" s="177"/>
      <c r="P173" s="177"/>
      <c r="Q173" s="177"/>
      <c r="R173" s="1171"/>
      <c r="S173" s="177"/>
      <c r="T173" s="177"/>
      <c r="U173" s="177"/>
      <c r="V173" s="177"/>
      <c r="W173" s="177"/>
      <c r="X173" s="177"/>
      <c r="Y173" s="177"/>
    </row>
    <row r="174">
      <c r="A174" s="177"/>
      <c r="B174" s="177"/>
      <c r="C174" s="177"/>
      <c r="D174" s="177"/>
      <c r="E174" s="177"/>
      <c r="F174" s="177"/>
      <c r="G174" s="178"/>
      <c r="H174" s="177"/>
      <c r="I174" s="177"/>
      <c r="J174" s="177"/>
      <c r="K174" s="177"/>
      <c r="L174" s="177"/>
      <c r="M174" s="177"/>
      <c r="N174" s="177"/>
      <c r="O174" s="177"/>
      <c r="P174" s="177"/>
      <c r="Q174" s="177"/>
      <c r="R174" s="1171"/>
      <c r="S174" s="177"/>
      <c r="T174" s="177"/>
      <c r="U174" s="177"/>
      <c r="V174" s="177"/>
      <c r="W174" s="177"/>
      <c r="X174" s="177"/>
      <c r="Y174" s="177"/>
    </row>
    <row r="175">
      <c r="A175" s="177"/>
      <c r="B175" s="177"/>
      <c r="C175" s="177"/>
      <c r="D175" s="177"/>
      <c r="E175" s="177"/>
      <c r="F175" s="177"/>
      <c r="G175" s="178"/>
      <c r="H175" s="177"/>
      <c r="I175" s="177"/>
      <c r="J175" s="177"/>
      <c r="K175" s="177"/>
      <c r="L175" s="177"/>
      <c r="M175" s="177"/>
      <c r="N175" s="177"/>
      <c r="O175" s="177"/>
      <c r="P175" s="177"/>
      <c r="Q175" s="177"/>
      <c r="R175" s="1171"/>
      <c r="S175" s="177"/>
      <c r="T175" s="177"/>
      <c r="U175" s="177"/>
      <c r="V175" s="177"/>
      <c r="W175" s="177"/>
      <c r="X175" s="177"/>
      <c r="Y175" s="177"/>
    </row>
    <row r="176">
      <c r="A176" s="177"/>
      <c r="B176" s="177"/>
      <c r="C176" s="177"/>
      <c r="D176" s="177"/>
      <c r="E176" s="177"/>
      <c r="F176" s="177"/>
      <c r="G176" s="178"/>
      <c r="H176" s="177"/>
      <c r="I176" s="177"/>
      <c r="J176" s="177"/>
      <c r="K176" s="177"/>
      <c r="L176" s="177"/>
      <c r="M176" s="177"/>
      <c r="N176" s="177"/>
      <c r="O176" s="177"/>
      <c r="P176" s="177"/>
      <c r="Q176" s="177"/>
      <c r="R176" s="1171"/>
      <c r="S176" s="177"/>
      <c r="T176" s="177"/>
      <c r="U176" s="177"/>
      <c r="V176" s="177"/>
      <c r="W176" s="177"/>
      <c r="X176" s="177"/>
      <c r="Y176" s="177"/>
    </row>
    <row r="177">
      <c r="A177" s="177"/>
      <c r="B177" s="177"/>
      <c r="C177" s="177"/>
      <c r="D177" s="177"/>
      <c r="E177" s="177"/>
      <c r="F177" s="177"/>
      <c r="G177" s="178"/>
      <c r="H177" s="177"/>
      <c r="I177" s="177"/>
      <c r="J177" s="177"/>
      <c r="K177" s="177"/>
      <c r="L177" s="177"/>
      <c r="M177" s="177"/>
      <c r="N177" s="177"/>
      <c r="O177" s="177"/>
      <c r="P177" s="177"/>
      <c r="Q177" s="177"/>
      <c r="R177" s="1171"/>
      <c r="S177" s="177"/>
      <c r="T177" s="177"/>
      <c r="U177" s="177"/>
      <c r="V177" s="177"/>
      <c r="W177" s="177"/>
      <c r="X177" s="177"/>
      <c r="Y177" s="177"/>
    </row>
    <row r="178">
      <c r="A178" s="177"/>
      <c r="B178" s="177"/>
      <c r="C178" s="177"/>
      <c r="D178" s="177"/>
      <c r="E178" s="177"/>
      <c r="F178" s="177"/>
      <c r="G178" s="178"/>
      <c r="H178" s="177"/>
      <c r="I178" s="177"/>
      <c r="J178" s="177"/>
      <c r="K178" s="177"/>
      <c r="L178" s="177"/>
      <c r="M178" s="177"/>
      <c r="N178" s="177"/>
      <c r="O178" s="177"/>
      <c r="P178" s="177"/>
      <c r="Q178" s="177"/>
      <c r="R178" s="1171"/>
      <c r="S178" s="177"/>
      <c r="T178" s="177"/>
      <c r="U178" s="177"/>
      <c r="V178" s="177"/>
      <c r="W178" s="177"/>
      <c r="X178" s="177"/>
      <c r="Y178" s="177"/>
    </row>
    <row r="179">
      <c r="A179" s="177"/>
      <c r="B179" s="177"/>
      <c r="C179" s="177"/>
      <c r="D179" s="177"/>
      <c r="E179" s="177"/>
      <c r="F179" s="177"/>
      <c r="G179" s="178"/>
      <c r="H179" s="177"/>
      <c r="I179" s="177"/>
      <c r="J179" s="177"/>
      <c r="K179" s="177"/>
      <c r="L179" s="177"/>
      <c r="M179" s="177"/>
      <c r="N179" s="177"/>
      <c r="O179" s="177"/>
      <c r="P179" s="177"/>
      <c r="Q179" s="177"/>
      <c r="R179" s="1171"/>
      <c r="S179" s="177"/>
      <c r="T179" s="177"/>
      <c r="U179" s="177"/>
      <c r="V179" s="177"/>
      <c r="W179" s="177"/>
      <c r="X179" s="177"/>
      <c r="Y179" s="177"/>
    </row>
    <row r="180">
      <c r="A180" s="177"/>
      <c r="B180" s="177"/>
      <c r="C180" s="177"/>
      <c r="D180" s="177"/>
      <c r="E180" s="177"/>
      <c r="F180" s="177"/>
      <c r="G180" s="178"/>
      <c r="H180" s="177"/>
      <c r="I180" s="177"/>
      <c r="J180" s="177"/>
      <c r="K180" s="177"/>
      <c r="L180" s="177"/>
      <c r="M180" s="177"/>
      <c r="N180" s="177"/>
      <c r="O180" s="177"/>
      <c r="P180" s="177"/>
      <c r="Q180" s="177"/>
      <c r="R180" s="1171"/>
      <c r="S180" s="177"/>
      <c r="T180" s="177"/>
      <c r="U180" s="177"/>
      <c r="V180" s="177"/>
      <c r="W180" s="177"/>
      <c r="X180" s="177"/>
      <c r="Y180" s="177"/>
    </row>
    <row r="181">
      <c r="A181" s="177"/>
      <c r="B181" s="177"/>
      <c r="C181" s="177"/>
      <c r="D181" s="177"/>
      <c r="E181" s="177"/>
      <c r="F181" s="177"/>
      <c r="G181" s="178"/>
      <c r="H181" s="177"/>
      <c r="I181" s="177"/>
      <c r="J181" s="177"/>
      <c r="K181" s="177"/>
      <c r="L181" s="177"/>
      <c r="M181" s="177"/>
      <c r="N181" s="177"/>
      <c r="O181" s="177"/>
      <c r="P181" s="177"/>
      <c r="Q181" s="177"/>
      <c r="R181" s="1171"/>
      <c r="S181" s="177"/>
      <c r="T181" s="177"/>
      <c r="U181" s="177"/>
      <c r="V181" s="177"/>
      <c r="W181" s="177"/>
      <c r="X181" s="177"/>
      <c r="Y181" s="177"/>
    </row>
    <row r="182">
      <c r="A182" s="177"/>
      <c r="B182" s="177"/>
      <c r="C182" s="177"/>
      <c r="D182" s="177"/>
      <c r="E182" s="177"/>
      <c r="F182" s="177"/>
      <c r="G182" s="178"/>
      <c r="H182" s="177"/>
      <c r="I182" s="177"/>
      <c r="J182" s="177"/>
      <c r="K182" s="177"/>
      <c r="L182" s="177"/>
      <c r="M182" s="177"/>
      <c r="N182" s="177"/>
      <c r="O182" s="177"/>
      <c r="P182" s="177"/>
      <c r="Q182" s="177"/>
      <c r="R182" s="1171"/>
      <c r="S182" s="177"/>
      <c r="T182" s="177"/>
      <c r="U182" s="177"/>
      <c r="V182" s="177"/>
      <c r="W182" s="177"/>
      <c r="X182" s="177"/>
      <c r="Y182" s="177"/>
    </row>
    <row r="183">
      <c r="A183" s="177"/>
      <c r="B183" s="177"/>
      <c r="C183" s="177"/>
      <c r="D183" s="177"/>
      <c r="E183" s="177"/>
      <c r="F183" s="177"/>
      <c r="G183" s="178"/>
      <c r="H183" s="177"/>
      <c r="I183" s="177"/>
      <c r="J183" s="177"/>
      <c r="K183" s="177"/>
      <c r="L183" s="177"/>
      <c r="M183" s="177"/>
      <c r="N183" s="177"/>
      <c r="O183" s="177"/>
      <c r="P183" s="177"/>
      <c r="Q183" s="177"/>
      <c r="R183" s="1171"/>
      <c r="S183" s="177"/>
      <c r="T183" s="177"/>
      <c r="U183" s="177"/>
      <c r="V183" s="177"/>
      <c r="W183" s="177"/>
      <c r="X183" s="177"/>
      <c r="Y183" s="177"/>
    </row>
    <row r="184">
      <c r="A184" s="177"/>
      <c r="B184" s="177"/>
      <c r="C184" s="177"/>
      <c r="D184" s="177"/>
      <c r="E184" s="177"/>
      <c r="F184" s="177"/>
      <c r="G184" s="178"/>
      <c r="H184" s="177"/>
      <c r="I184" s="177"/>
      <c r="J184" s="177"/>
      <c r="K184" s="177"/>
      <c r="L184" s="177"/>
      <c r="M184" s="177"/>
      <c r="N184" s="177"/>
      <c r="O184" s="177"/>
      <c r="P184" s="177"/>
      <c r="Q184" s="177"/>
      <c r="R184" s="1171"/>
      <c r="S184" s="177"/>
      <c r="T184" s="177"/>
      <c r="U184" s="177"/>
      <c r="V184" s="177"/>
      <c r="W184" s="177"/>
      <c r="X184" s="177"/>
      <c r="Y184" s="177"/>
    </row>
    <row r="185">
      <c r="A185" s="177"/>
      <c r="B185" s="177"/>
      <c r="C185" s="177"/>
      <c r="D185" s="177"/>
      <c r="E185" s="177"/>
      <c r="F185" s="177"/>
      <c r="G185" s="178"/>
      <c r="H185" s="177"/>
      <c r="I185" s="177"/>
      <c r="J185" s="177"/>
      <c r="K185" s="177"/>
      <c r="L185" s="177"/>
      <c r="M185" s="177"/>
      <c r="N185" s="177"/>
      <c r="O185" s="177"/>
      <c r="P185" s="177"/>
      <c r="Q185" s="177"/>
      <c r="R185" s="1171"/>
      <c r="S185" s="177"/>
      <c r="T185" s="177"/>
      <c r="U185" s="177"/>
      <c r="V185" s="177"/>
      <c r="W185" s="177"/>
      <c r="X185" s="177"/>
      <c r="Y185" s="177"/>
    </row>
    <row r="186">
      <c r="A186" s="177"/>
      <c r="B186" s="177"/>
      <c r="C186" s="177"/>
      <c r="D186" s="177"/>
      <c r="E186" s="177"/>
      <c r="F186" s="177"/>
      <c r="G186" s="178"/>
      <c r="H186" s="177"/>
      <c r="I186" s="177"/>
      <c r="J186" s="177"/>
      <c r="K186" s="177"/>
      <c r="L186" s="177"/>
      <c r="M186" s="177"/>
      <c r="N186" s="177"/>
      <c r="O186" s="177"/>
      <c r="P186" s="177"/>
      <c r="Q186" s="177"/>
      <c r="R186" s="1171"/>
      <c r="S186" s="177"/>
      <c r="T186" s="177"/>
      <c r="U186" s="177"/>
      <c r="V186" s="177"/>
      <c r="W186" s="177"/>
      <c r="X186" s="177"/>
      <c r="Y186" s="177"/>
    </row>
    <row r="187">
      <c r="A187" s="177"/>
      <c r="B187" s="177"/>
      <c r="C187" s="177"/>
      <c r="D187" s="177"/>
      <c r="E187" s="177"/>
      <c r="F187" s="177"/>
      <c r="G187" s="178"/>
      <c r="H187" s="177"/>
      <c r="I187" s="177"/>
      <c r="J187" s="177"/>
      <c r="K187" s="177"/>
      <c r="L187" s="177"/>
      <c r="M187" s="177"/>
      <c r="N187" s="177"/>
      <c r="O187" s="177"/>
      <c r="P187" s="177"/>
      <c r="Q187" s="177"/>
      <c r="R187" s="1171"/>
      <c r="S187" s="177"/>
      <c r="T187" s="177"/>
      <c r="U187" s="177"/>
      <c r="V187" s="177"/>
      <c r="W187" s="177"/>
      <c r="X187" s="177"/>
      <c r="Y187" s="177"/>
    </row>
    <row r="188">
      <c r="A188" s="177"/>
      <c r="B188" s="177"/>
      <c r="C188" s="177"/>
      <c r="D188" s="177"/>
      <c r="E188" s="177"/>
      <c r="F188" s="177"/>
      <c r="G188" s="178"/>
      <c r="H188" s="177"/>
      <c r="I188" s="177"/>
      <c r="J188" s="177"/>
      <c r="K188" s="177"/>
      <c r="L188" s="177"/>
      <c r="M188" s="177"/>
      <c r="N188" s="177"/>
      <c r="O188" s="177"/>
      <c r="P188" s="177"/>
      <c r="Q188" s="177"/>
      <c r="R188" s="1171"/>
      <c r="S188" s="177"/>
      <c r="T188" s="177"/>
      <c r="U188" s="177"/>
      <c r="V188" s="177"/>
      <c r="W188" s="177"/>
      <c r="X188" s="177"/>
      <c r="Y188" s="177"/>
    </row>
    <row r="189">
      <c r="A189" s="177"/>
      <c r="B189" s="177"/>
      <c r="C189" s="177"/>
      <c r="D189" s="177"/>
      <c r="E189" s="177"/>
      <c r="F189" s="177"/>
      <c r="G189" s="178"/>
      <c r="H189" s="177"/>
      <c r="I189" s="177"/>
      <c r="J189" s="177"/>
      <c r="K189" s="177"/>
      <c r="L189" s="177"/>
      <c r="M189" s="177"/>
      <c r="N189" s="177"/>
      <c r="O189" s="177"/>
      <c r="P189" s="177"/>
      <c r="Q189" s="177"/>
      <c r="R189" s="1171"/>
      <c r="S189" s="177"/>
      <c r="T189" s="177"/>
      <c r="U189" s="177"/>
      <c r="V189" s="177"/>
      <c r="W189" s="177"/>
      <c r="X189" s="177"/>
      <c r="Y189" s="177"/>
    </row>
    <row r="190">
      <c r="A190" s="177"/>
      <c r="B190" s="177"/>
      <c r="C190" s="177"/>
      <c r="D190" s="177"/>
      <c r="E190" s="177"/>
      <c r="F190" s="177"/>
      <c r="G190" s="178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171"/>
      <c r="S190" s="177"/>
      <c r="T190" s="177"/>
      <c r="U190" s="177"/>
      <c r="V190" s="177"/>
      <c r="W190" s="177"/>
      <c r="X190" s="177"/>
      <c r="Y190" s="177"/>
    </row>
    <row r="191">
      <c r="A191" s="177"/>
      <c r="B191" s="177"/>
      <c r="C191" s="177"/>
      <c r="D191" s="177"/>
      <c r="E191" s="177"/>
      <c r="F191" s="177"/>
      <c r="G191" s="178"/>
      <c r="H191" s="177"/>
      <c r="I191" s="177"/>
      <c r="J191" s="177"/>
      <c r="K191" s="177"/>
      <c r="L191" s="177"/>
      <c r="M191" s="177"/>
      <c r="N191" s="177"/>
      <c r="O191" s="177"/>
      <c r="P191" s="177"/>
      <c r="Q191" s="177"/>
      <c r="R191" s="1171"/>
      <c r="S191" s="177"/>
      <c r="T191" s="177"/>
      <c r="U191" s="177"/>
      <c r="V191" s="177"/>
      <c r="W191" s="177"/>
      <c r="X191" s="177"/>
      <c r="Y191" s="177"/>
    </row>
    <row r="192">
      <c r="A192" s="177"/>
      <c r="B192" s="177"/>
      <c r="C192" s="177"/>
      <c r="D192" s="177"/>
      <c r="E192" s="177"/>
      <c r="F192" s="177"/>
      <c r="G192" s="178"/>
      <c r="H192" s="177"/>
      <c r="I192" s="177"/>
      <c r="J192" s="177"/>
      <c r="K192" s="177"/>
      <c r="L192" s="177"/>
      <c r="M192" s="177"/>
      <c r="N192" s="177"/>
      <c r="O192" s="177"/>
      <c r="P192" s="177"/>
      <c r="Q192" s="177"/>
      <c r="R192" s="1171"/>
      <c r="S192" s="177"/>
      <c r="T192" s="177"/>
      <c r="U192" s="177"/>
      <c r="V192" s="177"/>
      <c r="W192" s="177"/>
      <c r="X192" s="177"/>
      <c r="Y192" s="177"/>
    </row>
    <row r="193">
      <c r="A193" s="177"/>
      <c r="B193" s="177"/>
      <c r="C193" s="177"/>
      <c r="D193" s="177"/>
      <c r="E193" s="177"/>
      <c r="F193" s="177"/>
      <c r="G193" s="178"/>
      <c r="H193" s="177"/>
      <c r="I193" s="177"/>
      <c r="J193" s="177"/>
      <c r="K193" s="177"/>
      <c r="L193" s="177"/>
      <c r="M193" s="177"/>
      <c r="N193" s="177"/>
      <c r="O193" s="177"/>
      <c r="P193" s="177"/>
      <c r="Q193" s="177"/>
      <c r="R193" s="1171"/>
      <c r="S193" s="177"/>
      <c r="T193" s="177"/>
      <c r="U193" s="177"/>
      <c r="V193" s="177"/>
      <c r="W193" s="177"/>
      <c r="X193" s="177"/>
      <c r="Y193" s="177"/>
    </row>
    <row r="194">
      <c r="A194" s="177"/>
      <c r="B194" s="177"/>
      <c r="C194" s="177"/>
      <c r="D194" s="177"/>
      <c r="E194" s="177"/>
      <c r="F194" s="177"/>
      <c r="G194" s="178"/>
      <c r="H194" s="177"/>
      <c r="I194" s="177"/>
      <c r="J194" s="177"/>
      <c r="K194" s="177"/>
      <c r="L194" s="177"/>
      <c r="M194" s="177"/>
      <c r="N194" s="177"/>
      <c r="O194" s="177"/>
      <c r="P194" s="177"/>
      <c r="Q194" s="177"/>
      <c r="R194" s="1171"/>
      <c r="S194" s="177"/>
      <c r="T194" s="177"/>
      <c r="U194" s="177"/>
      <c r="V194" s="177"/>
      <c r="W194" s="177"/>
      <c r="X194" s="177"/>
      <c r="Y194" s="177"/>
    </row>
    <row r="195">
      <c r="A195" s="177"/>
      <c r="B195" s="177"/>
      <c r="C195" s="177"/>
      <c r="D195" s="177"/>
      <c r="E195" s="177"/>
      <c r="F195" s="177"/>
      <c r="G195" s="178"/>
      <c r="H195" s="177"/>
      <c r="I195" s="177"/>
      <c r="J195" s="177"/>
      <c r="K195" s="177"/>
      <c r="L195" s="177"/>
      <c r="M195" s="177"/>
      <c r="N195" s="177"/>
      <c r="O195" s="177"/>
      <c r="P195" s="177"/>
      <c r="Q195" s="177"/>
      <c r="R195" s="1171"/>
      <c r="S195" s="177"/>
      <c r="T195" s="177"/>
      <c r="U195" s="177"/>
      <c r="V195" s="177"/>
      <c r="W195" s="177"/>
      <c r="X195" s="177"/>
      <c r="Y195" s="177"/>
    </row>
    <row r="196">
      <c r="A196" s="177"/>
      <c r="B196" s="177"/>
      <c r="C196" s="177"/>
      <c r="D196" s="177"/>
      <c r="E196" s="177"/>
      <c r="F196" s="177"/>
      <c r="G196" s="178"/>
      <c r="H196" s="177"/>
      <c r="I196" s="177"/>
      <c r="J196" s="177"/>
      <c r="K196" s="177"/>
      <c r="L196" s="177"/>
      <c r="M196" s="177"/>
      <c r="N196" s="177"/>
      <c r="O196" s="177"/>
      <c r="P196" s="177"/>
      <c r="Q196" s="177"/>
      <c r="R196" s="1171"/>
      <c r="S196" s="177"/>
      <c r="T196" s="177"/>
      <c r="U196" s="177"/>
      <c r="V196" s="177"/>
      <c r="W196" s="177"/>
      <c r="X196" s="177"/>
      <c r="Y196" s="177"/>
    </row>
    <row r="197">
      <c r="A197" s="177"/>
      <c r="B197" s="177"/>
      <c r="C197" s="177"/>
      <c r="D197" s="177"/>
      <c r="E197" s="177"/>
      <c r="F197" s="177"/>
      <c r="G197" s="178"/>
      <c r="H197" s="177"/>
      <c r="I197" s="177"/>
      <c r="J197" s="177"/>
      <c r="K197" s="177"/>
      <c r="L197" s="177"/>
      <c r="M197" s="177"/>
      <c r="N197" s="177"/>
      <c r="O197" s="177"/>
      <c r="P197" s="177"/>
      <c r="Q197" s="177"/>
      <c r="R197" s="1171"/>
      <c r="S197" s="177"/>
      <c r="T197" s="177"/>
      <c r="U197" s="177"/>
      <c r="V197" s="177"/>
      <c r="W197" s="177"/>
      <c r="X197" s="177"/>
      <c r="Y197" s="177"/>
    </row>
    <row r="198">
      <c r="A198" s="177"/>
      <c r="B198" s="177"/>
      <c r="C198" s="177"/>
      <c r="D198" s="177"/>
      <c r="E198" s="177"/>
      <c r="F198" s="177"/>
      <c r="G198" s="178"/>
      <c r="H198" s="177"/>
      <c r="I198" s="177"/>
      <c r="J198" s="177"/>
      <c r="K198" s="177"/>
      <c r="L198" s="177"/>
      <c r="M198" s="177"/>
      <c r="N198" s="177"/>
      <c r="O198" s="177"/>
      <c r="P198" s="177"/>
      <c r="Q198" s="177"/>
      <c r="R198" s="1171"/>
      <c r="S198" s="177"/>
      <c r="T198" s="177"/>
      <c r="U198" s="177"/>
      <c r="V198" s="177"/>
      <c r="W198" s="177"/>
      <c r="X198" s="177"/>
      <c r="Y198" s="177"/>
    </row>
    <row r="199">
      <c r="A199" s="177"/>
      <c r="B199" s="177"/>
      <c r="C199" s="177"/>
      <c r="D199" s="177"/>
      <c r="E199" s="177"/>
      <c r="F199" s="177"/>
      <c r="G199" s="178"/>
      <c r="H199" s="177"/>
      <c r="I199" s="177"/>
      <c r="J199" s="177"/>
      <c r="K199" s="177"/>
      <c r="L199" s="177"/>
      <c r="M199" s="177"/>
      <c r="N199" s="177"/>
      <c r="O199" s="177"/>
      <c r="P199" s="177"/>
      <c r="Q199" s="177"/>
      <c r="R199" s="1171"/>
      <c r="S199" s="177"/>
      <c r="T199" s="177"/>
      <c r="U199" s="177"/>
      <c r="V199" s="177"/>
      <c r="W199" s="177"/>
      <c r="X199" s="177"/>
      <c r="Y199" s="177"/>
    </row>
    <row r="200">
      <c r="A200" s="177"/>
      <c r="B200" s="177"/>
      <c r="C200" s="177"/>
      <c r="D200" s="177"/>
      <c r="E200" s="177"/>
      <c r="F200" s="177"/>
      <c r="G200" s="178"/>
      <c r="H200" s="177"/>
      <c r="I200" s="177"/>
      <c r="J200" s="177"/>
      <c r="K200" s="177"/>
      <c r="L200" s="177"/>
      <c r="M200" s="177"/>
      <c r="N200" s="177"/>
      <c r="O200" s="177"/>
      <c r="P200" s="177"/>
      <c r="Q200" s="177"/>
      <c r="R200" s="1171"/>
      <c r="S200" s="177"/>
      <c r="T200" s="177"/>
      <c r="U200" s="177"/>
      <c r="V200" s="177"/>
      <c r="W200" s="177"/>
      <c r="X200" s="177"/>
      <c r="Y200" s="177"/>
    </row>
    <row r="201">
      <c r="A201" s="177"/>
      <c r="B201" s="177"/>
      <c r="C201" s="177"/>
      <c r="D201" s="177"/>
      <c r="E201" s="177"/>
      <c r="F201" s="177"/>
      <c r="G201" s="178"/>
      <c r="H201" s="177"/>
      <c r="I201" s="177"/>
      <c r="J201" s="177"/>
      <c r="K201" s="177"/>
      <c r="L201" s="177"/>
      <c r="M201" s="177"/>
      <c r="N201" s="177"/>
      <c r="O201" s="177"/>
      <c r="P201" s="177"/>
      <c r="Q201" s="177"/>
      <c r="R201" s="1171"/>
      <c r="S201" s="177"/>
      <c r="T201" s="177"/>
      <c r="U201" s="177"/>
      <c r="V201" s="177"/>
      <c r="W201" s="177"/>
      <c r="X201" s="177"/>
      <c r="Y201" s="177"/>
    </row>
    <row r="202">
      <c r="A202" s="177"/>
      <c r="B202" s="177"/>
      <c r="C202" s="177"/>
      <c r="D202" s="177"/>
      <c r="E202" s="177"/>
      <c r="F202" s="177"/>
      <c r="G202" s="178"/>
      <c r="H202" s="177"/>
      <c r="I202" s="177"/>
      <c r="J202" s="177"/>
      <c r="K202" s="177"/>
      <c r="L202" s="177"/>
      <c r="M202" s="177"/>
      <c r="N202" s="177"/>
      <c r="O202" s="177"/>
      <c r="P202" s="177"/>
      <c r="Q202" s="177"/>
      <c r="R202" s="1171"/>
      <c r="S202" s="177"/>
      <c r="T202" s="177"/>
      <c r="U202" s="177"/>
      <c r="V202" s="177"/>
      <c r="W202" s="177"/>
      <c r="X202" s="177"/>
      <c r="Y202" s="177"/>
    </row>
    <row r="203">
      <c r="A203" s="177"/>
      <c r="B203" s="177"/>
      <c r="C203" s="177"/>
      <c r="D203" s="177"/>
      <c r="E203" s="177"/>
      <c r="F203" s="177"/>
      <c r="G203" s="178"/>
      <c r="H203" s="177"/>
      <c r="I203" s="177"/>
      <c r="J203" s="177"/>
      <c r="K203" s="177"/>
      <c r="L203" s="177"/>
      <c r="M203" s="177"/>
      <c r="N203" s="177"/>
      <c r="O203" s="177"/>
      <c r="P203" s="177"/>
      <c r="Q203" s="177"/>
      <c r="R203" s="1171"/>
      <c r="S203" s="177"/>
      <c r="T203" s="177"/>
      <c r="U203" s="177"/>
      <c r="V203" s="177"/>
      <c r="W203" s="177"/>
      <c r="X203" s="177"/>
      <c r="Y203" s="177"/>
    </row>
    <row r="204">
      <c r="A204" s="177"/>
      <c r="B204" s="177"/>
      <c r="C204" s="177"/>
      <c r="D204" s="177"/>
      <c r="E204" s="177"/>
      <c r="F204" s="177"/>
      <c r="G204" s="178"/>
      <c r="H204" s="177"/>
      <c r="I204" s="177"/>
      <c r="J204" s="177"/>
      <c r="K204" s="177"/>
      <c r="L204" s="177"/>
      <c r="M204" s="177"/>
      <c r="N204" s="177"/>
      <c r="O204" s="177"/>
      <c r="P204" s="177"/>
      <c r="Q204" s="177"/>
      <c r="R204" s="1171"/>
      <c r="S204" s="177"/>
      <c r="T204" s="177"/>
      <c r="U204" s="177"/>
      <c r="V204" s="177"/>
      <c r="W204" s="177"/>
      <c r="X204" s="177"/>
      <c r="Y204" s="177"/>
    </row>
    <row r="205">
      <c r="A205" s="177"/>
      <c r="B205" s="177"/>
      <c r="C205" s="177"/>
      <c r="D205" s="177"/>
      <c r="E205" s="177"/>
      <c r="F205" s="177"/>
      <c r="G205" s="178"/>
      <c r="H205" s="177"/>
      <c r="I205" s="177"/>
      <c r="J205" s="177"/>
      <c r="K205" s="177"/>
      <c r="L205" s="177"/>
      <c r="M205" s="177"/>
      <c r="N205" s="177"/>
      <c r="O205" s="177"/>
      <c r="P205" s="177"/>
      <c r="Q205" s="177"/>
      <c r="R205" s="1171"/>
      <c r="S205" s="177"/>
      <c r="T205" s="177"/>
      <c r="U205" s="177"/>
      <c r="V205" s="177"/>
      <c r="W205" s="177"/>
      <c r="X205" s="177"/>
      <c r="Y205" s="177"/>
    </row>
    <row r="206">
      <c r="A206" s="177"/>
      <c r="B206" s="177"/>
      <c r="C206" s="177"/>
      <c r="D206" s="177"/>
      <c r="E206" s="177"/>
      <c r="F206" s="177"/>
      <c r="G206" s="178"/>
      <c r="H206" s="177"/>
      <c r="I206" s="177"/>
      <c r="J206" s="177"/>
      <c r="K206" s="177"/>
      <c r="L206" s="177"/>
      <c r="M206" s="177"/>
      <c r="N206" s="177"/>
      <c r="O206" s="177"/>
      <c r="P206" s="177"/>
      <c r="Q206" s="177"/>
      <c r="R206" s="1171"/>
      <c r="S206" s="177"/>
      <c r="T206" s="177"/>
      <c r="U206" s="177"/>
      <c r="V206" s="177"/>
      <c r="W206" s="177"/>
      <c r="X206" s="177"/>
      <c r="Y206" s="177"/>
    </row>
    <row r="207">
      <c r="A207" s="177"/>
      <c r="B207" s="177"/>
      <c r="C207" s="177"/>
      <c r="D207" s="177"/>
      <c r="E207" s="177"/>
      <c r="F207" s="177"/>
      <c r="G207" s="178"/>
      <c r="H207" s="177"/>
      <c r="I207" s="177"/>
      <c r="J207" s="177"/>
      <c r="K207" s="177"/>
      <c r="L207" s="177"/>
      <c r="M207" s="177"/>
      <c r="N207" s="177"/>
      <c r="O207" s="177"/>
      <c r="P207" s="177"/>
      <c r="Q207" s="177"/>
      <c r="R207" s="1171"/>
      <c r="S207" s="177"/>
      <c r="T207" s="177"/>
      <c r="U207" s="177"/>
      <c r="V207" s="177"/>
      <c r="W207" s="177"/>
      <c r="X207" s="177"/>
      <c r="Y207" s="177"/>
    </row>
    <row r="208">
      <c r="A208" s="177"/>
      <c r="B208" s="177"/>
      <c r="C208" s="177"/>
      <c r="D208" s="177"/>
      <c r="E208" s="177"/>
      <c r="F208" s="177"/>
      <c r="G208" s="178"/>
      <c r="H208" s="177"/>
      <c r="I208" s="177"/>
      <c r="J208" s="177"/>
      <c r="K208" s="177"/>
      <c r="L208" s="177"/>
      <c r="M208" s="177"/>
      <c r="N208" s="177"/>
      <c r="O208" s="177"/>
      <c r="P208" s="177"/>
      <c r="Q208" s="177"/>
      <c r="R208" s="1171"/>
      <c r="S208" s="177"/>
      <c r="T208" s="177"/>
      <c r="U208" s="177"/>
      <c r="V208" s="177"/>
      <c r="W208" s="177"/>
      <c r="X208" s="177"/>
      <c r="Y208" s="177"/>
    </row>
    <row r="209">
      <c r="A209" s="177"/>
      <c r="B209" s="177"/>
      <c r="C209" s="177"/>
      <c r="D209" s="177"/>
      <c r="E209" s="177"/>
      <c r="F209" s="177"/>
      <c r="G209" s="178"/>
      <c r="H209" s="177"/>
      <c r="I209" s="177"/>
      <c r="J209" s="177"/>
      <c r="K209" s="177"/>
      <c r="L209" s="177"/>
      <c r="M209" s="177"/>
      <c r="N209" s="177"/>
      <c r="O209" s="177"/>
      <c r="P209" s="177"/>
      <c r="Q209" s="177"/>
      <c r="R209" s="1171"/>
      <c r="S209" s="177"/>
      <c r="T209" s="177"/>
      <c r="U209" s="177"/>
      <c r="V209" s="177"/>
      <c r="W209" s="177"/>
      <c r="X209" s="177"/>
      <c r="Y209" s="177"/>
    </row>
    <row r="210">
      <c r="A210" s="177"/>
      <c r="B210" s="177"/>
      <c r="C210" s="177"/>
      <c r="D210" s="177"/>
      <c r="E210" s="177"/>
      <c r="F210" s="177"/>
      <c r="G210" s="178"/>
      <c r="H210" s="177"/>
      <c r="I210" s="177"/>
      <c r="J210" s="177"/>
      <c r="K210" s="177"/>
      <c r="L210" s="177"/>
      <c r="M210" s="177"/>
      <c r="N210" s="177"/>
      <c r="O210" s="177"/>
      <c r="P210" s="177"/>
      <c r="Q210" s="177"/>
      <c r="R210" s="1171"/>
      <c r="S210" s="177"/>
      <c r="T210" s="177"/>
      <c r="U210" s="177"/>
      <c r="V210" s="177"/>
      <c r="W210" s="177"/>
      <c r="X210" s="177"/>
      <c r="Y210" s="177"/>
    </row>
    <row r="211">
      <c r="A211" s="177"/>
      <c r="B211" s="177"/>
      <c r="C211" s="177"/>
      <c r="D211" s="177"/>
      <c r="E211" s="177"/>
      <c r="F211" s="177"/>
      <c r="G211" s="178"/>
      <c r="H211" s="177"/>
      <c r="I211" s="177"/>
      <c r="J211" s="177"/>
      <c r="K211" s="177"/>
      <c r="L211" s="177"/>
      <c r="M211" s="177"/>
      <c r="N211" s="177"/>
      <c r="O211" s="177"/>
      <c r="P211" s="177"/>
      <c r="Q211" s="177"/>
      <c r="R211" s="1171"/>
      <c r="S211" s="177"/>
      <c r="T211" s="177"/>
      <c r="U211" s="177"/>
      <c r="V211" s="177"/>
      <c r="W211" s="177"/>
      <c r="X211" s="177"/>
      <c r="Y211" s="177"/>
    </row>
    <row r="212">
      <c r="A212" s="177"/>
      <c r="B212" s="177"/>
      <c r="C212" s="177"/>
      <c r="D212" s="177"/>
      <c r="E212" s="177"/>
      <c r="F212" s="177"/>
      <c r="G212" s="178"/>
      <c r="H212" s="177"/>
      <c r="I212" s="177"/>
      <c r="J212" s="177"/>
      <c r="K212" s="177"/>
      <c r="L212" s="177"/>
      <c r="M212" s="177"/>
      <c r="N212" s="177"/>
      <c r="O212" s="177"/>
      <c r="P212" s="177"/>
      <c r="Q212" s="177"/>
      <c r="R212" s="1171"/>
      <c r="S212" s="177"/>
      <c r="T212" s="177"/>
      <c r="U212" s="177"/>
      <c r="V212" s="177"/>
      <c r="W212" s="177"/>
      <c r="X212" s="177"/>
      <c r="Y212" s="177"/>
    </row>
    <row r="213">
      <c r="A213" s="177"/>
      <c r="B213" s="177"/>
      <c r="C213" s="177"/>
      <c r="D213" s="177"/>
      <c r="E213" s="177"/>
      <c r="F213" s="177"/>
      <c r="G213" s="178"/>
      <c r="H213" s="177"/>
      <c r="I213" s="177"/>
      <c r="J213" s="177"/>
      <c r="K213" s="177"/>
      <c r="L213" s="177"/>
      <c r="M213" s="177"/>
      <c r="N213" s="177"/>
      <c r="O213" s="177"/>
      <c r="P213" s="177"/>
      <c r="Q213" s="177"/>
      <c r="R213" s="1171"/>
      <c r="S213" s="177"/>
      <c r="T213" s="177"/>
      <c r="U213" s="177"/>
      <c r="V213" s="177"/>
      <c r="W213" s="177"/>
      <c r="X213" s="177"/>
      <c r="Y213" s="177"/>
    </row>
    <row r="214">
      <c r="A214" s="177"/>
      <c r="B214" s="177"/>
      <c r="C214" s="177"/>
      <c r="D214" s="177"/>
      <c r="E214" s="177"/>
      <c r="F214" s="177"/>
      <c r="G214" s="178"/>
      <c r="H214" s="177"/>
      <c r="I214" s="177"/>
      <c r="J214" s="177"/>
      <c r="K214" s="177"/>
      <c r="L214" s="177"/>
      <c r="M214" s="177"/>
      <c r="N214" s="177"/>
      <c r="O214" s="177"/>
      <c r="P214" s="177"/>
      <c r="Q214" s="177"/>
      <c r="R214" s="1171"/>
      <c r="S214" s="177"/>
      <c r="T214" s="177"/>
      <c r="U214" s="177"/>
      <c r="V214" s="177"/>
      <c r="W214" s="177"/>
      <c r="X214" s="177"/>
      <c r="Y214" s="177"/>
    </row>
    <row r="215">
      <c r="A215" s="177"/>
      <c r="B215" s="177"/>
      <c r="C215" s="177"/>
      <c r="D215" s="177"/>
      <c r="E215" s="177"/>
      <c r="F215" s="177"/>
      <c r="G215" s="178"/>
      <c r="H215" s="177"/>
      <c r="I215" s="177"/>
      <c r="J215" s="177"/>
      <c r="K215" s="177"/>
      <c r="L215" s="177"/>
      <c r="M215" s="177"/>
      <c r="N215" s="177"/>
      <c r="O215" s="177"/>
      <c r="P215" s="177"/>
      <c r="Q215" s="177"/>
      <c r="R215" s="1171"/>
      <c r="S215" s="177"/>
      <c r="T215" s="177"/>
      <c r="U215" s="177"/>
      <c r="V215" s="177"/>
      <c r="W215" s="177"/>
      <c r="X215" s="177"/>
      <c r="Y215" s="177"/>
    </row>
    <row r="216">
      <c r="A216" s="177"/>
      <c r="B216" s="177"/>
      <c r="C216" s="177"/>
      <c r="D216" s="177"/>
      <c r="E216" s="177"/>
      <c r="F216" s="177"/>
      <c r="G216" s="178"/>
      <c r="H216" s="177"/>
      <c r="I216" s="177"/>
      <c r="J216" s="177"/>
      <c r="K216" s="177"/>
      <c r="L216" s="177"/>
      <c r="M216" s="177"/>
      <c r="N216" s="177"/>
      <c r="O216" s="177"/>
      <c r="P216" s="177"/>
      <c r="Q216" s="177"/>
      <c r="R216" s="1171"/>
      <c r="S216" s="177"/>
      <c r="T216" s="177"/>
      <c r="U216" s="177"/>
      <c r="V216" s="177"/>
      <c r="W216" s="177"/>
      <c r="X216" s="177"/>
      <c r="Y216" s="177"/>
    </row>
    <row r="217">
      <c r="A217" s="177"/>
      <c r="B217" s="177"/>
      <c r="C217" s="177"/>
      <c r="D217" s="177"/>
      <c r="E217" s="177"/>
      <c r="F217" s="177"/>
      <c r="G217" s="178"/>
      <c r="H217" s="177"/>
      <c r="I217" s="177"/>
      <c r="J217" s="177"/>
      <c r="K217" s="177"/>
      <c r="L217" s="177"/>
      <c r="M217" s="177"/>
      <c r="N217" s="177"/>
      <c r="O217" s="177"/>
      <c r="P217" s="177"/>
      <c r="Q217" s="177"/>
      <c r="R217" s="1171"/>
      <c r="S217" s="177"/>
      <c r="T217" s="177"/>
      <c r="U217" s="177"/>
      <c r="V217" s="177"/>
      <c r="W217" s="177"/>
      <c r="X217" s="177"/>
      <c r="Y217" s="177"/>
    </row>
    <row r="218">
      <c r="A218" s="177"/>
      <c r="B218" s="177"/>
      <c r="C218" s="177"/>
      <c r="D218" s="177"/>
      <c r="E218" s="177"/>
      <c r="F218" s="177"/>
      <c r="G218" s="178"/>
      <c r="H218" s="177"/>
      <c r="I218" s="177"/>
      <c r="J218" s="177"/>
      <c r="K218" s="177"/>
      <c r="L218" s="177"/>
      <c r="M218" s="177"/>
      <c r="N218" s="177"/>
      <c r="O218" s="177"/>
      <c r="P218" s="177"/>
      <c r="Q218" s="177"/>
      <c r="R218" s="1171"/>
      <c r="S218" s="177"/>
      <c r="T218" s="177"/>
      <c r="U218" s="177"/>
      <c r="V218" s="177"/>
      <c r="W218" s="177"/>
      <c r="X218" s="177"/>
      <c r="Y218" s="177"/>
    </row>
    <row r="219">
      <c r="A219" s="177"/>
      <c r="B219" s="177"/>
      <c r="C219" s="177"/>
      <c r="D219" s="177"/>
      <c r="E219" s="177"/>
      <c r="F219" s="177"/>
      <c r="G219" s="178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171"/>
      <c r="S219" s="177"/>
      <c r="T219" s="177"/>
      <c r="U219" s="177"/>
      <c r="V219" s="177"/>
      <c r="W219" s="177"/>
      <c r="X219" s="177"/>
      <c r="Y219" s="177"/>
    </row>
    <row r="220">
      <c r="A220" s="177"/>
      <c r="B220" s="177"/>
      <c r="C220" s="177"/>
      <c r="D220" s="177"/>
      <c r="E220" s="177"/>
      <c r="F220" s="177"/>
      <c r="G220" s="178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171"/>
      <c r="S220" s="177"/>
      <c r="T220" s="177"/>
      <c r="U220" s="177"/>
      <c r="V220" s="177"/>
      <c r="W220" s="177"/>
      <c r="X220" s="177"/>
      <c r="Y220" s="177"/>
    </row>
    <row r="221">
      <c r="A221" s="177"/>
      <c r="B221" s="177"/>
      <c r="C221" s="177"/>
      <c r="D221" s="177"/>
      <c r="E221" s="177"/>
      <c r="F221" s="177"/>
      <c r="G221" s="178"/>
      <c r="H221" s="177"/>
      <c r="I221" s="177"/>
      <c r="J221" s="177"/>
      <c r="K221" s="177"/>
      <c r="L221" s="177"/>
      <c r="M221" s="177"/>
      <c r="N221" s="177"/>
      <c r="O221" s="177"/>
      <c r="P221" s="177"/>
      <c r="Q221" s="177"/>
      <c r="R221" s="1171"/>
      <c r="S221" s="177"/>
      <c r="T221" s="177"/>
      <c r="U221" s="177"/>
      <c r="V221" s="177"/>
      <c r="W221" s="177"/>
      <c r="X221" s="177"/>
      <c r="Y221" s="177"/>
    </row>
    <row r="222">
      <c r="A222" s="177"/>
      <c r="B222" s="177"/>
      <c r="C222" s="177"/>
      <c r="D222" s="177"/>
      <c r="E222" s="177"/>
      <c r="F222" s="177"/>
      <c r="G222" s="178"/>
      <c r="H222" s="177"/>
      <c r="I222" s="177"/>
      <c r="J222" s="177"/>
      <c r="K222" s="177"/>
      <c r="L222" s="177"/>
      <c r="M222" s="177"/>
      <c r="N222" s="177"/>
      <c r="O222" s="177"/>
      <c r="P222" s="177"/>
      <c r="Q222" s="177"/>
      <c r="R222" s="1171"/>
      <c r="S222" s="177"/>
      <c r="T222" s="177"/>
      <c r="U222" s="177"/>
      <c r="V222" s="177"/>
      <c r="W222" s="177"/>
      <c r="X222" s="177"/>
      <c r="Y222" s="177"/>
    </row>
    <row r="223">
      <c r="A223" s="177"/>
      <c r="B223" s="177"/>
      <c r="C223" s="177"/>
      <c r="D223" s="177"/>
      <c r="E223" s="177"/>
      <c r="F223" s="177"/>
      <c r="G223" s="178"/>
      <c r="H223" s="177"/>
      <c r="I223" s="177"/>
      <c r="J223" s="177"/>
      <c r="K223" s="177"/>
      <c r="L223" s="177"/>
      <c r="M223" s="177"/>
      <c r="N223" s="177"/>
      <c r="O223" s="177"/>
      <c r="P223" s="177"/>
      <c r="Q223" s="177"/>
      <c r="R223" s="1171"/>
      <c r="S223" s="177"/>
      <c r="T223" s="177"/>
      <c r="U223" s="177"/>
      <c r="V223" s="177"/>
      <c r="W223" s="177"/>
      <c r="X223" s="177"/>
      <c r="Y223" s="177"/>
    </row>
    <row r="224">
      <c r="A224" s="177"/>
      <c r="B224" s="177"/>
      <c r="C224" s="177"/>
      <c r="D224" s="177"/>
      <c r="E224" s="177"/>
      <c r="F224" s="177"/>
      <c r="G224" s="178"/>
      <c r="H224" s="177"/>
      <c r="I224" s="177"/>
      <c r="J224" s="177"/>
      <c r="K224" s="177"/>
      <c r="L224" s="177"/>
      <c r="M224" s="177"/>
      <c r="N224" s="177"/>
      <c r="O224" s="177"/>
      <c r="P224" s="177"/>
      <c r="Q224" s="177"/>
      <c r="R224" s="1171"/>
      <c r="S224" s="177"/>
      <c r="T224" s="177"/>
      <c r="U224" s="177"/>
      <c r="V224" s="177"/>
      <c r="W224" s="177"/>
      <c r="X224" s="177"/>
      <c r="Y224" s="177"/>
    </row>
    <row r="225">
      <c r="A225" s="177"/>
      <c r="B225" s="177"/>
      <c r="C225" s="177"/>
      <c r="D225" s="177"/>
      <c r="E225" s="177"/>
      <c r="F225" s="177"/>
      <c r="G225" s="178"/>
      <c r="H225" s="177"/>
      <c r="I225" s="177"/>
      <c r="J225" s="177"/>
      <c r="K225" s="177"/>
      <c r="L225" s="177"/>
      <c r="M225" s="177"/>
      <c r="N225" s="177"/>
      <c r="O225" s="177"/>
      <c r="P225" s="177"/>
      <c r="Q225" s="177"/>
      <c r="R225" s="1171"/>
      <c r="S225" s="177"/>
      <c r="T225" s="177"/>
      <c r="U225" s="177"/>
      <c r="V225" s="177"/>
      <c r="W225" s="177"/>
      <c r="X225" s="177"/>
      <c r="Y225" s="177"/>
    </row>
    <row r="226">
      <c r="A226" s="177"/>
      <c r="B226" s="177"/>
      <c r="C226" s="177"/>
      <c r="D226" s="177"/>
      <c r="E226" s="177"/>
      <c r="F226" s="177"/>
      <c r="G226" s="178"/>
      <c r="H226" s="177"/>
      <c r="I226" s="177"/>
      <c r="J226" s="177"/>
      <c r="K226" s="177"/>
      <c r="L226" s="177"/>
      <c r="M226" s="177"/>
      <c r="N226" s="177"/>
      <c r="O226" s="177"/>
      <c r="P226" s="177"/>
      <c r="Q226" s="177"/>
      <c r="R226" s="1171"/>
      <c r="S226" s="177"/>
      <c r="T226" s="177"/>
      <c r="U226" s="177"/>
      <c r="V226" s="177"/>
      <c r="W226" s="177"/>
      <c r="X226" s="177"/>
      <c r="Y226" s="177"/>
    </row>
    <row r="227">
      <c r="A227" s="177"/>
      <c r="B227" s="177"/>
      <c r="C227" s="177"/>
      <c r="D227" s="177"/>
      <c r="E227" s="177"/>
      <c r="F227" s="177"/>
      <c r="G227" s="178"/>
      <c r="H227" s="177"/>
      <c r="I227" s="177"/>
      <c r="J227" s="177"/>
      <c r="K227" s="177"/>
      <c r="L227" s="177"/>
      <c r="M227" s="177"/>
      <c r="N227" s="177"/>
      <c r="O227" s="177"/>
      <c r="P227" s="177"/>
      <c r="Q227" s="177"/>
      <c r="R227" s="1171"/>
      <c r="S227" s="177"/>
      <c r="T227" s="177"/>
      <c r="U227" s="177"/>
      <c r="V227" s="177"/>
      <c r="W227" s="177"/>
      <c r="X227" s="177"/>
      <c r="Y227" s="177"/>
    </row>
    <row r="228">
      <c r="A228" s="177"/>
      <c r="B228" s="177"/>
      <c r="C228" s="177"/>
      <c r="D228" s="177"/>
      <c r="E228" s="177"/>
      <c r="F228" s="177"/>
      <c r="G228" s="178"/>
      <c r="H228" s="177"/>
      <c r="I228" s="177"/>
      <c r="J228" s="177"/>
      <c r="K228" s="177"/>
      <c r="L228" s="177"/>
      <c r="M228" s="177"/>
      <c r="N228" s="177"/>
      <c r="O228" s="177"/>
      <c r="P228" s="177"/>
      <c r="Q228" s="177"/>
      <c r="R228" s="1171"/>
      <c r="S228" s="177"/>
      <c r="T228" s="177"/>
      <c r="U228" s="177"/>
      <c r="V228" s="177"/>
      <c r="W228" s="177"/>
      <c r="X228" s="177"/>
      <c r="Y228" s="177"/>
    </row>
    <row r="229">
      <c r="A229" s="177"/>
      <c r="B229" s="177"/>
      <c r="C229" s="177"/>
      <c r="D229" s="177"/>
      <c r="E229" s="177"/>
      <c r="F229" s="177"/>
      <c r="G229" s="178"/>
      <c r="H229" s="177"/>
      <c r="I229" s="177"/>
      <c r="J229" s="177"/>
      <c r="K229" s="177"/>
      <c r="L229" s="177"/>
      <c r="M229" s="177"/>
      <c r="N229" s="177"/>
      <c r="O229" s="177"/>
      <c r="P229" s="177"/>
      <c r="Q229" s="177"/>
      <c r="R229" s="1171"/>
      <c r="S229" s="177"/>
      <c r="T229" s="177"/>
      <c r="U229" s="177"/>
      <c r="V229" s="177"/>
      <c r="W229" s="177"/>
      <c r="X229" s="177"/>
      <c r="Y229" s="177"/>
    </row>
    <row r="230">
      <c r="A230" s="177"/>
      <c r="B230" s="177"/>
      <c r="C230" s="177"/>
      <c r="D230" s="177"/>
      <c r="E230" s="177"/>
      <c r="F230" s="177"/>
      <c r="G230" s="178"/>
      <c r="H230" s="177"/>
      <c r="I230" s="177"/>
      <c r="J230" s="177"/>
      <c r="K230" s="177"/>
      <c r="L230" s="177"/>
      <c r="M230" s="177"/>
      <c r="N230" s="177"/>
      <c r="O230" s="177"/>
      <c r="P230" s="177"/>
      <c r="Q230" s="177"/>
      <c r="R230" s="1171"/>
      <c r="S230" s="177"/>
      <c r="T230" s="177"/>
      <c r="U230" s="177"/>
      <c r="V230" s="177"/>
      <c r="W230" s="177"/>
      <c r="X230" s="177"/>
      <c r="Y230" s="177"/>
    </row>
    <row r="231">
      <c r="A231" s="177"/>
      <c r="B231" s="177"/>
      <c r="C231" s="177"/>
      <c r="D231" s="177"/>
      <c r="E231" s="177"/>
      <c r="F231" s="177"/>
      <c r="G231" s="178"/>
      <c r="H231" s="177"/>
      <c r="I231" s="177"/>
      <c r="J231" s="177"/>
      <c r="K231" s="177"/>
      <c r="L231" s="177"/>
      <c r="M231" s="177"/>
      <c r="N231" s="177"/>
      <c r="O231" s="177"/>
      <c r="P231" s="177"/>
      <c r="Q231" s="177"/>
      <c r="R231" s="1171"/>
      <c r="S231" s="177"/>
      <c r="T231" s="177"/>
      <c r="U231" s="177"/>
      <c r="V231" s="177"/>
      <c r="W231" s="177"/>
      <c r="X231" s="177"/>
      <c r="Y231" s="177"/>
    </row>
    <row r="232">
      <c r="A232" s="177"/>
      <c r="B232" s="177"/>
      <c r="C232" s="177"/>
      <c r="D232" s="177"/>
      <c r="E232" s="177"/>
      <c r="F232" s="177"/>
      <c r="G232" s="178"/>
      <c r="H232" s="177"/>
      <c r="I232" s="177"/>
      <c r="J232" s="177"/>
      <c r="K232" s="177"/>
      <c r="L232" s="177"/>
      <c r="M232" s="177"/>
      <c r="N232" s="177"/>
      <c r="O232" s="177"/>
      <c r="P232" s="177"/>
      <c r="Q232" s="177"/>
      <c r="R232" s="1171"/>
      <c r="S232" s="177"/>
      <c r="T232" s="177"/>
      <c r="U232" s="177"/>
      <c r="V232" s="177"/>
      <c r="W232" s="177"/>
      <c r="X232" s="177"/>
      <c r="Y232" s="177"/>
    </row>
    <row r="233">
      <c r="A233" s="177"/>
      <c r="B233" s="177"/>
      <c r="C233" s="177"/>
      <c r="D233" s="177"/>
      <c r="E233" s="177"/>
      <c r="F233" s="177"/>
      <c r="G233" s="178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171"/>
      <c r="S233" s="177"/>
      <c r="T233" s="177"/>
      <c r="U233" s="177"/>
      <c r="V233" s="177"/>
      <c r="W233" s="177"/>
      <c r="X233" s="177"/>
      <c r="Y233" s="177"/>
    </row>
    <row r="234">
      <c r="A234" s="177"/>
      <c r="B234" s="177"/>
      <c r="C234" s="177"/>
      <c r="D234" s="177"/>
      <c r="E234" s="177"/>
      <c r="F234" s="177"/>
      <c r="G234" s="178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171"/>
      <c r="S234" s="177"/>
      <c r="T234" s="177"/>
      <c r="U234" s="177"/>
      <c r="V234" s="177"/>
      <c r="W234" s="177"/>
      <c r="X234" s="177"/>
      <c r="Y234" s="177"/>
    </row>
    <row r="235">
      <c r="A235" s="177"/>
      <c r="B235" s="177"/>
      <c r="C235" s="177"/>
      <c r="D235" s="177"/>
      <c r="E235" s="177"/>
      <c r="F235" s="177"/>
      <c r="G235" s="178"/>
      <c r="H235" s="177"/>
      <c r="I235" s="177"/>
      <c r="J235" s="177"/>
      <c r="K235" s="177"/>
      <c r="L235" s="177"/>
      <c r="M235" s="177"/>
      <c r="N235" s="177"/>
      <c r="O235" s="177"/>
      <c r="P235" s="177"/>
      <c r="Q235" s="177"/>
      <c r="R235" s="1171"/>
      <c r="S235" s="177"/>
      <c r="T235" s="177"/>
      <c r="U235" s="177"/>
      <c r="V235" s="177"/>
      <c r="W235" s="177"/>
      <c r="X235" s="177"/>
      <c r="Y235" s="177"/>
    </row>
    <row r="236">
      <c r="A236" s="177"/>
      <c r="B236" s="177"/>
      <c r="C236" s="177"/>
      <c r="D236" s="177"/>
      <c r="E236" s="177"/>
      <c r="F236" s="177"/>
      <c r="G236" s="178"/>
      <c r="H236" s="177"/>
      <c r="I236" s="177"/>
      <c r="J236" s="177"/>
      <c r="K236" s="177"/>
      <c r="L236" s="177"/>
      <c r="M236" s="177"/>
      <c r="N236" s="177"/>
      <c r="O236" s="177"/>
      <c r="P236" s="177"/>
      <c r="Q236" s="177"/>
      <c r="R236" s="1171"/>
      <c r="S236" s="177"/>
      <c r="T236" s="177"/>
      <c r="U236" s="177"/>
      <c r="V236" s="177"/>
      <c r="W236" s="177"/>
      <c r="X236" s="177"/>
      <c r="Y236" s="177"/>
    </row>
    <row r="237">
      <c r="A237" s="177"/>
      <c r="B237" s="177"/>
      <c r="C237" s="177"/>
      <c r="D237" s="177"/>
      <c r="E237" s="177"/>
      <c r="F237" s="177"/>
      <c r="G237" s="178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171"/>
      <c r="S237" s="177"/>
      <c r="T237" s="177"/>
      <c r="U237" s="177"/>
      <c r="V237" s="177"/>
      <c r="W237" s="177"/>
      <c r="X237" s="177"/>
      <c r="Y237" s="177"/>
    </row>
    <row r="238">
      <c r="A238" s="177"/>
      <c r="B238" s="177"/>
      <c r="C238" s="177"/>
      <c r="D238" s="177"/>
      <c r="E238" s="177"/>
      <c r="F238" s="177"/>
      <c r="G238" s="178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171"/>
      <c r="S238" s="177"/>
      <c r="T238" s="177"/>
      <c r="U238" s="177"/>
      <c r="V238" s="177"/>
      <c r="W238" s="177"/>
      <c r="X238" s="177"/>
      <c r="Y238" s="177"/>
    </row>
    <row r="239">
      <c r="A239" s="177"/>
      <c r="B239" s="177"/>
      <c r="C239" s="177"/>
      <c r="D239" s="177"/>
      <c r="E239" s="177"/>
      <c r="F239" s="177"/>
      <c r="G239" s="178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171"/>
      <c r="S239" s="177"/>
      <c r="T239" s="177"/>
      <c r="U239" s="177"/>
      <c r="V239" s="177"/>
      <c r="W239" s="177"/>
      <c r="X239" s="177"/>
      <c r="Y239" s="177"/>
    </row>
    <row r="240">
      <c r="A240" s="177"/>
      <c r="B240" s="177"/>
      <c r="C240" s="177"/>
      <c r="D240" s="177"/>
      <c r="E240" s="177"/>
      <c r="F240" s="177"/>
      <c r="G240" s="178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171"/>
      <c r="S240" s="177"/>
      <c r="T240" s="177"/>
      <c r="U240" s="177"/>
      <c r="V240" s="177"/>
      <c r="W240" s="177"/>
      <c r="X240" s="177"/>
      <c r="Y240" s="177"/>
    </row>
    <row r="241">
      <c r="A241" s="177"/>
      <c r="B241" s="177"/>
      <c r="C241" s="177"/>
      <c r="D241" s="177"/>
      <c r="E241" s="177"/>
      <c r="F241" s="177"/>
      <c r="G241" s="178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171"/>
      <c r="S241" s="177"/>
      <c r="T241" s="177"/>
      <c r="U241" s="177"/>
      <c r="V241" s="177"/>
      <c r="W241" s="177"/>
      <c r="X241" s="177"/>
      <c r="Y241" s="177"/>
    </row>
    <row r="242">
      <c r="A242" s="177"/>
      <c r="B242" s="177"/>
      <c r="C242" s="177"/>
      <c r="D242" s="177"/>
      <c r="E242" s="177"/>
      <c r="F242" s="177"/>
      <c r="G242" s="178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171"/>
      <c r="S242" s="177"/>
      <c r="T242" s="177"/>
      <c r="U242" s="177"/>
      <c r="V242" s="177"/>
      <c r="W242" s="177"/>
      <c r="X242" s="177"/>
      <c r="Y242" s="177"/>
    </row>
    <row r="243">
      <c r="A243" s="177"/>
      <c r="B243" s="177"/>
      <c r="C243" s="177"/>
      <c r="D243" s="177"/>
      <c r="E243" s="177"/>
      <c r="F243" s="177"/>
      <c r="G243" s="178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171"/>
      <c r="S243" s="177"/>
      <c r="T243" s="177"/>
      <c r="U243" s="177"/>
      <c r="V243" s="177"/>
      <c r="W243" s="177"/>
      <c r="X243" s="177"/>
      <c r="Y243" s="177"/>
    </row>
    <row r="244">
      <c r="A244" s="177"/>
      <c r="B244" s="177"/>
      <c r="C244" s="177"/>
      <c r="D244" s="177"/>
      <c r="E244" s="177"/>
      <c r="F244" s="177"/>
      <c r="G244" s="178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171"/>
      <c r="S244" s="177"/>
      <c r="T244" s="177"/>
      <c r="U244" s="177"/>
      <c r="V244" s="177"/>
      <c r="W244" s="177"/>
      <c r="X244" s="177"/>
      <c r="Y244" s="177"/>
    </row>
    <row r="245">
      <c r="A245" s="177"/>
      <c r="B245" s="177"/>
      <c r="C245" s="177"/>
      <c r="D245" s="177"/>
      <c r="E245" s="177"/>
      <c r="F245" s="177"/>
      <c r="G245" s="178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171"/>
      <c r="S245" s="177"/>
      <c r="T245" s="177"/>
      <c r="U245" s="177"/>
      <c r="V245" s="177"/>
      <c r="W245" s="177"/>
      <c r="X245" s="177"/>
      <c r="Y245" s="177"/>
    </row>
    <row r="246">
      <c r="A246" s="177"/>
      <c r="B246" s="177"/>
      <c r="C246" s="177"/>
      <c r="D246" s="177"/>
      <c r="E246" s="177"/>
      <c r="F246" s="177"/>
      <c r="G246" s="178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171"/>
      <c r="S246" s="177"/>
      <c r="T246" s="177"/>
      <c r="U246" s="177"/>
      <c r="V246" s="177"/>
      <c r="W246" s="177"/>
      <c r="X246" s="177"/>
      <c r="Y246" s="177"/>
    </row>
    <row r="247">
      <c r="A247" s="177"/>
      <c r="B247" s="177"/>
      <c r="C247" s="177"/>
      <c r="D247" s="177"/>
      <c r="E247" s="177"/>
      <c r="F247" s="177"/>
      <c r="G247" s="178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171"/>
      <c r="S247" s="177"/>
      <c r="T247" s="177"/>
      <c r="U247" s="177"/>
      <c r="V247" s="177"/>
      <c r="W247" s="177"/>
      <c r="X247" s="177"/>
      <c r="Y247" s="177"/>
    </row>
    <row r="248">
      <c r="A248" s="177"/>
      <c r="B248" s="177"/>
      <c r="C248" s="177"/>
      <c r="D248" s="177"/>
      <c r="E248" s="177"/>
      <c r="F248" s="177"/>
      <c r="G248" s="178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171"/>
      <c r="S248" s="177"/>
      <c r="T248" s="177"/>
      <c r="U248" s="177"/>
      <c r="V248" s="177"/>
      <c r="W248" s="177"/>
      <c r="X248" s="177"/>
      <c r="Y248" s="177"/>
    </row>
    <row r="249">
      <c r="A249" s="177"/>
      <c r="B249" s="177"/>
      <c r="C249" s="177"/>
      <c r="D249" s="177"/>
      <c r="E249" s="177"/>
      <c r="F249" s="177"/>
      <c r="G249" s="178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171"/>
      <c r="S249" s="177"/>
      <c r="T249" s="177"/>
      <c r="U249" s="177"/>
      <c r="V249" s="177"/>
      <c r="W249" s="177"/>
      <c r="X249" s="177"/>
      <c r="Y249" s="177"/>
    </row>
    <row r="250">
      <c r="A250" s="177"/>
      <c r="B250" s="177"/>
      <c r="C250" s="177"/>
      <c r="D250" s="177"/>
      <c r="E250" s="177"/>
      <c r="F250" s="177"/>
      <c r="G250" s="178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171"/>
      <c r="S250" s="177"/>
      <c r="T250" s="177"/>
      <c r="U250" s="177"/>
      <c r="V250" s="177"/>
      <c r="W250" s="177"/>
      <c r="X250" s="177"/>
      <c r="Y250" s="177"/>
    </row>
    <row r="251">
      <c r="A251" s="177"/>
      <c r="B251" s="177"/>
      <c r="C251" s="177"/>
      <c r="D251" s="177"/>
      <c r="E251" s="177"/>
      <c r="F251" s="177"/>
      <c r="G251" s="178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171"/>
      <c r="S251" s="177"/>
      <c r="T251" s="177"/>
      <c r="U251" s="177"/>
      <c r="V251" s="177"/>
      <c r="W251" s="177"/>
      <c r="X251" s="177"/>
      <c r="Y251" s="177"/>
    </row>
    <row r="252">
      <c r="A252" s="177"/>
      <c r="B252" s="177"/>
      <c r="C252" s="177"/>
      <c r="D252" s="177"/>
      <c r="E252" s="177"/>
      <c r="F252" s="177"/>
      <c r="G252" s="178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171"/>
      <c r="S252" s="177"/>
      <c r="T252" s="177"/>
      <c r="U252" s="177"/>
      <c r="V252" s="177"/>
      <c r="W252" s="177"/>
      <c r="X252" s="177"/>
      <c r="Y252" s="177"/>
    </row>
    <row r="253">
      <c r="A253" s="177"/>
      <c r="B253" s="177"/>
      <c r="C253" s="177"/>
      <c r="D253" s="177"/>
      <c r="E253" s="177"/>
      <c r="F253" s="177"/>
      <c r="G253" s="178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171"/>
      <c r="S253" s="177"/>
      <c r="T253" s="177"/>
      <c r="U253" s="177"/>
      <c r="V253" s="177"/>
      <c r="W253" s="177"/>
      <c r="X253" s="177"/>
      <c r="Y253" s="177"/>
    </row>
    <row r="254">
      <c r="A254" s="177"/>
      <c r="B254" s="177"/>
      <c r="C254" s="177"/>
      <c r="D254" s="177"/>
      <c r="E254" s="177"/>
      <c r="F254" s="177"/>
      <c r="G254" s="178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171"/>
      <c r="S254" s="177"/>
      <c r="T254" s="177"/>
      <c r="U254" s="177"/>
      <c r="V254" s="177"/>
      <c r="W254" s="177"/>
      <c r="X254" s="177"/>
      <c r="Y254" s="177"/>
    </row>
    <row r="255">
      <c r="A255" s="177"/>
      <c r="B255" s="177"/>
      <c r="C255" s="177"/>
      <c r="D255" s="177"/>
      <c r="E255" s="177"/>
      <c r="F255" s="177"/>
      <c r="G255" s="178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171"/>
      <c r="S255" s="177"/>
      <c r="T255" s="177"/>
      <c r="U255" s="177"/>
      <c r="V255" s="177"/>
      <c r="W255" s="177"/>
      <c r="X255" s="177"/>
      <c r="Y255" s="177"/>
    </row>
    <row r="256">
      <c r="A256" s="177"/>
      <c r="B256" s="177"/>
      <c r="C256" s="177"/>
      <c r="D256" s="177"/>
      <c r="E256" s="177"/>
      <c r="F256" s="177"/>
      <c r="G256" s="178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171"/>
      <c r="S256" s="177"/>
      <c r="T256" s="177"/>
      <c r="U256" s="177"/>
      <c r="V256" s="177"/>
      <c r="W256" s="177"/>
      <c r="X256" s="177"/>
      <c r="Y256" s="177"/>
    </row>
    <row r="257">
      <c r="A257" s="177"/>
      <c r="B257" s="177"/>
      <c r="C257" s="177"/>
      <c r="D257" s="177"/>
      <c r="E257" s="177"/>
      <c r="F257" s="177"/>
      <c r="G257" s="178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171"/>
      <c r="S257" s="177"/>
      <c r="T257" s="177"/>
      <c r="U257" s="177"/>
      <c r="V257" s="177"/>
      <c r="W257" s="177"/>
      <c r="X257" s="177"/>
      <c r="Y257" s="177"/>
    </row>
    <row r="258">
      <c r="A258" s="177"/>
      <c r="B258" s="177"/>
      <c r="C258" s="177"/>
      <c r="D258" s="177"/>
      <c r="E258" s="177"/>
      <c r="F258" s="177"/>
      <c r="G258" s="178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171"/>
      <c r="S258" s="177"/>
      <c r="T258" s="177"/>
      <c r="U258" s="177"/>
      <c r="V258" s="177"/>
      <c r="W258" s="177"/>
      <c r="X258" s="177"/>
      <c r="Y258" s="177"/>
    </row>
    <row r="259">
      <c r="A259" s="177"/>
      <c r="B259" s="177"/>
      <c r="C259" s="177"/>
      <c r="D259" s="177"/>
      <c r="E259" s="177"/>
      <c r="F259" s="177"/>
      <c r="G259" s="178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171"/>
      <c r="S259" s="177"/>
      <c r="T259" s="177"/>
      <c r="U259" s="177"/>
      <c r="V259" s="177"/>
      <c r="W259" s="177"/>
      <c r="X259" s="177"/>
      <c r="Y259" s="177"/>
    </row>
    <row r="260">
      <c r="A260" s="177"/>
      <c r="B260" s="177"/>
      <c r="C260" s="177"/>
      <c r="D260" s="177"/>
      <c r="E260" s="177"/>
      <c r="F260" s="177"/>
      <c r="G260" s="178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171"/>
      <c r="S260" s="177"/>
      <c r="T260" s="177"/>
      <c r="U260" s="177"/>
      <c r="V260" s="177"/>
      <c r="W260" s="177"/>
      <c r="X260" s="177"/>
      <c r="Y260" s="177"/>
    </row>
    <row r="261">
      <c r="A261" s="177"/>
      <c r="B261" s="177"/>
      <c r="C261" s="177"/>
      <c r="D261" s="177"/>
      <c r="E261" s="177"/>
      <c r="F261" s="177"/>
      <c r="G261" s="178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171"/>
      <c r="S261" s="177"/>
      <c r="T261" s="177"/>
      <c r="U261" s="177"/>
      <c r="V261" s="177"/>
      <c r="W261" s="177"/>
      <c r="X261" s="177"/>
      <c r="Y261" s="177"/>
    </row>
    <row r="262">
      <c r="A262" s="177"/>
      <c r="B262" s="177"/>
      <c r="C262" s="177"/>
      <c r="D262" s="177"/>
      <c r="E262" s="177"/>
      <c r="F262" s="177"/>
      <c r="G262" s="178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171"/>
      <c r="S262" s="177"/>
      <c r="T262" s="177"/>
      <c r="U262" s="177"/>
      <c r="V262" s="177"/>
      <c r="W262" s="177"/>
      <c r="X262" s="177"/>
      <c r="Y262" s="177"/>
    </row>
    <row r="263">
      <c r="A263" s="177"/>
      <c r="B263" s="177"/>
      <c r="C263" s="177"/>
      <c r="D263" s="177"/>
      <c r="E263" s="177"/>
      <c r="F263" s="177"/>
      <c r="G263" s="178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171"/>
      <c r="S263" s="177"/>
      <c r="T263" s="177"/>
      <c r="U263" s="177"/>
      <c r="V263" s="177"/>
      <c r="W263" s="177"/>
      <c r="X263" s="177"/>
      <c r="Y263" s="177"/>
    </row>
    <row r="264">
      <c r="A264" s="177"/>
      <c r="B264" s="177"/>
      <c r="C264" s="177"/>
      <c r="D264" s="177"/>
      <c r="E264" s="177"/>
      <c r="F264" s="177"/>
      <c r="G264" s="178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171"/>
      <c r="S264" s="177"/>
      <c r="T264" s="177"/>
      <c r="U264" s="177"/>
      <c r="V264" s="177"/>
      <c r="W264" s="177"/>
      <c r="X264" s="177"/>
      <c r="Y264" s="177"/>
    </row>
    <row r="265">
      <c r="A265" s="177"/>
      <c r="B265" s="177"/>
      <c r="C265" s="177"/>
      <c r="D265" s="177"/>
      <c r="E265" s="177"/>
      <c r="F265" s="177"/>
      <c r="G265" s="178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171"/>
      <c r="S265" s="177"/>
      <c r="T265" s="177"/>
      <c r="U265" s="177"/>
      <c r="V265" s="177"/>
      <c r="W265" s="177"/>
      <c r="X265" s="177"/>
      <c r="Y265" s="177"/>
    </row>
    <row r="266">
      <c r="A266" s="177"/>
      <c r="B266" s="177"/>
      <c r="C266" s="177"/>
      <c r="D266" s="177"/>
      <c r="E266" s="177"/>
      <c r="F266" s="177"/>
      <c r="G266" s="178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171"/>
      <c r="S266" s="177"/>
      <c r="T266" s="177"/>
      <c r="U266" s="177"/>
      <c r="V266" s="177"/>
      <c r="W266" s="177"/>
      <c r="X266" s="177"/>
      <c r="Y266" s="177"/>
    </row>
    <row r="267">
      <c r="A267" s="177"/>
      <c r="B267" s="177"/>
      <c r="C267" s="177"/>
      <c r="D267" s="177"/>
      <c r="E267" s="177"/>
      <c r="F267" s="177"/>
      <c r="G267" s="178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171"/>
      <c r="S267" s="177"/>
      <c r="T267" s="177"/>
      <c r="U267" s="177"/>
      <c r="V267" s="177"/>
      <c r="W267" s="177"/>
      <c r="X267" s="177"/>
      <c r="Y267" s="177"/>
    </row>
    <row r="268">
      <c r="A268" s="177"/>
      <c r="B268" s="177"/>
      <c r="C268" s="177"/>
      <c r="D268" s="177"/>
      <c r="E268" s="177"/>
      <c r="F268" s="177"/>
      <c r="G268" s="178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171"/>
      <c r="S268" s="177"/>
      <c r="T268" s="177"/>
      <c r="U268" s="177"/>
      <c r="V268" s="177"/>
      <c r="W268" s="177"/>
      <c r="X268" s="177"/>
      <c r="Y268" s="177"/>
    </row>
    <row r="269">
      <c r="A269" s="177"/>
      <c r="B269" s="177"/>
      <c r="C269" s="177"/>
      <c r="D269" s="177"/>
      <c r="E269" s="177"/>
      <c r="F269" s="177"/>
      <c r="G269" s="178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171"/>
      <c r="S269" s="177"/>
      <c r="T269" s="177"/>
      <c r="U269" s="177"/>
      <c r="V269" s="177"/>
      <c r="W269" s="177"/>
      <c r="X269" s="177"/>
      <c r="Y269" s="177"/>
    </row>
    <row r="270">
      <c r="A270" s="177"/>
      <c r="B270" s="177"/>
      <c r="C270" s="177"/>
      <c r="D270" s="177"/>
      <c r="E270" s="177"/>
      <c r="F270" s="177"/>
      <c r="G270" s="178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171"/>
      <c r="S270" s="177"/>
      <c r="T270" s="177"/>
      <c r="U270" s="177"/>
      <c r="V270" s="177"/>
      <c r="W270" s="177"/>
      <c r="X270" s="177"/>
      <c r="Y270" s="177"/>
    </row>
    <row r="271">
      <c r="A271" s="177"/>
      <c r="B271" s="177"/>
      <c r="C271" s="177"/>
      <c r="D271" s="177"/>
      <c r="E271" s="177"/>
      <c r="F271" s="177"/>
      <c r="G271" s="178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171"/>
      <c r="S271" s="177"/>
      <c r="T271" s="177"/>
      <c r="U271" s="177"/>
      <c r="V271" s="177"/>
      <c r="W271" s="177"/>
      <c r="X271" s="177"/>
      <c r="Y271" s="177"/>
    </row>
    <row r="272">
      <c r="A272" s="177"/>
      <c r="B272" s="177"/>
      <c r="C272" s="177"/>
      <c r="D272" s="177"/>
      <c r="E272" s="177"/>
      <c r="F272" s="177"/>
      <c r="G272" s="178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171"/>
      <c r="S272" s="177"/>
      <c r="T272" s="177"/>
      <c r="U272" s="177"/>
      <c r="V272" s="177"/>
      <c r="W272" s="177"/>
      <c r="X272" s="177"/>
      <c r="Y272" s="177"/>
    </row>
    <row r="273">
      <c r="A273" s="177"/>
      <c r="B273" s="177"/>
      <c r="C273" s="177"/>
      <c r="D273" s="177"/>
      <c r="E273" s="177"/>
      <c r="F273" s="177"/>
      <c r="G273" s="178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171"/>
      <c r="S273" s="177"/>
      <c r="T273" s="177"/>
      <c r="U273" s="177"/>
      <c r="V273" s="177"/>
      <c r="W273" s="177"/>
      <c r="X273" s="177"/>
      <c r="Y273" s="177"/>
    </row>
    <row r="274">
      <c r="A274" s="177"/>
      <c r="B274" s="177"/>
      <c r="C274" s="177"/>
      <c r="D274" s="177"/>
      <c r="E274" s="177"/>
      <c r="F274" s="177"/>
      <c r="G274" s="178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171"/>
      <c r="S274" s="177"/>
      <c r="T274" s="177"/>
      <c r="U274" s="177"/>
      <c r="V274" s="177"/>
      <c r="W274" s="177"/>
      <c r="X274" s="177"/>
      <c r="Y274" s="177"/>
    </row>
    <row r="275">
      <c r="A275" s="177"/>
      <c r="B275" s="177"/>
      <c r="C275" s="177"/>
      <c r="D275" s="177"/>
      <c r="E275" s="177"/>
      <c r="F275" s="177"/>
      <c r="G275" s="178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171"/>
      <c r="S275" s="177"/>
      <c r="T275" s="177"/>
      <c r="U275" s="177"/>
      <c r="V275" s="177"/>
      <c r="W275" s="177"/>
      <c r="X275" s="177"/>
      <c r="Y275" s="177"/>
    </row>
    <row r="276">
      <c r="A276" s="177"/>
      <c r="B276" s="177"/>
      <c r="C276" s="177"/>
      <c r="D276" s="177"/>
      <c r="E276" s="177"/>
      <c r="F276" s="177"/>
      <c r="G276" s="178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171"/>
      <c r="S276" s="177"/>
      <c r="T276" s="177"/>
      <c r="U276" s="177"/>
      <c r="V276" s="177"/>
      <c r="W276" s="177"/>
      <c r="X276" s="177"/>
      <c r="Y276" s="177"/>
    </row>
    <row r="277">
      <c r="A277" s="177"/>
      <c r="B277" s="177"/>
      <c r="C277" s="177"/>
      <c r="D277" s="177"/>
      <c r="E277" s="177"/>
      <c r="F277" s="177"/>
      <c r="G277" s="178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171"/>
      <c r="S277" s="177"/>
      <c r="T277" s="177"/>
      <c r="U277" s="177"/>
      <c r="V277" s="177"/>
      <c r="W277" s="177"/>
      <c r="X277" s="177"/>
      <c r="Y277" s="177"/>
    </row>
    <row r="278">
      <c r="A278" s="177"/>
      <c r="B278" s="177"/>
      <c r="C278" s="177"/>
      <c r="D278" s="177"/>
      <c r="E278" s="177"/>
      <c r="F278" s="177"/>
      <c r="G278" s="178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171"/>
      <c r="S278" s="177"/>
      <c r="T278" s="177"/>
      <c r="U278" s="177"/>
      <c r="V278" s="177"/>
      <c r="W278" s="177"/>
      <c r="X278" s="177"/>
      <c r="Y278" s="177"/>
    </row>
    <row r="279">
      <c r="A279" s="177"/>
      <c r="B279" s="177"/>
      <c r="C279" s="177"/>
      <c r="D279" s="177"/>
      <c r="E279" s="177"/>
      <c r="F279" s="177"/>
      <c r="G279" s="178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171"/>
      <c r="S279" s="177"/>
      <c r="T279" s="177"/>
      <c r="U279" s="177"/>
      <c r="V279" s="177"/>
      <c r="W279" s="177"/>
      <c r="X279" s="177"/>
      <c r="Y279" s="177"/>
    </row>
    <row r="280">
      <c r="A280" s="177"/>
      <c r="B280" s="177"/>
      <c r="C280" s="177"/>
      <c r="D280" s="177"/>
      <c r="E280" s="177"/>
      <c r="F280" s="177"/>
      <c r="G280" s="178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171"/>
      <c r="S280" s="177"/>
      <c r="T280" s="177"/>
      <c r="U280" s="177"/>
      <c r="V280" s="177"/>
      <c r="W280" s="177"/>
      <c r="X280" s="177"/>
      <c r="Y280" s="177"/>
    </row>
    <row r="281">
      <c r="A281" s="177"/>
      <c r="B281" s="177"/>
      <c r="C281" s="177"/>
      <c r="D281" s="177"/>
      <c r="E281" s="177"/>
      <c r="F281" s="177"/>
      <c r="G281" s="178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171"/>
      <c r="S281" s="177"/>
      <c r="T281" s="177"/>
      <c r="U281" s="177"/>
      <c r="V281" s="177"/>
      <c r="W281" s="177"/>
      <c r="X281" s="177"/>
      <c r="Y281" s="177"/>
    </row>
    <row r="282">
      <c r="A282" s="177"/>
      <c r="B282" s="177"/>
      <c r="C282" s="177"/>
      <c r="D282" s="177"/>
      <c r="E282" s="177"/>
      <c r="F282" s="177"/>
      <c r="G282" s="178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171"/>
      <c r="S282" s="177"/>
      <c r="T282" s="177"/>
      <c r="U282" s="177"/>
      <c r="V282" s="177"/>
      <c r="W282" s="177"/>
      <c r="X282" s="177"/>
      <c r="Y282" s="177"/>
    </row>
    <row r="283">
      <c r="A283" s="177"/>
      <c r="B283" s="177"/>
      <c r="C283" s="177"/>
      <c r="D283" s="177"/>
      <c r="E283" s="177"/>
      <c r="F283" s="177"/>
      <c r="G283" s="178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171"/>
      <c r="S283" s="177"/>
      <c r="T283" s="177"/>
      <c r="U283" s="177"/>
      <c r="V283" s="177"/>
      <c r="W283" s="177"/>
      <c r="X283" s="177"/>
      <c r="Y283" s="177"/>
    </row>
    <row r="284">
      <c r="A284" s="177"/>
      <c r="B284" s="177"/>
      <c r="C284" s="177"/>
      <c r="D284" s="177"/>
      <c r="E284" s="177"/>
      <c r="F284" s="177"/>
      <c r="G284" s="178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171"/>
      <c r="S284" s="177"/>
      <c r="T284" s="177"/>
      <c r="U284" s="177"/>
      <c r="V284" s="177"/>
      <c r="W284" s="177"/>
      <c r="X284" s="177"/>
      <c r="Y284" s="177"/>
    </row>
    <row r="285">
      <c r="A285" s="177"/>
      <c r="B285" s="177"/>
      <c r="C285" s="177"/>
      <c r="D285" s="177"/>
      <c r="E285" s="177"/>
      <c r="F285" s="177"/>
      <c r="G285" s="178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171"/>
      <c r="S285" s="177"/>
      <c r="T285" s="177"/>
      <c r="U285" s="177"/>
      <c r="V285" s="177"/>
      <c r="W285" s="177"/>
      <c r="X285" s="177"/>
      <c r="Y285" s="177"/>
    </row>
    <row r="286">
      <c r="A286" s="177"/>
      <c r="B286" s="177"/>
      <c r="C286" s="177"/>
      <c r="D286" s="177"/>
      <c r="E286" s="177"/>
      <c r="F286" s="177"/>
      <c r="G286" s="178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171"/>
      <c r="S286" s="177"/>
      <c r="T286" s="177"/>
      <c r="U286" s="177"/>
      <c r="V286" s="177"/>
      <c r="W286" s="177"/>
      <c r="X286" s="177"/>
      <c r="Y286" s="177"/>
    </row>
    <row r="287">
      <c r="A287" s="177"/>
      <c r="B287" s="177"/>
      <c r="C287" s="177"/>
      <c r="D287" s="177"/>
      <c r="E287" s="177"/>
      <c r="F287" s="177"/>
      <c r="G287" s="178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171"/>
      <c r="S287" s="177"/>
      <c r="T287" s="177"/>
      <c r="U287" s="177"/>
      <c r="V287" s="177"/>
      <c r="W287" s="177"/>
      <c r="X287" s="177"/>
      <c r="Y287" s="177"/>
    </row>
    <row r="288">
      <c r="A288" s="177"/>
      <c r="B288" s="177"/>
      <c r="C288" s="177"/>
      <c r="D288" s="177"/>
      <c r="E288" s="177"/>
      <c r="F288" s="177"/>
      <c r="G288" s="178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171"/>
      <c r="S288" s="177"/>
      <c r="T288" s="177"/>
      <c r="U288" s="177"/>
      <c r="V288" s="177"/>
      <c r="W288" s="177"/>
      <c r="X288" s="177"/>
      <c r="Y288" s="177"/>
    </row>
    <row r="289">
      <c r="A289" s="177"/>
      <c r="B289" s="177"/>
      <c r="C289" s="177"/>
      <c r="D289" s="177"/>
      <c r="E289" s="177"/>
      <c r="F289" s="177"/>
      <c r="G289" s="178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171"/>
      <c r="S289" s="177"/>
      <c r="T289" s="177"/>
      <c r="U289" s="177"/>
      <c r="V289" s="177"/>
      <c r="W289" s="177"/>
      <c r="X289" s="177"/>
      <c r="Y289" s="177"/>
    </row>
    <row r="290">
      <c r="A290" s="177"/>
      <c r="B290" s="177"/>
      <c r="C290" s="177"/>
      <c r="D290" s="177"/>
      <c r="E290" s="177"/>
      <c r="F290" s="177"/>
      <c r="G290" s="178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171"/>
      <c r="S290" s="177"/>
      <c r="T290" s="177"/>
      <c r="U290" s="177"/>
      <c r="V290" s="177"/>
      <c r="W290" s="177"/>
      <c r="X290" s="177"/>
      <c r="Y290" s="177"/>
    </row>
    <row r="291">
      <c r="A291" s="177"/>
      <c r="B291" s="177"/>
      <c r="C291" s="177"/>
      <c r="D291" s="177"/>
      <c r="E291" s="177"/>
      <c r="F291" s="177"/>
      <c r="G291" s="178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171"/>
      <c r="S291" s="177"/>
      <c r="T291" s="177"/>
      <c r="U291" s="177"/>
      <c r="V291" s="177"/>
      <c r="W291" s="177"/>
      <c r="X291" s="177"/>
      <c r="Y291" s="177"/>
    </row>
    <row r="292">
      <c r="A292" s="177"/>
      <c r="B292" s="177"/>
      <c r="C292" s="177"/>
      <c r="D292" s="177"/>
      <c r="E292" s="177"/>
      <c r="F292" s="177"/>
      <c r="G292" s="178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171"/>
      <c r="S292" s="177"/>
      <c r="T292" s="177"/>
      <c r="U292" s="177"/>
      <c r="V292" s="177"/>
      <c r="W292" s="177"/>
      <c r="X292" s="177"/>
      <c r="Y292" s="177"/>
    </row>
    <row r="293">
      <c r="A293" s="177"/>
      <c r="B293" s="177"/>
      <c r="C293" s="177"/>
      <c r="D293" s="177"/>
      <c r="E293" s="177"/>
      <c r="F293" s="177"/>
      <c r="G293" s="178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171"/>
      <c r="S293" s="177"/>
      <c r="T293" s="177"/>
      <c r="U293" s="177"/>
      <c r="V293" s="177"/>
      <c r="W293" s="177"/>
      <c r="X293" s="177"/>
      <c r="Y293" s="177"/>
    </row>
    <row r="294">
      <c r="A294" s="177"/>
      <c r="B294" s="177"/>
      <c r="C294" s="177"/>
      <c r="D294" s="177"/>
      <c r="E294" s="177"/>
      <c r="F294" s="177"/>
      <c r="G294" s="178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171"/>
      <c r="S294" s="177"/>
      <c r="T294" s="177"/>
      <c r="U294" s="177"/>
      <c r="V294" s="177"/>
      <c r="W294" s="177"/>
      <c r="X294" s="177"/>
      <c r="Y294" s="177"/>
    </row>
    <row r="295">
      <c r="A295" s="177"/>
      <c r="B295" s="177"/>
      <c r="C295" s="177"/>
      <c r="D295" s="177"/>
      <c r="E295" s="177"/>
      <c r="F295" s="177"/>
      <c r="G295" s="178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171"/>
      <c r="S295" s="177"/>
      <c r="T295" s="177"/>
      <c r="U295" s="177"/>
      <c r="V295" s="177"/>
      <c r="W295" s="177"/>
      <c r="X295" s="177"/>
      <c r="Y295" s="177"/>
    </row>
    <row r="296">
      <c r="A296" s="177"/>
      <c r="B296" s="177"/>
      <c r="C296" s="177"/>
      <c r="D296" s="177"/>
      <c r="E296" s="177"/>
      <c r="F296" s="177"/>
      <c r="G296" s="178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171"/>
      <c r="S296" s="177"/>
      <c r="T296" s="177"/>
      <c r="U296" s="177"/>
      <c r="V296" s="177"/>
      <c r="W296" s="177"/>
      <c r="X296" s="177"/>
      <c r="Y296" s="177"/>
    </row>
    <row r="297">
      <c r="A297" s="177"/>
      <c r="B297" s="177"/>
      <c r="C297" s="177"/>
      <c r="D297" s="177"/>
      <c r="E297" s="177"/>
      <c r="F297" s="177"/>
      <c r="G297" s="178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171"/>
      <c r="S297" s="177"/>
      <c r="T297" s="177"/>
      <c r="U297" s="177"/>
      <c r="V297" s="177"/>
      <c r="W297" s="177"/>
      <c r="X297" s="177"/>
      <c r="Y297" s="177"/>
    </row>
    <row r="298">
      <c r="A298" s="177"/>
      <c r="B298" s="177"/>
      <c r="C298" s="177"/>
      <c r="D298" s="177"/>
      <c r="E298" s="177"/>
      <c r="F298" s="177"/>
      <c r="G298" s="178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171"/>
      <c r="S298" s="177"/>
      <c r="T298" s="177"/>
      <c r="U298" s="177"/>
      <c r="V298" s="177"/>
      <c r="W298" s="177"/>
      <c r="X298" s="177"/>
      <c r="Y298" s="177"/>
    </row>
    <row r="299">
      <c r="A299" s="177"/>
      <c r="B299" s="177"/>
      <c r="C299" s="177"/>
      <c r="D299" s="177"/>
      <c r="E299" s="177"/>
      <c r="F299" s="177"/>
      <c r="G299" s="178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171"/>
      <c r="S299" s="177"/>
      <c r="T299" s="177"/>
      <c r="U299" s="177"/>
      <c r="V299" s="177"/>
      <c r="W299" s="177"/>
      <c r="X299" s="177"/>
      <c r="Y299" s="177"/>
    </row>
    <row r="300">
      <c r="A300" s="177"/>
      <c r="B300" s="177"/>
      <c r="C300" s="177"/>
      <c r="D300" s="177"/>
      <c r="E300" s="177"/>
      <c r="F300" s="177"/>
      <c r="G300" s="178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171"/>
      <c r="S300" s="177"/>
      <c r="T300" s="177"/>
      <c r="U300" s="177"/>
      <c r="V300" s="177"/>
      <c r="W300" s="177"/>
      <c r="X300" s="177"/>
      <c r="Y300" s="177"/>
    </row>
    <row r="301">
      <c r="A301" s="177"/>
      <c r="B301" s="177"/>
      <c r="C301" s="177"/>
      <c r="D301" s="177"/>
      <c r="E301" s="177"/>
      <c r="F301" s="177"/>
      <c r="G301" s="178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171"/>
      <c r="S301" s="177"/>
      <c r="T301" s="177"/>
      <c r="U301" s="177"/>
      <c r="V301" s="177"/>
      <c r="W301" s="177"/>
      <c r="X301" s="177"/>
      <c r="Y301" s="177"/>
    </row>
    <row r="302">
      <c r="A302" s="177"/>
      <c r="B302" s="177"/>
      <c r="C302" s="177"/>
      <c r="D302" s="177"/>
      <c r="E302" s="177"/>
      <c r="F302" s="177"/>
      <c r="G302" s="178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171"/>
      <c r="S302" s="177"/>
      <c r="T302" s="177"/>
      <c r="U302" s="177"/>
      <c r="V302" s="177"/>
      <c r="W302" s="177"/>
      <c r="X302" s="177"/>
      <c r="Y302" s="177"/>
    </row>
    <row r="303">
      <c r="A303" s="177"/>
      <c r="B303" s="177"/>
      <c r="C303" s="177"/>
      <c r="D303" s="177"/>
      <c r="E303" s="177"/>
      <c r="F303" s="177"/>
      <c r="G303" s="178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171"/>
      <c r="S303" s="177"/>
      <c r="T303" s="177"/>
      <c r="U303" s="177"/>
      <c r="V303" s="177"/>
      <c r="W303" s="177"/>
      <c r="X303" s="177"/>
      <c r="Y303" s="177"/>
    </row>
    <row r="304">
      <c r="A304" s="177"/>
      <c r="B304" s="177"/>
      <c r="C304" s="177"/>
      <c r="D304" s="177"/>
      <c r="E304" s="177"/>
      <c r="F304" s="177"/>
      <c r="G304" s="178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171"/>
      <c r="S304" s="177"/>
      <c r="T304" s="177"/>
      <c r="U304" s="177"/>
      <c r="V304" s="177"/>
      <c r="W304" s="177"/>
      <c r="X304" s="177"/>
      <c r="Y304" s="177"/>
    </row>
    <row r="305">
      <c r="A305" s="177"/>
      <c r="B305" s="177"/>
      <c r="C305" s="177"/>
      <c r="D305" s="177"/>
      <c r="E305" s="177"/>
      <c r="F305" s="177"/>
      <c r="G305" s="178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171"/>
      <c r="S305" s="177"/>
      <c r="T305" s="177"/>
      <c r="U305" s="177"/>
      <c r="V305" s="177"/>
      <c r="W305" s="177"/>
      <c r="X305" s="177"/>
      <c r="Y305" s="177"/>
    </row>
    <row r="306">
      <c r="A306" s="177"/>
      <c r="B306" s="177"/>
      <c r="C306" s="177"/>
      <c r="D306" s="177"/>
      <c r="E306" s="177"/>
      <c r="F306" s="177"/>
      <c r="G306" s="178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171"/>
      <c r="S306" s="177"/>
      <c r="T306" s="177"/>
      <c r="U306" s="177"/>
      <c r="V306" s="177"/>
      <c r="W306" s="177"/>
      <c r="X306" s="177"/>
      <c r="Y306" s="177"/>
    </row>
    <row r="307">
      <c r="A307" s="177"/>
      <c r="B307" s="177"/>
      <c r="C307" s="177"/>
      <c r="D307" s="177"/>
      <c r="E307" s="177"/>
      <c r="F307" s="177"/>
      <c r="G307" s="178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171"/>
      <c r="S307" s="177"/>
      <c r="T307" s="177"/>
      <c r="U307" s="177"/>
      <c r="V307" s="177"/>
      <c r="W307" s="177"/>
      <c r="X307" s="177"/>
      <c r="Y307" s="177"/>
    </row>
    <row r="308">
      <c r="A308" s="177"/>
      <c r="B308" s="177"/>
      <c r="C308" s="177"/>
      <c r="D308" s="177"/>
      <c r="E308" s="177"/>
      <c r="F308" s="177"/>
      <c r="G308" s="178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171"/>
      <c r="S308" s="177"/>
      <c r="T308" s="177"/>
      <c r="U308" s="177"/>
      <c r="V308" s="177"/>
      <c r="W308" s="177"/>
      <c r="X308" s="177"/>
      <c r="Y308" s="177"/>
    </row>
    <row r="309">
      <c r="A309" s="177"/>
      <c r="B309" s="177"/>
      <c r="C309" s="177"/>
      <c r="D309" s="177"/>
      <c r="E309" s="177"/>
      <c r="F309" s="177"/>
      <c r="G309" s="178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171"/>
      <c r="S309" s="177"/>
      <c r="T309" s="177"/>
      <c r="U309" s="177"/>
      <c r="V309" s="177"/>
      <c r="W309" s="177"/>
      <c r="X309" s="177"/>
      <c r="Y309" s="177"/>
    </row>
    <row r="310">
      <c r="A310" s="177"/>
      <c r="B310" s="177"/>
      <c r="C310" s="177"/>
      <c r="D310" s="177"/>
      <c r="E310" s="177"/>
      <c r="F310" s="177"/>
      <c r="G310" s="178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171"/>
      <c r="S310" s="177"/>
      <c r="T310" s="177"/>
      <c r="U310" s="177"/>
      <c r="V310" s="177"/>
      <c r="W310" s="177"/>
      <c r="X310" s="177"/>
      <c r="Y310" s="177"/>
    </row>
    <row r="311">
      <c r="A311" s="177"/>
      <c r="B311" s="177"/>
      <c r="C311" s="177"/>
      <c r="D311" s="177"/>
      <c r="E311" s="177"/>
      <c r="F311" s="177"/>
      <c r="G311" s="178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171"/>
      <c r="S311" s="177"/>
      <c r="T311" s="177"/>
      <c r="U311" s="177"/>
      <c r="V311" s="177"/>
      <c r="W311" s="177"/>
      <c r="X311" s="177"/>
      <c r="Y311" s="177"/>
    </row>
    <row r="312">
      <c r="A312" s="177"/>
      <c r="B312" s="177"/>
      <c r="C312" s="177"/>
      <c r="D312" s="177"/>
      <c r="E312" s="177"/>
      <c r="F312" s="177"/>
      <c r="G312" s="178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171"/>
      <c r="S312" s="177"/>
      <c r="T312" s="177"/>
      <c r="U312" s="177"/>
      <c r="V312" s="177"/>
      <c r="W312" s="177"/>
      <c r="X312" s="177"/>
      <c r="Y312" s="177"/>
    </row>
    <row r="313">
      <c r="A313" s="177"/>
      <c r="B313" s="177"/>
      <c r="C313" s="177"/>
      <c r="D313" s="177"/>
      <c r="E313" s="177"/>
      <c r="F313" s="177"/>
      <c r="G313" s="178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171"/>
      <c r="S313" s="177"/>
      <c r="T313" s="177"/>
      <c r="U313" s="177"/>
      <c r="V313" s="177"/>
      <c r="W313" s="177"/>
      <c r="X313" s="177"/>
      <c r="Y313" s="177"/>
    </row>
    <row r="314">
      <c r="A314" s="177"/>
      <c r="B314" s="177"/>
      <c r="C314" s="177"/>
      <c r="D314" s="177"/>
      <c r="E314" s="177"/>
      <c r="F314" s="177"/>
      <c r="G314" s="178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171"/>
      <c r="S314" s="177"/>
      <c r="T314" s="177"/>
      <c r="U314" s="177"/>
      <c r="V314" s="177"/>
      <c r="W314" s="177"/>
      <c r="X314" s="177"/>
      <c r="Y314" s="177"/>
    </row>
    <row r="315">
      <c r="A315" s="177"/>
      <c r="B315" s="177"/>
      <c r="C315" s="177"/>
      <c r="D315" s="177"/>
      <c r="E315" s="177"/>
      <c r="F315" s="177"/>
      <c r="G315" s="178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171"/>
      <c r="S315" s="177"/>
      <c r="T315" s="177"/>
      <c r="U315" s="177"/>
      <c r="V315" s="177"/>
      <c r="W315" s="177"/>
      <c r="X315" s="177"/>
      <c r="Y315" s="177"/>
    </row>
    <row r="316">
      <c r="A316" s="177"/>
      <c r="B316" s="177"/>
      <c r="C316" s="177"/>
      <c r="D316" s="177"/>
      <c r="E316" s="177"/>
      <c r="F316" s="177"/>
      <c r="G316" s="178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171"/>
      <c r="S316" s="177"/>
      <c r="T316" s="177"/>
      <c r="U316" s="177"/>
      <c r="V316" s="177"/>
      <c r="W316" s="177"/>
      <c r="X316" s="177"/>
      <c r="Y316" s="177"/>
    </row>
    <row r="317">
      <c r="A317" s="177"/>
      <c r="B317" s="177"/>
      <c r="C317" s="177"/>
      <c r="D317" s="177"/>
      <c r="E317" s="177"/>
      <c r="F317" s="177"/>
      <c r="G317" s="178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171"/>
      <c r="S317" s="177"/>
      <c r="T317" s="177"/>
      <c r="U317" s="177"/>
      <c r="V317" s="177"/>
      <c r="W317" s="177"/>
      <c r="X317" s="177"/>
      <c r="Y317" s="177"/>
    </row>
    <row r="318">
      <c r="A318" s="177"/>
      <c r="B318" s="177"/>
      <c r="C318" s="177"/>
      <c r="D318" s="177"/>
      <c r="E318" s="177"/>
      <c r="F318" s="177"/>
      <c r="G318" s="178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171"/>
      <c r="S318" s="177"/>
      <c r="T318" s="177"/>
      <c r="U318" s="177"/>
      <c r="V318" s="177"/>
      <c r="W318" s="177"/>
      <c r="X318" s="177"/>
      <c r="Y318" s="177"/>
    </row>
    <row r="319">
      <c r="A319" s="177"/>
      <c r="B319" s="177"/>
      <c r="C319" s="177"/>
      <c r="D319" s="177"/>
      <c r="E319" s="177"/>
      <c r="F319" s="177"/>
      <c r="G319" s="178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171"/>
      <c r="S319" s="177"/>
      <c r="T319" s="177"/>
      <c r="U319" s="177"/>
      <c r="V319" s="177"/>
      <c r="W319" s="177"/>
      <c r="X319" s="177"/>
      <c r="Y319" s="177"/>
    </row>
    <row r="320">
      <c r="A320" s="177"/>
      <c r="B320" s="177"/>
      <c r="C320" s="177"/>
      <c r="D320" s="177"/>
      <c r="E320" s="177"/>
      <c r="F320" s="177"/>
      <c r="G320" s="178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171"/>
      <c r="S320" s="177"/>
      <c r="T320" s="177"/>
      <c r="U320" s="177"/>
      <c r="V320" s="177"/>
      <c r="W320" s="177"/>
      <c r="X320" s="177"/>
      <c r="Y320" s="177"/>
    </row>
    <row r="321">
      <c r="A321" s="177"/>
      <c r="B321" s="177"/>
      <c r="C321" s="177"/>
      <c r="D321" s="177"/>
      <c r="E321" s="177"/>
      <c r="F321" s="177"/>
      <c r="G321" s="178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171"/>
      <c r="S321" s="177"/>
      <c r="T321" s="177"/>
      <c r="U321" s="177"/>
      <c r="V321" s="177"/>
      <c r="W321" s="177"/>
      <c r="X321" s="177"/>
      <c r="Y321" s="177"/>
    </row>
    <row r="322">
      <c r="A322" s="177"/>
      <c r="B322" s="177"/>
      <c r="C322" s="177"/>
      <c r="D322" s="177"/>
      <c r="E322" s="177"/>
      <c r="F322" s="177"/>
      <c r="G322" s="178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171"/>
      <c r="S322" s="177"/>
      <c r="T322" s="177"/>
      <c r="U322" s="177"/>
      <c r="V322" s="177"/>
      <c r="W322" s="177"/>
      <c r="X322" s="177"/>
      <c r="Y322" s="177"/>
    </row>
    <row r="323">
      <c r="A323" s="177"/>
      <c r="B323" s="177"/>
      <c r="C323" s="177"/>
      <c r="D323" s="177"/>
      <c r="E323" s="177"/>
      <c r="F323" s="177"/>
      <c r="G323" s="178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171"/>
      <c r="S323" s="177"/>
      <c r="T323" s="177"/>
      <c r="U323" s="177"/>
      <c r="V323" s="177"/>
      <c r="W323" s="177"/>
      <c r="X323" s="177"/>
      <c r="Y323" s="177"/>
    </row>
    <row r="324">
      <c r="A324" s="177"/>
      <c r="B324" s="177"/>
      <c r="C324" s="177"/>
      <c r="D324" s="177"/>
      <c r="E324" s="177"/>
      <c r="F324" s="177"/>
      <c r="G324" s="178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171"/>
      <c r="S324" s="177"/>
      <c r="T324" s="177"/>
      <c r="U324" s="177"/>
      <c r="V324" s="177"/>
      <c r="W324" s="177"/>
      <c r="X324" s="177"/>
      <c r="Y324" s="177"/>
    </row>
    <row r="325">
      <c r="A325" s="177"/>
      <c r="B325" s="177"/>
      <c r="C325" s="177"/>
      <c r="D325" s="177"/>
      <c r="E325" s="177"/>
      <c r="F325" s="177"/>
      <c r="G325" s="178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171"/>
      <c r="S325" s="177"/>
      <c r="T325" s="177"/>
      <c r="U325" s="177"/>
      <c r="V325" s="177"/>
      <c r="W325" s="177"/>
      <c r="X325" s="177"/>
      <c r="Y325" s="177"/>
    </row>
    <row r="326">
      <c r="A326" s="177"/>
      <c r="B326" s="177"/>
      <c r="C326" s="177"/>
      <c r="D326" s="177"/>
      <c r="E326" s="177"/>
      <c r="F326" s="177"/>
      <c r="G326" s="178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171"/>
      <c r="S326" s="177"/>
      <c r="T326" s="177"/>
      <c r="U326" s="177"/>
      <c r="V326" s="177"/>
      <c r="W326" s="177"/>
      <c r="X326" s="177"/>
      <c r="Y326" s="177"/>
    </row>
    <row r="327">
      <c r="A327" s="177"/>
      <c r="B327" s="177"/>
      <c r="C327" s="177"/>
      <c r="D327" s="177"/>
      <c r="E327" s="177"/>
      <c r="F327" s="177"/>
      <c r="G327" s="178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171"/>
      <c r="S327" s="177"/>
      <c r="T327" s="177"/>
      <c r="U327" s="177"/>
      <c r="V327" s="177"/>
      <c r="W327" s="177"/>
      <c r="X327" s="177"/>
      <c r="Y327" s="177"/>
    </row>
    <row r="328">
      <c r="A328" s="177"/>
      <c r="B328" s="177"/>
      <c r="C328" s="177"/>
      <c r="D328" s="177"/>
      <c r="E328" s="177"/>
      <c r="F328" s="177"/>
      <c r="G328" s="178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171"/>
      <c r="S328" s="177"/>
      <c r="T328" s="177"/>
      <c r="U328" s="177"/>
      <c r="V328" s="177"/>
      <c r="W328" s="177"/>
      <c r="X328" s="177"/>
      <c r="Y328" s="177"/>
    </row>
    <row r="329">
      <c r="A329" s="177"/>
      <c r="B329" s="177"/>
      <c r="C329" s="177"/>
      <c r="D329" s="177"/>
      <c r="E329" s="177"/>
      <c r="F329" s="177"/>
      <c r="G329" s="178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171"/>
      <c r="S329" s="177"/>
      <c r="T329" s="177"/>
      <c r="U329" s="177"/>
      <c r="V329" s="177"/>
      <c r="W329" s="177"/>
      <c r="X329" s="177"/>
      <c r="Y329" s="177"/>
    </row>
    <row r="330">
      <c r="A330" s="177"/>
      <c r="B330" s="177"/>
      <c r="C330" s="177"/>
      <c r="D330" s="177"/>
      <c r="E330" s="177"/>
      <c r="F330" s="177"/>
      <c r="G330" s="178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171"/>
      <c r="S330" s="177"/>
      <c r="T330" s="177"/>
      <c r="U330" s="177"/>
      <c r="V330" s="177"/>
      <c r="W330" s="177"/>
      <c r="X330" s="177"/>
      <c r="Y330" s="177"/>
    </row>
    <row r="331">
      <c r="A331" s="177"/>
      <c r="B331" s="177"/>
      <c r="C331" s="177"/>
      <c r="D331" s="177"/>
      <c r="E331" s="177"/>
      <c r="F331" s="177"/>
      <c r="G331" s="178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171"/>
      <c r="S331" s="177"/>
      <c r="T331" s="177"/>
      <c r="U331" s="177"/>
      <c r="V331" s="177"/>
      <c r="W331" s="177"/>
      <c r="X331" s="177"/>
      <c r="Y331" s="177"/>
    </row>
    <row r="332">
      <c r="A332" s="177"/>
      <c r="B332" s="177"/>
      <c r="C332" s="177"/>
      <c r="D332" s="177"/>
      <c r="E332" s="177"/>
      <c r="F332" s="177"/>
      <c r="G332" s="178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171"/>
      <c r="S332" s="177"/>
      <c r="T332" s="177"/>
      <c r="U332" s="177"/>
      <c r="V332" s="177"/>
      <c r="W332" s="177"/>
      <c r="X332" s="177"/>
      <c r="Y332" s="177"/>
    </row>
    <row r="333">
      <c r="A333" s="177"/>
      <c r="B333" s="177"/>
      <c r="C333" s="177"/>
      <c r="D333" s="177"/>
      <c r="E333" s="177"/>
      <c r="F333" s="177"/>
      <c r="G333" s="178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171"/>
      <c r="S333" s="177"/>
      <c r="T333" s="177"/>
      <c r="U333" s="177"/>
      <c r="V333" s="177"/>
      <c r="W333" s="177"/>
      <c r="X333" s="177"/>
      <c r="Y333" s="177"/>
    </row>
    <row r="334">
      <c r="A334" s="177"/>
      <c r="B334" s="177"/>
      <c r="C334" s="177"/>
      <c r="D334" s="177"/>
      <c r="E334" s="177"/>
      <c r="F334" s="177"/>
      <c r="G334" s="178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171"/>
      <c r="S334" s="177"/>
      <c r="T334" s="177"/>
      <c r="U334" s="177"/>
      <c r="V334" s="177"/>
      <c r="W334" s="177"/>
      <c r="X334" s="177"/>
      <c r="Y334" s="177"/>
    </row>
    <row r="335">
      <c r="A335" s="177"/>
      <c r="B335" s="177"/>
      <c r="C335" s="177"/>
      <c r="D335" s="177"/>
      <c r="E335" s="177"/>
      <c r="F335" s="177"/>
      <c r="G335" s="178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171"/>
      <c r="S335" s="177"/>
      <c r="T335" s="177"/>
      <c r="U335" s="177"/>
      <c r="V335" s="177"/>
      <c r="W335" s="177"/>
      <c r="X335" s="177"/>
      <c r="Y335" s="177"/>
    </row>
    <row r="336">
      <c r="A336" s="177"/>
      <c r="B336" s="177"/>
      <c r="C336" s="177"/>
      <c r="D336" s="177"/>
      <c r="E336" s="177"/>
      <c r="F336" s="177"/>
      <c r="G336" s="178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171"/>
      <c r="S336" s="177"/>
      <c r="T336" s="177"/>
      <c r="U336" s="177"/>
      <c r="V336" s="177"/>
      <c r="W336" s="177"/>
      <c r="X336" s="177"/>
      <c r="Y336" s="177"/>
    </row>
    <row r="337">
      <c r="A337" s="177"/>
      <c r="B337" s="177"/>
      <c r="C337" s="177"/>
      <c r="D337" s="177"/>
      <c r="E337" s="177"/>
      <c r="F337" s="177"/>
      <c r="G337" s="178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171"/>
      <c r="S337" s="177"/>
      <c r="T337" s="177"/>
      <c r="U337" s="177"/>
      <c r="V337" s="177"/>
      <c r="W337" s="177"/>
      <c r="X337" s="177"/>
      <c r="Y337" s="177"/>
    </row>
    <row r="338">
      <c r="A338" s="177"/>
      <c r="B338" s="177"/>
      <c r="C338" s="177"/>
      <c r="D338" s="177"/>
      <c r="E338" s="177"/>
      <c r="F338" s="177"/>
      <c r="G338" s="178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171"/>
      <c r="S338" s="177"/>
      <c r="T338" s="177"/>
      <c r="U338" s="177"/>
      <c r="V338" s="177"/>
      <c r="W338" s="177"/>
      <c r="X338" s="177"/>
      <c r="Y338" s="177"/>
    </row>
    <row r="339">
      <c r="A339" s="177"/>
      <c r="B339" s="177"/>
      <c r="C339" s="177"/>
      <c r="D339" s="177"/>
      <c r="E339" s="177"/>
      <c r="F339" s="177"/>
      <c r="G339" s="178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171"/>
      <c r="S339" s="177"/>
      <c r="T339" s="177"/>
      <c r="U339" s="177"/>
      <c r="V339" s="177"/>
      <c r="W339" s="177"/>
      <c r="X339" s="177"/>
      <c r="Y339" s="177"/>
    </row>
    <row r="340">
      <c r="A340" s="177"/>
      <c r="B340" s="177"/>
      <c r="C340" s="177"/>
      <c r="D340" s="177"/>
      <c r="E340" s="177"/>
      <c r="F340" s="177"/>
      <c r="G340" s="178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171"/>
      <c r="S340" s="177"/>
      <c r="T340" s="177"/>
      <c r="U340" s="177"/>
      <c r="V340" s="177"/>
      <c r="W340" s="177"/>
      <c r="X340" s="177"/>
      <c r="Y340" s="177"/>
    </row>
    <row r="341">
      <c r="A341" s="177"/>
      <c r="B341" s="177"/>
      <c r="C341" s="177"/>
      <c r="D341" s="177"/>
      <c r="E341" s="177"/>
      <c r="F341" s="177"/>
      <c r="G341" s="178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171"/>
      <c r="S341" s="177"/>
      <c r="T341" s="177"/>
      <c r="U341" s="177"/>
      <c r="V341" s="177"/>
      <c r="W341" s="177"/>
      <c r="X341" s="177"/>
      <c r="Y341" s="177"/>
    </row>
    <row r="342">
      <c r="A342" s="177"/>
      <c r="B342" s="177"/>
      <c r="C342" s="177"/>
      <c r="D342" s="177"/>
      <c r="E342" s="177"/>
      <c r="F342" s="177"/>
      <c r="G342" s="178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171"/>
      <c r="S342" s="177"/>
      <c r="T342" s="177"/>
      <c r="U342" s="177"/>
      <c r="V342" s="177"/>
      <c r="W342" s="177"/>
      <c r="X342" s="177"/>
      <c r="Y342" s="177"/>
    </row>
    <row r="343">
      <c r="A343" s="177"/>
      <c r="B343" s="177"/>
      <c r="C343" s="177"/>
      <c r="D343" s="177"/>
      <c r="E343" s="177"/>
      <c r="F343" s="177"/>
      <c r="G343" s="178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171"/>
      <c r="S343" s="177"/>
      <c r="T343" s="177"/>
      <c r="U343" s="177"/>
      <c r="V343" s="177"/>
      <c r="W343" s="177"/>
      <c r="X343" s="177"/>
      <c r="Y343" s="177"/>
    </row>
    <row r="344">
      <c r="A344" s="177"/>
      <c r="B344" s="177"/>
      <c r="C344" s="177"/>
      <c r="D344" s="177"/>
      <c r="E344" s="177"/>
      <c r="F344" s="177"/>
      <c r="G344" s="178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171"/>
      <c r="S344" s="177"/>
      <c r="T344" s="177"/>
      <c r="U344" s="177"/>
      <c r="V344" s="177"/>
      <c r="W344" s="177"/>
      <c r="X344" s="177"/>
      <c r="Y344" s="177"/>
    </row>
    <row r="345">
      <c r="A345" s="177"/>
      <c r="B345" s="177"/>
      <c r="C345" s="177"/>
      <c r="D345" s="177"/>
      <c r="E345" s="177"/>
      <c r="F345" s="177"/>
      <c r="G345" s="178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171"/>
      <c r="S345" s="177"/>
      <c r="T345" s="177"/>
      <c r="U345" s="177"/>
      <c r="V345" s="177"/>
      <c r="W345" s="177"/>
      <c r="X345" s="177"/>
      <c r="Y345" s="177"/>
    </row>
    <row r="346">
      <c r="A346" s="177"/>
      <c r="B346" s="177"/>
      <c r="C346" s="177"/>
      <c r="D346" s="177"/>
      <c r="E346" s="177"/>
      <c r="F346" s="177"/>
      <c r="G346" s="178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171"/>
      <c r="S346" s="177"/>
      <c r="T346" s="177"/>
      <c r="U346" s="177"/>
      <c r="V346" s="177"/>
      <c r="W346" s="177"/>
      <c r="X346" s="177"/>
      <c r="Y346" s="177"/>
    </row>
    <row r="347">
      <c r="A347" s="177"/>
      <c r="B347" s="177"/>
      <c r="C347" s="177"/>
      <c r="D347" s="177"/>
      <c r="E347" s="177"/>
      <c r="F347" s="177"/>
      <c r="G347" s="178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171"/>
      <c r="S347" s="177"/>
      <c r="T347" s="177"/>
      <c r="U347" s="177"/>
      <c r="V347" s="177"/>
      <c r="W347" s="177"/>
      <c r="X347" s="177"/>
      <c r="Y347" s="177"/>
    </row>
    <row r="348">
      <c r="A348" s="177"/>
      <c r="B348" s="177"/>
      <c r="C348" s="177"/>
      <c r="D348" s="177"/>
      <c r="E348" s="177"/>
      <c r="F348" s="177"/>
      <c r="G348" s="178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171"/>
      <c r="S348" s="177"/>
      <c r="T348" s="177"/>
      <c r="U348" s="177"/>
      <c r="V348" s="177"/>
      <c r="W348" s="177"/>
      <c r="X348" s="177"/>
      <c r="Y348" s="177"/>
    </row>
    <row r="349">
      <c r="A349" s="177"/>
      <c r="B349" s="177"/>
      <c r="C349" s="177"/>
      <c r="D349" s="177"/>
      <c r="E349" s="177"/>
      <c r="F349" s="177"/>
      <c r="G349" s="178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171"/>
      <c r="S349" s="177"/>
      <c r="T349" s="177"/>
      <c r="U349" s="177"/>
      <c r="V349" s="177"/>
      <c r="W349" s="177"/>
      <c r="X349" s="177"/>
      <c r="Y349" s="177"/>
    </row>
    <row r="350">
      <c r="A350" s="177"/>
      <c r="B350" s="177"/>
      <c r="C350" s="177"/>
      <c r="D350" s="177"/>
      <c r="E350" s="177"/>
      <c r="F350" s="177"/>
      <c r="G350" s="178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171"/>
      <c r="S350" s="177"/>
      <c r="T350" s="177"/>
      <c r="U350" s="177"/>
      <c r="V350" s="177"/>
      <c r="W350" s="177"/>
      <c r="X350" s="177"/>
      <c r="Y350" s="177"/>
    </row>
    <row r="351">
      <c r="A351" s="177"/>
      <c r="B351" s="177"/>
      <c r="C351" s="177"/>
      <c r="D351" s="177"/>
      <c r="E351" s="177"/>
      <c r="F351" s="177"/>
      <c r="G351" s="178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171"/>
      <c r="S351" s="177"/>
      <c r="T351" s="177"/>
      <c r="U351" s="177"/>
      <c r="V351" s="177"/>
      <c r="W351" s="177"/>
      <c r="X351" s="177"/>
      <c r="Y351" s="177"/>
    </row>
    <row r="352">
      <c r="A352" s="177"/>
      <c r="B352" s="177"/>
      <c r="C352" s="177"/>
      <c r="D352" s="177"/>
      <c r="E352" s="177"/>
      <c r="F352" s="177"/>
      <c r="G352" s="178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171"/>
      <c r="S352" s="177"/>
      <c r="T352" s="177"/>
      <c r="U352" s="177"/>
      <c r="V352" s="177"/>
      <c r="W352" s="177"/>
      <c r="X352" s="177"/>
      <c r="Y352" s="177"/>
    </row>
    <row r="353">
      <c r="A353" s="177"/>
      <c r="B353" s="177"/>
      <c r="C353" s="177"/>
      <c r="D353" s="177"/>
      <c r="E353" s="177"/>
      <c r="F353" s="177"/>
      <c r="G353" s="178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171"/>
      <c r="S353" s="177"/>
      <c r="T353" s="177"/>
      <c r="U353" s="177"/>
      <c r="V353" s="177"/>
      <c r="W353" s="177"/>
      <c r="X353" s="177"/>
      <c r="Y353" s="177"/>
    </row>
    <row r="354">
      <c r="A354" s="177"/>
      <c r="B354" s="177"/>
      <c r="C354" s="177"/>
      <c r="D354" s="177"/>
      <c r="E354" s="177"/>
      <c r="F354" s="177"/>
      <c r="G354" s="178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171"/>
      <c r="S354" s="177"/>
      <c r="T354" s="177"/>
      <c r="U354" s="177"/>
      <c r="V354" s="177"/>
      <c r="W354" s="177"/>
      <c r="X354" s="177"/>
      <c r="Y354" s="177"/>
    </row>
    <row r="355">
      <c r="A355" s="177"/>
      <c r="B355" s="177"/>
      <c r="C355" s="177"/>
      <c r="D355" s="177"/>
      <c r="E355" s="177"/>
      <c r="F355" s="177"/>
      <c r="G355" s="178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171"/>
      <c r="S355" s="177"/>
      <c r="T355" s="177"/>
      <c r="U355" s="177"/>
      <c r="V355" s="177"/>
      <c r="W355" s="177"/>
      <c r="X355" s="177"/>
      <c r="Y355" s="177"/>
    </row>
    <row r="356">
      <c r="A356" s="177"/>
      <c r="B356" s="177"/>
      <c r="C356" s="177"/>
      <c r="D356" s="177"/>
      <c r="E356" s="177"/>
      <c r="F356" s="177"/>
      <c r="G356" s="178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171"/>
      <c r="S356" s="177"/>
      <c r="T356" s="177"/>
      <c r="U356" s="177"/>
      <c r="V356" s="177"/>
      <c r="W356" s="177"/>
      <c r="X356" s="177"/>
      <c r="Y356" s="177"/>
    </row>
    <row r="357">
      <c r="A357" s="177"/>
      <c r="B357" s="177"/>
      <c r="C357" s="177"/>
      <c r="D357" s="177"/>
      <c r="E357" s="177"/>
      <c r="F357" s="177"/>
      <c r="G357" s="178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171"/>
      <c r="S357" s="177"/>
      <c r="T357" s="177"/>
      <c r="U357" s="177"/>
      <c r="V357" s="177"/>
      <c r="W357" s="177"/>
      <c r="X357" s="177"/>
      <c r="Y357" s="177"/>
    </row>
    <row r="358">
      <c r="A358" s="177"/>
      <c r="B358" s="177"/>
      <c r="C358" s="177"/>
      <c r="D358" s="177"/>
      <c r="E358" s="177"/>
      <c r="F358" s="177"/>
      <c r="G358" s="178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171"/>
      <c r="S358" s="177"/>
      <c r="T358" s="177"/>
      <c r="U358" s="177"/>
      <c r="V358" s="177"/>
      <c r="W358" s="177"/>
      <c r="X358" s="177"/>
      <c r="Y358" s="177"/>
    </row>
    <row r="359">
      <c r="A359" s="177"/>
      <c r="B359" s="177"/>
      <c r="C359" s="177"/>
      <c r="D359" s="177"/>
      <c r="E359" s="177"/>
      <c r="F359" s="177"/>
      <c r="G359" s="178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171"/>
      <c r="S359" s="177"/>
      <c r="T359" s="177"/>
      <c r="U359" s="177"/>
      <c r="V359" s="177"/>
      <c r="W359" s="177"/>
      <c r="X359" s="177"/>
      <c r="Y359" s="177"/>
    </row>
    <row r="360">
      <c r="A360" s="177"/>
      <c r="B360" s="177"/>
      <c r="C360" s="177"/>
      <c r="D360" s="177"/>
      <c r="E360" s="177"/>
      <c r="F360" s="177"/>
      <c r="G360" s="178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171"/>
      <c r="S360" s="177"/>
      <c r="T360" s="177"/>
      <c r="U360" s="177"/>
      <c r="V360" s="177"/>
      <c r="W360" s="177"/>
      <c r="X360" s="177"/>
      <c r="Y360" s="177"/>
    </row>
    <row r="361">
      <c r="A361" s="177"/>
      <c r="B361" s="177"/>
      <c r="C361" s="177"/>
      <c r="D361" s="177"/>
      <c r="E361" s="177"/>
      <c r="F361" s="177"/>
      <c r="G361" s="178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171"/>
      <c r="S361" s="177"/>
      <c r="T361" s="177"/>
      <c r="U361" s="177"/>
      <c r="V361" s="177"/>
      <c r="W361" s="177"/>
      <c r="X361" s="177"/>
      <c r="Y361" s="177"/>
    </row>
    <row r="362">
      <c r="A362" s="177"/>
      <c r="B362" s="177"/>
      <c r="C362" s="177"/>
      <c r="D362" s="177"/>
      <c r="E362" s="177"/>
      <c r="F362" s="177"/>
      <c r="G362" s="178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171"/>
      <c r="S362" s="177"/>
      <c r="T362" s="177"/>
      <c r="U362" s="177"/>
      <c r="V362" s="177"/>
      <c r="W362" s="177"/>
      <c r="X362" s="177"/>
      <c r="Y362" s="177"/>
    </row>
    <row r="363">
      <c r="A363" s="177"/>
      <c r="B363" s="177"/>
      <c r="C363" s="177"/>
      <c r="D363" s="177"/>
      <c r="E363" s="177"/>
      <c r="F363" s="177"/>
      <c r="G363" s="178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171"/>
      <c r="S363" s="177"/>
      <c r="T363" s="177"/>
      <c r="U363" s="177"/>
      <c r="V363" s="177"/>
      <c r="W363" s="177"/>
      <c r="X363" s="177"/>
      <c r="Y363" s="177"/>
    </row>
    <row r="364">
      <c r="A364" s="177"/>
      <c r="B364" s="177"/>
      <c r="C364" s="177"/>
      <c r="D364" s="177"/>
      <c r="E364" s="177"/>
      <c r="F364" s="177"/>
      <c r="G364" s="178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171"/>
      <c r="S364" s="177"/>
      <c r="T364" s="177"/>
      <c r="U364" s="177"/>
      <c r="V364" s="177"/>
      <c r="W364" s="177"/>
      <c r="X364" s="177"/>
      <c r="Y364" s="177"/>
    </row>
    <row r="365">
      <c r="A365" s="177"/>
      <c r="B365" s="177"/>
      <c r="C365" s="177"/>
      <c r="D365" s="177"/>
      <c r="E365" s="177"/>
      <c r="F365" s="177"/>
      <c r="G365" s="178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171"/>
      <c r="S365" s="177"/>
      <c r="T365" s="177"/>
      <c r="U365" s="177"/>
      <c r="V365" s="177"/>
      <c r="W365" s="177"/>
      <c r="X365" s="177"/>
      <c r="Y365" s="177"/>
    </row>
    <row r="366">
      <c r="A366" s="177"/>
      <c r="B366" s="177"/>
      <c r="C366" s="177"/>
      <c r="D366" s="177"/>
      <c r="E366" s="177"/>
      <c r="F366" s="177"/>
      <c r="G366" s="178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171"/>
      <c r="S366" s="177"/>
      <c r="T366" s="177"/>
      <c r="U366" s="177"/>
      <c r="V366" s="177"/>
      <c r="W366" s="177"/>
      <c r="X366" s="177"/>
      <c r="Y366" s="177"/>
    </row>
    <row r="367">
      <c r="A367" s="177"/>
      <c r="B367" s="177"/>
      <c r="C367" s="177"/>
      <c r="D367" s="177"/>
      <c r="E367" s="177"/>
      <c r="F367" s="177"/>
      <c r="G367" s="178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171"/>
      <c r="S367" s="177"/>
      <c r="T367" s="177"/>
      <c r="U367" s="177"/>
      <c r="V367" s="177"/>
      <c r="W367" s="177"/>
      <c r="X367" s="177"/>
      <c r="Y367" s="177"/>
    </row>
    <row r="368">
      <c r="A368" s="177"/>
      <c r="B368" s="177"/>
      <c r="C368" s="177"/>
      <c r="D368" s="177"/>
      <c r="E368" s="177"/>
      <c r="F368" s="177"/>
      <c r="G368" s="178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171"/>
      <c r="S368" s="177"/>
      <c r="T368" s="177"/>
      <c r="U368" s="177"/>
      <c r="V368" s="177"/>
      <c r="W368" s="177"/>
      <c r="X368" s="177"/>
      <c r="Y368" s="177"/>
    </row>
    <row r="369">
      <c r="A369" s="177"/>
      <c r="B369" s="177"/>
      <c r="C369" s="177"/>
      <c r="D369" s="177"/>
      <c r="E369" s="177"/>
      <c r="F369" s="177"/>
      <c r="G369" s="178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171"/>
      <c r="S369" s="177"/>
      <c r="T369" s="177"/>
      <c r="U369" s="177"/>
      <c r="V369" s="177"/>
      <c r="W369" s="177"/>
      <c r="X369" s="177"/>
      <c r="Y369" s="177"/>
    </row>
    <row r="370">
      <c r="A370" s="177"/>
      <c r="B370" s="177"/>
      <c r="C370" s="177"/>
      <c r="D370" s="177"/>
      <c r="E370" s="177"/>
      <c r="F370" s="177"/>
      <c r="G370" s="178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171"/>
      <c r="S370" s="177"/>
      <c r="T370" s="177"/>
      <c r="U370" s="177"/>
      <c r="V370" s="177"/>
      <c r="W370" s="177"/>
      <c r="X370" s="177"/>
      <c r="Y370" s="177"/>
    </row>
    <row r="371">
      <c r="A371" s="177"/>
      <c r="B371" s="177"/>
      <c r="C371" s="177"/>
      <c r="D371" s="177"/>
      <c r="E371" s="177"/>
      <c r="F371" s="177"/>
      <c r="G371" s="178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171"/>
      <c r="S371" s="177"/>
      <c r="T371" s="177"/>
      <c r="U371" s="177"/>
      <c r="V371" s="177"/>
      <c r="W371" s="177"/>
      <c r="X371" s="177"/>
      <c r="Y371" s="177"/>
    </row>
    <row r="372">
      <c r="A372" s="177"/>
      <c r="B372" s="177"/>
      <c r="C372" s="177"/>
      <c r="D372" s="177"/>
      <c r="E372" s="177"/>
      <c r="F372" s="177"/>
      <c r="G372" s="178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171"/>
      <c r="S372" s="177"/>
      <c r="T372" s="177"/>
      <c r="U372" s="177"/>
      <c r="V372" s="177"/>
      <c r="W372" s="177"/>
      <c r="X372" s="177"/>
      <c r="Y372" s="177"/>
    </row>
    <row r="373">
      <c r="A373" s="177"/>
      <c r="B373" s="177"/>
      <c r="C373" s="177"/>
      <c r="D373" s="177"/>
      <c r="E373" s="177"/>
      <c r="F373" s="177"/>
      <c r="G373" s="178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171"/>
      <c r="S373" s="177"/>
      <c r="T373" s="177"/>
      <c r="U373" s="177"/>
      <c r="V373" s="177"/>
      <c r="W373" s="177"/>
      <c r="X373" s="177"/>
      <c r="Y373" s="177"/>
    </row>
    <row r="374">
      <c r="A374" s="177"/>
      <c r="B374" s="177"/>
      <c r="C374" s="177"/>
      <c r="D374" s="177"/>
      <c r="E374" s="177"/>
      <c r="F374" s="177"/>
      <c r="G374" s="178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171"/>
      <c r="S374" s="177"/>
      <c r="T374" s="177"/>
      <c r="U374" s="177"/>
      <c r="V374" s="177"/>
      <c r="W374" s="177"/>
      <c r="X374" s="177"/>
      <c r="Y374" s="177"/>
    </row>
    <row r="375">
      <c r="A375" s="177"/>
      <c r="B375" s="177"/>
      <c r="C375" s="177"/>
      <c r="D375" s="177"/>
      <c r="E375" s="177"/>
      <c r="F375" s="177"/>
      <c r="G375" s="178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171"/>
      <c r="S375" s="177"/>
      <c r="T375" s="177"/>
      <c r="U375" s="177"/>
      <c r="V375" s="177"/>
      <c r="W375" s="177"/>
      <c r="X375" s="177"/>
      <c r="Y375" s="177"/>
    </row>
    <row r="376">
      <c r="A376" s="177"/>
      <c r="B376" s="177"/>
      <c r="C376" s="177"/>
      <c r="D376" s="177"/>
      <c r="E376" s="177"/>
      <c r="F376" s="177"/>
      <c r="G376" s="178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171"/>
      <c r="S376" s="177"/>
      <c r="T376" s="177"/>
      <c r="U376" s="177"/>
      <c r="V376" s="177"/>
      <c r="W376" s="177"/>
      <c r="X376" s="177"/>
      <c r="Y376" s="177"/>
    </row>
    <row r="377">
      <c r="A377" s="177"/>
      <c r="B377" s="177"/>
      <c r="C377" s="177"/>
      <c r="D377" s="177"/>
      <c r="E377" s="177"/>
      <c r="F377" s="177"/>
      <c r="G377" s="178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171"/>
      <c r="S377" s="177"/>
      <c r="T377" s="177"/>
      <c r="U377" s="177"/>
      <c r="V377" s="177"/>
      <c r="W377" s="177"/>
      <c r="X377" s="177"/>
      <c r="Y377" s="177"/>
    </row>
    <row r="378">
      <c r="A378" s="177"/>
      <c r="B378" s="177"/>
      <c r="C378" s="177"/>
      <c r="D378" s="177"/>
      <c r="E378" s="177"/>
      <c r="F378" s="177"/>
      <c r="G378" s="178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171"/>
      <c r="S378" s="177"/>
      <c r="T378" s="177"/>
      <c r="U378" s="177"/>
      <c r="V378" s="177"/>
      <c r="W378" s="177"/>
      <c r="X378" s="177"/>
      <c r="Y378" s="177"/>
    </row>
    <row r="379">
      <c r="A379" s="177"/>
      <c r="B379" s="177"/>
      <c r="C379" s="177"/>
      <c r="D379" s="177"/>
      <c r="E379" s="177"/>
      <c r="F379" s="177"/>
      <c r="G379" s="178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171"/>
      <c r="S379" s="177"/>
      <c r="T379" s="177"/>
      <c r="U379" s="177"/>
      <c r="V379" s="177"/>
      <c r="W379" s="177"/>
      <c r="X379" s="177"/>
      <c r="Y379" s="177"/>
    </row>
    <row r="380">
      <c r="A380" s="177"/>
      <c r="B380" s="177"/>
      <c r="C380" s="177"/>
      <c r="D380" s="177"/>
      <c r="E380" s="177"/>
      <c r="F380" s="177"/>
      <c r="G380" s="178"/>
      <c r="H380" s="177"/>
      <c r="I380" s="177"/>
      <c r="J380" s="177"/>
      <c r="K380" s="177"/>
      <c r="L380" s="177"/>
      <c r="M380" s="177"/>
      <c r="N380" s="177"/>
      <c r="O380" s="177"/>
      <c r="P380" s="177"/>
      <c r="Q380" s="177"/>
      <c r="R380" s="1171"/>
      <c r="S380" s="177"/>
      <c r="T380" s="177"/>
      <c r="U380" s="177"/>
      <c r="V380" s="177"/>
      <c r="W380" s="177"/>
      <c r="X380" s="177"/>
      <c r="Y380" s="177"/>
    </row>
    <row r="381">
      <c r="A381" s="177"/>
      <c r="B381" s="177"/>
      <c r="C381" s="177"/>
      <c r="D381" s="177"/>
      <c r="E381" s="177"/>
      <c r="F381" s="177"/>
      <c r="G381" s="178"/>
      <c r="H381" s="177"/>
      <c r="I381" s="177"/>
      <c r="J381" s="177"/>
      <c r="K381" s="177"/>
      <c r="L381" s="177"/>
      <c r="M381" s="177"/>
      <c r="N381" s="177"/>
      <c r="O381" s="177"/>
      <c r="P381" s="177"/>
      <c r="Q381" s="177"/>
      <c r="R381" s="1171"/>
      <c r="S381" s="177"/>
      <c r="T381" s="177"/>
      <c r="U381" s="177"/>
      <c r="V381" s="177"/>
      <c r="W381" s="177"/>
      <c r="X381" s="177"/>
      <c r="Y381" s="177"/>
    </row>
    <row r="382">
      <c r="A382" s="177"/>
      <c r="B382" s="177"/>
      <c r="C382" s="177"/>
      <c r="D382" s="177"/>
      <c r="E382" s="177"/>
      <c r="F382" s="177"/>
      <c r="G382" s="178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171"/>
      <c r="S382" s="177"/>
      <c r="T382" s="177"/>
      <c r="U382" s="177"/>
      <c r="V382" s="177"/>
      <c r="W382" s="177"/>
      <c r="X382" s="177"/>
      <c r="Y382" s="177"/>
    </row>
    <row r="383">
      <c r="A383" s="177"/>
      <c r="B383" s="177"/>
      <c r="C383" s="177"/>
      <c r="D383" s="177"/>
      <c r="E383" s="177"/>
      <c r="F383" s="177"/>
      <c r="G383" s="178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171"/>
      <c r="S383" s="177"/>
      <c r="T383" s="177"/>
      <c r="U383" s="177"/>
      <c r="V383" s="177"/>
      <c r="W383" s="177"/>
      <c r="X383" s="177"/>
      <c r="Y383" s="177"/>
    </row>
    <row r="384">
      <c r="A384" s="177"/>
      <c r="B384" s="177"/>
      <c r="C384" s="177"/>
      <c r="D384" s="177"/>
      <c r="E384" s="177"/>
      <c r="F384" s="177"/>
      <c r="G384" s="178"/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171"/>
      <c r="S384" s="177"/>
      <c r="T384" s="177"/>
      <c r="U384" s="177"/>
      <c r="V384" s="177"/>
      <c r="W384" s="177"/>
      <c r="X384" s="177"/>
      <c r="Y384" s="177"/>
    </row>
    <row r="385">
      <c r="A385" s="177"/>
      <c r="B385" s="177"/>
      <c r="C385" s="177"/>
      <c r="D385" s="177"/>
      <c r="E385" s="177"/>
      <c r="F385" s="177"/>
      <c r="G385" s="178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171"/>
      <c r="S385" s="177"/>
      <c r="T385" s="177"/>
      <c r="U385" s="177"/>
      <c r="V385" s="177"/>
      <c r="W385" s="177"/>
      <c r="X385" s="177"/>
      <c r="Y385" s="177"/>
    </row>
    <row r="386">
      <c r="A386" s="177"/>
      <c r="B386" s="177"/>
      <c r="C386" s="177"/>
      <c r="D386" s="177"/>
      <c r="E386" s="177"/>
      <c r="F386" s="177"/>
      <c r="G386" s="178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171"/>
      <c r="S386" s="177"/>
      <c r="T386" s="177"/>
      <c r="U386" s="177"/>
      <c r="V386" s="177"/>
      <c r="W386" s="177"/>
      <c r="X386" s="177"/>
      <c r="Y386" s="177"/>
    </row>
    <row r="387">
      <c r="A387" s="177"/>
      <c r="B387" s="177"/>
      <c r="C387" s="177"/>
      <c r="D387" s="177"/>
      <c r="E387" s="177"/>
      <c r="F387" s="177"/>
      <c r="G387" s="178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171"/>
      <c r="S387" s="177"/>
      <c r="T387" s="177"/>
      <c r="U387" s="177"/>
      <c r="V387" s="177"/>
      <c r="W387" s="177"/>
      <c r="X387" s="177"/>
      <c r="Y387" s="177"/>
    </row>
    <row r="388">
      <c r="A388" s="177"/>
      <c r="B388" s="177"/>
      <c r="C388" s="177"/>
      <c r="D388" s="177"/>
      <c r="E388" s="177"/>
      <c r="F388" s="177"/>
      <c r="G388" s="178"/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171"/>
      <c r="S388" s="177"/>
      <c r="T388" s="177"/>
      <c r="U388" s="177"/>
      <c r="V388" s="177"/>
      <c r="W388" s="177"/>
      <c r="X388" s="177"/>
      <c r="Y388" s="177"/>
    </row>
    <row r="389">
      <c r="A389" s="177"/>
      <c r="B389" s="177"/>
      <c r="C389" s="177"/>
      <c r="D389" s="177"/>
      <c r="E389" s="177"/>
      <c r="F389" s="177"/>
      <c r="G389" s="178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171"/>
      <c r="S389" s="177"/>
      <c r="T389" s="177"/>
      <c r="U389" s="177"/>
      <c r="V389" s="177"/>
      <c r="W389" s="177"/>
      <c r="X389" s="177"/>
      <c r="Y389" s="177"/>
    </row>
    <row r="390">
      <c r="A390" s="177"/>
      <c r="B390" s="177"/>
      <c r="C390" s="177"/>
      <c r="D390" s="177"/>
      <c r="E390" s="177"/>
      <c r="F390" s="177"/>
      <c r="G390" s="178"/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171"/>
      <c r="S390" s="177"/>
      <c r="T390" s="177"/>
      <c r="U390" s="177"/>
      <c r="V390" s="177"/>
      <c r="W390" s="177"/>
      <c r="X390" s="177"/>
      <c r="Y390" s="177"/>
    </row>
    <row r="391">
      <c r="A391" s="177"/>
      <c r="B391" s="177"/>
      <c r="C391" s="177"/>
      <c r="D391" s="177"/>
      <c r="E391" s="177"/>
      <c r="F391" s="177"/>
      <c r="G391" s="178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171"/>
      <c r="S391" s="177"/>
      <c r="T391" s="177"/>
      <c r="U391" s="177"/>
      <c r="V391" s="177"/>
      <c r="W391" s="177"/>
      <c r="X391" s="177"/>
      <c r="Y391" s="177"/>
    </row>
    <row r="392">
      <c r="A392" s="177"/>
      <c r="B392" s="177"/>
      <c r="C392" s="177"/>
      <c r="D392" s="177"/>
      <c r="E392" s="177"/>
      <c r="F392" s="177"/>
      <c r="G392" s="178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171"/>
      <c r="S392" s="177"/>
      <c r="T392" s="177"/>
      <c r="U392" s="177"/>
      <c r="V392" s="177"/>
      <c r="W392" s="177"/>
      <c r="X392" s="177"/>
      <c r="Y392" s="177"/>
    </row>
    <row r="393">
      <c r="A393" s="177"/>
      <c r="B393" s="177"/>
      <c r="C393" s="177"/>
      <c r="D393" s="177"/>
      <c r="E393" s="177"/>
      <c r="F393" s="177"/>
      <c r="G393" s="178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171"/>
      <c r="S393" s="177"/>
      <c r="T393" s="177"/>
      <c r="U393" s="177"/>
      <c r="V393" s="177"/>
      <c r="W393" s="177"/>
      <c r="X393" s="177"/>
      <c r="Y393" s="177"/>
    </row>
    <row r="394">
      <c r="A394" s="177"/>
      <c r="B394" s="177"/>
      <c r="C394" s="177"/>
      <c r="D394" s="177"/>
      <c r="E394" s="177"/>
      <c r="F394" s="177"/>
      <c r="G394" s="178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171"/>
      <c r="S394" s="177"/>
      <c r="T394" s="177"/>
      <c r="U394" s="177"/>
      <c r="V394" s="177"/>
      <c r="W394" s="177"/>
      <c r="X394" s="177"/>
      <c r="Y394" s="177"/>
    </row>
    <row r="395">
      <c r="A395" s="177"/>
      <c r="B395" s="177"/>
      <c r="C395" s="177"/>
      <c r="D395" s="177"/>
      <c r="E395" s="177"/>
      <c r="F395" s="177"/>
      <c r="G395" s="178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171"/>
      <c r="S395" s="177"/>
      <c r="T395" s="177"/>
      <c r="U395" s="177"/>
      <c r="V395" s="177"/>
      <c r="W395" s="177"/>
      <c r="X395" s="177"/>
      <c r="Y395" s="177"/>
    </row>
    <row r="396">
      <c r="A396" s="177"/>
      <c r="B396" s="177"/>
      <c r="C396" s="177"/>
      <c r="D396" s="177"/>
      <c r="E396" s="177"/>
      <c r="F396" s="177"/>
      <c r="G396" s="178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171"/>
      <c r="S396" s="177"/>
      <c r="T396" s="177"/>
      <c r="U396" s="177"/>
      <c r="V396" s="177"/>
      <c r="W396" s="177"/>
      <c r="X396" s="177"/>
      <c r="Y396" s="177"/>
    </row>
    <row r="397">
      <c r="A397" s="177"/>
      <c r="B397" s="177"/>
      <c r="C397" s="177"/>
      <c r="D397" s="177"/>
      <c r="E397" s="177"/>
      <c r="F397" s="177"/>
      <c r="G397" s="178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171"/>
      <c r="S397" s="177"/>
      <c r="T397" s="177"/>
      <c r="U397" s="177"/>
      <c r="V397" s="177"/>
      <c r="W397" s="177"/>
      <c r="X397" s="177"/>
      <c r="Y397" s="177"/>
    </row>
    <row r="398">
      <c r="A398" s="177"/>
      <c r="B398" s="177"/>
      <c r="C398" s="177"/>
      <c r="D398" s="177"/>
      <c r="E398" s="177"/>
      <c r="F398" s="177"/>
      <c r="G398" s="178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171"/>
      <c r="S398" s="177"/>
      <c r="T398" s="177"/>
      <c r="U398" s="177"/>
      <c r="V398" s="177"/>
      <c r="W398" s="177"/>
      <c r="X398" s="177"/>
      <c r="Y398" s="177"/>
    </row>
    <row r="399">
      <c r="A399" s="177"/>
      <c r="B399" s="177"/>
      <c r="C399" s="177"/>
      <c r="D399" s="177"/>
      <c r="E399" s="177"/>
      <c r="F399" s="177"/>
      <c r="G399" s="178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171"/>
      <c r="S399" s="177"/>
      <c r="T399" s="177"/>
      <c r="U399" s="177"/>
      <c r="V399" s="177"/>
      <c r="W399" s="177"/>
      <c r="X399" s="177"/>
      <c r="Y399" s="177"/>
    </row>
    <row r="400">
      <c r="A400" s="177"/>
      <c r="B400" s="177"/>
      <c r="C400" s="177"/>
      <c r="D400" s="177"/>
      <c r="E400" s="177"/>
      <c r="F400" s="177"/>
      <c r="G400" s="178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171"/>
      <c r="S400" s="177"/>
      <c r="T400" s="177"/>
      <c r="U400" s="177"/>
      <c r="V400" s="177"/>
      <c r="W400" s="177"/>
      <c r="X400" s="177"/>
      <c r="Y400" s="177"/>
    </row>
    <row r="401">
      <c r="A401" s="177"/>
      <c r="B401" s="177"/>
      <c r="C401" s="177"/>
      <c r="D401" s="177"/>
      <c r="E401" s="177"/>
      <c r="F401" s="177"/>
      <c r="G401" s="178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171"/>
      <c r="S401" s="177"/>
      <c r="T401" s="177"/>
      <c r="U401" s="177"/>
      <c r="V401" s="177"/>
      <c r="W401" s="177"/>
      <c r="X401" s="177"/>
      <c r="Y401" s="177"/>
    </row>
    <row r="402">
      <c r="A402" s="177"/>
      <c r="B402" s="177"/>
      <c r="C402" s="177"/>
      <c r="D402" s="177"/>
      <c r="E402" s="177"/>
      <c r="F402" s="177"/>
      <c r="G402" s="178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171"/>
      <c r="S402" s="177"/>
      <c r="T402" s="177"/>
      <c r="U402" s="177"/>
      <c r="V402" s="177"/>
      <c r="W402" s="177"/>
      <c r="X402" s="177"/>
      <c r="Y402" s="177"/>
    </row>
    <row r="403">
      <c r="A403" s="177"/>
      <c r="B403" s="177"/>
      <c r="C403" s="177"/>
      <c r="D403" s="177"/>
      <c r="E403" s="177"/>
      <c r="F403" s="177"/>
      <c r="G403" s="178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171"/>
      <c r="S403" s="177"/>
      <c r="T403" s="177"/>
      <c r="U403" s="177"/>
      <c r="V403" s="177"/>
      <c r="W403" s="177"/>
      <c r="X403" s="177"/>
      <c r="Y403" s="177"/>
    </row>
    <row r="404">
      <c r="A404" s="177"/>
      <c r="B404" s="177"/>
      <c r="C404" s="177"/>
      <c r="D404" s="177"/>
      <c r="E404" s="177"/>
      <c r="F404" s="177"/>
      <c r="G404" s="178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171"/>
      <c r="S404" s="177"/>
      <c r="T404" s="177"/>
      <c r="U404" s="177"/>
      <c r="V404" s="177"/>
      <c r="W404" s="177"/>
      <c r="X404" s="177"/>
      <c r="Y404" s="177"/>
    </row>
    <row r="405">
      <c r="A405" s="177"/>
      <c r="B405" s="177"/>
      <c r="C405" s="177"/>
      <c r="D405" s="177"/>
      <c r="E405" s="177"/>
      <c r="F405" s="177"/>
      <c r="G405" s="178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171"/>
      <c r="S405" s="177"/>
      <c r="T405" s="177"/>
      <c r="U405" s="177"/>
      <c r="V405" s="177"/>
      <c r="W405" s="177"/>
      <c r="X405" s="177"/>
      <c r="Y405" s="177"/>
    </row>
    <row r="406">
      <c r="A406" s="177"/>
      <c r="B406" s="177"/>
      <c r="C406" s="177"/>
      <c r="D406" s="177"/>
      <c r="E406" s="177"/>
      <c r="F406" s="177"/>
      <c r="G406" s="178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171"/>
      <c r="S406" s="177"/>
      <c r="T406" s="177"/>
      <c r="U406" s="177"/>
      <c r="V406" s="177"/>
      <c r="W406" s="177"/>
      <c r="X406" s="177"/>
      <c r="Y406" s="177"/>
    </row>
    <row r="407">
      <c r="A407" s="177"/>
      <c r="B407" s="177"/>
      <c r="C407" s="177"/>
      <c r="D407" s="177"/>
      <c r="E407" s="177"/>
      <c r="F407" s="177"/>
      <c r="G407" s="178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171"/>
      <c r="S407" s="177"/>
      <c r="T407" s="177"/>
      <c r="U407" s="177"/>
      <c r="V407" s="177"/>
      <c r="W407" s="177"/>
      <c r="X407" s="177"/>
      <c r="Y407" s="177"/>
    </row>
    <row r="408">
      <c r="A408" s="177"/>
      <c r="B408" s="177"/>
      <c r="C408" s="177"/>
      <c r="D408" s="177"/>
      <c r="E408" s="177"/>
      <c r="F408" s="177"/>
      <c r="G408" s="178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171"/>
      <c r="S408" s="177"/>
      <c r="T408" s="177"/>
      <c r="U408" s="177"/>
      <c r="V408" s="177"/>
      <c r="W408" s="177"/>
      <c r="X408" s="177"/>
      <c r="Y408" s="177"/>
    </row>
    <row r="409">
      <c r="A409" s="177"/>
      <c r="B409" s="177"/>
      <c r="C409" s="177"/>
      <c r="D409" s="177"/>
      <c r="E409" s="177"/>
      <c r="F409" s="177"/>
      <c r="G409" s="178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171"/>
      <c r="S409" s="177"/>
      <c r="T409" s="177"/>
      <c r="U409" s="177"/>
      <c r="V409" s="177"/>
      <c r="W409" s="177"/>
      <c r="X409" s="177"/>
      <c r="Y409" s="177"/>
    </row>
    <row r="410">
      <c r="A410" s="177"/>
      <c r="B410" s="177"/>
      <c r="C410" s="177"/>
      <c r="D410" s="177"/>
      <c r="E410" s="177"/>
      <c r="F410" s="177"/>
      <c r="G410" s="178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171"/>
      <c r="S410" s="177"/>
      <c r="T410" s="177"/>
      <c r="U410" s="177"/>
      <c r="V410" s="177"/>
      <c r="W410" s="177"/>
      <c r="X410" s="177"/>
      <c r="Y410" s="177"/>
    </row>
    <row r="411">
      <c r="A411" s="177"/>
      <c r="B411" s="177"/>
      <c r="C411" s="177"/>
      <c r="D411" s="177"/>
      <c r="E411" s="177"/>
      <c r="F411" s="177"/>
      <c r="G411" s="178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171"/>
      <c r="S411" s="177"/>
      <c r="T411" s="177"/>
      <c r="U411" s="177"/>
      <c r="V411" s="177"/>
      <c r="W411" s="177"/>
      <c r="X411" s="177"/>
      <c r="Y411" s="177"/>
    </row>
    <row r="412">
      <c r="A412" s="177"/>
      <c r="B412" s="177"/>
      <c r="C412" s="177"/>
      <c r="D412" s="177"/>
      <c r="E412" s="177"/>
      <c r="F412" s="177"/>
      <c r="G412" s="178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171"/>
      <c r="S412" s="177"/>
      <c r="T412" s="177"/>
      <c r="U412" s="177"/>
      <c r="V412" s="177"/>
      <c r="W412" s="177"/>
      <c r="X412" s="177"/>
      <c r="Y412" s="177"/>
    </row>
    <row r="413">
      <c r="A413" s="177"/>
      <c r="B413" s="177"/>
      <c r="C413" s="177"/>
      <c r="D413" s="177"/>
      <c r="E413" s="177"/>
      <c r="F413" s="177"/>
      <c r="G413" s="178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171"/>
      <c r="S413" s="177"/>
      <c r="T413" s="177"/>
      <c r="U413" s="177"/>
      <c r="V413" s="177"/>
      <c r="W413" s="177"/>
      <c r="X413" s="177"/>
      <c r="Y413" s="177"/>
    </row>
    <row r="414">
      <c r="A414" s="177"/>
      <c r="B414" s="177"/>
      <c r="C414" s="177"/>
      <c r="D414" s="177"/>
      <c r="E414" s="177"/>
      <c r="F414" s="177"/>
      <c r="G414" s="178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171"/>
      <c r="S414" s="177"/>
      <c r="T414" s="177"/>
      <c r="U414" s="177"/>
      <c r="V414" s="177"/>
      <c r="W414" s="177"/>
      <c r="X414" s="177"/>
      <c r="Y414" s="177"/>
    </row>
    <row r="415">
      <c r="A415" s="177"/>
      <c r="B415" s="177"/>
      <c r="C415" s="177"/>
      <c r="D415" s="177"/>
      <c r="E415" s="177"/>
      <c r="F415" s="177"/>
      <c r="G415" s="178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171"/>
      <c r="S415" s="177"/>
      <c r="T415" s="177"/>
      <c r="U415" s="177"/>
      <c r="V415" s="177"/>
      <c r="W415" s="177"/>
      <c r="X415" s="177"/>
      <c r="Y415" s="177"/>
    </row>
    <row r="416">
      <c r="A416" s="177"/>
      <c r="B416" s="177"/>
      <c r="C416" s="177"/>
      <c r="D416" s="177"/>
      <c r="E416" s="177"/>
      <c r="F416" s="177"/>
      <c r="G416" s="178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171"/>
      <c r="S416" s="177"/>
      <c r="T416" s="177"/>
      <c r="U416" s="177"/>
      <c r="V416" s="177"/>
      <c r="W416" s="177"/>
      <c r="X416" s="177"/>
      <c r="Y416" s="177"/>
    </row>
    <row r="417">
      <c r="A417" s="177"/>
      <c r="B417" s="177"/>
      <c r="C417" s="177"/>
      <c r="D417" s="177"/>
      <c r="E417" s="177"/>
      <c r="F417" s="177"/>
      <c r="G417" s="178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171"/>
      <c r="S417" s="177"/>
      <c r="T417" s="177"/>
      <c r="U417" s="177"/>
      <c r="V417" s="177"/>
      <c r="W417" s="177"/>
      <c r="X417" s="177"/>
      <c r="Y417" s="177"/>
    </row>
    <row r="418">
      <c r="A418" s="177"/>
      <c r="B418" s="177"/>
      <c r="C418" s="177"/>
      <c r="D418" s="177"/>
      <c r="E418" s="177"/>
      <c r="F418" s="177"/>
      <c r="G418" s="178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171"/>
      <c r="S418" s="177"/>
      <c r="T418" s="177"/>
      <c r="U418" s="177"/>
      <c r="V418" s="177"/>
      <c r="W418" s="177"/>
      <c r="X418" s="177"/>
      <c r="Y418" s="177"/>
    </row>
    <row r="419">
      <c r="A419" s="177"/>
      <c r="B419" s="177"/>
      <c r="C419" s="177"/>
      <c r="D419" s="177"/>
      <c r="E419" s="177"/>
      <c r="F419" s="177"/>
      <c r="G419" s="178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171"/>
      <c r="S419" s="177"/>
      <c r="T419" s="177"/>
      <c r="U419" s="177"/>
      <c r="V419" s="177"/>
      <c r="W419" s="177"/>
      <c r="X419" s="177"/>
      <c r="Y419" s="177"/>
    </row>
    <row r="420">
      <c r="A420" s="177"/>
      <c r="B420" s="177"/>
      <c r="C420" s="177"/>
      <c r="D420" s="177"/>
      <c r="E420" s="177"/>
      <c r="F420" s="177"/>
      <c r="G420" s="178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171"/>
      <c r="S420" s="177"/>
      <c r="T420" s="177"/>
      <c r="U420" s="177"/>
      <c r="V420" s="177"/>
      <c r="W420" s="177"/>
      <c r="X420" s="177"/>
      <c r="Y420" s="177"/>
    </row>
    <row r="421">
      <c r="A421" s="177"/>
      <c r="B421" s="177"/>
      <c r="C421" s="177"/>
      <c r="D421" s="177"/>
      <c r="E421" s="177"/>
      <c r="F421" s="177"/>
      <c r="G421" s="178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171"/>
      <c r="S421" s="177"/>
      <c r="T421" s="177"/>
      <c r="U421" s="177"/>
      <c r="V421" s="177"/>
      <c r="W421" s="177"/>
      <c r="X421" s="177"/>
      <c r="Y421" s="177"/>
    </row>
    <row r="422">
      <c r="A422" s="177"/>
      <c r="B422" s="177"/>
      <c r="C422" s="177"/>
      <c r="D422" s="177"/>
      <c r="E422" s="177"/>
      <c r="F422" s="177"/>
      <c r="G422" s="178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171"/>
      <c r="S422" s="177"/>
      <c r="T422" s="177"/>
      <c r="U422" s="177"/>
      <c r="V422" s="177"/>
      <c r="W422" s="177"/>
      <c r="X422" s="177"/>
      <c r="Y422" s="177"/>
    </row>
    <row r="423">
      <c r="A423" s="177"/>
      <c r="B423" s="177"/>
      <c r="C423" s="177"/>
      <c r="D423" s="177"/>
      <c r="E423" s="177"/>
      <c r="F423" s="177"/>
      <c r="G423" s="178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171"/>
      <c r="S423" s="177"/>
      <c r="T423" s="177"/>
      <c r="U423" s="177"/>
      <c r="V423" s="177"/>
      <c r="W423" s="177"/>
      <c r="X423" s="177"/>
      <c r="Y423" s="177"/>
    </row>
    <row r="424">
      <c r="A424" s="177"/>
      <c r="B424" s="177"/>
      <c r="C424" s="177"/>
      <c r="D424" s="177"/>
      <c r="E424" s="177"/>
      <c r="F424" s="177"/>
      <c r="G424" s="178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171"/>
      <c r="S424" s="177"/>
      <c r="T424" s="177"/>
      <c r="U424" s="177"/>
      <c r="V424" s="177"/>
      <c r="W424" s="177"/>
      <c r="X424" s="177"/>
      <c r="Y424" s="177"/>
    </row>
    <row r="425">
      <c r="A425" s="177"/>
      <c r="B425" s="177"/>
      <c r="C425" s="177"/>
      <c r="D425" s="177"/>
      <c r="E425" s="177"/>
      <c r="F425" s="177"/>
      <c r="G425" s="178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171"/>
      <c r="S425" s="177"/>
      <c r="T425" s="177"/>
      <c r="U425" s="177"/>
      <c r="V425" s="177"/>
      <c r="W425" s="177"/>
      <c r="X425" s="177"/>
      <c r="Y425" s="177"/>
    </row>
    <row r="426">
      <c r="A426" s="177"/>
      <c r="B426" s="177"/>
      <c r="C426" s="177"/>
      <c r="D426" s="177"/>
      <c r="E426" s="177"/>
      <c r="F426" s="177"/>
      <c r="G426" s="178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171"/>
      <c r="S426" s="177"/>
      <c r="T426" s="177"/>
      <c r="U426" s="177"/>
      <c r="V426" s="177"/>
      <c r="W426" s="177"/>
      <c r="X426" s="177"/>
      <c r="Y426" s="177"/>
    </row>
    <row r="427">
      <c r="A427" s="177"/>
      <c r="B427" s="177"/>
      <c r="C427" s="177"/>
      <c r="D427" s="177"/>
      <c r="E427" s="177"/>
      <c r="F427" s="177"/>
      <c r="G427" s="178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171"/>
      <c r="S427" s="177"/>
      <c r="T427" s="177"/>
      <c r="U427" s="177"/>
      <c r="V427" s="177"/>
      <c r="W427" s="177"/>
      <c r="X427" s="177"/>
      <c r="Y427" s="177"/>
    </row>
    <row r="428">
      <c r="A428" s="177"/>
      <c r="B428" s="177"/>
      <c r="C428" s="177"/>
      <c r="D428" s="177"/>
      <c r="E428" s="177"/>
      <c r="F428" s="177"/>
      <c r="G428" s="178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171"/>
      <c r="S428" s="177"/>
      <c r="T428" s="177"/>
      <c r="U428" s="177"/>
      <c r="V428" s="177"/>
      <c r="W428" s="177"/>
      <c r="X428" s="177"/>
      <c r="Y428" s="177"/>
    </row>
    <row r="429">
      <c r="A429" s="177"/>
      <c r="B429" s="177"/>
      <c r="C429" s="177"/>
      <c r="D429" s="177"/>
      <c r="E429" s="177"/>
      <c r="F429" s="177"/>
      <c r="G429" s="178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171"/>
      <c r="S429" s="177"/>
      <c r="T429" s="177"/>
      <c r="U429" s="177"/>
      <c r="V429" s="177"/>
      <c r="W429" s="177"/>
      <c r="X429" s="177"/>
      <c r="Y429" s="177"/>
    </row>
    <row r="430">
      <c r="A430" s="177"/>
      <c r="B430" s="177"/>
      <c r="C430" s="177"/>
      <c r="D430" s="177"/>
      <c r="E430" s="177"/>
      <c r="F430" s="177"/>
      <c r="G430" s="178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171"/>
      <c r="S430" s="177"/>
      <c r="T430" s="177"/>
      <c r="U430" s="177"/>
      <c r="V430" s="177"/>
      <c r="W430" s="177"/>
      <c r="X430" s="177"/>
      <c r="Y430" s="177"/>
    </row>
    <row r="431">
      <c r="A431" s="177"/>
      <c r="B431" s="177"/>
      <c r="C431" s="177"/>
      <c r="D431" s="177"/>
      <c r="E431" s="177"/>
      <c r="F431" s="177"/>
      <c r="G431" s="178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171"/>
      <c r="S431" s="177"/>
      <c r="T431" s="177"/>
      <c r="U431" s="177"/>
      <c r="V431" s="177"/>
      <c r="W431" s="177"/>
      <c r="X431" s="177"/>
      <c r="Y431" s="177"/>
    </row>
    <row r="432">
      <c r="A432" s="177"/>
      <c r="B432" s="177"/>
      <c r="C432" s="177"/>
      <c r="D432" s="177"/>
      <c r="E432" s="177"/>
      <c r="F432" s="177"/>
      <c r="G432" s="178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171"/>
      <c r="S432" s="177"/>
      <c r="T432" s="177"/>
      <c r="U432" s="177"/>
      <c r="V432" s="177"/>
      <c r="W432" s="177"/>
      <c r="X432" s="177"/>
      <c r="Y432" s="177"/>
    </row>
    <row r="433">
      <c r="A433" s="177"/>
      <c r="B433" s="177"/>
      <c r="C433" s="177"/>
      <c r="D433" s="177"/>
      <c r="E433" s="177"/>
      <c r="F433" s="177"/>
      <c r="G433" s="178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171"/>
      <c r="S433" s="177"/>
      <c r="T433" s="177"/>
      <c r="U433" s="177"/>
      <c r="V433" s="177"/>
      <c r="W433" s="177"/>
      <c r="X433" s="177"/>
      <c r="Y433" s="177"/>
    </row>
    <row r="434">
      <c r="A434" s="177"/>
      <c r="B434" s="177"/>
      <c r="C434" s="177"/>
      <c r="D434" s="177"/>
      <c r="E434" s="177"/>
      <c r="F434" s="177"/>
      <c r="G434" s="178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171"/>
      <c r="S434" s="177"/>
      <c r="T434" s="177"/>
      <c r="U434" s="177"/>
      <c r="V434" s="177"/>
      <c r="W434" s="177"/>
      <c r="X434" s="177"/>
      <c r="Y434" s="177"/>
    </row>
    <row r="435">
      <c r="A435" s="177"/>
      <c r="B435" s="177"/>
      <c r="C435" s="177"/>
      <c r="D435" s="177"/>
      <c r="E435" s="177"/>
      <c r="F435" s="177"/>
      <c r="G435" s="178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171"/>
      <c r="S435" s="177"/>
      <c r="T435" s="177"/>
      <c r="U435" s="177"/>
      <c r="V435" s="177"/>
      <c r="W435" s="177"/>
      <c r="X435" s="177"/>
      <c r="Y435" s="177"/>
    </row>
    <row r="436">
      <c r="A436" s="177"/>
      <c r="B436" s="177"/>
      <c r="C436" s="177"/>
      <c r="D436" s="177"/>
      <c r="E436" s="177"/>
      <c r="F436" s="177"/>
      <c r="G436" s="178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171"/>
      <c r="S436" s="177"/>
      <c r="T436" s="177"/>
      <c r="U436" s="177"/>
      <c r="V436" s="177"/>
      <c r="W436" s="177"/>
      <c r="X436" s="177"/>
      <c r="Y436" s="177"/>
    </row>
    <row r="437">
      <c r="A437" s="177"/>
      <c r="B437" s="177"/>
      <c r="C437" s="177"/>
      <c r="D437" s="177"/>
      <c r="E437" s="177"/>
      <c r="F437" s="177"/>
      <c r="G437" s="178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171"/>
      <c r="S437" s="177"/>
      <c r="T437" s="177"/>
      <c r="U437" s="177"/>
      <c r="V437" s="177"/>
      <c r="W437" s="177"/>
      <c r="X437" s="177"/>
      <c r="Y437" s="177"/>
    </row>
    <row r="438">
      <c r="A438" s="177"/>
      <c r="B438" s="177"/>
      <c r="C438" s="177"/>
      <c r="D438" s="177"/>
      <c r="E438" s="177"/>
      <c r="F438" s="177"/>
      <c r="G438" s="178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171"/>
      <c r="S438" s="177"/>
      <c r="T438" s="177"/>
      <c r="U438" s="177"/>
      <c r="V438" s="177"/>
      <c r="W438" s="177"/>
      <c r="X438" s="177"/>
      <c r="Y438" s="177"/>
    </row>
    <row r="439">
      <c r="A439" s="177"/>
      <c r="B439" s="177"/>
      <c r="C439" s="177"/>
      <c r="D439" s="177"/>
      <c r="E439" s="177"/>
      <c r="F439" s="177"/>
      <c r="G439" s="178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171"/>
      <c r="S439" s="177"/>
      <c r="T439" s="177"/>
      <c r="U439" s="177"/>
      <c r="V439" s="177"/>
      <c r="W439" s="177"/>
      <c r="X439" s="177"/>
      <c r="Y439" s="177"/>
    </row>
    <row r="440">
      <c r="A440" s="177"/>
      <c r="B440" s="177"/>
      <c r="C440" s="177"/>
      <c r="D440" s="177"/>
      <c r="E440" s="177"/>
      <c r="F440" s="177"/>
      <c r="G440" s="178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171"/>
      <c r="S440" s="177"/>
      <c r="T440" s="177"/>
      <c r="U440" s="177"/>
      <c r="V440" s="177"/>
      <c r="W440" s="177"/>
      <c r="X440" s="177"/>
      <c r="Y440" s="177"/>
    </row>
    <row r="441">
      <c r="A441" s="177"/>
      <c r="B441" s="177"/>
      <c r="C441" s="177"/>
      <c r="D441" s="177"/>
      <c r="E441" s="177"/>
      <c r="F441" s="177"/>
      <c r="G441" s="178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171"/>
      <c r="S441" s="177"/>
      <c r="T441" s="177"/>
      <c r="U441" s="177"/>
      <c r="V441" s="177"/>
      <c r="W441" s="177"/>
      <c r="X441" s="177"/>
      <c r="Y441" s="177"/>
    </row>
    <row r="442">
      <c r="A442" s="177"/>
      <c r="B442" s="177"/>
      <c r="C442" s="177"/>
      <c r="D442" s="177"/>
      <c r="E442" s="177"/>
      <c r="F442" s="177"/>
      <c r="G442" s="178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171"/>
      <c r="S442" s="177"/>
      <c r="T442" s="177"/>
      <c r="U442" s="177"/>
      <c r="V442" s="177"/>
      <c r="W442" s="177"/>
      <c r="X442" s="177"/>
      <c r="Y442" s="177"/>
    </row>
    <row r="443">
      <c r="A443" s="177"/>
      <c r="B443" s="177"/>
      <c r="C443" s="177"/>
      <c r="D443" s="177"/>
      <c r="E443" s="177"/>
      <c r="F443" s="177"/>
      <c r="G443" s="178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171"/>
      <c r="S443" s="177"/>
      <c r="T443" s="177"/>
      <c r="U443" s="177"/>
      <c r="V443" s="177"/>
      <c r="W443" s="177"/>
      <c r="X443" s="177"/>
      <c r="Y443" s="177"/>
    </row>
    <row r="444">
      <c r="A444" s="177"/>
      <c r="B444" s="177"/>
      <c r="C444" s="177"/>
      <c r="D444" s="177"/>
      <c r="E444" s="177"/>
      <c r="F444" s="177"/>
      <c r="G444" s="178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171"/>
      <c r="S444" s="177"/>
      <c r="T444" s="177"/>
      <c r="U444" s="177"/>
      <c r="V444" s="177"/>
      <c r="W444" s="177"/>
      <c r="X444" s="177"/>
      <c r="Y444" s="177"/>
    </row>
    <row r="445">
      <c r="A445" s="177"/>
      <c r="B445" s="177"/>
      <c r="C445" s="177"/>
      <c r="D445" s="177"/>
      <c r="E445" s="177"/>
      <c r="F445" s="177"/>
      <c r="G445" s="178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171"/>
      <c r="S445" s="177"/>
      <c r="T445" s="177"/>
      <c r="U445" s="177"/>
      <c r="V445" s="177"/>
      <c r="W445" s="177"/>
      <c r="X445" s="177"/>
      <c r="Y445" s="177"/>
    </row>
    <row r="446">
      <c r="A446" s="177"/>
      <c r="B446" s="177"/>
      <c r="C446" s="177"/>
      <c r="D446" s="177"/>
      <c r="E446" s="177"/>
      <c r="F446" s="177"/>
      <c r="G446" s="178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171"/>
      <c r="S446" s="177"/>
      <c r="T446" s="177"/>
      <c r="U446" s="177"/>
      <c r="V446" s="177"/>
      <c r="W446" s="177"/>
      <c r="X446" s="177"/>
      <c r="Y446" s="177"/>
    </row>
    <row r="447">
      <c r="A447" s="177"/>
      <c r="B447" s="177"/>
      <c r="C447" s="177"/>
      <c r="D447" s="177"/>
      <c r="E447" s="177"/>
      <c r="F447" s="177"/>
      <c r="G447" s="178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171"/>
      <c r="S447" s="177"/>
      <c r="T447" s="177"/>
      <c r="U447" s="177"/>
      <c r="V447" s="177"/>
      <c r="W447" s="177"/>
      <c r="X447" s="177"/>
      <c r="Y447" s="177"/>
    </row>
    <row r="448">
      <c r="A448" s="177"/>
      <c r="B448" s="177"/>
      <c r="C448" s="177"/>
      <c r="D448" s="177"/>
      <c r="E448" s="177"/>
      <c r="F448" s="177"/>
      <c r="G448" s="178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171"/>
      <c r="S448" s="177"/>
      <c r="T448" s="177"/>
      <c r="U448" s="177"/>
      <c r="V448" s="177"/>
      <c r="W448" s="177"/>
      <c r="X448" s="177"/>
      <c r="Y448" s="177"/>
    </row>
    <row r="449">
      <c r="A449" s="177"/>
      <c r="B449" s="177"/>
      <c r="C449" s="177"/>
      <c r="D449" s="177"/>
      <c r="E449" s="177"/>
      <c r="F449" s="177"/>
      <c r="G449" s="178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171"/>
      <c r="S449" s="177"/>
      <c r="T449" s="177"/>
      <c r="U449" s="177"/>
      <c r="V449" s="177"/>
      <c r="W449" s="177"/>
      <c r="X449" s="177"/>
      <c r="Y449" s="177"/>
    </row>
    <row r="450">
      <c r="A450" s="177"/>
      <c r="B450" s="177"/>
      <c r="C450" s="177"/>
      <c r="D450" s="177"/>
      <c r="E450" s="177"/>
      <c r="F450" s="177"/>
      <c r="G450" s="178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171"/>
      <c r="S450" s="177"/>
      <c r="T450" s="177"/>
      <c r="U450" s="177"/>
      <c r="V450" s="177"/>
      <c r="W450" s="177"/>
      <c r="X450" s="177"/>
      <c r="Y450" s="177"/>
    </row>
    <row r="451">
      <c r="A451" s="177"/>
      <c r="B451" s="177"/>
      <c r="C451" s="177"/>
      <c r="D451" s="177"/>
      <c r="E451" s="177"/>
      <c r="F451" s="177"/>
      <c r="G451" s="178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171"/>
      <c r="S451" s="177"/>
      <c r="T451" s="177"/>
      <c r="U451" s="177"/>
      <c r="V451" s="177"/>
      <c r="W451" s="177"/>
      <c r="X451" s="177"/>
      <c r="Y451" s="177"/>
    </row>
    <row r="452">
      <c r="A452" s="177"/>
      <c r="B452" s="177"/>
      <c r="C452" s="177"/>
      <c r="D452" s="177"/>
      <c r="E452" s="177"/>
      <c r="F452" s="177"/>
      <c r="G452" s="178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171"/>
      <c r="S452" s="177"/>
      <c r="T452" s="177"/>
      <c r="U452" s="177"/>
      <c r="V452" s="177"/>
      <c r="W452" s="177"/>
      <c r="X452" s="177"/>
      <c r="Y452" s="177"/>
    </row>
    <row r="453">
      <c r="A453" s="177"/>
      <c r="B453" s="177"/>
      <c r="C453" s="177"/>
      <c r="D453" s="177"/>
      <c r="E453" s="177"/>
      <c r="F453" s="177"/>
      <c r="G453" s="178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171"/>
      <c r="S453" s="177"/>
      <c r="T453" s="177"/>
      <c r="U453" s="177"/>
      <c r="V453" s="177"/>
      <c r="W453" s="177"/>
      <c r="X453" s="177"/>
      <c r="Y453" s="177"/>
    </row>
    <row r="454">
      <c r="A454" s="177"/>
      <c r="B454" s="177"/>
      <c r="C454" s="177"/>
      <c r="D454" s="177"/>
      <c r="E454" s="177"/>
      <c r="F454" s="177"/>
      <c r="G454" s="178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171"/>
      <c r="S454" s="177"/>
      <c r="T454" s="177"/>
      <c r="U454" s="177"/>
      <c r="V454" s="177"/>
      <c r="W454" s="177"/>
      <c r="X454" s="177"/>
      <c r="Y454" s="177"/>
    </row>
    <row r="455">
      <c r="A455" s="177"/>
      <c r="B455" s="177"/>
      <c r="C455" s="177"/>
      <c r="D455" s="177"/>
      <c r="E455" s="177"/>
      <c r="F455" s="177"/>
      <c r="G455" s="178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171"/>
      <c r="S455" s="177"/>
      <c r="T455" s="177"/>
      <c r="U455" s="177"/>
      <c r="V455" s="177"/>
      <c r="W455" s="177"/>
      <c r="X455" s="177"/>
      <c r="Y455" s="177"/>
    </row>
    <row r="456">
      <c r="A456" s="177"/>
      <c r="B456" s="177"/>
      <c r="C456" s="177"/>
      <c r="D456" s="177"/>
      <c r="E456" s="177"/>
      <c r="F456" s="177"/>
      <c r="G456" s="178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171"/>
      <c r="S456" s="177"/>
      <c r="T456" s="177"/>
      <c r="U456" s="177"/>
      <c r="V456" s="177"/>
      <c r="W456" s="177"/>
      <c r="X456" s="177"/>
      <c r="Y456" s="177"/>
    </row>
    <row r="457">
      <c r="A457" s="177"/>
      <c r="B457" s="177"/>
      <c r="C457" s="177"/>
      <c r="D457" s="177"/>
      <c r="E457" s="177"/>
      <c r="F457" s="177"/>
      <c r="G457" s="178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171"/>
      <c r="S457" s="177"/>
      <c r="T457" s="177"/>
      <c r="U457" s="177"/>
      <c r="V457" s="177"/>
      <c r="W457" s="177"/>
      <c r="X457" s="177"/>
      <c r="Y457" s="177"/>
    </row>
    <row r="458">
      <c r="A458" s="177"/>
      <c r="B458" s="177"/>
      <c r="C458" s="177"/>
      <c r="D458" s="177"/>
      <c r="E458" s="177"/>
      <c r="F458" s="177"/>
      <c r="G458" s="178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171"/>
      <c r="S458" s="177"/>
      <c r="T458" s="177"/>
      <c r="U458" s="177"/>
      <c r="V458" s="177"/>
      <c r="W458" s="177"/>
      <c r="X458" s="177"/>
      <c r="Y458" s="177"/>
    </row>
    <row r="459">
      <c r="A459" s="177"/>
      <c r="B459" s="177"/>
      <c r="C459" s="177"/>
      <c r="D459" s="177"/>
      <c r="E459" s="177"/>
      <c r="F459" s="177"/>
      <c r="G459" s="178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171"/>
      <c r="S459" s="177"/>
      <c r="T459" s="177"/>
      <c r="U459" s="177"/>
      <c r="V459" s="177"/>
      <c r="W459" s="177"/>
      <c r="X459" s="177"/>
      <c r="Y459" s="177"/>
    </row>
    <row r="460">
      <c r="A460" s="177"/>
      <c r="B460" s="177"/>
      <c r="C460" s="177"/>
      <c r="D460" s="177"/>
      <c r="E460" s="177"/>
      <c r="F460" s="177"/>
      <c r="G460" s="178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171"/>
      <c r="S460" s="177"/>
      <c r="T460" s="177"/>
      <c r="U460" s="177"/>
      <c r="V460" s="177"/>
      <c r="W460" s="177"/>
      <c r="X460" s="177"/>
      <c r="Y460" s="177"/>
    </row>
    <row r="461">
      <c r="A461" s="177"/>
      <c r="B461" s="177"/>
      <c r="C461" s="177"/>
      <c r="D461" s="177"/>
      <c r="E461" s="177"/>
      <c r="F461" s="177"/>
      <c r="G461" s="178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171"/>
      <c r="S461" s="177"/>
      <c r="T461" s="177"/>
      <c r="U461" s="177"/>
      <c r="V461" s="177"/>
      <c r="W461" s="177"/>
      <c r="X461" s="177"/>
      <c r="Y461" s="177"/>
    </row>
    <row r="462">
      <c r="A462" s="177"/>
      <c r="B462" s="177"/>
      <c r="C462" s="177"/>
      <c r="D462" s="177"/>
      <c r="E462" s="177"/>
      <c r="F462" s="177"/>
      <c r="G462" s="178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171"/>
      <c r="S462" s="177"/>
      <c r="T462" s="177"/>
      <c r="U462" s="177"/>
      <c r="V462" s="177"/>
      <c r="W462" s="177"/>
      <c r="X462" s="177"/>
      <c r="Y462" s="177"/>
    </row>
    <row r="463">
      <c r="A463" s="177"/>
      <c r="B463" s="177"/>
      <c r="C463" s="177"/>
      <c r="D463" s="177"/>
      <c r="E463" s="177"/>
      <c r="F463" s="177"/>
      <c r="G463" s="178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171"/>
      <c r="S463" s="177"/>
      <c r="T463" s="177"/>
      <c r="U463" s="177"/>
      <c r="V463" s="177"/>
      <c r="W463" s="177"/>
      <c r="X463" s="177"/>
      <c r="Y463" s="177"/>
    </row>
    <row r="464">
      <c r="A464" s="177"/>
      <c r="B464" s="177"/>
      <c r="C464" s="177"/>
      <c r="D464" s="177"/>
      <c r="E464" s="177"/>
      <c r="F464" s="177"/>
      <c r="G464" s="178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171"/>
      <c r="S464" s="177"/>
      <c r="T464" s="177"/>
      <c r="U464" s="177"/>
      <c r="V464" s="177"/>
      <c r="W464" s="177"/>
      <c r="X464" s="177"/>
      <c r="Y464" s="177"/>
    </row>
    <row r="465">
      <c r="A465" s="177"/>
      <c r="B465" s="177"/>
      <c r="C465" s="177"/>
      <c r="D465" s="177"/>
      <c r="E465" s="177"/>
      <c r="F465" s="177"/>
      <c r="G465" s="178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171"/>
      <c r="S465" s="177"/>
      <c r="T465" s="177"/>
      <c r="U465" s="177"/>
      <c r="V465" s="177"/>
      <c r="W465" s="177"/>
      <c r="X465" s="177"/>
      <c r="Y465" s="177"/>
    </row>
    <row r="466">
      <c r="A466" s="177"/>
      <c r="B466" s="177"/>
      <c r="C466" s="177"/>
      <c r="D466" s="177"/>
      <c r="E466" s="177"/>
      <c r="F466" s="177"/>
      <c r="G466" s="178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171"/>
      <c r="S466" s="177"/>
      <c r="T466" s="177"/>
      <c r="U466" s="177"/>
      <c r="V466" s="177"/>
      <c r="W466" s="177"/>
      <c r="X466" s="177"/>
      <c r="Y466" s="177"/>
    </row>
    <row r="467">
      <c r="A467" s="177"/>
      <c r="B467" s="177"/>
      <c r="C467" s="177"/>
      <c r="D467" s="177"/>
      <c r="E467" s="177"/>
      <c r="F467" s="177"/>
      <c r="G467" s="178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171"/>
      <c r="S467" s="177"/>
      <c r="T467" s="177"/>
      <c r="U467" s="177"/>
      <c r="V467" s="177"/>
      <c r="W467" s="177"/>
      <c r="X467" s="177"/>
      <c r="Y467" s="177"/>
    </row>
    <row r="468">
      <c r="A468" s="177"/>
      <c r="B468" s="177"/>
      <c r="C468" s="177"/>
      <c r="D468" s="177"/>
      <c r="E468" s="177"/>
      <c r="F468" s="177"/>
      <c r="G468" s="178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171"/>
      <c r="S468" s="177"/>
      <c r="T468" s="177"/>
      <c r="U468" s="177"/>
      <c r="V468" s="177"/>
      <c r="W468" s="177"/>
      <c r="X468" s="177"/>
      <c r="Y468" s="177"/>
    </row>
    <row r="469">
      <c r="A469" s="177"/>
      <c r="B469" s="177"/>
      <c r="C469" s="177"/>
      <c r="D469" s="177"/>
      <c r="E469" s="177"/>
      <c r="F469" s="177"/>
      <c r="G469" s="178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171"/>
      <c r="S469" s="177"/>
      <c r="T469" s="177"/>
      <c r="U469" s="177"/>
      <c r="V469" s="177"/>
      <c r="W469" s="177"/>
      <c r="X469" s="177"/>
      <c r="Y469" s="177"/>
    </row>
    <row r="470">
      <c r="A470" s="177"/>
      <c r="B470" s="177"/>
      <c r="C470" s="177"/>
      <c r="D470" s="177"/>
      <c r="E470" s="177"/>
      <c r="F470" s="177"/>
      <c r="G470" s="178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171"/>
      <c r="S470" s="177"/>
      <c r="T470" s="177"/>
      <c r="U470" s="177"/>
      <c r="V470" s="177"/>
      <c r="W470" s="177"/>
      <c r="X470" s="177"/>
      <c r="Y470" s="177"/>
    </row>
    <row r="471">
      <c r="A471" s="177"/>
      <c r="B471" s="177"/>
      <c r="C471" s="177"/>
      <c r="D471" s="177"/>
      <c r="E471" s="177"/>
      <c r="F471" s="177"/>
      <c r="G471" s="178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171"/>
      <c r="S471" s="177"/>
      <c r="T471" s="177"/>
      <c r="U471" s="177"/>
      <c r="V471" s="177"/>
      <c r="W471" s="177"/>
      <c r="X471" s="177"/>
      <c r="Y471" s="177"/>
    </row>
    <row r="472">
      <c r="A472" s="177"/>
      <c r="B472" s="177"/>
      <c r="C472" s="177"/>
      <c r="D472" s="177"/>
      <c r="E472" s="177"/>
      <c r="F472" s="177"/>
      <c r="G472" s="178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171"/>
      <c r="S472" s="177"/>
      <c r="T472" s="177"/>
      <c r="U472" s="177"/>
      <c r="V472" s="177"/>
      <c r="W472" s="177"/>
      <c r="X472" s="177"/>
      <c r="Y472" s="177"/>
    </row>
    <row r="473">
      <c r="A473" s="177"/>
      <c r="B473" s="177"/>
      <c r="C473" s="177"/>
      <c r="D473" s="177"/>
      <c r="E473" s="177"/>
      <c r="F473" s="177"/>
      <c r="G473" s="178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171"/>
      <c r="S473" s="177"/>
      <c r="T473" s="177"/>
      <c r="U473" s="177"/>
      <c r="V473" s="177"/>
      <c r="W473" s="177"/>
      <c r="X473" s="177"/>
      <c r="Y473" s="177"/>
    </row>
    <row r="474">
      <c r="A474" s="177"/>
      <c r="B474" s="177"/>
      <c r="C474" s="177"/>
      <c r="D474" s="177"/>
      <c r="E474" s="177"/>
      <c r="F474" s="177"/>
      <c r="G474" s="178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171"/>
      <c r="S474" s="177"/>
      <c r="T474" s="177"/>
      <c r="U474" s="177"/>
      <c r="V474" s="177"/>
      <c r="W474" s="177"/>
      <c r="X474" s="177"/>
      <c r="Y474" s="177"/>
    </row>
    <row r="475">
      <c r="A475" s="177"/>
      <c r="B475" s="177"/>
      <c r="C475" s="177"/>
      <c r="D475" s="177"/>
      <c r="E475" s="177"/>
      <c r="F475" s="177"/>
      <c r="G475" s="178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171"/>
      <c r="S475" s="177"/>
      <c r="T475" s="177"/>
      <c r="U475" s="177"/>
      <c r="V475" s="177"/>
      <c r="W475" s="177"/>
      <c r="X475" s="177"/>
      <c r="Y475" s="177"/>
    </row>
    <row r="476">
      <c r="A476" s="177"/>
      <c r="B476" s="177"/>
      <c r="C476" s="177"/>
      <c r="D476" s="177"/>
      <c r="E476" s="177"/>
      <c r="F476" s="177"/>
      <c r="G476" s="178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171"/>
      <c r="S476" s="177"/>
      <c r="T476" s="177"/>
      <c r="U476" s="177"/>
      <c r="V476" s="177"/>
      <c r="W476" s="177"/>
      <c r="X476" s="177"/>
      <c r="Y476" s="177"/>
    </row>
    <row r="477">
      <c r="A477" s="177"/>
      <c r="B477" s="177"/>
      <c r="C477" s="177"/>
      <c r="D477" s="177"/>
      <c r="E477" s="177"/>
      <c r="F477" s="177"/>
      <c r="G477" s="178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171"/>
      <c r="S477" s="177"/>
      <c r="T477" s="177"/>
      <c r="U477" s="177"/>
      <c r="V477" s="177"/>
      <c r="W477" s="177"/>
      <c r="X477" s="177"/>
      <c r="Y477" s="177"/>
    </row>
    <row r="478">
      <c r="A478" s="177"/>
      <c r="B478" s="177"/>
      <c r="C478" s="177"/>
      <c r="D478" s="177"/>
      <c r="E478" s="177"/>
      <c r="F478" s="177"/>
      <c r="G478" s="178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171"/>
      <c r="S478" s="177"/>
      <c r="T478" s="177"/>
      <c r="U478" s="177"/>
      <c r="V478" s="177"/>
      <c r="W478" s="177"/>
      <c r="X478" s="177"/>
      <c r="Y478" s="177"/>
    </row>
    <row r="479">
      <c r="A479" s="177"/>
      <c r="B479" s="177"/>
      <c r="C479" s="177"/>
      <c r="D479" s="177"/>
      <c r="E479" s="177"/>
      <c r="F479" s="177"/>
      <c r="G479" s="178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171"/>
      <c r="S479" s="177"/>
      <c r="T479" s="177"/>
      <c r="U479" s="177"/>
      <c r="V479" s="177"/>
      <c r="W479" s="177"/>
      <c r="X479" s="177"/>
      <c r="Y479" s="177"/>
    </row>
    <row r="480">
      <c r="A480" s="177"/>
      <c r="B480" s="177"/>
      <c r="C480" s="177"/>
      <c r="D480" s="177"/>
      <c r="E480" s="177"/>
      <c r="F480" s="177"/>
      <c r="G480" s="178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171"/>
      <c r="S480" s="177"/>
      <c r="T480" s="177"/>
      <c r="U480" s="177"/>
      <c r="V480" s="177"/>
      <c r="W480" s="177"/>
      <c r="X480" s="177"/>
      <c r="Y480" s="177"/>
    </row>
    <row r="481">
      <c r="A481" s="177"/>
      <c r="B481" s="177"/>
      <c r="C481" s="177"/>
      <c r="D481" s="177"/>
      <c r="E481" s="177"/>
      <c r="F481" s="177"/>
      <c r="G481" s="178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171"/>
      <c r="S481" s="177"/>
      <c r="T481" s="177"/>
      <c r="U481" s="177"/>
      <c r="V481" s="177"/>
      <c r="W481" s="177"/>
      <c r="X481" s="177"/>
      <c r="Y481" s="177"/>
    </row>
    <row r="482">
      <c r="A482" s="177"/>
      <c r="B482" s="177"/>
      <c r="C482" s="177"/>
      <c r="D482" s="177"/>
      <c r="E482" s="177"/>
      <c r="F482" s="177"/>
      <c r="G482" s="178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171"/>
      <c r="S482" s="177"/>
      <c r="T482" s="177"/>
      <c r="U482" s="177"/>
      <c r="V482" s="177"/>
      <c r="W482" s="177"/>
      <c r="X482" s="177"/>
      <c r="Y482" s="177"/>
    </row>
    <row r="483">
      <c r="A483" s="177"/>
      <c r="B483" s="177"/>
      <c r="C483" s="177"/>
      <c r="D483" s="177"/>
      <c r="E483" s="177"/>
      <c r="F483" s="177"/>
      <c r="G483" s="178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171"/>
      <c r="S483" s="177"/>
      <c r="T483" s="177"/>
      <c r="U483" s="177"/>
      <c r="V483" s="177"/>
      <c r="W483" s="177"/>
      <c r="X483" s="177"/>
      <c r="Y483" s="177"/>
    </row>
    <row r="484">
      <c r="A484" s="177"/>
      <c r="B484" s="177"/>
      <c r="C484" s="177"/>
      <c r="D484" s="177"/>
      <c r="E484" s="177"/>
      <c r="F484" s="177"/>
      <c r="G484" s="178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171"/>
      <c r="S484" s="177"/>
      <c r="T484" s="177"/>
      <c r="U484" s="177"/>
      <c r="V484" s="177"/>
      <c r="W484" s="177"/>
      <c r="X484" s="177"/>
      <c r="Y484" s="177"/>
    </row>
    <row r="485">
      <c r="A485" s="177"/>
      <c r="B485" s="177"/>
      <c r="C485" s="177"/>
      <c r="D485" s="177"/>
      <c r="E485" s="177"/>
      <c r="F485" s="177"/>
      <c r="G485" s="178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171"/>
      <c r="S485" s="177"/>
      <c r="T485" s="177"/>
      <c r="U485" s="177"/>
      <c r="V485" s="177"/>
      <c r="W485" s="177"/>
      <c r="X485" s="177"/>
      <c r="Y485" s="177"/>
    </row>
    <row r="486">
      <c r="A486" s="177"/>
      <c r="B486" s="177"/>
      <c r="C486" s="177"/>
      <c r="D486" s="177"/>
      <c r="E486" s="177"/>
      <c r="F486" s="177"/>
      <c r="G486" s="178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171"/>
      <c r="S486" s="177"/>
      <c r="T486" s="177"/>
      <c r="U486" s="177"/>
      <c r="V486" s="177"/>
      <c r="W486" s="177"/>
      <c r="X486" s="177"/>
      <c r="Y486" s="177"/>
    </row>
    <row r="487">
      <c r="A487" s="177"/>
      <c r="B487" s="177"/>
      <c r="C487" s="177"/>
      <c r="D487" s="177"/>
      <c r="E487" s="177"/>
      <c r="F487" s="177"/>
      <c r="G487" s="178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171"/>
      <c r="S487" s="177"/>
      <c r="T487" s="177"/>
      <c r="U487" s="177"/>
      <c r="V487" s="177"/>
      <c r="W487" s="177"/>
      <c r="X487" s="177"/>
      <c r="Y487" s="177"/>
    </row>
    <row r="488">
      <c r="A488" s="177"/>
      <c r="B488" s="177"/>
      <c r="C488" s="177"/>
      <c r="D488" s="177"/>
      <c r="E488" s="177"/>
      <c r="F488" s="177"/>
      <c r="G488" s="178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171"/>
      <c r="S488" s="177"/>
      <c r="T488" s="177"/>
      <c r="U488" s="177"/>
      <c r="V488" s="177"/>
      <c r="W488" s="177"/>
      <c r="X488" s="177"/>
      <c r="Y488" s="177"/>
    </row>
    <row r="489">
      <c r="A489" s="177"/>
      <c r="B489" s="177"/>
      <c r="C489" s="177"/>
      <c r="D489" s="177"/>
      <c r="E489" s="177"/>
      <c r="F489" s="177"/>
      <c r="G489" s="178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171"/>
      <c r="S489" s="177"/>
      <c r="T489" s="177"/>
      <c r="U489" s="177"/>
      <c r="V489" s="177"/>
      <c r="W489" s="177"/>
      <c r="X489" s="177"/>
      <c r="Y489" s="177"/>
    </row>
    <row r="490">
      <c r="A490" s="177"/>
      <c r="B490" s="177"/>
      <c r="C490" s="177"/>
      <c r="D490" s="177"/>
      <c r="E490" s="177"/>
      <c r="F490" s="177"/>
      <c r="G490" s="178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171"/>
      <c r="S490" s="177"/>
      <c r="T490" s="177"/>
      <c r="U490" s="177"/>
      <c r="V490" s="177"/>
      <c r="W490" s="177"/>
      <c r="X490" s="177"/>
      <c r="Y490" s="177"/>
    </row>
    <row r="491">
      <c r="A491" s="177"/>
      <c r="B491" s="177"/>
      <c r="C491" s="177"/>
      <c r="D491" s="177"/>
      <c r="E491" s="177"/>
      <c r="F491" s="177"/>
      <c r="G491" s="178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171"/>
      <c r="S491" s="177"/>
      <c r="T491" s="177"/>
      <c r="U491" s="177"/>
      <c r="V491" s="177"/>
      <c r="W491" s="177"/>
      <c r="X491" s="177"/>
      <c r="Y491" s="177"/>
    </row>
    <row r="492">
      <c r="A492" s="177"/>
      <c r="B492" s="177"/>
      <c r="C492" s="177"/>
      <c r="D492" s="177"/>
      <c r="E492" s="177"/>
      <c r="F492" s="177"/>
      <c r="G492" s="178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171"/>
      <c r="S492" s="177"/>
      <c r="T492" s="177"/>
      <c r="U492" s="177"/>
      <c r="V492" s="177"/>
      <c r="W492" s="177"/>
      <c r="X492" s="177"/>
      <c r="Y492" s="177"/>
    </row>
    <row r="493">
      <c r="A493" s="177"/>
      <c r="B493" s="177"/>
      <c r="C493" s="177"/>
      <c r="D493" s="177"/>
      <c r="E493" s="177"/>
      <c r="F493" s="177"/>
      <c r="G493" s="178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171"/>
      <c r="S493" s="177"/>
      <c r="T493" s="177"/>
      <c r="U493" s="177"/>
      <c r="V493" s="177"/>
      <c r="W493" s="177"/>
      <c r="X493" s="177"/>
      <c r="Y493" s="177"/>
    </row>
    <row r="494">
      <c r="A494" s="177"/>
      <c r="B494" s="177"/>
      <c r="C494" s="177"/>
      <c r="D494" s="177"/>
      <c r="E494" s="177"/>
      <c r="F494" s="177"/>
      <c r="G494" s="178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171"/>
      <c r="S494" s="177"/>
      <c r="T494" s="177"/>
      <c r="U494" s="177"/>
      <c r="V494" s="177"/>
      <c r="W494" s="177"/>
      <c r="X494" s="177"/>
      <c r="Y494" s="177"/>
    </row>
    <row r="495">
      <c r="A495" s="177"/>
      <c r="B495" s="177"/>
      <c r="C495" s="177"/>
      <c r="D495" s="177"/>
      <c r="E495" s="177"/>
      <c r="F495" s="177"/>
      <c r="G495" s="178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171"/>
      <c r="S495" s="177"/>
      <c r="T495" s="177"/>
      <c r="U495" s="177"/>
      <c r="V495" s="177"/>
      <c r="W495" s="177"/>
      <c r="X495" s="177"/>
      <c r="Y495" s="177"/>
    </row>
    <row r="496">
      <c r="A496" s="177"/>
      <c r="B496" s="177"/>
      <c r="C496" s="177"/>
      <c r="D496" s="177"/>
      <c r="E496" s="177"/>
      <c r="F496" s="177"/>
      <c r="G496" s="178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171"/>
      <c r="S496" s="177"/>
      <c r="T496" s="177"/>
      <c r="U496" s="177"/>
      <c r="V496" s="177"/>
      <c r="W496" s="177"/>
      <c r="X496" s="177"/>
      <c r="Y496" s="177"/>
    </row>
    <row r="497">
      <c r="A497" s="177"/>
      <c r="B497" s="177"/>
      <c r="C497" s="177"/>
      <c r="D497" s="177"/>
      <c r="E497" s="177"/>
      <c r="F497" s="177"/>
      <c r="G497" s="178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171"/>
      <c r="S497" s="177"/>
      <c r="T497" s="177"/>
      <c r="U497" s="177"/>
      <c r="V497" s="177"/>
      <c r="W497" s="177"/>
      <c r="X497" s="177"/>
      <c r="Y497" s="177"/>
    </row>
    <row r="498">
      <c r="A498" s="177"/>
      <c r="B498" s="177"/>
      <c r="C498" s="177"/>
      <c r="D498" s="177"/>
      <c r="E498" s="177"/>
      <c r="F498" s="177"/>
      <c r="G498" s="178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171"/>
      <c r="S498" s="177"/>
      <c r="T498" s="177"/>
      <c r="U498" s="177"/>
      <c r="V498" s="177"/>
      <c r="W498" s="177"/>
      <c r="X498" s="177"/>
      <c r="Y498" s="177"/>
    </row>
    <row r="499">
      <c r="A499" s="177"/>
      <c r="B499" s="177"/>
      <c r="C499" s="177"/>
      <c r="D499" s="177"/>
      <c r="E499" s="177"/>
      <c r="F499" s="177"/>
      <c r="G499" s="178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171"/>
      <c r="S499" s="177"/>
      <c r="T499" s="177"/>
      <c r="U499" s="177"/>
      <c r="V499" s="177"/>
      <c r="W499" s="177"/>
      <c r="X499" s="177"/>
      <c r="Y499" s="177"/>
    </row>
    <row r="500">
      <c r="A500" s="177"/>
      <c r="B500" s="177"/>
      <c r="C500" s="177"/>
      <c r="D500" s="177"/>
      <c r="E500" s="177"/>
      <c r="F500" s="177"/>
      <c r="G500" s="178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171"/>
      <c r="S500" s="177"/>
      <c r="T500" s="177"/>
      <c r="U500" s="177"/>
      <c r="V500" s="177"/>
      <c r="W500" s="177"/>
      <c r="X500" s="177"/>
      <c r="Y500" s="177"/>
    </row>
    <row r="501">
      <c r="A501" s="177"/>
      <c r="B501" s="177"/>
      <c r="C501" s="177"/>
      <c r="D501" s="177"/>
      <c r="E501" s="177"/>
      <c r="F501" s="177"/>
      <c r="G501" s="178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171"/>
      <c r="S501" s="177"/>
      <c r="T501" s="177"/>
      <c r="U501" s="177"/>
      <c r="V501" s="177"/>
      <c r="W501" s="177"/>
      <c r="X501" s="177"/>
      <c r="Y501" s="177"/>
    </row>
    <row r="502">
      <c r="A502" s="177"/>
      <c r="B502" s="177"/>
      <c r="C502" s="177"/>
      <c r="D502" s="177"/>
      <c r="E502" s="177"/>
      <c r="F502" s="177"/>
      <c r="G502" s="178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171"/>
      <c r="S502" s="177"/>
      <c r="T502" s="177"/>
      <c r="U502" s="177"/>
      <c r="V502" s="177"/>
      <c r="W502" s="177"/>
      <c r="X502" s="177"/>
      <c r="Y502" s="177"/>
    </row>
    <row r="503">
      <c r="A503" s="177"/>
      <c r="B503" s="177"/>
      <c r="C503" s="177"/>
      <c r="D503" s="177"/>
      <c r="E503" s="177"/>
      <c r="F503" s="177"/>
      <c r="G503" s="178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171"/>
      <c r="S503" s="177"/>
      <c r="T503" s="177"/>
      <c r="U503" s="177"/>
      <c r="V503" s="177"/>
      <c r="W503" s="177"/>
      <c r="X503" s="177"/>
      <c r="Y503" s="177"/>
    </row>
    <row r="504">
      <c r="A504" s="177"/>
      <c r="B504" s="177"/>
      <c r="C504" s="177"/>
      <c r="D504" s="177"/>
      <c r="E504" s="177"/>
      <c r="F504" s="177"/>
      <c r="G504" s="178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171"/>
      <c r="S504" s="177"/>
      <c r="T504" s="177"/>
      <c r="U504" s="177"/>
      <c r="V504" s="177"/>
      <c r="W504" s="177"/>
      <c r="X504" s="177"/>
      <c r="Y504" s="177"/>
    </row>
    <row r="505">
      <c r="A505" s="177"/>
      <c r="B505" s="177"/>
      <c r="C505" s="177"/>
      <c r="D505" s="177"/>
      <c r="E505" s="177"/>
      <c r="F505" s="177"/>
      <c r="G505" s="178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171"/>
      <c r="S505" s="177"/>
      <c r="T505" s="177"/>
      <c r="U505" s="177"/>
      <c r="V505" s="177"/>
      <c r="W505" s="177"/>
      <c r="X505" s="177"/>
      <c r="Y505" s="177"/>
    </row>
    <row r="506">
      <c r="A506" s="177"/>
      <c r="B506" s="177"/>
      <c r="C506" s="177"/>
      <c r="D506" s="177"/>
      <c r="E506" s="177"/>
      <c r="F506" s="177"/>
      <c r="G506" s="178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171"/>
      <c r="S506" s="177"/>
      <c r="T506" s="177"/>
      <c r="U506" s="177"/>
      <c r="V506" s="177"/>
      <c r="W506" s="177"/>
      <c r="X506" s="177"/>
      <c r="Y506" s="177"/>
    </row>
    <row r="507">
      <c r="A507" s="177"/>
      <c r="B507" s="177"/>
      <c r="C507" s="177"/>
      <c r="D507" s="177"/>
      <c r="E507" s="177"/>
      <c r="F507" s="177"/>
      <c r="G507" s="178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171"/>
      <c r="S507" s="177"/>
      <c r="T507" s="177"/>
      <c r="U507" s="177"/>
      <c r="V507" s="177"/>
      <c r="W507" s="177"/>
      <c r="X507" s="177"/>
      <c r="Y507" s="177"/>
    </row>
    <row r="508">
      <c r="A508" s="177"/>
      <c r="B508" s="177"/>
      <c r="C508" s="177"/>
      <c r="D508" s="177"/>
      <c r="E508" s="177"/>
      <c r="F508" s="177"/>
      <c r="G508" s="178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171"/>
      <c r="S508" s="177"/>
      <c r="T508" s="177"/>
      <c r="U508" s="177"/>
      <c r="V508" s="177"/>
      <c r="W508" s="177"/>
      <c r="X508" s="177"/>
      <c r="Y508" s="177"/>
    </row>
    <row r="509">
      <c r="A509" s="177"/>
      <c r="B509" s="177"/>
      <c r="C509" s="177"/>
      <c r="D509" s="177"/>
      <c r="E509" s="177"/>
      <c r="F509" s="177"/>
      <c r="G509" s="178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171"/>
      <c r="S509" s="177"/>
      <c r="T509" s="177"/>
      <c r="U509" s="177"/>
      <c r="V509" s="177"/>
      <c r="W509" s="177"/>
      <c r="X509" s="177"/>
      <c r="Y509" s="177"/>
    </row>
    <row r="510">
      <c r="A510" s="177"/>
      <c r="B510" s="177"/>
      <c r="C510" s="177"/>
      <c r="D510" s="177"/>
      <c r="E510" s="177"/>
      <c r="F510" s="177"/>
      <c r="G510" s="178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171"/>
      <c r="S510" s="177"/>
      <c r="T510" s="177"/>
      <c r="U510" s="177"/>
      <c r="V510" s="177"/>
      <c r="W510" s="177"/>
      <c r="X510" s="177"/>
      <c r="Y510" s="177"/>
    </row>
    <row r="511">
      <c r="A511" s="177"/>
      <c r="B511" s="177"/>
      <c r="C511" s="177"/>
      <c r="D511" s="177"/>
      <c r="E511" s="177"/>
      <c r="F511" s="177"/>
      <c r="G511" s="178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171"/>
      <c r="S511" s="177"/>
      <c r="T511" s="177"/>
      <c r="U511" s="177"/>
      <c r="V511" s="177"/>
      <c r="W511" s="177"/>
      <c r="X511" s="177"/>
      <c r="Y511" s="177"/>
    </row>
    <row r="512">
      <c r="A512" s="177"/>
      <c r="B512" s="177"/>
      <c r="C512" s="177"/>
      <c r="D512" s="177"/>
      <c r="E512" s="177"/>
      <c r="F512" s="177"/>
      <c r="G512" s="178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171"/>
      <c r="S512" s="177"/>
      <c r="T512" s="177"/>
      <c r="U512" s="177"/>
      <c r="V512" s="177"/>
      <c r="W512" s="177"/>
      <c r="X512" s="177"/>
      <c r="Y512" s="177"/>
    </row>
    <row r="513">
      <c r="A513" s="177"/>
      <c r="B513" s="177"/>
      <c r="C513" s="177"/>
      <c r="D513" s="177"/>
      <c r="E513" s="177"/>
      <c r="F513" s="177"/>
      <c r="G513" s="178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171"/>
      <c r="S513" s="177"/>
      <c r="T513" s="177"/>
      <c r="U513" s="177"/>
      <c r="V513" s="177"/>
      <c r="W513" s="177"/>
      <c r="X513" s="177"/>
      <c r="Y513" s="177"/>
    </row>
    <row r="514">
      <c r="A514" s="177"/>
      <c r="B514" s="177"/>
      <c r="C514" s="177"/>
      <c r="D514" s="177"/>
      <c r="E514" s="177"/>
      <c r="F514" s="177"/>
      <c r="G514" s="178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171"/>
      <c r="S514" s="177"/>
      <c r="T514" s="177"/>
      <c r="U514" s="177"/>
      <c r="V514" s="177"/>
      <c r="W514" s="177"/>
      <c r="X514" s="177"/>
      <c r="Y514" s="177"/>
    </row>
    <row r="515">
      <c r="A515" s="177"/>
      <c r="B515" s="177"/>
      <c r="C515" s="177"/>
      <c r="D515" s="177"/>
      <c r="E515" s="177"/>
      <c r="F515" s="177"/>
      <c r="G515" s="178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171"/>
      <c r="S515" s="177"/>
      <c r="T515" s="177"/>
      <c r="U515" s="177"/>
      <c r="V515" s="177"/>
      <c r="W515" s="177"/>
      <c r="X515" s="177"/>
      <c r="Y515" s="177"/>
    </row>
    <row r="516">
      <c r="A516" s="177"/>
      <c r="B516" s="177"/>
      <c r="C516" s="177"/>
      <c r="D516" s="177"/>
      <c r="E516" s="177"/>
      <c r="F516" s="177"/>
      <c r="G516" s="178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171"/>
      <c r="S516" s="177"/>
      <c r="T516" s="177"/>
      <c r="U516" s="177"/>
      <c r="V516" s="177"/>
      <c r="W516" s="177"/>
      <c r="X516" s="177"/>
      <c r="Y516" s="177"/>
    </row>
    <row r="517">
      <c r="A517" s="177"/>
      <c r="B517" s="177"/>
      <c r="C517" s="177"/>
      <c r="D517" s="177"/>
      <c r="E517" s="177"/>
      <c r="F517" s="177"/>
      <c r="G517" s="178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171"/>
      <c r="S517" s="177"/>
      <c r="T517" s="177"/>
      <c r="U517" s="177"/>
      <c r="V517" s="177"/>
      <c r="W517" s="177"/>
      <c r="X517" s="177"/>
      <c r="Y517" s="177"/>
    </row>
    <row r="518">
      <c r="A518" s="177"/>
      <c r="B518" s="177"/>
      <c r="C518" s="177"/>
      <c r="D518" s="177"/>
      <c r="E518" s="177"/>
      <c r="F518" s="177"/>
      <c r="G518" s="178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171"/>
      <c r="S518" s="177"/>
      <c r="T518" s="177"/>
      <c r="U518" s="177"/>
      <c r="V518" s="177"/>
      <c r="W518" s="177"/>
      <c r="X518" s="177"/>
      <c r="Y518" s="177"/>
    </row>
    <row r="519">
      <c r="A519" s="177"/>
      <c r="B519" s="177"/>
      <c r="C519" s="177"/>
      <c r="D519" s="177"/>
      <c r="E519" s="177"/>
      <c r="F519" s="177"/>
      <c r="G519" s="178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171"/>
      <c r="S519" s="177"/>
      <c r="T519" s="177"/>
      <c r="U519" s="177"/>
      <c r="V519" s="177"/>
      <c r="W519" s="177"/>
      <c r="X519" s="177"/>
      <c r="Y519" s="177"/>
    </row>
    <row r="520">
      <c r="A520" s="177"/>
      <c r="B520" s="177"/>
      <c r="C520" s="177"/>
      <c r="D520" s="177"/>
      <c r="E520" s="177"/>
      <c r="F520" s="177"/>
      <c r="G520" s="178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171"/>
      <c r="S520" s="177"/>
      <c r="T520" s="177"/>
      <c r="U520" s="177"/>
      <c r="V520" s="177"/>
      <c r="W520" s="177"/>
      <c r="X520" s="177"/>
      <c r="Y520" s="177"/>
    </row>
    <row r="521">
      <c r="A521" s="177"/>
      <c r="B521" s="177"/>
      <c r="C521" s="177"/>
      <c r="D521" s="177"/>
      <c r="E521" s="177"/>
      <c r="F521" s="177"/>
      <c r="G521" s="178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171"/>
      <c r="S521" s="177"/>
      <c r="T521" s="177"/>
      <c r="U521" s="177"/>
      <c r="V521" s="177"/>
      <c r="W521" s="177"/>
      <c r="X521" s="177"/>
      <c r="Y521" s="177"/>
    </row>
    <row r="522">
      <c r="A522" s="177"/>
      <c r="B522" s="177"/>
      <c r="C522" s="177"/>
      <c r="D522" s="177"/>
      <c r="E522" s="177"/>
      <c r="F522" s="177"/>
      <c r="G522" s="178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171"/>
      <c r="S522" s="177"/>
      <c r="T522" s="177"/>
      <c r="U522" s="177"/>
      <c r="V522" s="177"/>
      <c r="W522" s="177"/>
      <c r="X522" s="177"/>
      <c r="Y522" s="177"/>
    </row>
    <row r="523">
      <c r="A523" s="177"/>
      <c r="B523" s="177"/>
      <c r="C523" s="177"/>
      <c r="D523" s="177"/>
      <c r="E523" s="177"/>
      <c r="F523" s="177"/>
      <c r="G523" s="178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171"/>
      <c r="S523" s="177"/>
      <c r="T523" s="177"/>
      <c r="U523" s="177"/>
      <c r="V523" s="177"/>
      <c r="W523" s="177"/>
      <c r="X523" s="177"/>
      <c r="Y523" s="177"/>
    </row>
    <row r="524">
      <c r="A524" s="177"/>
      <c r="B524" s="177"/>
      <c r="C524" s="177"/>
      <c r="D524" s="177"/>
      <c r="E524" s="177"/>
      <c r="F524" s="177"/>
      <c r="G524" s="178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171"/>
      <c r="S524" s="177"/>
      <c r="T524" s="177"/>
      <c r="U524" s="177"/>
      <c r="V524" s="177"/>
      <c r="W524" s="177"/>
      <c r="X524" s="177"/>
      <c r="Y524" s="177"/>
    </row>
    <row r="525">
      <c r="A525" s="177"/>
      <c r="B525" s="177"/>
      <c r="C525" s="177"/>
      <c r="D525" s="177"/>
      <c r="E525" s="177"/>
      <c r="F525" s="177"/>
      <c r="G525" s="178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171"/>
      <c r="S525" s="177"/>
      <c r="T525" s="177"/>
      <c r="U525" s="177"/>
      <c r="V525" s="177"/>
      <c r="W525" s="177"/>
      <c r="X525" s="177"/>
      <c r="Y525" s="177"/>
    </row>
    <row r="526">
      <c r="A526" s="177"/>
      <c r="B526" s="177"/>
      <c r="C526" s="177"/>
      <c r="D526" s="177"/>
      <c r="E526" s="177"/>
      <c r="F526" s="177"/>
      <c r="G526" s="178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171"/>
      <c r="S526" s="177"/>
      <c r="T526" s="177"/>
      <c r="U526" s="177"/>
      <c r="V526" s="177"/>
      <c r="W526" s="177"/>
      <c r="X526" s="177"/>
      <c r="Y526" s="177"/>
    </row>
    <row r="527">
      <c r="A527" s="177"/>
      <c r="B527" s="177"/>
      <c r="C527" s="177"/>
      <c r="D527" s="177"/>
      <c r="E527" s="177"/>
      <c r="F527" s="177"/>
      <c r="G527" s="178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171"/>
      <c r="S527" s="177"/>
      <c r="T527" s="177"/>
      <c r="U527" s="177"/>
      <c r="V527" s="177"/>
      <c r="W527" s="177"/>
      <c r="X527" s="177"/>
      <c r="Y527" s="177"/>
    </row>
    <row r="528">
      <c r="A528" s="177"/>
      <c r="B528" s="177"/>
      <c r="C528" s="177"/>
      <c r="D528" s="177"/>
      <c r="E528" s="177"/>
      <c r="F528" s="177"/>
      <c r="G528" s="178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171"/>
      <c r="S528" s="177"/>
      <c r="T528" s="177"/>
      <c r="U528" s="177"/>
      <c r="V528" s="177"/>
      <c r="W528" s="177"/>
      <c r="X528" s="177"/>
      <c r="Y528" s="177"/>
    </row>
    <row r="529">
      <c r="A529" s="177"/>
      <c r="B529" s="177"/>
      <c r="C529" s="177"/>
      <c r="D529" s="177"/>
      <c r="E529" s="177"/>
      <c r="F529" s="177"/>
      <c r="G529" s="178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171"/>
      <c r="S529" s="177"/>
      <c r="T529" s="177"/>
      <c r="U529" s="177"/>
      <c r="V529" s="177"/>
      <c r="W529" s="177"/>
      <c r="X529" s="177"/>
      <c r="Y529" s="177"/>
    </row>
    <row r="530">
      <c r="A530" s="177"/>
      <c r="B530" s="177"/>
      <c r="C530" s="177"/>
      <c r="D530" s="177"/>
      <c r="E530" s="177"/>
      <c r="F530" s="177"/>
      <c r="G530" s="178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171"/>
      <c r="S530" s="177"/>
      <c r="T530" s="177"/>
      <c r="U530" s="177"/>
      <c r="V530" s="177"/>
      <c r="W530" s="177"/>
      <c r="X530" s="177"/>
      <c r="Y530" s="177"/>
    </row>
    <row r="531">
      <c r="A531" s="177"/>
      <c r="B531" s="177"/>
      <c r="C531" s="177"/>
      <c r="D531" s="177"/>
      <c r="E531" s="177"/>
      <c r="F531" s="177"/>
      <c r="G531" s="178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171"/>
      <c r="S531" s="177"/>
      <c r="T531" s="177"/>
      <c r="U531" s="177"/>
      <c r="V531" s="177"/>
      <c r="W531" s="177"/>
      <c r="X531" s="177"/>
      <c r="Y531" s="177"/>
    </row>
    <row r="532">
      <c r="A532" s="177"/>
      <c r="B532" s="177"/>
      <c r="C532" s="177"/>
      <c r="D532" s="177"/>
      <c r="E532" s="177"/>
      <c r="F532" s="177"/>
      <c r="G532" s="178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171"/>
      <c r="S532" s="177"/>
      <c r="T532" s="177"/>
      <c r="U532" s="177"/>
      <c r="V532" s="177"/>
      <c r="W532" s="177"/>
      <c r="X532" s="177"/>
      <c r="Y532" s="177"/>
    </row>
    <row r="533">
      <c r="A533" s="177"/>
      <c r="B533" s="177"/>
      <c r="C533" s="177"/>
      <c r="D533" s="177"/>
      <c r="E533" s="177"/>
      <c r="F533" s="177"/>
      <c r="G533" s="178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171"/>
      <c r="S533" s="177"/>
      <c r="T533" s="177"/>
      <c r="U533" s="177"/>
      <c r="V533" s="177"/>
      <c r="W533" s="177"/>
      <c r="X533" s="177"/>
      <c r="Y533" s="177"/>
    </row>
    <row r="534">
      <c r="A534" s="177"/>
      <c r="B534" s="177"/>
      <c r="C534" s="177"/>
      <c r="D534" s="177"/>
      <c r="E534" s="177"/>
      <c r="F534" s="177"/>
      <c r="G534" s="178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171"/>
      <c r="S534" s="177"/>
      <c r="T534" s="177"/>
      <c r="U534" s="177"/>
      <c r="V534" s="177"/>
      <c r="W534" s="177"/>
      <c r="X534" s="177"/>
      <c r="Y534" s="177"/>
    </row>
    <row r="535">
      <c r="A535" s="177"/>
      <c r="B535" s="177"/>
      <c r="C535" s="177"/>
      <c r="D535" s="177"/>
      <c r="E535" s="177"/>
      <c r="F535" s="177"/>
      <c r="G535" s="178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171"/>
      <c r="S535" s="177"/>
      <c r="T535" s="177"/>
      <c r="U535" s="177"/>
      <c r="V535" s="177"/>
      <c r="W535" s="177"/>
      <c r="X535" s="177"/>
      <c r="Y535" s="177"/>
    </row>
    <row r="536">
      <c r="A536" s="177"/>
      <c r="B536" s="177"/>
      <c r="C536" s="177"/>
      <c r="D536" s="177"/>
      <c r="E536" s="177"/>
      <c r="F536" s="177"/>
      <c r="G536" s="178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171"/>
      <c r="S536" s="177"/>
      <c r="T536" s="177"/>
      <c r="U536" s="177"/>
      <c r="V536" s="177"/>
      <c r="W536" s="177"/>
      <c r="X536" s="177"/>
      <c r="Y536" s="177"/>
    </row>
    <row r="537">
      <c r="A537" s="177"/>
      <c r="B537" s="177"/>
      <c r="C537" s="177"/>
      <c r="D537" s="177"/>
      <c r="E537" s="177"/>
      <c r="F537" s="177"/>
      <c r="G537" s="178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171"/>
      <c r="S537" s="177"/>
      <c r="T537" s="177"/>
      <c r="U537" s="177"/>
      <c r="V537" s="177"/>
      <c r="W537" s="177"/>
      <c r="X537" s="177"/>
      <c r="Y537" s="177"/>
    </row>
    <row r="538">
      <c r="A538" s="177"/>
      <c r="B538" s="177"/>
      <c r="C538" s="177"/>
      <c r="D538" s="177"/>
      <c r="E538" s="177"/>
      <c r="F538" s="177"/>
      <c r="G538" s="178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171"/>
      <c r="S538" s="177"/>
      <c r="T538" s="177"/>
      <c r="U538" s="177"/>
      <c r="V538" s="177"/>
      <c r="W538" s="177"/>
      <c r="X538" s="177"/>
      <c r="Y538" s="177"/>
    </row>
    <row r="539">
      <c r="A539" s="177"/>
      <c r="B539" s="177"/>
      <c r="C539" s="177"/>
      <c r="D539" s="177"/>
      <c r="E539" s="177"/>
      <c r="F539" s="177"/>
      <c r="G539" s="178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171"/>
      <c r="S539" s="177"/>
      <c r="T539" s="177"/>
      <c r="U539" s="177"/>
      <c r="V539" s="177"/>
      <c r="W539" s="177"/>
      <c r="X539" s="177"/>
      <c r="Y539" s="177"/>
    </row>
    <row r="540">
      <c r="A540" s="177"/>
      <c r="B540" s="177"/>
      <c r="C540" s="177"/>
      <c r="D540" s="177"/>
      <c r="E540" s="177"/>
      <c r="F540" s="177"/>
      <c r="G540" s="178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171"/>
      <c r="S540" s="177"/>
      <c r="T540" s="177"/>
      <c r="U540" s="177"/>
      <c r="V540" s="177"/>
      <c r="W540" s="177"/>
      <c r="X540" s="177"/>
      <c r="Y540" s="177"/>
    </row>
    <row r="541">
      <c r="A541" s="177"/>
      <c r="B541" s="177"/>
      <c r="C541" s="177"/>
      <c r="D541" s="177"/>
      <c r="E541" s="177"/>
      <c r="F541" s="177"/>
      <c r="G541" s="178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171"/>
      <c r="S541" s="177"/>
      <c r="T541" s="177"/>
      <c r="U541" s="177"/>
      <c r="V541" s="177"/>
      <c r="W541" s="177"/>
      <c r="X541" s="177"/>
      <c r="Y541" s="177"/>
    </row>
    <row r="542">
      <c r="A542" s="177"/>
      <c r="B542" s="177"/>
      <c r="C542" s="177"/>
      <c r="D542" s="177"/>
      <c r="E542" s="177"/>
      <c r="F542" s="177"/>
      <c r="G542" s="178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171"/>
      <c r="S542" s="177"/>
      <c r="T542" s="177"/>
      <c r="U542" s="177"/>
      <c r="V542" s="177"/>
      <c r="W542" s="177"/>
      <c r="X542" s="177"/>
      <c r="Y542" s="177"/>
    </row>
    <row r="543">
      <c r="A543" s="177"/>
      <c r="B543" s="177"/>
      <c r="C543" s="177"/>
      <c r="D543" s="177"/>
      <c r="E543" s="177"/>
      <c r="F543" s="177"/>
      <c r="G543" s="178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171"/>
      <c r="S543" s="177"/>
      <c r="T543" s="177"/>
      <c r="U543" s="177"/>
      <c r="V543" s="177"/>
      <c r="W543" s="177"/>
      <c r="X543" s="177"/>
      <c r="Y543" s="177"/>
    </row>
    <row r="544">
      <c r="A544" s="177"/>
      <c r="B544" s="177"/>
      <c r="C544" s="177"/>
      <c r="D544" s="177"/>
      <c r="E544" s="177"/>
      <c r="F544" s="177"/>
      <c r="G544" s="178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171"/>
      <c r="S544" s="177"/>
      <c r="T544" s="177"/>
      <c r="U544" s="177"/>
      <c r="V544" s="177"/>
      <c r="W544" s="177"/>
      <c r="X544" s="177"/>
      <c r="Y544" s="177"/>
    </row>
    <row r="545">
      <c r="A545" s="177"/>
      <c r="B545" s="177"/>
      <c r="C545" s="177"/>
      <c r="D545" s="177"/>
      <c r="E545" s="177"/>
      <c r="F545" s="177"/>
      <c r="G545" s="178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171"/>
      <c r="S545" s="177"/>
      <c r="T545" s="177"/>
      <c r="U545" s="177"/>
      <c r="V545" s="177"/>
      <c r="W545" s="177"/>
      <c r="X545" s="177"/>
      <c r="Y545" s="177"/>
    </row>
    <row r="546">
      <c r="A546" s="177"/>
      <c r="B546" s="177"/>
      <c r="C546" s="177"/>
      <c r="D546" s="177"/>
      <c r="E546" s="177"/>
      <c r="F546" s="177"/>
      <c r="G546" s="178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171"/>
      <c r="S546" s="177"/>
      <c r="T546" s="177"/>
      <c r="U546" s="177"/>
      <c r="V546" s="177"/>
      <c r="W546" s="177"/>
      <c r="X546" s="177"/>
      <c r="Y546" s="177"/>
    </row>
    <row r="547">
      <c r="A547" s="177"/>
      <c r="B547" s="177"/>
      <c r="C547" s="177"/>
      <c r="D547" s="177"/>
      <c r="E547" s="177"/>
      <c r="F547" s="177"/>
      <c r="G547" s="178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171"/>
      <c r="S547" s="177"/>
      <c r="T547" s="177"/>
      <c r="U547" s="177"/>
      <c r="V547" s="177"/>
      <c r="W547" s="177"/>
      <c r="X547" s="177"/>
      <c r="Y547" s="177"/>
    </row>
    <row r="548">
      <c r="A548" s="177"/>
      <c r="B548" s="177"/>
      <c r="C548" s="177"/>
      <c r="D548" s="177"/>
      <c r="E548" s="177"/>
      <c r="F548" s="177"/>
      <c r="G548" s="178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171"/>
      <c r="S548" s="177"/>
      <c r="T548" s="177"/>
      <c r="U548" s="177"/>
      <c r="V548" s="177"/>
      <c r="W548" s="177"/>
      <c r="X548" s="177"/>
      <c r="Y548" s="177"/>
    </row>
    <row r="549">
      <c r="A549" s="177"/>
      <c r="B549" s="177"/>
      <c r="C549" s="177"/>
      <c r="D549" s="177"/>
      <c r="E549" s="177"/>
      <c r="F549" s="177"/>
      <c r="G549" s="178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171"/>
      <c r="S549" s="177"/>
      <c r="T549" s="177"/>
      <c r="U549" s="177"/>
      <c r="V549" s="177"/>
      <c r="W549" s="177"/>
      <c r="X549" s="177"/>
      <c r="Y549" s="177"/>
    </row>
    <row r="550">
      <c r="A550" s="177"/>
      <c r="B550" s="177"/>
      <c r="C550" s="177"/>
      <c r="D550" s="177"/>
      <c r="E550" s="177"/>
      <c r="F550" s="177"/>
      <c r="G550" s="178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171"/>
      <c r="S550" s="177"/>
      <c r="T550" s="177"/>
      <c r="U550" s="177"/>
      <c r="V550" s="177"/>
      <c r="W550" s="177"/>
      <c r="X550" s="177"/>
      <c r="Y550" s="177"/>
    </row>
    <row r="551">
      <c r="A551" s="177"/>
      <c r="B551" s="177"/>
      <c r="C551" s="177"/>
      <c r="D551" s="177"/>
      <c r="E551" s="177"/>
      <c r="F551" s="177"/>
      <c r="G551" s="178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171"/>
      <c r="S551" s="177"/>
      <c r="T551" s="177"/>
      <c r="U551" s="177"/>
      <c r="V551" s="177"/>
      <c r="W551" s="177"/>
      <c r="X551" s="177"/>
      <c r="Y551" s="177"/>
    </row>
    <row r="552">
      <c r="A552" s="177"/>
      <c r="B552" s="177"/>
      <c r="C552" s="177"/>
      <c r="D552" s="177"/>
      <c r="E552" s="177"/>
      <c r="F552" s="177"/>
      <c r="G552" s="178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171"/>
      <c r="S552" s="177"/>
      <c r="T552" s="177"/>
      <c r="U552" s="177"/>
      <c r="V552" s="177"/>
      <c r="W552" s="177"/>
      <c r="X552" s="177"/>
      <c r="Y552" s="177"/>
    </row>
    <row r="553">
      <c r="A553" s="177"/>
      <c r="B553" s="177"/>
      <c r="C553" s="177"/>
      <c r="D553" s="177"/>
      <c r="E553" s="177"/>
      <c r="F553" s="177"/>
      <c r="G553" s="178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171"/>
      <c r="S553" s="177"/>
      <c r="T553" s="177"/>
      <c r="U553" s="177"/>
      <c r="V553" s="177"/>
      <c r="W553" s="177"/>
      <c r="X553" s="177"/>
      <c r="Y553" s="177"/>
    </row>
    <row r="554">
      <c r="A554" s="177"/>
      <c r="B554" s="177"/>
      <c r="C554" s="177"/>
      <c r="D554" s="177"/>
      <c r="E554" s="177"/>
      <c r="F554" s="177"/>
      <c r="G554" s="178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171"/>
      <c r="S554" s="177"/>
      <c r="T554" s="177"/>
      <c r="U554" s="177"/>
      <c r="V554" s="177"/>
      <c r="W554" s="177"/>
      <c r="X554" s="177"/>
      <c r="Y554" s="177"/>
    </row>
    <row r="555">
      <c r="A555" s="177"/>
      <c r="B555" s="177"/>
      <c r="C555" s="177"/>
      <c r="D555" s="177"/>
      <c r="E555" s="177"/>
      <c r="F555" s="177"/>
      <c r="G555" s="178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171"/>
      <c r="S555" s="177"/>
      <c r="T555" s="177"/>
      <c r="U555" s="177"/>
      <c r="V555" s="177"/>
      <c r="W555" s="177"/>
      <c r="X555" s="177"/>
      <c r="Y555" s="177"/>
    </row>
    <row r="556">
      <c r="A556" s="177"/>
      <c r="B556" s="177"/>
      <c r="C556" s="177"/>
      <c r="D556" s="177"/>
      <c r="E556" s="177"/>
      <c r="F556" s="177"/>
      <c r="G556" s="178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171"/>
      <c r="S556" s="177"/>
      <c r="T556" s="177"/>
      <c r="U556" s="177"/>
      <c r="V556" s="177"/>
      <c r="W556" s="177"/>
      <c r="X556" s="177"/>
      <c r="Y556" s="177"/>
    </row>
    <row r="557">
      <c r="A557" s="177"/>
      <c r="B557" s="177"/>
      <c r="C557" s="177"/>
      <c r="D557" s="177"/>
      <c r="E557" s="177"/>
      <c r="F557" s="177"/>
      <c r="G557" s="178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171"/>
      <c r="S557" s="177"/>
      <c r="T557" s="177"/>
      <c r="U557" s="177"/>
      <c r="V557" s="177"/>
      <c r="W557" s="177"/>
      <c r="X557" s="177"/>
      <c r="Y557" s="177"/>
    </row>
    <row r="558">
      <c r="A558" s="177"/>
      <c r="B558" s="177"/>
      <c r="C558" s="177"/>
      <c r="D558" s="177"/>
      <c r="E558" s="177"/>
      <c r="F558" s="177"/>
      <c r="G558" s="178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171"/>
      <c r="S558" s="177"/>
      <c r="T558" s="177"/>
      <c r="U558" s="177"/>
      <c r="V558" s="177"/>
      <c r="W558" s="177"/>
      <c r="X558" s="177"/>
      <c r="Y558" s="177"/>
    </row>
    <row r="559">
      <c r="A559" s="177"/>
      <c r="B559" s="177"/>
      <c r="C559" s="177"/>
      <c r="D559" s="177"/>
      <c r="E559" s="177"/>
      <c r="F559" s="177"/>
      <c r="G559" s="178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171"/>
      <c r="S559" s="177"/>
      <c r="T559" s="177"/>
      <c r="U559" s="177"/>
      <c r="V559" s="177"/>
      <c r="W559" s="177"/>
      <c r="X559" s="177"/>
      <c r="Y559" s="177"/>
    </row>
    <row r="560">
      <c r="A560" s="177"/>
      <c r="B560" s="177"/>
      <c r="C560" s="177"/>
      <c r="D560" s="177"/>
      <c r="E560" s="177"/>
      <c r="F560" s="177"/>
      <c r="G560" s="178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171"/>
      <c r="S560" s="177"/>
      <c r="T560" s="177"/>
      <c r="U560" s="177"/>
      <c r="V560" s="177"/>
      <c r="W560" s="177"/>
      <c r="X560" s="177"/>
      <c r="Y560" s="177"/>
    </row>
    <row r="561">
      <c r="A561" s="177"/>
      <c r="B561" s="177"/>
      <c r="C561" s="177"/>
      <c r="D561" s="177"/>
      <c r="E561" s="177"/>
      <c r="F561" s="177"/>
      <c r="G561" s="178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171"/>
      <c r="S561" s="177"/>
      <c r="T561" s="177"/>
      <c r="U561" s="177"/>
      <c r="V561" s="177"/>
      <c r="W561" s="177"/>
      <c r="X561" s="177"/>
      <c r="Y561" s="177"/>
    </row>
    <row r="562">
      <c r="A562" s="177"/>
      <c r="B562" s="177"/>
      <c r="C562" s="177"/>
      <c r="D562" s="177"/>
      <c r="E562" s="177"/>
      <c r="F562" s="177"/>
      <c r="G562" s="178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171"/>
      <c r="S562" s="177"/>
      <c r="T562" s="177"/>
      <c r="U562" s="177"/>
      <c r="V562" s="177"/>
      <c r="W562" s="177"/>
      <c r="X562" s="177"/>
      <c r="Y562" s="177"/>
    </row>
    <row r="563">
      <c r="A563" s="177"/>
      <c r="B563" s="177"/>
      <c r="C563" s="177"/>
      <c r="D563" s="177"/>
      <c r="E563" s="177"/>
      <c r="F563" s="177"/>
      <c r="G563" s="178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171"/>
      <c r="S563" s="177"/>
      <c r="T563" s="177"/>
      <c r="U563" s="177"/>
      <c r="V563" s="177"/>
      <c r="W563" s="177"/>
      <c r="X563" s="177"/>
      <c r="Y563" s="177"/>
    </row>
    <row r="564">
      <c r="A564" s="177"/>
      <c r="B564" s="177"/>
      <c r="C564" s="177"/>
      <c r="D564" s="177"/>
      <c r="E564" s="177"/>
      <c r="F564" s="177"/>
      <c r="G564" s="178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171"/>
      <c r="S564" s="177"/>
      <c r="T564" s="177"/>
      <c r="U564" s="177"/>
      <c r="V564" s="177"/>
      <c r="W564" s="177"/>
      <c r="X564" s="177"/>
      <c r="Y564" s="177"/>
    </row>
    <row r="565">
      <c r="A565" s="177"/>
      <c r="B565" s="177"/>
      <c r="C565" s="177"/>
      <c r="D565" s="177"/>
      <c r="E565" s="177"/>
      <c r="F565" s="177"/>
      <c r="G565" s="178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171"/>
      <c r="S565" s="177"/>
      <c r="T565" s="177"/>
      <c r="U565" s="177"/>
      <c r="V565" s="177"/>
      <c r="W565" s="177"/>
      <c r="X565" s="177"/>
      <c r="Y565" s="177"/>
    </row>
    <row r="566">
      <c r="A566" s="177"/>
      <c r="B566" s="177"/>
      <c r="C566" s="177"/>
      <c r="D566" s="177"/>
      <c r="E566" s="177"/>
      <c r="F566" s="177"/>
      <c r="G566" s="178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171"/>
      <c r="S566" s="177"/>
      <c r="T566" s="177"/>
      <c r="U566" s="177"/>
      <c r="V566" s="177"/>
      <c r="W566" s="177"/>
      <c r="X566" s="177"/>
      <c r="Y566" s="177"/>
    </row>
    <row r="567">
      <c r="A567" s="177"/>
      <c r="B567" s="177"/>
      <c r="C567" s="177"/>
      <c r="D567" s="177"/>
      <c r="E567" s="177"/>
      <c r="F567" s="177"/>
      <c r="G567" s="178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171"/>
      <c r="S567" s="177"/>
      <c r="T567" s="177"/>
      <c r="U567" s="177"/>
      <c r="V567" s="177"/>
      <c r="W567" s="177"/>
      <c r="X567" s="177"/>
      <c r="Y567" s="177"/>
    </row>
    <row r="568">
      <c r="A568" s="177"/>
      <c r="B568" s="177"/>
      <c r="C568" s="177"/>
      <c r="D568" s="177"/>
      <c r="E568" s="177"/>
      <c r="F568" s="177"/>
      <c r="G568" s="178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171"/>
      <c r="S568" s="177"/>
      <c r="T568" s="177"/>
      <c r="U568" s="177"/>
      <c r="V568" s="177"/>
      <c r="W568" s="177"/>
      <c r="X568" s="177"/>
      <c r="Y568" s="177"/>
    </row>
    <row r="569">
      <c r="A569" s="177"/>
      <c r="B569" s="177"/>
      <c r="C569" s="177"/>
      <c r="D569" s="177"/>
      <c r="E569" s="177"/>
      <c r="F569" s="177"/>
      <c r="G569" s="178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171"/>
      <c r="S569" s="177"/>
      <c r="T569" s="177"/>
      <c r="U569" s="177"/>
      <c r="V569" s="177"/>
      <c r="W569" s="177"/>
      <c r="X569" s="177"/>
      <c r="Y569" s="177"/>
    </row>
    <row r="570">
      <c r="A570" s="177"/>
      <c r="B570" s="177"/>
      <c r="C570" s="177"/>
      <c r="D570" s="177"/>
      <c r="E570" s="177"/>
      <c r="F570" s="177"/>
      <c r="G570" s="178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171"/>
      <c r="S570" s="177"/>
      <c r="T570" s="177"/>
      <c r="U570" s="177"/>
      <c r="V570" s="177"/>
      <c r="W570" s="177"/>
      <c r="X570" s="177"/>
      <c r="Y570" s="177"/>
    </row>
    <row r="571">
      <c r="A571" s="177"/>
      <c r="B571" s="177"/>
      <c r="C571" s="177"/>
      <c r="D571" s="177"/>
      <c r="E571" s="177"/>
      <c r="F571" s="177"/>
      <c r="G571" s="178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171"/>
      <c r="S571" s="177"/>
      <c r="T571" s="177"/>
      <c r="U571" s="177"/>
      <c r="V571" s="177"/>
      <c r="W571" s="177"/>
      <c r="X571" s="177"/>
      <c r="Y571" s="177"/>
    </row>
    <row r="572">
      <c r="A572" s="177"/>
      <c r="B572" s="177"/>
      <c r="C572" s="177"/>
      <c r="D572" s="177"/>
      <c r="E572" s="177"/>
      <c r="F572" s="177"/>
      <c r="G572" s="178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171"/>
      <c r="S572" s="177"/>
      <c r="T572" s="177"/>
      <c r="U572" s="177"/>
      <c r="V572" s="177"/>
      <c r="W572" s="177"/>
      <c r="X572" s="177"/>
      <c r="Y572" s="177"/>
    </row>
    <row r="573">
      <c r="A573" s="177"/>
      <c r="B573" s="177"/>
      <c r="C573" s="177"/>
      <c r="D573" s="177"/>
      <c r="E573" s="177"/>
      <c r="F573" s="177"/>
      <c r="G573" s="178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171"/>
      <c r="S573" s="177"/>
      <c r="T573" s="177"/>
      <c r="U573" s="177"/>
      <c r="V573" s="177"/>
      <c r="W573" s="177"/>
      <c r="X573" s="177"/>
      <c r="Y573" s="177"/>
    </row>
    <row r="574">
      <c r="A574" s="177"/>
      <c r="B574" s="177"/>
      <c r="C574" s="177"/>
      <c r="D574" s="177"/>
      <c r="E574" s="177"/>
      <c r="F574" s="177"/>
      <c r="G574" s="178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171"/>
      <c r="S574" s="177"/>
      <c r="T574" s="177"/>
      <c r="U574" s="177"/>
      <c r="V574" s="177"/>
      <c r="W574" s="177"/>
      <c r="X574" s="177"/>
      <c r="Y574" s="177"/>
    </row>
    <row r="575">
      <c r="A575" s="177"/>
      <c r="B575" s="177"/>
      <c r="C575" s="177"/>
      <c r="D575" s="177"/>
      <c r="E575" s="177"/>
      <c r="F575" s="177"/>
      <c r="G575" s="178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171"/>
      <c r="S575" s="177"/>
      <c r="T575" s="177"/>
      <c r="U575" s="177"/>
      <c r="V575" s="177"/>
      <c r="W575" s="177"/>
      <c r="X575" s="177"/>
      <c r="Y575" s="177"/>
    </row>
    <row r="576">
      <c r="A576" s="177"/>
      <c r="B576" s="177"/>
      <c r="C576" s="177"/>
      <c r="D576" s="177"/>
      <c r="E576" s="177"/>
      <c r="F576" s="177"/>
      <c r="G576" s="178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171"/>
      <c r="S576" s="177"/>
      <c r="T576" s="177"/>
      <c r="U576" s="177"/>
      <c r="V576" s="177"/>
      <c r="W576" s="177"/>
      <c r="X576" s="177"/>
      <c r="Y576" s="177"/>
    </row>
    <row r="577">
      <c r="A577" s="177"/>
      <c r="B577" s="177"/>
      <c r="C577" s="177"/>
      <c r="D577" s="177"/>
      <c r="E577" s="177"/>
      <c r="F577" s="177"/>
      <c r="G577" s="178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171"/>
      <c r="S577" s="177"/>
      <c r="T577" s="177"/>
      <c r="U577" s="177"/>
      <c r="V577" s="177"/>
      <c r="W577" s="177"/>
      <c r="X577" s="177"/>
      <c r="Y577" s="177"/>
    </row>
    <row r="578">
      <c r="A578" s="177"/>
      <c r="B578" s="177"/>
      <c r="C578" s="177"/>
      <c r="D578" s="177"/>
      <c r="E578" s="177"/>
      <c r="F578" s="177"/>
      <c r="G578" s="178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171"/>
      <c r="S578" s="177"/>
      <c r="T578" s="177"/>
      <c r="U578" s="177"/>
      <c r="V578" s="177"/>
      <c r="W578" s="177"/>
      <c r="X578" s="177"/>
      <c r="Y578" s="177"/>
    </row>
    <row r="579">
      <c r="A579" s="177"/>
      <c r="B579" s="177"/>
      <c r="C579" s="177"/>
      <c r="D579" s="177"/>
      <c r="E579" s="177"/>
      <c r="F579" s="177"/>
      <c r="G579" s="178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171"/>
      <c r="S579" s="177"/>
      <c r="T579" s="177"/>
      <c r="U579" s="177"/>
      <c r="V579" s="177"/>
      <c r="W579" s="177"/>
      <c r="X579" s="177"/>
      <c r="Y579" s="177"/>
    </row>
    <row r="580">
      <c r="A580" s="177"/>
      <c r="B580" s="177"/>
      <c r="C580" s="177"/>
      <c r="D580" s="177"/>
      <c r="E580" s="177"/>
      <c r="F580" s="177"/>
      <c r="G580" s="178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171"/>
      <c r="S580" s="177"/>
      <c r="T580" s="177"/>
      <c r="U580" s="177"/>
      <c r="V580" s="177"/>
      <c r="W580" s="177"/>
      <c r="X580" s="177"/>
      <c r="Y580" s="177"/>
    </row>
    <row r="581">
      <c r="A581" s="177"/>
      <c r="B581" s="177"/>
      <c r="C581" s="177"/>
      <c r="D581" s="177"/>
      <c r="E581" s="177"/>
      <c r="F581" s="177"/>
      <c r="G581" s="178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171"/>
      <c r="S581" s="177"/>
      <c r="T581" s="177"/>
      <c r="U581" s="177"/>
      <c r="V581" s="177"/>
      <c r="W581" s="177"/>
      <c r="X581" s="177"/>
      <c r="Y581" s="177"/>
    </row>
    <row r="582">
      <c r="A582" s="177"/>
      <c r="B582" s="177"/>
      <c r="C582" s="177"/>
      <c r="D582" s="177"/>
      <c r="E582" s="177"/>
      <c r="F582" s="177"/>
      <c r="G582" s="178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171"/>
      <c r="S582" s="177"/>
      <c r="T582" s="177"/>
      <c r="U582" s="177"/>
      <c r="V582" s="177"/>
      <c r="W582" s="177"/>
      <c r="X582" s="177"/>
      <c r="Y582" s="177"/>
    </row>
    <row r="583">
      <c r="A583" s="177"/>
      <c r="B583" s="177"/>
      <c r="C583" s="177"/>
      <c r="D583" s="177"/>
      <c r="E583" s="177"/>
      <c r="F583" s="177"/>
      <c r="G583" s="178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171"/>
      <c r="S583" s="177"/>
      <c r="T583" s="177"/>
      <c r="U583" s="177"/>
      <c r="V583" s="177"/>
      <c r="W583" s="177"/>
      <c r="X583" s="177"/>
      <c r="Y583" s="177"/>
    </row>
    <row r="584">
      <c r="A584" s="177"/>
      <c r="B584" s="177"/>
      <c r="C584" s="177"/>
      <c r="D584" s="177"/>
      <c r="E584" s="177"/>
      <c r="F584" s="177"/>
      <c r="G584" s="178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171"/>
      <c r="S584" s="177"/>
      <c r="T584" s="177"/>
      <c r="U584" s="177"/>
      <c r="V584" s="177"/>
      <c r="W584" s="177"/>
      <c r="X584" s="177"/>
      <c r="Y584" s="177"/>
    </row>
    <row r="585">
      <c r="A585" s="177"/>
      <c r="B585" s="177"/>
      <c r="C585" s="177"/>
      <c r="D585" s="177"/>
      <c r="E585" s="177"/>
      <c r="F585" s="177"/>
      <c r="G585" s="178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171"/>
      <c r="S585" s="177"/>
      <c r="T585" s="177"/>
      <c r="U585" s="177"/>
      <c r="V585" s="177"/>
      <c r="W585" s="177"/>
      <c r="X585" s="177"/>
      <c r="Y585" s="177"/>
    </row>
    <row r="586">
      <c r="A586" s="177"/>
      <c r="B586" s="177"/>
      <c r="C586" s="177"/>
      <c r="D586" s="177"/>
      <c r="E586" s="177"/>
      <c r="F586" s="177"/>
      <c r="G586" s="178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171"/>
      <c r="S586" s="177"/>
      <c r="T586" s="177"/>
      <c r="U586" s="177"/>
      <c r="V586" s="177"/>
      <c r="W586" s="177"/>
      <c r="X586" s="177"/>
      <c r="Y586" s="177"/>
    </row>
    <row r="587">
      <c r="A587" s="177"/>
      <c r="B587" s="177"/>
      <c r="C587" s="177"/>
      <c r="D587" s="177"/>
      <c r="E587" s="177"/>
      <c r="F587" s="177"/>
      <c r="G587" s="178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171"/>
      <c r="S587" s="177"/>
      <c r="T587" s="177"/>
      <c r="U587" s="177"/>
      <c r="V587" s="177"/>
      <c r="W587" s="177"/>
      <c r="X587" s="177"/>
      <c r="Y587" s="177"/>
    </row>
    <row r="588">
      <c r="A588" s="177"/>
      <c r="B588" s="177"/>
      <c r="C588" s="177"/>
      <c r="D588" s="177"/>
      <c r="E588" s="177"/>
      <c r="F588" s="177"/>
      <c r="G588" s="178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171"/>
      <c r="S588" s="177"/>
      <c r="T588" s="177"/>
      <c r="U588" s="177"/>
      <c r="V588" s="177"/>
      <c r="W588" s="177"/>
      <c r="X588" s="177"/>
      <c r="Y588" s="177"/>
    </row>
    <row r="589">
      <c r="A589" s="177"/>
      <c r="B589" s="177"/>
      <c r="C589" s="177"/>
      <c r="D589" s="177"/>
      <c r="E589" s="177"/>
      <c r="F589" s="177"/>
      <c r="G589" s="178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171"/>
      <c r="S589" s="177"/>
      <c r="T589" s="177"/>
      <c r="U589" s="177"/>
      <c r="V589" s="177"/>
      <c r="W589" s="177"/>
      <c r="X589" s="177"/>
      <c r="Y589" s="177"/>
    </row>
    <row r="590">
      <c r="A590" s="177"/>
      <c r="B590" s="177"/>
      <c r="C590" s="177"/>
      <c r="D590" s="177"/>
      <c r="E590" s="177"/>
      <c r="F590" s="177"/>
      <c r="G590" s="178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171"/>
      <c r="S590" s="177"/>
      <c r="T590" s="177"/>
      <c r="U590" s="177"/>
      <c r="V590" s="177"/>
      <c r="W590" s="177"/>
      <c r="X590" s="177"/>
      <c r="Y590" s="177"/>
    </row>
    <row r="591">
      <c r="A591" s="177"/>
      <c r="B591" s="177"/>
      <c r="C591" s="177"/>
      <c r="D591" s="177"/>
      <c r="E591" s="177"/>
      <c r="F591" s="177"/>
      <c r="G591" s="178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171"/>
      <c r="S591" s="177"/>
      <c r="T591" s="177"/>
      <c r="U591" s="177"/>
      <c r="V591" s="177"/>
      <c r="W591" s="177"/>
      <c r="X591" s="177"/>
      <c r="Y591" s="177"/>
    </row>
    <row r="592">
      <c r="A592" s="177"/>
      <c r="B592" s="177"/>
      <c r="C592" s="177"/>
      <c r="D592" s="177"/>
      <c r="E592" s="177"/>
      <c r="F592" s="177"/>
      <c r="G592" s="178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171"/>
      <c r="S592" s="177"/>
      <c r="T592" s="177"/>
      <c r="U592" s="177"/>
      <c r="V592" s="177"/>
      <c r="W592" s="177"/>
      <c r="X592" s="177"/>
      <c r="Y592" s="177"/>
    </row>
    <row r="593">
      <c r="A593" s="177"/>
      <c r="B593" s="177"/>
      <c r="C593" s="177"/>
      <c r="D593" s="177"/>
      <c r="E593" s="177"/>
      <c r="F593" s="177"/>
      <c r="G593" s="178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171"/>
      <c r="S593" s="177"/>
      <c r="T593" s="177"/>
      <c r="U593" s="177"/>
      <c r="V593" s="177"/>
      <c r="W593" s="177"/>
      <c r="X593" s="177"/>
      <c r="Y593" s="177"/>
    </row>
    <row r="594">
      <c r="A594" s="177"/>
      <c r="B594" s="177"/>
      <c r="C594" s="177"/>
      <c r="D594" s="177"/>
      <c r="E594" s="177"/>
      <c r="F594" s="177"/>
      <c r="G594" s="178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171"/>
      <c r="S594" s="177"/>
      <c r="T594" s="177"/>
      <c r="U594" s="177"/>
      <c r="V594" s="177"/>
      <c r="W594" s="177"/>
      <c r="X594" s="177"/>
      <c r="Y594" s="177"/>
    </row>
    <row r="595">
      <c r="A595" s="177"/>
      <c r="B595" s="177"/>
      <c r="C595" s="177"/>
      <c r="D595" s="177"/>
      <c r="E595" s="177"/>
      <c r="F595" s="177"/>
      <c r="G595" s="178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171"/>
      <c r="S595" s="177"/>
      <c r="T595" s="177"/>
      <c r="U595" s="177"/>
      <c r="V595" s="177"/>
      <c r="W595" s="177"/>
      <c r="X595" s="177"/>
      <c r="Y595" s="177"/>
    </row>
    <row r="596">
      <c r="A596" s="177"/>
      <c r="B596" s="177"/>
      <c r="C596" s="177"/>
      <c r="D596" s="177"/>
      <c r="E596" s="177"/>
      <c r="F596" s="177"/>
      <c r="G596" s="178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171"/>
      <c r="S596" s="177"/>
      <c r="T596" s="177"/>
      <c r="U596" s="177"/>
      <c r="V596" s="177"/>
      <c r="W596" s="177"/>
      <c r="X596" s="177"/>
      <c r="Y596" s="177"/>
    </row>
    <row r="597">
      <c r="A597" s="177"/>
      <c r="B597" s="177"/>
      <c r="C597" s="177"/>
      <c r="D597" s="177"/>
      <c r="E597" s="177"/>
      <c r="F597" s="177"/>
      <c r="G597" s="178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171"/>
      <c r="S597" s="177"/>
      <c r="T597" s="177"/>
      <c r="U597" s="177"/>
      <c r="V597" s="177"/>
      <c r="W597" s="177"/>
      <c r="X597" s="177"/>
      <c r="Y597" s="177"/>
    </row>
    <row r="598">
      <c r="A598" s="177"/>
      <c r="B598" s="177"/>
      <c r="C598" s="177"/>
      <c r="D598" s="177"/>
      <c r="E598" s="177"/>
      <c r="F598" s="177"/>
      <c r="G598" s="178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171"/>
      <c r="S598" s="177"/>
      <c r="T598" s="177"/>
      <c r="U598" s="177"/>
      <c r="V598" s="177"/>
      <c r="W598" s="177"/>
      <c r="X598" s="177"/>
      <c r="Y598" s="177"/>
    </row>
    <row r="599">
      <c r="A599" s="177"/>
      <c r="B599" s="177"/>
      <c r="C599" s="177"/>
      <c r="D599" s="177"/>
      <c r="E599" s="177"/>
      <c r="F599" s="177"/>
      <c r="G599" s="178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171"/>
      <c r="S599" s="177"/>
      <c r="T599" s="177"/>
      <c r="U599" s="177"/>
      <c r="V599" s="177"/>
      <c r="W599" s="177"/>
      <c r="X599" s="177"/>
      <c r="Y599" s="177"/>
    </row>
    <row r="600">
      <c r="A600" s="177"/>
      <c r="B600" s="177"/>
      <c r="C600" s="177"/>
      <c r="D600" s="177"/>
      <c r="E600" s="177"/>
      <c r="F600" s="177"/>
      <c r="G600" s="178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171"/>
      <c r="S600" s="177"/>
      <c r="T600" s="177"/>
      <c r="U600" s="177"/>
      <c r="V600" s="177"/>
      <c r="W600" s="177"/>
      <c r="X600" s="177"/>
      <c r="Y600" s="177"/>
    </row>
    <row r="601">
      <c r="A601" s="177"/>
      <c r="B601" s="177"/>
      <c r="C601" s="177"/>
      <c r="D601" s="177"/>
      <c r="E601" s="177"/>
      <c r="F601" s="177"/>
      <c r="G601" s="178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171"/>
      <c r="S601" s="177"/>
      <c r="T601" s="177"/>
      <c r="U601" s="177"/>
      <c r="V601" s="177"/>
      <c r="W601" s="177"/>
      <c r="X601" s="177"/>
      <c r="Y601" s="177"/>
    </row>
    <row r="602">
      <c r="A602" s="177"/>
      <c r="B602" s="177"/>
      <c r="C602" s="177"/>
      <c r="D602" s="177"/>
      <c r="E602" s="177"/>
      <c r="F602" s="177"/>
      <c r="G602" s="178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171"/>
      <c r="S602" s="177"/>
      <c r="T602" s="177"/>
      <c r="U602" s="177"/>
      <c r="V602" s="177"/>
      <c r="W602" s="177"/>
      <c r="X602" s="177"/>
      <c r="Y602" s="177"/>
    </row>
    <row r="603">
      <c r="A603" s="177"/>
      <c r="B603" s="177"/>
      <c r="C603" s="177"/>
      <c r="D603" s="177"/>
      <c r="E603" s="177"/>
      <c r="F603" s="177"/>
      <c r="G603" s="178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171"/>
      <c r="S603" s="177"/>
      <c r="T603" s="177"/>
      <c r="U603" s="177"/>
      <c r="V603" s="177"/>
      <c r="W603" s="177"/>
      <c r="X603" s="177"/>
      <c r="Y603" s="177"/>
    </row>
    <row r="604">
      <c r="A604" s="177"/>
      <c r="B604" s="177"/>
      <c r="C604" s="177"/>
      <c r="D604" s="177"/>
      <c r="E604" s="177"/>
      <c r="F604" s="177"/>
      <c r="G604" s="178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171"/>
      <c r="S604" s="177"/>
      <c r="T604" s="177"/>
      <c r="U604" s="177"/>
      <c r="V604" s="177"/>
      <c r="W604" s="177"/>
      <c r="X604" s="177"/>
      <c r="Y604" s="177"/>
    </row>
    <row r="605">
      <c r="A605" s="177"/>
      <c r="B605" s="177"/>
      <c r="C605" s="177"/>
      <c r="D605" s="177"/>
      <c r="E605" s="177"/>
      <c r="F605" s="177"/>
      <c r="G605" s="178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171"/>
      <c r="S605" s="177"/>
      <c r="T605" s="177"/>
      <c r="U605" s="177"/>
      <c r="V605" s="177"/>
      <c r="W605" s="177"/>
      <c r="X605" s="177"/>
      <c r="Y605" s="177"/>
    </row>
    <row r="606">
      <c r="A606" s="177"/>
      <c r="B606" s="177"/>
      <c r="C606" s="177"/>
      <c r="D606" s="177"/>
      <c r="E606" s="177"/>
      <c r="F606" s="177"/>
      <c r="G606" s="178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171"/>
      <c r="S606" s="177"/>
      <c r="T606" s="177"/>
      <c r="U606" s="177"/>
      <c r="V606" s="177"/>
      <c r="W606" s="177"/>
      <c r="X606" s="177"/>
      <c r="Y606" s="177"/>
    </row>
    <row r="607">
      <c r="A607" s="177"/>
      <c r="B607" s="177"/>
      <c r="C607" s="177"/>
      <c r="D607" s="177"/>
      <c r="E607" s="177"/>
      <c r="F607" s="177"/>
      <c r="G607" s="178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171"/>
      <c r="S607" s="177"/>
      <c r="T607" s="177"/>
      <c r="U607" s="177"/>
      <c r="V607" s="177"/>
      <c r="W607" s="177"/>
      <c r="X607" s="177"/>
      <c r="Y607" s="177"/>
    </row>
    <row r="608">
      <c r="A608" s="177"/>
      <c r="B608" s="177"/>
      <c r="C608" s="177"/>
      <c r="D608" s="177"/>
      <c r="E608" s="177"/>
      <c r="F608" s="177"/>
      <c r="G608" s="178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171"/>
      <c r="S608" s="177"/>
      <c r="T608" s="177"/>
      <c r="U608" s="177"/>
      <c r="V608" s="177"/>
      <c r="W608" s="177"/>
      <c r="X608" s="177"/>
      <c r="Y608" s="177"/>
    </row>
    <row r="609">
      <c r="A609" s="177"/>
      <c r="B609" s="177"/>
      <c r="C609" s="177"/>
      <c r="D609" s="177"/>
      <c r="E609" s="177"/>
      <c r="F609" s="177"/>
      <c r="G609" s="178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171"/>
      <c r="S609" s="177"/>
      <c r="T609" s="177"/>
      <c r="U609" s="177"/>
      <c r="V609" s="177"/>
      <c r="W609" s="177"/>
      <c r="X609" s="177"/>
      <c r="Y609" s="177"/>
    </row>
    <row r="610">
      <c r="A610" s="177"/>
      <c r="B610" s="177"/>
      <c r="C610" s="177"/>
      <c r="D610" s="177"/>
      <c r="E610" s="177"/>
      <c r="F610" s="177"/>
      <c r="G610" s="178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171"/>
      <c r="S610" s="177"/>
      <c r="T610" s="177"/>
      <c r="U610" s="177"/>
      <c r="V610" s="177"/>
      <c r="W610" s="177"/>
      <c r="X610" s="177"/>
      <c r="Y610" s="177"/>
    </row>
    <row r="611">
      <c r="A611" s="177"/>
      <c r="B611" s="177"/>
      <c r="C611" s="177"/>
      <c r="D611" s="177"/>
      <c r="E611" s="177"/>
      <c r="F611" s="177"/>
      <c r="G611" s="178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171"/>
      <c r="S611" s="177"/>
      <c r="T611" s="177"/>
      <c r="U611" s="177"/>
      <c r="V611" s="177"/>
      <c r="W611" s="177"/>
      <c r="X611" s="177"/>
      <c r="Y611" s="177"/>
    </row>
    <row r="612">
      <c r="A612" s="177"/>
      <c r="B612" s="177"/>
      <c r="C612" s="177"/>
      <c r="D612" s="177"/>
      <c r="E612" s="177"/>
      <c r="F612" s="177"/>
      <c r="G612" s="178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171"/>
      <c r="S612" s="177"/>
      <c r="T612" s="177"/>
      <c r="U612" s="177"/>
      <c r="V612" s="177"/>
      <c r="W612" s="177"/>
      <c r="X612" s="177"/>
      <c r="Y612" s="177"/>
    </row>
    <row r="613">
      <c r="A613" s="177"/>
      <c r="B613" s="177"/>
      <c r="C613" s="177"/>
      <c r="D613" s="177"/>
      <c r="E613" s="177"/>
      <c r="F613" s="177"/>
      <c r="G613" s="178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171"/>
      <c r="S613" s="177"/>
      <c r="T613" s="177"/>
      <c r="U613" s="177"/>
      <c r="V613" s="177"/>
      <c r="W613" s="177"/>
      <c r="X613" s="177"/>
      <c r="Y613" s="177"/>
    </row>
    <row r="614">
      <c r="A614" s="177"/>
      <c r="B614" s="177"/>
      <c r="C614" s="177"/>
      <c r="D614" s="177"/>
      <c r="E614" s="177"/>
      <c r="F614" s="177"/>
      <c r="G614" s="178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171"/>
      <c r="S614" s="177"/>
      <c r="T614" s="177"/>
      <c r="U614" s="177"/>
      <c r="V614" s="177"/>
      <c r="W614" s="177"/>
      <c r="X614" s="177"/>
      <c r="Y614" s="177"/>
    </row>
    <row r="615">
      <c r="A615" s="177"/>
      <c r="B615" s="177"/>
      <c r="C615" s="177"/>
      <c r="D615" s="177"/>
      <c r="E615" s="177"/>
      <c r="F615" s="177"/>
      <c r="G615" s="178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171"/>
      <c r="S615" s="177"/>
      <c r="T615" s="177"/>
      <c r="U615" s="177"/>
      <c r="V615" s="177"/>
      <c r="W615" s="177"/>
      <c r="X615" s="177"/>
      <c r="Y615" s="177"/>
    </row>
    <row r="616">
      <c r="A616" s="177"/>
      <c r="B616" s="177"/>
      <c r="C616" s="177"/>
      <c r="D616" s="177"/>
      <c r="E616" s="177"/>
      <c r="F616" s="177"/>
      <c r="G616" s="178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171"/>
      <c r="S616" s="177"/>
      <c r="T616" s="177"/>
      <c r="U616" s="177"/>
      <c r="V616" s="177"/>
      <c r="W616" s="177"/>
      <c r="X616" s="177"/>
      <c r="Y616" s="177"/>
    </row>
    <row r="617">
      <c r="A617" s="177"/>
      <c r="B617" s="177"/>
      <c r="C617" s="177"/>
      <c r="D617" s="177"/>
      <c r="E617" s="177"/>
      <c r="F617" s="177"/>
      <c r="G617" s="178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171"/>
      <c r="S617" s="177"/>
      <c r="T617" s="177"/>
      <c r="U617" s="177"/>
      <c r="V617" s="177"/>
      <c r="W617" s="177"/>
      <c r="X617" s="177"/>
      <c r="Y617" s="177"/>
    </row>
    <row r="618">
      <c r="A618" s="177"/>
      <c r="B618" s="177"/>
      <c r="C618" s="177"/>
      <c r="D618" s="177"/>
      <c r="E618" s="177"/>
      <c r="F618" s="177"/>
      <c r="G618" s="178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171"/>
      <c r="S618" s="177"/>
      <c r="T618" s="177"/>
      <c r="U618" s="177"/>
      <c r="V618" s="177"/>
      <c r="W618" s="177"/>
      <c r="X618" s="177"/>
      <c r="Y618" s="177"/>
    </row>
    <row r="619">
      <c r="A619" s="177"/>
      <c r="B619" s="177"/>
      <c r="C619" s="177"/>
      <c r="D619" s="177"/>
      <c r="E619" s="177"/>
      <c r="F619" s="177"/>
      <c r="G619" s="178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171"/>
      <c r="S619" s="177"/>
      <c r="T619" s="177"/>
      <c r="U619" s="177"/>
      <c r="V619" s="177"/>
      <c r="W619" s="177"/>
      <c r="X619" s="177"/>
      <c r="Y619" s="177"/>
    </row>
    <row r="620">
      <c r="A620" s="177"/>
      <c r="B620" s="177"/>
      <c r="C620" s="177"/>
      <c r="D620" s="177"/>
      <c r="E620" s="177"/>
      <c r="F620" s="177"/>
      <c r="G620" s="178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171"/>
      <c r="S620" s="177"/>
      <c r="T620" s="177"/>
      <c r="U620" s="177"/>
      <c r="V620" s="177"/>
      <c r="W620" s="177"/>
      <c r="X620" s="177"/>
      <c r="Y620" s="177"/>
    </row>
    <row r="621">
      <c r="A621" s="177"/>
      <c r="B621" s="177"/>
      <c r="C621" s="177"/>
      <c r="D621" s="177"/>
      <c r="E621" s="177"/>
      <c r="F621" s="177"/>
      <c r="G621" s="178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171"/>
      <c r="S621" s="177"/>
      <c r="T621" s="177"/>
      <c r="U621" s="177"/>
      <c r="V621" s="177"/>
      <c r="W621" s="177"/>
      <c r="X621" s="177"/>
      <c r="Y621" s="177"/>
    </row>
    <row r="622">
      <c r="A622" s="177"/>
      <c r="B622" s="177"/>
      <c r="C622" s="177"/>
      <c r="D622" s="177"/>
      <c r="E622" s="177"/>
      <c r="F622" s="177"/>
      <c r="G622" s="178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171"/>
      <c r="S622" s="177"/>
      <c r="T622" s="177"/>
      <c r="U622" s="177"/>
      <c r="V622" s="177"/>
      <c r="W622" s="177"/>
      <c r="X622" s="177"/>
      <c r="Y622" s="177"/>
    </row>
    <row r="623">
      <c r="A623" s="177"/>
      <c r="B623" s="177"/>
      <c r="C623" s="177"/>
      <c r="D623" s="177"/>
      <c r="E623" s="177"/>
      <c r="F623" s="177"/>
      <c r="G623" s="178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171"/>
      <c r="S623" s="177"/>
      <c r="T623" s="177"/>
      <c r="U623" s="177"/>
      <c r="V623" s="177"/>
      <c r="W623" s="177"/>
      <c r="X623" s="177"/>
      <c r="Y623" s="177"/>
    </row>
    <row r="624">
      <c r="A624" s="177"/>
      <c r="B624" s="177"/>
      <c r="C624" s="177"/>
      <c r="D624" s="177"/>
      <c r="E624" s="177"/>
      <c r="F624" s="177"/>
      <c r="G624" s="178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171"/>
      <c r="S624" s="177"/>
      <c r="T624" s="177"/>
      <c r="U624" s="177"/>
      <c r="V624" s="177"/>
      <c r="W624" s="177"/>
      <c r="X624" s="177"/>
      <c r="Y624" s="177"/>
    </row>
    <row r="625">
      <c r="A625" s="177"/>
      <c r="B625" s="177"/>
      <c r="C625" s="177"/>
      <c r="D625" s="177"/>
      <c r="E625" s="177"/>
      <c r="F625" s="177"/>
      <c r="G625" s="178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171"/>
      <c r="S625" s="177"/>
      <c r="T625" s="177"/>
      <c r="U625" s="177"/>
      <c r="V625" s="177"/>
      <c r="W625" s="177"/>
      <c r="X625" s="177"/>
      <c r="Y625" s="177"/>
    </row>
    <row r="626">
      <c r="A626" s="177"/>
      <c r="B626" s="177"/>
      <c r="C626" s="177"/>
      <c r="D626" s="177"/>
      <c r="E626" s="177"/>
      <c r="F626" s="177"/>
      <c r="G626" s="178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171"/>
      <c r="S626" s="177"/>
      <c r="T626" s="177"/>
      <c r="U626" s="177"/>
      <c r="V626" s="177"/>
      <c r="W626" s="177"/>
      <c r="X626" s="177"/>
      <c r="Y626" s="177"/>
    </row>
    <row r="627">
      <c r="A627" s="177"/>
      <c r="B627" s="177"/>
      <c r="C627" s="177"/>
      <c r="D627" s="177"/>
      <c r="E627" s="177"/>
      <c r="F627" s="177"/>
      <c r="G627" s="178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171"/>
      <c r="S627" s="177"/>
      <c r="T627" s="177"/>
      <c r="U627" s="177"/>
      <c r="V627" s="177"/>
      <c r="W627" s="177"/>
      <c r="X627" s="177"/>
      <c r="Y627" s="177"/>
    </row>
    <row r="628">
      <c r="A628" s="177"/>
      <c r="B628" s="177"/>
      <c r="C628" s="177"/>
      <c r="D628" s="177"/>
      <c r="E628" s="177"/>
      <c r="F628" s="177"/>
      <c r="G628" s="178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171"/>
      <c r="S628" s="177"/>
      <c r="T628" s="177"/>
      <c r="U628" s="177"/>
      <c r="V628" s="177"/>
      <c r="W628" s="177"/>
      <c r="X628" s="177"/>
      <c r="Y628" s="177"/>
    </row>
    <row r="629">
      <c r="A629" s="177"/>
      <c r="B629" s="177"/>
      <c r="C629" s="177"/>
      <c r="D629" s="177"/>
      <c r="E629" s="177"/>
      <c r="F629" s="177"/>
      <c r="G629" s="178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171"/>
      <c r="S629" s="177"/>
      <c r="T629" s="177"/>
      <c r="U629" s="177"/>
      <c r="V629" s="177"/>
      <c r="W629" s="177"/>
      <c r="X629" s="177"/>
      <c r="Y629" s="177"/>
    </row>
    <row r="630">
      <c r="A630" s="177"/>
      <c r="B630" s="177"/>
      <c r="C630" s="177"/>
      <c r="D630" s="177"/>
      <c r="E630" s="177"/>
      <c r="F630" s="177"/>
      <c r="G630" s="178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171"/>
      <c r="S630" s="177"/>
      <c r="T630" s="177"/>
      <c r="U630" s="177"/>
      <c r="V630" s="177"/>
      <c r="W630" s="177"/>
      <c r="X630" s="177"/>
      <c r="Y630" s="177"/>
    </row>
    <row r="631">
      <c r="A631" s="177"/>
      <c r="B631" s="177"/>
      <c r="C631" s="177"/>
      <c r="D631" s="177"/>
      <c r="E631" s="177"/>
      <c r="F631" s="177"/>
      <c r="G631" s="178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171"/>
      <c r="S631" s="177"/>
      <c r="T631" s="177"/>
      <c r="U631" s="177"/>
      <c r="V631" s="177"/>
      <c r="W631" s="177"/>
      <c r="X631" s="177"/>
      <c r="Y631" s="177"/>
    </row>
    <row r="632">
      <c r="A632" s="177"/>
      <c r="B632" s="177"/>
      <c r="C632" s="177"/>
      <c r="D632" s="177"/>
      <c r="E632" s="177"/>
      <c r="F632" s="177"/>
      <c r="G632" s="178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171"/>
      <c r="S632" s="177"/>
      <c r="T632" s="177"/>
      <c r="U632" s="177"/>
      <c r="V632" s="177"/>
      <c r="W632" s="177"/>
      <c r="X632" s="177"/>
      <c r="Y632" s="177"/>
    </row>
    <row r="633">
      <c r="A633" s="177"/>
      <c r="B633" s="177"/>
      <c r="C633" s="177"/>
      <c r="D633" s="177"/>
      <c r="E633" s="177"/>
      <c r="F633" s="177"/>
      <c r="G633" s="178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171"/>
      <c r="S633" s="177"/>
      <c r="T633" s="177"/>
      <c r="U633" s="177"/>
      <c r="V633" s="177"/>
      <c r="W633" s="177"/>
      <c r="X633" s="177"/>
      <c r="Y633" s="177"/>
    </row>
    <row r="634">
      <c r="A634" s="177"/>
      <c r="B634" s="177"/>
      <c r="C634" s="177"/>
      <c r="D634" s="177"/>
      <c r="E634" s="177"/>
      <c r="F634" s="177"/>
      <c r="G634" s="178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171"/>
      <c r="S634" s="177"/>
      <c r="T634" s="177"/>
      <c r="U634" s="177"/>
      <c r="V634" s="177"/>
      <c r="W634" s="177"/>
      <c r="X634" s="177"/>
      <c r="Y634" s="177"/>
    </row>
    <row r="635">
      <c r="A635" s="177"/>
      <c r="B635" s="177"/>
      <c r="C635" s="177"/>
      <c r="D635" s="177"/>
      <c r="E635" s="177"/>
      <c r="F635" s="177"/>
      <c r="G635" s="178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171"/>
      <c r="S635" s="177"/>
      <c r="T635" s="177"/>
      <c r="U635" s="177"/>
      <c r="V635" s="177"/>
      <c r="W635" s="177"/>
      <c r="X635" s="177"/>
      <c r="Y635" s="177"/>
    </row>
    <row r="636">
      <c r="A636" s="177"/>
      <c r="B636" s="177"/>
      <c r="C636" s="177"/>
      <c r="D636" s="177"/>
      <c r="E636" s="177"/>
      <c r="F636" s="177"/>
      <c r="G636" s="178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171"/>
      <c r="S636" s="177"/>
      <c r="T636" s="177"/>
      <c r="U636" s="177"/>
      <c r="V636" s="177"/>
      <c r="W636" s="177"/>
      <c r="X636" s="177"/>
      <c r="Y636" s="177"/>
    </row>
    <row r="637">
      <c r="A637" s="177"/>
      <c r="B637" s="177"/>
      <c r="C637" s="177"/>
      <c r="D637" s="177"/>
      <c r="E637" s="177"/>
      <c r="F637" s="177"/>
      <c r="G637" s="178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171"/>
      <c r="S637" s="177"/>
      <c r="T637" s="177"/>
      <c r="U637" s="177"/>
      <c r="V637" s="177"/>
      <c r="W637" s="177"/>
      <c r="X637" s="177"/>
      <c r="Y637" s="177"/>
    </row>
    <row r="638">
      <c r="A638" s="177"/>
      <c r="B638" s="177"/>
      <c r="C638" s="177"/>
      <c r="D638" s="177"/>
      <c r="E638" s="177"/>
      <c r="F638" s="177"/>
      <c r="G638" s="178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171"/>
      <c r="S638" s="177"/>
      <c r="T638" s="177"/>
      <c r="U638" s="177"/>
      <c r="V638" s="177"/>
      <c r="W638" s="177"/>
      <c r="X638" s="177"/>
      <c r="Y638" s="177"/>
    </row>
    <row r="639">
      <c r="A639" s="177"/>
      <c r="B639" s="177"/>
      <c r="C639" s="177"/>
      <c r="D639" s="177"/>
      <c r="E639" s="177"/>
      <c r="F639" s="177"/>
      <c r="G639" s="178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171"/>
      <c r="S639" s="177"/>
      <c r="T639" s="177"/>
      <c r="U639" s="177"/>
      <c r="V639" s="177"/>
      <c r="W639" s="177"/>
      <c r="X639" s="177"/>
      <c r="Y639" s="177"/>
    </row>
    <row r="640">
      <c r="A640" s="177"/>
      <c r="B640" s="177"/>
      <c r="C640" s="177"/>
      <c r="D640" s="177"/>
      <c r="E640" s="177"/>
      <c r="F640" s="177"/>
      <c r="G640" s="178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171"/>
      <c r="S640" s="177"/>
      <c r="T640" s="177"/>
      <c r="U640" s="177"/>
      <c r="V640" s="177"/>
      <c r="W640" s="177"/>
      <c r="X640" s="177"/>
      <c r="Y640" s="177"/>
    </row>
    <row r="641">
      <c r="A641" s="177"/>
      <c r="B641" s="177"/>
      <c r="C641" s="177"/>
      <c r="D641" s="177"/>
      <c r="E641" s="177"/>
      <c r="F641" s="177"/>
      <c r="G641" s="178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171"/>
      <c r="S641" s="177"/>
      <c r="T641" s="177"/>
      <c r="U641" s="177"/>
      <c r="V641" s="177"/>
      <c r="W641" s="177"/>
      <c r="X641" s="177"/>
      <c r="Y641" s="177"/>
    </row>
    <row r="642">
      <c r="A642" s="177"/>
      <c r="B642" s="177"/>
      <c r="C642" s="177"/>
      <c r="D642" s="177"/>
      <c r="E642" s="177"/>
      <c r="F642" s="177"/>
      <c r="G642" s="178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171"/>
      <c r="S642" s="177"/>
      <c r="T642" s="177"/>
      <c r="U642" s="177"/>
      <c r="V642" s="177"/>
      <c r="W642" s="177"/>
      <c r="X642" s="177"/>
      <c r="Y642" s="177"/>
    </row>
    <row r="643">
      <c r="A643" s="177"/>
      <c r="B643" s="177"/>
      <c r="C643" s="177"/>
      <c r="D643" s="177"/>
      <c r="E643" s="177"/>
      <c r="F643" s="177"/>
      <c r="G643" s="178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171"/>
      <c r="S643" s="177"/>
      <c r="T643" s="177"/>
      <c r="U643" s="177"/>
      <c r="V643" s="177"/>
      <c r="W643" s="177"/>
      <c r="X643" s="177"/>
      <c r="Y643" s="177"/>
    </row>
    <row r="644">
      <c r="A644" s="177"/>
      <c r="B644" s="177"/>
      <c r="C644" s="177"/>
      <c r="D644" s="177"/>
      <c r="E644" s="177"/>
      <c r="F644" s="177"/>
      <c r="G644" s="178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171"/>
      <c r="S644" s="177"/>
      <c r="T644" s="177"/>
      <c r="U644" s="177"/>
      <c r="V644" s="177"/>
      <c r="W644" s="177"/>
      <c r="X644" s="177"/>
      <c r="Y644" s="177"/>
    </row>
    <row r="645">
      <c r="A645" s="177"/>
      <c r="B645" s="177"/>
      <c r="C645" s="177"/>
      <c r="D645" s="177"/>
      <c r="E645" s="177"/>
      <c r="F645" s="177"/>
      <c r="G645" s="178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171"/>
      <c r="S645" s="177"/>
      <c r="T645" s="177"/>
      <c r="U645" s="177"/>
      <c r="V645" s="177"/>
      <c r="W645" s="177"/>
      <c r="X645" s="177"/>
      <c r="Y645" s="177"/>
    </row>
    <row r="646">
      <c r="A646" s="177"/>
      <c r="B646" s="177"/>
      <c r="C646" s="177"/>
      <c r="D646" s="177"/>
      <c r="E646" s="177"/>
      <c r="F646" s="177"/>
      <c r="G646" s="178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171"/>
      <c r="S646" s="177"/>
      <c r="T646" s="177"/>
      <c r="U646" s="177"/>
      <c r="V646" s="177"/>
      <c r="W646" s="177"/>
      <c r="X646" s="177"/>
      <c r="Y646" s="177"/>
    </row>
    <row r="647">
      <c r="A647" s="177"/>
      <c r="B647" s="177"/>
      <c r="C647" s="177"/>
      <c r="D647" s="177"/>
      <c r="E647" s="177"/>
      <c r="F647" s="177"/>
      <c r="G647" s="178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171"/>
      <c r="S647" s="177"/>
      <c r="T647" s="177"/>
      <c r="U647" s="177"/>
      <c r="V647" s="177"/>
      <c r="W647" s="177"/>
      <c r="X647" s="177"/>
      <c r="Y647" s="177"/>
    </row>
    <row r="648">
      <c r="A648" s="177"/>
      <c r="B648" s="177"/>
      <c r="C648" s="177"/>
      <c r="D648" s="177"/>
      <c r="E648" s="177"/>
      <c r="F648" s="177"/>
      <c r="G648" s="178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171"/>
      <c r="S648" s="177"/>
      <c r="T648" s="177"/>
      <c r="U648" s="177"/>
      <c r="V648" s="177"/>
      <c r="W648" s="177"/>
      <c r="X648" s="177"/>
      <c r="Y648" s="177"/>
    </row>
    <row r="649">
      <c r="A649" s="177"/>
      <c r="B649" s="177"/>
      <c r="C649" s="177"/>
      <c r="D649" s="177"/>
      <c r="E649" s="177"/>
      <c r="F649" s="177"/>
      <c r="G649" s="178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171"/>
      <c r="S649" s="177"/>
      <c r="T649" s="177"/>
      <c r="U649" s="177"/>
      <c r="V649" s="177"/>
      <c r="W649" s="177"/>
      <c r="X649" s="177"/>
      <c r="Y649" s="177"/>
    </row>
    <row r="650">
      <c r="A650" s="177"/>
      <c r="B650" s="177"/>
      <c r="C650" s="177"/>
      <c r="D650" s="177"/>
      <c r="E650" s="177"/>
      <c r="F650" s="177"/>
      <c r="G650" s="178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171"/>
      <c r="S650" s="177"/>
      <c r="T650" s="177"/>
      <c r="U650" s="177"/>
      <c r="V650" s="177"/>
      <c r="W650" s="177"/>
      <c r="X650" s="177"/>
      <c r="Y650" s="177"/>
    </row>
    <row r="651">
      <c r="A651" s="177"/>
      <c r="B651" s="177"/>
      <c r="C651" s="177"/>
      <c r="D651" s="177"/>
      <c r="E651" s="177"/>
      <c r="F651" s="177"/>
      <c r="G651" s="178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171"/>
      <c r="S651" s="177"/>
      <c r="T651" s="177"/>
      <c r="U651" s="177"/>
      <c r="V651" s="177"/>
      <c r="W651" s="177"/>
      <c r="X651" s="177"/>
      <c r="Y651" s="177"/>
    </row>
    <row r="652">
      <c r="A652" s="177"/>
      <c r="B652" s="177"/>
      <c r="C652" s="177"/>
      <c r="D652" s="177"/>
      <c r="E652" s="177"/>
      <c r="F652" s="177"/>
      <c r="G652" s="178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171"/>
      <c r="S652" s="177"/>
      <c r="T652" s="177"/>
      <c r="U652" s="177"/>
      <c r="V652" s="177"/>
      <c r="W652" s="177"/>
      <c r="X652" s="177"/>
      <c r="Y652" s="177"/>
    </row>
    <row r="653">
      <c r="A653" s="177"/>
      <c r="B653" s="177"/>
      <c r="C653" s="177"/>
      <c r="D653" s="177"/>
      <c r="E653" s="177"/>
      <c r="F653" s="177"/>
      <c r="G653" s="178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171"/>
      <c r="S653" s="177"/>
      <c r="T653" s="177"/>
      <c r="U653" s="177"/>
      <c r="V653" s="177"/>
      <c r="W653" s="177"/>
      <c r="X653" s="177"/>
      <c r="Y653" s="177"/>
    </row>
    <row r="654">
      <c r="A654" s="177"/>
      <c r="B654" s="177"/>
      <c r="C654" s="177"/>
      <c r="D654" s="177"/>
      <c r="E654" s="177"/>
      <c r="F654" s="177"/>
      <c r="G654" s="178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171"/>
      <c r="S654" s="177"/>
      <c r="T654" s="177"/>
      <c r="U654" s="177"/>
      <c r="V654" s="177"/>
      <c r="W654" s="177"/>
      <c r="X654" s="177"/>
      <c r="Y654" s="177"/>
    </row>
    <row r="655">
      <c r="A655" s="177"/>
      <c r="B655" s="177"/>
      <c r="C655" s="177"/>
      <c r="D655" s="177"/>
      <c r="E655" s="177"/>
      <c r="F655" s="177"/>
      <c r="G655" s="178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171"/>
      <c r="S655" s="177"/>
      <c r="T655" s="177"/>
      <c r="U655" s="177"/>
      <c r="V655" s="177"/>
      <c r="W655" s="177"/>
      <c r="X655" s="177"/>
      <c r="Y655" s="177"/>
    </row>
    <row r="656">
      <c r="A656" s="177"/>
      <c r="B656" s="177"/>
      <c r="C656" s="177"/>
      <c r="D656" s="177"/>
      <c r="E656" s="177"/>
      <c r="F656" s="177"/>
      <c r="G656" s="178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171"/>
      <c r="S656" s="177"/>
      <c r="T656" s="177"/>
      <c r="U656" s="177"/>
      <c r="V656" s="177"/>
      <c r="W656" s="177"/>
      <c r="X656" s="177"/>
      <c r="Y656" s="177"/>
    </row>
    <row r="657">
      <c r="A657" s="177"/>
      <c r="B657" s="177"/>
      <c r="C657" s="177"/>
      <c r="D657" s="177"/>
      <c r="E657" s="177"/>
      <c r="F657" s="177"/>
      <c r="G657" s="178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171"/>
      <c r="S657" s="177"/>
      <c r="T657" s="177"/>
      <c r="U657" s="177"/>
      <c r="V657" s="177"/>
      <c r="W657" s="177"/>
      <c r="X657" s="177"/>
      <c r="Y657" s="177"/>
    </row>
    <row r="658">
      <c r="A658" s="177"/>
      <c r="B658" s="177"/>
      <c r="C658" s="177"/>
      <c r="D658" s="177"/>
      <c r="E658" s="177"/>
      <c r="F658" s="177"/>
      <c r="G658" s="178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171"/>
      <c r="S658" s="177"/>
      <c r="T658" s="177"/>
      <c r="U658" s="177"/>
      <c r="V658" s="177"/>
      <c r="W658" s="177"/>
      <c r="X658" s="177"/>
      <c r="Y658" s="177"/>
    </row>
    <row r="659">
      <c r="A659" s="177"/>
      <c r="B659" s="177"/>
      <c r="C659" s="177"/>
      <c r="D659" s="177"/>
      <c r="E659" s="177"/>
      <c r="F659" s="177"/>
      <c r="G659" s="178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171"/>
      <c r="S659" s="177"/>
      <c r="T659" s="177"/>
      <c r="U659" s="177"/>
      <c r="V659" s="177"/>
      <c r="W659" s="177"/>
      <c r="X659" s="177"/>
      <c r="Y659" s="177"/>
    </row>
    <row r="660">
      <c r="A660" s="177"/>
      <c r="B660" s="177"/>
      <c r="C660" s="177"/>
      <c r="D660" s="177"/>
      <c r="E660" s="177"/>
      <c r="F660" s="177"/>
      <c r="G660" s="178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171"/>
      <c r="S660" s="177"/>
      <c r="T660" s="177"/>
      <c r="U660" s="177"/>
      <c r="V660" s="177"/>
      <c r="W660" s="177"/>
      <c r="X660" s="177"/>
      <c r="Y660" s="177"/>
    </row>
    <row r="661">
      <c r="A661" s="177"/>
      <c r="B661" s="177"/>
      <c r="C661" s="177"/>
      <c r="D661" s="177"/>
      <c r="E661" s="177"/>
      <c r="F661" s="177"/>
      <c r="G661" s="178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171"/>
      <c r="S661" s="177"/>
      <c r="T661" s="177"/>
      <c r="U661" s="177"/>
      <c r="V661" s="177"/>
      <c r="W661" s="177"/>
      <c r="X661" s="177"/>
      <c r="Y661" s="177"/>
    </row>
    <row r="662">
      <c r="A662" s="177"/>
      <c r="B662" s="177"/>
      <c r="C662" s="177"/>
      <c r="D662" s="177"/>
      <c r="E662" s="177"/>
      <c r="F662" s="177"/>
      <c r="G662" s="178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171"/>
      <c r="S662" s="177"/>
      <c r="T662" s="177"/>
      <c r="U662" s="177"/>
      <c r="V662" s="177"/>
      <c r="W662" s="177"/>
      <c r="X662" s="177"/>
      <c r="Y662" s="177"/>
    </row>
    <row r="663">
      <c r="A663" s="177"/>
      <c r="B663" s="177"/>
      <c r="C663" s="177"/>
      <c r="D663" s="177"/>
      <c r="E663" s="177"/>
      <c r="F663" s="177"/>
      <c r="G663" s="178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171"/>
      <c r="S663" s="177"/>
      <c r="T663" s="177"/>
      <c r="U663" s="177"/>
      <c r="V663" s="177"/>
      <c r="W663" s="177"/>
      <c r="X663" s="177"/>
      <c r="Y663" s="177"/>
    </row>
    <row r="664">
      <c r="A664" s="177"/>
      <c r="B664" s="177"/>
      <c r="C664" s="177"/>
      <c r="D664" s="177"/>
      <c r="E664" s="177"/>
      <c r="F664" s="177"/>
      <c r="G664" s="178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171"/>
      <c r="S664" s="177"/>
      <c r="T664" s="177"/>
      <c r="U664" s="177"/>
      <c r="V664" s="177"/>
      <c r="W664" s="177"/>
      <c r="X664" s="177"/>
      <c r="Y664" s="177"/>
    </row>
    <row r="665">
      <c r="A665" s="177"/>
      <c r="B665" s="177"/>
      <c r="C665" s="177"/>
      <c r="D665" s="177"/>
      <c r="E665" s="177"/>
      <c r="F665" s="177"/>
      <c r="G665" s="178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171"/>
      <c r="S665" s="177"/>
      <c r="T665" s="177"/>
      <c r="U665" s="177"/>
      <c r="V665" s="177"/>
      <c r="W665" s="177"/>
      <c r="X665" s="177"/>
      <c r="Y665" s="177"/>
    </row>
    <row r="666">
      <c r="A666" s="177"/>
      <c r="B666" s="177"/>
      <c r="C666" s="177"/>
      <c r="D666" s="177"/>
      <c r="E666" s="177"/>
      <c r="F666" s="177"/>
      <c r="G666" s="178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171"/>
      <c r="S666" s="177"/>
      <c r="T666" s="177"/>
      <c r="U666" s="177"/>
      <c r="V666" s="177"/>
      <c r="W666" s="177"/>
      <c r="X666" s="177"/>
      <c r="Y666" s="177"/>
    </row>
    <row r="667">
      <c r="A667" s="177"/>
      <c r="B667" s="177"/>
      <c r="C667" s="177"/>
      <c r="D667" s="177"/>
      <c r="E667" s="177"/>
      <c r="F667" s="177"/>
      <c r="G667" s="178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171"/>
      <c r="S667" s="177"/>
      <c r="T667" s="177"/>
      <c r="U667" s="177"/>
      <c r="V667" s="177"/>
      <c r="W667" s="177"/>
      <c r="X667" s="177"/>
      <c r="Y667" s="177"/>
    </row>
    <row r="668">
      <c r="A668" s="177"/>
      <c r="B668" s="177"/>
      <c r="C668" s="177"/>
      <c r="D668" s="177"/>
      <c r="E668" s="177"/>
      <c r="F668" s="177"/>
      <c r="G668" s="178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171"/>
      <c r="S668" s="177"/>
      <c r="T668" s="177"/>
      <c r="U668" s="177"/>
      <c r="V668" s="177"/>
      <c r="W668" s="177"/>
      <c r="X668" s="177"/>
      <c r="Y668" s="177"/>
    </row>
    <row r="669">
      <c r="A669" s="177"/>
      <c r="B669" s="177"/>
      <c r="C669" s="177"/>
      <c r="D669" s="177"/>
      <c r="E669" s="177"/>
      <c r="F669" s="177"/>
      <c r="G669" s="178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171"/>
      <c r="S669" s="177"/>
      <c r="T669" s="177"/>
      <c r="U669" s="177"/>
      <c r="V669" s="177"/>
      <c r="W669" s="177"/>
      <c r="X669" s="177"/>
      <c r="Y669" s="177"/>
    </row>
    <row r="670">
      <c r="A670" s="177"/>
      <c r="B670" s="177"/>
      <c r="C670" s="177"/>
      <c r="D670" s="177"/>
      <c r="E670" s="177"/>
      <c r="F670" s="177"/>
      <c r="G670" s="178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171"/>
      <c r="S670" s="177"/>
      <c r="T670" s="177"/>
      <c r="U670" s="177"/>
      <c r="V670" s="177"/>
      <c r="W670" s="177"/>
      <c r="X670" s="177"/>
      <c r="Y670" s="177"/>
    </row>
    <row r="671">
      <c r="A671" s="177"/>
      <c r="B671" s="177"/>
      <c r="C671" s="177"/>
      <c r="D671" s="177"/>
      <c r="E671" s="177"/>
      <c r="F671" s="177"/>
      <c r="G671" s="178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171"/>
      <c r="S671" s="177"/>
      <c r="T671" s="177"/>
      <c r="U671" s="177"/>
      <c r="V671" s="177"/>
      <c r="W671" s="177"/>
      <c r="X671" s="177"/>
      <c r="Y671" s="177"/>
    </row>
    <row r="672">
      <c r="A672" s="177"/>
      <c r="B672" s="177"/>
      <c r="C672" s="177"/>
      <c r="D672" s="177"/>
      <c r="E672" s="177"/>
      <c r="F672" s="177"/>
      <c r="G672" s="178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171"/>
      <c r="S672" s="177"/>
      <c r="T672" s="177"/>
      <c r="U672" s="177"/>
      <c r="V672" s="177"/>
      <c r="W672" s="177"/>
      <c r="X672" s="177"/>
      <c r="Y672" s="177"/>
    </row>
    <row r="673">
      <c r="A673" s="177"/>
      <c r="B673" s="177"/>
      <c r="C673" s="177"/>
      <c r="D673" s="177"/>
      <c r="E673" s="177"/>
      <c r="F673" s="177"/>
      <c r="G673" s="178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171"/>
      <c r="S673" s="177"/>
      <c r="T673" s="177"/>
      <c r="U673" s="177"/>
      <c r="V673" s="177"/>
      <c r="W673" s="177"/>
      <c r="X673" s="177"/>
      <c r="Y673" s="177"/>
    </row>
    <row r="674">
      <c r="A674" s="177"/>
      <c r="B674" s="177"/>
      <c r="C674" s="177"/>
      <c r="D674" s="177"/>
      <c r="E674" s="177"/>
      <c r="F674" s="177"/>
      <c r="G674" s="178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171"/>
      <c r="S674" s="177"/>
      <c r="T674" s="177"/>
      <c r="U674" s="177"/>
      <c r="V674" s="177"/>
      <c r="W674" s="177"/>
      <c r="X674" s="177"/>
      <c r="Y674" s="177"/>
    </row>
    <row r="675">
      <c r="A675" s="177"/>
      <c r="B675" s="177"/>
      <c r="C675" s="177"/>
      <c r="D675" s="177"/>
      <c r="E675" s="177"/>
      <c r="F675" s="177"/>
      <c r="G675" s="178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171"/>
      <c r="S675" s="177"/>
      <c r="T675" s="177"/>
      <c r="U675" s="177"/>
      <c r="V675" s="177"/>
      <c r="W675" s="177"/>
      <c r="X675" s="177"/>
      <c r="Y675" s="177"/>
    </row>
    <row r="676">
      <c r="A676" s="177"/>
      <c r="B676" s="177"/>
      <c r="C676" s="177"/>
      <c r="D676" s="177"/>
      <c r="E676" s="177"/>
      <c r="F676" s="177"/>
      <c r="G676" s="178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171"/>
      <c r="S676" s="177"/>
      <c r="T676" s="177"/>
      <c r="U676" s="177"/>
      <c r="V676" s="177"/>
      <c r="W676" s="177"/>
      <c r="X676" s="177"/>
      <c r="Y676" s="177"/>
    </row>
    <row r="677">
      <c r="A677" s="177"/>
      <c r="B677" s="177"/>
      <c r="C677" s="177"/>
      <c r="D677" s="177"/>
      <c r="E677" s="177"/>
      <c r="F677" s="177"/>
      <c r="G677" s="178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171"/>
      <c r="S677" s="177"/>
      <c r="T677" s="177"/>
      <c r="U677" s="177"/>
      <c r="V677" s="177"/>
      <c r="W677" s="177"/>
      <c r="X677" s="177"/>
      <c r="Y677" s="177"/>
    </row>
    <row r="678">
      <c r="A678" s="177"/>
      <c r="B678" s="177"/>
      <c r="C678" s="177"/>
      <c r="D678" s="177"/>
      <c r="E678" s="177"/>
      <c r="F678" s="177"/>
      <c r="G678" s="178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171"/>
      <c r="S678" s="177"/>
      <c r="T678" s="177"/>
      <c r="U678" s="177"/>
      <c r="V678" s="177"/>
      <c r="W678" s="177"/>
      <c r="X678" s="177"/>
      <c r="Y678" s="177"/>
    </row>
    <row r="679">
      <c r="A679" s="177"/>
      <c r="B679" s="177"/>
      <c r="C679" s="177"/>
      <c r="D679" s="177"/>
      <c r="E679" s="177"/>
      <c r="F679" s="177"/>
      <c r="G679" s="178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171"/>
      <c r="S679" s="177"/>
      <c r="T679" s="177"/>
      <c r="U679" s="177"/>
      <c r="V679" s="177"/>
      <c r="W679" s="177"/>
      <c r="X679" s="177"/>
      <c r="Y679" s="177"/>
    </row>
    <row r="680">
      <c r="A680" s="177"/>
      <c r="B680" s="177"/>
      <c r="C680" s="177"/>
      <c r="D680" s="177"/>
      <c r="E680" s="177"/>
      <c r="F680" s="177"/>
      <c r="G680" s="178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171"/>
      <c r="S680" s="177"/>
      <c r="T680" s="177"/>
      <c r="U680" s="177"/>
      <c r="V680" s="177"/>
      <c r="W680" s="177"/>
      <c r="X680" s="177"/>
      <c r="Y680" s="177"/>
    </row>
    <row r="681">
      <c r="A681" s="177"/>
      <c r="B681" s="177"/>
      <c r="C681" s="177"/>
      <c r="D681" s="177"/>
      <c r="E681" s="177"/>
      <c r="F681" s="177"/>
      <c r="G681" s="178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171"/>
      <c r="S681" s="177"/>
      <c r="T681" s="177"/>
      <c r="U681" s="177"/>
      <c r="V681" s="177"/>
      <c r="W681" s="177"/>
      <c r="X681" s="177"/>
      <c r="Y681" s="177"/>
    </row>
    <row r="682">
      <c r="A682" s="177"/>
      <c r="B682" s="177"/>
      <c r="C682" s="177"/>
      <c r="D682" s="177"/>
      <c r="E682" s="177"/>
      <c r="F682" s="177"/>
      <c r="G682" s="178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171"/>
      <c r="S682" s="177"/>
      <c r="T682" s="177"/>
      <c r="U682" s="177"/>
      <c r="V682" s="177"/>
      <c r="W682" s="177"/>
      <c r="X682" s="177"/>
      <c r="Y682" s="177"/>
    </row>
    <row r="683">
      <c r="A683" s="177"/>
      <c r="B683" s="177"/>
      <c r="C683" s="177"/>
      <c r="D683" s="177"/>
      <c r="E683" s="177"/>
      <c r="F683" s="177"/>
      <c r="G683" s="178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171"/>
      <c r="S683" s="177"/>
      <c r="T683" s="177"/>
      <c r="U683" s="177"/>
      <c r="V683" s="177"/>
      <c r="W683" s="177"/>
      <c r="X683" s="177"/>
      <c r="Y683" s="177"/>
    </row>
    <row r="684">
      <c r="A684" s="177"/>
      <c r="B684" s="177"/>
      <c r="C684" s="177"/>
      <c r="D684" s="177"/>
      <c r="E684" s="177"/>
      <c r="F684" s="177"/>
      <c r="G684" s="178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171"/>
      <c r="S684" s="177"/>
      <c r="T684" s="177"/>
      <c r="U684" s="177"/>
      <c r="V684" s="177"/>
      <c r="W684" s="177"/>
      <c r="X684" s="177"/>
      <c r="Y684" s="177"/>
    </row>
    <row r="685">
      <c r="A685" s="177"/>
      <c r="B685" s="177"/>
      <c r="C685" s="177"/>
      <c r="D685" s="177"/>
      <c r="E685" s="177"/>
      <c r="F685" s="177"/>
      <c r="G685" s="178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171"/>
      <c r="S685" s="177"/>
      <c r="T685" s="177"/>
      <c r="U685" s="177"/>
      <c r="V685" s="177"/>
      <c r="W685" s="177"/>
      <c r="X685" s="177"/>
      <c r="Y685" s="177"/>
    </row>
    <row r="686">
      <c r="A686" s="177"/>
      <c r="B686" s="177"/>
      <c r="C686" s="177"/>
      <c r="D686" s="177"/>
      <c r="E686" s="177"/>
      <c r="F686" s="177"/>
      <c r="G686" s="178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171"/>
      <c r="S686" s="177"/>
      <c r="T686" s="177"/>
      <c r="U686" s="177"/>
      <c r="V686" s="177"/>
      <c r="W686" s="177"/>
      <c r="X686" s="177"/>
      <c r="Y686" s="177"/>
    </row>
    <row r="687">
      <c r="A687" s="177"/>
      <c r="B687" s="177"/>
      <c r="C687" s="177"/>
      <c r="D687" s="177"/>
      <c r="E687" s="177"/>
      <c r="F687" s="177"/>
      <c r="G687" s="178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171"/>
      <c r="S687" s="177"/>
      <c r="T687" s="177"/>
      <c r="U687" s="177"/>
      <c r="V687" s="177"/>
      <c r="W687" s="177"/>
      <c r="X687" s="177"/>
      <c r="Y687" s="177"/>
    </row>
    <row r="688">
      <c r="A688" s="177"/>
      <c r="B688" s="177"/>
      <c r="C688" s="177"/>
      <c r="D688" s="177"/>
      <c r="E688" s="177"/>
      <c r="F688" s="177"/>
      <c r="G688" s="178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171"/>
      <c r="S688" s="177"/>
      <c r="T688" s="177"/>
      <c r="U688" s="177"/>
      <c r="V688" s="177"/>
      <c r="W688" s="177"/>
      <c r="X688" s="177"/>
      <c r="Y688" s="177"/>
    </row>
    <row r="689">
      <c r="A689" s="177"/>
      <c r="B689" s="177"/>
      <c r="C689" s="177"/>
      <c r="D689" s="177"/>
      <c r="E689" s="177"/>
      <c r="F689" s="177"/>
      <c r="G689" s="178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171"/>
      <c r="S689" s="177"/>
      <c r="T689" s="177"/>
      <c r="U689" s="177"/>
      <c r="V689" s="177"/>
      <c r="W689" s="177"/>
      <c r="X689" s="177"/>
      <c r="Y689" s="177"/>
    </row>
    <row r="690">
      <c r="A690" s="177"/>
      <c r="B690" s="177"/>
      <c r="C690" s="177"/>
      <c r="D690" s="177"/>
      <c r="E690" s="177"/>
      <c r="F690" s="177"/>
      <c r="G690" s="178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171"/>
      <c r="S690" s="177"/>
      <c r="T690" s="177"/>
      <c r="U690" s="177"/>
      <c r="V690" s="177"/>
      <c r="W690" s="177"/>
      <c r="X690" s="177"/>
      <c r="Y690" s="177"/>
    </row>
    <row r="691">
      <c r="A691" s="177"/>
      <c r="B691" s="177"/>
      <c r="C691" s="177"/>
      <c r="D691" s="177"/>
      <c r="E691" s="177"/>
      <c r="F691" s="177"/>
      <c r="G691" s="178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171"/>
      <c r="S691" s="177"/>
      <c r="T691" s="177"/>
      <c r="U691" s="177"/>
      <c r="V691" s="177"/>
      <c r="W691" s="177"/>
      <c r="X691" s="177"/>
      <c r="Y691" s="177"/>
    </row>
    <row r="692">
      <c r="A692" s="177"/>
      <c r="B692" s="177"/>
      <c r="C692" s="177"/>
      <c r="D692" s="177"/>
      <c r="E692" s="177"/>
      <c r="F692" s="177"/>
      <c r="G692" s="178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171"/>
      <c r="S692" s="177"/>
      <c r="T692" s="177"/>
      <c r="U692" s="177"/>
      <c r="V692" s="177"/>
      <c r="W692" s="177"/>
      <c r="X692" s="177"/>
      <c r="Y692" s="177"/>
    </row>
    <row r="693">
      <c r="A693" s="177"/>
      <c r="B693" s="177"/>
      <c r="C693" s="177"/>
      <c r="D693" s="177"/>
      <c r="E693" s="177"/>
      <c r="F693" s="177"/>
      <c r="G693" s="178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171"/>
      <c r="S693" s="177"/>
      <c r="T693" s="177"/>
      <c r="U693" s="177"/>
      <c r="V693" s="177"/>
      <c r="W693" s="177"/>
      <c r="X693" s="177"/>
      <c r="Y693" s="177"/>
    </row>
    <row r="694">
      <c r="A694" s="177"/>
      <c r="B694" s="177"/>
      <c r="C694" s="177"/>
      <c r="D694" s="177"/>
      <c r="E694" s="177"/>
      <c r="F694" s="177"/>
      <c r="G694" s="178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171"/>
      <c r="S694" s="177"/>
      <c r="T694" s="177"/>
      <c r="U694" s="177"/>
      <c r="V694" s="177"/>
      <c r="W694" s="177"/>
      <c r="X694" s="177"/>
      <c r="Y694" s="177"/>
    </row>
    <row r="695">
      <c r="A695" s="177"/>
      <c r="B695" s="177"/>
      <c r="C695" s="177"/>
      <c r="D695" s="177"/>
      <c r="E695" s="177"/>
      <c r="F695" s="177"/>
      <c r="G695" s="178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171"/>
      <c r="S695" s="177"/>
      <c r="T695" s="177"/>
      <c r="U695" s="177"/>
      <c r="V695" s="177"/>
      <c r="W695" s="177"/>
      <c r="X695" s="177"/>
      <c r="Y695" s="177"/>
    </row>
    <row r="696">
      <c r="A696" s="177"/>
      <c r="B696" s="177"/>
      <c r="C696" s="177"/>
      <c r="D696" s="177"/>
      <c r="E696" s="177"/>
      <c r="F696" s="177"/>
      <c r="G696" s="178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171"/>
      <c r="S696" s="177"/>
      <c r="T696" s="177"/>
      <c r="U696" s="177"/>
      <c r="V696" s="177"/>
      <c r="W696" s="177"/>
      <c r="X696" s="177"/>
      <c r="Y696" s="177"/>
    </row>
    <row r="697">
      <c r="A697" s="177"/>
      <c r="B697" s="177"/>
      <c r="C697" s="177"/>
      <c r="D697" s="177"/>
      <c r="E697" s="177"/>
      <c r="F697" s="177"/>
      <c r="G697" s="178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171"/>
      <c r="S697" s="177"/>
      <c r="T697" s="177"/>
      <c r="U697" s="177"/>
      <c r="V697" s="177"/>
      <c r="W697" s="177"/>
      <c r="X697" s="177"/>
      <c r="Y697" s="177"/>
    </row>
    <row r="698">
      <c r="A698" s="177"/>
      <c r="B698" s="177"/>
      <c r="C698" s="177"/>
      <c r="D698" s="177"/>
      <c r="E698" s="177"/>
      <c r="F698" s="177"/>
      <c r="G698" s="178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171"/>
      <c r="S698" s="177"/>
      <c r="T698" s="177"/>
      <c r="U698" s="177"/>
      <c r="V698" s="177"/>
      <c r="W698" s="177"/>
      <c r="X698" s="177"/>
      <c r="Y698" s="177"/>
    </row>
    <row r="699">
      <c r="A699" s="177"/>
      <c r="B699" s="177"/>
      <c r="C699" s="177"/>
      <c r="D699" s="177"/>
      <c r="E699" s="177"/>
      <c r="F699" s="177"/>
      <c r="G699" s="178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171"/>
      <c r="S699" s="177"/>
      <c r="T699" s="177"/>
      <c r="U699" s="177"/>
      <c r="V699" s="177"/>
      <c r="W699" s="177"/>
      <c r="X699" s="177"/>
      <c r="Y699" s="177"/>
    </row>
    <row r="700">
      <c r="A700" s="177"/>
      <c r="B700" s="177"/>
      <c r="C700" s="177"/>
      <c r="D700" s="177"/>
      <c r="E700" s="177"/>
      <c r="F700" s="177"/>
      <c r="G700" s="178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171"/>
      <c r="S700" s="177"/>
      <c r="T700" s="177"/>
      <c r="U700" s="177"/>
      <c r="V700" s="177"/>
      <c r="W700" s="177"/>
      <c r="X700" s="177"/>
      <c r="Y700" s="177"/>
    </row>
    <row r="701">
      <c r="A701" s="177"/>
      <c r="B701" s="177"/>
      <c r="C701" s="177"/>
      <c r="D701" s="177"/>
      <c r="E701" s="177"/>
      <c r="F701" s="177"/>
      <c r="G701" s="178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171"/>
      <c r="S701" s="177"/>
      <c r="T701" s="177"/>
      <c r="U701" s="177"/>
      <c r="V701" s="177"/>
      <c r="W701" s="177"/>
      <c r="X701" s="177"/>
      <c r="Y701" s="177"/>
    </row>
    <row r="702">
      <c r="A702" s="177"/>
      <c r="B702" s="177"/>
      <c r="C702" s="177"/>
      <c r="D702" s="177"/>
      <c r="E702" s="177"/>
      <c r="F702" s="177"/>
      <c r="G702" s="178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171"/>
      <c r="S702" s="177"/>
      <c r="T702" s="177"/>
      <c r="U702" s="177"/>
      <c r="V702" s="177"/>
      <c r="W702" s="177"/>
      <c r="X702" s="177"/>
      <c r="Y702" s="177"/>
    </row>
    <row r="703">
      <c r="A703" s="177"/>
      <c r="B703" s="177"/>
      <c r="C703" s="177"/>
      <c r="D703" s="177"/>
      <c r="E703" s="177"/>
      <c r="F703" s="177"/>
      <c r="G703" s="178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171"/>
      <c r="S703" s="177"/>
      <c r="T703" s="177"/>
      <c r="U703" s="177"/>
      <c r="V703" s="177"/>
      <c r="W703" s="177"/>
      <c r="X703" s="177"/>
      <c r="Y703" s="177"/>
    </row>
    <row r="704">
      <c r="A704" s="177"/>
      <c r="B704" s="177"/>
      <c r="C704" s="177"/>
      <c r="D704" s="177"/>
      <c r="E704" s="177"/>
      <c r="F704" s="177"/>
      <c r="G704" s="178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171"/>
      <c r="S704" s="177"/>
      <c r="T704" s="177"/>
      <c r="U704" s="177"/>
      <c r="V704" s="177"/>
      <c r="W704" s="177"/>
      <c r="X704" s="177"/>
      <c r="Y704" s="177"/>
    </row>
    <row r="705">
      <c r="A705" s="177"/>
      <c r="B705" s="177"/>
      <c r="C705" s="177"/>
      <c r="D705" s="177"/>
      <c r="E705" s="177"/>
      <c r="F705" s="177"/>
      <c r="G705" s="178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171"/>
      <c r="S705" s="177"/>
      <c r="T705" s="177"/>
      <c r="U705" s="177"/>
      <c r="V705" s="177"/>
      <c r="W705" s="177"/>
      <c r="X705" s="177"/>
      <c r="Y705" s="177"/>
    </row>
    <row r="706">
      <c r="A706" s="177"/>
      <c r="B706" s="177"/>
      <c r="C706" s="177"/>
      <c r="D706" s="177"/>
      <c r="E706" s="177"/>
      <c r="F706" s="177"/>
      <c r="G706" s="178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171"/>
      <c r="S706" s="177"/>
      <c r="T706" s="177"/>
      <c r="U706" s="177"/>
      <c r="V706" s="177"/>
      <c r="W706" s="177"/>
      <c r="X706" s="177"/>
      <c r="Y706" s="177"/>
    </row>
    <row r="707">
      <c r="A707" s="177"/>
      <c r="B707" s="177"/>
      <c r="C707" s="177"/>
      <c r="D707" s="177"/>
      <c r="E707" s="177"/>
      <c r="F707" s="177"/>
      <c r="G707" s="178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171"/>
      <c r="S707" s="177"/>
      <c r="T707" s="177"/>
      <c r="U707" s="177"/>
      <c r="V707" s="177"/>
      <c r="W707" s="177"/>
      <c r="X707" s="177"/>
      <c r="Y707" s="177"/>
    </row>
    <row r="708">
      <c r="A708" s="177"/>
      <c r="B708" s="177"/>
      <c r="C708" s="177"/>
      <c r="D708" s="177"/>
      <c r="E708" s="177"/>
      <c r="F708" s="177"/>
      <c r="G708" s="178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171"/>
      <c r="S708" s="177"/>
      <c r="T708" s="177"/>
      <c r="U708" s="177"/>
      <c r="V708" s="177"/>
      <c r="W708" s="177"/>
      <c r="X708" s="177"/>
      <c r="Y708" s="177"/>
    </row>
    <row r="709">
      <c r="A709" s="177"/>
      <c r="B709" s="177"/>
      <c r="C709" s="177"/>
      <c r="D709" s="177"/>
      <c r="E709" s="177"/>
      <c r="F709" s="177"/>
      <c r="G709" s="178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171"/>
      <c r="S709" s="177"/>
      <c r="T709" s="177"/>
      <c r="U709" s="177"/>
      <c r="V709" s="177"/>
      <c r="W709" s="177"/>
      <c r="X709" s="177"/>
      <c r="Y709" s="177"/>
    </row>
    <row r="710">
      <c r="A710" s="177"/>
      <c r="B710" s="177"/>
      <c r="C710" s="177"/>
      <c r="D710" s="177"/>
      <c r="E710" s="177"/>
      <c r="F710" s="177"/>
      <c r="G710" s="178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171"/>
      <c r="S710" s="177"/>
      <c r="T710" s="177"/>
      <c r="U710" s="177"/>
      <c r="V710" s="177"/>
      <c r="W710" s="177"/>
      <c r="X710" s="177"/>
      <c r="Y710" s="177"/>
    </row>
    <row r="711">
      <c r="A711" s="177"/>
      <c r="B711" s="177"/>
      <c r="C711" s="177"/>
      <c r="D711" s="177"/>
      <c r="E711" s="177"/>
      <c r="F711" s="177"/>
      <c r="G711" s="178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171"/>
      <c r="S711" s="177"/>
      <c r="T711" s="177"/>
      <c r="U711" s="177"/>
      <c r="V711" s="177"/>
      <c r="W711" s="177"/>
      <c r="X711" s="177"/>
      <c r="Y711" s="177"/>
    </row>
    <row r="712">
      <c r="A712" s="177"/>
      <c r="B712" s="177"/>
      <c r="C712" s="177"/>
      <c r="D712" s="177"/>
      <c r="E712" s="177"/>
      <c r="F712" s="177"/>
      <c r="G712" s="178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171"/>
      <c r="S712" s="177"/>
      <c r="T712" s="177"/>
      <c r="U712" s="177"/>
      <c r="V712" s="177"/>
      <c r="W712" s="177"/>
      <c r="X712" s="177"/>
      <c r="Y712" s="177"/>
    </row>
    <row r="713">
      <c r="A713" s="177"/>
      <c r="B713" s="177"/>
      <c r="C713" s="177"/>
      <c r="D713" s="177"/>
      <c r="E713" s="177"/>
      <c r="F713" s="177"/>
      <c r="G713" s="178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171"/>
      <c r="S713" s="177"/>
      <c r="T713" s="177"/>
      <c r="U713" s="177"/>
      <c r="V713" s="177"/>
      <c r="W713" s="177"/>
      <c r="X713" s="177"/>
      <c r="Y713" s="177"/>
    </row>
    <row r="714">
      <c r="A714" s="177"/>
      <c r="B714" s="177"/>
      <c r="C714" s="177"/>
      <c r="D714" s="177"/>
      <c r="E714" s="177"/>
      <c r="F714" s="177"/>
      <c r="G714" s="178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171"/>
      <c r="S714" s="177"/>
      <c r="T714" s="177"/>
      <c r="U714" s="177"/>
      <c r="V714" s="177"/>
      <c r="W714" s="177"/>
      <c r="X714" s="177"/>
      <c r="Y714" s="177"/>
    </row>
    <row r="715">
      <c r="A715" s="177"/>
      <c r="B715" s="177"/>
      <c r="C715" s="177"/>
      <c r="D715" s="177"/>
      <c r="E715" s="177"/>
      <c r="F715" s="177"/>
      <c r="G715" s="178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171"/>
      <c r="S715" s="177"/>
      <c r="T715" s="177"/>
      <c r="U715" s="177"/>
      <c r="V715" s="177"/>
      <c r="W715" s="177"/>
      <c r="X715" s="177"/>
      <c r="Y715" s="177"/>
    </row>
    <row r="716">
      <c r="A716" s="177"/>
      <c r="B716" s="177"/>
      <c r="C716" s="177"/>
      <c r="D716" s="177"/>
      <c r="E716" s="177"/>
      <c r="F716" s="177"/>
      <c r="G716" s="178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171"/>
      <c r="S716" s="177"/>
      <c r="T716" s="177"/>
      <c r="U716" s="177"/>
      <c r="V716" s="177"/>
      <c r="W716" s="177"/>
      <c r="X716" s="177"/>
      <c r="Y716" s="177"/>
    </row>
    <row r="717">
      <c r="A717" s="177"/>
      <c r="B717" s="177"/>
      <c r="C717" s="177"/>
      <c r="D717" s="177"/>
      <c r="E717" s="177"/>
      <c r="F717" s="177"/>
      <c r="G717" s="178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171"/>
      <c r="S717" s="177"/>
      <c r="T717" s="177"/>
      <c r="U717" s="177"/>
      <c r="V717" s="177"/>
      <c r="W717" s="177"/>
      <c r="X717" s="177"/>
      <c r="Y717" s="177"/>
    </row>
    <row r="718">
      <c r="A718" s="177"/>
      <c r="B718" s="177"/>
      <c r="C718" s="177"/>
      <c r="D718" s="177"/>
      <c r="E718" s="177"/>
      <c r="F718" s="177"/>
      <c r="G718" s="178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171"/>
      <c r="S718" s="177"/>
      <c r="T718" s="177"/>
      <c r="U718" s="177"/>
      <c r="V718" s="177"/>
      <c r="W718" s="177"/>
      <c r="X718" s="177"/>
      <c r="Y718" s="177"/>
    </row>
    <row r="719">
      <c r="A719" s="177"/>
      <c r="B719" s="177"/>
      <c r="C719" s="177"/>
      <c r="D719" s="177"/>
      <c r="E719" s="177"/>
      <c r="F719" s="177"/>
      <c r="G719" s="178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171"/>
      <c r="S719" s="177"/>
      <c r="T719" s="177"/>
      <c r="U719" s="177"/>
      <c r="V719" s="177"/>
      <c r="W719" s="177"/>
      <c r="X719" s="177"/>
      <c r="Y719" s="177"/>
    </row>
    <row r="720">
      <c r="A720" s="177"/>
      <c r="B720" s="177"/>
      <c r="C720" s="177"/>
      <c r="D720" s="177"/>
      <c r="E720" s="177"/>
      <c r="F720" s="177"/>
      <c r="G720" s="178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171"/>
      <c r="S720" s="177"/>
      <c r="T720" s="177"/>
      <c r="U720" s="177"/>
      <c r="V720" s="177"/>
      <c r="W720" s="177"/>
      <c r="X720" s="177"/>
      <c r="Y720" s="177"/>
    </row>
    <row r="721">
      <c r="A721" s="177"/>
      <c r="B721" s="177"/>
      <c r="C721" s="177"/>
      <c r="D721" s="177"/>
      <c r="E721" s="177"/>
      <c r="F721" s="177"/>
      <c r="G721" s="178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171"/>
      <c r="S721" s="177"/>
      <c r="T721" s="177"/>
      <c r="U721" s="177"/>
      <c r="V721" s="177"/>
      <c r="W721" s="177"/>
      <c r="X721" s="177"/>
      <c r="Y721" s="177"/>
    </row>
    <row r="722">
      <c r="A722" s="177"/>
      <c r="B722" s="177"/>
      <c r="C722" s="177"/>
      <c r="D722" s="177"/>
      <c r="E722" s="177"/>
      <c r="F722" s="177"/>
      <c r="G722" s="178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171"/>
      <c r="S722" s="177"/>
      <c r="T722" s="177"/>
      <c r="U722" s="177"/>
      <c r="V722" s="177"/>
      <c r="W722" s="177"/>
      <c r="X722" s="177"/>
      <c r="Y722" s="177"/>
    </row>
    <row r="723">
      <c r="A723" s="177"/>
      <c r="B723" s="177"/>
      <c r="C723" s="177"/>
      <c r="D723" s="177"/>
      <c r="E723" s="177"/>
      <c r="F723" s="177"/>
      <c r="G723" s="178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171"/>
      <c r="S723" s="177"/>
      <c r="T723" s="177"/>
      <c r="U723" s="177"/>
      <c r="V723" s="177"/>
      <c r="W723" s="177"/>
      <c r="X723" s="177"/>
      <c r="Y723" s="177"/>
    </row>
    <row r="724">
      <c r="A724" s="177"/>
      <c r="B724" s="177"/>
      <c r="C724" s="177"/>
      <c r="D724" s="177"/>
      <c r="E724" s="177"/>
      <c r="F724" s="177"/>
      <c r="G724" s="178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171"/>
      <c r="S724" s="177"/>
      <c r="T724" s="177"/>
      <c r="U724" s="177"/>
      <c r="V724" s="177"/>
      <c r="W724" s="177"/>
      <c r="X724" s="177"/>
      <c r="Y724" s="177"/>
    </row>
    <row r="725">
      <c r="A725" s="177"/>
      <c r="B725" s="177"/>
      <c r="C725" s="177"/>
      <c r="D725" s="177"/>
      <c r="E725" s="177"/>
      <c r="F725" s="177"/>
      <c r="G725" s="178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171"/>
      <c r="S725" s="177"/>
      <c r="T725" s="177"/>
      <c r="U725" s="177"/>
      <c r="V725" s="177"/>
      <c r="W725" s="177"/>
      <c r="X725" s="177"/>
      <c r="Y725" s="177"/>
    </row>
    <row r="726">
      <c r="A726" s="177"/>
      <c r="B726" s="177"/>
      <c r="C726" s="177"/>
      <c r="D726" s="177"/>
      <c r="E726" s="177"/>
      <c r="F726" s="177"/>
      <c r="G726" s="178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171"/>
      <c r="S726" s="177"/>
      <c r="T726" s="177"/>
      <c r="U726" s="177"/>
      <c r="V726" s="177"/>
      <c r="W726" s="177"/>
      <c r="X726" s="177"/>
      <c r="Y726" s="177"/>
    </row>
    <row r="727">
      <c r="A727" s="177"/>
      <c r="B727" s="177"/>
      <c r="C727" s="177"/>
      <c r="D727" s="177"/>
      <c r="E727" s="177"/>
      <c r="F727" s="177"/>
      <c r="G727" s="178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171"/>
      <c r="S727" s="177"/>
      <c r="T727" s="177"/>
      <c r="U727" s="177"/>
      <c r="V727" s="177"/>
      <c r="W727" s="177"/>
      <c r="X727" s="177"/>
      <c r="Y727" s="177"/>
    </row>
    <row r="728">
      <c r="A728" s="177"/>
      <c r="B728" s="177"/>
      <c r="C728" s="177"/>
      <c r="D728" s="177"/>
      <c r="E728" s="177"/>
      <c r="F728" s="177"/>
      <c r="G728" s="178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171"/>
      <c r="S728" s="177"/>
      <c r="T728" s="177"/>
      <c r="U728" s="177"/>
      <c r="V728" s="177"/>
      <c r="W728" s="177"/>
      <c r="X728" s="177"/>
      <c r="Y728" s="177"/>
    </row>
    <row r="729">
      <c r="A729" s="177"/>
      <c r="B729" s="177"/>
      <c r="C729" s="177"/>
      <c r="D729" s="177"/>
      <c r="E729" s="177"/>
      <c r="F729" s="177"/>
      <c r="G729" s="178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171"/>
      <c r="S729" s="177"/>
      <c r="T729" s="177"/>
      <c r="U729" s="177"/>
      <c r="V729" s="177"/>
      <c r="W729" s="177"/>
      <c r="X729" s="177"/>
      <c r="Y729" s="177"/>
    </row>
    <row r="730">
      <c r="A730" s="177"/>
      <c r="B730" s="177"/>
      <c r="C730" s="177"/>
      <c r="D730" s="177"/>
      <c r="E730" s="177"/>
      <c r="F730" s="177"/>
      <c r="G730" s="178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171"/>
      <c r="S730" s="177"/>
      <c r="T730" s="177"/>
      <c r="U730" s="177"/>
      <c r="V730" s="177"/>
      <c r="W730" s="177"/>
      <c r="X730" s="177"/>
      <c r="Y730" s="177"/>
    </row>
    <row r="731">
      <c r="A731" s="177"/>
      <c r="B731" s="177"/>
      <c r="C731" s="177"/>
      <c r="D731" s="177"/>
      <c r="E731" s="177"/>
      <c r="F731" s="177"/>
      <c r="G731" s="178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171"/>
      <c r="S731" s="177"/>
      <c r="T731" s="177"/>
      <c r="U731" s="177"/>
      <c r="V731" s="177"/>
      <c r="W731" s="177"/>
      <c r="X731" s="177"/>
      <c r="Y731" s="177"/>
    </row>
    <row r="732">
      <c r="A732" s="177"/>
      <c r="B732" s="177"/>
      <c r="C732" s="177"/>
      <c r="D732" s="177"/>
      <c r="E732" s="177"/>
      <c r="F732" s="177"/>
      <c r="G732" s="178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171"/>
      <c r="S732" s="177"/>
      <c r="T732" s="177"/>
      <c r="U732" s="177"/>
      <c r="V732" s="177"/>
      <c r="W732" s="177"/>
      <c r="X732" s="177"/>
      <c r="Y732" s="177"/>
    </row>
    <row r="733">
      <c r="A733" s="177"/>
      <c r="B733" s="177"/>
      <c r="C733" s="177"/>
      <c r="D733" s="177"/>
      <c r="E733" s="177"/>
      <c r="F733" s="177"/>
      <c r="G733" s="178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171"/>
      <c r="S733" s="177"/>
      <c r="T733" s="177"/>
      <c r="U733" s="177"/>
      <c r="V733" s="177"/>
      <c r="W733" s="177"/>
      <c r="X733" s="177"/>
      <c r="Y733" s="177"/>
    </row>
    <row r="734">
      <c r="A734" s="177"/>
      <c r="B734" s="177"/>
      <c r="C734" s="177"/>
      <c r="D734" s="177"/>
      <c r="E734" s="177"/>
      <c r="F734" s="177"/>
      <c r="G734" s="178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171"/>
      <c r="S734" s="177"/>
      <c r="T734" s="177"/>
      <c r="U734" s="177"/>
      <c r="V734" s="177"/>
      <c r="W734" s="177"/>
      <c r="X734" s="177"/>
      <c r="Y734" s="177"/>
    </row>
    <row r="735">
      <c r="A735" s="177"/>
      <c r="B735" s="177"/>
      <c r="C735" s="177"/>
      <c r="D735" s="177"/>
      <c r="E735" s="177"/>
      <c r="F735" s="177"/>
      <c r="G735" s="178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171"/>
      <c r="S735" s="177"/>
      <c r="T735" s="177"/>
      <c r="U735" s="177"/>
      <c r="V735" s="177"/>
      <c r="W735" s="177"/>
      <c r="X735" s="177"/>
      <c r="Y735" s="177"/>
    </row>
    <row r="736">
      <c r="A736" s="177"/>
      <c r="B736" s="177"/>
      <c r="C736" s="177"/>
      <c r="D736" s="177"/>
      <c r="E736" s="177"/>
      <c r="F736" s="177"/>
      <c r="G736" s="178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171"/>
      <c r="S736" s="177"/>
      <c r="T736" s="177"/>
      <c r="U736" s="177"/>
      <c r="V736" s="177"/>
      <c r="W736" s="177"/>
      <c r="X736" s="177"/>
      <c r="Y736" s="177"/>
    </row>
    <row r="737">
      <c r="A737" s="177"/>
      <c r="B737" s="177"/>
      <c r="C737" s="177"/>
      <c r="D737" s="177"/>
      <c r="E737" s="177"/>
      <c r="F737" s="177"/>
      <c r="G737" s="178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171"/>
      <c r="S737" s="177"/>
      <c r="T737" s="177"/>
      <c r="U737" s="177"/>
      <c r="V737" s="177"/>
      <c r="W737" s="177"/>
      <c r="X737" s="177"/>
      <c r="Y737" s="177"/>
    </row>
    <row r="738">
      <c r="A738" s="177"/>
      <c r="B738" s="177"/>
      <c r="C738" s="177"/>
      <c r="D738" s="177"/>
      <c r="E738" s="177"/>
      <c r="F738" s="177"/>
      <c r="G738" s="178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171"/>
      <c r="S738" s="177"/>
      <c r="T738" s="177"/>
      <c r="U738" s="177"/>
      <c r="V738" s="177"/>
      <c r="W738" s="177"/>
      <c r="X738" s="177"/>
      <c r="Y738" s="177"/>
    </row>
    <row r="739">
      <c r="A739" s="177"/>
      <c r="B739" s="177"/>
      <c r="C739" s="177"/>
      <c r="D739" s="177"/>
      <c r="E739" s="177"/>
      <c r="F739" s="177"/>
      <c r="G739" s="178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171"/>
      <c r="S739" s="177"/>
      <c r="T739" s="177"/>
      <c r="U739" s="177"/>
      <c r="V739" s="177"/>
      <c r="W739" s="177"/>
      <c r="X739" s="177"/>
      <c r="Y739" s="177"/>
    </row>
    <row r="740">
      <c r="A740" s="177"/>
      <c r="B740" s="177"/>
      <c r="C740" s="177"/>
      <c r="D740" s="177"/>
      <c r="E740" s="177"/>
      <c r="F740" s="177"/>
      <c r="G740" s="178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171"/>
      <c r="S740" s="177"/>
      <c r="T740" s="177"/>
      <c r="U740" s="177"/>
      <c r="V740" s="177"/>
      <c r="W740" s="177"/>
      <c r="X740" s="177"/>
      <c r="Y740" s="177"/>
    </row>
    <row r="741">
      <c r="A741" s="177"/>
      <c r="B741" s="177"/>
      <c r="C741" s="177"/>
      <c r="D741" s="177"/>
      <c r="E741" s="177"/>
      <c r="F741" s="177"/>
      <c r="G741" s="178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171"/>
      <c r="S741" s="177"/>
      <c r="T741" s="177"/>
      <c r="U741" s="177"/>
      <c r="V741" s="177"/>
      <c r="W741" s="177"/>
      <c r="X741" s="177"/>
      <c r="Y741" s="177"/>
    </row>
    <row r="742">
      <c r="A742" s="177"/>
      <c r="B742" s="177"/>
      <c r="C742" s="177"/>
      <c r="D742" s="177"/>
      <c r="E742" s="177"/>
      <c r="F742" s="177"/>
      <c r="G742" s="178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171"/>
      <c r="S742" s="177"/>
      <c r="T742" s="177"/>
      <c r="U742" s="177"/>
      <c r="V742" s="177"/>
      <c r="W742" s="177"/>
      <c r="X742" s="177"/>
      <c r="Y742" s="177"/>
    </row>
    <row r="743">
      <c r="A743" s="177"/>
      <c r="B743" s="177"/>
      <c r="C743" s="177"/>
      <c r="D743" s="177"/>
      <c r="E743" s="177"/>
      <c r="F743" s="177"/>
      <c r="G743" s="178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171"/>
      <c r="S743" s="177"/>
      <c r="T743" s="177"/>
      <c r="U743" s="177"/>
      <c r="V743" s="177"/>
      <c r="W743" s="177"/>
      <c r="X743" s="177"/>
      <c r="Y743" s="177"/>
    </row>
    <row r="744">
      <c r="A744" s="177"/>
      <c r="B744" s="177"/>
      <c r="C744" s="177"/>
      <c r="D744" s="177"/>
      <c r="E744" s="177"/>
      <c r="F744" s="177"/>
      <c r="G744" s="178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171"/>
      <c r="S744" s="177"/>
      <c r="T744" s="177"/>
      <c r="U744" s="177"/>
      <c r="V744" s="177"/>
      <c r="W744" s="177"/>
      <c r="X744" s="177"/>
      <c r="Y744" s="177"/>
    </row>
    <row r="745">
      <c r="A745" s="177"/>
      <c r="B745" s="177"/>
      <c r="C745" s="177"/>
      <c r="D745" s="177"/>
      <c r="E745" s="177"/>
      <c r="F745" s="177"/>
      <c r="G745" s="178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171"/>
      <c r="S745" s="177"/>
      <c r="T745" s="177"/>
      <c r="U745" s="177"/>
      <c r="V745" s="177"/>
      <c r="W745" s="177"/>
      <c r="X745" s="177"/>
      <c r="Y745" s="177"/>
    </row>
    <row r="746">
      <c r="A746" s="177"/>
      <c r="B746" s="177"/>
      <c r="C746" s="177"/>
      <c r="D746" s="177"/>
      <c r="E746" s="177"/>
      <c r="F746" s="177"/>
      <c r="G746" s="178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171"/>
      <c r="S746" s="177"/>
      <c r="T746" s="177"/>
      <c r="U746" s="177"/>
      <c r="V746" s="177"/>
      <c r="W746" s="177"/>
      <c r="X746" s="177"/>
      <c r="Y746" s="177"/>
    </row>
    <row r="747">
      <c r="A747" s="177"/>
      <c r="B747" s="177"/>
      <c r="C747" s="177"/>
      <c r="D747" s="177"/>
      <c r="E747" s="177"/>
      <c r="F747" s="177"/>
      <c r="G747" s="178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171"/>
      <c r="S747" s="177"/>
      <c r="T747" s="177"/>
      <c r="U747" s="177"/>
      <c r="V747" s="177"/>
      <c r="W747" s="177"/>
      <c r="X747" s="177"/>
      <c r="Y747" s="177"/>
    </row>
    <row r="748">
      <c r="A748" s="177"/>
      <c r="B748" s="177"/>
      <c r="C748" s="177"/>
      <c r="D748" s="177"/>
      <c r="E748" s="177"/>
      <c r="F748" s="177"/>
      <c r="G748" s="178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171"/>
      <c r="S748" s="177"/>
      <c r="T748" s="177"/>
      <c r="U748" s="177"/>
      <c r="V748" s="177"/>
      <c r="W748" s="177"/>
      <c r="X748" s="177"/>
      <c r="Y748" s="177"/>
    </row>
    <row r="749">
      <c r="A749" s="177"/>
      <c r="B749" s="177"/>
      <c r="C749" s="177"/>
      <c r="D749" s="177"/>
      <c r="E749" s="177"/>
      <c r="F749" s="177"/>
      <c r="G749" s="178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171"/>
      <c r="S749" s="177"/>
      <c r="T749" s="177"/>
      <c r="U749" s="177"/>
      <c r="V749" s="177"/>
      <c r="W749" s="177"/>
      <c r="X749" s="177"/>
      <c r="Y749" s="177"/>
    </row>
    <row r="750">
      <c r="A750" s="177"/>
      <c r="B750" s="177"/>
      <c r="C750" s="177"/>
      <c r="D750" s="177"/>
      <c r="E750" s="177"/>
      <c r="F750" s="177"/>
      <c r="G750" s="178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171"/>
      <c r="S750" s="177"/>
      <c r="T750" s="177"/>
      <c r="U750" s="177"/>
      <c r="V750" s="177"/>
      <c r="W750" s="177"/>
      <c r="X750" s="177"/>
      <c r="Y750" s="177"/>
    </row>
    <row r="751">
      <c r="A751" s="177"/>
      <c r="B751" s="177"/>
      <c r="C751" s="177"/>
      <c r="D751" s="177"/>
      <c r="E751" s="177"/>
      <c r="F751" s="177"/>
      <c r="G751" s="178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171"/>
      <c r="S751" s="177"/>
      <c r="T751" s="177"/>
      <c r="U751" s="177"/>
      <c r="V751" s="177"/>
      <c r="W751" s="177"/>
      <c r="X751" s="177"/>
      <c r="Y751" s="177"/>
    </row>
    <row r="752">
      <c r="A752" s="177"/>
      <c r="B752" s="177"/>
      <c r="C752" s="177"/>
      <c r="D752" s="177"/>
      <c r="E752" s="177"/>
      <c r="F752" s="177"/>
      <c r="G752" s="178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171"/>
      <c r="S752" s="177"/>
      <c r="T752" s="177"/>
      <c r="U752" s="177"/>
      <c r="V752" s="177"/>
      <c r="W752" s="177"/>
      <c r="X752" s="177"/>
      <c r="Y752" s="177"/>
    </row>
    <row r="753">
      <c r="A753" s="177"/>
      <c r="B753" s="177"/>
      <c r="C753" s="177"/>
      <c r="D753" s="177"/>
      <c r="E753" s="177"/>
      <c r="F753" s="177"/>
      <c r="G753" s="178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171"/>
      <c r="S753" s="177"/>
      <c r="T753" s="177"/>
      <c r="U753" s="177"/>
      <c r="V753" s="177"/>
      <c r="W753" s="177"/>
      <c r="X753" s="177"/>
      <c r="Y753" s="177"/>
    </row>
    <row r="754">
      <c r="A754" s="177"/>
      <c r="B754" s="177"/>
      <c r="C754" s="177"/>
      <c r="D754" s="177"/>
      <c r="E754" s="177"/>
      <c r="F754" s="177"/>
      <c r="G754" s="178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171"/>
      <c r="S754" s="177"/>
      <c r="T754" s="177"/>
      <c r="U754" s="177"/>
      <c r="V754" s="177"/>
      <c r="W754" s="177"/>
      <c r="X754" s="177"/>
      <c r="Y754" s="177"/>
    </row>
    <row r="755">
      <c r="A755" s="177"/>
      <c r="B755" s="177"/>
      <c r="C755" s="177"/>
      <c r="D755" s="177"/>
      <c r="E755" s="177"/>
      <c r="F755" s="177"/>
      <c r="G755" s="178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171"/>
      <c r="S755" s="177"/>
      <c r="T755" s="177"/>
      <c r="U755" s="177"/>
      <c r="V755" s="177"/>
      <c r="W755" s="177"/>
      <c r="X755" s="177"/>
      <c r="Y755" s="177"/>
    </row>
    <row r="756">
      <c r="A756" s="177"/>
      <c r="B756" s="177"/>
      <c r="C756" s="177"/>
      <c r="D756" s="177"/>
      <c r="E756" s="177"/>
      <c r="F756" s="177"/>
      <c r="G756" s="178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171"/>
      <c r="S756" s="177"/>
      <c r="T756" s="177"/>
      <c r="U756" s="177"/>
      <c r="V756" s="177"/>
      <c r="W756" s="177"/>
      <c r="X756" s="177"/>
      <c r="Y756" s="177"/>
    </row>
    <row r="757">
      <c r="A757" s="177"/>
      <c r="B757" s="177"/>
      <c r="C757" s="177"/>
      <c r="D757" s="177"/>
      <c r="E757" s="177"/>
      <c r="F757" s="177"/>
      <c r="G757" s="178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171"/>
      <c r="S757" s="177"/>
      <c r="T757" s="177"/>
      <c r="U757" s="177"/>
      <c r="V757" s="177"/>
      <c r="W757" s="177"/>
      <c r="X757" s="177"/>
      <c r="Y757" s="177"/>
    </row>
    <row r="758">
      <c r="A758" s="177"/>
      <c r="B758" s="177"/>
      <c r="C758" s="177"/>
      <c r="D758" s="177"/>
      <c r="E758" s="177"/>
      <c r="F758" s="177"/>
      <c r="G758" s="178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171"/>
      <c r="S758" s="177"/>
      <c r="T758" s="177"/>
      <c r="U758" s="177"/>
      <c r="V758" s="177"/>
      <c r="W758" s="177"/>
      <c r="X758" s="177"/>
      <c r="Y758" s="177"/>
    </row>
    <row r="759">
      <c r="A759" s="177"/>
      <c r="B759" s="177"/>
      <c r="C759" s="177"/>
      <c r="D759" s="177"/>
      <c r="E759" s="177"/>
      <c r="F759" s="177"/>
      <c r="G759" s="178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171"/>
      <c r="S759" s="177"/>
      <c r="T759" s="177"/>
      <c r="U759" s="177"/>
      <c r="V759" s="177"/>
      <c r="W759" s="177"/>
      <c r="X759" s="177"/>
      <c r="Y759" s="177"/>
    </row>
    <row r="760">
      <c r="A760" s="177"/>
      <c r="B760" s="177"/>
      <c r="C760" s="177"/>
      <c r="D760" s="177"/>
      <c r="E760" s="177"/>
      <c r="F760" s="177"/>
      <c r="G760" s="178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171"/>
      <c r="S760" s="177"/>
      <c r="T760" s="177"/>
      <c r="U760" s="177"/>
      <c r="V760" s="177"/>
      <c r="W760" s="177"/>
      <c r="X760" s="177"/>
      <c r="Y760" s="177"/>
    </row>
    <row r="761">
      <c r="A761" s="177"/>
      <c r="B761" s="177"/>
      <c r="C761" s="177"/>
      <c r="D761" s="177"/>
      <c r="E761" s="177"/>
      <c r="F761" s="177"/>
      <c r="G761" s="178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171"/>
      <c r="S761" s="177"/>
      <c r="T761" s="177"/>
      <c r="U761" s="177"/>
      <c r="V761" s="177"/>
      <c r="W761" s="177"/>
      <c r="X761" s="177"/>
      <c r="Y761" s="177"/>
    </row>
    <row r="762">
      <c r="A762" s="177"/>
      <c r="B762" s="177"/>
      <c r="C762" s="177"/>
      <c r="D762" s="177"/>
      <c r="E762" s="177"/>
      <c r="F762" s="177"/>
      <c r="G762" s="178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171"/>
      <c r="S762" s="177"/>
      <c r="T762" s="177"/>
      <c r="U762" s="177"/>
      <c r="V762" s="177"/>
      <c r="W762" s="177"/>
      <c r="X762" s="177"/>
      <c r="Y762" s="177"/>
    </row>
    <row r="763">
      <c r="A763" s="177"/>
      <c r="B763" s="177"/>
      <c r="C763" s="177"/>
      <c r="D763" s="177"/>
      <c r="E763" s="177"/>
      <c r="F763" s="177"/>
      <c r="G763" s="178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171"/>
      <c r="S763" s="177"/>
      <c r="T763" s="177"/>
      <c r="U763" s="177"/>
      <c r="V763" s="177"/>
      <c r="W763" s="177"/>
      <c r="X763" s="177"/>
      <c r="Y763" s="177"/>
    </row>
    <row r="764">
      <c r="A764" s="177"/>
      <c r="B764" s="177"/>
      <c r="C764" s="177"/>
      <c r="D764" s="177"/>
      <c r="E764" s="177"/>
      <c r="F764" s="177"/>
      <c r="G764" s="178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171"/>
      <c r="S764" s="177"/>
      <c r="T764" s="177"/>
      <c r="U764" s="177"/>
      <c r="V764" s="177"/>
      <c r="W764" s="177"/>
      <c r="X764" s="177"/>
      <c r="Y764" s="177"/>
    </row>
    <row r="765">
      <c r="A765" s="177"/>
      <c r="B765" s="177"/>
      <c r="C765" s="177"/>
      <c r="D765" s="177"/>
      <c r="E765" s="177"/>
      <c r="F765" s="177"/>
      <c r="G765" s="178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171"/>
      <c r="S765" s="177"/>
      <c r="T765" s="177"/>
      <c r="U765" s="177"/>
      <c r="V765" s="177"/>
      <c r="W765" s="177"/>
      <c r="X765" s="177"/>
      <c r="Y765" s="177"/>
    </row>
    <row r="766">
      <c r="A766" s="177"/>
      <c r="B766" s="177"/>
      <c r="C766" s="177"/>
      <c r="D766" s="177"/>
      <c r="E766" s="177"/>
      <c r="F766" s="177"/>
      <c r="G766" s="178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171"/>
      <c r="S766" s="177"/>
      <c r="T766" s="177"/>
      <c r="U766" s="177"/>
      <c r="V766" s="177"/>
      <c r="W766" s="177"/>
      <c r="X766" s="177"/>
      <c r="Y766" s="177"/>
    </row>
    <row r="767">
      <c r="A767" s="177"/>
      <c r="B767" s="177"/>
      <c r="C767" s="177"/>
      <c r="D767" s="177"/>
      <c r="E767" s="177"/>
      <c r="F767" s="177"/>
      <c r="G767" s="178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171"/>
      <c r="S767" s="177"/>
      <c r="T767" s="177"/>
      <c r="U767" s="177"/>
      <c r="V767" s="177"/>
      <c r="W767" s="177"/>
      <c r="X767" s="177"/>
      <c r="Y767" s="177"/>
    </row>
    <row r="768">
      <c r="A768" s="177"/>
      <c r="B768" s="177"/>
      <c r="C768" s="177"/>
      <c r="D768" s="177"/>
      <c r="E768" s="177"/>
      <c r="F768" s="177"/>
      <c r="G768" s="178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171"/>
      <c r="S768" s="177"/>
      <c r="T768" s="177"/>
      <c r="U768" s="177"/>
      <c r="V768" s="177"/>
      <c r="W768" s="177"/>
      <c r="X768" s="177"/>
      <c r="Y768" s="177"/>
    </row>
    <row r="769">
      <c r="A769" s="177"/>
      <c r="B769" s="177"/>
      <c r="C769" s="177"/>
      <c r="D769" s="177"/>
      <c r="E769" s="177"/>
      <c r="F769" s="177"/>
      <c r="G769" s="178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171"/>
      <c r="S769" s="177"/>
      <c r="T769" s="177"/>
      <c r="U769" s="177"/>
      <c r="V769" s="177"/>
      <c r="W769" s="177"/>
      <c r="X769" s="177"/>
      <c r="Y769" s="177"/>
    </row>
    <row r="770">
      <c r="A770" s="177"/>
      <c r="B770" s="177"/>
      <c r="C770" s="177"/>
      <c r="D770" s="177"/>
      <c r="E770" s="177"/>
      <c r="F770" s="177"/>
      <c r="G770" s="178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171"/>
      <c r="S770" s="177"/>
      <c r="T770" s="177"/>
      <c r="U770" s="177"/>
      <c r="V770" s="177"/>
      <c r="W770" s="177"/>
      <c r="X770" s="177"/>
      <c r="Y770" s="177"/>
    </row>
    <row r="771">
      <c r="A771" s="177"/>
      <c r="B771" s="177"/>
      <c r="C771" s="177"/>
      <c r="D771" s="177"/>
      <c r="E771" s="177"/>
      <c r="F771" s="177"/>
      <c r="G771" s="178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171"/>
      <c r="S771" s="177"/>
      <c r="T771" s="177"/>
      <c r="U771" s="177"/>
      <c r="V771" s="177"/>
      <c r="W771" s="177"/>
      <c r="X771" s="177"/>
      <c r="Y771" s="177"/>
    </row>
    <row r="772">
      <c r="A772" s="177"/>
      <c r="B772" s="177"/>
      <c r="C772" s="177"/>
      <c r="D772" s="177"/>
      <c r="E772" s="177"/>
      <c r="F772" s="177"/>
      <c r="G772" s="178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171"/>
      <c r="S772" s="177"/>
      <c r="T772" s="177"/>
      <c r="U772" s="177"/>
      <c r="V772" s="177"/>
      <c r="W772" s="177"/>
      <c r="X772" s="177"/>
      <c r="Y772" s="177"/>
    </row>
    <row r="773">
      <c r="A773" s="177"/>
      <c r="B773" s="177"/>
      <c r="C773" s="177"/>
      <c r="D773" s="177"/>
      <c r="E773" s="177"/>
      <c r="F773" s="177"/>
      <c r="G773" s="178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171"/>
      <c r="S773" s="177"/>
      <c r="T773" s="177"/>
      <c r="U773" s="177"/>
      <c r="V773" s="177"/>
      <c r="W773" s="177"/>
      <c r="X773" s="177"/>
      <c r="Y773" s="177"/>
    </row>
    <row r="774">
      <c r="A774" s="177"/>
      <c r="B774" s="177"/>
      <c r="C774" s="177"/>
      <c r="D774" s="177"/>
      <c r="E774" s="177"/>
      <c r="F774" s="177"/>
      <c r="G774" s="178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171"/>
      <c r="S774" s="177"/>
      <c r="T774" s="177"/>
      <c r="U774" s="177"/>
      <c r="V774" s="177"/>
      <c r="W774" s="177"/>
      <c r="X774" s="177"/>
      <c r="Y774" s="177"/>
    </row>
    <row r="775">
      <c r="A775" s="177"/>
      <c r="B775" s="177"/>
      <c r="C775" s="177"/>
      <c r="D775" s="177"/>
      <c r="E775" s="177"/>
      <c r="F775" s="177"/>
      <c r="G775" s="178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171"/>
      <c r="S775" s="177"/>
      <c r="T775" s="177"/>
      <c r="U775" s="177"/>
      <c r="V775" s="177"/>
      <c r="W775" s="177"/>
      <c r="X775" s="177"/>
      <c r="Y775" s="177"/>
    </row>
    <row r="776">
      <c r="A776" s="177"/>
      <c r="B776" s="177"/>
      <c r="C776" s="177"/>
      <c r="D776" s="177"/>
      <c r="E776" s="177"/>
      <c r="F776" s="177"/>
      <c r="G776" s="178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171"/>
      <c r="S776" s="177"/>
      <c r="T776" s="177"/>
      <c r="U776" s="177"/>
      <c r="V776" s="177"/>
      <c r="W776" s="177"/>
      <c r="X776" s="177"/>
      <c r="Y776" s="177"/>
    </row>
    <row r="777">
      <c r="A777" s="177"/>
      <c r="B777" s="177"/>
      <c r="C777" s="177"/>
      <c r="D777" s="177"/>
      <c r="E777" s="177"/>
      <c r="F777" s="177"/>
      <c r="G777" s="178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171"/>
      <c r="S777" s="177"/>
      <c r="T777" s="177"/>
      <c r="U777" s="177"/>
      <c r="V777" s="177"/>
      <c r="W777" s="177"/>
      <c r="X777" s="177"/>
      <c r="Y777" s="177"/>
    </row>
    <row r="778">
      <c r="A778" s="177"/>
      <c r="B778" s="177"/>
      <c r="C778" s="177"/>
      <c r="D778" s="177"/>
      <c r="E778" s="177"/>
      <c r="F778" s="177"/>
      <c r="G778" s="178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171"/>
      <c r="S778" s="177"/>
      <c r="T778" s="177"/>
      <c r="U778" s="177"/>
      <c r="V778" s="177"/>
      <c r="W778" s="177"/>
      <c r="X778" s="177"/>
      <c r="Y778" s="177"/>
    </row>
    <row r="779">
      <c r="A779" s="177"/>
      <c r="B779" s="177"/>
      <c r="C779" s="177"/>
      <c r="D779" s="177"/>
      <c r="E779" s="177"/>
      <c r="F779" s="177"/>
      <c r="G779" s="178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171"/>
      <c r="S779" s="177"/>
      <c r="T779" s="177"/>
      <c r="U779" s="177"/>
      <c r="V779" s="177"/>
      <c r="W779" s="177"/>
      <c r="X779" s="177"/>
      <c r="Y779" s="177"/>
    </row>
    <row r="780">
      <c r="A780" s="177"/>
      <c r="B780" s="177"/>
      <c r="C780" s="177"/>
      <c r="D780" s="177"/>
      <c r="E780" s="177"/>
      <c r="F780" s="177"/>
      <c r="G780" s="178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171"/>
      <c r="S780" s="177"/>
      <c r="T780" s="177"/>
      <c r="U780" s="177"/>
      <c r="V780" s="177"/>
      <c r="W780" s="177"/>
      <c r="X780" s="177"/>
      <c r="Y780" s="177"/>
    </row>
    <row r="781">
      <c r="A781" s="177"/>
      <c r="B781" s="177"/>
      <c r="C781" s="177"/>
      <c r="D781" s="177"/>
      <c r="E781" s="177"/>
      <c r="F781" s="177"/>
      <c r="G781" s="178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171"/>
      <c r="S781" s="177"/>
      <c r="T781" s="177"/>
      <c r="U781" s="177"/>
      <c r="V781" s="177"/>
      <c r="W781" s="177"/>
      <c r="X781" s="177"/>
      <c r="Y781" s="177"/>
    </row>
    <row r="782">
      <c r="A782" s="177"/>
      <c r="B782" s="177"/>
      <c r="C782" s="177"/>
      <c r="D782" s="177"/>
      <c r="E782" s="177"/>
      <c r="F782" s="177"/>
      <c r="G782" s="178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171"/>
      <c r="S782" s="177"/>
      <c r="T782" s="177"/>
      <c r="U782" s="177"/>
      <c r="V782" s="177"/>
      <c r="W782" s="177"/>
      <c r="X782" s="177"/>
      <c r="Y782" s="177"/>
    </row>
    <row r="783">
      <c r="A783" s="177"/>
      <c r="B783" s="177"/>
      <c r="C783" s="177"/>
      <c r="D783" s="177"/>
      <c r="E783" s="177"/>
      <c r="F783" s="177"/>
      <c r="G783" s="178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171"/>
      <c r="S783" s="177"/>
      <c r="T783" s="177"/>
      <c r="U783" s="177"/>
      <c r="V783" s="177"/>
      <c r="W783" s="177"/>
      <c r="X783" s="177"/>
      <c r="Y783" s="177"/>
    </row>
    <row r="784">
      <c r="A784" s="177"/>
      <c r="B784" s="177"/>
      <c r="C784" s="177"/>
      <c r="D784" s="177"/>
      <c r="E784" s="177"/>
      <c r="F784" s="177"/>
      <c r="G784" s="178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171"/>
      <c r="S784" s="177"/>
      <c r="T784" s="177"/>
      <c r="U784" s="177"/>
      <c r="V784" s="177"/>
      <c r="W784" s="177"/>
      <c r="X784" s="177"/>
      <c r="Y784" s="177"/>
    </row>
    <row r="785">
      <c r="A785" s="177"/>
      <c r="B785" s="177"/>
      <c r="C785" s="177"/>
      <c r="D785" s="177"/>
      <c r="E785" s="177"/>
      <c r="F785" s="177"/>
      <c r="G785" s="178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171"/>
      <c r="S785" s="177"/>
      <c r="T785" s="177"/>
      <c r="U785" s="177"/>
      <c r="V785" s="177"/>
      <c r="W785" s="177"/>
      <c r="X785" s="177"/>
      <c r="Y785" s="177"/>
    </row>
    <row r="786">
      <c r="A786" s="177"/>
      <c r="B786" s="177"/>
      <c r="C786" s="177"/>
      <c r="D786" s="177"/>
      <c r="E786" s="177"/>
      <c r="F786" s="177"/>
      <c r="G786" s="178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171"/>
      <c r="S786" s="177"/>
      <c r="T786" s="177"/>
      <c r="U786" s="177"/>
      <c r="V786" s="177"/>
      <c r="W786" s="177"/>
      <c r="X786" s="177"/>
      <c r="Y786" s="177"/>
    </row>
    <row r="787">
      <c r="A787" s="177"/>
      <c r="B787" s="177"/>
      <c r="C787" s="177"/>
      <c r="D787" s="177"/>
      <c r="E787" s="177"/>
      <c r="F787" s="177"/>
      <c r="G787" s="178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171"/>
      <c r="S787" s="177"/>
      <c r="T787" s="177"/>
      <c r="U787" s="177"/>
      <c r="V787" s="177"/>
      <c r="W787" s="177"/>
      <c r="X787" s="177"/>
      <c r="Y787" s="177"/>
    </row>
    <row r="788">
      <c r="A788" s="177"/>
      <c r="B788" s="177"/>
      <c r="C788" s="177"/>
      <c r="D788" s="177"/>
      <c r="E788" s="177"/>
      <c r="F788" s="177"/>
      <c r="G788" s="178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171"/>
      <c r="S788" s="177"/>
      <c r="T788" s="177"/>
      <c r="U788" s="177"/>
      <c r="V788" s="177"/>
      <c r="W788" s="177"/>
      <c r="X788" s="177"/>
      <c r="Y788" s="177"/>
    </row>
    <row r="789">
      <c r="A789" s="177"/>
      <c r="B789" s="177"/>
      <c r="C789" s="177"/>
      <c r="D789" s="177"/>
      <c r="E789" s="177"/>
      <c r="F789" s="177"/>
      <c r="G789" s="178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171"/>
      <c r="S789" s="177"/>
      <c r="T789" s="177"/>
      <c r="U789" s="177"/>
      <c r="V789" s="177"/>
      <c r="W789" s="177"/>
      <c r="X789" s="177"/>
      <c r="Y789" s="177"/>
    </row>
    <row r="790">
      <c r="A790" s="177"/>
      <c r="B790" s="177"/>
      <c r="C790" s="177"/>
      <c r="D790" s="177"/>
      <c r="E790" s="177"/>
      <c r="F790" s="177"/>
      <c r="G790" s="178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171"/>
      <c r="S790" s="177"/>
      <c r="T790" s="177"/>
      <c r="U790" s="177"/>
      <c r="V790" s="177"/>
      <c r="W790" s="177"/>
      <c r="X790" s="177"/>
      <c r="Y790" s="177"/>
    </row>
    <row r="791">
      <c r="A791" s="177"/>
      <c r="B791" s="177"/>
      <c r="C791" s="177"/>
      <c r="D791" s="177"/>
      <c r="E791" s="177"/>
      <c r="F791" s="177"/>
      <c r="G791" s="178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171"/>
      <c r="S791" s="177"/>
      <c r="T791" s="177"/>
      <c r="U791" s="177"/>
      <c r="V791" s="177"/>
      <c r="W791" s="177"/>
      <c r="X791" s="177"/>
      <c r="Y791" s="177"/>
    </row>
    <row r="792">
      <c r="A792" s="177"/>
      <c r="B792" s="177"/>
      <c r="C792" s="177"/>
      <c r="D792" s="177"/>
      <c r="E792" s="177"/>
      <c r="F792" s="177"/>
      <c r="G792" s="178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171"/>
      <c r="S792" s="177"/>
      <c r="T792" s="177"/>
      <c r="U792" s="177"/>
      <c r="V792" s="177"/>
      <c r="W792" s="177"/>
      <c r="X792" s="177"/>
      <c r="Y792" s="177"/>
    </row>
    <row r="793">
      <c r="A793" s="177"/>
      <c r="B793" s="177"/>
      <c r="C793" s="177"/>
      <c r="D793" s="177"/>
      <c r="E793" s="177"/>
      <c r="F793" s="177"/>
      <c r="G793" s="178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171"/>
      <c r="S793" s="177"/>
      <c r="T793" s="177"/>
      <c r="U793" s="177"/>
      <c r="V793" s="177"/>
      <c r="W793" s="177"/>
      <c r="X793" s="177"/>
      <c r="Y793" s="177"/>
    </row>
    <row r="794">
      <c r="A794" s="177"/>
      <c r="B794" s="177"/>
      <c r="C794" s="177"/>
      <c r="D794" s="177"/>
      <c r="E794" s="177"/>
      <c r="F794" s="177"/>
      <c r="G794" s="178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171"/>
      <c r="S794" s="177"/>
      <c r="T794" s="177"/>
      <c r="U794" s="177"/>
      <c r="V794" s="177"/>
      <c r="W794" s="177"/>
      <c r="X794" s="177"/>
      <c r="Y794" s="177"/>
    </row>
    <row r="795">
      <c r="A795" s="177"/>
      <c r="B795" s="177"/>
      <c r="C795" s="177"/>
      <c r="D795" s="177"/>
      <c r="E795" s="177"/>
      <c r="F795" s="177"/>
      <c r="G795" s="178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171"/>
      <c r="S795" s="177"/>
      <c r="T795" s="177"/>
      <c r="U795" s="177"/>
      <c r="V795" s="177"/>
      <c r="W795" s="177"/>
      <c r="X795" s="177"/>
      <c r="Y795" s="177"/>
    </row>
    <row r="796">
      <c r="A796" s="177"/>
      <c r="B796" s="177"/>
      <c r="C796" s="177"/>
      <c r="D796" s="177"/>
      <c r="E796" s="177"/>
      <c r="F796" s="177"/>
      <c r="G796" s="178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171"/>
      <c r="S796" s="177"/>
      <c r="T796" s="177"/>
      <c r="U796" s="177"/>
      <c r="V796" s="177"/>
      <c r="W796" s="177"/>
      <c r="X796" s="177"/>
      <c r="Y796" s="177"/>
    </row>
    <row r="797">
      <c r="A797" s="177"/>
      <c r="B797" s="177"/>
      <c r="C797" s="177"/>
      <c r="D797" s="177"/>
      <c r="E797" s="177"/>
      <c r="F797" s="177"/>
      <c r="G797" s="178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171"/>
      <c r="S797" s="177"/>
      <c r="T797" s="177"/>
      <c r="U797" s="177"/>
      <c r="V797" s="177"/>
      <c r="W797" s="177"/>
      <c r="X797" s="177"/>
      <c r="Y797" s="177"/>
    </row>
    <row r="798">
      <c r="A798" s="177"/>
      <c r="B798" s="177"/>
      <c r="C798" s="177"/>
      <c r="D798" s="177"/>
      <c r="E798" s="177"/>
      <c r="F798" s="177"/>
      <c r="G798" s="178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171"/>
      <c r="S798" s="177"/>
      <c r="T798" s="177"/>
      <c r="U798" s="177"/>
      <c r="V798" s="177"/>
      <c r="W798" s="177"/>
      <c r="X798" s="177"/>
      <c r="Y798" s="177"/>
    </row>
    <row r="799">
      <c r="A799" s="177"/>
      <c r="B799" s="177"/>
      <c r="C799" s="177"/>
      <c r="D799" s="177"/>
      <c r="E799" s="177"/>
      <c r="F799" s="177"/>
      <c r="G799" s="178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171"/>
      <c r="S799" s="177"/>
      <c r="T799" s="177"/>
      <c r="U799" s="177"/>
      <c r="V799" s="177"/>
      <c r="W799" s="177"/>
      <c r="X799" s="177"/>
      <c r="Y799" s="177"/>
    </row>
    <row r="800">
      <c r="A800" s="177"/>
      <c r="B800" s="177"/>
      <c r="C800" s="177"/>
      <c r="D800" s="177"/>
      <c r="E800" s="177"/>
      <c r="F800" s="177"/>
      <c r="G800" s="178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171"/>
      <c r="S800" s="177"/>
      <c r="T800" s="177"/>
      <c r="U800" s="177"/>
      <c r="V800" s="177"/>
      <c r="W800" s="177"/>
      <c r="X800" s="177"/>
      <c r="Y800" s="177"/>
    </row>
    <row r="801">
      <c r="A801" s="177"/>
      <c r="B801" s="177"/>
      <c r="C801" s="177"/>
      <c r="D801" s="177"/>
      <c r="E801" s="177"/>
      <c r="F801" s="177"/>
      <c r="G801" s="178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171"/>
      <c r="S801" s="177"/>
      <c r="T801" s="177"/>
      <c r="U801" s="177"/>
      <c r="V801" s="177"/>
      <c r="W801" s="177"/>
      <c r="X801" s="177"/>
      <c r="Y801" s="177"/>
    </row>
    <row r="802">
      <c r="A802" s="177"/>
      <c r="B802" s="177"/>
      <c r="C802" s="177"/>
      <c r="D802" s="177"/>
      <c r="E802" s="177"/>
      <c r="F802" s="177"/>
      <c r="G802" s="178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171"/>
      <c r="S802" s="177"/>
      <c r="T802" s="177"/>
      <c r="U802" s="177"/>
      <c r="V802" s="177"/>
      <c r="W802" s="177"/>
      <c r="X802" s="177"/>
      <c r="Y802" s="177"/>
    </row>
    <row r="803">
      <c r="A803" s="177"/>
      <c r="B803" s="177"/>
      <c r="C803" s="177"/>
      <c r="D803" s="177"/>
      <c r="E803" s="177"/>
      <c r="F803" s="177"/>
      <c r="G803" s="178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171"/>
      <c r="S803" s="177"/>
      <c r="T803" s="177"/>
      <c r="U803" s="177"/>
      <c r="V803" s="177"/>
      <c r="W803" s="177"/>
      <c r="X803" s="177"/>
      <c r="Y803" s="177"/>
    </row>
    <row r="804">
      <c r="A804" s="177"/>
      <c r="B804" s="177"/>
      <c r="C804" s="177"/>
      <c r="D804" s="177"/>
      <c r="E804" s="177"/>
      <c r="F804" s="177"/>
      <c r="G804" s="178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171"/>
      <c r="S804" s="177"/>
      <c r="T804" s="177"/>
      <c r="U804" s="177"/>
      <c r="V804" s="177"/>
      <c r="W804" s="177"/>
      <c r="X804" s="177"/>
      <c r="Y804" s="177"/>
    </row>
    <row r="805">
      <c r="A805" s="177"/>
      <c r="B805" s="177"/>
      <c r="C805" s="177"/>
      <c r="D805" s="177"/>
      <c r="E805" s="177"/>
      <c r="F805" s="177"/>
      <c r="G805" s="178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171"/>
      <c r="S805" s="177"/>
      <c r="T805" s="177"/>
      <c r="U805" s="177"/>
      <c r="V805" s="177"/>
      <c r="W805" s="177"/>
      <c r="X805" s="177"/>
      <c r="Y805" s="177"/>
    </row>
    <row r="806">
      <c r="A806" s="177"/>
      <c r="B806" s="177"/>
      <c r="C806" s="177"/>
      <c r="D806" s="177"/>
      <c r="E806" s="177"/>
      <c r="F806" s="177"/>
      <c r="G806" s="178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171"/>
      <c r="S806" s="177"/>
      <c r="T806" s="177"/>
      <c r="U806" s="177"/>
      <c r="V806" s="177"/>
      <c r="W806" s="177"/>
      <c r="X806" s="177"/>
      <c r="Y806" s="177"/>
    </row>
    <row r="807">
      <c r="A807" s="177"/>
      <c r="B807" s="177"/>
      <c r="C807" s="177"/>
      <c r="D807" s="177"/>
      <c r="E807" s="177"/>
      <c r="F807" s="177"/>
      <c r="G807" s="178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171"/>
      <c r="S807" s="177"/>
      <c r="T807" s="177"/>
      <c r="U807" s="177"/>
      <c r="V807" s="177"/>
      <c r="W807" s="177"/>
      <c r="X807" s="177"/>
      <c r="Y807" s="177"/>
    </row>
    <row r="808">
      <c r="A808" s="177"/>
      <c r="B808" s="177"/>
      <c r="C808" s="177"/>
      <c r="D808" s="177"/>
      <c r="E808" s="177"/>
      <c r="F808" s="177"/>
      <c r="G808" s="178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171"/>
      <c r="S808" s="177"/>
      <c r="T808" s="177"/>
      <c r="U808" s="177"/>
      <c r="V808" s="177"/>
      <c r="W808" s="177"/>
      <c r="X808" s="177"/>
      <c r="Y808" s="177"/>
    </row>
    <row r="809">
      <c r="A809" s="177"/>
      <c r="B809" s="177"/>
      <c r="C809" s="177"/>
      <c r="D809" s="177"/>
      <c r="E809" s="177"/>
      <c r="F809" s="177"/>
      <c r="G809" s="178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171"/>
      <c r="S809" s="177"/>
      <c r="T809" s="177"/>
      <c r="U809" s="177"/>
      <c r="V809" s="177"/>
      <c r="W809" s="177"/>
      <c r="X809" s="177"/>
      <c r="Y809" s="177"/>
    </row>
    <row r="810">
      <c r="A810" s="177"/>
      <c r="B810" s="177"/>
      <c r="C810" s="177"/>
      <c r="D810" s="177"/>
      <c r="E810" s="177"/>
      <c r="F810" s="177"/>
      <c r="G810" s="178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171"/>
      <c r="S810" s="177"/>
      <c r="T810" s="177"/>
      <c r="U810" s="177"/>
      <c r="V810" s="177"/>
      <c r="W810" s="177"/>
      <c r="X810" s="177"/>
      <c r="Y810" s="177"/>
    </row>
    <row r="811">
      <c r="A811" s="177"/>
      <c r="B811" s="177"/>
      <c r="C811" s="177"/>
      <c r="D811" s="177"/>
      <c r="E811" s="177"/>
      <c r="F811" s="177"/>
      <c r="G811" s="178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171"/>
      <c r="S811" s="177"/>
      <c r="T811" s="177"/>
      <c r="U811" s="177"/>
      <c r="V811" s="177"/>
      <c r="W811" s="177"/>
      <c r="X811" s="177"/>
      <c r="Y811" s="177"/>
    </row>
    <row r="812">
      <c r="A812" s="177"/>
      <c r="B812" s="177"/>
      <c r="C812" s="177"/>
      <c r="D812" s="177"/>
      <c r="E812" s="177"/>
      <c r="F812" s="177"/>
      <c r="G812" s="178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171"/>
      <c r="S812" s="177"/>
      <c r="T812" s="177"/>
      <c r="U812" s="177"/>
      <c r="V812" s="177"/>
      <c r="W812" s="177"/>
      <c r="X812" s="177"/>
      <c r="Y812" s="177"/>
    </row>
    <row r="813">
      <c r="A813" s="177"/>
      <c r="B813" s="177"/>
      <c r="C813" s="177"/>
      <c r="D813" s="177"/>
      <c r="E813" s="177"/>
      <c r="F813" s="177"/>
      <c r="G813" s="178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171"/>
      <c r="S813" s="177"/>
      <c r="T813" s="177"/>
      <c r="U813" s="177"/>
      <c r="V813" s="177"/>
      <c r="W813" s="177"/>
      <c r="X813" s="177"/>
      <c r="Y813" s="177"/>
    </row>
    <row r="814">
      <c r="A814" s="177"/>
      <c r="B814" s="177"/>
      <c r="C814" s="177"/>
      <c r="D814" s="177"/>
      <c r="E814" s="177"/>
      <c r="F814" s="177"/>
      <c r="G814" s="178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171"/>
      <c r="S814" s="177"/>
      <c r="T814" s="177"/>
      <c r="U814" s="177"/>
      <c r="V814" s="177"/>
      <c r="W814" s="177"/>
      <c r="X814" s="177"/>
      <c r="Y814" s="177"/>
    </row>
    <row r="815">
      <c r="A815" s="177"/>
      <c r="B815" s="177"/>
      <c r="C815" s="177"/>
      <c r="D815" s="177"/>
      <c r="E815" s="177"/>
      <c r="F815" s="177"/>
      <c r="G815" s="178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171"/>
      <c r="S815" s="177"/>
      <c r="T815" s="177"/>
      <c r="U815" s="177"/>
      <c r="V815" s="177"/>
      <c r="W815" s="177"/>
      <c r="X815" s="177"/>
      <c r="Y815" s="177"/>
    </row>
    <row r="816">
      <c r="A816" s="177"/>
      <c r="B816" s="177"/>
      <c r="C816" s="177"/>
      <c r="D816" s="177"/>
      <c r="E816" s="177"/>
      <c r="F816" s="177"/>
      <c r="G816" s="178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171"/>
      <c r="S816" s="177"/>
      <c r="T816" s="177"/>
      <c r="U816" s="177"/>
      <c r="V816" s="177"/>
      <c r="W816" s="177"/>
      <c r="X816" s="177"/>
      <c r="Y816" s="177"/>
    </row>
    <row r="817">
      <c r="A817" s="177"/>
      <c r="B817" s="177"/>
      <c r="C817" s="177"/>
      <c r="D817" s="177"/>
      <c r="E817" s="177"/>
      <c r="F817" s="177"/>
      <c r="G817" s="178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171"/>
      <c r="S817" s="177"/>
      <c r="T817" s="177"/>
      <c r="U817" s="177"/>
      <c r="V817" s="177"/>
      <c r="W817" s="177"/>
      <c r="X817" s="177"/>
      <c r="Y817" s="177"/>
    </row>
    <row r="818">
      <c r="A818" s="177"/>
      <c r="B818" s="177"/>
      <c r="C818" s="177"/>
      <c r="D818" s="177"/>
      <c r="E818" s="177"/>
      <c r="F818" s="177"/>
      <c r="G818" s="178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171"/>
      <c r="S818" s="177"/>
      <c r="T818" s="177"/>
      <c r="U818" s="177"/>
      <c r="V818" s="177"/>
      <c r="W818" s="177"/>
      <c r="X818" s="177"/>
      <c r="Y818" s="177"/>
    </row>
    <row r="819">
      <c r="A819" s="177"/>
      <c r="B819" s="177"/>
      <c r="C819" s="177"/>
      <c r="D819" s="177"/>
      <c r="E819" s="177"/>
      <c r="F819" s="177"/>
      <c r="G819" s="178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171"/>
      <c r="S819" s="177"/>
      <c r="T819" s="177"/>
      <c r="U819" s="177"/>
      <c r="V819" s="177"/>
      <c r="W819" s="177"/>
      <c r="X819" s="177"/>
      <c r="Y819" s="177"/>
    </row>
    <row r="820">
      <c r="A820" s="177"/>
      <c r="B820" s="177"/>
      <c r="C820" s="177"/>
      <c r="D820" s="177"/>
      <c r="E820" s="177"/>
      <c r="F820" s="177"/>
      <c r="G820" s="178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171"/>
      <c r="S820" s="177"/>
      <c r="T820" s="177"/>
      <c r="U820" s="177"/>
      <c r="V820" s="177"/>
      <c r="W820" s="177"/>
      <c r="X820" s="177"/>
      <c r="Y820" s="177"/>
    </row>
    <row r="821">
      <c r="A821" s="177"/>
      <c r="B821" s="177"/>
      <c r="C821" s="177"/>
      <c r="D821" s="177"/>
      <c r="E821" s="177"/>
      <c r="F821" s="177"/>
      <c r="G821" s="178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171"/>
      <c r="S821" s="177"/>
      <c r="T821" s="177"/>
      <c r="U821" s="177"/>
      <c r="V821" s="177"/>
      <c r="W821" s="177"/>
      <c r="X821" s="177"/>
      <c r="Y821" s="177"/>
    </row>
    <row r="822">
      <c r="A822" s="177"/>
      <c r="B822" s="177"/>
      <c r="C822" s="177"/>
      <c r="D822" s="177"/>
      <c r="E822" s="177"/>
      <c r="F822" s="177"/>
      <c r="G822" s="178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171"/>
      <c r="S822" s="177"/>
      <c r="T822" s="177"/>
      <c r="U822" s="177"/>
      <c r="V822" s="177"/>
      <c r="W822" s="177"/>
      <c r="X822" s="177"/>
      <c r="Y822" s="177"/>
    </row>
    <row r="823">
      <c r="A823" s="177"/>
      <c r="B823" s="177"/>
      <c r="C823" s="177"/>
      <c r="D823" s="177"/>
      <c r="E823" s="177"/>
      <c r="F823" s="177"/>
      <c r="G823" s="178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171"/>
      <c r="S823" s="177"/>
      <c r="T823" s="177"/>
      <c r="U823" s="177"/>
      <c r="V823" s="177"/>
      <c r="W823" s="177"/>
      <c r="X823" s="177"/>
      <c r="Y823" s="177"/>
    </row>
    <row r="824">
      <c r="A824" s="177"/>
      <c r="B824" s="177"/>
      <c r="C824" s="177"/>
      <c r="D824" s="177"/>
      <c r="E824" s="177"/>
      <c r="F824" s="177"/>
      <c r="G824" s="178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171"/>
      <c r="S824" s="177"/>
      <c r="T824" s="177"/>
      <c r="U824" s="177"/>
      <c r="V824" s="177"/>
      <c r="W824" s="177"/>
      <c r="X824" s="177"/>
      <c r="Y824" s="177"/>
    </row>
    <row r="825">
      <c r="A825" s="177"/>
      <c r="B825" s="177"/>
      <c r="C825" s="177"/>
      <c r="D825" s="177"/>
      <c r="E825" s="177"/>
      <c r="F825" s="177"/>
      <c r="G825" s="178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171"/>
      <c r="S825" s="177"/>
      <c r="T825" s="177"/>
      <c r="U825" s="177"/>
      <c r="V825" s="177"/>
      <c r="W825" s="177"/>
      <c r="X825" s="177"/>
      <c r="Y825" s="177"/>
    </row>
    <row r="826">
      <c r="A826" s="177"/>
      <c r="B826" s="177"/>
      <c r="C826" s="177"/>
      <c r="D826" s="177"/>
      <c r="E826" s="177"/>
      <c r="F826" s="177"/>
      <c r="G826" s="178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171"/>
      <c r="S826" s="177"/>
      <c r="T826" s="177"/>
      <c r="U826" s="177"/>
      <c r="V826" s="177"/>
      <c r="W826" s="177"/>
      <c r="X826" s="177"/>
      <c r="Y826" s="177"/>
    </row>
    <row r="827">
      <c r="A827" s="177"/>
      <c r="B827" s="177"/>
      <c r="C827" s="177"/>
      <c r="D827" s="177"/>
      <c r="E827" s="177"/>
      <c r="F827" s="177"/>
      <c r="G827" s="178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171"/>
      <c r="S827" s="177"/>
      <c r="T827" s="177"/>
      <c r="U827" s="177"/>
      <c r="V827" s="177"/>
      <c r="W827" s="177"/>
      <c r="X827" s="177"/>
      <c r="Y827" s="177"/>
    </row>
    <row r="828">
      <c r="A828" s="177"/>
      <c r="B828" s="177"/>
      <c r="C828" s="177"/>
      <c r="D828" s="177"/>
      <c r="E828" s="177"/>
      <c r="F828" s="177"/>
      <c r="G828" s="178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171"/>
      <c r="S828" s="177"/>
      <c r="T828" s="177"/>
      <c r="U828" s="177"/>
      <c r="V828" s="177"/>
      <c r="W828" s="177"/>
      <c r="X828" s="177"/>
      <c r="Y828" s="177"/>
    </row>
    <row r="829">
      <c r="A829" s="177"/>
      <c r="B829" s="177"/>
      <c r="C829" s="177"/>
      <c r="D829" s="177"/>
      <c r="E829" s="177"/>
      <c r="F829" s="177"/>
      <c r="G829" s="178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171"/>
      <c r="S829" s="177"/>
      <c r="T829" s="177"/>
      <c r="U829" s="177"/>
      <c r="V829" s="177"/>
      <c r="W829" s="177"/>
      <c r="X829" s="177"/>
      <c r="Y829" s="177"/>
    </row>
    <row r="830">
      <c r="A830" s="177"/>
      <c r="B830" s="177"/>
      <c r="C830" s="177"/>
      <c r="D830" s="177"/>
      <c r="E830" s="177"/>
      <c r="F830" s="177"/>
      <c r="G830" s="178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171"/>
      <c r="S830" s="177"/>
      <c r="T830" s="177"/>
      <c r="U830" s="177"/>
      <c r="V830" s="177"/>
      <c r="W830" s="177"/>
      <c r="X830" s="177"/>
      <c r="Y830" s="177"/>
    </row>
    <row r="831">
      <c r="A831" s="177"/>
      <c r="B831" s="177"/>
      <c r="C831" s="177"/>
      <c r="D831" s="177"/>
      <c r="E831" s="177"/>
      <c r="F831" s="177"/>
      <c r="G831" s="178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171"/>
      <c r="S831" s="177"/>
      <c r="T831" s="177"/>
      <c r="U831" s="177"/>
      <c r="V831" s="177"/>
      <c r="W831" s="177"/>
      <c r="X831" s="177"/>
      <c r="Y831" s="177"/>
    </row>
    <row r="832">
      <c r="A832" s="177"/>
      <c r="B832" s="177"/>
      <c r="C832" s="177"/>
      <c r="D832" s="177"/>
      <c r="E832" s="177"/>
      <c r="F832" s="177"/>
      <c r="G832" s="178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171"/>
      <c r="S832" s="177"/>
      <c r="T832" s="177"/>
      <c r="U832" s="177"/>
      <c r="V832" s="177"/>
      <c r="W832" s="177"/>
      <c r="X832" s="177"/>
      <c r="Y832" s="177"/>
    </row>
    <row r="833">
      <c r="A833" s="177"/>
      <c r="B833" s="177"/>
      <c r="C833" s="177"/>
      <c r="D833" s="177"/>
      <c r="E833" s="177"/>
      <c r="F833" s="177"/>
      <c r="G833" s="178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171"/>
      <c r="S833" s="177"/>
      <c r="T833" s="177"/>
      <c r="U833" s="177"/>
      <c r="V833" s="177"/>
      <c r="W833" s="177"/>
      <c r="X833" s="177"/>
      <c r="Y833" s="177"/>
    </row>
    <row r="834">
      <c r="A834" s="177"/>
      <c r="B834" s="177"/>
      <c r="C834" s="177"/>
      <c r="D834" s="177"/>
      <c r="E834" s="177"/>
      <c r="F834" s="177"/>
      <c r="G834" s="178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171"/>
      <c r="S834" s="177"/>
      <c r="T834" s="177"/>
      <c r="U834" s="177"/>
      <c r="V834" s="177"/>
      <c r="W834" s="177"/>
      <c r="X834" s="177"/>
      <c r="Y834" s="177"/>
    </row>
    <row r="835">
      <c r="A835" s="177"/>
      <c r="B835" s="177"/>
      <c r="C835" s="177"/>
      <c r="D835" s="177"/>
      <c r="E835" s="177"/>
      <c r="F835" s="177"/>
      <c r="G835" s="178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171"/>
      <c r="S835" s="177"/>
      <c r="T835" s="177"/>
      <c r="U835" s="177"/>
      <c r="V835" s="177"/>
      <c r="W835" s="177"/>
      <c r="X835" s="177"/>
      <c r="Y835" s="177"/>
    </row>
    <row r="836">
      <c r="A836" s="177"/>
      <c r="B836" s="177"/>
      <c r="C836" s="177"/>
      <c r="D836" s="177"/>
      <c r="E836" s="177"/>
      <c r="F836" s="177"/>
      <c r="G836" s="178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171"/>
      <c r="S836" s="177"/>
      <c r="T836" s="177"/>
      <c r="U836" s="177"/>
      <c r="V836" s="177"/>
      <c r="W836" s="177"/>
      <c r="X836" s="177"/>
      <c r="Y836" s="177"/>
    </row>
    <row r="837">
      <c r="A837" s="177"/>
      <c r="B837" s="177"/>
      <c r="C837" s="177"/>
      <c r="D837" s="177"/>
      <c r="E837" s="177"/>
      <c r="F837" s="177"/>
      <c r="G837" s="178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171"/>
      <c r="S837" s="177"/>
      <c r="T837" s="177"/>
      <c r="U837" s="177"/>
      <c r="V837" s="177"/>
      <c r="W837" s="177"/>
      <c r="X837" s="177"/>
      <c r="Y837" s="177"/>
    </row>
    <row r="838">
      <c r="A838" s="177"/>
      <c r="B838" s="177"/>
      <c r="C838" s="177"/>
      <c r="D838" s="177"/>
      <c r="E838" s="177"/>
      <c r="F838" s="177"/>
      <c r="G838" s="178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171"/>
      <c r="S838" s="177"/>
      <c r="T838" s="177"/>
      <c r="U838" s="177"/>
      <c r="V838" s="177"/>
      <c r="W838" s="177"/>
      <c r="X838" s="177"/>
      <c r="Y838" s="177"/>
    </row>
    <row r="839">
      <c r="A839" s="177"/>
      <c r="B839" s="177"/>
      <c r="C839" s="177"/>
      <c r="D839" s="177"/>
      <c r="E839" s="177"/>
      <c r="F839" s="177"/>
      <c r="G839" s="178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171"/>
      <c r="S839" s="177"/>
      <c r="T839" s="177"/>
      <c r="U839" s="177"/>
      <c r="V839" s="177"/>
      <c r="W839" s="177"/>
      <c r="X839" s="177"/>
      <c r="Y839" s="177"/>
    </row>
    <row r="840">
      <c r="A840" s="177"/>
      <c r="B840" s="177"/>
      <c r="C840" s="177"/>
      <c r="D840" s="177"/>
      <c r="E840" s="177"/>
      <c r="F840" s="177"/>
      <c r="G840" s="178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171"/>
      <c r="S840" s="177"/>
      <c r="T840" s="177"/>
      <c r="U840" s="177"/>
      <c r="V840" s="177"/>
      <c r="W840" s="177"/>
      <c r="X840" s="177"/>
      <c r="Y840" s="177"/>
    </row>
    <row r="841">
      <c r="A841" s="177"/>
      <c r="B841" s="177"/>
      <c r="C841" s="177"/>
      <c r="D841" s="177"/>
      <c r="E841" s="177"/>
      <c r="F841" s="177"/>
      <c r="G841" s="178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171"/>
      <c r="S841" s="177"/>
      <c r="T841" s="177"/>
      <c r="U841" s="177"/>
      <c r="V841" s="177"/>
      <c r="W841" s="177"/>
      <c r="X841" s="177"/>
      <c r="Y841" s="177"/>
    </row>
    <row r="842">
      <c r="A842" s="177"/>
      <c r="B842" s="177"/>
      <c r="C842" s="177"/>
      <c r="D842" s="177"/>
      <c r="E842" s="177"/>
      <c r="F842" s="177"/>
      <c r="G842" s="178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171"/>
      <c r="S842" s="177"/>
      <c r="T842" s="177"/>
      <c r="U842" s="177"/>
      <c r="V842" s="177"/>
      <c r="W842" s="177"/>
      <c r="X842" s="177"/>
      <c r="Y842" s="177"/>
    </row>
    <row r="843">
      <c r="A843" s="177"/>
      <c r="B843" s="177"/>
      <c r="C843" s="177"/>
      <c r="D843" s="177"/>
      <c r="E843" s="177"/>
      <c r="F843" s="177"/>
      <c r="G843" s="178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171"/>
      <c r="S843" s="177"/>
      <c r="T843" s="177"/>
      <c r="U843" s="177"/>
      <c r="V843" s="177"/>
      <c r="W843" s="177"/>
      <c r="X843" s="177"/>
      <c r="Y843" s="177"/>
    </row>
    <row r="844">
      <c r="A844" s="177"/>
      <c r="B844" s="177"/>
      <c r="C844" s="177"/>
      <c r="D844" s="177"/>
      <c r="E844" s="177"/>
      <c r="F844" s="177"/>
      <c r="G844" s="178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171"/>
      <c r="S844" s="177"/>
      <c r="T844" s="177"/>
      <c r="U844" s="177"/>
      <c r="V844" s="177"/>
      <c r="W844" s="177"/>
      <c r="X844" s="177"/>
      <c r="Y844" s="177"/>
    </row>
    <row r="845">
      <c r="A845" s="177"/>
      <c r="B845" s="177"/>
      <c r="C845" s="177"/>
      <c r="D845" s="177"/>
      <c r="E845" s="177"/>
      <c r="F845" s="177"/>
      <c r="G845" s="178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171"/>
      <c r="S845" s="177"/>
      <c r="T845" s="177"/>
      <c r="U845" s="177"/>
      <c r="V845" s="177"/>
      <c r="W845" s="177"/>
      <c r="X845" s="177"/>
      <c r="Y845" s="177"/>
    </row>
    <row r="846">
      <c r="A846" s="177"/>
      <c r="B846" s="177"/>
      <c r="C846" s="177"/>
      <c r="D846" s="177"/>
      <c r="E846" s="177"/>
      <c r="F846" s="177"/>
      <c r="G846" s="178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171"/>
      <c r="S846" s="177"/>
      <c r="T846" s="177"/>
      <c r="U846" s="177"/>
      <c r="V846" s="177"/>
      <c r="W846" s="177"/>
      <c r="X846" s="177"/>
      <c r="Y846" s="177"/>
    </row>
    <row r="847">
      <c r="A847" s="177"/>
      <c r="B847" s="177"/>
      <c r="C847" s="177"/>
      <c r="D847" s="177"/>
      <c r="E847" s="177"/>
      <c r="F847" s="177"/>
      <c r="G847" s="178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171"/>
      <c r="S847" s="177"/>
      <c r="T847" s="177"/>
      <c r="U847" s="177"/>
      <c r="V847" s="177"/>
      <c r="W847" s="177"/>
      <c r="X847" s="177"/>
      <c r="Y847" s="177"/>
    </row>
    <row r="848">
      <c r="A848" s="177"/>
      <c r="B848" s="177"/>
      <c r="C848" s="177"/>
      <c r="D848" s="177"/>
      <c r="E848" s="177"/>
      <c r="F848" s="177"/>
      <c r="G848" s="178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171"/>
      <c r="S848" s="177"/>
      <c r="T848" s="177"/>
      <c r="U848" s="177"/>
      <c r="V848" s="177"/>
      <c r="W848" s="177"/>
      <c r="X848" s="177"/>
      <c r="Y848" s="177"/>
    </row>
    <row r="849">
      <c r="A849" s="177"/>
      <c r="B849" s="177"/>
      <c r="C849" s="177"/>
      <c r="D849" s="177"/>
      <c r="E849" s="177"/>
      <c r="F849" s="177"/>
      <c r="G849" s="178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171"/>
      <c r="S849" s="177"/>
      <c r="T849" s="177"/>
      <c r="U849" s="177"/>
      <c r="V849" s="177"/>
      <c r="W849" s="177"/>
      <c r="X849" s="177"/>
      <c r="Y849" s="177"/>
    </row>
    <row r="850">
      <c r="A850" s="177"/>
      <c r="B850" s="177"/>
      <c r="C850" s="177"/>
      <c r="D850" s="177"/>
      <c r="E850" s="177"/>
      <c r="F850" s="177"/>
      <c r="G850" s="178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171"/>
      <c r="S850" s="177"/>
      <c r="T850" s="177"/>
      <c r="U850" s="177"/>
      <c r="V850" s="177"/>
      <c r="W850" s="177"/>
      <c r="X850" s="177"/>
      <c r="Y850" s="177"/>
    </row>
    <row r="851">
      <c r="A851" s="177"/>
      <c r="B851" s="177"/>
      <c r="C851" s="177"/>
      <c r="D851" s="177"/>
      <c r="E851" s="177"/>
      <c r="F851" s="177"/>
      <c r="G851" s="178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171"/>
      <c r="S851" s="177"/>
      <c r="T851" s="177"/>
      <c r="U851" s="177"/>
      <c r="V851" s="177"/>
      <c r="W851" s="177"/>
      <c r="X851" s="177"/>
      <c r="Y851" s="177"/>
    </row>
    <row r="852">
      <c r="A852" s="177"/>
      <c r="B852" s="177"/>
      <c r="C852" s="177"/>
      <c r="D852" s="177"/>
      <c r="E852" s="177"/>
      <c r="F852" s="177"/>
      <c r="G852" s="178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171"/>
      <c r="S852" s="177"/>
      <c r="T852" s="177"/>
      <c r="U852" s="177"/>
      <c r="V852" s="177"/>
      <c r="W852" s="177"/>
      <c r="X852" s="177"/>
      <c r="Y852" s="177"/>
    </row>
    <row r="853">
      <c r="A853" s="177"/>
      <c r="B853" s="177"/>
      <c r="C853" s="177"/>
      <c r="D853" s="177"/>
      <c r="E853" s="177"/>
      <c r="F853" s="177"/>
      <c r="G853" s="178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171"/>
      <c r="S853" s="177"/>
      <c r="T853" s="177"/>
      <c r="U853" s="177"/>
      <c r="V853" s="177"/>
      <c r="W853" s="177"/>
      <c r="X853" s="177"/>
      <c r="Y853" s="177"/>
    </row>
    <row r="854">
      <c r="A854" s="177"/>
      <c r="B854" s="177"/>
      <c r="C854" s="177"/>
      <c r="D854" s="177"/>
      <c r="E854" s="177"/>
      <c r="F854" s="177"/>
      <c r="G854" s="178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171"/>
      <c r="S854" s="177"/>
      <c r="T854" s="177"/>
      <c r="U854" s="177"/>
      <c r="V854" s="177"/>
      <c r="W854" s="177"/>
      <c r="X854" s="177"/>
      <c r="Y854" s="177"/>
    </row>
    <row r="855">
      <c r="A855" s="177"/>
      <c r="B855" s="177"/>
      <c r="C855" s="177"/>
      <c r="D855" s="177"/>
      <c r="E855" s="177"/>
      <c r="F855" s="177"/>
      <c r="G855" s="178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171"/>
      <c r="S855" s="177"/>
      <c r="T855" s="177"/>
      <c r="U855" s="177"/>
      <c r="V855" s="177"/>
      <c r="W855" s="177"/>
      <c r="X855" s="177"/>
      <c r="Y855" s="177"/>
    </row>
    <row r="856">
      <c r="A856" s="177"/>
      <c r="B856" s="177"/>
      <c r="C856" s="177"/>
      <c r="D856" s="177"/>
      <c r="E856" s="177"/>
      <c r="F856" s="177"/>
      <c r="G856" s="178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171"/>
      <c r="S856" s="177"/>
      <c r="T856" s="177"/>
      <c r="U856" s="177"/>
      <c r="V856" s="177"/>
      <c r="W856" s="177"/>
      <c r="X856" s="177"/>
      <c r="Y856" s="177"/>
    </row>
    <row r="857">
      <c r="A857" s="177"/>
      <c r="B857" s="177"/>
      <c r="C857" s="177"/>
      <c r="D857" s="177"/>
      <c r="E857" s="177"/>
      <c r="F857" s="177"/>
      <c r="G857" s="178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171"/>
      <c r="S857" s="177"/>
      <c r="T857" s="177"/>
      <c r="U857" s="177"/>
      <c r="V857" s="177"/>
      <c r="W857" s="177"/>
      <c r="X857" s="177"/>
      <c r="Y857" s="177"/>
    </row>
    <row r="858">
      <c r="A858" s="177"/>
      <c r="B858" s="177"/>
      <c r="C858" s="177"/>
      <c r="D858" s="177"/>
      <c r="E858" s="177"/>
      <c r="F858" s="177"/>
      <c r="G858" s="178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171"/>
      <c r="S858" s="177"/>
      <c r="T858" s="177"/>
      <c r="U858" s="177"/>
      <c r="V858" s="177"/>
      <c r="W858" s="177"/>
      <c r="X858" s="177"/>
      <c r="Y858" s="177"/>
    </row>
    <row r="859">
      <c r="A859" s="177"/>
      <c r="B859" s="177"/>
      <c r="C859" s="177"/>
      <c r="D859" s="177"/>
      <c r="E859" s="177"/>
      <c r="F859" s="177"/>
      <c r="G859" s="178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171"/>
      <c r="S859" s="177"/>
      <c r="T859" s="177"/>
      <c r="U859" s="177"/>
      <c r="V859" s="177"/>
      <c r="W859" s="177"/>
      <c r="X859" s="177"/>
      <c r="Y859" s="177"/>
    </row>
    <row r="860">
      <c r="A860" s="177"/>
      <c r="B860" s="177"/>
      <c r="C860" s="177"/>
      <c r="D860" s="177"/>
      <c r="E860" s="177"/>
      <c r="F860" s="177"/>
      <c r="G860" s="178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171"/>
      <c r="S860" s="177"/>
      <c r="T860" s="177"/>
      <c r="U860" s="177"/>
      <c r="V860" s="177"/>
      <c r="W860" s="177"/>
      <c r="X860" s="177"/>
      <c r="Y860" s="177"/>
    </row>
    <row r="861">
      <c r="A861" s="177"/>
      <c r="B861" s="177"/>
      <c r="C861" s="177"/>
      <c r="D861" s="177"/>
      <c r="E861" s="177"/>
      <c r="F861" s="177"/>
      <c r="G861" s="178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171"/>
      <c r="S861" s="177"/>
      <c r="T861" s="177"/>
      <c r="U861" s="177"/>
      <c r="V861" s="177"/>
      <c r="W861" s="177"/>
      <c r="X861" s="177"/>
      <c r="Y861" s="177"/>
    </row>
    <row r="862">
      <c r="A862" s="177"/>
      <c r="B862" s="177"/>
      <c r="C862" s="177"/>
      <c r="D862" s="177"/>
      <c r="E862" s="177"/>
      <c r="F862" s="177"/>
      <c r="G862" s="178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171"/>
      <c r="S862" s="177"/>
      <c r="T862" s="177"/>
      <c r="U862" s="177"/>
      <c r="V862" s="177"/>
      <c r="W862" s="177"/>
      <c r="X862" s="177"/>
      <c r="Y862" s="177"/>
    </row>
    <row r="863">
      <c r="A863" s="177"/>
      <c r="B863" s="177"/>
      <c r="C863" s="177"/>
      <c r="D863" s="177"/>
      <c r="E863" s="177"/>
      <c r="F863" s="177"/>
      <c r="G863" s="178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171"/>
      <c r="S863" s="177"/>
      <c r="T863" s="177"/>
      <c r="U863" s="177"/>
      <c r="V863" s="177"/>
      <c r="W863" s="177"/>
      <c r="X863" s="177"/>
      <c r="Y863" s="177"/>
    </row>
    <row r="864">
      <c r="A864" s="177"/>
      <c r="B864" s="177"/>
      <c r="C864" s="177"/>
      <c r="D864" s="177"/>
      <c r="E864" s="177"/>
      <c r="F864" s="177"/>
      <c r="G864" s="178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171"/>
      <c r="S864" s="177"/>
      <c r="T864" s="177"/>
      <c r="U864" s="177"/>
      <c r="V864" s="177"/>
      <c r="W864" s="177"/>
      <c r="X864" s="177"/>
      <c r="Y864" s="177"/>
    </row>
    <row r="865">
      <c r="A865" s="177"/>
      <c r="B865" s="177"/>
      <c r="C865" s="177"/>
      <c r="D865" s="177"/>
      <c r="E865" s="177"/>
      <c r="F865" s="177"/>
      <c r="G865" s="178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171"/>
      <c r="S865" s="177"/>
      <c r="T865" s="177"/>
      <c r="U865" s="177"/>
      <c r="V865" s="177"/>
      <c r="W865" s="177"/>
      <c r="X865" s="177"/>
      <c r="Y865" s="177"/>
    </row>
    <row r="866">
      <c r="A866" s="177"/>
      <c r="B866" s="177"/>
      <c r="C866" s="177"/>
      <c r="D866" s="177"/>
      <c r="E866" s="177"/>
      <c r="F866" s="177"/>
      <c r="G866" s="178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171"/>
      <c r="S866" s="177"/>
      <c r="T866" s="177"/>
      <c r="U866" s="177"/>
      <c r="V866" s="177"/>
      <c r="W866" s="177"/>
      <c r="X866" s="177"/>
      <c r="Y866" s="177"/>
    </row>
    <row r="867">
      <c r="A867" s="177"/>
      <c r="B867" s="177"/>
      <c r="C867" s="177"/>
      <c r="D867" s="177"/>
      <c r="E867" s="177"/>
      <c r="F867" s="177"/>
      <c r="G867" s="178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171"/>
      <c r="S867" s="177"/>
      <c r="T867" s="177"/>
      <c r="U867" s="177"/>
      <c r="V867" s="177"/>
      <c r="W867" s="177"/>
      <c r="X867" s="177"/>
      <c r="Y867" s="177"/>
    </row>
    <row r="868">
      <c r="A868" s="177"/>
      <c r="B868" s="177"/>
      <c r="C868" s="177"/>
      <c r="D868" s="177"/>
      <c r="E868" s="177"/>
      <c r="F868" s="177"/>
      <c r="G868" s="178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171"/>
      <c r="S868" s="177"/>
      <c r="T868" s="177"/>
      <c r="U868" s="177"/>
      <c r="V868" s="177"/>
      <c r="W868" s="177"/>
      <c r="X868" s="177"/>
      <c r="Y868" s="177"/>
    </row>
    <row r="869">
      <c r="A869" s="177"/>
      <c r="B869" s="177"/>
      <c r="C869" s="177"/>
      <c r="D869" s="177"/>
      <c r="E869" s="177"/>
      <c r="F869" s="177"/>
      <c r="G869" s="178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171"/>
      <c r="S869" s="177"/>
      <c r="T869" s="177"/>
      <c r="U869" s="177"/>
      <c r="V869" s="177"/>
      <c r="W869" s="177"/>
      <c r="X869" s="177"/>
      <c r="Y869" s="177"/>
    </row>
    <row r="870">
      <c r="A870" s="177"/>
      <c r="B870" s="177"/>
      <c r="C870" s="177"/>
      <c r="D870" s="177"/>
      <c r="E870" s="177"/>
      <c r="F870" s="177"/>
      <c r="G870" s="178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171"/>
      <c r="S870" s="177"/>
      <c r="T870" s="177"/>
      <c r="U870" s="177"/>
      <c r="V870" s="177"/>
      <c r="W870" s="177"/>
      <c r="X870" s="177"/>
      <c r="Y870" s="177"/>
    </row>
    <row r="871">
      <c r="A871" s="177"/>
      <c r="B871" s="177"/>
      <c r="C871" s="177"/>
      <c r="D871" s="177"/>
      <c r="E871" s="177"/>
      <c r="F871" s="177"/>
      <c r="G871" s="178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171"/>
      <c r="S871" s="177"/>
      <c r="T871" s="177"/>
      <c r="U871" s="177"/>
      <c r="V871" s="177"/>
      <c r="W871" s="177"/>
      <c r="X871" s="177"/>
      <c r="Y871" s="177"/>
    </row>
    <row r="872">
      <c r="A872" s="177"/>
      <c r="B872" s="177"/>
      <c r="C872" s="177"/>
      <c r="D872" s="177"/>
      <c r="E872" s="177"/>
      <c r="F872" s="177"/>
      <c r="G872" s="178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171"/>
      <c r="S872" s="177"/>
      <c r="T872" s="177"/>
      <c r="U872" s="177"/>
      <c r="V872" s="177"/>
      <c r="W872" s="177"/>
      <c r="X872" s="177"/>
      <c r="Y872" s="177"/>
    </row>
    <row r="873">
      <c r="A873" s="177"/>
      <c r="B873" s="177"/>
      <c r="C873" s="177"/>
      <c r="D873" s="177"/>
      <c r="E873" s="177"/>
      <c r="F873" s="177"/>
      <c r="G873" s="178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171"/>
      <c r="S873" s="177"/>
      <c r="T873" s="177"/>
      <c r="U873" s="177"/>
      <c r="V873" s="177"/>
      <c r="W873" s="177"/>
      <c r="X873" s="177"/>
      <c r="Y873" s="177"/>
    </row>
    <row r="874">
      <c r="A874" s="177"/>
      <c r="B874" s="177"/>
      <c r="C874" s="177"/>
      <c r="D874" s="177"/>
      <c r="E874" s="177"/>
      <c r="F874" s="177"/>
      <c r="G874" s="178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171"/>
      <c r="S874" s="177"/>
      <c r="T874" s="177"/>
      <c r="U874" s="177"/>
      <c r="V874" s="177"/>
      <c r="W874" s="177"/>
      <c r="X874" s="177"/>
      <c r="Y874" s="177"/>
    </row>
    <row r="875">
      <c r="A875" s="177"/>
      <c r="B875" s="177"/>
      <c r="C875" s="177"/>
      <c r="D875" s="177"/>
      <c r="E875" s="177"/>
      <c r="F875" s="177"/>
      <c r="G875" s="178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171"/>
      <c r="S875" s="177"/>
      <c r="T875" s="177"/>
      <c r="U875" s="177"/>
      <c r="V875" s="177"/>
      <c r="W875" s="177"/>
      <c r="X875" s="177"/>
      <c r="Y875" s="177"/>
    </row>
    <row r="876">
      <c r="A876" s="177"/>
      <c r="B876" s="177"/>
      <c r="C876" s="177"/>
      <c r="D876" s="177"/>
      <c r="E876" s="177"/>
      <c r="F876" s="177"/>
      <c r="G876" s="178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171"/>
      <c r="S876" s="177"/>
      <c r="T876" s="177"/>
      <c r="U876" s="177"/>
      <c r="V876" s="177"/>
      <c r="W876" s="177"/>
      <c r="X876" s="177"/>
      <c r="Y876" s="177"/>
    </row>
    <row r="877">
      <c r="A877" s="177"/>
      <c r="B877" s="177"/>
      <c r="C877" s="177"/>
      <c r="D877" s="177"/>
      <c r="E877" s="177"/>
      <c r="F877" s="177"/>
      <c r="G877" s="178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171"/>
      <c r="S877" s="177"/>
      <c r="T877" s="177"/>
      <c r="U877" s="177"/>
      <c r="V877" s="177"/>
      <c r="W877" s="177"/>
      <c r="X877" s="177"/>
      <c r="Y877" s="177"/>
    </row>
    <row r="878">
      <c r="A878" s="177"/>
      <c r="B878" s="177"/>
      <c r="C878" s="177"/>
      <c r="D878" s="177"/>
      <c r="E878" s="177"/>
      <c r="F878" s="177"/>
      <c r="G878" s="178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171"/>
      <c r="S878" s="177"/>
      <c r="T878" s="177"/>
      <c r="U878" s="177"/>
      <c r="V878" s="177"/>
      <c r="W878" s="177"/>
      <c r="X878" s="177"/>
      <c r="Y878" s="177"/>
    </row>
    <row r="879">
      <c r="A879" s="177"/>
      <c r="B879" s="177"/>
      <c r="C879" s="177"/>
      <c r="D879" s="177"/>
      <c r="E879" s="177"/>
      <c r="F879" s="177"/>
      <c r="G879" s="178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171"/>
      <c r="S879" s="177"/>
      <c r="T879" s="177"/>
      <c r="U879" s="177"/>
      <c r="V879" s="177"/>
      <c r="W879" s="177"/>
      <c r="X879" s="177"/>
      <c r="Y879" s="177"/>
    </row>
    <row r="880">
      <c r="A880" s="177"/>
      <c r="B880" s="177"/>
      <c r="C880" s="177"/>
      <c r="D880" s="177"/>
      <c r="E880" s="177"/>
      <c r="F880" s="177"/>
      <c r="G880" s="178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171"/>
      <c r="S880" s="177"/>
      <c r="T880" s="177"/>
      <c r="U880" s="177"/>
      <c r="V880" s="177"/>
      <c r="W880" s="177"/>
      <c r="X880" s="177"/>
      <c r="Y880" s="177"/>
    </row>
    <row r="881">
      <c r="A881" s="177"/>
      <c r="B881" s="177"/>
      <c r="C881" s="177"/>
      <c r="D881" s="177"/>
      <c r="E881" s="177"/>
      <c r="F881" s="177"/>
      <c r="G881" s="178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171"/>
      <c r="S881" s="177"/>
      <c r="T881" s="177"/>
      <c r="U881" s="177"/>
      <c r="V881" s="177"/>
      <c r="W881" s="177"/>
      <c r="X881" s="177"/>
      <c r="Y881" s="177"/>
    </row>
    <row r="882">
      <c r="A882" s="177"/>
      <c r="B882" s="177"/>
      <c r="C882" s="177"/>
      <c r="D882" s="177"/>
      <c r="E882" s="177"/>
      <c r="F882" s="177"/>
      <c r="G882" s="178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171"/>
      <c r="S882" s="177"/>
      <c r="T882" s="177"/>
      <c r="U882" s="177"/>
      <c r="V882" s="177"/>
      <c r="W882" s="177"/>
      <c r="X882" s="177"/>
      <c r="Y882" s="177"/>
    </row>
    <row r="883">
      <c r="A883" s="177"/>
      <c r="B883" s="177"/>
      <c r="C883" s="177"/>
      <c r="D883" s="177"/>
      <c r="E883" s="177"/>
      <c r="F883" s="177"/>
      <c r="G883" s="178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171"/>
      <c r="S883" s="177"/>
      <c r="T883" s="177"/>
      <c r="U883" s="177"/>
      <c r="V883" s="177"/>
      <c r="W883" s="177"/>
      <c r="X883" s="177"/>
      <c r="Y883" s="177"/>
    </row>
    <row r="884">
      <c r="A884" s="177"/>
      <c r="B884" s="177"/>
      <c r="C884" s="177"/>
      <c r="D884" s="177"/>
      <c r="E884" s="177"/>
      <c r="F884" s="177"/>
      <c r="G884" s="178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171"/>
      <c r="S884" s="177"/>
      <c r="T884" s="177"/>
      <c r="U884" s="177"/>
      <c r="V884" s="177"/>
      <c r="W884" s="177"/>
      <c r="X884" s="177"/>
      <c r="Y884" s="177"/>
    </row>
    <row r="885">
      <c r="A885" s="177"/>
      <c r="B885" s="177"/>
      <c r="C885" s="177"/>
      <c r="D885" s="177"/>
      <c r="E885" s="177"/>
      <c r="F885" s="177"/>
      <c r="G885" s="178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171"/>
      <c r="S885" s="177"/>
      <c r="T885" s="177"/>
      <c r="U885" s="177"/>
      <c r="V885" s="177"/>
      <c r="W885" s="177"/>
      <c r="X885" s="177"/>
      <c r="Y885" s="177"/>
    </row>
    <row r="886">
      <c r="A886" s="177"/>
      <c r="B886" s="177"/>
      <c r="C886" s="177"/>
      <c r="D886" s="177"/>
      <c r="E886" s="177"/>
      <c r="F886" s="177"/>
      <c r="G886" s="178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171"/>
      <c r="S886" s="177"/>
      <c r="T886" s="177"/>
      <c r="U886" s="177"/>
      <c r="V886" s="177"/>
      <c r="W886" s="177"/>
      <c r="X886" s="177"/>
      <c r="Y886" s="177"/>
    </row>
    <row r="887">
      <c r="A887" s="177"/>
      <c r="B887" s="177"/>
      <c r="C887" s="177"/>
      <c r="D887" s="177"/>
      <c r="E887" s="177"/>
      <c r="F887" s="177"/>
      <c r="G887" s="178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171"/>
      <c r="S887" s="177"/>
      <c r="T887" s="177"/>
      <c r="U887" s="177"/>
      <c r="V887" s="177"/>
      <c r="W887" s="177"/>
      <c r="X887" s="177"/>
      <c r="Y887" s="177"/>
    </row>
    <row r="888">
      <c r="A888" s="177"/>
      <c r="B888" s="177"/>
      <c r="C888" s="177"/>
      <c r="D888" s="177"/>
      <c r="E888" s="177"/>
      <c r="F888" s="177"/>
      <c r="G888" s="178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171"/>
      <c r="S888" s="177"/>
      <c r="T888" s="177"/>
      <c r="U888" s="177"/>
      <c r="V888" s="177"/>
      <c r="W888" s="177"/>
      <c r="X888" s="177"/>
      <c r="Y888" s="177"/>
    </row>
    <row r="889">
      <c r="A889" s="177"/>
      <c r="B889" s="177"/>
      <c r="C889" s="177"/>
      <c r="D889" s="177"/>
      <c r="E889" s="177"/>
      <c r="F889" s="177"/>
      <c r="G889" s="178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171"/>
      <c r="S889" s="177"/>
      <c r="T889" s="177"/>
      <c r="U889" s="177"/>
      <c r="V889" s="177"/>
      <c r="W889" s="177"/>
      <c r="X889" s="177"/>
      <c r="Y889" s="177"/>
    </row>
    <row r="890">
      <c r="A890" s="177"/>
      <c r="B890" s="177"/>
      <c r="C890" s="177"/>
      <c r="D890" s="177"/>
      <c r="E890" s="177"/>
      <c r="F890" s="177"/>
      <c r="G890" s="178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171"/>
      <c r="S890" s="177"/>
      <c r="T890" s="177"/>
      <c r="U890" s="177"/>
      <c r="V890" s="177"/>
      <c r="W890" s="177"/>
      <c r="X890" s="177"/>
      <c r="Y890" s="177"/>
    </row>
    <row r="891">
      <c r="A891" s="177"/>
      <c r="B891" s="177"/>
      <c r="C891" s="177"/>
      <c r="D891" s="177"/>
      <c r="E891" s="177"/>
      <c r="F891" s="177"/>
      <c r="G891" s="178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171"/>
      <c r="S891" s="177"/>
      <c r="T891" s="177"/>
      <c r="U891" s="177"/>
      <c r="V891" s="177"/>
      <c r="W891" s="177"/>
      <c r="X891" s="177"/>
      <c r="Y891" s="177"/>
    </row>
    <row r="892">
      <c r="A892" s="177"/>
      <c r="B892" s="177"/>
      <c r="C892" s="177"/>
      <c r="D892" s="177"/>
      <c r="E892" s="177"/>
      <c r="F892" s="177"/>
      <c r="G892" s="178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171"/>
      <c r="S892" s="177"/>
      <c r="T892" s="177"/>
      <c r="U892" s="177"/>
      <c r="V892" s="177"/>
      <c r="W892" s="177"/>
      <c r="X892" s="177"/>
      <c r="Y892" s="177"/>
    </row>
    <row r="893">
      <c r="A893" s="177"/>
      <c r="B893" s="177"/>
      <c r="C893" s="177"/>
      <c r="D893" s="177"/>
      <c r="E893" s="177"/>
      <c r="F893" s="177"/>
      <c r="G893" s="178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171"/>
      <c r="S893" s="177"/>
      <c r="T893" s="177"/>
      <c r="U893" s="177"/>
      <c r="V893" s="177"/>
      <c r="W893" s="177"/>
      <c r="X893" s="177"/>
      <c r="Y893" s="177"/>
    </row>
    <row r="894">
      <c r="A894" s="177"/>
      <c r="B894" s="177"/>
      <c r="C894" s="177"/>
      <c r="D894" s="177"/>
      <c r="E894" s="177"/>
      <c r="F894" s="177"/>
      <c r="G894" s="178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171"/>
      <c r="S894" s="177"/>
      <c r="T894" s="177"/>
      <c r="U894" s="177"/>
      <c r="V894" s="177"/>
      <c r="W894" s="177"/>
      <c r="X894" s="177"/>
      <c r="Y894" s="177"/>
    </row>
    <row r="895">
      <c r="A895" s="177"/>
      <c r="B895" s="177"/>
      <c r="C895" s="177"/>
      <c r="D895" s="177"/>
      <c r="E895" s="177"/>
      <c r="F895" s="177"/>
      <c r="G895" s="178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171"/>
      <c r="S895" s="177"/>
      <c r="T895" s="177"/>
      <c r="U895" s="177"/>
      <c r="V895" s="177"/>
      <c r="W895" s="177"/>
      <c r="X895" s="177"/>
      <c r="Y895" s="177"/>
    </row>
    <row r="896">
      <c r="A896" s="177"/>
      <c r="B896" s="177"/>
      <c r="C896" s="177"/>
      <c r="D896" s="177"/>
      <c r="E896" s="177"/>
      <c r="F896" s="177"/>
      <c r="G896" s="178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171"/>
      <c r="S896" s="177"/>
      <c r="T896" s="177"/>
      <c r="U896" s="177"/>
      <c r="V896" s="177"/>
      <c r="W896" s="177"/>
      <c r="X896" s="177"/>
      <c r="Y896" s="177"/>
    </row>
    <row r="897">
      <c r="A897" s="177"/>
      <c r="B897" s="177"/>
      <c r="C897" s="177"/>
      <c r="D897" s="177"/>
      <c r="E897" s="177"/>
      <c r="F897" s="177"/>
      <c r="G897" s="178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171"/>
      <c r="S897" s="177"/>
      <c r="T897" s="177"/>
      <c r="U897" s="177"/>
      <c r="V897" s="177"/>
      <c r="W897" s="177"/>
      <c r="X897" s="177"/>
      <c r="Y897" s="177"/>
    </row>
    <row r="898">
      <c r="A898" s="177"/>
      <c r="B898" s="177"/>
      <c r="C898" s="177"/>
      <c r="D898" s="177"/>
      <c r="E898" s="177"/>
      <c r="F898" s="177"/>
      <c r="G898" s="178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171"/>
      <c r="S898" s="177"/>
      <c r="T898" s="177"/>
      <c r="U898" s="177"/>
      <c r="V898" s="177"/>
      <c r="W898" s="177"/>
      <c r="X898" s="177"/>
      <c r="Y898" s="177"/>
    </row>
    <row r="899">
      <c r="A899" s="177"/>
      <c r="B899" s="177"/>
      <c r="C899" s="177"/>
      <c r="D899" s="177"/>
      <c r="E899" s="177"/>
      <c r="F899" s="177"/>
      <c r="G899" s="178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171"/>
      <c r="S899" s="177"/>
      <c r="T899" s="177"/>
      <c r="U899" s="177"/>
      <c r="V899" s="177"/>
      <c r="W899" s="177"/>
      <c r="X899" s="177"/>
      <c r="Y899" s="177"/>
    </row>
    <row r="900">
      <c r="A900" s="177"/>
      <c r="B900" s="177"/>
      <c r="C900" s="177"/>
      <c r="D900" s="177"/>
      <c r="E900" s="177"/>
      <c r="F900" s="177"/>
      <c r="G900" s="178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171"/>
      <c r="S900" s="177"/>
      <c r="T900" s="177"/>
      <c r="U900" s="177"/>
      <c r="V900" s="177"/>
      <c r="W900" s="177"/>
      <c r="X900" s="177"/>
      <c r="Y900" s="177"/>
    </row>
    <row r="901">
      <c r="A901" s="177"/>
      <c r="B901" s="177"/>
      <c r="C901" s="177"/>
      <c r="D901" s="177"/>
      <c r="E901" s="177"/>
      <c r="F901" s="177"/>
      <c r="G901" s="178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171"/>
      <c r="S901" s="177"/>
      <c r="T901" s="177"/>
      <c r="U901" s="177"/>
      <c r="V901" s="177"/>
      <c r="W901" s="177"/>
      <c r="X901" s="177"/>
      <c r="Y901" s="177"/>
    </row>
    <row r="902">
      <c r="A902" s="177"/>
      <c r="B902" s="177"/>
      <c r="C902" s="177"/>
      <c r="D902" s="177"/>
      <c r="E902" s="177"/>
      <c r="F902" s="177"/>
      <c r="G902" s="178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171"/>
      <c r="S902" s="177"/>
      <c r="T902" s="177"/>
      <c r="U902" s="177"/>
      <c r="V902" s="177"/>
      <c r="W902" s="177"/>
      <c r="X902" s="177"/>
      <c r="Y902" s="177"/>
    </row>
    <row r="903">
      <c r="A903" s="177"/>
      <c r="B903" s="177"/>
      <c r="C903" s="177"/>
      <c r="D903" s="177"/>
      <c r="E903" s="177"/>
      <c r="F903" s="177"/>
      <c r="G903" s="178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171"/>
      <c r="S903" s="177"/>
      <c r="T903" s="177"/>
      <c r="U903" s="177"/>
      <c r="V903" s="177"/>
      <c r="W903" s="177"/>
      <c r="X903" s="177"/>
      <c r="Y903" s="177"/>
    </row>
    <row r="904">
      <c r="A904" s="177"/>
      <c r="B904" s="177"/>
      <c r="C904" s="177"/>
      <c r="D904" s="177"/>
      <c r="E904" s="177"/>
      <c r="F904" s="177"/>
      <c r="G904" s="178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171"/>
      <c r="S904" s="177"/>
      <c r="T904" s="177"/>
      <c r="U904" s="177"/>
      <c r="V904" s="177"/>
      <c r="W904" s="177"/>
      <c r="X904" s="177"/>
      <c r="Y904" s="177"/>
    </row>
    <row r="905">
      <c r="A905" s="177"/>
      <c r="B905" s="177"/>
      <c r="C905" s="177"/>
      <c r="D905" s="177"/>
      <c r="E905" s="177"/>
      <c r="F905" s="177"/>
      <c r="G905" s="178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171"/>
      <c r="S905" s="177"/>
      <c r="T905" s="177"/>
      <c r="U905" s="177"/>
      <c r="V905" s="177"/>
      <c r="W905" s="177"/>
      <c r="X905" s="177"/>
      <c r="Y905" s="177"/>
    </row>
    <row r="906">
      <c r="A906" s="177"/>
      <c r="B906" s="177"/>
      <c r="C906" s="177"/>
      <c r="D906" s="177"/>
      <c r="E906" s="177"/>
      <c r="F906" s="177"/>
      <c r="G906" s="178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171"/>
      <c r="S906" s="177"/>
      <c r="T906" s="177"/>
      <c r="U906" s="177"/>
      <c r="V906" s="177"/>
      <c r="W906" s="177"/>
      <c r="X906" s="177"/>
      <c r="Y906" s="177"/>
    </row>
    <row r="907">
      <c r="A907" s="177"/>
      <c r="B907" s="177"/>
      <c r="C907" s="177"/>
      <c r="D907" s="177"/>
      <c r="E907" s="177"/>
      <c r="F907" s="177"/>
      <c r="G907" s="178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171"/>
      <c r="S907" s="177"/>
      <c r="T907" s="177"/>
      <c r="U907" s="177"/>
      <c r="V907" s="177"/>
      <c r="W907" s="177"/>
      <c r="X907" s="177"/>
      <c r="Y907" s="177"/>
    </row>
    <row r="908">
      <c r="A908" s="177"/>
      <c r="B908" s="177"/>
      <c r="C908" s="177"/>
      <c r="D908" s="177"/>
      <c r="E908" s="177"/>
      <c r="F908" s="177"/>
      <c r="G908" s="178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171"/>
      <c r="S908" s="177"/>
      <c r="T908" s="177"/>
      <c r="U908" s="177"/>
      <c r="V908" s="177"/>
      <c r="W908" s="177"/>
      <c r="X908" s="177"/>
      <c r="Y908" s="177"/>
    </row>
    <row r="909">
      <c r="A909" s="177"/>
      <c r="B909" s="177"/>
      <c r="C909" s="177"/>
      <c r="D909" s="177"/>
      <c r="E909" s="177"/>
      <c r="F909" s="177"/>
      <c r="G909" s="178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171"/>
      <c r="S909" s="177"/>
      <c r="T909" s="177"/>
      <c r="U909" s="177"/>
      <c r="V909" s="177"/>
      <c r="W909" s="177"/>
      <c r="X909" s="177"/>
      <c r="Y909" s="177"/>
    </row>
    <row r="910">
      <c r="A910" s="177"/>
      <c r="B910" s="177"/>
      <c r="C910" s="177"/>
      <c r="D910" s="177"/>
      <c r="E910" s="177"/>
      <c r="F910" s="177"/>
      <c r="G910" s="178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171"/>
      <c r="S910" s="177"/>
      <c r="T910" s="177"/>
      <c r="U910" s="177"/>
      <c r="V910" s="177"/>
      <c r="W910" s="177"/>
      <c r="X910" s="177"/>
      <c r="Y910" s="177"/>
    </row>
    <row r="911">
      <c r="A911" s="177"/>
      <c r="B911" s="177"/>
      <c r="C911" s="177"/>
      <c r="D911" s="177"/>
      <c r="E911" s="177"/>
      <c r="F911" s="177"/>
      <c r="G911" s="178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171"/>
      <c r="S911" s="177"/>
      <c r="T911" s="177"/>
      <c r="U911" s="177"/>
      <c r="V911" s="177"/>
      <c r="W911" s="177"/>
      <c r="X911" s="177"/>
      <c r="Y911" s="177"/>
    </row>
    <row r="912">
      <c r="A912" s="177"/>
      <c r="B912" s="177"/>
      <c r="C912" s="177"/>
      <c r="D912" s="177"/>
      <c r="E912" s="177"/>
      <c r="F912" s="177"/>
      <c r="G912" s="178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171"/>
      <c r="S912" s="177"/>
      <c r="T912" s="177"/>
      <c r="U912" s="177"/>
      <c r="V912" s="177"/>
      <c r="W912" s="177"/>
      <c r="X912" s="177"/>
      <c r="Y912" s="177"/>
    </row>
    <row r="913">
      <c r="A913" s="177"/>
      <c r="B913" s="177"/>
      <c r="C913" s="177"/>
      <c r="D913" s="177"/>
      <c r="E913" s="177"/>
      <c r="F913" s="177"/>
      <c r="G913" s="178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171"/>
      <c r="S913" s="177"/>
      <c r="T913" s="177"/>
      <c r="U913" s="177"/>
      <c r="V913" s="177"/>
      <c r="W913" s="177"/>
      <c r="X913" s="177"/>
      <c r="Y913" s="177"/>
    </row>
    <row r="914">
      <c r="A914" s="177"/>
      <c r="B914" s="177"/>
      <c r="C914" s="177"/>
      <c r="D914" s="177"/>
      <c r="E914" s="177"/>
      <c r="F914" s="177"/>
      <c r="G914" s="178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171"/>
      <c r="S914" s="177"/>
      <c r="T914" s="177"/>
      <c r="U914" s="177"/>
      <c r="V914" s="177"/>
      <c r="W914" s="177"/>
      <c r="X914" s="177"/>
      <c r="Y914" s="177"/>
    </row>
    <row r="915">
      <c r="A915" s="177"/>
      <c r="B915" s="177"/>
      <c r="C915" s="177"/>
      <c r="D915" s="177"/>
      <c r="E915" s="177"/>
      <c r="F915" s="177"/>
      <c r="G915" s="178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171"/>
      <c r="S915" s="177"/>
      <c r="T915" s="177"/>
      <c r="U915" s="177"/>
      <c r="V915" s="177"/>
      <c r="W915" s="177"/>
      <c r="X915" s="177"/>
      <c r="Y915" s="177"/>
    </row>
    <row r="916">
      <c r="A916" s="177"/>
      <c r="B916" s="177"/>
      <c r="C916" s="177"/>
      <c r="D916" s="177"/>
      <c r="E916" s="177"/>
      <c r="F916" s="177"/>
      <c r="G916" s="178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171"/>
      <c r="S916" s="177"/>
      <c r="T916" s="177"/>
      <c r="U916" s="177"/>
      <c r="V916" s="177"/>
      <c r="W916" s="177"/>
      <c r="X916" s="177"/>
      <c r="Y916" s="177"/>
    </row>
    <row r="917">
      <c r="A917" s="177"/>
      <c r="B917" s="177"/>
      <c r="C917" s="177"/>
      <c r="D917" s="177"/>
      <c r="E917" s="177"/>
      <c r="F917" s="177"/>
      <c r="G917" s="178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171"/>
      <c r="S917" s="177"/>
      <c r="T917" s="177"/>
      <c r="U917" s="177"/>
      <c r="V917" s="177"/>
      <c r="W917" s="177"/>
      <c r="X917" s="177"/>
      <c r="Y917" s="177"/>
    </row>
    <row r="918">
      <c r="A918" s="177"/>
      <c r="B918" s="177"/>
      <c r="C918" s="177"/>
      <c r="D918" s="177"/>
      <c r="E918" s="177"/>
      <c r="F918" s="177"/>
      <c r="G918" s="178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171"/>
      <c r="S918" s="177"/>
      <c r="T918" s="177"/>
      <c r="U918" s="177"/>
      <c r="V918" s="177"/>
      <c r="W918" s="177"/>
      <c r="X918" s="177"/>
      <c r="Y918" s="177"/>
    </row>
    <row r="919">
      <c r="A919" s="177"/>
      <c r="B919" s="177"/>
      <c r="C919" s="177"/>
      <c r="D919" s="177"/>
      <c r="E919" s="177"/>
      <c r="F919" s="177"/>
      <c r="G919" s="178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171"/>
      <c r="S919" s="177"/>
      <c r="T919" s="177"/>
      <c r="U919" s="177"/>
      <c r="V919" s="177"/>
      <c r="W919" s="177"/>
      <c r="X919" s="177"/>
      <c r="Y919" s="177"/>
    </row>
    <row r="920">
      <c r="A920" s="177"/>
      <c r="B920" s="177"/>
      <c r="C920" s="177"/>
      <c r="D920" s="177"/>
      <c r="E920" s="177"/>
      <c r="F920" s="177"/>
      <c r="G920" s="178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171"/>
      <c r="S920" s="177"/>
      <c r="T920" s="177"/>
      <c r="U920" s="177"/>
      <c r="V920" s="177"/>
      <c r="W920" s="177"/>
      <c r="X920" s="177"/>
      <c r="Y920" s="177"/>
    </row>
    <row r="921">
      <c r="A921" s="177"/>
      <c r="B921" s="177"/>
      <c r="C921" s="177"/>
      <c r="D921" s="177"/>
      <c r="E921" s="177"/>
      <c r="F921" s="177"/>
      <c r="G921" s="178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171"/>
      <c r="S921" s="177"/>
      <c r="T921" s="177"/>
      <c r="U921" s="177"/>
      <c r="V921" s="177"/>
      <c r="W921" s="177"/>
      <c r="X921" s="177"/>
      <c r="Y921" s="177"/>
    </row>
    <row r="922">
      <c r="A922" s="177"/>
      <c r="B922" s="177"/>
      <c r="C922" s="177"/>
      <c r="D922" s="177"/>
      <c r="E922" s="177"/>
      <c r="F922" s="177"/>
      <c r="G922" s="178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171"/>
      <c r="S922" s="177"/>
      <c r="T922" s="177"/>
      <c r="U922" s="177"/>
      <c r="V922" s="177"/>
      <c r="W922" s="177"/>
      <c r="X922" s="177"/>
      <c r="Y922" s="177"/>
    </row>
    <row r="923">
      <c r="A923" s="177"/>
      <c r="B923" s="177"/>
      <c r="C923" s="177"/>
      <c r="D923" s="177"/>
      <c r="E923" s="177"/>
      <c r="F923" s="177"/>
      <c r="G923" s="178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171"/>
      <c r="S923" s="177"/>
      <c r="T923" s="177"/>
      <c r="U923" s="177"/>
      <c r="V923" s="177"/>
      <c r="W923" s="177"/>
      <c r="X923" s="177"/>
      <c r="Y923" s="177"/>
    </row>
    <row r="924">
      <c r="A924" s="177"/>
      <c r="B924" s="177"/>
      <c r="C924" s="177"/>
      <c r="D924" s="177"/>
      <c r="E924" s="177"/>
      <c r="F924" s="177"/>
      <c r="G924" s="178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171"/>
      <c r="S924" s="177"/>
      <c r="T924" s="177"/>
      <c r="U924" s="177"/>
      <c r="V924" s="177"/>
      <c r="W924" s="177"/>
      <c r="X924" s="177"/>
      <c r="Y924" s="177"/>
    </row>
    <row r="925">
      <c r="A925" s="177"/>
      <c r="B925" s="177"/>
      <c r="C925" s="177"/>
      <c r="D925" s="177"/>
      <c r="E925" s="177"/>
      <c r="F925" s="177"/>
      <c r="G925" s="178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171"/>
      <c r="S925" s="177"/>
      <c r="T925" s="177"/>
      <c r="U925" s="177"/>
      <c r="V925" s="177"/>
      <c r="W925" s="177"/>
      <c r="X925" s="177"/>
      <c r="Y925" s="177"/>
    </row>
    <row r="926">
      <c r="A926" s="177"/>
      <c r="B926" s="177"/>
      <c r="C926" s="177"/>
      <c r="D926" s="177"/>
      <c r="E926" s="177"/>
      <c r="F926" s="177"/>
      <c r="G926" s="178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171"/>
      <c r="S926" s="177"/>
      <c r="T926" s="177"/>
      <c r="U926" s="177"/>
      <c r="V926" s="177"/>
      <c r="W926" s="177"/>
      <c r="X926" s="177"/>
      <c r="Y926" s="177"/>
    </row>
    <row r="927">
      <c r="A927" s="177"/>
      <c r="B927" s="177"/>
      <c r="C927" s="177"/>
      <c r="D927" s="177"/>
      <c r="E927" s="177"/>
      <c r="F927" s="177"/>
      <c r="G927" s="178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171"/>
      <c r="S927" s="177"/>
      <c r="T927" s="177"/>
      <c r="U927" s="177"/>
      <c r="V927" s="177"/>
      <c r="W927" s="177"/>
      <c r="X927" s="177"/>
      <c r="Y927" s="177"/>
    </row>
    <row r="928">
      <c r="A928" s="177"/>
      <c r="B928" s="177"/>
      <c r="C928" s="177"/>
      <c r="D928" s="177"/>
      <c r="E928" s="177"/>
      <c r="F928" s="177"/>
      <c r="G928" s="178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171"/>
      <c r="S928" s="177"/>
      <c r="T928" s="177"/>
      <c r="U928" s="177"/>
      <c r="V928" s="177"/>
      <c r="W928" s="177"/>
      <c r="X928" s="177"/>
      <c r="Y928" s="177"/>
    </row>
    <row r="929">
      <c r="A929" s="177"/>
      <c r="B929" s="177"/>
      <c r="C929" s="177"/>
      <c r="D929" s="177"/>
      <c r="E929" s="177"/>
      <c r="F929" s="177"/>
      <c r="G929" s="178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171"/>
      <c r="S929" s="177"/>
      <c r="T929" s="177"/>
      <c r="U929" s="177"/>
      <c r="V929" s="177"/>
      <c r="W929" s="177"/>
      <c r="X929" s="177"/>
      <c r="Y929" s="177"/>
    </row>
    <row r="930">
      <c r="A930" s="177"/>
      <c r="B930" s="177"/>
      <c r="C930" s="177"/>
      <c r="D930" s="177"/>
      <c r="E930" s="177"/>
      <c r="F930" s="177"/>
      <c r="G930" s="178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171"/>
      <c r="S930" s="177"/>
      <c r="T930" s="177"/>
      <c r="U930" s="177"/>
      <c r="V930" s="177"/>
      <c r="W930" s="177"/>
      <c r="X930" s="177"/>
      <c r="Y930" s="177"/>
    </row>
    <row r="931">
      <c r="A931" s="177"/>
      <c r="B931" s="177"/>
      <c r="C931" s="177"/>
      <c r="D931" s="177"/>
      <c r="E931" s="177"/>
      <c r="F931" s="177"/>
      <c r="G931" s="178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171"/>
      <c r="S931" s="177"/>
      <c r="T931" s="177"/>
      <c r="U931" s="177"/>
      <c r="V931" s="177"/>
      <c r="W931" s="177"/>
      <c r="X931" s="177"/>
      <c r="Y931" s="177"/>
    </row>
    <row r="932">
      <c r="A932" s="177"/>
      <c r="B932" s="177"/>
      <c r="C932" s="177"/>
      <c r="D932" s="177"/>
      <c r="E932" s="177"/>
      <c r="F932" s="177"/>
      <c r="G932" s="178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171"/>
      <c r="S932" s="177"/>
      <c r="T932" s="177"/>
      <c r="U932" s="177"/>
      <c r="V932" s="177"/>
      <c r="W932" s="177"/>
      <c r="X932" s="177"/>
      <c r="Y932" s="177"/>
    </row>
    <row r="933">
      <c r="A933" s="177"/>
      <c r="B933" s="177"/>
      <c r="C933" s="177"/>
      <c r="D933" s="177"/>
      <c r="E933" s="177"/>
      <c r="F933" s="177"/>
      <c r="G933" s="178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171"/>
      <c r="S933" s="177"/>
      <c r="T933" s="177"/>
      <c r="U933" s="177"/>
      <c r="V933" s="177"/>
      <c r="W933" s="177"/>
      <c r="X933" s="177"/>
      <c r="Y933" s="177"/>
    </row>
    <row r="934">
      <c r="A934" s="177"/>
      <c r="B934" s="177"/>
      <c r="C934" s="177"/>
      <c r="D934" s="177"/>
      <c r="E934" s="177"/>
      <c r="F934" s="177"/>
      <c r="G934" s="178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171"/>
      <c r="S934" s="177"/>
      <c r="T934" s="177"/>
      <c r="U934" s="177"/>
      <c r="V934" s="177"/>
      <c r="W934" s="177"/>
      <c r="X934" s="177"/>
      <c r="Y934" s="177"/>
    </row>
    <row r="935">
      <c r="A935" s="177"/>
      <c r="B935" s="177"/>
      <c r="C935" s="177"/>
      <c r="D935" s="177"/>
      <c r="E935" s="177"/>
      <c r="F935" s="177"/>
      <c r="G935" s="178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171"/>
      <c r="S935" s="177"/>
      <c r="T935" s="177"/>
      <c r="U935" s="177"/>
      <c r="V935" s="177"/>
      <c r="W935" s="177"/>
      <c r="X935" s="177"/>
      <c r="Y935" s="177"/>
    </row>
    <row r="936">
      <c r="A936" s="177"/>
      <c r="B936" s="177"/>
      <c r="C936" s="177"/>
      <c r="D936" s="177"/>
      <c r="E936" s="177"/>
      <c r="F936" s="177"/>
      <c r="G936" s="178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171"/>
      <c r="S936" s="177"/>
      <c r="T936" s="177"/>
      <c r="U936" s="177"/>
      <c r="V936" s="177"/>
      <c r="W936" s="177"/>
      <c r="X936" s="177"/>
      <c r="Y936" s="177"/>
    </row>
    <row r="937">
      <c r="A937" s="177"/>
      <c r="B937" s="177"/>
      <c r="C937" s="177"/>
      <c r="D937" s="177"/>
      <c r="E937" s="177"/>
      <c r="F937" s="177"/>
      <c r="G937" s="178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171"/>
      <c r="S937" s="177"/>
      <c r="T937" s="177"/>
      <c r="U937" s="177"/>
      <c r="V937" s="177"/>
      <c r="W937" s="177"/>
      <c r="X937" s="177"/>
      <c r="Y937" s="177"/>
    </row>
    <row r="938">
      <c r="A938" s="177"/>
      <c r="B938" s="177"/>
      <c r="C938" s="177"/>
      <c r="D938" s="177"/>
      <c r="E938" s="177"/>
      <c r="F938" s="177"/>
      <c r="G938" s="178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171"/>
      <c r="S938" s="177"/>
      <c r="T938" s="177"/>
      <c r="U938" s="177"/>
      <c r="V938" s="177"/>
      <c r="W938" s="177"/>
      <c r="X938" s="177"/>
      <c r="Y938" s="177"/>
    </row>
    <row r="939">
      <c r="A939" s="177"/>
      <c r="B939" s="177"/>
      <c r="C939" s="177"/>
      <c r="D939" s="177"/>
      <c r="E939" s="177"/>
      <c r="F939" s="177"/>
      <c r="G939" s="178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171"/>
      <c r="S939" s="177"/>
      <c r="T939" s="177"/>
      <c r="U939" s="177"/>
      <c r="V939" s="177"/>
      <c r="W939" s="177"/>
      <c r="X939" s="177"/>
      <c r="Y939" s="177"/>
    </row>
    <row r="940">
      <c r="A940" s="177"/>
      <c r="B940" s="177"/>
      <c r="C940" s="177"/>
      <c r="D940" s="177"/>
      <c r="E940" s="177"/>
      <c r="F940" s="177"/>
      <c r="G940" s="178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171"/>
      <c r="S940" s="177"/>
      <c r="T940" s="177"/>
      <c r="U940" s="177"/>
      <c r="V940" s="177"/>
      <c r="W940" s="177"/>
      <c r="X940" s="177"/>
      <c r="Y940" s="177"/>
    </row>
    <row r="941">
      <c r="A941" s="177"/>
      <c r="B941" s="177"/>
      <c r="C941" s="177"/>
      <c r="D941" s="177"/>
      <c r="E941" s="177"/>
      <c r="F941" s="177"/>
      <c r="G941" s="178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171"/>
      <c r="S941" s="177"/>
      <c r="T941" s="177"/>
      <c r="U941" s="177"/>
      <c r="V941" s="177"/>
      <c r="W941" s="177"/>
      <c r="X941" s="177"/>
      <c r="Y941" s="177"/>
    </row>
    <row r="942">
      <c r="A942" s="177"/>
      <c r="B942" s="177"/>
      <c r="C942" s="177"/>
      <c r="D942" s="177"/>
      <c r="E942" s="177"/>
      <c r="F942" s="177"/>
      <c r="G942" s="178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171"/>
      <c r="S942" s="177"/>
      <c r="T942" s="177"/>
      <c r="U942" s="177"/>
      <c r="V942" s="177"/>
      <c r="W942" s="177"/>
      <c r="X942" s="177"/>
      <c r="Y942" s="177"/>
    </row>
    <row r="943">
      <c r="A943" s="177"/>
      <c r="B943" s="177"/>
      <c r="C943" s="177"/>
      <c r="D943" s="177"/>
      <c r="E943" s="177"/>
      <c r="F943" s="177"/>
      <c r="G943" s="178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171"/>
      <c r="S943" s="177"/>
      <c r="T943" s="177"/>
      <c r="U943" s="177"/>
      <c r="V943" s="177"/>
      <c r="W943" s="177"/>
      <c r="X943" s="177"/>
      <c r="Y943" s="177"/>
    </row>
    <row r="944">
      <c r="A944" s="177"/>
      <c r="B944" s="177"/>
      <c r="C944" s="177"/>
      <c r="D944" s="177"/>
      <c r="E944" s="177"/>
      <c r="F944" s="177"/>
      <c r="G944" s="178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171"/>
      <c r="S944" s="177"/>
      <c r="T944" s="177"/>
      <c r="U944" s="177"/>
      <c r="V944" s="177"/>
      <c r="W944" s="177"/>
      <c r="X944" s="177"/>
      <c r="Y944" s="177"/>
    </row>
    <row r="945">
      <c r="A945" s="177"/>
      <c r="B945" s="177"/>
      <c r="C945" s="177"/>
      <c r="D945" s="177"/>
      <c r="E945" s="177"/>
      <c r="F945" s="177"/>
      <c r="G945" s="178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171"/>
      <c r="S945" s="177"/>
      <c r="T945" s="177"/>
      <c r="U945" s="177"/>
      <c r="V945" s="177"/>
      <c r="W945" s="177"/>
      <c r="X945" s="177"/>
      <c r="Y945" s="177"/>
    </row>
    <row r="946">
      <c r="A946" s="177"/>
      <c r="B946" s="177"/>
      <c r="C946" s="177"/>
      <c r="D946" s="177"/>
      <c r="E946" s="177"/>
      <c r="F946" s="177"/>
      <c r="G946" s="178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171"/>
      <c r="S946" s="177"/>
      <c r="T946" s="177"/>
      <c r="U946" s="177"/>
      <c r="V946" s="177"/>
      <c r="W946" s="177"/>
      <c r="X946" s="177"/>
      <c r="Y946" s="177"/>
    </row>
    <row r="947">
      <c r="A947" s="177"/>
      <c r="B947" s="177"/>
      <c r="C947" s="177"/>
      <c r="D947" s="177"/>
      <c r="E947" s="177"/>
      <c r="F947" s="177"/>
      <c r="G947" s="178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171"/>
      <c r="S947" s="177"/>
      <c r="T947" s="177"/>
      <c r="U947" s="177"/>
      <c r="V947" s="177"/>
      <c r="W947" s="177"/>
      <c r="X947" s="177"/>
      <c r="Y947" s="177"/>
    </row>
    <row r="948">
      <c r="A948" s="177"/>
      <c r="B948" s="177"/>
      <c r="C948" s="177"/>
      <c r="D948" s="177"/>
      <c r="E948" s="177"/>
      <c r="F948" s="177"/>
      <c r="G948" s="178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171"/>
      <c r="S948" s="177"/>
      <c r="T948" s="177"/>
      <c r="U948" s="177"/>
      <c r="V948" s="177"/>
      <c r="W948" s="177"/>
      <c r="X948" s="177"/>
      <c r="Y948" s="177"/>
    </row>
    <row r="949">
      <c r="A949" s="177"/>
      <c r="B949" s="177"/>
      <c r="C949" s="177"/>
      <c r="D949" s="177"/>
      <c r="E949" s="177"/>
      <c r="F949" s="177"/>
      <c r="G949" s="178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171"/>
      <c r="S949" s="177"/>
      <c r="T949" s="177"/>
      <c r="U949" s="177"/>
      <c r="V949" s="177"/>
      <c r="W949" s="177"/>
      <c r="X949" s="177"/>
      <c r="Y949" s="177"/>
    </row>
    <row r="950">
      <c r="A950" s="177"/>
      <c r="B950" s="177"/>
      <c r="C950" s="177"/>
      <c r="D950" s="177"/>
      <c r="E950" s="177"/>
      <c r="F950" s="177"/>
      <c r="G950" s="178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171"/>
      <c r="S950" s="177"/>
      <c r="T950" s="177"/>
      <c r="U950" s="177"/>
      <c r="V950" s="177"/>
      <c r="W950" s="177"/>
      <c r="X950" s="177"/>
      <c r="Y950" s="177"/>
    </row>
    <row r="951">
      <c r="A951" s="177"/>
      <c r="B951" s="177"/>
      <c r="C951" s="177"/>
      <c r="D951" s="177"/>
      <c r="E951" s="177"/>
      <c r="F951" s="177"/>
      <c r="G951" s="178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171"/>
      <c r="S951" s="177"/>
      <c r="T951" s="177"/>
      <c r="U951" s="177"/>
      <c r="V951" s="177"/>
      <c r="W951" s="177"/>
      <c r="X951" s="177"/>
      <c r="Y951" s="177"/>
    </row>
    <row r="952">
      <c r="A952" s="177"/>
      <c r="B952" s="177"/>
      <c r="C952" s="177"/>
      <c r="D952" s="177"/>
      <c r="E952" s="177"/>
      <c r="F952" s="177"/>
      <c r="G952" s="178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171"/>
      <c r="S952" s="177"/>
      <c r="T952" s="177"/>
      <c r="U952" s="177"/>
      <c r="V952" s="177"/>
      <c r="W952" s="177"/>
      <c r="X952" s="177"/>
      <c r="Y952" s="177"/>
    </row>
    <row r="953">
      <c r="A953" s="177"/>
      <c r="B953" s="177"/>
      <c r="C953" s="177"/>
      <c r="D953" s="177"/>
      <c r="E953" s="177"/>
      <c r="F953" s="177"/>
      <c r="G953" s="178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171"/>
      <c r="S953" s="177"/>
      <c r="T953" s="177"/>
      <c r="U953" s="177"/>
      <c r="V953" s="177"/>
      <c r="W953" s="177"/>
      <c r="X953" s="177"/>
      <c r="Y953" s="177"/>
    </row>
    <row r="954">
      <c r="A954" s="177"/>
      <c r="B954" s="177"/>
      <c r="C954" s="177"/>
      <c r="D954" s="177"/>
      <c r="E954" s="177"/>
      <c r="F954" s="177"/>
      <c r="G954" s="178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171"/>
      <c r="S954" s="177"/>
      <c r="T954" s="177"/>
      <c r="U954" s="177"/>
      <c r="V954" s="177"/>
      <c r="W954" s="177"/>
      <c r="X954" s="177"/>
      <c r="Y954" s="177"/>
    </row>
    <row r="955">
      <c r="A955" s="177"/>
      <c r="B955" s="177"/>
      <c r="C955" s="177"/>
      <c r="D955" s="177"/>
      <c r="E955" s="177"/>
      <c r="F955" s="177"/>
      <c r="G955" s="178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171"/>
      <c r="S955" s="177"/>
      <c r="T955" s="177"/>
      <c r="U955" s="177"/>
      <c r="V955" s="177"/>
      <c r="W955" s="177"/>
      <c r="X955" s="177"/>
      <c r="Y955" s="177"/>
    </row>
    <row r="956">
      <c r="A956" s="177"/>
      <c r="B956" s="177"/>
      <c r="C956" s="177"/>
      <c r="D956" s="177"/>
      <c r="E956" s="177"/>
      <c r="F956" s="177"/>
      <c r="G956" s="178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171"/>
      <c r="S956" s="177"/>
      <c r="T956" s="177"/>
      <c r="U956" s="177"/>
      <c r="V956" s="177"/>
      <c r="W956" s="177"/>
      <c r="X956" s="177"/>
      <c r="Y956" s="177"/>
    </row>
    <row r="957">
      <c r="A957" s="177"/>
      <c r="B957" s="177"/>
      <c r="C957" s="177"/>
      <c r="D957" s="177"/>
      <c r="E957" s="177"/>
      <c r="F957" s="177"/>
      <c r="G957" s="178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171"/>
      <c r="S957" s="177"/>
      <c r="T957" s="177"/>
      <c r="U957" s="177"/>
      <c r="V957" s="177"/>
      <c r="W957" s="177"/>
      <c r="X957" s="177"/>
      <c r="Y957" s="177"/>
    </row>
    <row r="958">
      <c r="A958" s="177"/>
      <c r="B958" s="177"/>
      <c r="C958" s="177"/>
      <c r="D958" s="177"/>
      <c r="E958" s="177"/>
      <c r="F958" s="177"/>
      <c r="G958" s="178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171"/>
      <c r="S958" s="177"/>
      <c r="T958" s="177"/>
      <c r="U958" s="177"/>
      <c r="V958" s="177"/>
      <c r="W958" s="177"/>
      <c r="X958" s="177"/>
      <c r="Y958" s="177"/>
    </row>
    <row r="959">
      <c r="A959" s="177"/>
      <c r="B959" s="177"/>
      <c r="C959" s="177"/>
      <c r="D959" s="177"/>
      <c r="E959" s="177"/>
      <c r="F959" s="177"/>
      <c r="G959" s="178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171"/>
      <c r="S959" s="177"/>
      <c r="T959" s="177"/>
      <c r="U959" s="177"/>
      <c r="V959" s="177"/>
      <c r="W959" s="177"/>
      <c r="X959" s="177"/>
      <c r="Y959" s="177"/>
    </row>
    <row r="960">
      <c r="A960" s="177"/>
      <c r="B960" s="177"/>
      <c r="C960" s="177"/>
      <c r="D960" s="177"/>
      <c r="E960" s="177"/>
      <c r="F960" s="177"/>
      <c r="G960" s="178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171"/>
      <c r="S960" s="177"/>
      <c r="T960" s="177"/>
      <c r="U960" s="177"/>
      <c r="V960" s="177"/>
      <c r="W960" s="177"/>
      <c r="X960" s="177"/>
      <c r="Y960" s="177"/>
    </row>
    <row r="961">
      <c r="A961" s="177"/>
      <c r="B961" s="177"/>
      <c r="C961" s="177"/>
      <c r="D961" s="177"/>
      <c r="E961" s="177"/>
      <c r="F961" s="177"/>
      <c r="G961" s="178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171"/>
      <c r="S961" s="177"/>
      <c r="T961" s="177"/>
      <c r="U961" s="177"/>
      <c r="V961" s="177"/>
      <c r="W961" s="177"/>
      <c r="X961" s="177"/>
      <c r="Y961" s="177"/>
    </row>
    <row r="962">
      <c r="A962" s="177"/>
      <c r="B962" s="177"/>
      <c r="C962" s="177"/>
      <c r="D962" s="177"/>
      <c r="E962" s="177"/>
      <c r="F962" s="177"/>
      <c r="G962" s="178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171"/>
      <c r="S962" s="177"/>
      <c r="T962" s="177"/>
      <c r="U962" s="177"/>
      <c r="V962" s="177"/>
      <c r="W962" s="177"/>
      <c r="X962" s="177"/>
      <c r="Y962" s="177"/>
    </row>
    <row r="963">
      <c r="A963" s="177"/>
      <c r="B963" s="177"/>
      <c r="C963" s="177"/>
      <c r="D963" s="177"/>
      <c r="E963" s="177"/>
      <c r="F963" s="177"/>
      <c r="G963" s="178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171"/>
      <c r="S963" s="177"/>
      <c r="T963" s="177"/>
      <c r="U963" s="177"/>
      <c r="V963" s="177"/>
      <c r="W963" s="177"/>
      <c r="X963" s="177"/>
      <c r="Y963" s="177"/>
    </row>
    <row r="964">
      <c r="A964" s="177"/>
      <c r="B964" s="177"/>
      <c r="C964" s="177"/>
      <c r="D964" s="177"/>
      <c r="E964" s="177"/>
      <c r="F964" s="177"/>
      <c r="G964" s="178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171"/>
      <c r="S964" s="177"/>
      <c r="T964" s="177"/>
      <c r="U964" s="177"/>
      <c r="V964" s="177"/>
      <c r="W964" s="177"/>
      <c r="X964" s="177"/>
      <c r="Y964" s="177"/>
    </row>
    <row r="965">
      <c r="A965" s="177"/>
      <c r="B965" s="177"/>
      <c r="C965" s="177"/>
      <c r="D965" s="177"/>
      <c r="E965" s="177"/>
      <c r="F965" s="177"/>
      <c r="G965" s="178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171"/>
      <c r="S965" s="177"/>
      <c r="T965" s="177"/>
      <c r="U965" s="177"/>
      <c r="V965" s="177"/>
      <c r="W965" s="177"/>
      <c r="X965" s="177"/>
      <c r="Y965" s="177"/>
    </row>
    <row r="966">
      <c r="A966" s="177"/>
      <c r="B966" s="177"/>
      <c r="C966" s="177"/>
      <c r="D966" s="177"/>
      <c r="E966" s="177"/>
      <c r="F966" s="177"/>
      <c r="G966" s="178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171"/>
      <c r="S966" s="177"/>
      <c r="T966" s="177"/>
      <c r="U966" s="177"/>
      <c r="V966" s="177"/>
      <c r="W966" s="177"/>
      <c r="X966" s="177"/>
      <c r="Y966" s="177"/>
    </row>
    <row r="967">
      <c r="A967" s="177"/>
      <c r="B967" s="177"/>
      <c r="C967" s="177"/>
      <c r="D967" s="177"/>
      <c r="E967" s="177"/>
      <c r="F967" s="177"/>
      <c r="G967" s="178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171"/>
      <c r="S967" s="177"/>
      <c r="T967" s="177"/>
      <c r="U967" s="177"/>
      <c r="V967" s="177"/>
      <c r="W967" s="177"/>
      <c r="X967" s="177"/>
      <c r="Y967" s="177"/>
    </row>
    <row r="968">
      <c r="A968" s="177"/>
      <c r="B968" s="177"/>
      <c r="C968" s="177"/>
      <c r="D968" s="177"/>
      <c r="E968" s="177"/>
      <c r="F968" s="177"/>
      <c r="G968" s="178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171"/>
      <c r="S968" s="177"/>
      <c r="T968" s="177"/>
      <c r="U968" s="177"/>
      <c r="V968" s="177"/>
      <c r="W968" s="177"/>
      <c r="X968" s="177"/>
      <c r="Y968" s="177"/>
    </row>
    <row r="969">
      <c r="A969" s="177"/>
      <c r="B969" s="177"/>
      <c r="C969" s="177"/>
      <c r="D969" s="177"/>
      <c r="E969" s="177"/>
      <c r="F969" s="177"/>
      <c r="G969" s="178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171"/>
      <c r="S969" s="177"/>
      <c r="T969" s="177"/>
      <c r="U969" s="177"/>
      <c r="V969" s="177"/>
      <c r="W969" s="177"/>
      <c r="X969" s="177"/>
      <c r="Y969" s="177"/>
    </row>
    <row r="970">
      <c r="A970" s="177"/>
      <c r="B970" s="177"/>
      <c r="C970" s="177"/>
      <c r="D970" s="177"/>
      <c r="E970" s="177"/>
      <c r="F970" s="177"/>
      <c r="G970" s="178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171"/>
      <c r="S970" s="177"/>
      <c r="T970" s="177"/>
      <c r="U970" s="177"/>
      <c r="V970" s="177"/>
      <c r="W970" s="177"/>
      <c r="X970" s="177"/>
      <c r="Y970" s="177"/>
    </row>
    <row r="971">
      <c r="A971" s="177"/>
      <c r="B971" s="177"/>
      <c r="C971" s="177"/>
      <c r="D971" s="177"/>
      <c r="E971" s="177"/>
      <c r="F971" s="177"/>
      <c r="G971" s="178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171"/>
      <c r="S971" s="177"/>
      <c r="T971" s="177"/>
      <c r="U971" s="177"/>
      <c r="V971" s="177"/>
      <c r="W971" s="177"/>
      <c r="X971" s="177"/>
      <c r="Y971" s="177"/>
    </row>
    <row r="972">
      <c r="A972" s="177"/>
      <c r="B972" s="177"/>
      <c r="C972" s="177"/>
      <c r="D972" s="177"/>
      <c r="E972" s="177"/>
      <c r="F972" s="177"/>
      <c r="G972" s="178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171"/>
      <c r="S972" s="177"/>
      <c r="T972" s="177"/>
      <c r="U972" s="177"/>
      <c r="V972" s="177"/>
      <c r="W972" s="177"/>
      <c r="X972" s="177"/>
      <c r="Y972" s="177"/>
    </row>
    <row r="973">
      <c r="A973" s="177"/>
      <c r="B973" s="177"/>
      <c r="C973" s="177"/>
      <c r="D973" s="177"/>
      <c r="E973" s="177"/>
      <c r="F973" s="177"/>
      <c r="G973" s="178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171"/>
      <c r="S973" s="177"/>
      <c r="T973" s="177"/>
      <c r="U973" s="177"/>
      <c r="V973" s="177"/>
      <c r="W973" s="177"/>
      <c r="X973" s="177"/>
      <c r="Y973" s="177"/>
    </row>
    <row r="974">
      <c r="A974" s="177"/>
      <c r="B974" s="177"/>
      <c r="C974" s="177"/>
      <c r="D974" s="177"/>
      <c r="E974" s="177"/>
      <c r="F974" s="177"/>
      <c r="G974" s="178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171"/>
      <c r="S974" s="177"/>
      <c r="T974" s="177"/>
      <c r="U974" s="177"/>
      <c r="V974" s="177"/>
      <c r="W974" s="177"/>
      <c r="X974" s="177"/>
      <c r="Y974" s="177"/>
    </row>
    <row r="975">
      <c r="A975" s="177"/>
      <c r="B975" s="177"/>
      <c r="C975" s="177"/>
      <c r="D975" s="177"/>
      <c r="E975" s="177"/>
      <c r="F975" s="177"/>
      <c r="G975" s="178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171"/>
      <c r="S975" s="177"/>
      <c r="T975" s="177"/>
      <c r="U975" s="177"/>
      <c r="V975" s="177"/>
      <c r="W975" s="177"/>
      <c r="X975" s="177"/>
      <c r="Y975" s="177"/>
    </row>
    <row r="976">
      <c r="A976" s="177"/>
      <c r="B976" s="177"/>
      <c r="C976" s="177"/>
      <c r="D976" s="177"/>
      <c r="E976" s="177"/>
      <c r="F976" s="177"/>
      <c r="G976" s="178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171"/>
      <c r="S976" s="177"/>
      <c r="T976" s="177"/>
      <c r="U976" s="177"/>
      <c r="V976" s="177"/>
      <c r="W976" s="177"/>
      <c r="X976" s="177"/>
      <c r="Y976" s="177"/>
    </row>
    <row r="977">
      <c r="A977" s="177"/>
      <c r="B977" s="177"/>
      <c r="C977" s="177"/>
      <c r="D977" s="177"/>
      <c r="E977" s="177"/>
      <c r="F977" s="177"/>
      <c r="G977" s="178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171"/>
      <c r="S977" s="177"/>
      <c r="T977" s="177"/>
      <c r="U977" s="177"/>
      <c r="V977" s="177"/>
      <c r="W977" s="177"/>
      <c r="X977" s="177"/>
      <c r="Y977" s="177"/>
    </row>
    <row r="978">
      <c r="A978" s="177"/>
      <c r="B978" s="177"/>
      <c r="C978" s="177"/>
      <c r="D978" s="177"/>
      <c r="E978" s="177"/>
      <c r="F978" s="177"/>
      <c r="G978" s="178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171"/>
      <c r="S978" s="177"/>
      <c r="T978" s="177"/>
      <c r="U978" s="177"/>
      <c r="V978" s="177"/>
      <c r="W978" s="177"/>
      <c r="X978" s="177"/>
      <c r="Y978" s="177"/>
    </row>
    <row r="979">
      <c r="A979" s="177"/>
      <c r="B979" s="177"/>
      <c r="C979" s="177"/>
      <c r="D979" s="177"/>
      <c r="E979" s="177"/>
      <c r="F979" s="177"/>
      <c r="G979" s="178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171"/>
      <c r="S979" s="177"/>
      <c r="T979" s="177"/>
      <c r="U979" s="177"/>
      <c r="V979" s="177"/>
      <c r="W979" s="177"/>
      <c r="X979" s="177"/>
      <c r="Y979" s="177"/>
    </row>
    <row r="980">
      <c r="A980" s="177"/>
      <c r="B980" s="177"/>
      <c r="C980" s="177"/>
      <c r="D980" s="177"/>
      <c r="E980" s="177"/>
      <c r="F980" s="177"/>
      <c r="G980" s="178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171"/>
      <c r="S980" s="177"/>
      <c r="T980" s="177"/>
      <c r="U980" s="177"/>
      <c r="V980" s="177"/>
      <c r="W980" s="177"/>
      <c r="X980" s="177"/>
      <c r="Y980" s="177"/>
    </row>
    <row r="981">
      <c r="A981" s="177"/>
      <c r="B981" s="177"/>
      <c r="C981" s="177"/>
      <c r="D981" s="177"/>
      <c r="E981" s="177"/>
      <c r="F981" s="177"/>
      <c r="G981" s="178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171"/>
      <c r="S981" s="177"/>
      <c r="T981" s="177"/>
      <c r="U981" s="177"/>
      <c r="V981" s="177"/>
      <c r="W981" s="177"/>
      <c r="X981" s="177"/>
      <c r="Y981" s="177"/>
    </row>
    <row r="982">
      <c r="A982" s="177"/>
      <c r="B982" s="177"/>
      <c r="C982" s="177"/>
      <c r="D982" s="177"/>
      <c r="E982" s="177"/>
      <c r="F982" s="177"/>
      <c r="G982" s="178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171"/>
      <c r="S982" s="177"/>
      <c r="T982" s="177"/>
      <c r="U982" s="177"/>
      <c r="V982" s="177"/>
      <c r="W982" s="177"/>
      <c r="X982" s="177"/>
      <c r="Y982" s="177"/>
    </row>
    <row r="983">
      <c r="A983" s="177"/>
      <c r="B983" s="177"/>
      <c r="C983" s="177"/>
      <c r="D983" s="177"/>
      <c r="E983" s="177"/>
      <c r="F983" s="177"/>
      <c r="G983" s="178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171"/>
      <c r="S983" s="177"/>
      <c r="T983" s="177"/>
      <c r="U983" s="177"/>
      <c r="V983" s="177"/>
      <c r="W983" s="177"/>
      <c r="X983" s="177"/>
      <c r="Y983" s="177"/>
    </row>
    <row r="984">
      <c r="A984" s="177"/>
      <c r="B984" s="177"/>
      <c r="C984" s="177"/>
      <c r="D984" s="177"/>
      <c r="E984" s="177"/>
      <c r="F984" s="177"/>
      <c r="G984" s="178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171"/>
      <c r="S984" s="177"/>
      <c r="T984" s="177"/>
      <c r="U984" s="177"/>
      <c r="V984" s="177"/>
      <c r="W984" s="177"/>
      <c r="X984" s="177"/>
      <c r="Y984" s="177"/>
    </row>
    <row r="985">
      <c r="A985" s="177"/>
      <c r="B985" s="177"/>
      <c r="C985" s="177"/>
      <c r="D985" s="177"/>
      <c r="E985" s="177"/>
      <c r="F985" s="177"/>
      <c r="G985" s="178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171"/>
      <c r="S985" s="177"/>
      <c r="T985" s="177"/>
      <c r="U985" s="177"/>
      <c r="V985" s="177"/>
      <c r="W985" s="177"/>
      <c r="X985" s="177"/>
      <c r="Y985" s="177"/>
    </row>
    <row r="986">
      <c r="A986" s="177"/>
      <c r="B986" s="177"/>
      <c r="C986" s="177"/>
      <c r="D986" s="177"/>
      <c r="E986" s="177"/>
      <c r="F986" s="177"/>
      <c r="G986" s="178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171"/>
      <c r="S986" s="177"/>
      <c r="T986" s="177"/>
      <c r="U986" s="177"/>
      <c r="V986" s="177"/>
      <c r="W986" s="177"/>
      <c r="X986" s="177"/>
      <c r="Y986" s="177"/>
    </row>
    <row r="987">
      <c r="A987" s="177"/>
      <c r="B987" s="177"/>
      <c r="C987" s="177"/>
      <c r="D987" s="177"/>
      <c r="E987" s="177"/>
      <c r="F987" s="177"/>
      <c r="G987" s="178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171"/>
      <c r="S987" s="177"/>
      <c r="T987" s="177"/>
      <c r="U987" s="177"/>
      <c r="V987" s="177"/>
      <c r="W987" s="177"/>
      <c r="X987" s="177"/>
      <c r="Y987" s="177"/>
    </row>
    <row r="988">
      <c r="A988" s="177"/>
      <c r="B988" s="177"/>
      <c r="C988" s="177"/>
      <c r="D988" s="177"/>
      <c r="E988" s="177"/>
      <c r="F988" s="177"/>
      <c r="G988" s="178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171"/>
      <c r="S988" s="177"/>
      <c r="T988" s="177"/>
      <c r="U988" s="177"/>
      <c r="V988" s="177"/>
      <c r="W988" s="177"/>
      <c r="X988" s="177"/>
      <c r="Y988" s="177"/>
    </row>
    <row r="989">
      <c r="A989" s="177"/>
      <c r="B989" s="177"/>
      <c r="C989" s="177"/>
      <c r="D989" s="177"/>
      <c r="E989" s="177"/>
      <c r="F989" s="177"/>
      <c r="G989" s="178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171"/>
      <c r="S989" s="177"/>
      <c r="T989" s="177"/>
      <c r="U989" s="177"/>
      <c r="V989" s="177"/>
      <c r="W989" s="177"/>
      <c r="X989" s="177"/>
      <c r="Y989" s="177"/>
    </row>
    <row r="990">
      <c r="A990" s="177"/>
      <c r="B990" s="177"/>
      <c r="C990" s="177"/>
      <c r="D990" s="177"/>
      <c r="E990" s="177"/>
      <c r="F990" s="177"/>
      <c r="G990" s="178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171"/>
      <c r="S990" s="177"/>
      <c r="T990" s="177"/>
      <c r="U990" s="177"/>
      <c r="V990" s="177"/>
      <c r="W990" s="177"/>
      <c r="X990" s="177"/>
      <c r="Y990" s="177"/>
    </row>
    <row r="991">
      <c r="A991" s="177"/>
      <c r="B991" s="177"/>
      <c r="C991" s="177"/>
      <c r="D991" s="177"/>
      <c r="E991" s="177"/>
      <c r="F991" s="177"/>
      <c r="G991" s="178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171"/>
      <c r="S991" s="177"/>
      <c r="T991" s="177"/>
      <c r="U991" s="177"/>
      <c r="V991" s="177"/>
      <c r="W991" s="177"/>
      <c r="X991" s="177"/>
      <c r="Y991" s="177"/>
    </row>
    <row r="992">
      <c r="A992" s="177"/>
      <c r="B992" s="177"/>
      <c r="C992" s="177"/>
      <c r="D992" s="177"/>
      <c r="E992" s="177"/>
      <c r="F992" s="177"/>
      <c r="G992" s="178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171"/>
      <c r="S992" s="177"/>
      <c r="T992" s="177"/>
      <c r="U992" s="177"/>
      <c r="V992" s="177"/>
      <c r="W992" s="177"/>
      <c r="X992" s="177"/>
      <c r="Y992" s="177"/>
    </row>
    <row r="993">
      <c r="A993" s="177"/>
      <c r="B993" s="177"/>
      <c r="C993" s="177"/>
      <c r="D993" s="177"/>
      <c r="E993" s="177"/>
      <c r="F993" s="177"/>
      <c r="G993" s="178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171"/>
      <c r="S993" s="177"/>
      <c r="T993" s="177"/>
      <c r="U993" s="177"/>
      <c r="V993" s="177"/>
      <c r="W993" s="177"/>
      <c r="X993" s="177"/>
      <c r="Y993" s="177"/>
    </row>
    <row r="994">
      <c r="A994" s="177"/>
      <c r="B994" s="177"/>
      <c r="C994" s="177"/>
      <c r="D994" s="177"/>
      <c r="E994" s="177"/>
      <c r="F994" s="177"/>
      <c r="G994" s="178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171"/>
      <c r="S994" s="177"/>
      <c r="T994" s="177"/>
      <c r="U994" s="177"/>
      <c r="V994" s="177"/>
      <c r="W994" s="177"/>
      <c r="X994" s="177"/>
      <c r="Y994" s="177"/>
    </row>
    <row r="995">
      <c r="A995" s="177"/>
      <c r="B995" s="177"/>
      <c r="C995" s="177"/>
      <c r="D995" s="177"/>
      <c r="E995" s="177"/>
      <c r="F995" s="177"/>
      <c r="G995" s="178"/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171"/>
      <c r="S995" s="177"/>
      <c r="T995" s="177"/>
      <c r="U995" s="177"/>
      <c r="V995" s="177"/>
      <c r="W995" s="177"/>
      <c r="X995" s="177"/>
      <c r="Y995" s="177"/>
    </row>
    <row r="996">
      <c r="A996" s="177"/>
      <c r="B996" s="177"/>
      <c r="C996" s="177"/>
      <c r="D996" s="177"/>
      <c r="E996" s="177"/>
      <c r="F996" s="177"/>
      <c r="G996" s="178"/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171"/>
      <c r="S996" s="177"/>
      <c r="T996" s="177"/>
      <c r="U996" s="177"/>
      <c r="V996" s="177"/>
      <c r="W996" s="177"/>
      <c r="X996" s="177"/>
      <c r="Y996" s="177"/>
    </row>
    <row r="997">
      <c r="A997" s="177"/>
      <c r="B997" s="177"/>
      <c r="C997" s="177"/>
      <c r="D997" s="177"/>
      <c r="E997" s="177"/>
      <c r="F997" s="177"/>
      <c r="G997" s="178"/>
      <c r="H997" s="177"/>
      <c r="I997" s="177"/>
      <c r="J997" s="177"/>
      <c r="K997" s="177"/>
      <c r="L997" s="177"/>
      <c r="M997" s="177"/>
      <c r="N997" s="177"/>
      <c r="O997" s="177"/>
      <c r="P997" s="177"/>
      <c r="Q997" s="177"/>
      <c r="R997" s="1171"/>
      <c r="S997" s="177"/>
      <c r="T997" s="177"/>
      <c r="U997" s="177"/>
      <c r="V997" s="177"/>
      <c r="W997" s="177"/>
      <c r="X997" s="177"/>
      <c r="Y997" s="177"/>
    </row>
    <row r="998">
      <c r="A998" s="177"/>
      <c r="B998" s="177"/>
      <c r="C998" s="177"/>
      <c r="D998" s="177"/>
      <c r="E998" s="177"/>
      <c r="F998" s="177"/>
      <c r="G998" s="178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171"/>
      <c r="S998" s="177"/>
      <c r="T998" s="177"/>
      <c r="U998" s="177"/>
      <c r="V998" s="177"/>
      <c r="W998" s="177"/>
      <c r="X998" s="177"/>
      <c r="Y998" s="177"/>
    </row>
    <row r="999">
      <c r="A999" s="177"/>
      <c r="B999" s="177"/>
      <c r="C999" s="177"/>
      <c r="D999" s="177"/>
      <c r="E999" s="177"/>
      <c r="F999" s="177"/>
      <c r="G999" s="178"/>
      <c r="H999" s="177"/>
      <c r="I999" s="177"/>
      <c r="J999" s="177"/>
      <c r="K999" s="177"/>
      <c r="L999" s="177"/>
      <c r="M999" s="177"/>
      <c r="N999" s="177"/>
      <c r="O999" s="177"/>
      <c r="P999" s="177"/>
      <c r="Q999" s="177"/>
      <c r="R999" s="1171"/>
      <c r="S999" s="177"/>
      <c r="T999" s="177"/>
      <c r="U999" s="177"/>
      <c r="V999" s="177"/>
      <c r="W999" s="177"/>
      <c r="X999" s="177"/>
      <c r="Y999" s="177"/>
    </row>
    <row r="1000">
      <c r="A1000" s="177"/>
      <c r="B1000" s="177"/>
      <c r="C1000" s="177"/>
      <c r="D1000" s="177"/>
      <c r="E1000" s="177"/>
      <c r="F1000" s="177"/>
      <c r="G1000" s="178"/>
      <c r="H1000" s="177"/>
      <c r="I1000" s="177"/>
      <c r="J1000" s="177"/>
      <c r="K1000" s="177"/>
      <c r="L1000" s="177"/>
      <c r="M1000" s="177"/>
      <c r="N1000" s="177"/>
      <c r="O1000" s="177"/>
      <c r="P1000" s="177"/>
      <c r="Q1000" s="177"/>
      <c r="R1000" s="1171"/>
      <c r="S1000" s="177"/>
      <c r="T1000" s="177"/>
      <c r="U1000" s="177"/>
      <c r="V1000" s="177"/>
      <c r="W1000" s="177"/>
      <c r="X1000" s="177"/>
      <c r="Y1000" s="177"/>
    </row>
    <row r="1001">
      <c r="A1001" s="177"/>
      <c r="B1001" s="177"/>
      <c r="C1001" s="177"/>
      <c r="D1001" s="177"/>
      <c r="E1001" s="177"/>
      <c r="F1001" s="177"/>
      <c r="G1001" s="178"/>
      <c r="H1001" s="177"/>
      <c r="I1001" s="177"/>
      <c r="J1001" s="177"/>
      <c r="K1001" s="177"/>
      <c r="L1001" s="177"/>
      <c r="M1001" s="177"/>
      <c r="N1001" s="177"/>
      <c r="O1001" s="177"/>
      <c r="P1001" s="177"/>
      <c r="Q1001" s="177"/>
      <c r="R1001" s="1171"/>
      <c r="S1001" s="177"/>
      <c r="T1001" s="177"/>
      <c r="U1001" s="177"/>
      <c r="V1001" s="177"/>
      <c r="W1001" s="177"/>
      <c r="X1001" s="177"/>
      <c r="Y1001" s="177"/>
    </row>
    <row r="1002">
      <c r="A1002" s="177"/>
      <c r="B1002" s="177"/>
      <c r="C1002" s="177"/>
      <c r="D1002" s="177"/>
      <c r="E1002" s="177"/>
      <c r="F1002" s="177"/>
      <c r="G1002" s="178"/>
      <c r="H1002" s="177"/>
      <c r="I1002" s="177"/>
      <c r="J1002" s="177"/>
      <c r="K1002" s="177"/>
      <c r="L1002" s="177"/>
      <c r="M1002" s="177"/>
      <c r="N1002" s="177"/>
      <c r="O1002" s="177"/>
      <c r="P1002" s="177"/>
      <c r="Q1002" s="177"/>
      <c r="R1002" s="1171"/>
      <c r="S1002" s="177"/>
      <c r="T1002" s="177"/>
      <c r="U1002" s="177"/>
      <c r="V1002" s="177"/>
      <c r="W1002" s="177"/>
      <c r="X1002" s="177"/>
      <c r="Y1002" s="177"/>
    </row>
    <row r="1003">
      <c r="A1003" s="177"/>
      <c r="B1003" s="177"/>
      <c r="C1003" s="177"/>
      <c r="D1003" s="177"/>
      <c r="E1003" s="177"/>
      <c r="F1003" s="177"/>
      <c r="G1003" s="178"/>
      <c r="H1003" s="177"/>
      <c r="I1003" s="177"/>
      <c r="J1003" s="177"/>
      <c r="K1003" s="177"/>
      <c r="L1003" s="177"/>
      <c r="M1003" s="177"/>
      <c r="N1003" s="177"/>
      <c r="O1003" s="177"/>
      <c r="P1003" s="177"/>
      <c r="Q1003" s="177"/>
      <c r="R1003" s="1171"/>
      <c r="S1003" s="177"/>
      <c r="T1003" s="177"/>
      <c r="U1003" s="177"/>
      <c r="V1003" s="177"/>
      <c r="W1003" s="177"/>
      <c r="X1003" s="177"/>
      <c r="Y1003" s="177"/>
    </row>
    <row r="1004">
      <c r="A1004" s="177"/>
      <c r="B1004" s="177"/>
      <c r="C1004" s="177"/>
      <c r="D1004" s="177"/>
      <c r="E1004" s="177"/>
      <c r="F1004" s="177"/>
      <c r="G1004" s="178"/>
      <c r="H1004" s="177"/>
      <c r="I1004" s="177"/>
      <c r="J1004" s="177"/>
      <c r="K1004" s="177"/>
      <c r="L1004" s="177"/>
      <c r="M1004" s="177"/>
      <c r="N1004" s="177"/>
      <c r="O1004" s="177"/>
      <c r="P1004" s="177"/>
      <c r="Q1004" s="177"/>
      <c r="R1004" s="1171"/>
      <c r="S1004" s="177"/>
      <c r="T1004" s="177"/>
      <c r="U1004" s="177"/>
      <c r="V1004" s="177"/>
      <c r="W1004" s="177"/>
      <c r="X1004" s="177"/>
      <c r="Y1004" s="177"/>
    </row>
    <row r="1005">
      <c r="A1005" s="177"/>
      <c r="B1005" s="177"/>
      <c r="C1005" s="177"/>
      <c r="D1005" s="177"/>
      <c r="E1005" s="177"/>
      <c r="F1005" s="177"/>
      <c r="G1005" s="178"/>
      <c r="H1005" s="177"/>
      <c r="I1005" s="177"/>
      <c r="J1005" s="177"/>
      <c r="K1005" s="177"/>
      <c r="L1005" s="177"/>
      <c r="M1005" s="177"/>
      <c r="N1005" s="177"/>
      <c r="O1005" s="177"/>
      <c r="P1005" s="177"/>
      <c r="Q1005" s="177"/>
      <c r="R1005" s="1171"/>
      <c r="S1005" s="177"/>
      <c r="T1005" s="177"/>
      <c r="U1005" s="177"/>
      <c r="V1005" s="177"/>
      <c r="W1005" s="177"/>
      <c r="X1005" s="177"/>
      <c r="Y1005" s="177"/>
    </row>
    <row r="1006">
      <c r="A1006" s="177"/>
      <c r="B1006" s="177"/>
      <c r="C1006" s="177"/>
      <c r="D1006" s="177"/>
      <c r="E1006" s="177"/>
      <c r="F1006" s="177"/>
      <c r="G1006" s="178"/>
      <c r="H1006" s="177"/>
      <c r="I1006" s="177"/>
      <c r="J1006" s="177"/>
      <c r="K1006" s="177"/>
      <c r="L1006" s="177"/>
      <c r="M1006" s="177"/>
      <c r="N1006" s="177"/>
      <c r="O1006" s="177"/>
      <c r="P1006" s="177"/>
      <c r="Q1006" s="177"/>
      <c r="R1006" s="1171"/>
      <c r="S1006" s="177"/>
      <c r="T1006" s="177"/>
      <c r="U1006" s="177"/>
      <c r="V1006" s="177"/>
      <c r="W1006" s="177"/>
      <c r="X1006" s="177"/>
      <c r="Y1006" s="177"/>
    </row>
    <row r="1007">
      <c r="A1007" s="177"/>
      <c r="B1007" s="177"/>
      <c r="C1007" s="177"/>
      <c r="D1007" s="177"/>
      <c r="E1007" s="177"/>
      <c r="F1007" s="177"/>
      <c r="G1007" s="246"/>
      <c r="H1007" s="177"/>
      <c r="I1007" s="177"/>
      <c r="J1007" s="177"/>
      <c r="K1007" s="177"/>
      <c r="L1007" s="177"/>
      <c r="M1007" s="177"/>
      <c r="N1007" s="177"/>
      <c r="O1007" s="177"/>
      <c r="P1007" s="177"/>
      <c r="Q1007" s="177"/>
      <c r="R1007" s="1173"/>
      <c r="S1007" s="177"/>
      <c r="T1007" s="177"/>
      <c r="U1007" s="177"/>
      <c r="V1007" s="177"/>
      <c r="W1007" s="177"/>
      <c r="X1007" s="177"/>
      <c r="Y1007" s="177"/>
    </row>
  </sheetData>
  <conditionalFormatting sqref="I63:Y63">
    <cfRule type="cellIs" dxfId="0" priority="1" operator="greaterThan">
      <formula>0</formula>
    </cfRule>
  </conditionalFormatting>
  <conditionalFormatting sqref="I63:Y63">
    <cfRule type="cellIs" dxfId="1" priority="2" operator="lessThan">
      <formula>0</formula>
    </cfRule>
  </conditionalFormatting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3.63"/>
    <col customWidth="1" min="2" max="6" width="15.0"/>
    <col customWidth="1" min="12" max="26" width="15.0"/>
  </cols>
  <sheetData>
    <row r="1">
      <c r="A1" s="1174" t="s">
        <v>94</v>
      </c>
      <c r="B1" s="1175" t="s">
        <v>119</v>
      </c>
      <c r="C1" s="1175" t="s">
        <v>1045</v>
      </c>
      <c r="D1" s="1175" t="s">
        <v>121</v>
      </c>
      <c r="E1" s="1175" t="s">
        <v>122</v>
      </c>
      <c r="F1" s="1175" t="s">
        <v>123</v>
      </c>
      <c r="G1" s="1175" t="s">
        <v>124</v>
      </c>
      <c r="H1" s="1175" t="s">
        <v>1046</v>
      </c>
      <c r="I1" s="1175" t="s">
        <v>126</v>
      </c>
      <c r="J1" s="1175" t="s">
        <v>127</v>
      </c>
      <c r="K1" s="1175" t="s">
        <v>128</v>
      </c>
      <c r="L1" s="1175" t="s">
        <v>1047</v>
      </c>
      <c r="M1" s="1175" t="s">
        <v>1048</v>
      </c>
      <c r="N1" s="1176"/>
      <c r="O1" s="1176"/>
      <c r="P1" s="1176"/>
      <c r="Q1" s="1176"/>
      <c r="R1" s="1176"/>
      <c r="S1" s="1176"/>
      <c r="T1" s="1176"/>
      <c r="U1" s="1176"/>
      <c r="V1" s="1176"/>
      <c r="W1" s="1176"/>
      <c r="X1" s="1176"/>
      <c r="Y1" s="1176"/>
      <c r="Z1" s="1176"/>
    </row>
    <row r="2">
      <c r="A2" s="132" t="s">
        <v>195</v>
      </c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>
      <c r="A3" s="1177" t="s">
        <v>1049</v>
      </c>
      <c r="B3" s="1178">
        <f t="shared" ref="B3:M3" si="1">250000/12</f>
        <v>20833.33333</v>
      </c>
      <c r="C3" s="1178">
        <f t="shared" si="1"/>
        <v>20833.33333</v>
      </c>
      <c r="D3" s="1178">
        <f t="shared" si="1"/>
        <v>20833.33333</v>
      </c>
      <c r="E3" s="1178">
        <f t="shared" si="1"/>
        <v>20833.33333</v>
      </c>
      <c r="F3" s="1178">
        <f t="shared" si="1"/>
        <v>20833.33333</v>
      </c>
      <c r="G3" s="1178">
        <f t="shared" si="1"/>
        <v>20833.33333</v>
      </c>
      <c r="H3" s="1178">
        <f t="shared" si="1"/>
        <v>20833.33333</v>
      </c>
      <c r="I3" s="1178">
        <f t="shared" si="1"/>
        <v>20833.33333</v>
      </c>
      <c r="J3" s="1178">
        <f t="shared" si="1"/>
        <v>20833.33333</v>
      </c>
      <c r="K3" s="1178">
        <f t="shared" si="1"/>
        <v>20833.33333</v>
      </c>
      <c r="L3" s="1178">
        <f t="shared" si="1"/>
        <v>20833.33333</v>
      </c>
      <c r="M3" s="1178">
        <f t="shared" si="1"/>
        <v>20833.33333</v>
      </c>
      <c r="N3" s="1178"/>
      <c r="O3" s="1178"/>
      <c r="P3" s="1178"/>
      <c r="Q3" s="1178"/>
      <c r="R3" s="1178"/>
      <c r="S3" s="1178"/>
      <c r="T3" s="1178"/>
      <c r="U3" s="1178"/>
      <c r="V3" s="1178"/>
      <c r="W3" s="1178"/>
      <c r="X3" s="1178"/>
      <c r="Y3" s="1178"/>
      <c r="Z3" s="1178"/>
    </row>
    <row r="4">
      <c r="A4" s="1179" t="s">
        <v>1050</v>
      </c>
      <c r="B4" s="1178">
        <v>0.0</v>
      </c>
      <c r="C4" s="1178">
        <v>0.0</v>
      </c>
      <c r="D4" s="1178">
        <v>10000.0</v>
      </c>
      <c r="E4" s="1178">
        <f>D4*0.1+D4</f>
        <v>11000</v>
      </c>
      <c r="F4" s="1178">
        <f>E4*0.5+E4</f>
        <v>16500</v>
      </c>
      <c r="G4" s="1178">
        <f t="shared" ref="G4:L4" si="2">F4*0.25+F4</f>
        <v>20625</v>
      </c>
      <c r="H4" s="1178">
        <f t="shared" si="2"/>
        <v>25781.25</v>
      </c>
      <c r="I4" s="1178">
        <f t="shared" si="2"/>
        <v>32226.5625</v>
      </c>
      <c r="J4" s="1178">
        <f t="shared" si="2"/>
        <v>40283.20313</v>
      </c>
      <c r="K4" s="1178">
        <f t="shared" si="2"/>
        <v>50354.00391</v>
      </c>
      <c r="L4" s="1178">
        <f t="shared" si="2"/>
        <v>62942.50488</v>
      </c>
      <c r="M4" s="1178">
        <f>L4*0.1+L4</f>
        <v>69236.75537</v>
      </c>
      <c r="N4" s="1178"/>
      <c r="O4" s="1178"/>
      <c r="P4" s="1178"/>
      <c r="Q4" s="1178"/>
      <c r="R4" s="1178"/>
      <c r="S4" s="1178"/>
      <c r="T4" s="1178"/>
      <c r="U4" s="1178"/>
      <c r="V4" s="1178"/>
      <c r="W4" s="1178"/>
      <c r="X4" s="1178"/>
      <c r="Y4" s="1178"/>
      <c r="Z4" s="1178"/>
    </row>
    <row r="5">
      <c r="A5" s="1179" t="s">
        <v>1051</v>
      </c>
      <c r="B5" s="1178">
        <v>0.0</v>
      </c>
      <c r="C5" s="1178">
        <v>0.0</v>
      </c>
      <c r="D5" s="1178">
        <v>0.0</v>
      </c>
      <c r="E5" s="1178">
        <v>0.0</v>
      </c>
      <c r="F5" s="1178">
        <v>0.0</v>
      </c>
      <c r="G5" s="1180">
        <v>5000.0</v>
      </c>
      <c r="H5" s="1178">
        <v>0.0</v>
      </c>
      <c r="I5" s="1178">
        <v>0.0</v>
      </c>
      <c r="J5" s="1178">
        <v>0.0</v>
      </c>
      <c r="K5" s="1178">
        <v>0.0</v>
      </c>
      <c r="L5" s="1178">
        <v>0.0</v>
      </c>
      <c r="M5" s="1178">
        <v>0.0</v>
      </c>
      <c r="N5" s="1178"/>
      <c r="O5" s="1178"/>
      <c r="P5" s="1178"/>
      <c r="Q5" s="1178"/>
      <c r="R5" s="1178"/>
      <c r="S5" s="1178"/>
      <c r="T5" s="1178"/>
      <c r="U5" s="1178"/>
      <c r="V5" s="1178"/>
      <c r="W5" s="1178"/>
      <c r="X5" s="1178"/>
      <c r="Y5" s="1178"/>
      <c r="Z5" s="1178"/>
    </row>
    <row r="6">
      <c r="A6" s="1179" t="s">
        <v>1052</v>
      </c>
      <c r="B6" s="1178">
        <v>0.0</v>
      </c>
      <c r="C6" s="1178">
        <v>0.0</v>
      </c>
      <c r="D6" s="1178">
        <v>0.0</v>
      </c>
      <c r="E6" s="1178">
        <v>0.0</v>
      </c>
      <c r="F6" s="1178">
        <v>0.0</v>
      </c>
      <c r="G6" s="1178">
        <v>0.0</v>
      </c>
      <c r="H6" s="1178">
        <v>0.0</v>
      </c>
      <c r="I6" s="1178">
        <v>0.0</v>
      </c>
      <c r="J6" s="1178">
        <v>0.0</v>
      </c>
      <c r="K6" s="1178">
        <v>0.0</v>
      </c>
      <c r="L6" s="1178">
        <v>0.0</v>
      </c>
      <c r="M6" s="1178">
        <v>5000.0</v>
      </c>
      <c r="N6" s="1178"/>
      <c r="O6" s="1178"/>
      <c r="P6" s="1178"/>
      <c r="Q6" s="1178"/>
      <c r="R6" s="1178"/>
      <c r="S6" s="1178"/>
      <c r="T6" s="1178"/>
      <c r="U6" s="1178"/>
      <c r="V6" s="1178"/>
      <c r="W6" s="1178"/>
      <c r="X6" s="1178"/>
      <c r="Y6" s="1178"/>
      <c r="Z6" s="1178"/>
    </row>
    <row r="7">
      <c r="A7" s="1181"/>
      <c r="B7" s="1182"/>
      <c r="C7" s="1182"/>
      <c r="D7" s="1182"/>
      <c r="E7" s="1182"/>
      <c r="F7" s="1182"/>
      <c r="G7" s="1182"/>
      <c r="H7" s="1182"/>
      <c r="I7" s="1182"/>
      <c r="J7" s="1182"/>
      <c r="K7" s="1182"/>
      <c r="L7" s="1182"/>
      <c r="M7" s="1182"/>
      <c r="N7" s="1183"/>
      <c r="O7" s="1183"/>
      <c r="P7" s="1183"/>
      <c r="Q7" s="1183"/>
      <c r="R7" s="1183"/>
      <c r="S7" s="1183"/>
      <c r="T7" s="1183"/>
      <c r="U7" s="1183"/>
      <c r="V7" s="1183"/>
      <c r="W7" s="1183"/>
      <c r="X7" s="1183"/>
      <c r="Y7" s="1183"/>
      <c r="Z7" s="1183"/>
    </row>
    <row r="8">
      <c r="A8" s="1184" t="s">
        <v>203</v>
      </c>
      <c r="B8" s="1185">
        <f t="shared" ref="B8:F8" si="3">sum(B3:B4)</f>
        <v>20833.33333</v>
      </c>
      <c r="C8" s="1185">
        <f t="shared" si="3"/>
        <v>20833.33333</v>
      </c>
      <c r="D8" s="1185">
        <f t="shared" si="3"/>
        <v>30833.33333</v>
      </c>
      <c r="E8" s="1185">
        <f t="shared" si="3"/>
        <v>31833.33333</v>
      </c>
      <c r="F8" s="1185">
        <f t="shared" si="3"/>
        <v>37333.33333</v>
      </c>
      <c r="G8" s="1185">
        <f>sum(G3:G6)</f>
        <v>46458.33333</v>
      </c>
      <c r="H8" s="1185">
        <f t="shared" ref="H8:M8" si="4">sum(H3:H4)</f>
        <v>46614.58333</v>
      </c>
      <c r="I8" s="1185">
        <f t="shared" si="4"/>
        <v>53059.89583</v>
      </c>
      <c r="J8" s="1185">
        <f t="shared" si="4"/>
        <v>61116.53646</v>
      </c>
      <c r="K8" s="1185">
        <f t="shared" si="4"/>
        <v>71187.33724</v>
      </c>
      <c r="L8" s="1185">
        <f t="shared" si="4"/>
        <v>83775.83822</v>
      </c>
      <c r="M8" s="1185">
        <f t="shared" si="4"/>
        <v>90070.0887</v>
      </c>
      <c r="N8" s="1185"/>
      <c r="O8" s="1185"/>
      <c r="P8" s="1185"/>
      <c r="Q8" s="1185"/>
      <c r="R8" s="1185"/>
      <c r="S8" s="1185"/>
      <c r="T8" s="1185"/>
      <c r="U8" s="1185"/>
      <c r="V8" s="1185"/>
      <c r="W8" s="1185"/>
      <c r="X8" s="1185"/>
      <c r="Y8" s="1185"/>
      <c r="Z8" s="1185"/>
    </row>
    <row r="9">
      <c r="A9" s="1184" t="s">
        <v>715</v>
      </c>
      <c r="B9" s="1186">
        <f>B8*0.34</f>
        <v>7083.333333</v>
      </c>
      <c r="C9" s="1186">
        <f t="shared" ref="C9:M9" si="5">C8*0.34+C5*0.4</f>
        <v>7083.333333</v>
      </c>
      <c r="D9" s="1186">
        <f t="shared" si="5"/>
        <v>10483.33333</v>
      </c>
      <c r="E9" s="1186">
        <f t="shared" si="5"/>
        <v>10823.33333</v>
      </c>
      <c r="F9" s="1186">
        <f t="shared" si="5"/>
        <v>12693.33333</v>
      </c>
      <c r="G9" s="1186">
        <f t="shared" si="5"/>
        <v>17795.83333</v>
      </c>
      <c r="H9" s="1186">
        <f t="shared" si="5"/>
        <v>15848.95833</v>
      </c>
      <c r="I9" s="1186">
        <f t="shared" si="5"/>
        <v>18040.36458</v>
      </c>
      <c r="J9" s="1186">
        <f t="shared" si="5"/>
        <v>20779.6224</v>
      </c>
      <c r="K9" s="1186">
        <f t="shared" si="5"/>
        <v>24203.69466</v>
      </c>
      <c r="L9" s="1186">
        <f t="shared" si="5"/>
        <v>28483.78499</v>
      </c>
      <c r="M9" s="1186">
        <f t="shared" si="5"/>
        <v>30623.83016</v>
      </c>
      <c r="N9" s="1186"/>
      <c r="O9" s="1186"/>
      <c r="P9" s="1186"/>
      <c r="Q9" s="1186"/>
      <c r="R9" s="1186"/>
      <c r="S9" s="1186"/>
      <c r="T9" s="1186"/>
      <c r="U9" s="1186"/>
      <c r="V9" s="1186"/>
      <c r="W9" s="1186"/>
      <c r="X9" s="1186"/>
      <c r="Y9" s="1186"/>
      <c r="Z9" s="1186"/>
    </row>
    <row r="10">
      <c r="A10" s="1187" t="s">
        <v>206</v>
      </c>
      <c r="B10" s="1188">
        <f t="shared" ref="B10:M10" si="6">B8-B9+B6</f>
        <v>13750</v>
      </c>
      <c r="C10" s="1188">
        <f t="shared" si="6"/>
        <v>13750</v>
      </c>
      <c r="D10" s="1188">
        <f t="shared" si="6"/>
        <v>20350</v>
      </c>
      <c r="E10" s="1188">
        <f t="shared" si="6"/>
        <v>21010</v>
      </c>
      <c r="F10" s="1188">
        <f t="shared" si="6"/>
        <v>24640</v>
      </c>
      <c r="G10" s="1188">
        <f t="shared" si="6"/>
        <v>28662.5</v>
      </c>
      <c r="H10" s="1188">
        <f t="shared" si="6"/>
        <v>30765.625</v>
      </c>
      <c r="I10" s="1188">
        <f t="shared" si="6"/>
        <v>35019.53125</v>
      </c>
      <c r="J10" s="1188">
        <f t="shared" si="6"/>
        <v>40336.91406</v>
      </c>
      <c r="K10" s="1188">
        <f t="shared" si="6"/>
        <v>46983.64258</v>
      </c>
      <c r="L10" s="1188">
        <f t="shared" si="6"/>
        <v>55292.05322</v>
      </c>
      <c r="M10" s="1188">
        <f t="shared" si="6"/>
        <v>64446.25854</v>
      </c>
      <c r="N10" s="1189"/>
      <c r="O10" s="1189"/>
      <c r="P10" s="1189"/>
      <c r="Q10" s="1189"/>
      <c r="R10" s="1189"/>
      <c r="S10" s="1189"/>
      <c r="T10" s="1189"/>
      <c r="U10" s="1189"/>
      <c r="V10" s="1189"/>
      <c r="W10" s="1189"/>
      <c r="X10" s="1189"/>
      <c r="Y10" s="1189"/>
      <c r="Z10" s="1189"/>
    </row>
    <row r="11">
      <c r="A11" s="1190"/>
      <c r="B11" s="1191"/>
      <c r="C11" s="1191"/>
      <c r="D11" s="1191"/>
      <c r="E11" s="1191"/>
      <c r="F11" s="1191"/>
      <c r="G11" s="1191"/>
      <c r="H11" s="1191"/>
      <c r="I11" s="1191"/>
      <c r="J11" s="1191"/>
      <c r="K11" s="1191"/>
      <c r="L11" s="1191"/>
      <c r="M11" s="1191"/>
      <c r="N11" s="1191"/>
      <c r="O11" s="1191"/>
      <c r="P11" s="1191"/>
      <c r="Q11" s="1191"/>
      <c r="R11" s="1191"/>
      <c r="S11" s="1191"/>
      <c r="T11" s="1191"/>
      <c r="U11" s="1191"/>
      <c r="V11" s="1191"/>
      <c r="W11" s="1191"/>
      <c r="X11" s="1191"/>
      <c r="Y11" s="1191"/>
      <c r="Z11" s="1191"/>
    </row>
    <row r="12">
      <c r="A12" s="1192" t="s">
        <v>716</v>
      </c>
      <c r="B12" s="1193"/>
      <c r="C12" s="1193"/>
      <c r="D12" s="1193"/>
      <c r="E12" s="1193"/>
      <c r="F12" s="1193"/>
      <c r="G12" s="1193"/>
      <c r="H12" s="1193"/>
      <c r="I12" s="1193"/>
      <c r="J12" s="1193"/>
      <c r="K12" s="1193"/>
      <c r="L12" s="1193"/>
      <c r="M12" s="1193"/>
      <c r="N12" s="1183"/>
      <c r="O12" s="1183"/>
      <c r="P12" s="1183"/>
      <c r="Q12" s="1183"/>
      <c r="R12" s="1183"/>
      <c r="S12" s="1183"/>
      <c r="T12" s="1183"/>
      <c r="U12" s="1183"/>
      <c r="V12" s="1183"/>
      <c r="W12" s="1183"/>
      <c r="X12" s="1183"/>
      <c r="Y12" s="1183"/>
      <c r="Z12" s="1183"/>
    </row>
    <row r="13">
      <c r="A13" s="1177" t="s">
        <v>717</v>
      </c>
      <c r="B13" s="1194">
        <f t="shared" ref="B13:F13" si="7">50*5*4</f>
        <v>1000</v>
      </c>
      <c r="C13" s="1194">
        <f t="shared" si="7"/>
        <v>1000</v>
      </c>
      <c r="D13" s="1194">
        <f t="shared" si="7"/>
        <v>1000</v>
      </c>
      <c r="E13" s="1194">
        <f t="shared" si="7"/>
        <v>1000</v>
      </c>
      <c r="F13" s="1194">
        <f t="shared" si="7"/>
        <v>1000</v>
      </c>
      <c r="G13" s="1194">
        <f t="shared" ref="G13:M13" si="8">75*5*4</f>
        <v>1500</v>
      </c>
      <c r="H13" s="1194">
        <f t="shared" si="8"/>
        <v>1500</v>
      </c>
      <c r="I13" s="1194">
        <f t="shared" si="8"/>
        <v>1500</v>
      </c>
      <c r="J13" s="1194">
        <f t="shared" si="8"/>
        <v>1500</v>
      </c>
      <c r="K13" s="1194">
        <f t="shared" si="8"/>
        <v>1500</v>
      </c>
      <c r="L13" s="1194">
        <f t="shared" si="8"/>
        <v>1500</v>
      </c>
      <c r="M13" s="1194">
        <f t="shared" si="8"/>
        <v>1500</v>
      </c>
      <c r="N13" s="1194"/>
      <c r="O13" s="1194"/>
      <c r="P13" s="1194"/>
      <c r="Q13" s="1194"/>
      <c r="R13" s="1194"/>
      <c r="S13" s="1194"/>
      <c r="T13" s="1194"/>
      <c r="U13" s="1194"/>
      <c r="V13" s="1194"/>
      <c r="W13" s="1194"/>
      <c r="X13" s="1194"/>
      <c r="Y13" s="1194"/>
      <c r="Z13" s="1194"/>
    </row>
    <row r="14">
      <c r="A14" s="1177" t="s">
        <v>718</v>
      </c>
      <c r="B14" s="1194">
        <f t="shared" ref="B14:F14" si="9">100*4</f>
        <v>400</v>
      </c>
      <c r="C14" s="1194">
        <f t="shared" si="9"/>
        <v>400</v>
      </c>
      <c r="D14" s="1194">
        <f t="shared" si="9"/>
        <v>400</v>
      </c>
      <c r="E14" s="1194">
        <f t="shared" si="9"/>
        <v>400</v>
      </c>
      <c r="F14" s="1194">
        <f t="shared" si="9"/>
        <v>400</v>
      </c>
      <c r="G14" s="1194">
        <f t="shared" ref="G14:L14" si="10">200*4</f>
        <v>800</v>
      </c>
      <c r="H14" s="1194">
        <f t="shared" si="10"/>
        <v>800</v>
      </c>
      <c r="I14" s="1194">
        <f t="shared" si="10"/>
        <v>800</v>
      </c>
      <c r="J14" s="1194">
        <f t="shared" si="10"/>
        <v>800</v>
      </c>
      <c r="K14" s="1194">
        <f t="shared" si="10"/>
        <v>800</v>
      </c>
      <c r="L14" s="1194">
        <f t="shared" si="10"/>
        <v>800</v>
      </c>
      <c r="M14" s="1194">
        <f t="shared" ref="M14:M15" si="12">100*4</f>
        <v>400</v>
      </c>
      <c r="N14" s="1194"/>
      <c r="O14" s="1194"/>
      <c r="P14" s="1194"/>
      <c r="Q14" s="1194"/>
      <c r="R14" s="1194"/>
      <c r="S14" s="1194"/>
      <c r="T14" s="1194"/>
      <c r="U14" s="1194"/>
      <c r="V14" s="1194"/>
      <c r="W14" s="1194"/>
      <c r="X14" s="1194"/>
      <c r="Y14" s="1194"/>
      <c r="Z14" s="1194"/>
    </row>
    <row r="15">
      <c r="A15" s="1177" t="s">
        <v>719</v>
      </c>
      <c r="B15" s="1194">
        <f t="shared" ref="B15:F15" si="11">100*4</f>
        <v>400</v>
      </c>
      <c r="C15" s="1194">
        <f t="shared" si="11"/>
        <v>400</v>
      </c>
      <c r="D15" s="1194">
        <f t="shared" si="11"/>
        <v>400</v>
      </c>
      <c r="E15" s="1194">
        <f t="shared" si="11"/>
        <v>400</v>
      </c>
      <c r="F15" s="1194">
        <f t="shared" si="11"/>
        <v>400</v>
      </c>
      <c r="G15" s="1194">
        <f>200*4</f>
        <v>800</v>
      </c>
      <c r="H15" s="1194">
        <v>200.0</v>
      </c>
      <c r="I15" s="1194">
        <v>200.0</v>
      </c>
      <c r="J15" s="1194">
        <v>200.0</v>
      </c>
      <c r="K15" s="1194">
        <v>200.0</v>
      </c>
      <c r="L15" s="1194">
        <v>200.0</v>
      </c>
      <c r="M15" s="1194">
        <f t="shared" si="12"/>
        <v>400</v>
      </c>
      <c r="N15" s="1194"/>
      <c r="O15" s="1194"/>
      <c r="P15" s="1194"/>
      <c r="Q15" s="1194"/>
      <c r="R15" s="1194"/>
      <c r="S15" s="1194"/>
      <c r="T15" s="1194"/>
      <c r="U15" s="1194"/>
      <c r="V15" s="1194"/>
      <c r="W15" s="1194"/>
      <c r="X15" s="1194"/>
      <c r="Y15" s="1194"/>
      <c r="Z15" s="1194"/>
    </row>
    <row r="16">
      <c r="A16" s="1177" t="s">
        <v>720</v>
      </c>
      <c r="B16" s="1194">
        <v>0.0</v>
      </c>
      <c r="C16" s="1194">
        <v>800.0</v>
      </c>
      <c r="D16" s="1194">
        <f t="shared" ref="D16:H16" si="13">3383-1500+100</f>
        <v>1983</v>
      </c>
      <c r="E16" s="1194">
        <f t="shared" si="13"/>
        <v>1983</v>
      </c>
      <c r="F16" s="1194">
        <f t="shared" si="13"/>
        <v>1983</v>
      </c>
      <c r="G16" s="1194">
        <f t="shared" si="13"/>
        <v>1983</v>
      </c>
      <c r="H16" s="1194">
        <f t="shared" si="13"/>
        <v>1983</v>
      </c>
      <c r="I16" s="1194">
        <v>1450.0</v>
      </c>
      <c r="J16" s="1194">
        <v>1450.0</v>
      </c>
      <c r="K16" s="1194">
        <v>1450.0</v>
      </c>
      <c r="L16" s="1194">
        <f>1450+350</f>
        <v>1800</v>
      </c>
      <c r="M16" s="1194">
        <f>1853+569</f>
        <v>2422</v>
      </c>
      <c r="N16" s="1194"/>
      <c r="O16" s="1194"/>
      <c r="P16" s="1194"/>
      <c r="Q16" s="1194"/>
      <c r="R16" s="1194"/>
      <c r="S16" s="1194"/>
      <c r="T16" s="1194"/>
      <c r="U16" s="1194"/>
      <c r="V16" s="1194"/>
      <c r="W16" s="1194"/>
      <c r="X16" s="1194"/>
      <c r="Y16" s="1194"/>
      <c r="Z16" s="1194"/>
    </row>
    <row r="17">
      <c r="A17" s="1177" t="s">
        <v>568</v>
      </c>
      <c r="B17" s="1178">
        <v>9.0</v>
      </c>
      <c r="C17" s="1178">
        <v>9.0</v>
      </c>
      <c r="D17" s="1178">
        <v>9.0</v>
      </c>
      <c r="E17" s="1178">
        <v>9.0</v>
      </c>
      <c r="F17" s="1178">
        <v>9.0</v>
      </c>
      <c r="G17" s="1178">
        <v>9.0</v>
      </c>
      <c r="H17" s="1178">
        <v>9.0</v>
      </c>
      <c r="I17" s="1178">
        <v>9.0</v>
      </c>
      <c r="J17" s="1178">
        <v>9.0</v>
      </c>
      <c r="K17" s="1178">
        <v>9.0</v>
      </c>
      <c r="L17" s="1178">
        <v>9.0</v>
      </c>
      <c r="M17" s="1178">
        <v>9.0</v>
      </c>
      <c r="N17" s="1178"/>
      <c r="O17" s="1178"/>
      <c r="P17" s="1178"/>
      <c r="Q17" s="1178"/>
      <c r="R17" s="1178"/>
      <c r="S17" s="1178"/>
      <c r="T17" s="1178"/>
      <c r="U17" s="1178"/>
      <c r="V17" s="1178"/>
      <c r="W17" s="1178"/>
      <c r="X17" s="1178"/>
      <c r="Y17" s="1178"/>
      <c r="Z17" s="1178"/>
    </row>
    <row r="18">
      <c r="A18" s="1177" t="s">
        <v>721</v>
      </c>
      <c r="B18" s="1194">
        <v>50.0</v>
      </c>
      <c r="C18" s="1194">
        <v>50.0</v>
      </c>
      <c r="D18" s="1194">
        <v>50.0</v>
      </c>
      <c r="E18" s="1194">
        <v>50.0</v>
      </c>
      <c r="F18" s="1194">
        <v>50.0</v>
      </c>
      <c r="G18" s="1194">
        <v>100.0</v>
      </c>
      <c r="H18" s="1194">
        <v>100.0</v>
      </c>
      <c r="I18" s="1194">
        <v>50.0</v>
      </c>
      <c r="J18" s="1194">
        <v>50.0</v>
      </c>
      <c r="K18" s="1194">
        <v>50.0</v>
      </c>
      <c r="L18" s="1194">
        <v>50.0</v>
      </c>
      <c r="M18" s="1194">
        <v>100.0</v>
      </c>
      <c r="N18" s="1194"/>
      <c r="O18" s="1194"/>
      <c r="P18" s="1194"/>
      <c r="Q18" s="1194"/>
      <c r="R18" s="1194"/>
      <c r="S18" s="1194"/>
      <c r="T18" s="1194"/>
      <c r="U18" s="1194"/>
      <c r="V18" s="1194"/>
      <c r="W18" s="1194"/>
      <c r="X18" s="1194"/>
      <c r="Y18" s="1194"/>
      <c r="Z18" s="1194"/>
    </row>
    <row r="19">
      <c r="A19" s="1177" t="s">
        <v>722</v>
      </c>
      <c r="B19" s="1194">
        <v>75.0</v>
      </c>
      <c r="C19" s="1194">
        <v>600.0</v>
      </c>
      <c r="D19" s="1194">
        <v>100.0</v>
      </c>
      <c r="E19" s="1194">
        <v>100.0</v>
      </c>
      <c r="F19" s="1194">
        <v>100.0</v>
      </c>
      <c r="G19" s="1194">
        <v>100.0</v>
      </c>
      <c r="H19" s="1194">
        <v>100.0</v>
      </c>
      <c r="I19" s="1194">
        <v>100.0</v>
      </c>
      <c r="J19" s="1194">
        <v>100.0</v>
      </c>
      <c r="K19" s="1194">
        <v>100.0</v>
      </c>
      <c r="L19" s="1194">
        <v>100.0</v>
      </c>
      <c r="M19" s="1194">
        <v>100.0</v>
      </c>
      <c r="N19" s="1194"/>
      <c r="O19" s="1194"/>
      <c r="P19" s="1194"/>
      <c r="Q19" s="1194"/>
      <c r="R19" s="1194"/>
      <c r="S19" s="1194"/>
      <c r="T19" s="1194"/>
      <c r="U19" s="1194"/>
      <c r="V19" s="1194"/>
      <c r="W19" s="1194"/>
      <c r="X19" s="1194"/>
      <c r="Y19" s="1194"/>
      <c r="Z19" s="1194"/>
    </row>
    <row r="20">
      <c r="A20" s="1177" t="s">
        <v>723</v>
      </c>
      <c r="B20" s="1194">
        <v>10.0</v>
      </c>
      <c r="C20" s="1194">
        <v>10.0</v>
      </c>
      <c r="D20" s="1194">
        <v>10.0</v>
      </c>
      <c r="E20" s="1194">
        <v>10.0</v>
      </c>
      <c r="F20" s="1194">
        <v>10.0</v>
      </c>
      <c r="G20" s="1194">
        <v>20.0</v>
      </c>
      <c r="H20" s="1194">
        <v>20.0</v>
      </c>
      <c r="I20" s="1194">
        <v>20.0</v>
      </c>
      <c r="J20" s="1194">
        <v>20.0</v>
      </c>
      <c r="K20" s="1194">
        <v>20.0</v>
      </c>
      <c r="L20" s="1194">
        <v>20.0</v>
      </c>
      <c r="M20" s="1194">
        <v>20.0</v>
      </c>
      <c r="N20" s="1194"/>
      <c r="O20" s="1194"/>
      <c r="P20" s="1194"/>
      <c r="Q20" s="1194"/>
      <c r="R20" s="1194"/>
      <c r="S20" s="1194"/>
      <c r="T20" s="1194"/>
      <c r="U20" s="1194"/>
      <c r="V20" s="1194"/>
      <c r="W20" s="1194"/>
      <c r="X20" s="1194"/>
      <c r="Y20" s="1194"/>
      <c r="Z20" s="1194"/>
    </row>
    <row r="21">
      <c r="A21" s="1177" t="s">
        <v>1053</v>
      </c>
      <c r="B21" s="1194">
        <v>50.0</v>
      </c>
      <c r="C21" s="1194">
        <v>200.0</v>
      </c>
      <c r="D21" s="1194">
        <v>200.0</v>
      </c>
      <c r="E21" s="1194">
        <v>200.0</v>
      </c>
      <c r="F21" s="1194">
        <v>200.0</v>
      </c>
      <c r="G21" s="1194">
        <v>500.0</v>
      </c>
      <c r="H21" s="1194">
        <v>500.0</v>
      </c>
      <c r="I21" s="1194">
        <v>500.0</v>
      </c>
      <c r="J21" s="1194">
        <v>500.0</v>
      </c>
      <c r="K21" s="1194">
        <v>500.0</v>
      </c>
      <c r="L21" s="1194">
        <v>500.0</v>
      </c>
      <c r="M21" s="1194">
        <v>500.0</v>
      </c>
      <c r="N21" s="1194"/>
      <c r="O21" s="1194"/>
      <c r="P21" s="1194"/>
      <c r="Q21" s="1194"/>
      <c r="R21" s="1194"/>
      <c r="S21" s="1194"/>
      <c r="T21" s="1194"/>
      <c r="U21" s="1194"/>
      <c r="V21" s="1194"/>
      <c r="W21" s="1194"/>
      <c r="X21" s="1194"/>
      <c r="Y21" s="1194"/>
      <c r="Z21" s="1194"/>
    </row>
    <row r="22">
      <c r="A22" s="1177" t="s">
        <v>212</v>
      </c>
      <c r="B22" s="1178">
        <f t="shared" ref="B22:M22" si="14">62.95/2</f>
        <v>31.475</v>
      </c>
      <c r="C22" s="1178">
        <f t="shared" si="14"/>
        <v>31.475</v>
      </c>
      <c r="D22" s="1178">
        <f t="shared" si="14"/>
        <v>31.475</v>
      </c>
      <c r="E22" s="1178">
        <f t="shared" si="14"/>
        <v>31.475</v>
      </c>
      <c r="F22" s="1178">
        <f t="shared" si="14"/>
        <v>31.475</v>
      </c>
      <c r="G22" s="1178">
        <f t="shared" si="14"/>
        <v>31.475</v>
      </c>
      <c r="H22" s="1178">
        <f t="shared" si="14"/>
        <v>31.475</v>
      </c>
      <c r="I22" s="1178">
        <f t="shared" si="14"/>
        <v>31.475</v>
      </c>
      <c r="J22" s="1178">
        <f t="shared" si="14"/>
        <v>31.475</v>
      </c>
      <c r="K22" s="1178">
        <f t="shared" si="14"/>
        <v>31.475</v>
      </c>
      <c r="L22" s="1178">
        <f t="shared" si="14"/>
        <v>31.475</v>
      </c>
      <c r="M22" s="1178">
        <f t="shared" si="14"/>
        <v>31.475</v>
      </c>
      <c r="N22" s="1178"/>
      <c r="O22" s="1178"/>
      <c r="P22" s="1178"/>
      <c r="Q22" s="1178"/>
      <c r="R22" s="1178"/>
      <c r="S22" s="1178"/>
      <c r="T22" s="1178"/>
      <c r="U22" s="1178"/>
      <c r="V22" s="1178"/>
      <c r="W22" s="1178"/>
      <c r="X22" s="1178"/>
      <c r="Y22" s="1178"/>
      <c r="Z22" s="1178"/>
    </row>
    <row r="23">
      <c r="A23" s="1177" t="s">
        <v>725</v>
      </c>
      <c r="B23" s="1178">
        <v>120.0</v>
      </c>
      <c r="C23" s="1178">
        <v>120.0</v>
      </c>
      <c r="D23" s="1178">
        <v>120.0</v>
      </c>
      <c r="E23" s="1178">
        <v>120.0</v>
      </c>
      <c r="F23" s="1178">
        <v>120.0</v>
      </c>
      <c r="G23" s="1178">
        <v>120.0</v>
      </c>
      <c r="H23" s="1178">
        <v>120.0</v>
      </c>
      <c r="I23" s="1178">
        <v>100.0</v>
      </c>
      <c r="J23" s="1178">
        <v>128.79</v>
      </c>
      <c r="K23" s="1178">
        <v>120.0</v>
      </c>
      <c r="L23" s="1178">
        <v>120.0</v>
      </c>
      <c r="M23" s="1178">
        <v>120.0</v>
      </c>
      <c r="N23" s="1178"/>
      <c r="O23" s="1178"/>
      <c r="P23" s="1178"/>
      <c r="Q23" s="1178"/>
      <c r="R23" s="1178"/>
      <c r="S23" s="1178"/>
      <c r="T23" s="1178"/>
      <c r="U23" s="1178"/>
      <c r="V23" s="1178"/>
      <c r="W23" s="1178"/>
      <c r="X23" s="1178"/>
      <c r="Y23" s="1178"/>
      <c r="Z23" s="1178"/>
    </row>
    <row r="24">
      <c r="A24" s="1177" t="s">
        <v>726</v>
      </c>
      <c r="B24" s="1194">
        <v>25.0</v>
      </c>
      <c r="C24" s="1194">
        <v>25.0</v>
      </c>
      <c r="D24" s="1194">
        <v>25.0</v>
      </c>
      <c r="E24" s="1194">
        <v>25.0</v>
      </c>
      <c r="F24" s="1194">
        <v>25.0</v>
      </c>
      <c r="G24" s="1194">
        <v>25.0</v>
      </c>
      <c r="H24" s="1194">
        <v>25.0</v>
      </c>
      <c r="I24" s="1194">
        <v>25.0</v>
      </c>
      <c r="J24" s="1194">
        <v>25.0</v>
      </c>
      <c r="K24" s="1194">
        <v>25.0</v>
      </c>
      <c r="L24" s="1194">
        <v>25.0</v>
      </c>
      <c r="M24" s="1194">
        <v>25.0</v>
      </c>
      <c r="N24" s="1194"/>
      <c r="O24" s="1194"/>
      <c r="P24" s="1194"/>
      <c r="Q24" s="1194"/>
      <c r="R24" s="1194"/>
      <c r="S24" s="1194"/>
      <c r="T24" s="1194"/>
      <c r="U24" s="1194"/>
      <c r="V24" s="1194"/>
      <c r="W24" s="1194"/>
      <c r="X24" s="1194"/>
      <c r="Y24" s="1194"/>
      <c r="Z24" s="1194"/>
    </row>
    <row r="25">
      <c r="A25" s="1177" t="s">
        <v>727</v>
      </c>
      <c r="B25" s="1194">
        <f t="shared" ref="B25:F25" si="15">8*4*4+20*4</f>
        <v>208</v>
      </c>
      <c r="C25" s="1194">
        <f t="shared" si="15"/>
        <v>208</v>
      </c>
      <c r="D25" s="1194">
        <f t="shared" si="15"/>
        <v>208</v>
      </c>
      <c r="E25" s="1194">
        <f t="shared" si="15"/>
        <v>208</v>
      </c>
      <c r="F25" s="1194">
        <f t="shared" si="15"/>
        <v>208</v>
      </c>
      <c r="G25" s="1194">
        <f>8*7*4</f>
        <v>224</v>
      </c>
      <c r="H25" s="1194">
        <f t="shared" ref="H25:M25" si="16">8*7*4+50*4</f>
        <v>424</v>
      </c>
      <c r="I25" s="1194">
        <f t="shared" si="16"/>
        <v>424</v>
      </c>
      <c r="J25" s="1194">
        <f t="shared" si="16"/>
        <v>424</v>
      </c>
      <c r="K25" s="1194">
        <f t="shared" si="16"/>
        <v>424</v>
      </c>
      <c r="L25" s="1194">
        <f t="shared" si="16"/>
        <v>424</v>
      </c>
      <c r="M25" s="1194">
        <f t="shared" si="16"/>
        <v>424</v>
      </c>
      <c r="N25" s="1194"/>
      <c r="O25" s="1194"/>
      <c r="P25" s="1194"/>
      <c r="Q25" s="1194"/>
      <c r="R25" s="1194"/>
      <c r="S25" s="1194"/>
      <c r="T25" s="1194"/>
      <c r="U25" s="1194"/>
      <c r="V25" s="1194"/>
      <c r="W25" s="1194"/>
      <c r="X25" s="1194"/>
      <c r="Y25" s="1194"/>
      <c r="Z25" s="1194"/>
    </row>
    <row r="26">
      <c r="A26" s="1177" t="s">
        <v>569</v>
      </c>
      <c r="B26" s="1194">
        <f t="shared" ref="B26:C26" si="17">10+5+20+30</f>
        <v>65</v>
      </c>
      <c r="C26" s="1194">
        <f t="shared" si="17"/>
        <v>65</v>
      </c>
      <c r="D26" s="1194">
        <f t="shared" ref="D26:M26" si="18">10+5+20+60</f>
        <v>95</v>
      </c>
      <c r="E26" s="1194">
        <f t="shared" si="18"/>
        <v>95</v>
      </c>
      <c r="F26" s="1194">
        <f t="shared" si="18"/>
        <v>95</v>
      </c>
      <c r="G26" s="1194">
        <f t="shared" si="18"/>
        <v>95</v>
      </c>
      <c r="H26" s="1194">
        <f t="shared" si="18"/>
        <v>95</v>
      </c>
      <c r="I26" s="1194">
        <f t="shared" si="18"/>
        <v>95</v>
      </c>
      <c r="J26" s="1194">
        <f t="shared" si="18"/>
        <v>95</v>
      </c>
      <c r="K26" s="1194">
        <f t="shared" si="18"/>
        <v>95</v>
      </c>
      <c r="L26" s="1194">
        <f t="shared" si="18"/>
        <v>95</v>
      </c>
      <c r="M26" s="1194">
        <f t="shared" si="18"/>
        <v>95</v>
      </c>
      <c r="N26" s="1194"/>
      <c r="O26" s="1194"/>
      <c r="P26" s="1194"/>
      <c r="Q26" s="1194"/>
      <c r="R26" s="1194"/>
      <c r="S26" s="1194"/>
      <c r="T26" s="1194"/>
      <c r="U26" s="1194"/>
      <c r="V26" s="1194"/>
      <c r="W26" s="1194"/>
      <c r="X26" s="1194"/>
      <c r="Y26" s="1194"/>
      <c r="Z26" s="1194"/>
    </row>
    <row r="27">
      <c r="A27" s="1177" t="s">
        <v>225</v>
      </c>
      <c r="B27" s="1194">
        <v>700.0</v>
      </c>
      <c r="C27" s="1194">
        <v>750.0</v>
      </c>
      <c r="D27" s="1194">
        <v>0.0</v>
      </c>
      <c r="E27" s="1194">
        <v>0.0</v>
      </c>
      <c r="F27" s="1194">
        <v>200.0</v>
      </c>
      <c r="G27" s="1194">
        <v>500.0</v>
      </c>
      <c r="H27" s="1194">
        <v>500.0</v>
      </c>
      <c r="I27" s="1194">
        <v>500.0</v>
      </c>
      <c r="J27" s="1194">
        <v>500.0</v>
      </c>
      <c r="K27" s="1194">
        <v>500.0</v>
      </c>
      <c r="L27" s="1194">
        <v>500.0</v>
      </c>
      <c r="M27" s="1194">
        <v>500.0</v>
      </c>
      <c r="N27" s="1194"/>
      <c r="O27" s="1194"/>
      <c r="P27" s="1194"/>
      <c r="Q27" s="1194"/>
      <c r="R27" s="1194"/>
      <c r="S27" s="1194"/>
      <c r="T27" s="1194"/>
      <c r="U27" s="1194"/>
      <c r="V27" s="1194"/>
      <c r="W27" s="1194"/>
      <c r="X27" s="1194"/>
      <c r="Y27" s="1194"/>
      <c r="Z27" s="1194"/>
    </row>
    <row r="28">
      <c r="A28" s="1177" t="s">
        <v>231</v>
      </c>
      <c r="B28" s="1194">
        <v>0.0</v>
      </c>
      <c r="C28" s="1194">
        <v>0.0</v>
      </c>
      <c r="D28" s="1194">
        <v>0.0</v>
      </c>
      <c r="E28" s="1194">
        <v>0.0</v>
      </c>
      <c r="F28" s="1194">
        <v>0.0</v>
      </c>
      <c r="G28" s="1194">
        <v>0.0</v>
      </c>
      <c r="H28" s="1194">
        <v>0.0</v>
      </c>
      <c r="I28" s="1194">
        <v>0.0</v>
      </c>
      <c r="J28" s="1194">
        <v>0.0</v>
      </c>
      <c r="K28" s="1194">
        <v>0.0</v>
      </c>
      <c r="L28" s="1194">
        <v>0.0</v>
      </c>
      <c r="M28" s="1194">
        <v>0.0</v>
      </c>
      <c r="N28" s="1194"/>
      <c r="O28" s="1194"/>
      <c r="P28" s="1194"/>
      <c r="Q28" s="1194"/>
      <c r="R28" s="1194"/>
      <c r="S28" s="1194"/>
      <c r="T28" s="1194"/>
      <c r="U28" s="1194"/>
      <c r="V28" s="1194"/>
      <c r="W28" s="1194"/>
      <c r="X28" s="1194"/>
      <c r="Y28" s="1194"/>
      <c r="Z28" s="1194"/>
    </row>
    <row r="29">
      <c r="A29" s="1177" t="s">
        <v>728</v>
      </c>
      <c r="B29" s="1194">
        <v>0.0</v>
      </c>
      <c r="C29" s="1194">
        <v>0.0</v>
      </c>
      <c r="D29" s="1194">
        <v>0.0</v>
      </c>
      <c r="E29" s="1194">
        <v>0.0</v>
      </c>
      <c r="F29" s="1194">
        <v>0.0</v>
      </c>
      <c r="G29" s="1194">
        <v>100.0</v>
      </c>
      <c r="H29" s="1194">
        <v>100.0</v>
      </c>
      <c r="I29" s="1194">
        <v>100.0</v>
      </c>
      <c r="J29" s="1194">
        <v>100.0</v>
      </c>
      <c r="K29" s="1194">
        <v>100.0</v>
      </c>
      <c r="L29" s="1194">
        <v>100.0</v>
      </c>
      <c r="M29" s="1194">
        <v>100.0</v>
      </c>
      <c r="N29" s="1194"/>
      <c r="O29" s="1194"/>
      <c r="P29" s="1194"/>
      <c r="Q29" s="1194"/>
      <c r="R29" s="1194"/>
      <c r="S29" s="1194"/>
      <c r="T29" s="1194"/>
      <c r="U29" s="1194"/>
      <c r="V29" s="1194"/>
      <c r="W29" s="1194"/>
      <c r="X29" s="1194"/>
      <c r="Y29" s="1194"/>
      <c r="Z29" s="1194"/>
    </row>
    <row r="30">
      <c r="A30" s="1177" t="s">
        <v>31</v>
      </c>
      <c r="B30" s="1194">
        <v>0.0</v>
      </c>
      <c r="C30" s="1194">
        <v>400.0</v>
      </c>
      <c r="D30" s="1194">
        <v>0.0</v>
      </c>
      <c r="E30" s="1194">
        <v>0.0</v>
      </c>
      <c r="F30" s="1194">
        <f>300</f>
        <v>300</v>
      </c>
      <c r="G30" s="1194">
        <v>0.0</v>
      </c>
      <c r="H30" s="1194">
        <v>800.0</v>
      </c>
      <c r="I30" s="1194">
        <v>0.0</v>
      </c>
      <c r="J30" s="1194">
        <v>0.0</v>
      </c>
      <c r="K30" s="1194">
        <v>0.0</v>
      </c>
      <c r="L30" s="1194">
        <v>140.0</v>
      </c>
      <c r="M30" s="1194">
        <f>5000-600</f>
        <v>4400</v>
      </c>
      <c r="N30" s="1194"/>
      <c r="O30" s="1194"/>
      <c r="P30" s="1194"/>
      <c r="Q30" s="1194"/>
      <c r="R30" s="1194"/>
      <c r="S30" s="1194"/>
      <c r="T30" s="1194"/>
      <c r="U30" s="1194"/>
      <c r="V30" s="1194"/>
      <c r="W30" s="1194"/>
      <c r="X30" s="1194"/>
      <c r="Y30" s="1194"/>
      <c r="Z30" s="1194"/>
    </row>
    <row r="31">
      <c r="A31" s="1195"/>
      <c r="B31" s="1196"/>
      <c r="C31" s="1196"/>
      <c r="D31" s="1196"/>
      <c r="E31" s="1196"/>
      <c r="F31" s="1196"/>
      <c r="G31" s="1196"/>
      <c r="H31" s="1196"/>
      <c r="I31" s="1196"/>
      <c r="J31" s="1196"/>
      <c r="K31" s="1196"/>
      <c r="L31" s="1196"/>
      <c r="M31" s="1196"/>
      <c r="N31" s="1197"/>
      <c r="O31" s="1197"/>
      <c r="P31" s="1197"/>
      <c r="Q31" s="1197"/>
      <c r="R31" s="1197"/>
      <c r="S31" s="1197"/>
      <c r="T31" s="1197"/>
      <c r="U31" s="1197"/>
      <c r="V31" s="1197"/>
      <c r="W31" s="1197"/>
      <c r="X31" s="1197"/>
      <c r="Y31" s="1197"/>
      <c r="Z31" s="1197"/>
    </row>
    <row r="32">
      <c r="A32" s="1184" t="s">
        <v>236</v>
      </c>
      <c r="B32" s="1194">
        <f t="shared" ref="B32:H32" si="19">sum(B13:B30)</f>
        <v>3143.475</v>
      </c>
      <c r="C32" s="1194">
        <f t="shared" si="19"/>
        <v>5068.475</v>
      </c>
      <c r="D32" s="1194">
        <f t="shared" si="19"/>
        <v>4631.475</v>
      </c>
      <c r="E32" s="1194">
        <f t="shared" si="19"/>
        <v>4631.475</v>
      </c>
      <c r="F32" s="1194">
        <f t="shared" si="19"/>
        <v>5131.475</v>
      </c>
      <c r="G32" s="1194">
        <f t="shared" si="19"/>
        <v>6907.475</v>
      </c>
      <c r="H32" s="1194">
        <f t="shared" si="19"/>
        <v>7307.475</v>
      </c>
      <c r="I32" s="1194">
        <f t="shared" ref="I32:K32" si="20">sum(I16:I30)</f>
        <v>3404.475</v>
      </c>
      <c r="J32" s="1194">
        <f t="shared" si="20"/>
        <v>3433.265</v>
      </c>
      <c r="K32" s="1194">
        <f t="shared" si="20"/>
        <v>3424.475</v>
      </c>
      <c r="L32" s="1194">
        <f t="shared" ref="L32:M32" si="21">sum(L13:L30)</f>
        <v>6414.475</v>
      </c>
      <c r="M32" s="1194">
        <f t="shared" si="21"/>
        <v>11146.475</v>
      </c>
      <c r="N32" s="1194"/>
      <c r="O32" s="1194"/>
      <c r="P32" s="1194"/>
      <c r="Q32" s="1194"/>
      <c r="R32" s="1194"/>
      <c r="S32" s="1194"/>
      <c r="T32" s="1194"/>
      <c r="U32" s="1194"/>
      <c r="V32" s="1194"/>
      <c r="W32" s="1194"/>
      <c r="X32" s="1194"/>
      <c r="Y32" s="1194"/>
      <c r="Z32" s="1194"/>
    </row>
    <row r="33">
      <c r="A33" s="1198"/>
      <c r="B33" s="1197"/>
      <c r="C33" s="1197"/>
      <c r="D33" s="1197"/>
      <c r="E33" s="1197"/>
      <c r="F33" s="1197"/>
      <c r="G33" s="1197"/>
      <c r="H33" s="1197"/>
      <c r="I33" s="1197"/>
      <c r="J33" s="1197"/>
      <c r="K33" s="1197"/>
      <c r="L33" s="1197"/>
      <c r="M33" s="1197"/>
      <c r="N33" s="1197"/>
      <c r="O33" s="1197"/>
      <c r="P33" s="1197"/>
      <c r="Q33" s="1197"/>
      <c r="R33" s="1197"/>
      <c r="S33" s="1197"/>
      <c r="T33" s="1197"/>
      <c r="U33" s="1197"/>
      <c r="V33" s="1197"/>
      <c r="W33" s="1197"/>
      <c r="X33" s="1197"/>
      <c r="Y33" s="1197"/>
      <c r="Z33" s="1197"/>
    </row>
    <row r="34">
      <c r="A34" s="1191"/>
      <c r="B34" s="1183"/>
      <c r="C34" s="1183"/>
      <c r="D34" s="1183"/>
      <c r="E34" s="1183"/>
      <c r="F34" s="1191"/>
      <c r="G34" s="1191"/>
      <c r="H34" s="1191"/>
      <c r="I34" s="1183"/>
      <c r="J34" s="1183"/>
      <c r="K34" s="1183"/>
      <c r="L34" s="1183"/>
      <c r="M34" s="1183"/>
      <c r="N34" s="1183"/>
      <c r="O34" s="1183"/>
      <c r="P34" s="1183"/>
      <c r="Q34" s="1183"/>
      <c r="R34" s="1183"/>
      <c r="S34" s="1183"/>
      <c r="T34" s="1183"/>
      <c r="U34" s="1183"/>
      <c r="V34" s="1183"/>
      <c r="W34" s="1183"/>
      <c r="X34" s="1183"/>
      <c r="Y34" s="1183"/>
      <c r="Z34" s="1183"/>
    </row>
    <row r="35">
      <c r="A35" s="1192" t="s">
        <v>1054</v>
      </c>
      <c r="B35" s="1193"/>
      <c r="C35" s="1193"/>
      <c r="D35" s="1193"/>
      <c r="E35" s="1193"/>
      <c r="F35" s="1193"/>
      <c r="G35" s="1193"/>
      <c r="H35" s="1193"/>
      <c r="I35" s="1193"/>
      <c r="J35" s="1193"/>
      <c r="K35" s="1193"/>
      <c r="L35" s="1193"/>
      <c r="M35" s="1193"/>
      <c r="N35" s="1183"/>
      <c r="O35" s="1183"/>
      <c r="P35" s="1183"/>
      <c r="Q35" s="1183"/>
      <c r="R35" s="1183"/>
      <c r="S35" s="1183"/>
      <c r="T35" s="1183"/>
      <c r="U35" s="1183"/>
      <c r="V35" s="1183"/>
      <c r="W35" s="1183"/>
      <c r="X35" s="1183"/>
      <c r="Y35" s="1183"/>
      <c r="Z35" s="1183"/>
    </row>
    <row r="36">
      <c r="A36" s="1199" t="s">
        <v>1055</v>
      </c>
      <c r="B36" s="1194">
        <v>0.0</v>
      </c>
      <c r="C36" s="1194">
        <f t="shared" ref="C36:M36" si="22">C10*0.025</f>
        <v>343.75</v>
      </c>
      <c r="D36" s="1194">
        <f t="shared" si="22"/>
        <v>508.75</v>
      </c>
      <c r="E36" s="1194">
        <f t="shared" si="22"/>
        <v>525.25</v>
      </c>
      <c r="F36" s="1194">
        <f t="shared" si="22"/>
        <v>616</v>
      </c>
      <c r="G36" s="1194">
        <f t="shared" si="22"/>
        <v>716.5625</v>
      </c>
      <c r="H36" s="1194">
        <f t="shared" si="22"/>
        <v>769.140625</v>
      </c>
      <c r="I36" s="1194">
        <f t="shared" si="22"/>
        <v>875.4882813</v>
      </c>
      <c r="J36" s="1194">
        <f t="shared" si="22"/>
        <v>1008.422852</v>
      </c>
      <c r="K36" s="1194">
        <f t="shared" si="22"/>
        <v>1174.591064</v>
      </c>
      <c r="L36" s="1194">
        <f t="shared" si="22"/>
        <v>1382.301331</v>
      </c>
      <c r="M36" s="1194">
        <f t="shared" si="22"/>
        <v>1611.156464</v>
      </c>
      <c r="N36" s="1194"/>
      <c r="O36" s="1194"/>
      <c r="P36" s="1194"/>
      <c r="Q36" s="1194"/>
      <c r="R36" s="1194"/>
      <c r="S36" s="1194"/>
      <c r="T36" s="1194"/>
      <c r="U36" s="1194"/>
      <c r="V36" s="1194"/>
      <c r="W36" s="1194"/>
      <c r="X36" s="1194"/>
      <c r="Y36" s="1194"/>
      <c r="Z36" s="1194"/>
    </row>
    <row r="37">
      <c r="A37" s="1199" t="s">
        <v>1056</v>
      </c>
      <c r="B37" s="1194">
        <v>0.0</v>
      </c>
      <c r="C37" s="1194">
        <f t="shared" ref="C37:M37" si="23">C10*0.025</f>
        <v>343.75</v>
      </c>
      <c r="D37" s="1194">
        <f t="shared" si="23"/>
        <v>508.75</v>
      </c>
      <c r="E37" s="1194">
        <f t="shared" si="23"/>
        <v>525.25</v>
      </c>
      <c r="F37" s="1194">
        <f t="shared" si="23"/>
        <v>616</v>
      </c>
      <c r="G37" s="1194">
        <f t="shared" si="23"/>
        <v>716.5625</v>
      </c>
      <c r="H37" s="1194">
        <f t="shared" si="23"/>
        <v>769.140625</v>
      </c>
      <c r="I37" s="1194">
        <f t="shared" si="23"/>
        <v>875.4882813</v>
      </c>
      <c r="J37" s="1194">
        <f t="shared" si="23"/>
        <v>1008.422852</v>
      </c>
      <c r="K37" s="1194">
        <f t="shared" si="23"/>
        <v>1174.591064</v>
      </c>
      <c r="L37" s="1194">
        <f t="shared" si="23"/>
        <v>1382.301331</v>
      </c>
      <c r="M37" s="1194">
        <f t="shared" si="23"/>
        <v>1611.156464</v>
      </c>
      <c r="N37" s="1194"/>
      <c r="O37" s="1194"/>
      <c r="P37" s="1194"/>
      <c r="Q37" s="1194"/>
      <c r="R37" s="1194"/>
      <c r="S37" s="1194"/>
      <c r="T37" s="1194"/>
      <c r="U37" s="1194"/>
      <c r="V37" s="1194"/>
      <c r="W37" s="1194"/>
      <c r="X37" s="1194"/>
      <c r="Y37" s="1194"/>
      <c r="Z37" s="1194"/>
    </row>
    <row r="38">
      <c r="A38" s="1199" t="s">
        <v>1057</v>
      </c>
      <c r="B38" s="1186">
        <v>0.0</v>
      </c>
      <c r="C38" s="1186">
        <f t="shared" ref="C38:M38" si="24">C10*0.025</f>
        <v>343.75</v>
      </c>
      <c r="D38" s="1186">
        <f t="shared" si="24"/>
        <v>508.75</v>
      </c>
      <c r="E38" s="1186">
        <f t="shared" si="24"/>
        <v>525.25</v>
      </c>
      <c r="F38" s="1186">
        <f t="shared" si="24"/>
        <v>616</v>
      </c>
      <c r="G38" s="1186">
        <f t="shared" si="24"/>
        <v>716.5625</v>
      </c>
      <c r="H38" s="1186">
        <f t="shared" si="24"/>
        <v>769.140625</v>
      </c>
      <c r="I38" s="1186">
        <f t="shared" si="24"/>
        <v>875.4882813</v>
      </c>
      <c r="J38" s="1186">
        <f t="shared" si="24"/>
        <v>1008.422852</v>
      </c>
      <c r="K38" s="1186">
        <f t="shared" si="24"/>
        <v>1174.591064</v>
      </c>
      <c r="L38" s="1186">
        <f t="shared" si="24"/>
        <v>1382.301331</v>
      </c>
      <c r="M38" s="1186">
        <f t="shared" si="24"/>
        <v>1611.156464</v>
      </c>
      <c r="N38" s="1186"/>
      <c r="O38" s="1186"/>
      <c r="P38" s="1186"/>
      <c r="Q38" s="1186"/>
      <c r="R38" s="1186"/>
      <c r="S38" s="1186"/>
      <c r="T38" s="1186"/>
      <c r="U38" s="1186"/>
      <c r="V38" s="1186"/>
      <c r="W38" s="1186"/>
      <c r="X38" s="1186"/>
      <c r="Y38" s="1186"/>
      <c r="Z38" s="1186"/>
    </row>
    <row r="39">
      <c r="A39" s="1199" t="s">
        <v>1058</v>
      </c>
      <c r="B39" s="1194">
        <v>0.0</v>
      </c>
      <c r="C39" s="1194">
        <f t="shared" ref="C39:M39" si="25">C10*0.01</f>
        <v>137.5</v>
      </c>
      <c r="D39" s="1194">
        <f t="shared" si="25"/>
        <v>203.5</v>
      </c>
      <c r="E39" s="1194">
        <f t="shared" si="25"/>
        <v>210.1</v>
      </c>
      <c r="F39" s="1194">
        <f t="shared" si="25"/>
        <v>246.4</v>
      </c>
      <c r="G39" s="1194">
        <f t="shared" si="25"/>
        <v>286.625</v>
      </c>
      <c r="H39" s="1194">
        <f t="shared" si="25"/>
        <v>307.65625</v>
      </c>
      <c r="I39" s="1194">
        <f t="shared" si="25"/>
        <v>350.1953125</v>
      </c>
      <c r="J39" s="1194">
        <f t="shared" si="25"/>
        <v>403.3691406</v>
      </c>
      <c r="K39" s="1194">
        <f t="shared" si="25"/>
        <v>469.8364258</v>
      </c>
      <c r="L39" s="1194">
        <f t="shared" si="25"/>
        <v>552.9205322</v>
      </c>
      <c r="M39" s="1194">
        <f t="shared" si="25"/>
        <v>644.4625854</v>
      </c>
      <c r="N39" s="1194"/>
      <c r="O39" s="1194"/>
      <c r="P39" s="1194"/>
      <c r="Q39" s="1194"/>
      <c r="R39" s="1194"/>
      <c r="S39" s="1194"/>
      <c r="T39" s="1194"/>
      <c r="U39" s="1194"/>
      <c r="V39" s="1194"/>
      <c r="W39" s="1194"/>
      <c r="X39" s="1194"/>
      <c r="Y39" s="1194"/>
      <c r="Z39" s="1194"/>
    </row>
    <row r="40">
      <c r="A40" s="1184" t="s">
        <v>1059</v>
      </c>
      <c r="B40" s="1194">
        <f>B10*0.53</f>
        <v>7287.5</v>
      </c>
      <c r="C40" s="1194">
        <f t="shared" ref="C40:M40" si="26">C10*0.25</f>
        <v>3437.5</v>
      </c>
      <c r="D40" s="1194">
        <f t="shared" si="26"/>
        <v>5087.5</v>
      </c>
      <c r="E40" s="1194">
        <f t="shared" si="26"/>
        <v>5252.5</v>
      </c>
      <c r="F40" s="1194">
        <f t="shared" si="26"/>
        <v>6160</v>
      </c>
      <c r="G40" s="1194">
        <f t="shared" si="26"/>
        <v>7165.625</v>
      </c>
      <c r="H40" s="1194">
        <f t="shared" si="26"/>
        <v>7691.40625</v>
      </c>
      <c r="I40" s="1194">
        <f t="shared" si="26"/>
        <v>8754.882813</v>
      </c>
      <c r="J40" s="1194">
        <f t="shared" si="26"/>
        <v>10084.22852</v>
      </c>
      <c r="K40" s="1194">
        <f t="shared" si="26"/>
        <v>11745.91064</v>
      </c>
      <c r="L40" s="1194">
        <f t="shared" si="26"/>
        <v>13823.01331</v>
      </c>
      <c r="M40" s="1194">
        <f t="shared" si="26"/>
        <v>16111.56464</v>
      </c>
      <c r="N40" s="1194"/>
      <c r="O40" s="1194"/>
      <c r="P40" s="1194"/>
      <c r="Q40" s="1194"/>
      <c r="R40" s="1194"/>
      <c r="S40" s="1194"/>
      <c r="T40" s="1194"/>
      <c r="U40" s="1194"/>
      <c r="V40" s="1194"/>
      <c r="W40" s="1194"/>
      <c r="X40" s="1194"/>
      <c r="Y40" s="1194"/>
      <c r="Z40" s="1194"/>
    </row>
    <row r="41">
      <c r="A41" s="1200"/>
      <c r="B41" s="1181"/>
      <c r="C41" s="1181"/>
      <c r="D41" s="1181"/>
      <c r="E41" s="1181"/>
      <c r="F41" s="1181"/>
      <c r="G41" s="1181"/>
      <c r="H41" s="1181"/>
      <c r="I41" s="1181"/>
      <c r="J41" s="1181"/>
      <c r="K41" s="1181"/>
      <c r="L41" s="1181"/>
      <c r="M41" s="1181"/>
      <c r="N41" s="1189"/>
      <c r="O41" s="1189"/>
      <c r="P41" s="1189"/>
      <c r="Q41" s="1189"/>
      <c r="R41" s="1189"/>
      <c r="S41" s="1189"/>
      <c r="T41" s="1189"/>
      <c r="U41" s="1189"/>
      <c r="V41" s="1189"/>
      <c r="W41" s="1189"/>
      <c r="X41" s="1189"/>
      <c r="Y41" s="1189"/>
      <c r="Z41" s="1189"/>
    </row>
    <row r="42">
      <c r="A42" s="1201" t="s">
        <v>1060</v>
      </c>
      <c r="B42" s="1202">
        <f>B10-B32-B36-B37-B38-B39-B40</f>
        <v>3319.025</v>
      </c>
      <c r="C42" s="1202">
        <f t="shared" ref="C42:M42" si="27">C10-C32-C36-C37-C38-C39-C40+B42</f>
        <v>7394.3</v>
      </c>
      <c r="D42" s="1202">
        <f t="shared" si="27"/>
        <v>16295.575</v>
      </c>
      <c r="E42" s="1202">
        <f t="shared" si="27"/>
        <v>25635.75</v>
      </c>
      <c r="F42" s="1202">
        <f t="shared" si="27"/>
        <v>36889.875</v>
      </c>
      <c r="G42" s="1202">
        <f t="shared" si="27"/>
        <v>49042.9625</v>
      </c>
      <c r="H42" s="1202">
        <f t="shared" si="27"/>
        <v>62194.62813</v>
      </c>
      <c r="I42" s="1202">
        <f t="shared" si="27"/>
        <v>82078.14141</v>
      </c>
      <c r="J42" s="1202">
        <f t="shared" si="27"/>
        <v>105468.9243</v>
      </c>
      <c r="K42" s="1202">
        <f t="shared" si="27"/>
        <v>133288.5716</v>
      </c>
      <c r="L42" s="1202">
        <f t="shared" si="27"/>
        <v>163643.312</v>
      </c>
      <c r="M42" s="1202">
        <f t="shared" si="27"/>
        <v>195353.5989</v>
      </c>
      <c r="N42" s="1202"/>
      <c r="O42" s="1202"/>
      <c r="P42" s="1202"/>
      <c r="Q42" s="1202"/>
      <c r="R42" s="1202"/>
      <c r="S42" s="1202"/>
      <c r="T42" s="1202"/>
      <c r="U42" s="1202"/>
      <c r="V42" s="1202"/>
      <c r="W42" s="1202"/>
      <c r="X42" s="1202"/>
      <c r="Y42" s="1202"/>
      <c r="Z42" s="1202"/>
    </row>
    <row r="43">
      <c r="A43" s="1203"/>
      <c r="B43" s="1189"/>
      <c r="C43" s="1189"/>
      <c r="D43" s="1189"/>
      <c r="E43" s="1189"/>
      <c r="F43" s="1189"/>
      <c r="G43" s="1189"/>
      <c r="H43" s="1189"/>
      <c r="I43" s="1189"/>
      <c r="J43" s="1189"/>
      <c r="K43" s="1189"/>
      <c r="L43" s="1189"/>
      <c r="M43" s="1189"/>
      <c r="N43" s="1189"/>
      <c r="O43" s="1189"/>
      <c r="P43" s="1189"/>
      <c r="Q43" s="1189"/>
      <c r="R43" s="1189"/>
      <c r="S43" s="1189"/>
      <c r="T43" s="1189"/>
      <c r="U43" s="1189"/>
      <c r="V43" s="1189"/>
      <c r="W43" s="1189"/>
      <c r="X43" s="1189"/>
      <c r="Y43" s="1189"/>
      <c r="Z43" s="1189"/>
    </row>
    <row r="44">
      <c r="A44" s="1204" t="s">
        <v>1061</v>
      </c>
      <c r="B44" s="1189"/>
      <c r="C44" s="1189"/>
      <c r="D44" s="1189"/>
      <c r="E44" s="1189"/>
      <c r="F44" s="1189"/>
      <c r="G44" s="1189"/>
      <c r="H44" s="1189"/>
      <c r="I44" s="1189"/>
      <c r="J44" s="1189"/>
      <c r="K44" s="1189"/>
      <c r="L44" s="1189"/>
      <c r="M44" s="1189"/>
      <c r="N44" s="1189"/>
      <c r="O44" s="1189"/>
      <c r="P44" s="1189"/>
      <c r="Q44" s="1189"/>
      <c r="R44" s="1189"/>
      <c r="S44" s="1189"/>
      <c r="T44" s="1189"/>
      <c r="U44" s="1189"/>
      <c r="V44" s="1189"/>
      <c r="W44" s="1189"/>
      <c r="X44" s="1189"/>
      <c r="Y44" s="1189"/>
      <c r="Z44" s="1189"/>
    </row>
    <row r="45">
      <c r="A45" s="1205" t="s">
        <v>1062</v>
      </c>
      <c r="B45" s="1189"/>
      <c r="C45" s="1189"/>
      <c r="D45" s="1189"/>
      <c r="E45" s="1189"/>
      <c r="F45" s="1189"/>
      <c r="G45" s="1189"/>
      <c r="H45" s="1189"/>
      <c r="I45" s="1189"/>
      <c r="J45" s="1189"/>
      <c r="K45" s="1189"/>
      <c r="L45" s="1189"/>
      <c r="M45" s="1189"/>
      <c r="N45" s="1189"/>
      <c r="O45" s="1189"/>
      <c r="P45" s="1189"/>
      <c r="Q45" s="1189"/>
      <c r="R45" s="1189"/>
      <c r="S45" s="1189"/>
      <c r="T45" s="1189"/>
      <c r="U45" s="1189"/>
      <c r="V45" s="1189"/>
      <c r="W45" s="1189"/>
      <c r="X45" s="1189"/>
      <c r="Y45" s="1189"/>
      <c r="Z45" s="1189"/>
    </row>
    <row r="46">
      <c r="B46" s="1189"/>
      <c r="C46" s="1189"/>
      <c r="D46" s="1189"/>
      <c r="E46" s="1189"/>
      <c r="F46" s="1189"/>
      <c r="G46" s="1189"/>
      <c r="H46" s="1189"/>
      <c r="I46" s="1189"/>
      <c r="J46" s="1189"/>
      <c r="K46" s="1189"/>
      <c r="L46" s="1189"/>
      <c r="M46" s="1189"/>
      <c r="N46" s="1189"/>
      <c r="O46" s="1189"/>
      <c r="P46" s="1189"/>
      <c r="Q46" s="1189"/>
      <c r="R46" s="1189"/>
      <c r="S46" s="1189"/>
      <c r="T46" s="1189"/>
      <c r="U46" s="1189"/>
      <c r="V46" s="1189"/>
      <c r="W46" s="1189"/>
      <c r="X46" s="1189"/>
      <c r="Y46" s="1189"/>
      <c r="Z46" s="1189"/>
    </row>
    <row r="47">
      <c r="A47" s="1205" t="s">
        <v>1063</v>
      </c>
      <c r="B47" s="1189"/>
      <c r="C47" s="1189"/>
      <c r="D47" s="1189"/>
      <c r="E47" s="1189"/>
      <c r="F47" s="1189"/>
      <c r="G47" s="1189"/>
      <c r="H47" s="1189"/>
      <c r="I47" s="1189"/>
      <c r="J47" s="1189"/>
      <c r="K47" s="1189"/>
      <c r="L47" s="1189"/>
      <c r="M47" s="1189"/>
      <c r="N47" s="1189"/>
      <c r="O47" s="1189"/>
      <c r="P47" s="1189"/>
      <c r="Q47" s="1189"/>
      <c r="R47" s="1189"/>
      <c r="S47" s="1189"/>
      <c r="T47" s="1189"/>
      <c r="U47" s="1189"/>
      <c r="V47" s="1189"/>
      <c r="W47" s="1189"/>
      <c r="X47" s="1189"/>
      <c r="Y47" s="1189"/>
      <c r="Z47" s="1189"/>
    </row>
    <row r="48">
      <c r="A48" s="1188">
        <f>sum(B8:M8)</f>
        <v>593949.2798</v>
      </c>
      <c r="B48" s="1189"/>
      <c r="C48" s="1189"/>
      <c r="D48" s="1189"/>
      <c r="E48" s="1189"/>
      <c r="F48" s="1189"/>
      <c r="G48" s="1189"/>
      <c r="H48" s="1189"/>
      <c r="I48" s="1189"/>
      <c r="J48" s="1189"/>
      <c r="K48" s="1189"/>
      <c r="L48" s="1189"/>
      <c r="M48" s="1189"/>
      <c r="N48" s="1189"/>
      <c r="O48" s="1189"/>
      <c r="P48" s="1189"/>
      <c r="Q48" s="1189"/>
      <c r="R48" s="1189"/>
      <c r="S48" s="1189"/>
      <c r="T48" s="1189"/>
      <c r="U48" s="1189"/>
      <c r="V48" s="1189"/>
      <c r="W48" s="1189"/>
      <c r="X48" s="1189"/>
      <c r="Y48" s="1189"/>
      <c r="Z48" s="1189"/>
    </row>
    <row r="49">
      <c r="A49" s="1205" t="s">
        <v>1064</v>
      </c>
      <c r="B49" s="1189"/>
      <c r="C49" s="1189"/>
      <c r="D49" s="1189"/>
      <c r="E49" s="1189"/>
      <c r="F49" s="1189"/>
      <c r="G49" s="1189"/>
      <c r="H49" s="1189"/>
      <c r="I49" s="1189"/>
      <c r="J49" s="1189"/>
      <c r="K49" s="1189"/>
      <c r="L49" s="1189"/>
      <c r="M49" s="1189"/>
      <c r="N49" s="1189"/>
      <c r="O49" s="1189"/>
      <c r="P49" s="1189"/>
      <c r="Q49" s="1189"/>
      <c r="R49" s="1189"/>
      <c r="S49" s="1189"/>
      <c r="T49" s="1189"/>
      <c r="U49" s="1189"/>
      <c r="V49" s="1189"/>
      <c r="W49" s="1189"/>
      <c r="X49" s="1189"/>
      <c r="Y49" s="1189"/>
      <c r="Z49" s="1189"/>
    </row>
    <row r="50">
      <c r="A50" s="1194">
        <f>sum(B10:M10)</f>
        <v>395006.5247</v>
      </c>
      <c r="B50" s="1189"/>
      <c r="C50" s="1189"/>
      <c r="D50" s="1189"/>
      <c r="E50" s="1189"/>
      <c r="F50" s="1189"/>
      <c r="G50" s="1189"/>
      <c r="H50" s="1189"/>
      <c r="I50" s="1189"/>
      <c r="J50" s="1189"/>
      <c r="K50" s="1189"/>
      <c r="L50" s="1189"/>
      <c r="M50" s="1189"/>
      <c r="N50" s="1189"/>
      <c r="O50" s="1189"/>
      <c r="P50" s="1189"/>
      <c r="Q50" s="1189"/>
      <c r="R50" s="1189"/>
      <c r="S50" s="1189"/>
      <c r="T50" s="1189"/>
      <c r="U50" s="1189"/>
      <c r="V50" s="1189"/>
      <c r="W50" s="1189"/>
      <c r="X50" s="1189"/>
      <c r="Y50" s="1189"/>
      <c r="Z50" s="1189"/>
    </row>
    <row r="51">
      <c r="A51" s="1205" t="s">
        <v>964</v>
      </c>
      <c r="B51" s="1189"/>
      <c r="C51" s="1189"/>
      <c r="D51" s="1189"/>
      <c r="E51" s="1189"/>
      <c r="F51" s="1189"/>
      <c r="G51" s="1189"/>
      <c r="H51" s="1189"/>
      <c r="I51" s="1189"/>
      <c r="J51" s="1189"/>
      <c r="K51" s="1189"/>
      <c r="L51" s="1189"/>
      <c r="M51" s="1189"/>
      <c r="N51" s="1189"/>
      <c r="O51" s="1189"/>
      <c r="P51" s="1189"/>
      <c r="Q51" s="1189"/>
      <c r="R51" s="1189"/>
      <c r="S51" s="1189"/>
      <c r="T51" s="1189"/>
      <c r="U51" s="1189"/>
      <c r="V51" s="1189"/>
      <c r="W51" s="1189"/>
      <c r="X51" s="1189"/>
      <c r="Y51" s="1189"/>
      <c r="Z51" s="1189"/>
    </row>
    <row r="52">
      <c r="A52" s="1206">
        <f>sum(B38:M38)</f>
        <v>9531.413116</v>
      </c>
      <c r="B52" s="1189"/>
      <c r="C52" s="1189"/>
      <c r="D52" s="1189"/>
      <c r="E52" s="1189"/>
      <c r="F52" s="1189"/>
      <c r="G52" s="1189"/>
      <c r="H52" s="1189"/>
      <c r="I52" s="1189"/>
      <c r="J52" s="1189"/>
      <c r="K52" s="1189"/>
      <c r="L52" s="1189"/>
      <c r="M52" s="1189"/>
      <c r="N52" s="1189"/>
      <c r="O52" s="1189"/>
      <c r="P52" s="1189"/>
      <c r="Q52" s="1189"/>
      <c r="R52" s="1189"/>
      <c r="S52" s="1189"/>
      <c r="T52" s="1189"/>
      <c r="U52" s="1189"/>
      <c r="V52" s="1189"/>
      <c r="W52" s="1189"/>
      <c r="X52" s="1189"/>
      <c r="Y52" s="1189"/>
      <c r="Z52" s="1189"/>
    </row>
    <row r="53">
      <c r="A53" s="1205" t="s">
        <v>1065</v>
      </c>
      <c r="B53" s="1189"/>
      <c r="C53" s="1189"/>
      <c r="D53" s="1189"/>
      <c r="E53" s="1189"/>
      <c r="F53" s="1189"/>
      <c r="G53" s="1189"/>
      <c r="H53" s="1189"/>
      <c r="I53" s="1189"/>
      <c r="J53" s="1189"/>
      <c r="K53" s="1189"/>
      <c r="L53" s="1189"/>
      <c r="M53" s="1189"/>
      <c r="N53" s="1189"/>
      <c r="O53" s="1189"/>
      <c r="P53" s="1189"/>
      <c r="Q53" s="1189"/>
      <c r="R53" s="1189"/>
      <c r="S53" s="1189"/>
      <c r="T53" s="1189"/>
      <c r="U53" s="1189"/>
      <c r="V53" s="1189"/>
      <c r="W53" s="1189"/>
      <c r="X53" s="1189"/>
      <c r="Y53" s="1189"/>
      <c r="Z53" s="1189"/>
    </row>
    <row r="54">
      <c r="A54" s="1186">
        <f>sum(B36:M37)*0.225+sum(B36:M37)</f>
        <v>23351.96214</v>
      </c>
      <c r="B54" s="1189"/>
      <c r="C54" s="1189"/>
      <c r="D54" s="1189"/>
      <c r="E54" s="1189"/>
      <c r="F54" s="1189"/>
      <c r="G54" s="1189"/>
      <c r="H54" s="1189"/>
      <c r="I54" s="1189"/>
      <c r="J54" s="1189"/>
      <c r="K54" s="1189"/>
      <c r="L54" s="1189"/>
      <c r="M54" s="1189"/>
      <c r="N54" s="1189"/>
      <c r="O54" s="1189"/>
      <c r="P54" s="1189"/>
      <c r="Q54" s="1189"/>
      <c r="R54" s="1189"/>
      <c r="S54" s="1189"/>
      <c r="T54" s="1189"/>
      <c r="U54" s="1189"/>
      <c r="V54" s="1189"/>
      <c r="W54" s="1189"/>
      <c r="X54" s="1189"/>
      <c r="Y54" s="1189"/>
      <c r="Z54" s="1189"/>
    </row>
    <row r="55">
      <c r="A55" s="1207" t="s">
        <v>1066</v>
      </c>
      <c r="B55" s="1189"/>
      <c r="C55" s="1189"/>
      <c r="D55" s="1189"/>
      <c r="E55" s="1189"/>
      <c r="F55" s="1189"/>
      <c r="G55" s="1189"/>
      <c r="H55" s="1189"/>
      <c r="I55" s="1189"/>
      <c r="J55" s="1189"/>
      <c r="K55" s="1189"/>
      <c r="L55" s="1189"/>
      <c r="M55" s="1189"/>
      <c r="N55" s="1189"/>
      <c r="O55" s="1189"/>
      <c r="P55" s="1189"/>
      <c r="Q55" s="1189"/>
      <c r="R55" s="1189"/>
      <c r="S55" s="1189"/>
      <c r="T55" s="1189"/>
      <c r="U55" s="1189"/>
      <c r="V55" s="1189"/>
      <c r="W55" s="1189"/>
      <c r="X55" s="1189"/>
      <c r="Y55" s="1189"/>
      <c r="Z55" s="1189"/>
    </row>
    <row r="56">
      <c r="A56" s="1188">
        <f>sum(C40:M40)</f>
        <v>95314.13116</v>
      </c>
      <c r="B56" s="1189"/>
      <c r="C56" s="1189"/>
      <c r="D56" s="1189"/>
      <c r="E56" s="1189"/>
      <c r="F56" s="1189"/>
      <c r="G56" s="1189"/>
      <c r="H56" s="1189"/>
      <c r="I56" s="1189"/>
      <c r="J56" s="1189"/>
      <c r="K56" s="1189"/>
      <c r="L56" s="1189"/>
      <c r="M56" s="1189"/>
      <c r="N56" s="1189"/>
      <c r="O56" s="1189"/>
      <c r="P56" s="1189"/>
      <c r="Q56" s="1189"/>
      <c r="R56" s="1189"/>
      <c r="S56" s="1189"/>
      <c r="T56" s="1189"/>
      <c r="U56" s="1189"/>
      <c r="V56" s="1189"/>
      <c r="W56" s="1189"/>
      <c r="X56" s="1189"/>
      <c r="Y56" s="1189"/>
      <c r="Z56" s="1189"/>
    </row>
    <row r="57">
      <c r="A57" s="1189"/>
      <c r="B57" s="1189"/>
      <c r="C57" s="1189"/>
      <c r="D57" s="1189"/>
      <c r="E57" s="1189"/>
      <c r="F57" s="1189"/>
      <c r="G57" s="1189"/>
      <c r="H57" s="1189"/>
      <c r="I57" s="1189"/>
      <c r="J57" s="1189"/>
      <c r="K57" s="1189"/>
      <c r="L57" s="1189"/>
      <c r="M57" s="1189"/>
      <c r="N57" s="1189"/>
      <c r="O57" s="1189"/>
      <c r="P57" s="1189"/>
      <c r="Q57" s="1189"/>
      <c r="R57" s="1189"/>
      <c r="S57" s="1189"/>
      <c r="T57" s="1189"/>
      <c r="U57" s="1189"/>
      <c r="V57" s="1189"/>
      <c r="W57" s="1189"/>
      <c r="X57" s="1189"/>
      <c r="Y57" s="1189"/>
      <c r="Z57" s="1189"/>
    </row>
    <row r="58">
      <c r="A58" s="1189"/>
      <c r="B58" s="1189"/>
      <c r="C58" s="1189"/>
      <c r="D58" s="1189"/>
      <c r="E58" s="1189"/>
      <c r="F58" s="1189"/>
      <c r="G58" s="1189"/>
      <c r="H58" s="1189"/>
      <c r="I58" s="1189"/>
      <c r="J58" s="1189"/>
      <c r="K58" s="1189"/>
      <c r="L58" s="1189"/>
      <c r="M58" s="1189"/>
      <c r="N58" s="1189"/>
      <c r="O58" s="1189"/>
      <c r="P58" s="1189"/>
      <c r="Q58" s="1189"/>
      <c r="R58" s="1189"/>
      <c r="S58" s="1189"/>
      <c r="T58" s="1189"/>
      <c r="U58" s="1189"/>
      <c r="V58" s="1189"/>
      <c r="W58" s="1189"/>
      <c r="X58" s="1189"/>
      <c r="Y58" s="1189"/>
      <c r="Z58" s="1189"/>
    </row>
    <row r="59">
      <c r="A59" s="1189"/>
      <c r="B59" s="1189"/>
      <c r="C59" s="1189"/>
      <c r="D59" s="1189"/>
      <c r="E59" s="1189"/>
      <c r="F59" s="1189"/>
      <c r="G59" s="1189"/>
      <c r="H59" s="1189"/>
      <c r="I59" s="1189"/>
      <c r="J59" s="1189"/>
      <c r="K59" s="1189"/>
      <c r="L59" s="1189"/>
      <c r="M59" s="1189"/>
      <c r="N59" s="1189"/>
      <c r="O59" s="1189"/>
      <c r="P59" s="1189"/>
      <c r="Q59" s="1189"/>
      <c r="R59" s="1189"/>
      <c r="S59" s="1189"/>
      <c r="T59" s="1189"/>
      <c r="U59" s="1189"/>
      <c r="V59" s="1189"/>
      <c r="W59" s="1189"/>
      <c r="X59" s="1189"/>
      <c r="Y59" s="1189"/>
      <c r="Z59" s="1189"/>
    </row>
    <row r="60">
      <c r="A60" s="1189"/>
      <c r="B60" s="1189"/>
      <c r="C60" s="1189"/>
      <c r="D60" s="1189"/>
      <c r="E60" s="1189"/>
      <c r="F60" s="1189"/>
      <c r="G60" s="1189"/>
      <c r="H60" s="1189"/>
      <c r="I60" s="1189"/>
      <c r="J60" s="1189"/>
      <c r="K60" s="1189"/>
      <c r="L60" s="1189"/>
      <c r="M60" s="1189"/>
      <c r="N60" s="1189"/>
      <c r="O60" s="1189"/>
      <c r="P60" s="1189"/>
      <c r="Q60" s="1189"/>
      <c r="R60" s="1189"/>
      <c r="S60" s="1189"/>
      <c r="T60" s="1189"/>
      <c r="U60" s="1189"/>
      <c r="V60" s="1189"/>
      <c r="W60" s="1189"/>
      <c r="X60" s="1189"/>
      <c r="Y60" s="1189"/>
      <c r="Z60" s="1189"/>
    </row>
    <row r="61">
      <c r="A61" s="1189"/>
      <c r="B61" s="1189"/>
      <c r="C61" s="1189"/>
      <c r="D61" s="1189"/>
      <c r="E61" s="1189"/>
      <c r="F61" s="1189"/>
      <c r="G61" s="1189"/>
      <c r="H61" s="1189"/>
      <c r="I61" s="1189"/>
      <c r="J61" s="1189"/>
      <c r="K61" s="1189"/>
      <c r="L61" s="1189"/>
      <c r="M61" s="1189"/>
      <c r="N61" s="1189"/>
      <c r="O61" s="1189"/>
      <c r="P61" s="1189"/>
      <c r="Q61" s="1189"/>
      <c r="R61" s="1189"/>
      <c r="S61" s="1189"/>
      <c r="T61" s="1189"/>
      <c r="U61" s="1189"/>
      <c r="V61" s="1189"/>
      <c r="W61" s="1189"/>
      <c r="X61" s="1189"/>
      <c r="Y61" s="1189"/>
      <c r="Z61" s="1189"/>
    </row>
    <row r="62">
      <c r="A62" s="1189"/>
      <c r="B62" s="1189"/>
      <c r="C62" s="1189"/>
      <c r="D62" s="1189"/>
      <c r="E62" s="1189"/>
      <c r="F62" s="1189"/>
      <c r="G62" s="1189"/>
      <c r="H62" s="1189"/>
      <c r="I62" s="1189"/>
      <c r="J62" s="1189"/>
      <c r="K62" s="1189"/>
      <c r="L62" s="1189"/>
      <c r="M62" s="1189"/>
      <c r="N62" s="1189"/>
      <c r="O62" s="1189"/>
      <c r="P62" s="1189"/>
      <c r="Q62" s="1189"/>
      <c r="R62" s="1189"/>
      <c r="S62" s="1189"/>
      <c r="T62" s="1189"/>
      <c r="U62" s="1189"/>
      <c r="V62" s="1189"/>
      <c r="W62" s="1189"/>
      <c r="X62" s="1189"/>
      <c r="Y62" s="1189"/>
      <c r="Z62" s="1189"/>
    </row>
    <row r="63">
      <c r="A63" s="1189"/>
      <c r="B63" s="1189"/>
      <c r="C63" s="1189"/>
      <c r="D63" s="1189"/>
      <c r="E63" s="1189"/>
      <c r="F63" s="1189"/>
      <c r="G63" s="1189"/>
      <c r="H63" s="1189"/>
      <c r="I63" s="1189"/>
      <c r="J63" s="1189"/>
      <c r="K63" s="1189"/>
      <c r="L63" s="1189"/>
      <c r="M63" s="1189"/>
      <c r="N63" s="1189"/>
      <c r="O63" s="1189"/>
      <c r="P63" s="1189"/>
      <c r="Q63" s="1189"/>
      <c r="R63" s="1189"/>
      <c r="S63" s="1189"/>
      <c r="T63" s="1189"/>
      <c r="U63" s="1189"/>
      <c r="V63" s="1189"/>
      <c r="W63" s="1189"/>
      <c r="X63" s="1189"/>
      <c r="Y63" s="1189"/>
      <c r="Z63" s="1189"/>
    </row>
    <row r="64">
      <c r="A64" s="1189"/>
      <c r="B64" s="1189"/>
      <c r="C64" s="1189"/>
      <c r="D64" s="1189"/>
      <c r="E64" s="1189"/>
      <c r="F64" s="1189"/>
      <c r="G64" s="1189"/>
      <c r="H64" s="1189"/>
      <c r="I64" s="1189"/>
      <c r="J64" s="1189"/>
      <c r="K64" s="1189"/>
      <c r="L64" s="1189"/>
      <c r="M64" s="1189"/>
      <c r="N64" s="1189"/>
      <c r="O64" s="1189"/>
      <c r="P64" s="1189"/>
      <c r="Q64" s="1189"/>
      <c r="R64" s="1189"/>
      <c r="S64" s="1189"/>
      <c r="T64" s="1189"/>
      <c r="U64" s="1189"/>
      <c r="V64" s="1189"/>
      <c r="W64" s="1189"/>
      <c r="X64" s="1189"/>
      <c r="Y64" s="1189"/>
      <c r="Z64" s="1189"/>
    </row>
    <row r="65">
      <c r="A65" s="1189"/>
      <c r="B65" s="1189"/>
      <c r="C65" s="1189"/>
      <c r="D65" s="1189"/>
      <c r="E65" s="1189"/>
      <c r="F65" s="1189"/>
      <c r="G65" s="1189"/>
      <c r="H65" s="1189"/>
      <c r="I65" s="1189"/>
      <c r="J65" s="1189"/>
      <c r="K65" s="1189"/>
      <c r="L65" s="1189"/>
      <c r="M65" s="1189"/>
      <c r="N65" s="1189"/>
      <c r="O65" s="1189"/>
      <c r="P65" s="1189"/>
      <c r="Q65" s="1189"/>
      <c r="R65" s="1189"/>
      <c r="S65" s="1189"/>
      <c r="T65" s="1189"/>
      <c r="U65" s="1189"/>
      <c r="V65" s="1189"/>
      <c r="W65" s="1189"/>
      <c r="X65" s="1189"/>
      <c r="Y65" s="1189"/>
      <c r="Z65" s="1189"/>
    </row>
    <row r="66">
      <c r="A66" s="1189"/>
      <c r="B66" s="1189"/>
      <c r="C66" s="1189"/>
      <c r="D66" s="1189"/>
      <c r="E66" s="1189"/>
      <c r="F66" s="1189"/>
      <c r="G66" s="1189"/>
      <c r="H66" s="1189"/>
      <c r="I66" s="1189"/>
      <c r="J66" s="1189"/>
      <c r="K66" s="1189"/>
      <c r="L66" s="1189"/>
      <c r="M66" s="1189"/>
      <c r="N66" s="1189"/>
      <c r="O66" s="1189"/>
      <c r="P66" s="1189"/>
      <c r="Q66" s="1189"/>
      <c r="R66" s="1189"/>
      <c r="S66" s="1189"/>
      <c r="T66" s="1189"/>
      <c r="U66" s="1189"/>
      <c r="V66" s="1189"/>
      <c r="W66" s="1189"/>
      <c r="X66" s="1189"/>
      <c r="Y66" s="1189"/>
      <c r="Z66" s="1189"/>
    </row>
    <row r="67">
      <c r="A67" s="1189"/>
      <c r="B67" s="1189"/>
      <c r="C67" s="1189"/>
      <c r="D67" s="1189"/>
      <c r="E67" s="1189"/>
      <c r="F67" s="1189"/>
      <c r="G67" s="1189"/>
      <c r="H67" s="1189"/>
      <c r="I67" s="1189"/>
      <c r="J67" s="1189"/>
      <c r="K67" s="1189"/>
      <c r="L67" s="1189"/>
      <c r="M67" s="1189"/>
      <c r="N67" s="1189"/>
      <c r="O67" s="1189"/>
      <c r="P67" s="1189"/>
      <c r="Q67" s="1189"/>
      <c r="R67" s="1189"/>
      <c r="S67" s="1189"/>
      <c r="T67" s="1189"/>
      <c r="U67" s="1189"/>
      <c r="V67" s="1189"/>
      <c r="W67" s="1189"/>
      <c r="X67" s="1189"/>
      <c r="Y67" s="1189"/>
      <c r="Z67" s="1189"/>
    </row>
    <row r="68">
      <c r="A68" s="1189"/>
      <c r="B68" s="1189"/>
      <c r="C68" s="1189"/>
      <c r="D68" s="1189"/>
      <c r="E68" s="1189"/>
      <c r="F68" s="1189"/>
      <c r="G68" s="1189"/>
      <c r="H68" s="1189"/>
      <c r="I68" s="1189"/>
      <c r="J68" s="1189"/>
      <c r="K68" s="1189"/>
      <c r="L68" s="1189"/>
      <c r="M68" s="1189"/>
      <c r="N68" s="1189"/>
      <c r="O68" s="1189"/>
      <c r="P68" s="1189"/>
      <c r="Q68" s="1189"/>
      <c r="R68" s="1189"/>
      <c r="S68" s="1189"/>
      <c r="T68" s="1189"/>
      <c r="U68" s="1189"/>
      <c r="V68" s="1189"/>
      <c r="W68" s="1189"/>
      <c r="X68" s="1189"/>
      <c r="Y68" s="1189"/>
      <c r="Z68" s="1189"/>
    </row>
    <row r="69">
      <c r="A69" s="1189"/>
      <c r="B69" s="1189"/>
      <c r="C69" s="1189"/>
      <c r="D69" s="1189"/>
      <c r="E69" s="1189"/>
      <c r="F69" s="1189"/>
      <c r="G69" s="1189"/>
      <c r="H69" s="1189"/>
      <c r="I69" s="1189"/>
      <c r="J69" s="1189"/>
      <c r="K69" s="1189"/>
      <c r="L69" s="1189"/>
      <c r="M69" s="1189"/>
      <c r="N69" s="1189"/>
      <c r="O69" s="1189"/>
      <c r="P69" s="1189"/>
      <c r="Q69" s="1189"/>
      <c r="R69" s="1189"/>
      <c r="S69" s="1189"/>
      <c r="T69" s="1189"/>
      <c r="U69" s="1189"/>
      <c r="V69" s="1189"/>
      <c r="W69" s="1189"/>
      <c r="X69" s="1189"/>
      <c r="Y69" s="1189"/>
      <c r="Z69" s="1189"/>
    </row>
    <row r="70">
      <c r="A70" s="1189"/>
      <c r="B70" s="1189"/>
      <c r="C70" s="1189"/>
      <c r="D70" s="1189"/>
      <c r="E70" s="1189"/>
      <c r="F70" s="1189"/>
      <c r="G70" s="1189"/>
      <c r="H70" s="1189"/>
      <c r="I70" s="1189"/>
      <c r="J70" s="1189"/>
      <c r="K70" s="1189"/>
      <c r="L70" s="1189"/>
      <c r="M70" s="1189"/>
      <c r="N70" s="1189"/>
      <c r="O70" s="1189"/>
      <c r="P70" s="1189"/>
      <c r="Q70" s="1189"/>
      <c r="R70" s="1189"/>
      <c r="S70" s="1189"/>
      <c r="T70" s="1189"/>
      <c r="U70" s="1189"/>
      <c r="V70" s="1189"/>
      <c r="W70" s="1189"/>
      <c r="X70" s="1189"/>
      <c r="Y70" s="1189"/>
      <c r="Z70" s="1189"/>
    </row>
    <row r="71">
      <c r="A71" s="1189"/>
      <c r="B71" s="1189"/>
      <c r="C71" s="1189"/>
      <c r="D71" s="1189"/>
      <c r="E71" s="1189"/>
      <c r="F71" s="1189"/>
      <c r="G71" s="1189"/>
      <c r="H71" s="1189"/>
      <c r="I71" s="1189"/>
      <c r="J71" s="1189"/>
      <c r="K71" s="1189"/>
      <c r="L71" s="1189"/>
      <c r="M71" s="1189"/>
      <c r="N71" s="1189"/>
      <c r="O71" s="1189"/>
      <c r="P71" s="1189"/>
      <c r="Q71" s="1189"/>
      <c r="R71" s="1189"/>
      <c r="S71" s="1189"/>
      <c r="T71" s="1189"/>
      <c r="U71" s="1189"/>
      <c r="V71" s="1189"/>
      <c r="W71" s="1189"/>
      <c r="X71" s="1189"/>
      <c r="Y71" s="1189"/>
      <c r="Z71" s="1189"/>
    </row>
    <row r="72">
      <c r="A72" s="1189"/>
      <c r="B72" s="1189"/>
      <c r="C72" s="1189"/>
      <c r="D72" s="1189"/>
      <c r="E72" s="1189"/>
      <c r="F72" s="1189"/>
      <c r="G72" s="1189"/>
      <c r="H72" s="1189"/>
      <c r="I72" s="1189"/>
      <c r="J72" s="1189"/>
      <c r="K72" s="1189"/>
      <c r="L72" s="1189"/>
      <c r="M72" s="1189"/>
      <c r="N72" s="1189"/>
      <c r="O72" s="1189"/>
      <c r="P72" s="1189"/>
      <c r="Q72" s="1189"/>
      <c r="R72" s="1189"/>
      <c r="S72" s="1189"/>
      <c r="T72" s="1189"/>
      <c r="U72" s="1189"/>
      <c r="V72" s="1189"/>
      <c r="W72" s="1189"/>
      <c r="X72" s="1189"/>
      <c r="Y72" s="1189"/>
      <c r="Z72" s="1189"/>
    </row>
    <row r="73">
      <c r="A73" s="1189"/>
      <c r="B73" s="1189"/>
      <c r="C73" s="1189"/>
      <c r="D73" s="1189"/>
      <c r="E73" s="1189"/>
      <c r="F73" s="1189"/>
      <c r="G73" s="1189"/>
      <c r="H73" s="1189"/>
      <c r="I73" s="1189"/>
      <c r="J73" s="1189"/>
      <c r="K73" s="1189"/>
      <c r="L73" s="1189"/>
      <c r="M73" s="1189"/>
      <c r="N73" s="1189"/>
      <c r="O73" s="1189"/>
      <c r="P73" s="1189"/>
      <c r="Q73" s="1189"/>
      <c r="R73" s="1189"/>
      <c r="S73" s="1189"/>
      <c r="T73" s="1189"/>
      <c r="U73" s="1189"/>
      <c r="V73" s="1189"/>
      <c r="W73" s="1189"/>
      <c r="X73" s="1189"/>
      <c r="Y73" s="1189"/>
      <c r="Z73" s="1189"/>
    </row>
    <row r="74">
      <c r="A74" s="1189"/>
      <c r="B74" s="1189"/>
      <c r="C74" s="1189"/>
      <c r="D74" s="1189"/>
      <c r="E74" s="1189"/>
      <c r="F74" s="1189"/>
      <c r="G74" s="1189"/>
      <c r="H74" s="1189"/>
      <c r="I74" s="1189"/>
      <c r="J74" s="1189"/>
      <c r="K74" s="1189"/>
      <c r="L74" s="1189"/>
      <c r="M74" s="1189"/>
      <c r="N74" s="1189"/>
      <c r="O74" s="1189"/>
      <c r="P74" s="1189"/>
      <c r="Q74" s="1189"/>
      <c r="R74" s="1189"/>
      <c r="S74" s="1189"/>
      <c r="T74" s="1189"/>
      <c r="U74" s="1189"/>
      <c r="V74" s="1189"/>
      <c r="W74" s="1189"/>
      <c r="X74" s="1189"/>
      <c r="Y74" s="1189"/>
      <c r="Z74" s="1189"/>
    </row>
    <row r="75">
      <c r="A75" s="1189"/>
      <c r="B75" s="1189"/>
      <c r="C75" s="1189"/>
      <c r="D75" s="1189"/>
      <c r="E75" s="1189"/>
      <c r="F75" s="1189"/>
      <c r="G75" s="1189"/>
      <c r="H75" s="1189"/>
      <c r="I75" s="1189"/>
      <c r="J75" s="1189"/>
      <c r="K75" s="1189"/>
      <c r="L75" s="1189"/>
      <c r="M75" s="1189"/>
      <c r="N75" s="1189"/>
      <c r="O75" s="1189"/>
      <c r="P75" s="1189"/>
      <c r="Q75" s="1189"/>
      <c r="R75" s="1189"/>
      <c r="S75" s="1189"/>
      <c r="T75" s="1189"/>
      <c r="U75" s="1189"/>
      <c r="V75" s="1189"/>
      <c r="W75" s="1189"/>
      <c r="X75" s="1189"/>
      <c r="Y75" s="1189"/>
      <c r="Z75" s="1189"/>
    </row>
    <row r="76">
      <c r="A76" s="1189"/>
      <c r="B76" s="1189"/>
      <c r="C76" s="1189"/>
      <c r="D76" s="1189"/>
      <c r="E76" s="1189"/>
      <c r="F76" s="1189"/>
      <c r="G76" s="1189"/>
      <c r="H76" s="1189"/>
      <c r="I76" s="1189"/>
      <c r="J76" s="1189"/>
      <c r="K76" s="1189"/>
      <c r="L76" s="1189"/>
      <c r="M76" s="1189"/>
      <c r="N76" s="1189"/>
      <c r="O76" s="1189"/>
      <c r="P76" s="1189"/>
      <c r="Q76" s="1189"/>
      <c r="R76" s="1189"/>
      <c r="S76" s="1189"/>
      <c r="T76" s="1189"/>
      <c r="U76" s="1189"/>
      <c r="V76" s="1189"/>
      <c r="W76" s="1189"/>
      <c r="X76" s="1189"/>
      <c r="Y76" s="1189"/>
      <c r="Z76" s="1189"/>
    </row>
    <row r="77">
      <c r="A77" s="1189"/>
      <c r="B77" s="1189"/>
      <c r="C77" s="1189"/>
      <c r="D77" s="1189"/>
      <c r="E77" s="1189"/>
      <c r="F77" s="1189"/>
      <c r="G77" s="1189"/>
      <c r="H77" s="1189"/>
      <c r="I77" s="1189"/>
      <c r="J77" s="1189"/>
      <c r="K77" s="1189"/>
      <c r="L77" s="1189"/>
      <c r="M77" s="1189"/>
      <c r="N77" s="1189"/>
      <c r="O77" s="1189"/>
      <c r="P77" s="1189"/>
      <c r="Q77" s="1189"/>
      <c r="R77" s="1189"/>
      <c r="S77" s="1189"/>
      <c r="T77" s="1189"/>
      <c r="U77" s="1189"/>
      <c r="V77" s="1189"/>
      <c r="W77" s="1189"/>
      <c r="X77" s="1189"/>
      <c r="Y77" s="1189"/>
      <c r="Z77" s="1189"/>
    </row>
    <row r="78">
      <c r="A78" s="1189"/>
      <c r="B78" s="1189"/>
      <c r="C78" s="1189"/>
      <c r="D78" s="1189"/>
      <c r="E78" s="1189"/>
      <c r="F78" s="1189"/>
      <c r="G78" s="1189"/>
      <c r="H78" s="1189"/>
      <c r="I78" s="1189"/>
      <c r="J78" s="1189"/>
      <c r="K78" s="1189"/>
      <c r="L78" s="1189"/>
      <c r="M78" s="1189"/>
      <c r="N78" s="1189"/>
      <c r="O78" s="1189"/>
      <c r="P78" s="1189"/>
      <c r="Q78" s="1189"/>
      <c r="R78" s="1189"/>
      <c r="S78" s="1189"/>
      <c r="T78" s="1189"/>
      <c r="U78" s="1189"/>
      <c r="V78" s="1189"/>
      <c r="W78" s="1189"/>
      <c r="X78" s="1189"/>
      <c r="Y78" s="1189"/>
      <c r="Z78" s="1189"/>
    </row>
    <row r="79">
      <c r="A79" s="1189"/>
      <c r="B79" s="1189"/>
      <c r="C79" s="1189"/>
      <c r="D79" s="1189"/>
      <c r="E79" s="1189"/>
      <c r="F79" s="1189"/>
      <c r="G79" s="1189"/>
      <c r="H79" s="1189"/>
      <c r="I79" s="1189"/>
      <c r="J79" s="1189"/>
      <c r="K79" s="1189"/>
      <c r="L79" s="1189"/>
      <c r="M79" s="1189"/>
      <c r="N79" s="1189"/>
      <c r="O79" s="1189"/>
      <c r="P79" s="1189"/>
      <c r="Q79" s="1189"/>
      <c r="R79" s="1189"/>
      <c r="S79" s="1189"/>
      <c r="T79" s="1189"/>
      <c r="U79" s="1189"/>
      <c r="V79" s="1189"/>
      <c r="W79" s="1189"/>
      <c r="X79" s="1189"/>
      <c r="Y79" s="1189"/>
      <c r="Z79" s="1189"/>
    </row>
    <row r="80">
      <c r="A80" s="1189"/>
      <c r="B80" s="1189"/>
      <c r="C80" s="1189"/>
      <c r="D80" s="1189"/>
      <c r="E80" s="1189"/>
      <c r="F80" s="1189"/>
      <c r="G80" s="1189"/>
      <c r="H80" s="1189"/>
      <c r="I80" s="1189"/>
      <c r="J80" s="1189"/>
      <c r="K80" s="1189"/>
      <c r="L80" s="1189"/>
      <c r="M80" s="1189"/>
      <c r="N80" s="1189"/>
      <c r="O80" s="1189"/>
      <c r="P80" s="1189"/>
      <c r="Q80" s="1189"/>
      <c r="R80" s="1189"/>
      <c r="S80" s="1189"/>
      <c r="T80" s="1189"/>
      <c r="U80" s="1189"/>
      <c r="V80" s="1189"/>
      <c r="W80" s="1189"/>
      <c r="X80" s="1189"/>
      <c r="Y80" s="1189"/>
      <c r="Z80" s="1189"/>
    </row>
    <row r="81">
      <c r="A81" s="1189"/>
      <c r="B81" s="1189"/>
      <c r="C81" s="1189"/>
      <c r="D81" s="1189"/>
      <c r="E81" s="1189"/>
      <c r="F81" s="1189"/>
      <c r="G81" s="1189"/>
      <c r="H81" s="1189"/>
      <c r="I81" s="1189"/>
      <c r="J81" s="1189"/>
      <c r="K81" s="1189"/>
      <c r="L81" s="1189"/>
      <c r="M81" s="1189"/>
      <c r="N81" s="1189"/>
      <c r="O81" s="1189"/>
      <c r="P81" s="1189"/>
      <c r="Q81" s="1189"/>
      <c r="R81" s="1189"/>
      <c r="S81" s="1189"/>
      <c r="T81" s="1189"/>
      <c r="U81" s="1189"/>
      <c r="V81" s="1189"/>
      <c r="W81" s="1189"/>
      <c r="X81" s="1189"/>
      <c r="Y81" s="1189"/>
      <c r="Z81" s="1189"/>
    </row>
    <row r="82">
      <c r="A82" s="1189"/>
      <c r="B82" s="1189"/>
      <c r="C82" s="1189"/>
      <c r="D82" s="1189"/>
      <c r="E82" s="1189"/>
      <c r="F82" s="1189"/>
      <c r="G82" s="1189"/>
      <c r="H82" s="1189"/>
      <c r="I82" s="1189"/>
      <c r="J82" s="1189"/>
      <c r="K82" s="1189"/>
      <c r="L82" s="1189"/>
      <c r="M82" s="1189"/>
      <c r="N82" s="1189"/>
      <c r="O82" s="1189"/>
      <c r="P82" s="1189"/>
      <c r="Q82" s="1189"/>
      <c r="R82" s="1189"/>
      <c r="S82" s="1189"/>
      <c r="T82" s="1189"/>
      <c r="U82" s="1189"/>
      <c r="V82" s="1189"/>
      <c r="W82" s="1189"/>
      <c r="X82" s="1189"/>
      <c r="Y82" s="1189"/>
      <c r="Z82" s="1189"/>
    </row>
    <row r="83">
      <c r="A83" s="1189"/>
      <c r="B83" s="1189"/>
      <c r="C83" s="1189"/>
      <c r="D83" s="1189"/>
      <c r="E83" s="1189"/>
      <c r="F83" s="1189"/>
      <c r="G83" s="1189"/>
      <c r="H83" s="1189"/>
      <c r="I83" s="1189"/>
      <c r="J83" s="1189"/>
      <c r="K83" s="1189"/>
      <c r="L83" s="1189"/>
      <c r="M83" s="1189"/>
      <c r="N83" s="1189"/>
      <c r="O83" s="1189"/>
      <c r="P83" s="1189"/>
      <c r="Q83" s="1189"/>
      <c r="R83" s="1189"/>
      <c r="S83" s="1189"/>
      <c r="T83" s="1189"/>
      <c r="U83" s="1189"/>
      <c r="V83" s="1189"/>
      <c r="W83" s="1189"/>
      <c r="X83" s="1189"/>
      <c r="Y83" s="1189"/>
      <c r="Z83" s="1189"/>
    </row>
    <row r="84">
      <c r="A84" s="1189"/>
      <c r="B84" s="1189"/>
      <c r="C84" s="1189"/>
      <c r="D84" s="1189"/>
      <c r="E84" s="1189"/>
      <c r="F84" s="1189"/>
      <c r="G84" s="1189"/>
      <c r="H84" s="1189"/>
      <c r="I84" s="1189"/>
      <c r="J84" s="1189"/>
      <c r="K84" s="1189"/>
      <c r="L84" s="1189"/>
      <c r="M84" s="1189"/>
      <c r="N84" s="1189"/>
      <c r="O84" s="1189"/>
      <c r="P84" s="1189"/>
      <c r="Q84" s="1189"/>
      <c r="R84" s="1189"/>
      <c r="S84" s="1189"/>
      <c r="T84" s="1189"/>
      <c r="U84" s="1189"/>
      <c r="V84" s="1189"/>
      <c r="W84" s="1189"/>
      <c r="X84" s="1189"/>
      <c r="Y84" s="1189"/>
      <c r="Z84" s="1189"/>
    </row>
    <row r="85">
      <c r="A85" s="1189"/>
      <c r="B85" s="1189"/>
      <c r="C85" s="1189"/>
      <c r="D85" s="1189"/>
      <c r="E85" s="1189"/>
      <c r="F85" s="1189"/>
      <c r="G85" s="1189"/>
      <c r="H85" s="1189"/>
      <c r="I85" s="1189"/>
      <c r="J85" s="1189"/>
      <c r="K85" s="1189"/>
      <c r="L85" s="1189"/>
      <c r="M85" s="1189"/>
      <c r="N85" s="1189"/>
      <c r="O85" s="1189"/>
      <c r="P85" s="1189"/>
      <c r="Q85" s="1189"/>
      <c r="R85" s="1189"/>
      <c r="S85" s="1189"/>
      <c r="T85" s="1189"/>
      <c r="U85" s="1189"/>
      <c r="V85" s="1189"/>
      <c r="W85" s="1189"/>
      <c r="X85" s="1189"/>
      <c r="Y85" s="1189"/>
      <c r="Z85" s="1189"/>
    </row>
    <row r="86">
      <c r="A86" s="1189"/>
      <c r="B86" s="1189"/>
      <c r="C86" s="1189"/>
      <c r="D86" s="1189"/>
      <c r="E86" s="1189"/>
      <c r="F86" s="1189"/>
      <c r="G86" s="1189"/>
      <c r="H86" s="1189"/>
      <c r="I86" s="1189"/>
      <c r="J86" s="1189"/>
      <c r="K86" s="1189"/>
      <c r="L86" s="1189"/>
      <c r="M86" s="1189"/>
      <c r="N86" s="1189"/>
      <c r="O86" s="1189"/>
      <c r="P86" s="1189"/>
      <c r="Q86" s="1189"/>
      <c r="R86" s="1189"/>
      <c r="S86" s="1189"/>
      <c r="T86" s="1189"/>
      <c r="U86" s="1189"/>
      <c r="V86" s="1189"/>
      <c r="W86" s="1189"/>
      <c r="X86" s="1189"/>
      <c r="Y86" s="1189"/>
      <c r="Z86" s="1189"/>
    </row>
    <row r="87">
      <c r="A87" s="1189"/>
      <c r="B87" s="1189"/>
      <c r="C87" s="1189"/>
      <c r="D87" s="1189"/>
      <c r="E87" s="1189"/>
      <c r="F87" s="1189"/>
      <c r="G87" s="1189"/>
      <c r="H87" s="1189"/>
      <c r="I87" s="1189"/>
      <c r="J87" s="1189"/>
      <c r="K87" s="1189"/>
      <c r="L87" s="1189"/>
      <c r="M87" s="1189"/>
      <c r="N87" s="1189"/>
      <c r="O87" s="1189"/>
      <c r="P87" s="1189"/>
      <c r="Q87" s="1189"/>
      <c r="R87" s="1189"/>
      <c r="S87" s="1189"/>
      <c r="T87" s="1189"/>
      <c r="U87" s="1189"/>
      <c r="V87" s="1189"/>
      <c r="W87" s="1189"/>
      <c r="X87" s="1189"/>
      <c r="Y87" s="1189"/>
      <c r="Z87" s="1189"/>
    </row>
    <row r="88">
      <c r="A88" s="1189"/>
      <c r="B88" s="1189"/>
      <c r="C88" s="1189"/>
      <c r="D88" s="1189"/>
      <c r="E88" s="1189"/>
      <c r="F88" s="1189"/>
      <c r="G88" s="1189"/>
      <c r="H88" s="1189"/>
      <c r="I88" s="1189"/>
      <c r="J88" s="1189"/>
      <c r="K88" s="1189"/>
      <c r="L88" s="1189"/>
      <c r="M88" s="1189"/>
      <c r="N88" s="1189"/>
      <c r="O88" s="1189"/>
      <c r="P88" s="1189"/>
      <c r="Q88" s="1189"/>
      <c r="R88" s="1189"/>
      <c r="S88" s="1189"/>
      <c r="T88" s="1189"/>
      <c r="U88" s="1189"/>
      <c r="V88" s="1189"/>
      <c r="W88" s="1189"/>
      <c r="X88" s="1189"/>
      <c r="Y88" s="1189"/>
      <c r="Z88" s="1189"/>
    </row>
    <row r="89">
      <c r="A89" s="1189"/>
      <c r="B89" s="1189"/>
      <c r="C89" s="1189"/>
      <c r="D89" s="1189"/>
      <c r="E89" s="1189"/>
      <c r="F89" s="1189"/>
      <c r="G89" s="1189"/>
      <c r="H89" s="1189"/>
      <c r="I89" s="1189"/>
      <c r="J89" s="1189"/>
      <c r="K89" s="1189"/>
      <c r="L89" s="1189"/>
      <c r="M89" s="1189"/>
      <c r="N89" s="1189"/>
      <c r="O89" s="1189"/>
      <c r="P89" s="1189"/>
      <c r="Q89" s="1189"/>
      <c r="R89" s="1189"/>
      <c r="S89" s="1189"/>
      <c r="T89" s="1189"/>
      <c r="U89" s="1189"/>
      <c r="V89" s="1189"/>
      <c r="W89" s="1189"/>
      <c r="X89" s="1189"/>
      <c r="Y89" s="1189"/>
      <c r="Z89" s="1189"/>
    </row>
    <row r="90">
      <c r="A90" s="1189"/>
      <c r="B90" s="1189"/>
      <c r="C90" s="1189"/>
      <c r="D90" s="1189"/>
      <c r="E90" s="1189"/>
      <c r="F90" s="1189"/>
      <c r="G90" s="1189"/>
      <c r="H90" s="1189"/>
      <c r="I90" s="1189"/>
      <c r="J90" s="1189"/>
      <c r="K90" s="1189"/>
      <c r="L90" s="1189"/>
      <c r="M90" s="1189"/>
      <c r="N90" s="1189"/>
      <c r="O90" s="1189"/>
      <c r="P90" s="1189"/>
      <c r="Q90" s="1189"/>
      <c r="R90" s="1189"/>
      <c r="S90" s="1189"/>
      <c r="T90" s="1189"/>
      <c r="U90" s="1189"/>
      <c r="V90" s="1189"/>
      <c r="W90" s="1189"/>
      <c r="X90" s="1189"/>
      <c r="Y90" s="1189"/>
      <c r="Z90" s="1189"/>
    </row>
    <row r="91">
      <c r="A91" s="1189"/>
      <c r="B91" s="1189"/>
      <c r="C91" s="1189"/>
      <c r="D91" s="1189"/>
      <c r="E91" s="1189"/>
      <c r="F91" s="1189"/>
      <c r="G91" s="1189"/>
      <c r="H91" s="1189"/>
      <c r="I91" s="1189"/>
      <c r="J91" s="1189"/>
      <c r="K91" s="1189"/>
      <c r="L91" s="1189"/>
      <c r="M91" s="1189"/>
      <c r="N91" s="1189"/>
      <c r="O91" s="1189"/>
      <c r="P91" s="1189"/>
      <c r="Q91" s="1189"/>
      <c r="R91" s="1189"/>
      <c r="S91" s="1189"/>
      <c r="T91" s="1189"/>
      <c r="U91" s="1189"/>
      <c r="V91" s="1189"/>
      <c r="W91" s="1189"/>
      <c r="X91" s="1189"/>
      <c r="Y91" s="1189"/>
      <c r="Z91" s="1189"/>
    </row>
    <row r="92">
      <c r="A92" s="1189"/>
      <c r="B92" s="1189"/>
      <c r="C92" s="1189"/>
      <c r="D92" s="1189"/>
      <c r="E92" s="1189"/>
      <c r="F92" s="1189"/>
      <c r="G92" s="1189"/>
      <c r="H92" s="1189"/>
      <c r="I92" s="1189"/>
      <c r="J92" s="1189"/>
      <c r="K92" s="1189"/>
      <c r="L92" s="1189"/>
      <c r="M92" s="1189"/>
      <c r="N92" s="1189"/>
      <c r="O92" s="1189"/>
      <c r="P92" s="1189"/>
      <c r="Q92" s="1189"/>
      <c r="R92" s="1189"/>
      <c r="S92" s="1189"/>
      <c r="T92" s="1189"/>
      <c r="U92" s="1189"/>
      <c r="V92" s="1189"/>
      <c r="W92" s="1189"/>
      <c r="X92" s="1189"/>
      <c r="Y92" s="1189"/>
      <c r="Z92" s="1189"/>
    </row>
    <row r="93">
      <c r="A93" s="1189"/>
      <c r="B93" s="1189"/>
      <c r="C93" s="1189"/>
      <c r="D93" s="1189"/>
      <c r="E93" s="1189"/>
      <c r="F93" s="1189"/>
      <c r="G93" s="1189"/>
      <c r="H93" s="1189"/>
      <c r="I93" s="1189"/>
      <c r="J93" s="1189"/>
      <c r="K93" s="1189"/>
      <c r="L93" s="1189"/>
      <c r="M93" s="1189"/>
      <c r="N93" s="1189"/>
      <c r="O93" s="1189"/>
      <c r="P93" s="1189"/>
      <c r="Q93" s="1189"/>
      <c r="R93" s="1189"/>
      <c r="S93" s="1189"/>
      <c r="T93" s="1189"/>
      <c r="U93" s="1189"/>
      <c r="V93" s="1189"/>
      <c r="W93" s="1189"/>
      <c r="X93" s="1189"/>
      <c r="Y93" s="1189"/>
      <c r="Z93" s="1189"/>
    </row>
    <row r="94">
      <c r="A94" s="1189"/>
      <c r="B94" s="1189"/>
      <c r="C94" s="1189"/>
      <c r="D94" s="1189"/>
      <c r="E94" s="1189"/>
      <c r="F94" s="1189"/>
      <c r="G94" s="1189"/>
      <c r="H94" s="1189"/>
      <c r="I94" s="1189"/>
      <c r="J94" s="1189"/>
      <c r="K94" s="1189"/>
      <c r="L94" s="1189"/>
      <c r="M94" s="1189"/>
      <c r="N94" s="1189"/>
      <c r="O94" s="1189"/>
      <c r="P94" s="1189"/>
      <c r="Q94" s="1189"/>
      <c r="R94" s="1189"/>
      <c r="S94" s="1189"/>
      <c r="T94" s="1189"/>
      <c r="U94" s="1189"/>
      <c r="V94" s="1189"/>
      <c r="W94" s="1189"/>
      <c r="X94" s="1189"/>
      <c r="Y94" s="1189"/>
      <c r="Z94" s="1189"/>
    </row>
    <row r="95">
      <c r="A95" s="1189"/>
      <c r="B95" s="1189"/>
      <c r="C95" s="1189"/>
      <c r="D95" s="1189"/>
      <c r="E95" s="1189"/>
      <c r="F95" s="1189"/>
      <c r="G95" s="1189"/>
      <c r="H95" s="1189"/>
      <c r="I95" s="1189"/>
      <c r="J95" s="1189"/>
      <c r="K95" s="1189"/>
      <c r="L95" s="1189"/>
      <c r="M95" s="1189"/>
      <c r="N95" s="1189"/>
      <c r="O95" s="1189"/>
      <c r="P95" s="1189"/>
      <c r="Q95" s="1189"/>
      <c r="R95" s="1189"/>
      <c r="S95" s="1189"/>
      <c r="T95" s="1189"/>
      <c r="U95" s="1189"/>
      <c r="V95" s="1189"/>
      <c r="W95" s="1189"/>
      <c r="X95" s="1189"/>
      <c r="Y95" s="1189"/>
      <c r="Z95" s="1189"/>
    </row>
    <row r="96">
      <c r="A96" s="1189"/>
      <c r="B96" s="1189"/>
      <c r="C96" s="1189"/>
      <c r="D96" s="1189"/>
      <c r="E96" s="1189"/>
      <c r="F96" s="1189"/>
      <c r="G96" s="1189"/>
      <c r="H96" s="1189"/>
      <c r="I96" s="1189"/>
      <c r="J96" s="1189"/>
      <c r="K96" s="1189"/>
      <c r="L96" s="1189"/>
      <c r="M96" s="1189"/>
      <c r="N96" s="1189"/>
      <c r="O96" s="1189"/>
      <c r="P96" s="1189"/>
      <c r="Q96" s="1189"/>
      <c r="R96" s="1189"/>
      <c r="S96" s="1189"/>
      <c r="T96" s="1189"/>
      <c r="U96" s="1189"/>
      <c r="V96" s="1189"/>
      <c r="W96" s="1189"/>
      <c r="X96" s="1189"/>
      <c r="Y96" s="1189"/>
      <c r="Z96" s="1189"/>
    </row>
    <row r="97">
      <c r="A97" s="1189"/>
      <c r="B97" s="1189"/>
      <c r="C97" s="1189"/>
      <c r="D97" s="1189"/>
      <c r="E97" s="1189"/>
      <c r="F97" s="1189"/>
      <c r="G97" s="1189"/>
      <c r="H97" s="1189"/>
      <c r="I97" s="1189"/>
      <c r="J97" s="1189"/>
      <c r="K97" s="1189"/>
      <c r="L97" s="1189"/>
      <c r="M97" s="1189"/>
      <c r="N97" s="1189"/>
      <c r="O97" s="1189"/>
      <c r="P97" s="1189"/>
      <c r="Q97" s="1189"/>
      <c r="R97" s="1189"/>
      <c r="S97" s="1189"/>
      <c r="T97" s="1189"/>
      <c r="U97" s="1189"/>
      <c r="V97" s="1189"/>
      <c r="W97" s="1189"/>
      <c r="X97" s="1189"/>
      <c r="Y97" s="1189"/>
      <c r="Z97" s="1189"/>
    </row>
    <row r="98">
      <c r="A98" s="1189"/>
      <c r="B98" s="1189"/>
      <c r="C98" s="1189"/>
      <c r="D98" s="1189"/>
      <c r="E98" s="1189"/>
      <c r="F98" s="1189"/>
      <c r="G98" s="1189"/>
      <c r="H98" s="1189"/>
      <c r="I98" s="1189"/>
      <c r="J98" s="1189"/>
      <c r="K98" s="1189"/>
      <c r="L98" s="1189"/>
      <c r="M98" s="1189"/>
      <c r="N98" s="1189"/>
      <c r="O98" s="1189"/>
      <c r="P98" s="1189"/>
      <c r="Q98" s="1189"/>
      <c r="R98" s="1189"/>
      <c r="S98" s="1189"/>
      <c r="T98" s="1189"/>
      <c r="U98" s="1189"/>
      <c r="V98" s="1189"/>
      <c r="W98" s="1189"/>
      <c r="X98" s="1189"/>
      <c r="Y98" s="1189"/>
      <c r="Z98" s="1189"/>
    </row>
    <row r="99">
      <c r="A99" s="1189"/>
      <c r="B99" s="1189"/>
      <c r="C99" s="1189"/>
      <c r="D99" s="1189"/>
      <c r="E99" s="1189"/>
      <c r="F99" s="1189"/>
      <c r="G99" s="1189"/>
      <c r="H99" s="1189"/>
      <c r="I99" s="1189"/>
      <c r="J99" s="1189"/>
      <c r="K99" s="1189"/>
      <c r="L99" s="1189"/>
      <c r="M99" s="1189"/>
      <c r="N99" s="1189"/>
      <c r="O99" s="1189"/>
      <c r="P99" s="1189"/>
      <c r="Q99" s="1189"/>
      <c r="R99" s="1189"/>
      <c r="S99" s="1189"/>
      <c r="T99" s="1189"/>
      <c r="U99" s="1189"/>
      <c r="V99" s="1189"/>
      <c r="W99" s="1189"/>
      <c r="X99" s="1189"/>
      <c r="Y99" s="1189"/>
      <c r="Z99" s="1189"/>
    </row>
    <row r="100">
      <c r="A100" s="1189"/>
      <c r="B100" s="1189"/>
      <c r="C100" s="1189"/>
      <c r="D100" s="1189"/>
      <c r="E100" s="1189"/>
      <c r="F100" s="1189"/>
      <c r="G100" s="1189"/>
      <c r="H100" s="1189"/>
      <c r="I100" s="1189"/>
      <c r="J100" s="1189"/>
      <c r="K100" s="1189"/>
      <c r="L100" s="1189"/>
      <c r="M100" s="1189"/>
      <c r="N100" s="1189"/>
      <c r="O100" s="1189"/>
      <c r="P100" s="1189"/>
      <c r="Q100" s="1189"/>
      <c r="R100" s="1189"/>
      <c r="S100" s="1189"/>
      <c r="T100" s="1189"/>
      <c r="U100" s="1189"/>
      <c r="V100" s="1189"/>
      <c r="W100" s="1189"/>
      <c r="X100" s="1189"/>
      <c r="Y100" s="1189"/>
      <c r="Z100" s="1189"/>
    </row>
    <row r="101">
      <c r="A101" s="1189"/>
      <c r="B101" s="1189"/>
      <c r="C101" s="1189"/>
      <c r="D101" s="1189"/>
      <c r="E101" s="1189"/>
      <c r="F101" s="1189"/>
      <c r="G101" s="1189"/>
      <c r="H101" s="1189"/>
      <c r="I101" s="1189"/>
      <c r="J101" s="1189"/>
      <c r="K101" s="1189"/>
      <c r="L101" s="1189"/>
      <c r="M101" s="1189"/>
      <c r="N101" s="1189"/>
      <c r="O101" s="1189"/>
      <c r="P101" s="1189"/>
      <c r="Q101" s="1189"/>
      <c r="R101" s="1189"/>
      <c r="S101" s="1189"/>
      <c r="T101" s="1189"/>
      <c r="U101" s="1189"/>
      <c r="V101" s="1189"/>
      <c r="W101" s="1189"/>
      <c r="X101" s="1189"/>
      <c r="Y101" s="1189"/>
      <c r="Z101" s="1189"/>
    </row>
    <row r="102">
      <c r="A102" s="1189"/>
      <c r="B102" s="1189"/>
      <c r="C102" s="1189"/>
      <c r="D102" s="1189"/>
      <c r="E102" s="1189"/>
      <c r="F102" s="1189"/>
      <c r="G102" s="1189"/>
      <c r="H102" s="1189"/>
      <c r="I102" s="1189"/>
      <c r="J102" s="1189"/>
      <c r="K102" s="1189"/>
      <c r="L102" s="1189"/>
      <c r="M102" s="1189"/>
      <c r="N102" s="1189"/>
      <c r="O102" s="1189"/>
      <c r="P102" s="1189"/>
      <c r="Q102" s="1189"/>
      <c r="R102" s="1189"/>
      <c r="S102" s="1189"/>
      <c r="T102" s="1189"/>
      <c r="U102" s="1189"/>
      <c r="V102" s="1189"/>
      <c r="W102" s="1189"/>
      <c r="X102" s="1189"/>
      <c r="Y102" s="1189"/>
      <c r="Z102" s="1189"/>
    </row>
    <row r="103">
      <c r="A103" s="1189"/>
      <c r="B103" s="1189"/>
      <c r="C103" s="1189"/>
      <c r="D103" s="1189"/>
      <c r="E103" s="1189"/>
      <c r="F103" s="1189"/>
      <c r="G103" s="1189"/>
      <c r="H103" s="1189"/>
      <c r="I103" s="1189"/>
      <c r="J103" s="1189"/>
      <c r="K103" s="1189"/>
      <c r="L103" s="1189"/>
      <c r="M103" s="1189"/>
      <c r="N103" s="1189"/>
      <c r="O103" s="1189"/>
      <c r="P103" s="1189"/>
      <c r="Q103" s="1189"/>
      <c r="R103" s="1189"/>
      <c r="S103" s="1189"/>
      <c r="T103" s="1189"/>
      <c r="U103" s="1189"/>
      <c r="V103" s="1189"/>
      <c r="W103" s="1189"/>
      <c r="X103" s="1189"/>
      <c r="Y103" s="1189"/>
      <c r="Z103" s="1189"/>
    </row>
    <row r="104">
      <c r="A104" s="1189"/>
      <c r="B104" s="1189"/>
      <c r="C104" s="1189"/>
      <c r="D104" s="1189"/>
      <c r="E104" s="1189"/>
      <c r="F104" s="1189"/>
      <c r="G104" s="1189"/>
      <c r="H104" s="1189"/>
      <c r="I104" s="1189"/>
      <c r="J104" s="1189"/>
      <c r="K104" s="1189"/>
      <c r="L104" s="1189"/>
      <c r="M104" s="1189"/>
      <c r="N104" s="1189"/>
      <c r="O104" s="1189"/>
      <c r="P104" s="1189"/>
      <c r="Q104" s="1189"/>
      <c r="R104" s="1189"/>
      <c r="S104" s="1189"/>
      <c r="T104" s="1189"/>
      <c r="U104" s="1189"/>
      <c r="V104" s="1189"/>
      <c r="W104" s="1189"/>
      <c r="X104" s="1189"/>
      <c r="Y104" s="1189"/>
      <c r="Z104" s="1189"/>
    </row>
    <row r="105">
      <c r="A105" s="1189"/>
      <c r="B105" s="1189"/>
      <c r="C105" s="1189"/>
      <c r="D105" s="1189"/>
      <c r="E105" s="1189"/>
      <c r="F105" s="1189"/>
      <c r="G105" s="1189"/>
      <c r="H105" s="1189"/>
      <c r="I105" s="1189"/>
      <c r="J105" s="1189"/>
      <c r="K105" s="1189"/>
      <c r="L105" s="1189"/>
      <c r="M105" s="1189"/>
      <c r="N105" s="1189"/>
      <c r="O105" s="1189"/>
      <c r="P105" s="1189"/>
      <c r="Q105" s="1189"/>
      <c r="R105" s="1189"/>
      <c r="S105" s="1189"/>
      <c r="T105" s="1189"/>
      <c r="U105" s="1189"/>
      <c r="V105" s="1189"/>
      <c r="W105" s="1189"/>
      <c r="X105" s="1189"/>
      <c r="Y105" s="1189"/>
      <c r="Z105" s="1189"/>
    </row>
    <row r="106">
      <c r="A106" s="1189"/>
      <c r="B106" s="1189"/>
      <c r="C106" s="1189"/>
      <c r="D106" s="1189"/>
      <c r="E106" s="1189"/>
      <c r="F106" s="1189"/>
      <c r="G106" s="1189"/>
      <c r="H106" s="1189"/>
      <c r="I106" s="1189"/>
      <c r="J106" s="1189"/>
      <c r="K106" s="1189"/>
      <c r="L106" s="1189"/>
      <c r="M106" s="1189"/>
      <c r="N106" s="1189"/>
      <c r="O106" s="1189"/>
      <c r="P106" s="1189"/>
      <c r="Q106" s="1189"/>
      <c r="R106" s="1189"/>
      <c r="S106" s="1189"/>
      <c r="T106" s="1189"/>
      <c r="U106" s="1189"/>
      <c r="V106" s="1189"/>
      <c r="W106" s="1189"/>
      <c r="X106" s="1189"/>
      <c r="Y106" s="1189"/>
      <c r="Z106" s="1189"/>
    </row>
    <row r="107">
      <c r="A107" s="1189"/>
      <c r="B107" s="1189"/>
      <c r="C107" s="1189"/>
      <c r="D107" s="1189"/>
      <c r="E107" s="1189"/>
      <c r="F107" s="1189"/>
      <c r="G107" s="1189"/>
      <c r="H107" s="1189"/>
      <c r="I107" s="1189"/>
      <c r="J107" s="1189"/>
      <c r="K107" s="1189"/>
      <c r="L107" s="1189"/>
      <c r="M107" s="1189"/>
      <c r="N107" s="1189"/>
      <c r="O107" s="1189"/>
      <c r="P107" s="1189"/>
      <c r="Q107" s="1189"/>
      <c r="R107" s="1189"/>
      <c r="S107" s="1189"/>
      <c r="T107" s="1189"/>
      <c r="U107" s="1189"/>
      <c r="V107" s="1189"/>
      <c r="W107" s="1189"/>
      <c r="X107" s="1189"/>
      <c r="Y107" s="1189"/>
      <c r="Z107" s="1189"/>
    </row>
    <row r="108">
      <c r="A108" s="1189"/>
      <c r="B108" s="1189"/>
      <c r="C108" s="1189"/>
      <c r="D108" s="1189"/>
      <c r="E108" s="1189"/>
      <c r="F108" s="1189"/>
      <c r="G108" s="1189"/>
      <c r="H108" s="1189"/>
      <c r="I108" s="1189"/>
      <c r="J108" s="1189"/>
      <c r="K108" s="1189"/>
      <c r="L108" s="1189"/>
      <c r="M108" s="1189"/>
      <c r="N108" s="1189"/>
      <c r="O108" s="1189"/>
      <c r="P108" s="1189"/>
      <c r="Q108" s="1189"/>
      <c r="R108" s="1189"/>
      <c r="S108" s="1189"/>
      <c r="T108" s="1189"/>
      <c r="U108" s="1189"/>
      <c r="V108" s="1189"/>
      <c r="W108" s="1189"/>
      <c r="X108" s="1189"/>
      <c r="Y108" s="1189"/>
      <c r="Z108" s="1189"/>
    </row>
    <row r="109">
      <c r="A109" s="1189"/>
      <c r="B109" s="1189"/>
      <c r="C109" s="1189"/>
      <c r="D109" s="1189"/>
      <c r="E109" s="1189"/>
      <c r="F109" s="1189"/>
      <c r="G109" s="1189"/>
      <c r="H109" s="1189"/>
      <c r="I109" s="1189"/>
      <c r="J109" s="1189"/>
      <c r="K109" s="1189"/>
      <c r="L109" s="1189"/>
      <c r="M109" s="1189"/>
      <c r="N109" s="1189"/>
      <c r="O109" s="1189"/>
      <c r="P109" s="1189"/>
      <c r="Q109" s="1189"/>
      <c r="R109" s="1189"/>
      <c r="S109" s="1189"/>
      <c r="T109" s="1189"/>
      <c r="U109" s="1189"/>
      <c r="V109" s="1189"/>
      <c r="W109" s="1189"/>
      <c r="X109" s="1189"/>
      <c r="Y109" s="1189"/>
      <c r="Z109" s="1189"/>
    </row>
    <row r="110">
      <c r="A110" s="1189"/>
      <c r="B110" s="1189"/>
      <c r="C110" s="1189"/>
      <c r="D110" s="1189"/>
      <c r="E110" s="1189"/>
      <c r="F110" s="1189"/>
      <c r="G110" s="1189"/>
      <c r="H110" s="1189"/>
      <c r="I110" s="1189"/>
      <c r="J110" s="1189"/>
      <c r="K110" s="1189"/>
      <c r="L110" s="1189"/>
      <c r="M110" s="1189"/>
      <c r="N110" s="1189"/>
      <c r="O110" s="1189"/>
      <c r="P110" s="1189"/>
      <c r="Q110" s="1189"/>
      <c r="R110" s="1189"/>
      <c r="S110" s="1189"/>
      <c r="T110" s="1189"/>
      <c r="U110" s="1189"/>
      <c r="V110" s="1189"/>
      <c r="W110" s="1189"/>
      <c r="X110" s="1189"/>
      <c r="Y110" s="1189"/>
      <c r="Z110" s="1189"/>
    </row>
    <row r="111">
      <c r="A111" s="1189"/>
      <c r="B111" s="1189"/>
      <c r="C111" s="1189"/>
      <c r="D111" s="1189"/>
      <c r="E111" s="1189"/>
      <c r="F111" s="1189"/>
      <c r="G111" s="1189"/>
      <c r="H111" s="1189"/>
      <c r="I111" s="1189"/>
      <c r="J111" s="1189"/>
      <c r="K111" s="1189"/>
      <c r="L111" s="1189"/>
      <c r="M111" s="1189"/>
      <c r="N111" s="1189"/>
      <c r="O111" s="1189"/>
      <c r="P111" s="1189"/>
      <c r="Q111" s="1189"/>
      <c r="R111" s="1189"/>
      <c r="S111" s="1189"/>
      <c r="T111" s="1189"/>
      <c r="U111" s="1189"/>
      <c r="V111" s="1189"/>
      <c r="W111" s="1189"/>
      <c r="X111" s="1189"/>
      <c r="Y111" s="1189"/>
      <c r="Z111" s="1189"/>
    </row>
    <row r="112">
      <c r="A112" s="1189"/>
      <c r="B112" s="1189"/>
      <c r="C112" s="1189"/>
      <c r="D112" s="1189"/>
      <c r="E112" s="1189"/>
      <c r="F112" s="1189"/>
      <c r="G112" s="1189"/>
      <c r="H112" s="1189"/>
      <c r="I112" s="1189"/>
      <c r="J112" s="1189"/>
      <c r="K112" s="1189"/>
      <c r="L112" s="1189"/>
      <c r="M112" s="1189"/>
      <c r="N112" s="1189"/>
      <c r="O112" s="1189"/>
      <c r="P112" s="1189"/>
      <c r="Q112" s="1189"/>
      <c r="R112" s="1189"/>
      <c r="S112" s="1189"/>
      <c r="T112" s="1189"/>
      <c r="U112" s="1189"/>
      <c r="V112" s="1189"/>
      <c r="W112" s="1189"/>
      <c r="X112" s="1189"/>
      <c r="Y112" s="1189"/>
      <c r="Z112" s="1189"/>
    </row>
    <row r="113">
      <c r="A113" s="1189"/>
      <c r="B113" s="1189"/>
      <c r="C113" s="1189"/>
      <c r="D113" s="1189"/>
      <c r="E113" s="1189"/>
      <c r="F113" s="1189"/>
      <c r="G113" s="1189"/>
      <c r="H113" s="1189"/>
      <c r="I113" s="1189"/>
      <c r="J113" s="1189"/>
      <c r="K113" s="1189"/>
      <c r="L113" s="1189"/>
      <c r="M113" s="1189"/>
      <c r="N113" s="1189"/>
      <c r="O113" s="1189"/>
      <c r="P113" s="1189"/>
      <c r="Q113" s="1189"/>
      <c r="R113" s="1189"/>
      <c r="S113" s="1189"/>
      <c r="T113" s="1189"/>
      <c r="U113" s="1189"/>
      <c r="V113" s="1189"/>
      <c r="W113" s="1189"/>
      <c r="X113" s="1189"/>
      <c r="Y113" s="1189"/>
      <c r="Z113" s="1189"/>
    </row>
    <row r="114">
      <c r="A114" s="1189"/>
      <c r="B114" s="1189"/>
      <c r="C114" s="1189"/>
      <c r="D114" s="1189"/>
      <c r="E114" s="1189"/>
      <c r="F114" s="1189"/>
      <c r="G114" s="1189"/>
      <c r="H114" s="1189"/>
      <c r="I114" s="1189"/>
      <c r="J114" s="1189"/>
      <c r="K114" s="1189"/>
      <c r="L114" s="1189"/>
      <c r="M114" s="1189"/>
      <c r="N114" s="1189"/>
      <c r="O114" s="1189"/>
      <c r="P114" s="1189"/>
      <c r="Q114" s="1189"/>
      <c r="R114" s="1189"/>
      <c r="S114" s="1189"/>
      <c r="T114" s="1189"/>
      <c r="U114" s="1189"/>
      <c r="V114" s="1189"/>
      <c r="W114" s="1189"/>
      <c r="X114" s="1189"/>
      <c r="Y114" s="1189"/>
      <c r="Z114" s="1189"/>
    </row>
    <row r="115">
      <c r="A115" s="1189"/>
      <c r="B115" s="1189"/>
      <c r="C115" s="1189"/>
      <c r="D115" s="1189"/>
      <c r="E115" s="1189"/>
      <c r="F115" s="1189"/>
      <c r="G115" s="1189"/>
      <c r="H115" s="1189"/>
      <c r="I115" s="1189"/>
      <c r="J115" s="1189"/>
      <c r="K115" s="1189"/>
      <c r="L115" s="1189"/>
      <c r="M115" s="1189"/>
      <c r="N115" s="1189"/>
      <c r="O115" s="1189"/>
      <c r="P115" s="1189"/>
      <c r="Q115" s="1189"/>
      <c r="R115" s="1189"/>
      <c r="S115" s="1189"/>
      <c r="T115" s="1189"/>
      <c r="U115" s="1189"/>
      <c r="V115" s="1189"/>
      <c r="W115" s="1189"/>
      <c r="X115" s="1189"/>
      <c r="Y115" s="1189"/>
      <c r="Z115" s="1189"/>
    </row>
    <row r="116">
      <c r="A116" s="1189"/>
      <c r="B116" s="1189"/>
      <c r="C116" s="1189"/>
      <c r="D116" s="1189"/>
      <c r="E116" s="1189"/>
      <c r="F116" s="1189"/>
      <c r="G116" s="1189"/>
      <c r="H116" s="1189"/>
      <c r="I116" s="1189"/>
      <c r="J116" s="1189"/>
      <c r="K116" s="1189"/>
      <c r="L116" s="1189"/>
      <c r="M116" s="1189"/>
      <c r="N116" s="1189"/>
      <c r="O116" s="1189"/>
      <c r="P116" s="1189"/>
      <c r="Q116" s="1189"/>
      <c r="R116" s="1189"/>
      <c r="S116" s="1189"/>
      <c r="T116" s="1189"/>
      <c r="U116" s="1189"/>
      <c r="V116" s="1189"/>
      <c r="W116" s="1189"/>
      <c r="X116" s="1189"/>
      <c r="Y116" s="1189"/>
      <c r="Z116" s="1189"/>
    </row>
    <row r="117">
      <c r="A117" s="1189"/>
      <c r="B117" s="1189"/>
      <c r="C117" s="1189"/>
      <c r="D117" s="1189"/>
      <c r="E117" s="1189"/>
      <c r="F117" s="1189"/>
      <c r="G117" s="1189"/>
      <c r="H117" s="1189"/>
      <c r="I117" s="1189"/>
      <c r="J117" s="1189"/>
      <c r="K117" s="1189"/>
      <c r="L117" s="1189"/>
      <c r="M117" s="1189"/>
      <c r="N117" s="1189"/>
      <c r="O117" s="1189"/>
      <c r="P117" s="1189"/>
      <c r="Q117" s="1189"/>
      <c r="R117" s="1189"/>
      <c r="S117" s="1189"/>
      <c r="T117" s="1189"/>
      <c r="U117" s="1189"/>
      <c r="V117" s="1189"/>
      <c r="W117" s="1189"/>
      <c r="X117" s="1189"/>
      <c r="Y117" s="1189"/>
      <c r="Z117" s="1189"/>
    </row>
    <row r="118">
      <c r="A118" s="1189"/>
      <c r="B118" s="1189"/>
      <c r="C118" s="1189"/>
      <c r="D118" s="1189"/>
      <c r="E118" s="1189"/>
      <c r="F118" s="1189"/>
      <c r="G118" s="1189"/>
      <c r="H118" s="1189"/>
      <c r="I118" s="1189"/>
      <c r="J118" s="1189"/>
      <c r="K118" s="1189"/>
      <c r="L118" s="1189"/>
      <c r="M118" s="1189"/>
      <c r="N118" s="1189"/>
      <c r="O118" s="1189"/>
      <c r="P118" s="1189"/>
      <c r="Q118" s="1189"/>
      <c r="R118" s="1189"/>
      <c r="S118" s="1189"/>
      <c r="T118" s="1189"/>
      <c r="U118" s="1189"/>
      <c r="V118" s="1189"/>
      <c r="W118" s="1189"/>
      <c r="X118" s="1189"/>
      <c r="Y118" s="1189"/>
      <c r="Z118" s="1189"/>
    </row>
    <row r="119">
      <c r="A119" s="1189"/>
      <c r="B119" s="1189"/>
      <c r="C119" s="1189"/>
      <c r="D119" s="1189"/>
      <c r="E119" s="1189"/>
      <c r="F119" s="1189"/>
      <c r="G119" s="1189"/>
      <c r="H119" s="1189"/>
      <c r="I119" s="1189"/>
      <c r="J119" s="1189"/>
      <c r="K119" s="1189"/>
      <c r="L119" s="1189"/>
      <c r="M119" s="1189"/>
      <c r="N119" s="1189"/>
      <c r="O119" s="1189"/>
      <c r="P119" s="1189"/>
      <c r="Q119" s="1189"/>
      <c r="R119" s="1189"/>
      <c r="S119" s="1189"/>
      <c r="T119" s="1189"/>
      <c r="U119" s="1189"/>
      <c r="V119" s="1189"/>
      <c r="W119" s="1189"/>
      <c r="X119" s="1189"/>
      <c r="Y119" s="1189"/>
      <c r="Z119" s="1189"/>
    </row>
    <row r="120">
      <c r="A120" s="1189"/>
      <c r="B120" s="1189"/>
      <c r="C120" s="1189"/>
      <c r="D120" s="1189"/>
      <c r="E120" s="1189"/>
      <c r="F120" s="1189"/>
      <c r="G120" s="1189"/>
      <c r="H120" s="1189"/>
      <c r="I120" s="1189"/>
      <c r="J120" s="1189"/>
      <c r="K120" s="1189"/>
      <c r="L120" s="1189"/>
      <c r="M120" s="1189"/>
      <c r="N120" s="1189"/>
      <c r="O120" s="1189"/>
      <c r="P120" s="1189"/>
      <c r="Q120" s="1189"/>
      <c r="R120" s="1189"/>
      <c r="S120" s="1189"/>
      <c r="T120" s="1189"/>
      <c r="U120" s="1189"/>
      <c r="V120" s="1189"/>
      <c r="W120" s="1189"/>
      <c r="X120" s="1189"/>
      <c r="Y120" s="1189"/>
      <c r="Z120" s="1189"/>
    </row>
    <row r="121">
      <c r="A121" s="1189"/>
      <c r="B121" s="1189"/>
      <c r="C121" s="1189"/>
      <c r="D121" s="1189"/>
      <c r="E121" s="1189"/>
      <c r="F121" s="1189"/>
      <c r="G121" s="1189"/>
      <c r="H121" s="1189"/>
      <c r="I121" s="1189"/>
      <c r="J121" s="1189"/>
      <c r="K121" s="1189"/>
      <c r="L121" s="1189"/>
      <c r="M121" s="1189"/>
      <c r="N121" s="1189"/>
      <c r="O121" s="1189"/>
      <c r="P121" s="1189"/>
      <c r="Q121" s="1189"/>
      <c r="R121" s="1189"/>
      <c r="S121" s="1189"/>
      <c r="T121" s="1189"/>
      <c r="U121" s="1189"/>
      <c r="V121" s="1189"/>
      <c r="W121" s="1189"/>
      <c r="X121" s="1189"/>
      <c r="Y121" s="1189"/>
      <c r="Z121" s="1189"/>
    </row>
    <row r="122">
      <c r="A122" s="1189"/>
      <c r="B122" s="1189"/>
      <c r="C122" s="1189"/>
      <c r="D122" s="1189"/>
      <c r="E122" s="1189"/>
      <c r="F122" s="1189"/>
      <c r="G122" s="1189"/>
      <c r="H122" s="1189"/>
      <c r="I122" s="1189"/>
      <c r="J122" s="1189"/>
      <c r="K122" s="1189"/>
      <c r="L122" s="1189"/>
      <c r="M122" s="1189"/>
      <c r="N122" s="1189"/>
      <c r="O122" s="1189"/>
      <c r="P122" s="1189"/>
      <c r="Q122" s="1189"/>
      <c r="R122" s="1189"/>
      <c r="S122" s="1189"/>
      <c r="T122" s="1189"/>
      <c r="U122" s="1189"/>
      <c r="V122" s="1189"/>
      <c r="W122" s="1189"/>
      <c r="X122" s="1189"/>
      <c r="Y122" s="1189"/>
      <c r="Z122" s="1189"/>
    </row>
    <row r="123">
      <c r="A123" s="1189"/>
      <c r="B123" s="1189"/>
      <c r="C123" s="1189"/>
      <c r="D123" s="1189"/>
      <c r="E123" s="1189"/>
      <c r="F123" s="1189"/>
      <c r="G123" s="1189"/>
      <c r="H123" s="1189"/>
      <c r="I123" s="1189"/>
      <c r="J123" s="1189"/>
      <c r="K123" s="1189"/>
      <c r="L123" s="1189"/>
      <c r="M123" s="1189"/>
      <c r="N123" s="1189"/>
      <c r="O123" s="1189"/>
      <c r="P123" s="1189"/>
      <c r="Q123" s="1189"/>
      <c r="R123" s="1189"/>
      <c r="S123" s="1189"/>
      <c r="T123" s="1189"/>
      <c r="U123" s="1189"/>
      <c r="V123" s="1189"/>
      <c r="W123" s="1189"/>
      <c r="X123" s="1189"/>
      <c r="Y123" s="1189"/>
      <c r="Z123" s="1189"/>
    </row>
    <row r="124">
      <c r="A124" s="1189"/>
      <c r="B124" s="1189"/>
      <c r="C124" s="1189"/>
      <c r="D124" s="1189"/>
      <c r="E124" s="1189"/>
      <c r="F124" s="1189"/>
      <c r="G124" s="1189"/>
      <c r="H124" s="1189"/>
      <c r="I124" s="1189"/>
      <c r="J124" s="1189"/>
      <c r="K124" s="1189"/>
      <c r="L124" s="1189"/>
      <c r="M124" s="1189"/>
      <c r="N124" s="1189"/>
      <c r="O124" s="1189"/>
      <c r="P124" s="1189"/>
      <c r="Q124" s="1189"/>
      <c r="R124" s="1189"/>
      <c r="S124" s="1189"/>
      <c r="T124" s="1189"/>
      <c r="U124" s="1189"/>
      <c r="V124" s="1189"/>
      <c r="W124" s="1189"/>
      <c r="X124" s="1189"/>
      <c r="Y124" s="1189"/>
      <c r="Z124" s="1189"/>
    </row>
    <row r="125">
      <c r="A125" s="1189"/>
      <c r="B125" s="1189"/>
      <c r="C125" s="1189"/>
      <c r="D125" s="1189"/>
      <c r="E125" s="1189"/>
      <c r="F125" s="1189"/>
      <c r="G125" s="1189"/>
      <c r="H125" s="1189"/>
      <c r="I125" s="1189"/>
      <c r="J125" s="1189"/>
      <c r="K125" s="1189"/>
      <c r="L125" s="1189"/>
      <c r="M125" s="1189"/>
      <c r="N125" s="1189"/>
      <c r="O125" s="1189"/>
      <c r="P125" s="1189"/>
      <c r="Q125" s="1189"/>
      <c r="R125" s="1189"/>
      <c r="S125" s="1189"/>
      <c r="T125" s="1189"/>
      <c r="U125" s="1189"/>
      <c r="V125" s="1189"/>
      <c r="W125" s="1189"/>
      <c r="X125" s="1189"/>
      <c r="Y125" s="1189"/>
      <c r="Z125" s="1189"/>
    </row>
    <row r="126">
      <c r="A126" s="1189"/>
      <c r="B126" s="1189"/>
      <c r="C126" s="1189"/>
      <c r="D126" s="1189"/>
      <c r="E126" s="1189"/>
      <c r="F126" s="1189"/>
      <c r="G126" s="1189"/>
      <c r="H126" s="1189"/>
      <c r="I126" s="1189"/>
      <c r="J126" s="1189"/>
      <c r="K126" s="1189"/>
      <c r="L126" s="1189"/>
      <c r="M126" s="1189"/>
      <c r="N126" s="1189"/>
      <c r="O126" s="1189"/>
      <c r="P126" s="1189"/>
      <c r="Q126" s="1189"/>
      <c r="R126" s="1189"/>
      <c r="S126" s="1189"/>
      <c r="T126" s="1189"/>
      <c r="U126" s="1189"/>
      <c r="V126" s="1189"/>
      <c r="W126" s="1189"/>
      <c r="X126" s="1189"/>
      <c r="Y126" s="1189"/>
      <c r="Z126" s="1189"/>
    </row>
    <row r="127">
      <c r="A127" s="1189"/>
      <c r="B127" s="1189"/>
      <c r="C127" s="1189"/>
      <c r="D127" s="1189"/>
      <c r="E127" s="1189"/>
      <c r="F127" s="1189"/>
      <c r="G127" s="1189"/>
      <c r="H127" s="1189"/>
      <c r="I127" s="1189"/>
      <c r="J127" s="1189"/>
      <c r="K127" s="1189"/>
      <c r="L127" s="1189"/>
      <c r="M127" s="1189"/>
      <c r="N127" s="1189"/>
      <c r="O127" s="1189"/>
      <c r="P127" s="1189"/>
      <c r="Q127" s="1189"/>
      <c r="R127" s="1189"/>
      <c r="S127" s="1189"/>
      <c r="T127" s="1189"/>
      <c r="U127" s="1189"/>
      <c r="V127" s="1189"/>
      <c r="W127" s="1189"/>
      <c r="X127" s="1189"/>
      <c r="Y127" s="1189"/>
      <c r="Z127" s="1189"/>
    </row>
    <row r="128">
      <c r="A128" s="1189"/>
      <c r="B128" s="1189"/>
      <c r="C128" s="1189"/>
      <c r="D128" s="1189"/>
      <c r="E128" s="1189"/>
      <c r="F128" s="1189"/>
      <c r="G128" s="1189"/>
      <c r="H128" s="1189"/>
      <c r="I128" s="1189"/>
      <c r="J128" s="1189"/>
      <c r="K128" s="1189"/>
      <c r="L128" s="1189"/>
      <c r="M128" s="1189"/>
      <c r="N128" s="1189"/>
      <c r="O128" s="1189"/>
      <c r="P128" s="1189"/>
      <c r="Q128" s="1189"/>
      <c r="R128" s="1189"/>
      <c r="S128" s="1189"/>
      <c r="T128" s="1189"/>
      <c r="U128" s="1189"/>
      <c r="V128" s="1189"/>
      <c r="W128" s="1189"/>
      <c r="X128" s="1189"/>
      <c r="Y128" s="1189"/>
      <c r="Z128" s="1189"/>
    </row>
    <row r="129">
      <c r="A129" s="1189"/>
      <c r="B129" s="1189"/>
      <c r="C129" s="1189"/>
      <c r="D129" s="1189"/>
      <c r="E129" s="1189"/>
      <c r="F129" s="1189"/>
      <c r="G129" s="1189"/>
      <c r="H129" s="1189"/>
      <c r="I129" s="1189"/>
      <c r="J129" s="1189"/>
      <c r="K129" s="1189"/>
      <c r="L129" s="1189"/>
      <c r="M129" s="1189"/>
      <c r="N129" s="1189"/>
      <c r="O129" s="1189"/>
      <c r="P129" s="1189"/>
      <c r="Q129" s="1189"/>
      <c r="R129" s="1189"/>
      <c r="S129" s="1189"/>
      <c r="T129" s="1189"/>
      <c r="U129" s="1189"/>
      <c r="V129" s="1189"/>
      <c r="W129" s="1189"/>
      <c r="X129" s="1189"/>
      <c r="Y129" s="1189"/>
      <c r="Z129" s="1189"/>
    </row>
    <row r="130">
      <c r="A130" s="1189"/>
      <c r="B130" s="1189"/>
      <c r="C130" s="1189"/>
      <c r="D130" s="1189"/>
      <c r="E130" s="1189"/>
      <c r="F130" s="1189"/>
      <c r="G130" s="1189"/>
      <c r="H130" s="1189"/>
      <c r="I130" s="1189"/>
      <c r="J130" s="1189"/>
      <c r="K130" s="1189"/>
      <c r="L130" s="1189"/>
      <c r="M130" s="1189"/>
      <c r="N130" s="1189"/>
      <c r="O130" s="1189"/>
      <c r="P130" s="1189"/>
      <c r="Q130" s="1189"/>
      <c r="R130" s="1189"/>
      <c r="S130" s="1189"/>
      <c r="T130" s="1189"/>
      <c r="U130" s="1189"/>
      <c r="V130" s="1189"/>
      <c r="W130" s="1189"/>
      <c r="X130" s="1189"/>
      <c r="Y130" s="1189"/>
      <c r="Z130" s="1189"/>
    </row>
    <row r="131">
      <c r="A131" s="1189"/>
      <c r="B131" s="1189"/>
      <c r="C131" s="1189"/>
      <c r="D131" s="1189"/>
      <c r="E131" s="1189"/>
      <c r="F131" s="1189"/>
      <c r="G131" s="1189"/>
      <c r="H131" s="1189"/>
      <c r="I131" s="1189"/>
      <c r="J131" s="1189"/>
      <c r="K131" s="1189"/>
      <c r="L131" s="1189"/>
      <c r="M131" s="1189"/>
      <c r="N131" s="1189"/>
      <c r="O131" s="1189"/>
      <c r="P131" s="1189"/>
      <c r="Q131" s="1189"/>
      <c r="R131" s="1189"/>
      <c r="S131" s="1189"/>
      <c r="T131" s="1189"/>
      <c r="U131" s="1189"/>
      <c r="V131" s="1189"/>
      <c r="W131" s="1189"/>
      <c r="X131" s="1189"/>
      <c r="Y131" s="1189"/>
      <c r="Z131" s="1189"/>
    </row>
    <row r="132">
      <c r="A132" s="1189"/>
      <c r="B132" s="1189"/>
      <c r="C132" s="1189"/>
      <c r="D132" s="1189"/>
      <c r="E132" s="1189"/>
      <c r="F132" s="1189"/>
      <c r="G132" s="1189"/>
      <c r="H132" s="1189"/>
      <c r="I132" s="1189"/>
      <c r="J132" s="1189"/>
      <c r="K132" s="1189"/>
      <c r="L132" s="1189"/>
      <c r="M132" s="1189"/>
      <c r="N132" s="1189"/>
      <c r="O132" s="1189"/>
      <c r="P132" s="1189"/>
      <c r="Q132" s="1189"/>
      <c r="R132" s="1189"/>
      <c r="S132" s="1189"/>
      <c r="T132" s="1189"/>
      <c r="U132" s="1189"/>
      <c r="V132" s="1189"/>
      <c r="W132" s="1189"/>
      <c r="X132" s="1189"/>
      <c r="Y132" s="1189"/>
      <c r="Z132" s="1189"/>
    </row>
    <row r="133">
      <c r="A133" s="1189"/>
      <c r="B133" s="1189"/>
      <c r="C133" s="1189"/>
      <c r="D133" s="1189"/>
      <c r="E133" s="1189"/>
      <c r="F133" s="1189"/>
      <c r="G133" s="1189"/>
      <c r="H133" s="1189"/>
      <c r="I133" s="1189"/>
      <c r="J133" s="1189"/>
      <c r="K133" s="1189"/>
      <c r="L133" s="1189"/>
      <c r="M133" s="1189"/>
      <c r="N133" s="1189"/>
      <c r="O133" s="1189"/>
      <c r="P133" s="1189"/>
      <c r="Q133" s="1189"/>
      <c r="R133" s="1189"/>
      <c r="S133" s="1189"/>
      <c r="T133" s="1189"/>
      <c r="U133" s="1189"/>
      <c r="V133" s="1189"/>
      <c r="W133" s="1189"/>
      <c r="X133" s="1189"/>
      <c r="Y133" s="1189"/>
      <c r="Z133" s="1189"/>
    </row>
    <row r="134">
      <c r="A134" s="1189"/>
      <c r="B134" s="1189"/>
      <c r="C134" s="1189"/>
      <c r="D134" s="1189"/>
      <c r="E134" s="1189"/>
      <c r="F134" s="1189"/>
      <c r="G134" s="1189"/>
      <c r="H134" s="1189"/>
      <c r="I134" s="1189"/>
      <c r="J134" s="1189"/>
      <c r="K134" s="1189"/>
      <c r="L134" s="1189"/>
      <c r="M134" s="1189"/>
      <c r="N134" s="1189"/>
      <c r="O134" s="1189"/>
      <c r="P134" s="1189"/>
      <c r="Q134" s="1189"/>
      <c r="R134" s="1189"/>
      <c r="S134" s="1189"/>
      <c r="T134" s="1189"/>
      <c r="U134" s="1189"/>
      <c r="V134" s="1189"/>
      <c r="W134" s="1189"/>
      <c r="X134" s="1189"/>
      <c r="Y134" s="1189"/>
      <c r="Z134" s="1189"/>
    </row>
    <row r="135">
      <c r="A135" s="1189"/>
      <c r="B135" s="1189"/>
      <c r="C135" s="1189"/>
      <c r="D135" s="1189"/>
      <c r="E135" s="1189"/>
      <c r="F135" s="1189"/>
      <c r="G135" s="1189"/>
      <c r="H135" s="1189"/>
      <c r="I135" s="1189"/>
      <c r="J135" s="1189"/>
      <c r="K135" s="1189"/>
      <c r="L135" s="1189"/>
      <c r="M135" s="1189"/>
      <c r="N135" s="1189"/>
      <c r="O135" s="1189"/>
      <c r="P135" s="1189"/>
      <c r="Q135" s="1189"/>
      <c r="R135" s="1189"/>
      <c r="S135" s="1189"/>
      <c r="T135" s="1189"/>
      <c r="U135" s="1189"/>
      <c r="V135" s="1189"/>
      <c r="W135" s="1189"/>
      <c r="X135" s="1189"/>
      <c r="Y135" s="1189"/>
      <c r="Z135" s="1189"/>
    </row>
    <row r="136">
      <c r="A136" s="1189"/>
      <c r="B136" s="1189"/>
      <c r="C136" s="1189"/>
      <c r="D136" s="1189"/>
      <c r="E136" s="1189"/>
      <c r="F136" s="1189"/>
      <c r="G136" s="1189"/>
      <c r="H136" s="1189"/>
      <c r="I136" s="1189"/>
      <c r="J136" s="1189"/>
      <c r="K136" s="1189"/>
      <c r="L136" s="1189"/>
      <c r="M136" s="1189"/>
      <c r="N136" s="1189"/>
      <c r="O136" s="1189"/>
      <c r="P136" s="1189"/>
      <c r="Q136" s="1189"/>
      <c r="R136" s="1189"/>
      <c r="S136" s="1189"/>
      <c r="T136" s="1189"/>
      <c r="U136" s="1189"/>
      <c r="V136" s="1189"/>
      <c r="W136" s="1189"/>
      <c r="X136" s="1189"/>
      <c r="Y136" s="1189"/>
      <c r="Z136" s="1189"/>
    </row>
    <row r="137">
      <c r="A137" s="1189"/>
      <c r="B137" s="1189"/>
      <c r="C137" s="1189"/>
      <c r="D137" s="1189"/>
      <c r="E137" s="1189"/>
      <c r="F137" s="1189"/>
      <c r="G137" s="1189"/>
      <c r="H137" s="1189"/>
      <c r="I137" s="1189"/>
      <c r="J137" s="1189"/>
      <c r="K137" s="1189"/>
      <c r="L137" s="1189"/>
      <c r="M137" s="1189"/>
      <c r="N137" s="1189"/>
      <c r="O137" s="1189"/>
      <c r="P137" s="1189"/>
      <c r="Q137" s="1189"/>
      <c r="R137" s="1189"/>
      <c r="S137" s="1189"/>
      <c r="T137" s="1189"/>
      <c r="U137" s="1189"/>
      <c r="V137" s="1189"/>
      <c r="W137" s="1189"/>
      <c r="X137" s="1189"/>
      <c r="Y137" s="1189"/>
      <c r="Z137" s="1189"/>
    </row>
    <row r="138">
      <c r="A138" s="1189"/>
      <c r="B138" s="1189"/>
      <c r="C138" s="1189"/>
      <c r="D138" s="1189"/>
      <c r="E138" s="1189"/>
      <c r="F138" s="1189"/>
      <c r="G138" s="1189"/>
      <c r="H138" s="1189"/>
      <c r="I138" s="1189"/>
      <c r="J138" s="1189"/>
      <c r="K138" s="1189"/>
      <c r="L138" s="1189"/>
      <c r="M138" s="1189"/>
      <c r="N138" s="1189"/>
      <c r="O138" s="1189"/>
      <c r="P138" s="1189"/>
      <c r="Q138" s="1189"/>
      <c r="R138" s="1189"/>
      <c r="S138" s="1189"/>
      <c r="T138" s="1189"/>
      <c r="U138" s="1189"/>
      <c r="V138" s="1189"/>
      <c r="W138" s="1189"/>
      <c r="X138" s="1189"/>
      <c r="Y138" s="1189"/>
      <c r="Z138" s="1189"/>
    </row>
    <row r="139">
      <c r="A139" s="1189"/>
      <c r="B139" s="1189"/>
      <c r="C139" s="1189"/>
      <c r="D139" s="1189"/>
      <c r="E139" s="1189"/>
      <c r="F139" s="1189"/>
      <c r="G139" s="1189"/>
      <c r="H139" s="1189"/>
      <c r="I139" s="1189"/>
      <c r="J139" s="1189"/>
      <c r="K139" s="1189"/>
      <c r="L139" s="1189"/>
      <c r="M139" s="1189"/>
      <c r="N139" s="1189"/>
      <c r="O139" s="1189"/>
      <c r="P139" s="1189"/>
      <c r="Q139" s="1189"/>
      <c r="R139" s="1189"/>
      <c r="S139" s="1189"/>
      <c r="T139" s="1189"/>
      <c r="U139" s="1189"/>
      <c r="V139" s="1189"/>
      <c r="W139" s="1189"/>
      <c r="X139" s="1189"/>
      <c r="Y139" s="1189"/>
      <c r="Z139" s="1189"/>
    </row>
    <row r="140">
      <c r="A140" s="1189"/>
      <c r="B140" s="1189"/>
      <c r="C140" s="1189"/>
      <c r="D140" s="1189"/>
      <c r="E140" s="1189"/>
      <c r="F140" s="1189"/>
      <c r="G140" s="1189"/>
      <c r="H140" s="1189"/>
      <c r="I140" s="1189"/>
      <c r="J140" s="1189"/>
      <c r="K140" s="1189"/>
      <c r="L140" s="1189"/>
      <c r="M140" s="1189"/>
      <c r="N140" s="1189"/>
      <c r="O140" s="1189"/>
      <c r="P140" s="1189"/>
      <c r="Q140" s="1189"/>
      <c r="R140" s="1189"/>
      <c r="S140" s="1189"/>
      <c r="T140" s="1189"/>
      <c r="U140" s="1189"/>
      <c r="V140" s="1189"/>
      <c r="W140" s="1189"/>
      <c r="X140" s="1189"/>
      <c r="Y140" s="1189"/>
      <c r="Z140" s="1189"/>
    </row>
    <row r="141">
      <c r="A141" s="1189"/>
      <c r="B141" s="1189"/>
      <c r="C141" s="1189"/>
      <c r="D141" s="1189"/>
      <c r="E141" s="1189"/>
      <c r="F141" s="1189"/>
      <c r="G141" s="1189"/>
      <c r="H141" s="1189"/>
      <c r="I141" s="1189"/>
      <c r="J141" s="1189"/>
      <c r="K141" s="1189"/>
      <c r="L141" s="1189"/>
      <c r="M141" s="1189"/>
      <c r="N141" s="1189"/>
      <c r="O141" s="1189"/>
      <c r="P141" s="1189"/>
      <c r="Q141" s="1189"/>
      <c r="R141" s="1189"/>
      <c r="S141" s="1189"/>
      <c r="T141" s="1189"/>
      <c r="U141" s="1189"/>
      <c r="V141" s="1189"/>
      <c r="W141" s="1189"/>
      <c r="X141" s="1189"/>
      <c r="Y141" s="1189"/>
      <c r="Z141" s="1189"/>
    </row>
    <row r="142">
      <c r="A142" s="1189"/>
      <c r="B142" s="1189"/>
      <c r="C142" s="1189"/>
      <c r="D142" s="1189"/>
      <c r="E142" s="1189"/>
      <c r="F142" s="1189"/>
      <c r="G142" s="1189"/>
      <c r="H142" s="1189"/>
      <c r="I142" s="1189"/>
      <c r="J142" s="1189"/>
      <c r="K142" s="1189"/>
      <c r="L142" s="1189"/>
      <c r="M142" s="1189"/>
      <c r="N142" s="1189"/>
      <c r="O142" s="1189"/>
      <c r="P142" s="1189"/>
      <c r="Q142" s="1189"/>
      <c r="R142" s="1189"/>
      <c r="S142" s="1189"/>
      <c r="T142" s="1189"/>
      <c r="U142" s="1189"/>
      <c r="V142" s="1189"/>
      <c r="W142" s="1189"/>
      <c r="X142" s="1189"/>
      <c r="Y142" s="1189"/>
      <c r="Z142" s="1189"/>
    </row>
    <row r="143">
      <c r="A143" s="1189"/>
      <c r="B143" s="1189"/>
      <c r="C143" s="1189"/>
      <c r="D143" s="1189"/>
      <c r="E143" s="1189"/>
      <c r="F143" s="1189"/>
      <c r="G143" s="1189"/>
      <c r="H143" s="1189"/>
      <c r="I143" s="1189"/>
      <c r="J143" s="1189"/>
      <c r="K143" s="1189"/>
      <c r="L143" s="1189"/>
      <c r="M143" s="1189"/>
      <c r="N143" s="1189"/>
      <c r="O143" s="1189"/>
      <c r="P143" s="1189"/>
      <c r="Q143" s="1189"/>
      <c r="R143" s="1189"/>
      <c r="S143" s="1189"/>
      <c r="T143" s="1189"/>
      <c r="U143" s="1189"/>
      <c r="V143" s="1189"/>
      <c r="W143" s="1189"/>
      <c r="X143" s="1189"/>
      <c r="Y143" s="1189"/>
      <c r="Z143" s="1189"/>
    </row>
    <row r="144">
      <c r="A144" s="1189"/>
      <c r="B144" s="1189"/>
      <c r="C144" s="1189"/>
      <c r="D144" s="1189"/>
      <c r="E144" s="1189"/>
      <c r="F144" s="1189"/>
      <c r="G144" s="1189"/>
      <c r="H144" s="1189"/>
      <c r="I144" s="1189"/>
      <c r="J144" s="1189"/>
      <c r="K144" s="1189"/>
      <c r="L144" s="1189"/>
      <c r="M144" s="1189"/>
      <c r="N144" s="1189"/>
      <c r="O144" s="1189"/>
      <c r="P144" s="1189"/>
      <c r="Q144" s="1189"/>
      <c r="R144" s="1189"/>
      <c r="S144" s="1189"/>
      <c r="T144" s="1189"/>
      <c r="U144" s="1189"/>
      <c r="V144" s="1189"/>
      <c r="W144" s="1189"/>
      <c r="X144" s="1189"/>
      <c r="Y144" s="1189"/>
      <c r="Z144" s="1189"/>
    </row>
    <row r="145">
      <c r="A145" s="1189"/>
      <c r="B145" s="1189"/>
      <c r="C145" s="1189"/>
      <c r="D145" s="1189"/>
      <c r="E145" s="1189"/>
      <c r="F145" s="1189"/>
      <c r="G145" s="1189"/>
      <c r="H145" s="1189"/>
      <c r="I145" s="1189"/>
      <c r="J145" s="1189"/>
      <c r="K145" s="1189"/>
      <c r="L145" s="1189"/>
      <c r="M145" s="1189"/>
      <c r="N145" s="1189"/>
      <c r="O145" s="1189"/>
      <c r="P145" s="1189"/>
      <c r="Q145" s="1189"/>
      <c r="R145" s="1189"/>
      <c r="S145" s="1189"/>
      <c r="T145" s="1189"/>
      <c r="U145" s="1189"/>
      <c r="V145" s="1189"/>
      <c r="W145" s="1189"/>
      <c r="X145" s="1189"/>
      <c r="Y145" s="1189"/>
      <c r="Z145" s="1189"/>
    </row>
    <row r="146">
      <c r="A146" s="1189"/>
      <c r="B146" s="1189"/>
      <c r="C146" s="1189"/>
      <c r="D146" s="1189"/>
      <c r="E146" s="1189"/>
      <c r="F146" s="1189"/>
      <c r="G146" s="1189"/>
      <c r="H146" s="1189"/>
      <c r="I146" s="1189"/>
      <c r="J146" s="1189"/>
      <c r="K146" s="1189"/>
      <c r="L146" s="1189"/>
      <c r="M146" s="1189"/>
      <c r="N146" s="1189"/>
      <c r="O146" s="1189"/>
      <c r="P146" s="1189"/>
      <c r="Q146" s="1189"/>
      <c r="R146" s="1189"/>
      <c r="S146" s="1189"/>
      <c r="T146" s="1189"/>
      <c r="U146" s="1189"/>
      <c r="V146" s="1189"/>
      <c r="W146" s="1189"/>
      <c r="X146" s="1189"/>
      <c r="Y146" s="1189"/>
      <c r="Z146" s="1189"/>
    </row>
    <row r="147">
      <c r="A147" s="1189"/>
      <c r="B147" s="1189"/>
      <c r="C147" s="1189"/>
      <c r="D147" s="1189"/>
      <c r="E147" s="1189"/>
      <c r="F147" s="1189"/>
      <c r="G147" s="1189"/>
      <c r="H147" s="1189"/>
      <c r="I147" s="1189"/>
      <c r="J147" s="1189"/>
      <c r="K147" s="1189"/>
      <c r="L147" s="1189"/>
      <c r="M147" s="1189"/>
      <c r="N147" s="1189"/>
      <c r="O147" s="1189"/>
      <c r="P147" s="1189"/>
      <c r="Q147" s="1189"/>
      <c r="R147" s="1189"/>
      <c r="S147" s="1189"/>
      <c r="T147" s="1189"/>
      <c r="U147" s="1189"/>
      <c r="V147" s="1189"/>
      <c r="W147" s="1189"/>
      <c r="X147" s="1189"/>
      <c r="Y147" s="1189"/>
      <c r="Z147" s="1189"/>
    </row>
    <row r="148">
      <c r="A148" s="1189"/>
      <c r="B148" s="1189"/>
      <c r="C148" s="1189"/>
      <c r="D148" s="1189"/>
      <c r="E148" s="1189"/>
      <c r="F148" s="1189"/>
      <c r="G148" s="1189"/>
      <c r="H148" s="1189"/>
      <c r="I148" s="1189"/>
      <c r="J148" s="1189"/>
      <c r="K148" s="1189"/>
      <c r="L148" s="1189"/>
      <c r="M148" s="1189"/>
      <c r="N148" s="1189"/>
      <c r="O148" s="1189"/>
      <c r="P148" s="1189"/>
      <c r="Q148" s="1189"/>
      <c r="R148" s="1189"/>
      <c r="S148" s="1189"/>
      <c r="T148" s="1189"/>
      <c r="U148" s="1189"/>
      <c r="V148" s="1189"/>
      <c r="W148" s="1189"/>
      <c r="X148" s="1189"/>
      <c r="Y148" s="1189"/>
      <c r="Z148" s="1189"/>
    </row>
    <row r="149">
      <c r="A149" s="1189"/>
      <c r="B149" s="1189"/>
      <c r="C149" s="1189"/>
      <c r="D149" s="1189"/>
      <c r="E149" s="1189"/>
      <c r="F149" s="1189"/>
      <c r="G149" s="1189"/>
      <c r="H149" s="1189"/>
      <c r="I149" s="1189"/>
      <c r="J149" s="1189"/>
      <c r="K149" s="1189"/>
      <c r="L149" s="1189"/>
      <c r="M149" s="1189"/>
      <c r="N149" s="1189"/>
      <c r="O149" s="1189"/>
      <c r="P149" s="1189"/>
      <c r="Q149" s="1189"/>
      <c r="R149" s="1189"/>
      <c r="S149" s="1189"/>
      <c r="T149" s="1189"/>
      <c r="U149" s="1189"/>
      <c r="V149" s="1189"/>
      <c r="W149" s="1189"/>
      <c r="X149" s="1189"/>
      <c r="Y149" s="1189"/>
      <c r="Z149" s="1189"/>
    </row>
    <row r="150">
      <c r="A150" s="1189"/>
      <c r="B150" s="1189"/>
      <c r="C150" s="1189"/>
      <c r="D150" s="1189"/>
      <c r="E150" s="1189"/>
      <c r="F150" s="1189"/>
      <c r="G150" s="1189"/>
      <c r="H150" s="1189"/>
      <c r="I150" s="1189"/>
      <c r="J150" s="1189"/>
      <c r="K150" s="1189"/>
      <c r="L150" s="1189"/>
      <c r="M150" s="1189"/>
      <c r="N150" s="1189"/>
      <c r="O150" s="1189"/>
      <c r="P150" s="1189"/>
      <c r="Q150" s="1189"/>
      <c r="R150" s="1189"/>
      <c r="S150" s="1189"/>
      <c r="T150" s="1189"/>
      <c r="U150" s="1189"/>
      <c r="V150" s="1189"/>
      <c r="W150" s="1189"/>
      <c r="X150" s="1189"/>
      <c r="Y150" s="1189"/>
      <c r="Z150" s="1189"/>
    </row>
    <row r="151">
      <c r="A151" s="1189"/>
      <c r="B151" s="1189"/>
      <c r="C151" s="1189"/>
      <c r="D151" s="1189"/>
      <c r="E151" s="1189"/>
      <c r="F151" s="1189"/>
      <c r="G151" s="1189"/>
      <c r="H151" s="1189"/>
      <c r="I151" s="1189"/>
      <c r="J151" s="1189"/>
      <c r="K151" s="1189"/>
      <c r="L151" s="1189"/>
      <c r="M151" s="1189"/>
      <c r="N151" s="1189"/>
      <c r="O151" s="1189"/>
      <c r="P151" s="1189"/>
      <c r="Q151" s="1189"/>
      <c r="R151" s="1189"/>
      <c r="S151" s="1189"/>
      <c r="T151" s="1189"/>
      <c r="U151" s="1189"/>
      <c r="V151" s="1189"/>
      <c r="W151" s="1189"/>
      <c r="X151" s="1189"/>
      <c r="Y151" s="1189"/>
      <c r="Z151" s="1189"/>
    </row>
    <row r="152">
      <c r="A152" s="1189"/>
      <c r="B152" s="1189"/>
      <c r="C152" s="1189"/>
      <c r="D152" s="1189"/>
      <c r="E152" s="1189"/>
      <c r="F152" s="1189"/>
      <c r="G152" s="1189"/>
      <c r="H152" s="1189"/>
      <c r="I152" s="1189"/>
      <c r="J152" s="1189"/>
      <c r="K152" s="1189"/>
      <c r="L152" s="1189"/>
      <c r="M152" s="1189"/>
      <c r="N152" s="1189"/>
      <c r="O152" s="1189"/>
      <c r="P152" s="1189"/>
      <c r="Q152" s="1189"/>
      <c r="R152" s="1189"/>
      <c r="S152" s="1189"/>
      <c r="T152" s="1189"/>
      <c r="U152" s="1189"/>
      <c r="V152" s="1189"/>
      <c r="W152" s="1189"/>
      <c r="X152" s="1189"/>
      <c r="Y152" s="1189"/>
      <c r="Z152" s="1189"/>
    </row>
    <row r="153">
      <c r="A153" s="1189"/>
      <c r="B153" s="1189"/>
      <c r="C153" s="1189"/>
      <c r="D153" s="1189"/>
      <c r="E153" s="1189"/>
      <c r="F153" s="1189"/>
      <c r="G153" s="1189"/>
      <c r="H153" s="1189"/>
      <c r="I153" s="1189"/>
      <c r="J153" s="1189"/>
      <c r="K153" s="1189"/>
      <c r="L153" s="1189"/>
      <c r="M153" s="1189"/>
      <c r="N153" s="1189"/>
      <c r="O153" s="1189"/>
      <c r="P153" s="1189"/>
      <c r="Q153" s="1189"/>
      <c r="R153" s="1189"/>
      <c r="S153" s="1189"/>
      <c r="T153" s="1189"/>
      <c r="U153" s="1189"/>
      <c r="V153" s="1189"/>
      <c r="W153" s="1189"/>
      <c r="X153" s="1189"/>
      <c r="Y153" s="1189"/>
      <c r="Z153" s="1189"/>
    </row>
    <row r="154">
      <c r="A154" s="1189"/>
      <c r="B154" s="1189"/>
      <c r="C154" s="1189"/>
      <c r="D154" s="1189"/>
      <c r="E154" s="1189"/>
      <c r="F154" s="1189"/>
      <c r="G154" s="1189"/>
      <c r="H154" s="1189"/>
      <c r="I154" s="1189"/>
      <c r="J154" s="1189"/>
      <c r="K154" s="1189"/>
      <c r="L154" s="1189"/>
      <c r="M154" s="1189"/>
      <c r="N154" s="1189"/>
      <c r="O154" s="1189"/>
      <c r="P154" s="1189"/>
      <c r="Q154" s="1189"/>
      <c r="R154" s="1189"/>
      <c r="S154" s="1189"/>
      <c r="T154" s="1189"/>
      <c r="U154" s="1189"/>
      <c r="V154" s="1189"/>
      <c r="W154" s="1189"/>
      <c r="X154" s="1189"/>
      <c r="Y154" s="1189"/>
      <c r="Z154" s="1189"/>
    </row>
    <row r="155">
      <c r="A155" s="1189"/>
      <c r="B155" s="1189"/>
      <c r="C155" s="1189"/>
      <c r="D155" s="1189"/>
      <c r="E155" s="1189"/>
      <c r="F155" s="1189"/>
      <c r="G155" s="1189"/>
      <c r="H155" s="1189"/>
      <c r="I155" s="1189"/>
      <c r="J155" s="1189"/>
      <c r="K155" s="1189"/>
      <c r="L155" s="1189"/>
      <c r="M155" s="1189"/>
      <c r="N155" s="1189"/>
      <c r="O155" s="1189"/>
      <c r="P155" s="1189"/>
      <c r="Q155" s="1189"/>
      <c r="R155" s="1189"/>
      <c r="S155" s="1189"/>
      <c r="T155" s="1189"/>
      <c r="U155" s="1189"/>
      <c r="V155" s="1189"/>
      <c r="W155" s="1189"/>
      <c r="X155" s="1189"/>
      <c r="Y155" s="1189"/>
      <c r="Z155" s="1189"/>
    </row>
    <row r="156">
      <c r="A156" s="1189"/>
      <c r="B156" s="1189"/>
      <c r="C156" s="1189"/>
      <c r="D156" s="1189"/>
      <c r="E156" s="1189"/>
      <c r="F156" s="1189"/>
      <c r="G156" s="1189"/>
      <c r="H156" s="1189"/>
      <c r="I156" s="1189"/>
      <c r="J156" s="1189"/>
      <c r="K156" s="1189"/>
      <c r="L156" s="1189"/>
      <c r="M156" s="1189"/>
      <c r="N156" s="1189"/>
      <c r="O156" s="1189"/>
      <c r="P156" s="1189"/>
      <c r="Q156" s="1189"/>
      <c r="R156" s="1189"/>
      <c r="S156" s="1189"/>
      <c r="T156" s="1189"/>
      <c r="U156" s="1189"/>
      <c r="V156" s="1189"/>
      <c r="W156" s="1189"/>
      <c r="X156" s="1189"/>
      <c r="Y156" s="1189"/>
      <c r="Z156" s="1189"/>
    </row>
    <row r="157">
      <c r="A157" s="1189"/>
      <c r="B157" s="1189"/>
      <c r="C157" s="1189"/>
      <c r="D157" s="1189"/>
      <c r="E157" s="1189"/>
      <c r="F157" s="1189"/>
      <c r="G157" s="1189"/>
      <c r="H157" s="1189"/>
      <c r="I157" s="1189"/>
      <c r="J157" s="1189"/>
      <c r="K157" s="1189"/>
      <c r="L157" s="1189"/>
      <c r="M157" s="1189"/>
      <c r="N157" s="1189"/>
      <c r="O157" s="1189"/>
      <c r="P157" s="1189"/>
      <c r="Q157" s="1189"/>
      <c r="R157" s="1189"/>
      <c r="S157" s="1189"/>
      <c r="T157" s="1189"/>
      <c r="U157" s="1189"/>
      <c r="V157" s="1189"/>
      <c r="W157" s="1189"/>
      <c r="X157" s="1189"/>
      <c r="Y157" s="1189"/>
      <c r="Z157" s="1189"/>
    </row>
    <row r="158">
      <c r="A158" s="1189"/>
      <c r="B158" s="1189"/>
      <c r="C158" s="1189"/>
      <c r="D158" s="1189"/>
      <c r="E158" s="1189"/>
      <c r="F158" s="1189"/>
      <c r="G158" s="1189"/>
      <c r="H158" s="1189"/>
      <c r="I158" s="1189"/>
      <c r="J158" s="1189"/>
      <c r="K158" s="1189"/>
      <c r="L158" s="1189"/>
      <c r="M158" s="1189"/>
      <c r="N158" s="1189"/>
      <c r="O158" s="1189"/>
      <c r="P158" s="1189"/>
      <c r="Q158" s="1189"/>
      <c r="R158" s="1189"/>
      <c r="S158" s="1189"/>
      <c r="T158" s="1189"/>
      <c r="U158" s="1189"/>
      <c r="V158" s="1189"/>
      <c r="W158" s="1189"/>
      <c r="X158" s="1189"/>
      <c r="Y158" s="1189"/>
      <c r="Z158" s="1189"/>
    </row>
    <row r="159">
      <c r="A159" s="1189"/>
      <c r="B159" s="1189"/>
      <c r="C159" s="1189"/>
      <c r="D159" s="1189"/>
      <c r="E159" s="1189"/>
      <c r="F159" s="1189"/>
      <c r="G159" s="1189"/>
      <c r="H159" s="1189"/>
      <c r="I159" s="1189"/>
      <c r="J159" s="1189"/>
      <c r="K159" s="1189"/>
      <c r="L159" s="1189"/>
      <c r="M159" s="1189"/>
      <c r="N159" s="1189"/>
      <c r="O159" s="1189"/>
      <c r="P159" s="1189"/>
      <c r="Q159" s="1189"/>
      <c r="R159" s="1189"/>
      <c r="S159" s="1189"/>
      <c r="T159" s="1189"/>
      <c r="U159" s="1189"/>
      <c r="V159" s="1189"/>
      <c r="W159" s="1189"/>
      <c r="X159" s="1189"/>
      <c r="Y159" s="1189"/>
      <c r="Z159" s="1189"/>
    </row>
    <row r="160">
      <c r="A160" s="1189"/>
      <c r="B160" s="1189"/>
      <c r="C160" s="1189"/>
      <c r="D160" s="1189"/>
      <c r="E160" s="1189"/>
      <c r="F160" s="1189"/>
      <c r="G160" s="1189"/>
      <c r="H160" s="1189"/>
      <c r="I160" s="1189"/>
      <c r="J160" s="1189"/>
      <c r="K160" s="1189"/>
      <c r="L160" s="1189"/>
      <c r="M160" s="1189"/>
      <c r="N160" s="1189"/>
      <c r="O160" s="1189"/>
      <c r="P160" s="1189"/>
      <c r="Q160" s="1189"/>
      <c r="R160" s="1189"/>
      <c r="S160" s="1189"/>
      <c r="T160" s="1189"/>
      <c r="U160" s="1189"/>
      <c r="V160" s="1189"/>
      <c r="W160" s="1189"/>
      <c r="X160" s="1189"/>
      <c r="Y160" s="1189"/>
      <c r="Z160" s="1189"/>
    </row>
    <row r="161">
      <c r="A161" s="1189"/>
      <c r="B161" s="1189"/>
      <c r="C161" s="1189"/>
      <c r="D161" s="1189"/>
      <c r="E161" s="1189"/>
      <c r="F161" s="1189"/>
      <c r="G161" s="1189"/>
      <c r="H161" s="1189"/>
      <c r="I161" s="1189"/>
      <c r="J161" s="1189"/>
      <c r="K161" s="1189"/>
      <c r="L161" s="1189"/>
      <c r="M161" s="1189"/>
      <c r="N161" s="1189"/>
      <c r="O161" s="1189"/>
      <c r="P161" s="1189"/>
      <c r="Q161" s="1189"/>
      <c r="R161" s="1189"/>
      <c r="S161" s="1189"/>
      <c r="T161" s="1189"/>
      <c r="U161" s="1189"/>
      <c r="V161" s="1189"/>
      <c r="W161" s="1189"/>
      <c r="X161" s="1189"/>
      <c r="Y161" s="1189"/>
      <c r="Z161" s="1189"/>
    </row>
    <row r="162">
      <c r="A162" s="1189"/>
      <c r="B162" s="1189"/>
      <c r="C162" s="1189"/>
      <c r="D162" s="1189"/>
      <c r="E162" s="1189"/>
      <c r="F162" s="1189"/>
      <c r="G162" s="1189"/>
      <c r="H162" s="1189"/>
      <c r="I162" s="1189"/>
      <c r="J162" s="1189"/>
      <c r="K162" s="1189"/>
      <c r="L162" s="1189"/>
      <c r="M162" s="1189"/>
      <c r="N162" s="1189"/>
      <c r="O162" s="1189"/>
      <c r="P162" s="1189"/>
      <c r="Q162" s="1189"/>
      <c r="R162" s="1189"/>
      <c r="S162" s="1189"/>
      <c r="T162" s="1189"/>
      <c r="U162" s="1189"/>
      <c r="V162" s="1189"/>
      <c r="W162" s="1189"/>
      <c r="X162" s="1189"/>
      <c r="Y162" s="1189"/>
      <c r="Z162" s="1189"/>
    </row>
    <row r="163">
      <c r="A163" s="1189"/>
      <c r="B163" s="1189"/>
      <c r="C163" s="1189"/>
      <c r="D163" s="1189"/>
      <c r="E163" s="1189"/>
      <c r="F163" s="1189"/>
      <c r="G163" s="1189"/>
      <c r="H163" s="1189"/>
      <c r="I163" s="1189"/>
      <c r="J163" s="1189"/>
      <c r="K163" s="1189"/>
      <c r="L163" s="1189"/>
      <c r="M163" s="1189"/>
      <c r="N163" s="1189"/>
      <c r="O163" s="1189"/>
      <c r="P163" s="1189"/>
      <c r="Q163" s="1189"/>
      <c r="R163" s="1189"/>
      <c r="S163" s="1189"/>
      <c r="T163" s="1189"/>
      <c r="U163" s="1189"/>
      <c r="V163" s="1189"/>
      <c r="W163" s="1189"/>
      <c r="X163" s="1189"/>
      <c r="Y163" s="1189"/>
      <c r="Z163" s="1189"/>
    </row>
    <row r="164">
      <c r="A164" s="1189"/>
      <c r="B164" s="1189"/>
      <c r="C164" s="1189"/>
      <c r="D164" s="1189"/>
      <c r="E164" s="1189"/>
      <c r="F164" s="1189"/>
      <c r="G164" s="1189"/>
      <c r="H164" s="1189"/>
      <c r="I164" s="1189"/>
      <c r="J164" s="1189"/>
      <c r="K164" s="1189"/>
      <c r="L164" s="1189"/>
      <c r="M164" s="1189"/>
      <c r="N164" s="1189"/>
      <c r="O164" s="1189"/>
      <c r="P164" s="1189"/>
      <c r="Q164" s="1189"/>
      <c r="R164" s="1189"/>
      <c r="S164" s="1189"/>
      <c r="T164" s="1189"/>
      <c r="U164" s="1189"/>
      <c r="V164" s="1189"/>
      <c r="W164" s="1189"/>
      <c r="X164" s="1189"/>
      <c r="Y164" s="1189"/>
      <c r="Z164" s="1189"/>
    </row>
    <row r="165">
      <c r="A165" s="1189"/>
      <c r="B165" s="1189"/>
      <c r="C165" s="1189"/>
      <c r="D165" s="1189"/>
      <c r="E165" s="1189"/>
      <c r="F165" s="1189"/>
      <c r="G165" s="1189"/>
      <c r="H165" s="1189"/>
      <c r="I165" s="1189"/>
      <c r="J165" s="1189"/>
      <c r="K165" s="1189"/>
      <c r="L165" s="1189"/>
      <c r="M165" s="1189"/>
      <c r="N165" s="1189"/>
      <c r="O165" s="1189"/>
      <c r="P165" s="1189"/>
      <c r="Q165" s="1189"/>
      <c r="R165" s="1189"/>
      <c r="S165" s="1189"/>
      <c r="T165" s="1189"/>
      <c r="U165" s="1189"/>
      <c r="V165" s="1189"/>
      <c r="W165" s="1189"/>
      <c r="X165" s="1189"/>
      <c r="Y165" s="1189"/>
      <c r="Z165" s="1189"/>
    </row>
    <row r="166">
      <c r="A166" s="1189"/>
      <c r="B166" s="1189"/>
      <c r="C166" s="1189"/>
      <c r="D166" s="1189"/>
      <c r="E166" s="1189"/>
      <c r="F166" s="1189"/>
      <c r="G166" s="1189"/>
      <c r="H166" s="1189"/>
      <c r="I166" s="1189"/>
      <c r="J166" s="1189"/>
      <c r="K166" s="1189"/>
      <c r="L166" s="1189"/>
      <c r="M166" s="1189"/>
      <c r="N166" s="1189"/>
      <c r="O166" s="1189"/>
      <c r="P166" s="1189"/>
      <c r="Q166" s="1189"/>
      <c r="R166" s="1189"/>
      <c r="S166" s="1189"/>
      <c r="T166" s="1189"/>
      <c r="U166" s="1189"/>
      <c r="V166" s="1189"/>
      <c r="W166" s="1189"/>
      <c r="X166" s="1189"/>
      <c r="Y166" s="1189"/>
      <c r="Z166" s="1189"/>
    </row>
    <row r="167">
      <c r="A167" s="1189"/>
      <c r="B167" s="1189"/>
      <c r="C167" s="1189"/>
      <c r="D167" s="1189"/>
      <c r="E167" s="1189"/>
      <c r="F167" s="1189"/>
      <c r="G167" s="1189"/>
      <c r="H167" s="1189"/>
      <c r="I167" s="1189"/>
      <c r="J167" s="1189"/>
      <c r="K167" s="1189"/>
      <c r="L167" s="1189"/>
      <c r="M167" s="1189"/>
      <c r="N167" s="1189"/>
      <c r="O167" s="1189"/>
      <c r="P167" s="1189"/>
      <c r="Q167" s="1189"/>
      <c r="R167" s="1189"/>
      <c r="S167" s="1189"/>
      <c r="T167" s="1189"/>
      <c r="U167" s="1189"/>
      <c r="V167" s="1189"/>
      <c r="W167" s="1189"/>
      <c r="X167" s="1189"/>
      <c r="Y167" s="1189"/>
      <c r="Z167" s="1189"/>
    </row>
    <row r="168">
      <c r="A168" s="1189"/>
      <c r="B168" s="1189"/>
      <c r="C168" s="1189"/>
      <c r="D168" s="1189"/>
      <c r="E168" s="1189"/>
      <c r="F168" s="1189"/>
      <c r="G168" s="1189"/>
      <c r="H168" s="1189"/>
      <c r="I168" s="1189"/>
      <c r="J168" s="1189"/>
      <c r="K168" s="1189"/>
      <c r="L168" s="1189"/>
      <c r="M168" s="1189"/>
      <c r="N168" s="1189"/>
      <c r="O168" s="1189"/>
      <c r="P168" s="1189"/>
      <c r="Q168" s="1189"/>
      <c r="R168" s="1189"/>
      <c r="S168" s="1189"/>
      <c r="T168" s="1189"/>
      <c r="U168" s="1189"/>
      <c r="V168" s="1189"/>
      <c r="W168" s="1189"/>
      <c r="X168" s="1189"/>
      <c r="Y168" s="1189"/>
      <c r="Z168" s="1189"/>
    </row>
    <row r="169">
      <c r="A169" s="1189"/>
      <c r="B169" s="1189"/>
      <c r="C169" s="1189"/>
      <c r="D169" s="1189"/>
      <c r="E169" s="1189"/>
      <c r="F169" s="1189"/>
      <c r="G169" s="1189"/>
      <c r="H169" s="1189"/>
      <c r="I169" s="1189"/>
      <c r="J169" s="1189"/>
      <c r="K169" s="1189"/>
      <c r="L169" s="1189"/>
      <c r="M169" s="1189"/>
      <c r="N169" s="1189"/>
      <c r="O169" s="1189"/>
      <c r="P169" s="1189"/>
      <c r="Q169" s="1189"/>
      <c r="R169" s="1189"/>
      <c r="S169" s="1189"/>
      <c r="T169" s="1189"/>
      <c r="U169" s="1189"/>
      <c r="V169" s="1189"/>
      <c r="W169" s="1189"/>
      <c r="X169" s="1189"/>
      <c r="Y169" s="1189"/>
      <c r="Z169" s="1189"/>
    </row>
    <row r="170">
      <c r="A170" s="1189"/>
      <c r="B170" s="1189"/>
      <c r="C170" s="1189"/>
      <c r="D170" s="1189"/>
      <c r="E170" s="1189"/>
      <c r="F170" s="1189"/>
      <c r="G170" s="1189"/>
      <c r="H170" s="1189"/>
      <c r="I170" s="1189"/>
      <c r="J170" s="1189"/>
      <c r="K170" s="1189"/>
      <c r="L170" s="1189"/>
      <c r="M170" s="1189"/>
      <c r="N170" s="1189"/>
      <c r="O170" s="1189"/>
      <c r="P170" s="1189"/>
      <c r="Q170" s="1189"/>
      <c r="R170" s="1189"/>
      <c r="S170" s="1189"/>
      <c r="T170" s="1189"/>
      <c r="U170" s="1189"/>
      <c r="V170" s="1189"/>
      <c r="W170" s="1189"/>
      <c r="X170" s="1189"/>
      <c r="Y170" s="1189"/>
      <c r="Z170" s="1189"/>
    </row>
    <row r="171">
      <c r="A171" s="1189"/>
      <c r="B171" s="1189"/>
      <c r="C171" s="1189"/>
      <c r="D171" s="1189"/>
      <c r="E171" s="1189"/>
      <c r="F171" s="1189"/>
      <c r="G171" s="1189"/>
      <c r="H171" s="1189"/>
      <c r="I171" s="1189"/>
      <c r="J171" s="1189"/>
      <c r="K171" s="1189"/>
      <c r="L171" s="1189"/>
      <c r="M171" s="1189"/>
      <c r="N171" s="1189"/>
      <c r="O171" s="1189"/>
      <c r="P171" s="1189"/>
      <c r="Q171" s="1189"/>
      <c r="R171" s="1189"/>
      <c r="S171" s="1189"/>
      <c r="T171" s="1189"/>
      <c r="U171" s="1189"/>
      <c r="V171" s="1189"/>
      <c r="W171" s="1189"/>
      <c r="X171" s="1189"/>
      <c r="Y171" s="1189"/>
      <c r="Z171" s="1189"/>
    </row>
    <row r="172">
      <c r="A172" s="1189"/>
      <c r="B172" s="1189"/>
      <c r="C172" s="1189"/>
      <c r="D172" s="1189"/>
      <c r="E172" s="1189"/>
      <c r="F172" s="1189"/>
      <c r="G172" s="1189"/>
      <c r="H172" s="1189"/>
      <c r="I172" s="1189"/>
      <c r="J172" s="1189"/>
      <c r="K172" s="1189"/>
      <c r="L172" s="1189"/>
      <c r="M172" s="1189"/>
      <c r="N172" s="1189"/>
      <c r="O172" s="1189"/>
      <c r="P172" s="1189"/>
      <c r="Q172" s="1189"/>
      <c r="R172" s="1189"/>
      <c r="S172" s="1189"/>
      <c r="T172" s="1189"/>
      <c r="U172" s="1189"/>
      <c r="V172" s="1189"/>
      <c r="W172" s="1189"/>
      <c r="X172" s="1189"/>
      <c r="Y172" s="1189"/>
      <c r="Z172" s="1189"/>
    </row>
    <row r="173">
      <c r="A173" s="1189"/>
      <c r="B173" s="1189"/>
      <c r="C173" s="1189"/>
      <c r="D173" s="1189"/>
      <c r="E173" s="1189"/>
      <c r="F173" s="1189"/>
      <c r="G173" s="1189"/>
      <c r="H173" s="1189"/>
      <c r="I173" s="1189"/>
      <c r="J173" s="1189"/>
      <c r="K173" s="1189"/>
      <c r="L173" s="1189"/>
      <c r="M173" s="1189"/>
      <c r="N173" s="1189"/>
      <c r="O173" s="1189"/>
      <c r="P173" s="1189"/>
      <c r="Q173" s="1189"/>
      <c r="R173" s="1189"/>
      <c r="S173" s="1189"/>
      <c r="T173" s="1189"/>
      <c r="U173" s="1189"/>
      <c r="V173" s="1189"/>
      <c r="W173" s="1189"/>
      <c r="X173" s="1189"/>
      <c r="Y173" s="1189"/>
      <c r="Z173" s="1189"/>
    </row>
    <row r="174">
      <c r="A174" s="1189"/>
      <c r="B174" s="1189"/>
      <c r="C174" s="1189"/>
      <c r="D174" s="1189"/>
      <c r="E174" s="1189"/>
      <c r="F174" s="1189"/>
      <c r="G174" s="1189"/>
      <c r="H174" s="1189"/>
      <c r="I174" s="1189"/>
      <c r="J174" s="1189"/>
      <c r="K174" s="1189"/>
      <c r="L174" s="1189"/>
      <c r="M174" s="1189"/>
      <c r="N174" s="1189"/>
      <c r="O174" s="1189"/>
      <c r="P174" s="1189"/>
      <c r="Q174" s="1189"/>
      <c r="R174" s="1189"/>
      <c r="S174" s="1189"/>
      <c r="T174" s="1189"/>
      <c r="U174" s="1189"/>
      <c r="V174" s="1189"/>
      <c r="W174" s="1189"/>
      <c r="X174" s="1189"/>
      <c r="Y174" s="1189"/>
      <c r="Z174" s="1189"/>
    </row>
    <row r="175">
      <c r="A175" s="1189"/>
      <c r="B175" s="1189"/>
      <c r="C175" s="1189"/>
      <c r="D175" s="1189"/>
      <c r="E175" s="1189"/>
      <c r="F175" s="1189"/>
      <c r="G175" s="1189"/>
      <c r="H175" s="1189"/>
      <c r="I175" s="1189"/>
      <c r="J175" s="1189"/>
      <c r="K175" s="1189"/>
      <c r="L175" s="1189"/>
      <c r="M175" s="1189"/>
      <c r="N175" s="1189"/>
      <c r="O175" s="1189"/>
      <c r="P175" s="1189"/>
      <c r="Q175" s="1189"/>
      <c r="R175" s="1189"/>
      <c r="S175" s="1189"/>
      <c r="T175" s="1189"/>
      <c r="U175" s="1189"/>
      <c r="V175" s="1189"/>
      <c r="W175" s="1189"/>
      <c r="X175" s="1189"/>
      <c r="Y175" s="1189"/>
      <c r="Z175" s="1189"/>
    </row>
    <row r="176">
      <c r="A176" s="1189"/>
      <c r="B176" s="1189"/>
      <c r="C176" s="1189"/>
      <c r="D176" s="1189"/>
      <c r="E176" s="1189"/>
      <c r="F176" s="1189"/>
      <c r="G176" s="1189"/>
      <c r="H176" s="1189"/>
      <c r="I176" s="1189"/>
      <c r="J176" s="1189"/>
      <c r="K176" s="1189"/>
      <c r="L176" s="1189"/>
      <c r="M176" s="1189"/>
      <c r="N176" s="1189"/>
      <c r="O176" s="1189"/>
      <c r="P176" s="1189"/>
      <c r="Q176" s="1189"/>
      <c r="R176" s="1189"/>
      <c r="S176" s="1189"/>
      <c r="T176" s="1189"/>
      <c r="U176" s="1189"/>
      <c r="V176" s="1189"/>
      <c r="W176" s="1189"/>
      <c r="X176" s="1189"/>
      <c r="Y176" s="1189"/>
      <c r="Z176" s="1189"/>
    </row>
    <row r="177">
      <c r="A177" s="1189"/>
      <c r="B177" s="1189"/>
      <c r="C177" s="1189"/>
      <c r="D177" s="1189"/>
      <c r="E177" s="1189"/>
      <c r="F177" s="1189"/>
      <c r="G177" s="1189"/>
      <c r="H177" s="1189"/>
      <c r="I177" s="1189"/>
      <c r="J177" s="1189"/>
      <c r="K177" s="1189"/>
      <c r="L177" s="1189"/>
      <c r="M177" s="1189"/>
      <c r="N177" s="1189"/>
      <c r="O177" s="1189"/>
      <c r="P177" s="1189"/>
      <c r="Q177" s="1189"/>
      <c r="R177" s="1189"/>
      <c r="S177" s="1189"/>
      <c r="T177" s="1189"/>
      <c r="U177" s="1189"/>
      <c r="V177" s="1189"/>
      <c r="W177" s="1189"/>
      <c r="X177" s="1189"/>
      <c r="Y177" s="1189"/>
      <c r="Z177" s="1189"/>
    </row>
    <row r="178">
      <c r="A178" s="1189"/>
      <c r="B178" s="1189"/>
      <c r="C178" s="1189"/>
      <c r="D178" s="1189"/>
      <c r="E178" s="1189"/>
      <c r="F178" s="1189"/>
      <c r="G178" s="1189"/>
      <c r="H178" s="1189"/>
      <c r="I178" s="1189"/>
      <c r="J178" s="1189"/>
      <c r="K178" s="1189"/>
      <c r="L178" s="1189"/>
      <c r="M178" s="1189"/>
      <c r="N178" s="1189"/>
      <c r="O178" s="1189"/>
      <c r="P178" s="1189"/>
      <c r="Q178" s="1189"/>
      <c r="R178" s="1189"/>
      <c r="S178" s="1189"/>
      <c r="T178" s="1189"/>
      <c r="U178" s="1189"/>
      <c r="V178" s="1189"/>
      <c r="W178" s="1189"/>
      <c r="X178" s="1189"/>
      <c r="Y178" s="1189"/>
      <c r="Z178" s="1189"/>
    </row>
    <row r="179">
      <c r="A179" s="1189"/>
      <c r="B179" s="1189"/>
      <c r="C179" s="1189"/>
      <c r="D179" s="1189"/>
      <c r="E179" s="1189"/>
      <c r="F179" s="1189"/>
      <c r="G179" s="1189"/>
      <c r="H179" s="1189"/>
      <c r="I179" s="1189"/>
      <c r="J179" s="1189"/>
      <c r="K179" s="1189"/>
      <c r="L179" s="1189"/>
      <c r="M179" s="1189"/>
      <c r="N179" s="1189"/>
      <c r="O179" s="1189"/>
      <c r="P179" s="1189"/>
      <c r="Q179" s="1189"/>
      <c r="R179" s="1189"/>
      <c r="S179" s="1189"/>
      <c r="T179" s="1189"/>
      <c r="U179" s="1189"/>
      <c r="V179" s="1189"/>
      <c r="W179" s="1189"/>
      <c r="X179" s="1189"/>
      <c r="Y179" s="1189"/>
      <c r="Z179" s="1189"/>
    </row>
    <row r="180">
      <c r="A180" s="1189"/>
      <c r="B180" s="1189"/>
      <c r="C180" s="1189"/>
      <c r="D180" s="1189"/>
      <c r="E180" s="1189"/>
      <c r="F180" s="1189"/>
      <c r="G180" s="1189"/>
      <c r="H180" s="1189"/>
      <c r="I180" s="1189"/>
      <c r="J180" s="1189"/>
      <c r="K180" s="1189"/>
      <c r="L180" s="1189"/>
      <c r="M180" s="1189"/>
      <c r="N180" s="1189"/>
      <c r="O180" s="1189"/>
      <c r="P180" s="1189"/>
      <c r="Q180" s="1189"/>
      <c r="R180" s="1189"/>
      <c r="S180" s="1189"/>
      <c r="T180" s="1189"/>
      <c r="U180" s="1189"/>
      <c r="V180" s="1189"/>
      <c r="W180" s="1189"/>
      <c r="X180" s="1189"/>
      <c r="Y180" s="1189"/>
      <c r="Z180" s="1189"/>
    </row>
    <row r="181">
      <c r="A181" s="1189"/>
      <c r="B181" s="1189"/>
      <c r="C181" s="1189"/>
      <c r="D181" s="1189"/>
      <c r="E181" s="1189"/>
      <c r="F181" s="1189"/>
      <c r="G181" s="1189"/>
      <c r="H181" s="1189"/>
      <c r="I181" s="1189"/>
      <c r="J181" s="1189"/>
      <c r="K181" s="1189"/>
      <c r="L181" s="1189"/>
      <c r="M181" s="1189"/>
      <c r="N181" s="1189"/>
      <c r="O181" s="1189"/>
      <c r="P181" s="1189"/>
      <c r="Q181" s="1189"/>
      <c r="R181" s="1189"/>
      <c r="S181" s="1189"/>
      <c r="T181" s="1189"/>
      <c r="U181" s="1189"/>
      <c r="V181" s="1189"/>
      <c r="W181" s="1189"/>
      <c r="X181" s="1189"/>
      <c r="Y181" s="1189"/>
      <c r="Z181" s="1189"/>
    </row>
    <row r="182">
      <c r="A182" s="1189"/>
      <c r="B182" s="1189"/>
      <c r="C182" s="1189"/>
      <c r="D182" s="1189"/>
      <c r="E182" s="1189"/>
      <c r="F182" s="1189"/>
      <c r="G182" s="1189"/>
      <c r="H182" s="1189"/>
      <c r="I182" s="1189"/>
      <c r="J182" s="1189"/>
      <c r="K182" s="1189"/>
      <c r="L182" s="1189"/>
      <c r="M182" s="1189"/>
      <c r="N182" s="1189"/>
      <c r="O182" s="1189"/>
      <c r="P182" s="1189"/>
      <c r="Q182" s="1189"/>
      <c r="R182" s="1189"/>
      <c r="S182" s="1189"/>
      <c r="T182" s="1189"/>
      <c r="U182" s="1189"/>
      <c r="V182" s="1189"/>
      <c r="W182" s="1189"/>
      <c r="X182" s="1189"/>
      <c r="Y182" s="1189"/>
      <c r="Z182" s="1189"/>
    </row>
    <row r="183">
      <c r="A183" s="1189"/>
      <c r="B183" s="1189"/>
      <c r="C183" s="1189"/>
      <c r="D183" s="1189"/>
      <c r="E183" s="1189"/>
      <c r="F183" s="1189"/>
      <c r="G183" s="1189"/>
      <c r="H183" s="1189"/>
      <c r="I183" s="1189"/>
      <c r="J183" s="1189"/>
      <c r="K183" s="1189"/>
      <c r="L183" s="1189"/>
      <c r="M183" s="1189"/>
      <c r="N183" s="1189"/>
      <c r="O183" s="1189"/>
      <c r="P183" s="1189"/>
      <c r="Q183" s="1189"/>
      <c r="R183" s="1189"/>
      <c r="S183" s="1189"/>
      <c r="T183" s="1189"/>
      <c r="U183" s="1189"/>
      <c r="V183" s="1189"/>
      <c r="W183" s="1189"/>
      <c r="X183" s="1189"/>
      <c r="Y183" s="1189"/>
      <c r="Z183" s="1189"/>
    </row>
    <row r="184">
      <c r="A184" s="1189"/>
      <c r="B184" s="1189"/>
      <c r="C184" s="1189"/>
      <c r="D184" s="1189"/>
      <c r="E184" s="1189"/>
      <c r="F184" s="1189"/>
      <c r="G184" s="1189"/>
      <c r="H184" s="1189"/>
      <c r="I184" s="1189"/>
      <c r="J184" s="1189"/>
      <c r="K184" s="1189"/>
      <c r="L184" s="1189"/>
      <c r="M184" s="1189"/>
      <c r="N184" s="1189"/>
      <c r="O184" s="1189"/>
      <c r="P184" s="1189"/>
      <c r="Q184" s="1189"/>
      <c r="R184" s="1189"/>
      <c r="S184" s="1189"/>
      <c r="T184" s="1189"/>
      <c r="U184" s="1189"/>
      <c r="V184" s="1189"/>
      <c r="W184" s="1189"/>
      <c r="X184" s="1189"/>
      <c r="Y184" s="1189"/>
      <c r="Z184" s="1189"/>
    </row>
    <row r="185">
      <c r="A185" s="1189"/>
      <c r="B185" s="1189"/>
      <c r="C185" s="1189"/>
      <c r="D185" s="1189"/>
      <c r="E185" s="1189"/>
      <c r="F185" s="1189"/>
      <c r="G185" s="1189"/>
      <c r="H185" s="1189"/>
      <c r="I185" s="1189"/>
      <c r="J185" s="1189"/>
      <c r="K185" s="1189"/>
      <c r="L185" s="1189"/>
      <c r="M185" s="1189"/>
      <c r="N185" s="1189"/>
      <c r="O185" s="1189"/>
      <c r="P185" s="1189"/>
      <c r="Q185" s="1189"/>
      <c r="R185" s="1189"/>
      <c r="S185" s="1189"/>
      <c r="T185" s="1189"/>
      <c r="U185" s="1189"/>
      <c r="V185" s="1189"/>
      <c r="W185" s="1189"/>
      <c r="X185" s="1189"/>
      <c r="Y185" s="1189"/>
      <c r="Z185" s="1189"/>
    </row>
    <row r="186">
      <c r="A186" s="1189"/>
      <c r="B186" s="1189"/>
      <c r="C186" s="1189"/>
      <c r="D186" s="1189"/>
      <c r="E186" s="1189"/>
      <c r="F186" s="1189"/>
      <c r="G186" s="1189"/>
      <c r="H186" s="1189"/>
      <c r="I186" s="1189"/>
      <c r="J186" s="1189"/>
      <c r="K186" s="1189"/>
      <c r="L186" s="1189"/>
      <c r="M186" s="1189"/>
      <c r="N186" s="1189"/>
      <c r="O186" s="1189"/>
      <c r="P186" s="1189"/>
      <c r="Q186" s="1189"/>
      <c r="R186" s="1189"/>
      <c r="S186" s="1189"/>
      <c r="T186" s="1189"/>
      <c r="U186" s="1189"/>
      <c r="V186" s="1189"/>
      <c r="W186" s="1189"/>
      <c r="X186" s="1189"/>
      <c r="Y186" s="1189"/>
      <c r="Z186" s="1189"/>
    </row>
    <row r="187">
      <c r="A187" s="1189"/>
      <c r="B187" s="1189"/>
      <c r="C187" s="1189"/>
      <c r="D187" s="1189"/>
      <c r="E187" s="1189"/>
      <c r="F187" s="1189"/>
      <c r="G187" s="1189"/>
      <c r="H187" s="1189"/>
      <c r="I187" s="1189"/>
      <c r="J187" s="1189"/>
      <c r="K187" s="1189"/>
      <c r="L187" s="1189"/>
      <c r="M187" s="1189"/>
      <c r="N187" s="1189"/>
      <c r="O187" s="1189"/>
      <c r="P187" s="1189"/>
      <c r="Q187" s="1189"/>
      <c r="R187" s="1189"/>
      <c r="S187" s="1189"/>
      <c r="T187" s="1189"/>
      <c r="U187" s="1189"/>
      <c r="V187" s="1189"/>
      <c r="W187" s="1189"/>
      <c r="X187" s="1189"/>
      <c r="Y187" s="1189"/>
      <c r="Z187" s="1189"/>
    </row>
    <row r="188">
      <c r="A188" s="1189"/>
      <c r="B188" s="1189"/>
      <c r="C188" s="1189"/>
      <c r="D188" s="1189"/>
      <c r="E188" s="1189"/>
      <c r="F188" s="1189"/>
      <c r="G188" s="1189"/>
      <c r="H188" s="1189"/>
      <c r="I188" s="1189"/>
      <c r="J188" s="1189"/>
      <c r="K188" s="1189"/>
      <c r="L188" s="1189"/>
      <c r="M188" s="1189"/>
      <c r="N188" s="1189"/>
      <c r="O188" s="1189"/>
      <c r="P188" s="1189"/>
      <c r="Q188" s="1189"/>
      <c r="R188" s="1189"/>
      <c r="S188" s="1189"/>
      <c r="T188" s="1189"/>
      <c r="U188" s="1189"/>
      <c r="V188" s="1189"/>
      <c r="W188" s="1189"/>
      <c r="X188" s="1189"/>
      <c r="Y188" s="1189"/>
      <c r="Z188" s="1189"/>
    </row>
    <row r="189">
      <c r="A189" s="1189"/>
      <c r="B189" s="1189"/>
      <c r="C189" s="1189"/>
      <c r="D189" s="1189"/>
      <c r="E189" s="1189"/>
      <c r="F189" s="1189"/>
      <c r="G189" s="1189"/>
      <c r="H189" s="1189"/>
      <c r="I189" s="1189"/>
      <c r="J189" s="1189"/>
      <c r="K189" s="1189"/>
      <c r="L189" s="1189"/>
      <c r="M189" s="1189"/>
      <c r="N189" s="1189"/>
      <c r="O189" s="1189"/>
      <c r="P189" s="1189"/>
      <c r="Q189" s="1189"/>
      <c r="R189" s="1189"/>
      <c r="S189" s="1189"/>
      <c r="T189" s="1189"/>
      <c r="U189" s="1189"/>
      <c r="V189" s="1189"/>
      <c r="W189" s="1189"/>
      <c r="X189" s="1189"/>
      <c r="Y189" s="1189"/>
      <c r="Z189" s="1189"/>
    </row>
    <row r="190">
      <c r="A190" s="1189"/>
      <c r="B190" s="1189"/>
      <c r="C190" s="1189"/>
      <c r="D190" s="1189"/>
      <c r="E190" s="1189"/>
      <c r="F190" s="1189"/>
      <c r="G190" s="1189"/>
      <c r="H190" s="1189"/>
      <c r="I190" s="1189"/>
      <c r="J190" s="1189"/>
      <c r="K190" s="1189"/>
      <c r="L190" s="1189"/>
      <c r="M190" s="1189"/>
      <c r="N190" s="1189"/>
      <c r="O190" s="1189"/>
      <c r="P190" s="1189"/>
      <c r="Q190" s="1189"/>
      <c r="R190" s="1189"/>
      <c r="S190" s="1189"/>
      <c r="T190" s="1189"/>
      <c r="U190" s="1189"/>
      <c r="V190" s="1189"/>
      <c r="W190" s="1189"/>
      <c r="X190" s="1189"/>
      <c r="Y190" s="1189"/>
      <c r="Z190" s="1189"/>
    </row>
    <row r="191">
      <c r="A191" s="1189"/>
      <c r="B191" s="1189"/>
      <c r="C191" s="1189"/>
      <c r="D191" s="1189"/>
      <c r="E191" s="1189"/>
      <c r="F191" s="1189"/>
      <c r="G191" s="1189"/>
      <c r="H191" s="1189"/>
      <c r="I191" s="1189"/>
      <c r="J191" s="1189"/>
      <c r="K191" s="1189"/>
      <c r="L191" s="1189"/>
      <c r="M191" s="1189"/>
      <c r="N191" s="1189"/>
      <c r="O191" s="1189"/>
      <c r="P191" s="1189"/>
      <c r="Q191" s="1189"/>
      <c r="R191" s="1189"/>
      <c r="S191" s="1189"/>
      <c r="T191" s="1189"/>
      <c r="U191" s="1189"/>
      <c r="V191" s="1189"/>
      <c r="W191" s="1189"/>
      <c r="X191" s="1189"/>
      <c r="Y191" s="1189"/>
      <c r="Z191" s="1189"/>
    </row>
    <row r="192">
      <c r="A192" s="1189"/>
      <c r="B192" s="1189"/>
      <c r="C192" s="1189"/>
      <c r="D192" s="1189"/>
      <c r="E192" s="1189"/>
      <c r="F192" s="1189"/>
      <c r="G192" s="1189"/>
      <c r="H192" s="1189"/>
      <c r="I192" s="1189"/>
      <c r="J192" s="1189"/>
      <c r="K192" s="1189"/>
      <c r="L192" s="1189"/>
      <c r="M192" s="1189"/>
      <c r="N192" s="1189"/>
      <c r="O192" s="1189"/>
      <c r="P192" s="1189"/>
      <c r="Q192" s="1189"/>
      <c r="R192" s="1189"/>
      <c r="S192" s="1189"/>
      <c r="T192" s="1189"/>
      <c r="U192" s="1189"/>
      <c r="V192" s="1189"/>
      <c r="W192" s="1189"/>
      <c r="X192" s="1189"/>
      <c r="Y192" s="1189"/>
      <c r="Z192" s="1189"/>
    </row>
    <row r="193">
      <c r="A193" s="1189"/>
      <c r="B193" s="1189"/>
      <c r="C193" s="1189"/>
      <c r="D193" s="1189"/>
      <c r="E193" s="1189"/>
      <c r="F193" s="1189"/>
      <c r="G193" s="1189"/>
      <c r="H193" s="1189"/>
      <c r="I193" s="1189"/>
      <c r="J193" s="1189"/>
      <c r="K193" s="1189"/>
      <c r="L193" s="1189"/>
      <c r="M193" s="1189"/>
      <c r="N193" s="1189"/>
      <c r="O193" s="1189"/>
      <c r="P193" s="1189"/>
      <c r="Q193" s="1189"/>
      <c r="R193" s="1189"/>
      <c r="S193" s="1189"/>
      <c r="T193" s="1189"/>
      <c r="U193" s="1189"/>
      <c r="V193" s="1189"/>
      <c r="W193" s="1189"/>
      <c r="X193" s="1189"/>
      <c r="Y193" s="1189"/>
      <c r="Z193" s="1189"/>
    </row>
    <row r="194">
      <c r="A194" s="1189"/>
      <c r="B194" s="1189"/>
      <c r="C194" s="1189"/>
      <c r="D194" s="1189"/>
      <c r="E194" s="1189"/>
      <c r="F194" s="1189"/>
      <c r="G194" s="1189"/>
      <c r="H194" s="1189"/>
      <c r="I194" s="1189"/>
      <c r="J194" s="1189"/>
      <c r="K194" s="1189"/>
      <c r="L194" s="1189"/>
      <c r="M194" s="1189"/>
      <c r="N194" s="1189"/>
      <c r="O194" s="1189"/>
      <c r="P194" s="1189"/>
      <c r="Q194" s="1189"/>
      <c r="R194" s="1189"/>
      <c r="S194" s="1189"/>
      <c r="T194" s="1189"/>
      <c r="U194" s="1189"/>
      <c r="V194" s="1189"/>
      <c r="W194" s="1189"/>
      <c r="X194" s="1189"/>
      <c r="Y194" s="1189"/>
      <c r="Z194" s="1189"/>
    </row>
    <row r="195">
      <c r="A195" s="1189"/>
      <c r="B195" s="1189"/>
      <c r="C195" s="1189"/>
      <c r="D195" s="1189"/>
      <c r="E195" s="1189"/>
      <c r="F195" s="1189"/>
      <c r="G195" s="1189"/>
      <c r="H195" s="1189"/>
      <c r="I195" s="1189"/>
      <c r="J195" s="1189"/>
      <c r="K195" s="1189"/>
      <c r="L195" s="1189"/>
      <c r="M195" s="1189"/>
      <c r="N195" s="1189"/>
      <c r="O195" s="1189"/>
      <c r="P195" s="1189"/>
      <c r="Q195" s="1189"/>
      <c r="R195" s="1189"/>
      <c r="S195" s="1189"/>
      <c r="T195" s="1189"/>
      <c r="U195" s="1189"/>
      <c r="V195" s="1189"/>
      <c r="W195" s="1189"/>
      <c r="X195" s="1189"/>
      <c r="Y195" s="1189"/>
      <c r="Z195" s="1189"/>
    </row>
    <row r="196">
      <c r="A196" s="1189"/>
      <c r="B196" s="1189"/>
      <c r="C196" s="1189"/>
      <c r="D196" s="1189"/>
      <c r="E196" s="1189"/>
      <c r="F196" s="1189"/>
      <c r="G196" s="1189"/>
      <c r="H196" s="1189"/>
      <c r="I196" s="1189"/>
      <c r="J196" s="1189"/>
      <c r="K196" s="1189"/>
      <c r="L196" s="1189"/>
      <c r="M196" s="1189"/>
      <c r="N196" s="1189"/>
      <c r="O196" s="1189"/>
      <c r="P196" s="1189"/>
      <c r="Q196" s="1189"/>
      <c r="R196" s="1189"/>
      <c r="S196" s="1189"/>
      <c r="T196" s="1189"/>
      <c r="U196" s="1189"/>
      <c r="V196" s="1189"/>
      <c r="W196" s="1189"/>
      <c r="X196" s="1189"/>
      <c r="Y196" s="1189"/>
      <c r="Z196" s="1189"/>
    </row>
    <row r="197">
      <c r="A197" s="1189"/>
      <c r="B197" s="1189"/>
      <c r="C197" s="1189"/>
      <c r="D197" s="1189"/>
      <c r="E197" s="1189"/>
      <c r="F197" s="1189"/>
      <c r="G197" s="1189"/>
      <c r="H197" s="1189"/>
      <c r="I197" s="1189"/>
      <c r="J197" s="1189"/>
      <c r="K197" s="1189"/>
      <c r="L197" s="1189"/>
      <c r="M197" s="1189"/>
      <c r="N197" s="1189"/>
      <c r="O197" s="1189"/>
      <c r="P197" s="1189"/>
      <c r="Q197" s="1189"/>
      <c r="R197" s="1189"/>
      <c r="S197" s="1189"/>
      <c r="T197" s="1189"/>
      <c r="U197" s="1189"/>
      <c r="V197" s="1189"/>
      <c r="W197" s="1189"/>
      <c r="X197" s="1189"/>
      <c r="Y197" s="1189"/>
      <c r="Z197" s="1189"/>
    </row>
    <row r="198">
      <c r="A198" s="1189"/>
      <c r="B198" s="1189"/>
      <c r="C198" s="1189"/>
      <c r="D198" s="1189"/>
      <c r="E198" s="1189"/>
      <c r="F198" s="1189"/>
      <c r="G198" s="1189"/>
      <c r="H198" s="1189"/>
      <c r="I198" s="1189"/>
      <c r="J198" s="1189"/>
      <c r="K198" s="1189"/>
      <c r="L198" s="1189"/>
      <c r="M198" s="1189"/>
      <c r="N198" s="1189"/>
      <c r="O198" s="1189"/>
      <c r="P198" s="1189"/>
      <c r="Q198" s="1189"/>
      <c r="R198" s="1189"/>
      <c r="S198" s="1189"/>
      <c r="T198" s="1189"/>
      <c r="U198" s="1189"/>
      <c r="V198" s="1189"/>
      <c r="W198" s="1189"/>
      <c r="X198" s="1189"/>
      <c r="Y198" s="1189"/>
      <c r="Z198" s="1189"/>
    </row>
    <row r="199">
      <c r="A199" s="1189"/>
      <c r="B199" s="1189"/>
      <c r="C199" s="1189"/>
      <c r="D199" s="1189"/>
      <c r="E199" s="1189"/>
      <c r="F199" s="1189"/>
      <c r="G199" s="1189"/>
      <c r="H199" s="1189"/>
      <c r="I199" s="1189"/>
      <c r="J199" s="1189"/>
      <c r="K199" s="1189"/>
      <c r="L199" s="1189"/>
      <c r="M199" s="1189"/>
      <c r="N199" s="1189"/>
      <c r="O199" s="1189"/>
      <c r="P199" s="1189"/>
      <c r="Q199" s="1189"/>
      <c r="R199" s="1189"/>
      <c r="S199" s="1189"/>
      <c r="T199" s="1189"/>
      <c r="U199" s="1189"/>
      <c r="V199" s="1189"/>
      <c r="W199" s="1189"/>
      <c r="X199" s="1189"/>
      <c r="Y199" s="1189"/>
      <c r="Z199" s="1189"/>
    </row>
    <row r="200">
      <c r="A200" s="1189"/>
      <c r="B200" s="1189"/>
      <c r="C200" s="1189"/>
      <c r="D200" s="1189"/>
      <c r="E200" s="1189"/>
      <c r="F200" s="1189"/>
      <c r="G200" s="1189"/>
      <c r="H200" s="1189"/>
      <c r="I200" s="1189"/>
      <c r="J200" s="1189"/>
      <c r="K200" s="1189"/>
      <c r="L200" s="1189"/>
      <c r="M200" s="1189"/>
      <c r="N200" s="1189"/>
      <c r="O200" s="1189"/>
      <c r="P200" s="1189"/>
      <c r="Q200" s="1189"/>
      <c r="R200" s="1189"/>
      <c r="S200" s="1189"/>
      <c r="T200" s="1189"/>
      <c r="U200" s="1189"/>
      <c r="V200" s="1189"/>
      <c r="W200" s="1189"/>
      <c r="X200" s="1189"/>
      <c r="Y200" s="1189"/>
      <c r="Z200" s="1189"/>
    </row>
    <row r="201">
      <c r="A201" s="1189"/>
      <c r="B201" s="1189"/>
      <c r="C201" s="1189"/>
      <c r="D201" s="1189"/>
      <c r="E201" s="1189"/>
      <c r="F201" s="1189"/>
      <c r="G201" s="1189"/>
      <c r="H201" s="1189"/>
      <c r="I201" s="1189"/>
      <c r="J201" s="1189"/>
      <c r="K201" s="1189"/>
      <c r="L201" s="1189"/>
      <c r="M201" s="1189"/>
      <c r="N201" s="1189"/>
      <c r="O201" s="1189"/>
      <c r="P201" s="1189"/>
      <c r="Q201" s="1189"/>
      <c r="R201" s="1189"/>
      <c r="S201" s="1189"/>
      <c r="T201" s="1189"/>
      <c r="U201" s="1189"/>
      <c r="V201" s="1189"/>
      <c r="W201" s="1189"/>
      <c r="X201" s="1189"/>
      <c r="Y201" s="1189"/>
      <c r="Z201" s="1189"/>
    </row>
    <row r="202">
      <c r="A202" s="1189"/>
      <c r="B202" s="1189"/>
      <c r="C202" s="1189"/>
      <c r="D202" s="1189"/>
      <c r="E202" s="1189"/>
      <c r="F202" s="1189"/>
      <c r="G202" s="1189"/>
      <c r="H202" s="1189"/>
      <c r="I202" s="1189"/>
      <c r="J202" s="1189"/>
      <c r="K202" s="1189"/>
      <c r="L202" s="1189"/>
      <c r="M202" s="1189"/>
      <c r="N202" s="1189"/>
      <c r="O202" s="1189"/>
      <c r="P202" s="1189"/>
      <c r="Q202" s="1189"/>
      <c r="R202" s="1189"/>
      <c r="S202" s="1189"/>
      <c r="T202" s="1189"/>
      <c r="U202" s="1189"/>
      <c r="V202" s="1189"/>
      <c r="W202" s="1189"/>
      <c r="X202" s="1189"/>
      <c r="Y202" s="1189"/>
      <c r="Z202" s="1189"/>
    </row>
    <row r="203">
      <c r="A203" s="1189"/>
      <c r="B203" s="1189"/>
      <c r="C203" s="1189"/>
      <c r="D203" s="1189"/>
      <c r="E203" s="1189"/>
      <c r="F203" s="1189"/>
      <c r="G203" s="1189"/>
      <c r="H203" s="1189"/>
      <c r="I203" s="1189"/>
      <c r="J203" s="1189"/>
      <c r="K203" s="1189"/>
      <c r="L203" s="1189"/>
      <c r="M203" s="1189"/>
      <c r="N203" s="1189"/>
      <c r="O203" s="1189"/>
      <c r="P203" s="1189"/>
      <c r="Q203" s="1189"/>
      <c r="R203" s="1189"/>
      <c r="S203" s="1189"/>
      <c r="T203" s="1189"/>
      <c r="U203" s="1189"/>
      <c r="V203" s="1189"/>
      <c r="W203" s="1189"/>
      <c r="X203" s="1189"/>
      <c r="Y203" s="1189"/>
      <c r="Z203" s="1189"/>
    </row>
    <row r="204">
      <c r="A204" s="1189"/>
      <c r="B204" s="1189"/>
      <c r="C204" s="1189"/>
      <c r="D204" s="1189"/>
      <c r="E204" s="1189"/>
      <c r="F204" s="1189"/>
      <c r="G204" s="1189"/>
      <c r="H204" s="1189"/>
      <c r="I204" s="1189"/>
      <c r="J204" s="1189"/>
      <c r="K204" s="1189"/>
      <c r="L204" s="1189"/>
      <c r="M204" s="1189"/>
      <c r="N204" s="1189"/>
      <c r="O204" s="1189"/>
      <c r="P204" s="1189"/>
      <c r="Q204" s="1189"/>
      <c r="R204" s="1189"/>
      <c r="S204" s="1189"/>
      <c r="T204" s="1189"/>
      <c r="U204" s="1189"/>
      <c r="V204" s="1189"/>
      <c r="W204" s="1189"/>
      <c r="X204" s="1189"/>
      <c r="Y204" s="1189"/>
      <c r="Z204" s="1189"/>
    </row>
    <row r="205">
      <c r="A205" s="1189"/>
      <c r="B205" s="1189"/>
      <c r="C205" s="1189"/>
      <c r="D205" s="1189"/>
      <c r="E205" s="1189"/>
      <c r="F205" s="1189"/>
      <c r="G205" s="1189"/>
      <c r="H205" s="1189"/>
      <c r="I205" s="1189"/>
      <c r="J205" s="1189"/>
      <c r="K205" s="1189"/>
      <c r="L205" s="1189"/>
      <c r="M205" s="1189"/>
      <c r="N205" s="1189"/>
      <c r="O205" s="1189"/>
      <c r="P205" s="1189"/>
      <c r="Q205" s="1189"/>
      <c r="R205" s="1189"/>
      <c r="S205" s="1189"/>
      <c r="T205" s="1189"/>
      <c r="U205" s="1189"/>
      <c r="V205" s="1189"/>
      <c r="W205" s="1189"/>
      <c r="X205" s="1189"/>
      <c r="Y205" s="1189"/>
      <c r="Z205" s="1189"/>
    </row>
    <row r="206">
      <c r="A206" s="1189"/>
      <c r="B206" s="1189"/>
      <c r="C206" s="1189"/>
      <c r="D206" s="1189"/>
      <c r="E206" s="1189"/>
      <c r="F206" s="1189"/>
      <c r="G206" s="1189"/>
      <c r="H206" s="1189"/>
      <c r="I206" s="1189"/>
      <c r="J206" s="1189"/>
      <c r="K206" s="1189"/>
      <c r="L206" s="1189"/>
      <c r="M206" s="1189"/>
      <c r="N206" s="1189"/>
      <c r="O206" s="1189"/>
      <c r="P206" s="1189"/>
      <c r="Q206" s="1189"/>
      <c r="R206" s="1189"/>
      <c r="S206" s="1189"/>
      <c r="T206" s="1189"/>
      <c r="U206" s="1189"/>
      <c r="V206" s="1189"/>
      <c r="W206" s="1189"/>
      <c r="X206" s="1189"/>
      <c r="Y206" s="1189"/>
      <c r="Z206" s="1189"/>
    </row>
    <row r="207">
      <c r="A207" s="1189"/>
      <c r="B207" s="1189"/>
      <c r="C207" s="1189"/>
      <c r="D207" s="1189"/>
      <c r="E207" s="1189"/>
      <c r="F207" s="1189"/>
      <c r="G207" s="1189"/>
      <c r="H207" s="1189"/>
      <c r="I207" s="1189"/>
      <c r="J207" s="1189"/>
      <c r="K207" s="1189"/>
      <c r="L207" s="1189"/>
      <c r="M207" s="1189"/>
      <c r="N207" s="1189"/>
      <c r="O207" s="1189"/>
      <c r="P207" s="1189"/>
      <c r="Q207" s="1189"/>
      <c r="R207" s="1189"/>
      <c r="S207" s="1189"/>
      <c r="T207" s="1189"/>
      <c r="U207" s="1189"/>
      <c r="V207" s="1189"/>
      <c r="W207" s="1189"/>
      <c r="X207" s="1189"/>
      <c r="Y207" s="1189"/>
      <c r="Z207" s="1189"/>
    </row>
    <row r="208">
      <c r="A208" s="1189"/>
      <c r="B208" s="1189"/>
      <c r="C208" s="1189"/>
      <c r="D208" s="1189"/>
      <c r="E208" s="1189"/>
      <c r="F208" s="1189"/>
      <c r="G208" s="1189"/>
      <c r="H208" s="1189"/>
      <c r="I208" s="1189"/>
      <c r="J208" s="1189"/>
      <c r="K208" s="1189"/>
      <c r="L208" s="1189"/>
      <c r="M208" s="1189"/>
      <c r="N208" s="1189"/>
      <c r="O208" s="1189"/>
      <c r="P208" s="1189"/>
      <c r="Q208" s="1189"/>
      <c r="R208" s="1189"/>
      <c r="S208" s="1189"/>
      <c r="T208" s="1189"/>
      <c r="U208" s="1189"/>
      <c r="V208" s="1189"/>
      <c r="W208" s="1189"/>
      <c r="X208" s="1189"/>
      <c r="Y208" s="1189"/>
      <c r="Z208" s="1189"/>
    </row>
    <row r="209">
      <c r="A209" s="1189"/>
      <c r="B209" s="1189"/>
      <c r="C209" s="1189"/>
      <c r="D209" s="1189"/>
      <c r="E209" s="1189"/>
      <c r="F209" s="1189"/>
      <c r="G209" s="1189"/>
      <c r="H209" s="1189"/>
      <c r="I209" s="1189"/>
      <c r="J209" s="1189"/>
      <c r="K209" s="1189"/>
      <c r="L209" s="1189"/>
      <c r="M209" s="1189"/>
      <c r="N209" s="1189"/>
      <c r="O209" s="1189"/>
      <c r="P209" s="1189"/>
      <c r="Q209" s="1189"/>
      <c r="R209" s="1189"/>
      <c r="S209" s="1189"/>
      <c r="T209" s="1189"/>
      <c r="U209" s="1189"/>
      <c r="V209" s="1189"/>
      <c r="W209" s="1189"/>
      <c r="X209" s="1189"/>
      <c r="Y209" s="1189"/>
      <c r="Z209" s="1189"/>
    </row>
    <row r="210">
      <c r="A210" s="1189"/>
      <c r="B210" s="1189"/>
      <c r="C210" s="1189"/>
      <c r="D210" s="1189"/>
      <c r="E210" s="1189"/>
      <c r="F210" s="1189"/>
      <c r="G210" s="1189"/>
      <c r="H210" s="1189"/>
      <c r="I210" s="1189"/>
      <c r="J210" s="1189"/>
      <c r="K210" s="1189"/>
      <c r="L210" s="1189"/>
      <c r="M210" s="1189"/>
      <c r="N210" s="1189"/>
      <c r="O210" s="1189"/>
      <c r="P210" s="1189"/>
      <c r="Q210" s="1189"/>
      <c r="R210" s="1189"/>
      <c r="S210" s="1189"/>
      <c r="T210" s="1189"/>
      <c r="U210" s="1189"/>
      <c r="V210" s="1189"/>
      <c r="W210" s="1189"/>
      <c r="X210" s="1189"/>
      <c r="Y210" s="1189"/>
      <c r="Z210" s="1189"/>
    </row>
    <row r="211">
      <c r="A211" s="1189"/>
      <c r="B211" s="1189"/>
      <c r="C211" s="1189"/>
      <c r="D211" s="1189"/>
      <c r="E211" s="1189"/>
      <c r="F211" s="1189"/>
      <c r="G211" s="1189"/>
      <c r="H211" s="1189"/>
      <c r="I211" s="1189"/>
      <c r="J211" s="1189"/>
      <c r="K211" s="1189"/>
      <c r="L211" s="1189"/>
      <c r="M211" s="1189"/>
      <c r="N211" s="1189"/>
      <c r="O211" s="1189"/>
      <c r="P211" s="1189"/>
      <c r="Q211" s="1189"/>
      <c r="R211" s="1189"/>
      <c r="S211" s="1189"/>
      <c r="T211" s="1189"/>
      <c r="U211" s="1189"/>
      <c r="V211" s="1189"/>
      <c r="W211" s="1189"/>
      <c r="X211" s="1189"/>
      <c r="Y211" s="1189"/>
      <c r="Z211" s="1189"/>
    </row>
    <row r="212">
      <c r="A212" s="1189"/>
      <c r="B212" s="1189"/>
      <c r="C212" s="1189"/>
      <c r="D212" s="1189"/>
      <c r="E212" s="1189"/>
      <c r="F212" s="1189"/>
      <c r="G212" s="1189"/>
      <c r="H212" s="1189"/>
      <c r="I212" s="1189"/>
      <c r="J212" s="1189"/>
      <c r="K212" s="1189"/>
      <c r="L212" s="1189"/>
      <c r="M212" s="1189"/>
      <c r="N212" s="1189"/>
      <c r="O212" s="1189"/>
      <c r="P212" s="1189"/>
      <c r="Q212" s="1189"/>
      <c r="R212" s="1189"/>
      <c r="S212" s="1189"/>
      <c r="T212" s="1189"/>
      <c r="U212" s="1189"/>
      <c r="V212" s="1189"/>
      <c r="W212" s="1189"/>
      <c r="X212" s="1189"/>
      <c r="Y212" s="1189"/>
      <c r="Z212" s="1189"/>
    </row>
    <row r="213">
      <c r="A213" s="1189"/>
      <c r="B213" s="1189"/>
      <c r="C213" s="1189"/>
      <c r="D213" s="1189"/>
      <c r="E213" s="1189"/>
      <c r="F213" s="1189"/>
      <c r="G213" s="1189"/>
      <c r="H213" s="1189"/>
      <c r="I213" s="1189"/>
      <c r="J213" s="1189"/>
      <c r="K213" s="1189"/>
      <c r="L213" s="1189"/>
      <c r="M213" s="1189"/>
      <c r="N213" s="1189"/>
      <c r="O213" s="1189"/>
      <c r="P213" s="1189"/>
      <c r="Q213" s="1189"/>
      <c r="R213" s="1189"/>
      <c r="S213" s="1189"/>
      <c r="T213" s="1189"/>
      <c r="U213" s="1189"/>
      <c r="V213" s="1189"/>
      <c r="W213" s="1189"/>
      <c r="X213" s="1189"/>
      <c r="Y213" s="1189"/>
      <c r="Z213" s="1189"/>
    </row>
    <row r="214">
      <c r="A214" s="1189"/>
      <c r="B214" s="1189"/>
      <c r="C214" s="1189"/>
      <c r="D214" s="1189"/>
      <c r="E214" s="1189"/>
      <c r="F214" s="1189"/>
      <c r="G214" s="1189"/>
      <c r="H214" s="1189"/>
      <c r="I214" s="1189"/>
      <c r="J214" s="1189"/>
      <c r="K214" s="1189"/>
      <c r="L214" s="1189"/>
      <c r="M214" s="1189"/>
      <c r="N214" s="1189"/>
      <c r="O214" s="1189"/>
      <c r="P214" s="1189"/>
      <c r="Q214" s="1189"/>
      <c r="R214" s="1189"/>
      <c r="S214" s="1189"/>
      <c r="T214" s="1189"/>
      <c r="U214" s="1189"/>
      <c r="V214" s="1189"/>
      <c r="W214" s="1189"/>
      <c r="X214" s="1189"/>
      <c r="Y214" s="1189"/>
      <c r="Z214" s="1189"/>
    </row>
    <row r="215">
      <c r="A215" s="1189"/>
      <c r="B215" s="1189"/>
      <c r="C215" s="1189"/>
      <c r="D215" s="1189"/>
      <c r="E215" s="1189"/>
      <c r="F215" s="1189"/>
      <c r="G215" s="1189"/>
      <c r="H215" s="1189"/>
      <c r="I215" s="1189"/>
      <c r="J215" s="1189"/>
      <c r="K215" s="1189"/>
      <c r="L215" s="1189"/>
      <c r="M215" s="1189"/>
      <c r="N215" s="1189"/>
      <c r="O215" s="1189"/>
      <c r="P215" s="1189"/>
      <c r="Q215" s="1189"/>
      <c r="R215" s="1189"/>
      <c r="S215" s="1189"/>
      <c r="T215" s="1189"/>
      <c r="U215" s="1189"/>
      <c r="V215" s="1189"/>
      <c r="W215" s="1189"/>
      <c r="X215" s="1189"/>
      <c r="Y215" s="1189"/>
      <c r="Z215" s="1189"/>
    </row>
    <row r="216">
      <c r="A216" s="1189"/>
      <c r="B216" s="1189"/>
      <c r="C216" s="1189"/>
      <c r="D216" s="1189"/>
      <c r="E216" s="1189"/>
      <c r="F216" s="1189"/>
      <c r="G216" s="1189"/>
      <c r="H216" s="1189"/>
      <c r="I216" s="1189"/>
      <c r="J216" s="1189"/>
      <c r="K216" s="1189"/>
      <c r="L216" s="1189"/>
      <c r="M216" s="1189"/>
      <c r="N216" s="1189"/>
      <c r="O216" s="1189"/>
      <c r="P216" s="1189"/>
      <c r="Q216" s="1189"/>
      <c r="R216" s="1189"/>
      <c r="S216" s="1189"/>
      <c r="T216" s="1189"/>
      <c r="U216" s="1189"/>
      <c r="V216" s="1189"/>
      <c r="W216" s="1189"/>
      <c r="X216" s="1189"/>
      <c r="Y216" s="1189"/>
      <c r="Z216" s="1189"/>
    </row>
    <row r="217">
      <c r="A217" s="1189"/>
      <c r="B217" s="1189"/>
      <c r="C217" s="1189"/>
      <c r="D217" s="1189"/>
      <c r="E217" s="1189"/>
      <c r="F217" s="1189"/>
      <c r="G217" s="1189"/>
      <c r="H217" s="1189"/>
      <c r="I217" s="1189"/>
      <c r="J217" s="1189"/>
      <c r="K217" s="1189"/>
      <c r="L217" s="1189"/>
      <c r="M217" s="1189"/>
      <c r="N217" s="1189"/>
      <c r="O217" s="1189"/>
      <c r="P217" s="1189"/>
      <c r="Q217" s="1189"/>
      <c r="R217" s="1189"/>
      <c r="S217" s="1189"/>
      <c r="T217" s="1189"/>
      <c r="U217" s="1189"/>
      <c r="V217" s="1189"/>
      <c r="W217" s="1189"/>
      <c r="X217" s="1189"/>
      <c r="Y217" s="1189"/>
      <c r="Z217" s="1189"/>
    </row>
    <row r="218">
      <c r="A218" s="1189"/>
      <c r="B218" s="1189"/>
      <c r="C218" s="1189"/>
      <c r="D218" s="1189"/>
      <c r="E218" s="1189"/>
      <c r="F218" s="1189"/>
      <c r="G218" s="1189"/>
      <c r="H218" s="1189"/>
      <c r="I218" s="1189"/>
      <c r="J218" s="1189"/>
      <c r="K218" s="1189"/>
      <c r="L218" s="1189"/>
      <c r="M218" s="1189"/>
      <c r="N218" s="1189"/>
      <c r="O218" s="1189"/>
      <c r="P218" s="1189"/>
      <c r="Q218" s="1189"/>
      <c r="R218" s="1189"/>
      <c r="S218" s="1189"/>
      <c r="T218" s="1189"/>
      <c r="U218" s="1189"/>
      <c r="V218" s="1189"/>
      <c r="W218" s="1189"/>
      <c r="X218" s="1189"/>
      <c r="Y218" s="1189"/>
      <c r="Z218" s="1189"/>
    </row>
    <row r="219">
      <c r="A219" s="1189"/>
      <c r="B219" s="1189"/>
      <c r="C219" s="1189"/>
      <c r="D219" s="1189"/>
      <c r="E219" s="1189"/>
      <c r="F219" s="1189"/>
      <c r="G219" s="1189"/>
      <c r="H219" s="1189"/>
      <c r="I219" s="1189"/>
      <c r="J219" s="1189"/>
      <c r="K219" s="1189"/>
      <c r="L219" s="1189"/>
      <c r="M219" s="1189"/>
      <c r="N219" s="1189"/>
      <c r="O219" s="1189"/>
      <c r="P219" s="1189"/>
      <c r="Q219" s="1189"/>
      <c r="R219" s="1189"/>
      <c r="S219" s="1189"/>
      <c r="T219" s="1189"/>
      <c r="U219" s="1189"/>
      <c r="V219" s="1189"/>
      <c r="W219" s="1189"/>
      <c r="X219" s="1189"/>
      <c r="Y219" s="1189"/>
      <c r="Z219" s="1189"/>
    </row>
    <row r="220">
      <c r="A220" s="1189"/>
      <c r="B220" s="1189"/>
      <c r="C220" s="1189"/>
      <c r="D220" s="1189"/>
      <c r="E220" s="1189"/>
      <c r="F220" s="1189"/>
      <c r="G220" s="1189"/>
      <c r="H220" s="1189"/>
      <c r="I220" s="1189"/>
      <c r="J220" s="1189"/>
      <c r="K220" s="1189"/>
      <c r="L220" s="1189"/>
      <c r="M220" s="1189"/>
      <c r="N220" s="1189"/>
      <c r="O220" s="1189"/>
      <c r="P220" s="1189"/>
      <c r="Q220" s="1189"/>
      <c r="R220" s="1189"/>
      <c r="S220" s="1189"/>
      <c r="T220" s="1189"/>
      <c r="U220" s="1189"/>
      <c r="V220" s="1189"/>
      <c r="W220" s="1189"/>
      <c r="X220" s="1189"/>
      <c r="Y220" s="1189"/>
      <c r="Z220" s="1189"/>
    </row>
    <row r="221">
      <c r="A221" s="1189"/>
      <c r="B221" s="1189"/>
      <c r="C221" s="1189"/>
      <c r="D221" s="1189"/>
      <c r="E221" s="1189"/>
      <c r="F221" s="1189"/>
      <c r="G221" s="1189"/>
      <c r="H221" s="1189"/>
      <c r="I221" s="1189"/>
      <c r="J221" s="1189"/>
      <c r="K221" s="1189"/>
      <c r="L221" s="1189"/>
      <c r="M221" s="1189"/>
      <c r="N221" s="1189"/>
      <c r="O221" s="1189"/>
      <c r="P221" s="1189"/>
      <c r="Q221" s="1189"/>
      <c r="R221" s="1189"/>
      <c r="S221" s="1189"/>
      <c r="T221" s="1189"/>
      <c r="U221" s="1189"/>
      <c r="V221" s="1189"/>
      <c r="W221" s="1189"/>
      <c r="X221" s="1189"/>
      <c r="Y221" s="1189"/>
      <c r="Z221" s="1189"/>
    </row>
    <row r="222">
      <c r="A222" s="1189"/>
      <c r="B222" s="1189"/>
      <c r="C222" s="1189"/>
      <c r="D222" s="1189"/>
      <c r="E222" s="1189"/>
      <c r="F222" s="1189"/>
      <c r="G222" s="1189"/>
      <c r="H222" s="1189"/>
      <c r="I222" s="1189"/>
      <c r="J222" s="1189"/>
      <c r="K222" s="1189"/>
      <c r="L222" s="1189"/>
      <c r="M222" s="1189"/>
      <c r="N222" s="1189"/>
      <c r="O222" s="1189"/>
      <c r="P222" s="1189"/>
      <c r="Q222" s="1189"/>
      <c r="R222" s="1189"/>
      <c r="S222" s="1189"/>
      <c r="T222" s="1189"/>
      <c r="U222" s="1189"/>
      <c r="V222" s="1189"/>
      <c r="W222" s="1189"/>
      <c r="X222" s="1189"/>
      <c r="Y222" s="1189"/>
      <c r="Z222" s="1189"/>
    </row>
    <row r="223">
      <c r="A223" s="1189"/>
      <c r="B223" s="1189"/>
      <c r="C223" s="1189"/>
      <c r="D223" s="1189"/>
      <c r="E223" s="1189"/>
      <c r="F223" s="1189"/>
      <c r="G223" s="1189"/>
      <c r="H223" s="1189"/>
      <c r="I223" s="1189"/>
      <c r="J223" s="1189"/>
      <c r="K223" s="1189"/>
      <c r="L223" s="1189"/>
      <c r="M223" s="1189"/>
      <c r="N223" s="1189"/>
      <c r="O223" s="1189"/>
      <c r="P223" s="1189"/>
      <c r="Q223" s="1189"/>
      <c r="R223" s="1189"/>
      <c r="S223" s="1189"/>
      <c r="T223" s="1189"/>
      <c r="U223" s="1189"/>
      <c r="V223" s="1189"/>
      <c r="W223" s="1189"/>
      <c r="X223" s="1189"/>
      <c r="Y223" s="1189"/>
      <c r="Z223" s="1189"/>
    </row>
    <row r="224">
      <c r="A224" s="1189"/>
      <c r="B224" s="1189"/>
      <c r="C224" s="1189"/>
      <c r="D224" s="1189"/>
      <c r="E224" s="1189"/>
      <c r="F224" s="1189"/>
      <c r="G224" s="1189"/>
      <c r="H224" s="1189"/>
      <c r="I224" s="1189"/>
      <c r="J224" s="1189"/>
      <c r="K224" s="1189"/>
      <c r="L224" s="1189"/>
      <c r="M224" s="1189"/>
      <c r="N224" s="1189"/>
      <c r="O224" s="1189"/>
      <c r="P224" s="1189"/>
      <c r="Q224" s="1189"/>
      <c r="R224" s="1189"/>
      <c r="S224" s="1189"/>
      <c r="T224" s="1189"/>
      <c r="U224" s="1189"/>
      <c r="V224" s="1189"/>
      <c r="W224" s="1189"/>
      <c r="X224" s="1189"/>
      <c r="Y224" s="1189"/>
      <c r="Z224" s="1189"/>
    </row>
    <row r="225">
      <c r="A225" s="1189"/>
      <c r="B225" s="1189"/>
      <c r="C225" s="1189"/>
      <c r="D225" s="1189"/>
      <c r="E225" s="1189"/>
      <c r="F225" s="1189"/>
      <c r="G225" s="1189"/>
      <c r="H225" s="1189"/>
      <c r="I225" s="1189"/>
      <c r="J225" s="1189"/>
      <c r="K225" s="1189"/>
      <c r="L225" s="1189"/>
      <c r="M225" s="1189"/>
      <c r="N225" s="1189"/>
      <c r="O225" s="1189"/>
      <c r="P225" s="1189"/>
      <c r="Q225" s="1189"/>
      <c r="R225" s="1189"/>
      <c r="S225" s="1189"/>
      <c r="T225" s="1189"/>
      <c r="U225" s="1189"/>
      <c r="V225" s="1189"/>
      <c r="W225" s="1189"/>
      <c r="X225" s="1189"/>
      <c r="Y225" s="1189"/>
      <c r="Z225" s="1189"/>
    </row>
    <row r="226">
      <c r="A226" s="1189"/>
      <c r="B226" s="1189"/>
      <c r="C226" s="1189"/>
      <c r="D226" s="1189"/>
      <c r="E226" s="1189"/>
      <c r="F226" s="1189"/>
      <c r="G226" s="1189"/>
      <c r="H226" s="1189"/>
      <c r="I226" s="1189"/>
      <c r="J226" s="1189"/>
      <c r="K226" s="1189"/>
      <c r="L226" s="1189"/>
      <c r="M226" s="1189"/>
      <c r="N226" s="1189"/>
      <c r="O226" s="1189"/>
      <c r="P226" s="1189"/>
      <c r="Q226" s="1189"/>
      <c r="R226" s="1189"/>
      <c r="S226" s="1189"/>
      <c r="T226" s="1189"/>
      <c r="U226" s="1189"/>
      <c r="V226" s="1189"/>
      <c r="W226" s="1189"/>
      <c r="X226" s="1189"/>
      <c r="Y226" s="1189"/>
      <c r="Z226" s="1189"/>
    </row>
    <row r="227">
      <c r="A227" s="1189"/>
      <c r="B227" s="1189"/>
      <c r="C227" s="1189"/>
      <c r="D227" s="1189"/>
      <c r="E227" s="1189"/>
      <c r="F227" s="1189"/>
      <c r="G227" s="1189"/>
      <c r="H227" s="1189"/>
      <c r="I227" s="1189"/>
      <c r="J227" s="1189"/>
      <c r="K227" s="1189"/>
      <c r="L227" s="1189"/>
      <c r="M227" s="1189"/>
      <c r="N227" s="1189"/>
      <c r="O227" s="1189"/>
      <c r="P227" s="1189"/>
      <c r="Q227" s="1189"/>
      <c r="R227" s="1189"/>
      <c r="S227" s="1189"/>
      <c r="T227" s="1189"/>
      <c r="U227" s="1189"/>
      <c r="V227" s="1189"/>
      <c r="W227" s="1189"/>
      <c r="X227" s="1189"/>
      <c r="Y227" s="1189"/>
      <c r="Z227" s="1189"/>
    </row>
    <row r="228">
      <c r="A228" s="1189"/>
      <c r="B228" s="1189"/>
      <c r="C228" s="1189"/>
      <c r="D228" s="1189"/>
      <c r="E228" s="1189"/>
      <c r="F228" s="1189"/>
      <c r="G228" s="1189"/>
      <c r="H228" s="1189"/>
      <c r="I228" s="1189"/>
      <c r="J228" s="1189"/>
      <c r="K228" s="1189"/>
      <c r="L228" s="1189"/>
      <c r="M228" s="1189"/>
      <c r="N228" s="1189"/>
      <c r="O228" s="1189"/>
      <c r="P228" s="1189"/>
      <c r="Q228" s="1189"/>
      <c r="R228" s="1189"/>
      <c r="S228" s="1189"/>
      <c r="T228" s="1189"/>
      <c r="U228" s="1189"/>
      <c r="V228" s="1189"/>
      <c r="W228" s="1189"/>
      <c r="X228" s="1189"/>
      <c r="Y228" s="1189"/>
      <c r="Z228" s="1189"/>
    </row>
    <row r="229">
      <c r="A229" s="1189"/>
      <c r="B229" s="1189"/>
      <c r="C229" s="1189"/>
      <c r="D229" s="1189"/>
      <c r="E229" s="1189"/>
      <c r="F229" s="1189"/>
      <c r="G229" s="1189"/>
      <c r="H229" s="1189"/>
      <c r="I229" s="1189"/>
      <c r="J229" s="1189"/>
      <c r="K229" s="1189"/>
      <c r="L229" s="1189"/>
      <c r="M229" s="1189"/>
      <c r="N229" s="1189"/>
      <c r="O229" s="1189"/>
      <c r="P229" s="1189"/>
      <c r="Q229" s="1189"/>
      <c r="R229" s="1189"/>
      <c r="S229" s="1189"/>
      <c r="T229" s="1189"/>
      <c r="U229" s="1189"/>
      <c r="V229" s="1189"/>
      <c r="W229" s="1189"/>
      <c r="X229" s="1189"/>
      <c r="Y229" s="1189"/>
      <c r="Z229" s="1189"/>
    </row>
    <row r="230">
      <c r="A230" s="1189"/>
      <c r="B230" s="1189"/>
      <c r="C230" s="1189"/>
      <c r="D230" s="1189"/>
      <c r="E230" s="1189"/>
      <c r="F230" s="1189"/>
      <c r="G230" s="1189"/>
      <c r="H230" s="1189"/>
      <c r="I230" s="1189"/>
      <c r="J230" s="1189"/>
      <c r="K230" s="1189"/>
      <c r="L230" s="1189"/>
      <c r="M230" s="1189"/>
      <c r="N230" s="1189"/>
      <c r="O230" s="1189"/>
      <c r="P230" s="1189"/>
      <c r="Q230" s="1189"/>
      <c r="R230" s="1189"/>
      <c r="S230" s="1189"/>
      <c r="T230" s="1189"/>
      <c r="U230" s="1189"/>
      <c r="V230" s="1189"/>
      <c r="W230" s="1189"/>
      <c r="X230" s="1189"/>
      <c r="Y230" s="1189"/>
      <c r="Z230" s="1189"/>
    </row>
    <row r="231">
      <c r="A231" s="1189"/>
      <c r="B231" s="1189"/>
      <c r="C231" s="1189"/>
      <c r="D231" s="1189"/>
      <c r="E231" s="1189"/>
      <c r="F231" s="1189"/>
      <c r="G231" s="1189"/>
      <c r="H231" s="1189"/>
      <c r="I231" s="1189"/>
      <c r="J231" s="1189"/>
      <c r="K231" s="1189"/>
      <c r="L231" s="1189"/>
      <c r="M231" s="1189"/>
      <c r="N231" s="1189"/>
      <c r="O231" s="1189"/>
      <c r="P231" s="1189"/>
      <c r="Q231" s="1189"/>
      <c r="R231" s="1189"/>
      <c r="S231" s="1189"/>
      <c r="T231" s="1189"/>
      <c r="U231" s="1189"/>
      <c r="V231" s="1189"/>
      <c r="W231" s="1189"/>
      <c r="X231" s="1189"/>
      <c r="Y231" s="1189"/>
      <c r="Z231" s="1189"/>
    </row>
    <row r="232">
      <c r="A232" s="1189"/>
      <c r="B232" s="1189"/>
      <c r="C232" s="1189"/>
      <c r="D232" s="1189"/>
      <c r="E232" s="1189"/>
      <c r="F232" s="1189"/>
      <c r="G232" s="1189"/>
      <c r="H232" s="1189"/>
      <c r="I232" s="1189"/>
      <c r="J232" s="1189"/>
      <c r="K232" s="1189"/>
      <c r="L232" s="1189"/>
      <c r="M232" s="1189"/>
      <c r="N232" s="1189"/>
      <c r="O232" s="1189"/>
      <c r="P232" s="1189"/>
      <c r="Q232" s="1189"/>
      <c r="R232" s="1189"/>
      <c r="S232" s="1189"/>
      <c r="T232" s="1189"/>
      <c r="U232" s="1189"/>
      <c r="V232" s="1189"/>
      <c r="W232" s="1189"/>
      <c r="X232" s="1189"/>
      <c r="Y232" s="1189"/>
      <c r="Z232" s="1189"/>
    </row>
    <row r="233">
      <c r="A233" s="1189"/>
      <c r="B233" s="1189"/>
      <c r="C233" s="1189"/>
      <c r="D233" s="1189"/>
      <c r="E233" s="1189"/>
      <c r="F233" s="1189"/>
      <c r="G233" s="1189"/>
      <c r="H233" s="1189"/>
      <c r="I233" s="1189"/>
      <c r="J233" s="1189"/>
      <c r="K233" s="1189"/>
      <c r="L233" s="1189"/>
      <c r="M233" s="1189"/>
      <c r="N233" s="1189"/>
      <c r="O233" s="1189"/>
      <c r="P233" s="1189"/>
      <c r="Q233" s="1189"/>
      <c r="R233" s="1189"/>
      <c r="S233" s="1189"/>
      <c r="T233" s="1189"/>
      <c r="U233" s="1189"/>
      <c r="V233" s="1189"/>
      <c r="W233" s="1189"/>
      <c r="X233" s="1189"/>
      <c r="Y233" s="1189"/>
      <c r="Z233" s="1189"/>
    </row>
    <row r="234">
      <c r="A234" s="1189"/>
      <c r="B234" s="1189"/>
      <c r="C234" s="1189"/>
      <c r="D234" s="1189"/>
      <c r="E234" s="1189"/>
      <c r="F234" s="1189"/>
      <c r="G234" s="1189"/>
      <c r="H234" s="1189"/>
      <c r="I234" s="1189"/>
      <c r="J234" s="1189"/>
      <c r="K234" s="1189"/>
      <c r="L234" s="1189"/>
      <c r="M234" s="1189"/>
      <c r="N234" s="1189"/>
      <c r="O234" s="1189"/>
      <c r="P234" s="1189"/>
      <c r="Q234" s="1189"/>
      <c r="R234" s="1189"/>
      <c r="S234" s="1189"/>
      <c r="T234" s="1189"/>
      <c r="U234" s="1189"/>
      <c r="V234" s="1189"/>
      <c r="W234" s="1189"/>
      <c r="X234" s="1189"/>
      <c r="Y234" s="1189"/>
      <c r="Z234" s="1189"/>
    </row>
    <row r="235">
      <c r="A235" s="1189"/>
      <c r="B235" s="1189"/>
      <c r="C235" s="1189"/>
      <c r="D235" s="1189"/>
      <c r="E235" s="1189"/>
      <c r="F235" s="1189"/>
      <c r="G235" s="1189"/>
      <c r="H235" s="1189"/>
      <c r="I235" s="1189"/>
      <c r="J235" s="1189"/>
      <c r="K235" s="1189"/>
      <c r="L235" s="1189"/>
      <c r="M235" s="1189"/>
      <c r="N235" s="1189"/>
      <c r="O235" s="1189"/>
      <c r="P235" s="1189"/>
      <c r="Q235" s="1189"/>
      <c r="R235" s="1189"/>
      <c r="S235" s="1189"/>
      <c r="T235" s="1189"/>
      <c r="U235" s="1189"/>
      <c r="V235" s="1189"/>
      <c r="W235" s="1189"/>
      <c r="X235" s="1189"/>
      <c r="Y235" s="1189"/>
      <c r="Z235" s="1189"/>
    </row>
    <row r="236">
      <c r="A236" s="1189"/>
      <c r="B236" s="1189"/>
      <c r="C236" s="1189"/>
      <c r="D236" s="1189"/>
      <c r="E236" s="1189"/>
      <c r="F236" s="1189"/>
      <c r="G236" s="1189"/>
      <c r="H236" s="1189"/>
      <c r="I236" s="1189"/>
      <c r="J236" s="1189"/>
      <c r="K236" s="1189"/>
      <c r="L236" s="1189"/>
      <c r="M236" s="1189"/>
      <c r="N236" s="1189"/>
      <c r="O236" s="1189"/>
      <c r="P236" s="1189"/>
      <c r="Q236" s="1189"/>
      <c r="R236" s="1189"/>
      <c r="S236" s="1189"/>
      <c r="T236" s="1189"/>
      <c r="U236" s="1189"/>
      <c r="V236" s="1189"/>
      <c r="W236" s="1189"/>
      <c r="X236" s="1189"/>
      <c r="Y236" s="1189"/>
      <c r="Z236" s="1189"/>
    </row>
    <row r="237">
      <c r="A237" s="1189"/>
      <c r="B237" s="1189"/>
      <c r="C237" s="1189"/>
      <c r="D237" s="1189"/>
      <c r="E237" s="1189"/>
      <c r="F237" s="1189"/>
      <c r="G237" s="1189"/>
      <c r="H237" s="1189"/>
      <c r="I237" s="1189"/>
      <c r="J237" s="1189"/>
      <c r="K237" s="1189"/>
      <c r="L237" s="1189"/>
      <c r="M237" s="1189"/>
      <c r="N237" s="1189"/>
      <c r="O237" s="1189"/>
      <c r="P237" s="1189"/>
      <c r="Q237" s="1189"/>
      <c r="R237" s="1189"/>
      <c r="S237" s="1189"/>
      <c r="T237" s="1189"/>
      <c r="U237" s="1189"/>
      <c r="V237" s="1189"/>
      <c r="W237" s="1189"/>
      <c r="X237" s="1189"/>
      <c r="Y237" s="1189"/>
      <c r="Z237" s="1189"/>
    </row>
    <row r="238">
      <c r="A238" s="1189"/>
      <c r="B238" s="1189"/>
      <c r="C238" s="1189"/>
      <c r="D238" s="1189"/>
      <c r="E238" s="1189"/>
      <c r="F238" s="1189"/>
      <c r="G238" s="1189"/>
      <c r="H238" s="1189"/>
      <c r="I238" s="1189"/>
      <c r="J238" s="1189"/>
      <c r="K238" s="1189"/>
      <c r="L238" s="1189"/>
      <c r="M238" s="1189"/>
      <c r="N238" s="1189"/>
      <c r="O238" s="1189"/>
      <c r="P238" s="1189"/>
      <c r="Q238" s="1189"/>
      <c r="R238" s="1189"/>
      <c r="S238" s="1189"/>
      <c r="T238" s="1189"/>
      <c r="U238" s="1189"/>
      <c r="V238" s="1189"/>
      <c r="W238" s="1189"/>
      <c r="X238" s="1189"/>
      <c r="Y238" s="1189"/>
      <c r="Z238" s="1189"/>
    </row>
    <row r="239">
      <c r="A239" s="1189"/>
      <c r="B239" s="1189"/>
      <c r="C239" s="1189"/>
      <c r="D239" s="1189"/>
      <c r="E239" s="1189"/>
      <c r="F239" s="1189"/>
      <c r="G239" s="1189"/>
      <c r="H239" s="1189"/>
      <c r="I239" s="1189"/>
      <c r="J239" s="1189"/>
      <c r="K239" s="1189"/>
      <c r="L239" s="1189"/>
      <c r="M239" s="1189"/>
      <c r="N239" s="1189"/>
      <c r="O239" s="1189"/>
      <c r="P239" s="1189"/>
      <c r="Q239" s="1189"/>
      <c r="R239" s="1189"/>
      <c r="S239" s="1189"/>
      <c r="T239" s="1189"/>
      <c r="U239" s="1189"/>
      <c r="V239" s="1189"/>
      <c r="W239" s="1189"/>
      <c r="X239" s="1189"/>
      <c r="Y239" s="1189"/>
      <c r="Z239" s="1189"/>
    </row>
    <row r="240">
      <c r="A240" s="1189"/>
      <c r="B240" s="1189"/>
      <c r="C240" s="1189"/>
      <c r="D240" s="1189"/>
      <c r="E240" s="1189"/>
      <c r="F240" s="1189"/>
      <c r="G240" s="1189"/>
      <c r="H240" s="1189"/>
      <c r="I240" s="1189"/>
      <c r="J240" s="1189"/>
      <c r="K240" s="1189"/>
      <c r="L240" s="1189"/>
      <c r="M240" s="1189"/>
      <c r="N240" s="1189"/>
      <c r="O240" s="1189"/>
      <c r="P240" s="1189"/>
      <c r="Q240" s="1189"/>
      <c r="R240" s="1189"/>
      <c r="S240" s="1189"/>
      <c r="T240" s="1189"/>
      <c r="U240" s="1189"/>
      <c r="V240" s="1189"/>
      <c r="W240" s="1189"/>
      <c r="X240" s="1189"/>
      <c r="Y240" s="1189"/>
      <c r="Z240" s="1189"/>
    </row>
    <row r="241">
      <c r="A241" s="1189"/>
      <c r="B241" s="1189"/>
      <c r="C241" s="1189"/>
      <c r="D241" s="1189"/>
      <c r="E241" s="1189"/>
      <c r="F241" s="1189"/>
      <c r="G241" s="1189"/>
      <c r="H241" s="1189"/>
      <c r="I241" s="1189"/>
      <c r="J241" s="1189"/>
      <c r="K241" s="1189"/>
      <c r="L241" s="1189"/>
      <c r="M241" s="1189"/>
      <c r="N241" s="1189"/>
      <c r="O241" s="1189"/>
      <c r="P241" s="1189"/>
      <c r="Q241" s="1189"/>
      <c r="R241" s="1189"/>
      <c r="S241" s="1189"/>
      <c r="T241" s="1189"/>
      <c r="U241" s="1189"/>
      <c r="V241" s="1189"/>
      <c r="W241" s="1189"/>
      <c r="X241" s="1189"/>
      <c r="Y241" s="1189"/>
      <c r="Z241" s="1189"/>
    </row>
    <row r="242">
      <c r="A242" s="1189"/>
      <c r="B242" s="1189"/>
      <c r="C242" s="1189"/>
      <c r="D242" s="1189"/>
      <c r="E242" s="1189"/>
      <c r="F242" s="1189"/>
      <c r="G242" s="1189"/>
      <c r="H242" s="1189"/>
      <c r="I242" s="1189"/>
      <c r="J242" s="1189"/>
      <c r="K242" s="1189"/>
      <c r="L242" s="1189"/>
      <c r="M242" s="1189"/>
      <c r="N242" s="1189"/>
      <c r="O242" s="1189"/>
      <c r="P242" s="1189"/>
      <c r="Q242" s="1189"/>
      <c r="R242" s="1189"/>
      <c r="S242" s="1189"/>
      <c r="T242" s="1189"/>
      <c r="U242" s="1189"/>
      <c r="V242" s="1189"/>
      <c r="W242" s="1189"/>
      <c r="X242" s="1189"/>
      <c r="Y242" s="1189"/>
      <c r="Z242" s="1189"/>
    </row>
    <row r="243">
      <c r="A243" s="1189"/>
      <c r="B243" s="1189"/>
      <c r="C243" s="1189"/>
      <c r="D243" s="1189"/>
      <c r="E243" s="1189"/>
      <c r="F243" s="1189"/>
      <c r="G243" s="1189"/>
      <c r="H243" s="1189"/>
      <c r="I243" s="1189"/>
      <c r="J243" s="1189"/>
      <c r="K243" s="1189"/>
      <c r="L243" s="1189"/>
      <c r="M243" s="1189"/>
      <c r="N243" s="1189"/>
      <c r="O243" s="1189"/>
      <c r="P243" s="1189"/>
      <c r="Q243" s="1189"/>
      <c r="R243" s="1189"/>
      <c r="S243" s="1189"/>
      <c r="T243" s="1189"/>
      <c r="U243" s="1189"/>
      <c r="V243" s="1189"/>
      <c r="W243" s="1189"/>
      <c r="X243" s="1189"/>
      <c r="Y243" s="1189"/>
      <c r="Z243" s="1189"/>
    </row>
    <row r="244">
      <c r="A244" s="1189"/>
      <c r="B244" s="1189"/>
      <c r="C244" s="1189"/>
      <c r="D244" s="1189"/>
      <c r="E244" s="1189"/>
      <c r="F244" s="1189"/>
      <c r="G244" s="1189"/>
      <c r="H244" s="1189"/>
      <c r="I244" s="1189"/>
      <c r="J244" s="1189"/>
      <c r="K244" s="1189"/>
      <c r="L244" s="1189"/>
      <c r="M244" s="1189"/>
      <c r="N244" s="1189"/>
      <c r="O244" s="1189"/>
      <c r="P244" s="1189"/>
      <c r="Q244" s="1189"/>
      <c r="R244" s="1189"/>
      <c r="S244" s="1189"/>
      <c r="T244" s="1189"/>
      <c r="U244" s="1189"/>
      <c r="V244" s="1189"/>
      <c r="W244" s="1189"/>
      <c r="X244" s="1189"/>
      <c r="Y244" s="1189"/>
      <c r="Z244" s="1189"/>
    </row>
    <row r="245">
      <c r="A245" s="1189"/>
      <c r="B245" s="1189"/>
      <c r="C245" s="1189"/>
      <c r="D245" s="1189"/>
      <c r="E245" s="1189"/>
      <c r="F245" s="1189"/>
      <c r="G245" s="1189"/>
      <c r="H245" s="1189"/>
      <c r="I245" s="1189"/>
      <c r="J245" s="1189"/>
      <c r="K245" s="1189"/>
      <c r="L245" s="1189"/>
      <c r="M245" s="1189"/>
      <c r="N245" s="1189"/>
      <c r="O245" s="1189"/>
      <c r="P245" s="1189"/>
      <c r="Q245" s="1189"/>
      <c r="R245" s="1189"/>
      <c r="S245" s="1189"/>
      <c r="T245" s="1189"/>
      <c r="U245" s="1189"/>
      <c r="V245" s="1189"/>
      <c r="W245" s="1189"/>
      <c r="X245" s="1189"/>
      <c r="Y245" s="1189"/>
      <c r="Z245" s="1189"/>
    </row>
    <row r="246">
      <c r="A246" s="1189"/>
      <c r="B246" s="1189"/>
      <c r="C246" s="1189"/>
      <c r="D246" s="1189"/>
      <c r="E246" s="1189"/>
      <c r="F246" s="1189"/>
      <c r="G246" s="1189"/>
      <c r="H246" s="1189"/>
      <c r="I246" s="1189"/>
      <c r="J246" s="1189"/>
      <c r="K246" s="1189"/>
      <c r="L246" s="1189"/>
      <c r="M246" s="1189"/>
      <c r="N246" s="1189"/>
      <c r="O246" s="1189"/>
      <c r="P246" s="1189"/>
      <c r="Q246" s="1189"/>
      <c r="R246" s="1189"/>
      <c r="S246" s="1189"/>
      <c r="T246" s="1189"/>
      <c r="U246" s="1189"/>
      <c r="V246" s="1189"/>
      <c r="W246" s="1189"/>
      <c r="X246" s="1189"/>
      <c r="Y246" s="1189"/>
      <c r="Z246" s="1189"/>
    </row>
    <row r="247">
      <c r="A247" s="1189"/>
      <c r="B247" s="1189"/>
      <c r="C247" s="1189"/>
      <c r="D247" s="1189"/>
      <c r="E247" s="1189"/>
      <c r="F247" s="1189"/>
      <c r="G247" s="1189"/>
      <c r="H247" s="1189"/>
      <c r="I247" s="1189"/>
      <c r="J247" s="1189"/>
      <c r="K247" s="1189"/>
      <c r="L247" s="1189"/>
      <c r="M247" s="1189"/>
      <c r="N247" s="1189"/>
      <c r="O247" s="1189"/>
      <c r="P247" s="1189"/>
      <c r="Q247" s="1189"/>
      <c r="R247" s="1189"/>
      <c r="S247" s="1189"/>
      <c r="T247" s="1189"/>
      <c r="U247" s="1189"/>
      <c r="V247" s="1189"/>
      <c r="W247" s="1189"/>
      <c r="X247" s="1189"/>
      <c r="Y247" s="1189"/>
      <c r="Z247" s="1189"/>
    </row>
    <row r="248">
      <c r="A248" s="1189"/>
      <c r="B248" s="1189"/>
      <c r="C248" s="1189"/>
      <c r="D248" s="1189"/>
      <c r="E248" s="1189"/>
      <c r="F248" s="1189"/>
      <c r="G248" s="1189"/>
      <c r="H248" s="1189"/>
      <c r="I248" s="1189"/>
      <c r="J248" s="1189"/>
      <c r="K248" s="1189"/>
      <c r="L248" s="1189"/>
      <c r="M248" s="1189"/>
      <c r="N248" s="1189"/>
      <c r="O248" s="1189"/>
      <c r="P248" s="1189"/>
      <c r="Q248" s="1189"/>
      <c r="R248" s="1189"/>
      <c r="S248" s="1189"/>
      <c r="T248" s="1189"/>
      <c r="U248" s="1189"/>
      <c r="V248" s="1189"/>
      <c r="W248" s="1189"/>
      <c r="X248" s="1189"/>
      <c r="Y248" s="1189"/>
      <c r="Z248" s="1189"/>
    </row>
    <row r="249">
      <c r="A249" s="1189"/>
      <c r="B249" s="1189"/>
      <c r="C249" s="1189"/>
      <c r="D249" s="1189"/>
      <c r="E249" s="1189"/>
      <c r="F249" s="1189"/>
      <c r="G249" s="1189"/>
      <c r="H249" s="1189"/>
      <c r="I249" s="1189"/>
      <c r="J249" s="1189"/>
      <c r="K249" s="1189"/>
      <c r="L249" s="1189"/>
      <c r="M249" s="1189"/>
      <c r="N249" s="1189"/>
      <c r="O249" s="1189"/>
      <c r="P249" s="1189"/>
      <c r="Q249" s="1189"/>
      <c r="R249" s="1189"/>
      <c r="S249" s="1189"/>
      <c r="T249" s="1189"/>
      <c r="U249" s="1189"/>
      <c r="V249" s="1189"/>
      <c r="W249" s="1189"/>
      <c r="X249" s="1189"/>
      <c r="Y249" s="1189"/>
      <c r="Z249" s="1189"/>
    </row>
    <row r="250">
      <c r="A250" s="1189"/>
      <c r="B250" s="1189"/>
      <c r="C250" s="1189"/>
      <c r="D250" s="1189"/>
      <c r="E250" s="1189"/>
      <c r="F250" s="1189"/>
      <c r="G250" s="1189"/>
      <c r="H250" s="1189"/>
      <c r="I250" s="1189"/>
      <c r="J250" s="1189"/>
      <c r="K250" s="1189"/>
      <c r="L250" s="1189"/>
      <c r="M250" s="1189"/>
      <c r="N250" s="1189"/>
      <c r="O250" s="1189"/>
      <c r="P250" s="1189"/>
      <c r="Q250" s="1189"/>
      <c r="R250" s="1189"/>
      <c r="S250" s="1189"/>
      <c r="T250" s="1189"/>
      <c r="U250" s="1189"/>
      <c r="V250" s="1189"/>
      <c r="W250" s="1189"/>
      <c r="X250" s="1189"/>
      <c r="Y250" s="1189"/>
      <c r="Z250" s="1189"/>
    </row>
    <row r="251">
      <c r="A251" s="1189"/>
      <c r="B251" s="1189"/>
      <c r="C251" s="1189"/>
      <c r="D251" s="1189"/>
      <c r="E251" s="1189"/>
      <c r="F251" s="1189"/>
      <c r="G251" s="1189"/>
      <c r="H251" s="1189"/>
      <c r="I251" s="1189"/>
      <c r="J251" s="1189"/>
      <c r="K251" s="1189"/>
      <c r="L251" s="1189"/>
      <c r="M251" s="1189"/>
      <c r="N251" s="1189"/>
      <c r="O251" s="1189"/>
      <c r="P251" s="1189"/>
      <c r="Q251" s="1189"/>
      <c r="R251" s="1189"/>
      <c r="S251" s="1189"/>
      <c r="T251" s="1189"/>
      <c r="U251" s="1189"/>
      <c r="V251" s="1189"/>
      <c r="W251" s="1189"/>
      <c r="X251" s="1189"/>
      <c r="Y251" s="1189"/>
      <c r="Z251" s="1189"/>
    </row>
    <row r="252">
      <c r="A252" s="1189"/>
      <c r="B252" s="1189"/>
      <c r="C252" s="1189"/>
      <c r="D252" s="1189"/>
      <c r="E252" s="1189"/>
      <c r="F252" s="1189"/>
      <c r="G252" s="1189"/>
      <c r="H252" s="1189"/>
      <c r="I252" s="1189"/>
      <c r="J252" s="1189"/>
      <c r="K252" s="1189"/>
      <c r="L252" s="1189"/>
      <c r="M252" s="1189"/>
      <c r="N252" s="1189"/>
      <c r="O252" s="1189"/>
      <c r="P252" s="1189"/>
      <c r="Q252" s="1189"/>
      <c r="R252" s="1189"/>
      <c r="S252" s="1189"/>
      <c r="T252" s="1189"/>
      <c r="U252" s="1189"/>
      <c r="V252" s="1189"/>
      <c r="W252" s="1189"/>
      <c r="X252" s="1189"/>
      <c r="Y252" s="1189"/>
      <c r="Z252" s="1189"/>
    </row>
    <row r="253">
      <c r="A253" s="1189"/>
      <c r="B253" s="1189"/>
      <c r="C253" s="1189"/>
      <c r="D253" s="1189"/>
      <c r="E253" s="1189"/>
      <c r="F253" s="1189"/>
      <c r="G253" s="1189"/>
      <c r="H253" s="1189"/>
      <c r="I253" s="1189"/>
      <c r="J253" s="1189"/>
      <c r="K253" s="1189"/>
      <c r="L253" s="1189"/>
      <c r="M253" s="1189"/>
      <c r="N253" s="1189"/>
      <c r="O253" s="1189"/>
      <c r="P253" s="1189"/>
      <c r="Q253" s="1189"/>
      <c r="R253" s="1189"/>
      <c r="S253" s="1189"/>
      <c r="T253" s="1189"/>
      <c r="U253" s="1189"/>
      <c r="V253" s="1189"/>
      <c r="W253" s="1189"/>
      <c r="X253" s="1189"/>
      <c r="Y253" s="1189"/>
      <c r="Z253" s="1189"/>
    </row>
    <row r="254">
      <c r="A254" s="1189"/>
      <c r="B254" s="1189"/>
      <c r="C254" s="1189"/>
      <c r="D254" s="1189"/>
      <c r="E254" s="1189"/>
      <c r="F254" s="1189"/>
      <c r="G254" s="1189"/>
      <c r="H254" s="1189"/>
      <c r="I254" s="1189"/>
      <c r="J254" s="1189"/>
      <c r="K254" s="1189"/>
      <c r="L254" s="1189"/>
      <c r="M254" s="1189"/>
      <c r="N254" s="1189"/>
      <c r="O254" s="1189"/>
      <c r="P254" s="1189"/>
      <c r="Q254" s="1189"/>
      <c r="R254" s="1189"/>
      <c r="S254" s="1189"/>
      <c r="T254" s="1189"/>
      <c r="U254" s="1189"/>
      <c r="V254" s="1189"/>
      <c r="W254" s="1189"/>
      <c r="X254" s="1189"/>
      <c r="Y254" s="1189"/>
      <c r="Z254" s="1189"/>
    </row>
    <row r="255">
      <c r="A255" s="1189"/>
      <c r="B255" s="1189"/>
      <c r="C255" s="1189"/>
      <c r="D255" s="1189"/>
      <c r="E255" s="1189"/>
      <c r="F255" s="1189"/>
      <c r="G255" s="1189"/>
      <c r="H255" s="1189"/>
      <c r="I255" s="1189"/>
      <c r="J255" s="1189"/>
      <c r="K255" s="1189"/>
      <c r="L255" s="1189"/>
      <c r="M255" s="1189"/>
      <c r="N255" s="1189"/>
      <c r="O255" s="1189"/>
      <c r="P255" s="1189"/>
      <c r="Q255" s="1189"/>
      <c r="R255" s="1189"/>
      <c r="S255" s="1189"/>
      <c r="T255" s="1189"/>
      <c r="U255" s="1189"/>
      <c r="V255" s="1189"/>
      <c r="W255" s="1189"/>
      <c r="X255" s="1189"/>
      <c r="Y255" s="1189"/>
      <c r="Z255" s="1189"/>
    </row>
    <row r="256">
      <c r="A256" s="1189"/>
      <c r="B256" s="1189"/>
      <c r="C256" s="1189"/>
      <c r="D256" s="1189"/>
      <c r="E256" s="1189"/>
      <c r="F256" s="1189"/>
      <c r="G256" s="1189"/>
      <c r="H256" s="1189"/>
      <c r="I256" s="1189"/>
      <c r="J256" s="1189"/>
      <c r="K256" s="1189"/>
      <c r="L256" s="1189"/>
      <c r="M256" s="1189"/>
      <c r="N256" s="1189"/>
      <c r="O256" s="1189"/>
      <c r="P256" s="1189"/>
      <c r="Q256" s="1189"/>
      <c r="R256" s="1189"/>
      <c r="S256" s="1189"/>
      <c r="T256" s="1189"/>
      <c r="U256" s="1189"/>
      <c r="V256" s="1189"/>
      <c r="W256" s="1189"/>
      <c r="X256" s="1189"/>
      <c r="Y256" s="1189"/>
      <c r="Z256" s="1189"/>
    </row>
    <row r="257">
      <c r="A257" s="1189"/>
      <c r="B257" s="1189"/>
      <c r="C257" s="1189"/>
      <c r="D257" s="1189"/>
      <c r="E257" s="1189"/>
      <c r="F257" s="1189"/>
      <c r="G257" s="1189"/>
      <c r="H257" s="1189"/>
      <c r="I257" s="1189"/>
      <c r="J257" s="1189"/>
      <c r="K257" s="1189"/>
      <c r="L257" s="1189"/>
      <c r="M257" s="1189"/>
      <c r="N257" s="1189"/>
      <c r="O257" s="1189"/>
      <c r="P257" s="1189"/>
      <c r="Q257" s="1189"/>
      <c r="R257" s="1189"/>
      <c r="S257" s="1189"/>
      <c r="T257" s="1189"/>
      <c r="U257" s="1189"/>
      <c r="V257" s="1189"/>
      <c r="W257" s="1189"/>
      <c r="X257" s="1189"/>
      <c r="Y257" s="1189"/>
      <c r="Z257" s="1189"/>
    </row>
    <row r="258">
      <c r="A258" s="1189"/>
      <c r="B258" s="1189"/>
      <c r="C258" s="1189"/>
      <c r="D258" s="1189"/>
      <c r="E258" s="1189"/>
      <c r="F258" s="1189"/>
      <c r="G258" s="1189"/>
      <c r="H258" s="1189"/>
      <c r="I258" s="1189"/>
      <c r="J258" s="1189"/>
      <c r="K258" s="1189"/>
      <c r="L258" s="1189"/>
      <c r="M258" s="1189"/>
      <c r="N258" s="1189"/>
      <c r="O258" s="1189"/>
      <c r="P258" s="1189"/>
      <c r="Q258" s="1189"/>
      <c r="R258" s="1189"/>
      <c r="S258" s="1189"/>
      <c r="T258" s="1189"/>
      <c r="U258" s="1189"/>
      <c r="V258" s="1189"/>
      <c r="W258" s="1189"/>
      <c r="X258" s="1189"/>
      <c r="Y258" s="1189"/>
      <c r="Z258" s="1189"/>
    </row>
    <row r="259">
      <c r="A259" s="1189"/>
      <c r="B259" s="1189"/>
      <c r="C259" s="1189"/>
      <c r="D259" s="1189"/>
      <c r="E259" s="1189"/>
      <c r="F259" s="1189"/>
      <c r="G259" s="1189"/>
      <c r="H259" s="1189"/>
      <c r="I259" s="1189"/>
      <c r="J259" s="1189"/>
      <c r="K259" s="1189"/>
      <c r="L259" s="1189"/>
      <c r="M259" s="1189"/>
      <c r="N259" s="1189"/>
      <c r="O259" s="1189"/>
      <c r="P259" s="1189"/>
      <c r="Q259" s="1189"/>
      <c r="R259" s="1189"/>
      <c r="S259" s="1189"/>
      <c r="T259" s="1189"/>
      <c r="U259" s="1189"/>
      <c r="V259" s="1189"/>
      <c r="W259" s="1189"/>
      <c r="X259" s="1189"/>
      <c r="Y259" s="1189"/>
      <c r="Z259" s="1189"/>
    </row>
    <row r="260">
      <c r="A260" s="1189"/>
      <c r="B260" s="1189"/>
      <c r="C260" s="1189"/>
      <c r="D260" s="1189"/>
      <c r="E260" s="1189"/>
      <c r="F260" s="1189"/>
      <c r="G260" s="1189"/>
      <c r="H260" s="1189"/>
      <c r="I260" s="1189"/>
      <c r="J260" s="1189"/>
      <c r="K260" s="1189"/>
      <c r="L260" s="1189"/>
      <c r="M260" s="1189"/>
      <c r="N260" s="1189"/>
      <c r="O260" s="1189"/>
      <c r="P260" s="1189"/>
      <c r="Q260" s="1189"/>
      <c r="R260" s="1189"/>
      <c r="S260" s="1189"/>
      <c r="T260" s="1189"/>
      <c r="U260" s="1189"/>
      <c r="V260" s="1189"/>
      <c r="W260" s="1189"/>
      <c r="X260" s="1189"/>
      <c r="Y260" s="1189"/>
      <c r="Z260" s="1189"/>
    </row>
    <row r="261">
      <c r="A261" s="1189"/>
      <c r="B261" s="1189"/>
      <c r="C261" s="1189"/>
      <c r="D261" s="1189"/>
      <c r="E261" s="1189"/>
      <c r="F261" s="1189"/>
      <c r="G261" s="1189"/>
      <c r="H261" s="1189"/>
      <c r="I261" s="1189"/>
      <c r="J261" s="1189"/>
      <c r="K261" s="1189"/>
      <c r="L261" s="1189"/>
      <c r="M261" s="1189"/>
      <c r="N261" s="1189"/>
      <c r="O261" s="1189"/>
      <c r="P261" s="1189"/>
      <c r="Q261" s="1189"/>
      <c r="R261" s="1189"/>
      <c r="S261" s="1189"/>
      <c r="T261" s="1189"/>
      <c r="U261" s="1189"/>
      <c r="V261" s="1189"/>
      <c r="W261" s="1189"/>
      <c r="X261" s="1189"/>
      <c r="Y261" s="1189"/>
      <c r="Z261" s="1189"/>
    </row>
    <row r="262">
      <c r="A262" s="1189"/>
      <c r="B262" s="1189"/>
      <c r="C262" s="1189"/>
      <c r="D262" s="1189"/>
      <c r="E262" s="1189"/>
      <c r="F262" s="1189"/>
      <c r="G262" s="1189"/>
      <c r="H262" s="1189"/>
      <c r="I262" s="1189"/>
      <c r="J262" s="1189"/>
      <c r="K262" s="1189"/>
      <c r="L262" s="1189"/>
      <c r="M262" s="1189"/>
      <c r="N262" s="1189"/>
      <c r="O262" s="1189"/>
      <c r="P262" s="1189"/>
      <c r="Q262" s="1189"/>
      <c r="R262" s="1189"/>
      <c r="S262" s="1189"/>
      <c r="T262" s="1189"/>
      <c r="U262" s="1189"/>
      <c r="V262" s="1189"/>
      <c r="W262" s="1189"/>
      <c r="X262" s="1189"/>
      <c r="Y262" s="1189"/>
      <c r="Z262" s="1189"/>
    </row>
    <row r="263">
      <c r="A263" s="1189"/>
      <c r="B263" s="1189"/>
      <c r="C263" s="1189"/>
      <c r="D263" s="1189"/>
      <c r="E263" s="1189"/>
      <c r="F263" s="1189"/>
      <c r="G263" s="1189"/>
      <c r="H263" s="1189"/>
      <c r="I263" s="1189"/>
      <c r="J263" s="1189"/>
      <c r="K263" s="1189"/>
      <c r="L263" s="1189"/>
      <c r="M263" s="1189"/>
      <c r="N263" s="1189"/>
      <c r="O263" s="1189"/>
      <c r="P263" s="1189"/>
      <c r="Q263" s="1189"/>
      <c r="R263" s="1189"/>
      <c r="S263" s="1189"/>
      <c r="T263" s="1189"/>
      <c r="U263" s="1189"/>
      <c r="V263" s="1189"/>
      <c r="W263" s="1189"/>
      <c r="X263" s="1189"/>
      <c r="Y263" s="1189"/>
      <c r="Z263" s="1189"/>
    </row>
    <row r="264">
      <c r="A264" s="1189"/>
      <c r="B264" s="1189"/>
      <c r="C264" s="1189"/>
      <c r="D264" s="1189"/>
      <c r="E264" s="1189"/>
      <c r="F264" s="1189"/>
      <c r="G264" s="1189"/>
      <c r="H264" s="1189"/>
      <c r="I264" s="1189"/>
      <c r="J264" s="1189"/>
      <c r="K264" s="1189"/>
      <c r="L264" s="1189"/>
      <c r="M264" s="1189"/>
      <c r="N264" s="1189"/>
      <c r="O264" s="1189"/>
      <c r="P264" s="1189"/>
      <c r="Q264" s="1189"/>
      <c r="R264" s="1189"/>
      <c r="S264" s="1189"/>
      <c r="T264" s="1189"/>
      <c r="U264" s="1189"/>
      <c r="V264" s="1189"/>
      <c r="W264" s="1189"/>
      <c r="X264" s="1189"/>
      <c r="Y264" s="1189"/>
      <c r="Z264" s="1189"/>
    </row>
    <row r="265">
      <c r="A265" s="1189"/>
      <c r="B265" s="1189"/>
      <c r="C265" s="1189"/>
      <c r="D265" s="1189"/>
      <c r="E265" s="1189"/>
      <c r="F265" s="1189"/>
      <c r="G265" s="1189"/>
      <c r="H265" s="1189"/>
      <c r="I265" s="1189"/>
      <c r="J265" s="1189"/>
      <c r="K265" s="1189"/>
      <c r="L265" s="1189"/>
      <c r="M265" s="1189"/>
      <c r="N265" s="1189"/>
      <c r="O265" s="1189"/>
      <c r="P265" s="1189"/>
      <c r="Q265" s="1189"/>
      <c r="R265" s="1189"/>
      <c r="S265" s="1189"/>
      <c r="T265" s="1189"/>
      <c r="U265" s="1189"/>
      <c r="V265" s="1189"/>
      <c r="W265" s="1189"/>
      <c r="X265" s="1189"/>
      <c r="Y265" s="1189"/>
      <c r="Z265" s="1189"/>
    </row>
    <row r="266">
      <c r="A266" s="1189"/>
      <c r="B266" s="1189"/>
      <c r="C266" s="1189"/>
      <c r="D266" s="1189"/>
      <c r="E266" s="1189"/>
      <c r="F266" s="1189"/>
      <c r="G266" s="1189"/>
      <c r="H266" s="1189"/>
      <c r="I266" s="1189"/>
      <c r="J266" s="1189"/>
      <c r="K266" s="1189"/>
      <c r="L266" s="1189"/>
      <c r="M266" s="1189"/>
      <c r="N266" s="1189"/>
      <c r="O266" s="1189"/>
      <c r="P266" s="1189"/>
      <c r="Q266" s="1189"/>
      <c r="R266" s="1189"/>
      <c r="S266" s="1189"/>
      <c r="T266" s="1189"/>
      <c r="U266" s="1189"/>
      <c r="V266" s="1189"/>
      <c r="W266" s="1189"/>
      <c r="X266" s="1189"/>
      <c r="Y266" s="1189"/>
      <c r="Z266" s="1189"/>
    </row>
    <row r="267">
      <c r="A267" s="1189"/>
      <c r="B267" s="1189"/>
      <c r="C267" s="1189"/>
      <c r="D267" s="1189"/>
      <c r="E267" s="1189"/>
      <c r="F267" s="1189"/>
      <c r="G267" s="1189"/>
      <c r="H267" s="1189"/>
      <c r="I267" s="1189"/>
      <c r="J267" s="1189"/>
      <c r="K267" s="1189"/>
      <c r="L267" s="1189"/>
      <c r="M267" s="1189"/>
      <c r="N267" s="1189"/>
      <c r="O267" s="1189"/>
      <c r="P267" s="1189"/>
      <c r="Q267" s="1189"/>
      <c r="R267" s="1189"/>
      <c r="S267" s="1189"/>
      <c r="T267" s="1189"/>
      <c r="U267" s="1189"/>
      <c r="V267" s="1189"/>
      <c r="W267" s="1189"/>
      <c r="X267" s="1189"/>
      <c r="Y267" s="1189"/>
      <c r="Z267" s="1189"/>
    </row>
    <row r="268">
      <c r="A268" s="1189"/>
      <c r="B268" s="1189"/>
      <c r="C268" s="1189"/>
      <c r="D268" s="1189"/>
      <c r="E268" s="1189"/>
      <c r="F268" s="1189"/>
      <c r="G268" s="1189"/>
      <c r="H268" s="1189"/>
      <c r="I268" s="1189"/>
      <c r="J268" s="1189"/>
      <c r="K268" s="1189"/>
      <c r="L268" s="1189"/>
      <c r="M268" s="1189"/>
      <c r="N268" s="1189"/>
      <c r="O268" s="1189"/>
      <c r="P268" s="1189"/>
      <c r="Q268" s="1189"/>
      <c r="R268" s="1189"/>
      <c r="S268" s="1189"/>
      <c r="T268" s="1189"/>
      <c r="U268" s="1189"/>
      <c r="V268" s="1189"/>
      <c r="W268" s="1189"/>
      <c r="X268" s="1189"/>
      <c r="Y268" s="1189"/>
      <c r="Z268" s="1189"/>
    </row>
    <row r="269">
      <c r="A269" s="1189"/>
      <c r="B269" s="1189"/>
      <c r="C269" s="1189"/>
      <c r="D269" s="1189"/>
      <c r="E269" s="1189"/>
      <c r="F269" s="1189"/>
      <c r="G269" s="1189"/>
      <c r="H269" s="1189"/>
      <c r="I269" s="1189"/>
      <c r="J269" s="1189"/>
      <c r="K269" s="1189"/>
      <c r="L269" s="1189"/>
      <c r="M269" s="1189"/>
      <c r="N269" s="1189"/>
      <c r="O269" s="1189"/>
      <c r="P269" s="1189"/>
      <c r="Q269" s="1189"/>
      <c r="R269" s="1189"/>
      <c r="S269" s="1189"/>
      <c r="T269" s="1189"/>
      <c r="U269" s="1189"/>
      <c r="V269" s="1189"/>
      <c r="W269" s="1189"/>
      <c r="X269" s="1189"/>
      <c r="Y269" s="1189"/>
      <c r="Z269" s="1189"/>
    </row>
    <row r="270">
      <c r="A270" s="1189"/>
      <c r="B270" s="1189"/>
      <c r="C270" s="1189"/>
      <c r="D270" s="1189"/>
      <c r="E270" s="1189"/>
      <c r="F270" s="1189"/>
      <c r="G270" s="1189"/>
      <c r="H270" s="1189"/>
      <c r="I270" s="1189"/>
      <c r="J270" s="1189"/>
      <c r="K270" s="1189"/>
      <c r="L270" s="1189"/>
      <c r="M270" s="1189"/>
      <c r="N270" s="1189"/>
      <c r="O270" s="1189"/>
      <c r="P270" s="1189"/>
      <c r="Q270" s="1189"/>
      <c r="R270" s="1189"/>
      <c r="S270" s="1189"/>
      <c r="T270" s="1189"/>
      <c r="U270" s="1189"/>
      <c r="V270" s="1189"/>
      <c r="W270" s="1189"/>
      <c r="X270" s="1189"/>
      <c r="Y270" s="1189"/>
      <c r="Z270" s="1189"/>
    </row>
    <row r="271">
      <c r="A271" s="1189"/>
      <c r="B271" s="1189"/>
      <c r="C271" s="1189"/>
      <c r="D271" s="1189"/>
      <c r="E271" s="1189"/>
      <c r="F271" s="1189"/>
      <c r="G271" s="1189"/>
      <c r="H271" s="1189"/>
      <c r="I271" s="1189"/>
      <c r="J271" s="1189"/>
      <c r="K271" s="1189"/>
      <c r="L271" s="1189"/>
      <c r="M271" s="1189"/>
      <c r="N271" s="1189"/>
      <c r="O271" s="1189"/>
      <c r="P271" s="1189"/>
      <c r="Q271" s="1189"/>
      <c r="R271" s="1189"/>
      <c r="S271" s="1189"/>
      <c r="T271" s="1189"/>
      <c r="U271" s="1189"/>
      <c r="V271" s="1189"/>
      <c r="W271" s="1189"/>
      <c r="X271" s="1189"/>
      <c r="Y271" s="1189"/>
      <c r="Z271" s="1189"/>
    </row>
    <row r="272">
      <c r="A272" s="1189"/>
      <c r="B272" s="1189"/>
      <c r="C272" s="1189"/>
      <c r="D272" s="1189"/>
      <c r="E272" s="1189"/>
      <c r="F272" s="1189"/>
      <c r="G272" s="1189"/>
      <c r="H272" s="1189"/>
      <c r="I272" s="1189"/>
      <c r="J272" s="1189"/>
      <c r="K272" s="1189"/>
      <c r="L272" s="1189"/>
      <c r="M272" s="1189"/>
      <c r="N272" s="1189"/>
      <c r="O272" s="1189"/>
      <c r="P272" s="1189"/>
      <c r="Q272" s="1189"/>
      <c r="R272" s="1189"/>
      <c r="S272" s="1189"/>
      <c r="T272" s="1189"/>
      <c r="U272" s="1189"/>
      <c r="V272" s="1189"/>
      <c r="W272" s="1189"/>
      <c r="X272" s="1189"/>
      <c r="Y272" s="1189"/>
      <c r="Z272" s="1189"/>
    </row>
    <row r="273">
      <c r="A273" s="1189"/>
      <c r="B273" s="1189"/>
      <c r="C273" s="1189"/>
      <c r="D273" s="1189"/>
      <c r="E273" s="1189"/>
      <c r="F273" s="1189"/>
      <c r="G273" s="1189"/>
      <c r="H273" s="1189"/>
      <c r="I273" s="1189"/>
      <c r="J273" s="1189"/>
      <c r="K273" s="1189"/>
      <c r="L273" s="1189"/>
      <c r="M273" s="1189"/>
      <c r="N273" s="1189"/>
      <c r="O273" s="1189"/>
      <c r="P273" s="1189"/>
      <c r="Q273" s="1189"/>
      <c r="R273" s="1189"/>
      <c r="S273" s="1189"/>
      <c r="T273" s="1189"/>
      <c r="U273" s="1189"/>
      <c r="V273" s="1189"/>
      <c r="W273" s="1189"/>
      <c r="X273" s="1189"/>
      <c r="Y273" s="1189"/>
      <c r="Z273" s="1189"/>
    </row>
    <row r="274">
      <c r="A274" s="1189"/>
      <c r="B274" s="1189"/>
      <c r="C274" s="1189"/>
      <c r="D274" s="1189"/>
      <c r="E274" s="1189"/>
      <c r="F274" s="1189"/>
      <c r="G274" s="1189"/>
      <c r="H274" s="1189"/>
      <c r="I274" s="1189"/>
      <c r="J274" s="1189"/>
      <c r="K274" s="1189"/>
      <c r="L274" s="1189"/>
      <c r="M274" s="1189"/>
      <c r="N274" s="1189"/>
      <c r="O274" s="1189"/>
      <c r="P274" s="1189"/>
      <c r="Q274" s="1189"/>
      <c r="R274" s="1189"/>
      <c r="S274" s="1189"/>
      <c r="T274" s="1189"/>
      <c r="U274" s="1189"/>
      <c r="V274" s="1189"/>
      <c r="W274" s="1189"/>
      <c r="X274" s="1189"/>
      <c r="Y274" s="1189"/>
      <c r="Z274" s="1189"/>
    </row>
    <row r="275">
      <c r="A275" s="1189"/>
      <c r="B275" s="1189"/>
      <c r="C275" s="1189"/>
      <c r="D275" s="1189"/>
      <c r="E275" s="1189"/>
      <c r="F275" s="1189"/>
      <c r="G275" s="1189"/>
      <c r="H275" s="1189"/>
      <c r="I275" s="1189"/>
      <c r="J275" s="1189"/>
      <c r="K275" s="1189"/>
      <c r="L275" s="1189"/>
      <c r="M275" s="1189"/>
      <c r="N275" s="1189"/>
      <c r="O275" s="1189"/>
      <c r="P275" s="1189"/>
      <c r="Q275" s="1189"/>
      <c r="R275" s="1189"/>
      <c r="S275" s="1189"/>
      <c r="T275" s="1189"/>
      <c r="U275" s="1189"/>
      <c r="V275" s="1189"/>
      <c r="W275" s="1189"/>
      <c r="X275" s="1189"/>
      <c r="Y275" s="1189"/>
      <c r="Z275" s="1189"/>
    </row>
    <row r="276">
      <c r="A276" s="1189"/>
      <c r="B276" s="1189"/>
      <c r="C276" s="1189"/>
      <c r="D276" s="1189"/>
      <c r="E276" s="1189"/>
      <c r="F276" s="1189"/>
      <c r="G276" s="1189"/>
      <c r="H276" s="1189"/>
      <c r="I276" s="1189"/>
      <c r="J276" s="1189"/>
      <c r="K276" s="1189"/>
      <c r="L276" s="1189"/>
      <c r="M276" s="1189"/>
      <c r="N276" s="1189"/>
      <c r="O276" s="1189"/>
      <c r="P276" s="1189"/>
      <c r="Q276" s="1189"/>
      <c r="R276" s="1189"/>
      <c r="S276" s="1189"/>
      <c r="T276" s="1189"/>
      <c r="U276" s="1189"/>
      <c r="V276" s="1189"/>
      <c r="W276" s="1189"/>
      <c r="X276" s="1189"/>
      <c r="Y276" s="1189"/>
      <c r="Z276" s="1189"/>
    </row>
    <row r="277">
      <c r="A277" s="1189"/>
      <c r="B277" s="1189"/>
      <c r="C277" s="1189"/>
      <c r="D277" s="1189"/>
      <c r="E277" s="1189"/>
      <c r="F277" s="1189"/>
      <c r="G277" s="1189"/>
      <c r="H277" s="1189"/>
      <c r="I277" s="1189"/>
      <c r="J277" s="1189"/>
      <c r="K277" s="1189"/>
      <c r="L277" s="1189"/>
      <c r="M277" s="1189"/>
      <c r="N277" s="1189"/>
      <c r="O277" s="1189"/>
      <c r="P277" s="1189"/>
      <c r="Q277" s="1189"/>
      <c r="R277" s="1189"/>
      <c r="S277" s="1189"/>
      <c r="T277" s="1189"/>
      <c r="U277" s="1189"/>
      <c r="V277" s="1189"/>
      <c r="W277" s="1189"/>
      <c r="X277" s="1189"/>
      <c r="Y277" s="1189"/>
      <c r="Z277" s="1189"/>
    </row>
    <row r="278">
      <c r="A278" s="1189"/>
      <c r="B278" s="1189"/>
      <c r="C278" s="1189"/>
      <c r="D278" s="1189"/>
      <c r="E278" s="1189"/>
      <c r="F278" s="1189"/>
      <c r="G278" s="1189"/>
      <c r="H278" s="1189"/>
      <c r="I278" s="1189"/>
      <c r="J278" s="1189"/>
      <c r="K278" s="1189"/>
      <c r="L278" s="1189"/>
      <c r="M278" s="1189"/>
      <c r="N278" s="1189"/>
      <c r="O278" s="1189"/>
      <c r="P278" s="1189"/>
      <c r="Q278" s="1189"/>
      <c r="R278" s="1189"/>
      <c r="S278" s="1189"/>
      <c r="T278" s="1189"/>
      <c r="U278" s="1189"/>
      <c r="V278" s="1189"/>
      <c r="W278" s="1189"/>
      <c r="X278" s="1189"/>
      <c r="Y278" s="1189"/>
      <c r="Z278" s="1189"/>
    </row>
    <row r="279">
      <c r="A279" s="1189"/>
      <c r="B279" s="1189"/>
      <c r="C279" s="1189"/>
      <c r="D279" s="1189"/>
      <c r="E279" s="1189"/>
      <c r="F279" s="1189"/>
      <c r="G279" s="1189"/>
      <c r="H279" s="1189"/>
      <c r="I279" s="1189"/>
      <c r="J279" s="1189"/>
      <c r="K279" s="1189"/>
      <c r="L279" s="1189"/>
      <c r="M279" s="1189"/>
      <c r="N279" s="1189"/>
      <c r="O279" s="1189"/>
      <c r="P279" s="1189"/>
      <c r="Q279" s="1189"/>
      <c r="R279" s="1189"/>
      <c r="S279" s="1189"/>
      <c r="T279" s="1189"/>
      <c r="U279" s="1189"/>
      <c r="V279" s="1189"/>
      <c r="W279" s="1189"/>
      <c r="X279" s="1189"/>
      <c r="Y279" s="1189"/>
      <c r="Z279" s="1189"/>
    </row>
    <row r="280">
      <c r="A280" s="1189"/>
      <c r="B280" s="1189"/>
      <c r="C280" s="1189"/>
      <c r="D280" s="1189"/>
      <c r="E280" s="1189"/>
      <c r="F280" s="1189"/>
      <c r="G280" s="1189"/>
      <c r="H280" s="1189"/>
      <c r="I280" s="1189"/>
      <c r="J280" s="1189"/>
      <c r="K280" s="1189"/>
      <c r="L280" s="1189"/>
      <c r="M280" s="1189"/>
      <c r="N280" s="1189"/>
      <c r="O280" s="1189"/>
      <c r="P280" s="1189"/>
      <c r="Q280" s="1189"/>
      <c r="R280" s="1189"/>
      <c r="S280" s="1189"/>
      <c r="T280" s="1189"/>
      <c r="U280" s="1189"/>
      <c r="V280" s="1189"/>
      <c r="W280" s="1189"/>
      <c r="X280" s="1189"/>
      <c r="Y280" s="1189"/>
      <c r="Z280" s="1189"/>
    </row>
    <row r="281">
      <c r="A281" s="1189"/>
      <c r="B281" s="1189"/>
      <c r="C281" s="1189"/>
      <c r="D281" s="1189"/>
      <c r="E281" s="1189"/>
      <c r="F281" s="1189"/>
      <c r="G281" s="1189"/>
      <c r="H281" s="1189"/>
      <c r="I281" s="1189"/>
      <c r="J281" s="1189"/>
      <c r="K281" s="1189"/>
      <c r="L281" s="1189"/>
      <c r="M281" s="1189"/>
      <c r="N281" s="1189"/>
      <c r="O281" s="1189"/>
      <c r="P281" s="1189"/>
      <c r="Q281" s="1189"/>
      <c r="R281" s="1189"/>
      <c r="S281" s="1189"/>
      <c r="T281" s="1189"/>
      <c r="U281" s="1189"/>
      <c r="V281" s="1189"/>
      <c r="W281" s="1189"/>
      <c r="X281" s="1189"/>
      <c r="Y281" s="1189"/>
      <c r="Z281" s="1189"/>
    </row>
    <row r="282">
      <c r="A282" s="1189"/>
      <c r="B282" s="1189"/>
      <c r="C282" s="1189"/>
      <c r="D282" s="1189"/>
      <c r="E282" s="1189"/>
      <c r="F282" s="1189"/>
      <c r="G282" s="1189"/>
      <c r="H282" s="1189"/>
      <c r="I282" s="1189"/>
      <c r="J282" s="1189"/>
      <c r="K282" s="1189"/>
      <c r="L282" s="1189"/>
      <c r="M282" s="1189"/>
      <c r="N282" s="1189"/>
      <c r="O282" s="1189"/>
      <c r="P282" s="1189"/>
      <c r="Q282" s="1189"/>
      <c r="R282" s="1189"/>
      <c r="S282" s="1189"/>
      <c r="T282" s="1189"/>
      <c r="U282" s="1189"/>
      <c r="V282" s="1189"/>
      <c r="W282" s="1189"/>
      <c r="X282" s="1189"/>
      <c r="Y282" s="1189"/>
      <c r="Z282" s="1189"/>
    </row>
    <row r="283">
      <c r="A283" s="1189"/>
      <c r="B283" s="1189"/>
      <c r="C283" s="1189"/>
      <c r="D283" s="1189"/>
      <c r="E283" s="1189"/>
      <c r="F283" s="1189"/>
      <c r="G283" s="1189"/>
      <c r="H283" s="1189"/>
      <c r="I283" s="1189"/>
      <c r="J283" s="1189"/>
      <c r="K283" s="1189"/>
      <c r="L283" s="1189"/>
      <c r="M283" s="1189"/>
      <c r="N283" s="1189"/>
      <c r="O283" s="1189"/>
      <c r="P283" s="1189"/>
      <c r="Q283" s="1189"/>
      <c r="R283" s="1189"/>
      <c r="S283" s="1189"/>
      <c r="T283" s="1189"/>
      <c r="U283" s="1189"/>
      <c r="V283" s="1189"/>
      <c r="W283" s="1189"/>
      <c r="X283" s="1189"/>
      <c r="Y283" s="1189"/>
      <c r="Z283" s="1189"/>
    </row>
    <row r="284">
      <c r="A284" s="1189"/>
      <c r="B284" s="1189"/>
      <c r="C284" s="1189"/>
      <c r="D284" s="1189"/>
      <c r="E284" s="1189"/>
      <c r="F284" s="1189"/>
      <c r="G284" s="1189"/>
      <c r="H284" s="1189"/>
      <c r="I284" s="1189"/>
      <c r="J284" s="1189"/>
      <c r="K284" s="1189"/>
      <c r="L284" s="1189"/>
      <c r="M284" s="1189"/>
      <c r="N284" s="1189"/>
      <c r="O284" s="1189"/>
      <c r="P284" s="1189"/>
      <c r="Q284" s="1189"/>
      <c r="R284" s="1189"/>
      <c r="S284" s="1189"/>
      <c r="T284" s="1189"/>
      <c r="U284" s="1189"/>
      <c r="V284" s="1189"/>
      <c r="W284" s="1189"/>
      <c r="X284" s="1189"/>
      <c r="Y284" s="1189"/>
      <c r="Z284" s="1189"/>
    </row>
    <row r="285">
      <c r="A285" s="1189"/>
      <c r="B285" s="1189"/>
      <c r="C285" s="1189"/>
      <c r="D285" s="1189"/>
      <c r="E285" s="1189"/>
      <c r="F285" s="1189"/>
      <c r="G285" s="1189"/>
      <c r="H285" s="1189"/>
      <c r="I285" s="1189"/>
      <c r="J285" s="1189"/>
      <c r="K285" s="1189"/>
      <c r="L285" s="1189"/>
      <c r="M285" s="1189"/>
      <c r="N285" s="1189"/>
      <c r="O285" s="1189"/>
      <c r="P285" s="1189"/>
      <c r="Q285" s="1189"/>
      <c r="R285" s="1189"/>
      <c r="S285" s="1189"/>
      <c r="T285" s="1189"/>
      <c r="U285" s="1189"/>
      <c r="V285" s="1189"/>
      <c r="W285" s="1189"/>
      <c r="X285" s="1189"/>
      <c r="Y285" s="1189"/>
      <c r="Z285" s="1189"/>
    </row>
    <row r="286">
      <c r="A286" s="1189"/>
      <c r="B286" s="1189"/>
      <c r="C286" s="1189"/>
      <c r="D286" s="1189"/>
      <c r="E286" s="1189"/>
      <c r="F286" s="1189"/>
      <c r="G286" s="1189"/>
      <c r="H286" s="1189"/>
      <c r="I286" s="1189"/>
      <c r="J286" s="1189"/>
      <c r="K286" s="1189"/>
      <c r="L286" s="1189"/>
      <c r="M286" s="1189"/>
      <c r="N286" s="1189"/>
      <c r="O286" s="1189"/>
      <c r="P286" s="1189"/>
      <c r="Q286" s="1189"/>
      <c r="R286" s="1189"/>
      <c r="S286" s="1189"/>
      <c r="T286" s="1189"/>
      <c r="U286" s="1189"/>
      <c r="V286" s="1189"/>
      <c r="W286" s="1189"/>
      <c r="X286" s="1189"/>
      <c r="Y286" s="1189"/>
      <c r="Z286" s="1189"/>
    </row>
    <row r="287">
      <c r="A287" s="1189"/>
      <c r="B287" s="1189"/>
      <c r="C287" s="1189"/>
      <c r="D287" s="1189"/>
      <c r="E287" s="1189"/>
      <c r="F287" s="1189"/>
      <c r="G287" s="1189"/>
      <c r="H287" s="1189"/>
      <c r="I287" s="1189"/>
      <c r="J287" s="1189"/>
      <c r="K287" s="1189"/>
      <c r="L287" s="1189"/>
      <c r="M287" s="1189"/>
      <c r="N287" s="1189"/>
      <c r="O287" s="1189"/>
      <c r="P287" s="1189"/>
      <c r="Q287" s="1189"/>
      <c r="R287" s="1189"/>
      <c r="S287" s="1189"/>
      <c r="T287" s="1189"/>
      <c r="U287" s="1189"/>
      <c r="V287" s="1189"/>
      <c r="W287" s="1189"/>
      <c r="X287" s="1189"/>
      <c r="Y287" s="1189"/>
      <c r="Z287" s="1189"/>
    </row>
    <row r="288">
      <c r="A288" s="1189"/>
      <c r="B288" s="1189"/>
      <c r="C288" s="1189"/>
      <c r="D288" s="1189"/>
      <c r="E288" s="1189"/>
      <c r="F288" s="1189"/>
      <c r="G288" s="1189"/>
      <c r="H288" s="1189"/>
      <c r="I288" s="1189"/>
      <c r="J288" s="1189"/>
      <c r="K288" s="1189"/>
      <c r="L288" s="1189"/>
      <c r="M288" s="1189"/>
      <c r="N288" s="1189"/>
      <c r="O288" s="1189"/>
      <c r="P288" s="1189"/>
      <c r="Q288" s="1189"/>
      <c r="R288" s="1189"/>
      <c r="S288" s="1189"/>
      <c r="T288" s="1189"/>
      <c r="U288" s="1189"/>
      <c r="V288" s="1189"/>
      <c r="W288" s="1189"/>
      <c r="X288" s="1189"/>
      <c r="Y288" s="1189"/>
      <c r="Z288" s="1189"/>
    </row>
    <row r="289">
      <c r="A289" s="1189"/>
      <c r="B289" s="1189"/>
      <c r="C289" s="1189"/>
      <c r="D289" s="1189"/>
      <c r="E289" s="1189"/>
      <c r="F289" s="1189"/>
      <c r="G289" s="1189"/>
      <c r="H289" s="1189"/>
      <c r="I289" s="1189"/>
      <c r="J289" s="1189"/>
      <c r="K289" s="1189"/>
      <c r="L289" s="1189"/>
      <c r="M289" s="1189"/>
      <c r="N289" s="1189"/>
      <c r="O289" s="1189"/>
      <c r="P289" s="1189"/>
      <c r="Q289" s="1189"/>
      <c r="R289" s="1189"/>
      <c r="S289" s="1189"/>
      <c r="T289" s="1189"/>
      <c r="U289" s="1189"/>
      <c r="V289" s="1189"/>
      <c r="W289" s="1189"/>
      <c r="X289" s="1189"/>
      <c r="Y289" s="1189"/>
      <c r="Z289" s="1189"/>
    </row>
    <row r="290">
      <c r="A290" s="1189"/>
      <c r="B290" s="1189"/>
      <c r="C290" s="1189"/>
      <c r="D290" s="1189"/>
      <c r="E290" s="1189"/>
      <c r="F290" s="1189"/>
      <c r="G290" s="1189"/>
      <c r="H290" s="1189"/>
      <c r="I290" s="1189"/>
      <c r="J290" s="1189"/>
      <c r="K290" s="1189"/>
      <c r="L290" s="1189"/>
      <c r="M290" s="1189"/>
      <c r="N290" s="1189"/>
      <c r="O290" s="1189"/>
      <c r="P290" s="1189"/>
      <c r="Q290" s="1189"/>
      <c r="R290" s="1189"/>
      <c r="S290" s="1189"/>
      <c r="T290" s="1189"/>
      <c r="U290" s="1189"/>
      <c r="V290" s="1189"/>
      <c r="W290" s="1189"/>
      <c r="X290" s="1189"/>
      <c r="Y290" s="1189"/>
      <c r="Z290" s="1189"/>
    </row>
    <row r="291">
      <c r="A291" s="1189"/>
      <c r="B291" s="1189"/>
      <c r="C291" s="1189"/>
      <c r="D291" s="1189"/>
      <c r="E291" s="1189"/>
      <c r="F291" s="1189"/>
      <c r="G291" s="1189"/>
      <c r="H291" s="1189"/>
      <c r="I291" s="1189"/>
      <c r="J291" s="1189"/>
      <c r="K291" s="1189"/>
      <c r="L291" s="1189"/>
      <c r="M291" s="1189"/>
      <c r="N291" s="1189"/>
      <c r="O291" s="1189"/>
      <c r="P291" s="1189"/>
      <c r="Q291" s="1189"/>
      <c r="R291" s="1189"/>
      <c r="S291" s="1189"/>
      <c r="T291" s="1189"/>
      <c r="U291" s="1189"/>
      <c r="V291" s="1189"/>
      <c r="W291" s="1189"/>
      <c r="X291" s="1189"/>
      <c r="Y291" s="1189"/>
      <c r="Z291" s="1189"/>
    </row>
    <row r="292">
      <c r="A292" s="1189"/>
      <c r="B292" s="1189"/>
      <c r="C292" s="1189"/>
      <c r="D292" s="1189"/>
      <c r="E292" s="1189"/>
      <c r="F292" s="1189"/>
      <c r="G292" s="1189"/>
      <c r="H292" s="1189"/>
      <c r="I292" s="1189"/>
      <c r="J292" s="1189"/>
      <c r="K292" s="1189"/>
      <c r="L292" s="1189"/>
      <c r="M292" s="1189"/>
      <c r="N292" s="1189"/>
      <c r="O292" s="1189"/>
      <c r="P292" s="1189"/>
      <c r="Q292" s="1189"/>
      <c r="R292" s="1189"/>
      <c r="S292" s="1189"/>
      <c r="T292" s="1189"/>
      <c r="U292" s="1189"/>
      <c r="V292" s="1189"/>
      <c r="W292" s="1189"/>
      <c r="X292" s="1189"/>
      <c r="Y292" s="1189"/>
      <c r="Z292" s="1189"/>
    </row>
    <row r="293">
      <c r="A293" s="1189"/>
      <c r="B293" s="1189"/>
      <c r="C293" s="1189"/>
      <c r="D293" s="1189"/>
      <c r="E293" s="1189"/>
      <c r="F293" s="1189"/>
      <c r="G293" s="1189"/>
      <c r="H293" s="1189"/>
      <c r="I293" s="1189"/>
      <c r="J293" s="1189"/>
      <c r="K293" s="1189"/>
      <c r="L293" s="1189"/>
      <c r="M293" s="1189"/>
      <c r="N293" s="1189"/>
      <c r="O293" s="1189"/>
      <c r="P293" s="1189"/>
      <c r="Q293" s="1189"/>
      <c r="R293" s="1189"/>
      <c r="S293" s="1189"/>
      <c r="T293" s="1189"/>
      <c r="U293" s="1189"/>
      <c r="V293" s="1189"/>
      <c r="W293" s="1189"/>
      <c r="X293" s="1189"/>
      <c r="Y293" s="1189"/>
      <c r="Z293" s="1189"/>
    </row>
    <row r="294">
      <c r="A294" s="1189"/>
      <c r="B294" s="1189"/>
      <c r="C294" s="1189"/>
      <c r="D294" s="1189"/>
      <c r="E294" s="1189"/>
      <c r="F294" s="1189"/>
      <c r="G294" s="1189"/>
      <c r="H294" s="1189"/>
      <c r="I294" s="1189"/>
      <c r="J294" s="1189"/>
      <c r="K294" s="1189"/>
      <c r="L294" s="1189"/>
      <c r="M294" s="1189"/>
      <c r="N294" s="1189"/>
      <c r="O294" s="1189"/>
      <c r="P294" s="1189"/>
      <c r="Q294" s="1189"/>
      <c r="R294" s="1189"/>
      <c r="S294" s="1189"/>
      <c r="T294" s="1189"/>
      <c r="U294" s="1189"/>
      <c r="V294" s="1189"/>
      <c r="W294" s="1189"/>
      <c r="X294" s="1189"/>
      <c r="Y294" s="1189"/>
      <c r="Z294" s="1189"/>
    </row>
    <row r="295">
      <c r="A295" s="1189"/>
      <c r="B295" s="1189"/>
      <c r="C295" s="1189"/>
      <c r="D295" s="1189"/>
      <c r="E295" s="1189"/>
      <c r="F295" s="1189"/>
      <c r="G295" s="1189"/>
      <c r="H295" s="1189"/>
      <c r="I295" s="1189"/>
      <c r="J295" s="1189"/>
      <c r="K295" s="1189"/>
      <c r="L295" s="1189"/>
      <c r="M295" s="1189"/>
      <c r="N295" s="1189"/>
      <c r="O295" s="1189"/>
      <c r="P295" s="1189"/>
      <c r="Q295" s="1189"/>
      <c r="R295" s="1189"/>
      <c r="S295" s="1189"/>
      <c r="T295" s="1189"/>
      <c r="U295" s="1189"/>
      <c r="V295" s="1189"/>
      <c r="W295" s="1189"/>
      <c r="X295" s="1189"/>
      <c r="Y295" s="1189"/>
      <c r="Z295" s="1189"/>
    </row>
    <row r="296">
      <c r="A296" s="1189"/>
      <c r="B296" s="1189"/>
      <c r="C296" s="1189"/>
      <c r="D296" s="1189"/>
      <c r="E296" s="1189"/>
      <c r="F296" s="1189"/>
      <c r="G296" s="1189"/>
      <c r="H296" s="1189"/>
      <c r="I296" s="1189"/>
      <c r="J296" s="1189"/>
      <c r="K296" s="1189"/>
      <c r="L296" s="1189"/>
      <c r="M296" s="1189"/>
      <c r="N296" s="1189"/>
      <c r="O296" s="1189"/>
      <c r="P296" s="1189"/>
      <c r="Q296" s="1189"/>
      <c r="R296" s="1189"/>
      <c r="S296" s="1189"/>
      <c r="T296" s="1189"/>
      <c r="U296" s="1189"/>
      <c r="V296" s="1189"/>
      <c r="W296" s="1189"/>
      <c r="X296" s="1189"/>
      <c r="Y296" s="1189"/>
      <c r="Z296" s="1189"/>
    </row>
    <row r="297">
      <c r="A297" s="1189"/>
      <c r="B297" s="1189"/>
      <c r="C297" s="1189"/>
      <c r="D297" s="1189"/>
      <c r="E297" s="1189"/>
      <c r="F297" s="1189"/>
      <c r="G297" s="1189"/>
      <c r="H297" s="1189"/>
      <c r="I297" s="1189"/>
      <c r="J297" s="1189"/>
      <c r="K297" s="1189"/>
      <c r="L297" s="1189"/>
      <c r="M297" s="1189"/>
      <c r="N297" s="1189"/>
      <c r="O297" s="1189"/>
      <c r="P297" s="1189"/>
      <c r="Q297" s="1189"/>
      <c r="R297" s="1189"/>
      <c r="S297" s="1189"/>
      <c r="T297" s="1189"/>
      <c r="U297" s="1189"/>
      <c r="V297" s="1189"/>
      <c r="W297" s="1189"/>
      <c r="X297" s="1189"/>
      <c r="Y297" s="1189"/>
      <c r="Z297" s="1189"/>
    </row>
    <row r="298">
      <c r="A298" s="1189"/>
      <c r="B298" s="1189"/>
      <c r="C298" s="1189"/>
      <c r="D298" s="1189"/>
      <c r="E298" s="1189"/>
      <c r="F298" s="1189"/>
      <c r="G298" s="1189"/>
      <c r="H298" s="1189"/>
      <c r="I298" s="1189"/>
      <c r="J298" s="1189"/>
      <c r="K298" s="1189"/>
      <c r="L298" s="1189"/>
      <c r="M298" s="1189"/>
      <c r="N298" s="1189"/>
      <c r="O298" s="1189"/>
      <c r="P298" s="1189"/>
      <c r="Q298" s="1189"/>
      <c r="R298" s="1189"/>
      <c r="S298" s="1189"/>
      <c r="T298" s="1189"/>
      <c r="U298" s="1189"/>
      <c r="V298" s="1189"/>
      <c r="W298" s="1189"/>
      <c r="X298" s="1189"/>
      <c r="Y298" s="1189"/>
      <c r="Z298" s="1189"/>
    </row>
    <row r="299">
      <c r="A299" s="1189"/>
      <c r="B299" s="1189"/>
      <c r="C299" s="1189"/>
      <c r="D299" s="1189"/>
      <c r="E299" s="1189"/>
      <c r="F299" s="1189"/>
      <c r="G299" s="1189"/>
      <c r="H299" s="1189"/>
      <c r="I299" s="1189"/>
      <c r="J299" s="1189"/>
      <c r="K299" s="1189"/>
      <c r="L299" s="1189"/>
      <c r="M299" s="1189"/>
      <c r="N299" s="1189"/>
      <c r="O299" s="1189"/>
      <c r="P299" s="1189"/>
      <c r="Q299" s="1189"/>
      <c r="R299" s="1189"/>
      <c r="S299" s="1189"/>
      <c r="T299" s="1189"/>
      <c r="U299" s="1189"/>
      <c r="V299" s="1189"/>
      <c r="W299" s="1189"/>
      <c r="X299" s="1189"/>
      <c r="Y299" s="1189"/>
      <c r="Z299" s="1189"/>
    </row>
    <row r="300">
      <c r="A300" s="1189"/>
      <c r="B300" s="1189"/>
      <c r="C300" s="1189"/>
      <c r="D300" s="1189"/>
      <c r="E300" s="1189"/>
      <c r="F300" s="1189"/>
      <c r="G300" s="1189"/>
      <c r="H300" s="1189"/>
      <c r="I300" s="1189"/>
      <c r="J300" s="1189"/>
      <c r="K300" s="1189"/>
      <c r="L300" s="1189"/>
      <c r="M300" s="1189"/>
      <c r="N300" s="1189"/>
      <c r="O300" s="1189"/>
      <c r="P300" s="1189"/>
      <c r="Q300" s="1189"/>
      <c r="R300" s="1189"/>
      <c r="S300" s="1189"/>
      <c r="T300" s="1189"/>
      <c r="U300" s="1189"/>
      <c r="V300" s="1189"/>
      <c r="W300" s="1189"/>
      <c r="X300" s="1189"/>
      <c r="Y300" s="1189"/>
      <c r="Z300" s="1189"/>
    </row>
    <row r="301">
      <c r="A301" s="1189"/>
      <c r="B301" s="1189"/>
      <c r="C301" s="1189"/>
      <c r="D301" s="1189"/>
      <c r="E301" s="1189"/>
      <c r="F301" s="1189"/>
      <c r="G301" s="1189"/>
      <c r="H301" s="1189"/>
      <c r="I301" s="1189"/>
      <c r="J301" s="1189"/>
      <c r="K301" s="1189"/>
      <c r="L301" s="1189"/>
      <c r="M301" s="1189"/>
      <c r="N301" s="1189"/>
      <c r="O301" s="1189"/>
      <c r="P301" s="1189"/>
      <c r="Q301" s="1189"/>
      <c r="R301" s="1189"/>
      <c r="S301" s="1189"/>
      <c r="T301" s="1189"/>
      <c r="U301" s="1189"/>
      <c r="V301" s="1189"/>
      <c r="W301" s="1189"/>
      <c r="X301" s="1189"/>
      <c r="Y301" s="1189"/>
      <c r="Z301" s="1189"/>
    </row>
    <row r="302">
      <c r="A302" s="1189"/>
      <c r="B302" s="1189"/>
      <c r="C302" s="1189"/>
      <c r="D302" s="1189"/>
      <c r="E302" s="1189"/>
      <c r="F302" s="1189"/>
      <c r="G302" s="1189"/>
      <c r="H302" s="1189"/>
      <c r="I302" s="1189"/>
      <c r="J302" s="1189"/>
      <c r="K302" s="1189"/>
      <c r="L302" s="1189"/>
      <c r="M302" s="1189"/>
      <c r="N302" s="1189"/>
      <c r="O302" s="1189"/>
      <c r="P302" s="1189"/>
      <c r="Q302" s="1189"/>
      <c r="R302" s="1189"/>
      <c r="S302" s="1189"/>
      <c r="T302" s="1189"/>
      <c r="U302" s="1189"/>
      <c r="V302" s="1189"/>
      <c r="W302" s="1189"/>
      <c r="X302" s="1189"/>
      <c r="Y302" s="1189"/>
      <c r="Z302" s="1189"/>
    </row>
    <row r="303">
      <c r="A303" s="1189"/>
      <c r="B303" s="1189"/>
      <c r="C303" s="1189"/>
      <c r="D303" s="1189"/>
      <c r="E303" s="1189"/>
      <c r="F303" s="1189"/>
      <c r="G303" s="1189"/>
      <c r="H303" s="1189"/>
      <c r="I303" s="1189"/>
      <c r="J303" s="1189"/>
      <c r="K303" s="1189"/>
      <c r="L303" s="1189"/>
      <c r="M303" s="1189"/>
      <c r="N303" s="1189"/>
      <c r="O303" s="1189"/>
      <c r="P303" s="1189"/>
      <c r="Q303" s="1189"/>
      <c r="R303" s="1189"/>
      <c r="S303" s="1189"/>
      <c r="T303" s="1189"/>
      <c r="U303" s="1189"/>
      <c r="V303" s="1189"/>
      <c r="W303" s="1189"/>
      <c r="X303" s="1189"/>
      <c r="Y303" s="1189"/>
      <c r="Z303" s="1189"/>
    </row>
    <row r="304">
      <c r="A304" s="1189"/>
      <c r="B304" s="1189"/>
      <c r="C304" s="1189"/>
      <c r="D304" s="1189"/>
      <c r="E304" s="1189"/>
      <c r="F304" s="1189"/>
      <c r="G304" s="1189"/>
      <c r="H304" s="1189"/>
      <c r="I304" s="1189"/>
      <c r="J304" s="1189"/>
      <c r="K304" s="1189"/>
      <c r="L304" s="1189"/>
      <c r="M304" s="1189"/>
      <c r="N304" s="1189"/>
      <c r="O304" s="1189"/>
      <c r="P304" s="1189"/>
      <c r="Q304" s="1189"/>
      <c r="R304" s="1189"/>
      <c r="S304" s="1189"/>
      <c r="T304" s="1189"/>
      <c r="U304" s="1189"/>
      <c r="V304" s="1189"/>
      <c r="W304" s="1189"/>
      <c r="X304" s="1189"/>
      <c r="Y304" s="1189"/>
      <c r="Z304" s="1189"/>
    </row>
    <row r="305">
      <c r="A305" s="1189"/>
      <c r="B305" s="1189"/>
      <c r="C305" s="1189"/>
      <c r="D305" s="1189"/>
      <c r="E305" s="1189"/>
      <c r="F305" s="1189"/>
      <c r="G305" s="1189"/>
      <c r="H305" s="1189"/>
      <c r="I305" s="1189"/>
      <c r="J305" s="1189"/>
      <c r="K305" s="1189"/>
      <c r="L305" s="1189"/>
      <c r="M305" s="1189"/>
      <c r="N305" s="1189"/>
      <c r="O305" s="1189"/>
      <c r="P305" s="1189"/>
      <c r="Q305" s="1189"/>
      <c r="R305" s="1189"/>
      <c r="S305" s="1189"/>
      <c r="T305" s="1189"/>
      <c r="U305" s="1189"/>
      <c r="V305" s="1189"/>
      <c r="W305" s="1189"/>
      <c r="X305" s="1189"/>
      <c r="Y305" s="1189"/>
      <c r="Z305" s="1189"/>
    </row>
    <row r="306">
      <c r="A306" s="1189"/>
      <c r="B306" s="1189"/>
      <c r="C306" s="1189"/>
      <c r="D306" s="1189"/>
      <c r="E306" s="1189"/>
      <c r="F306" s="1189"/>
      <c r="G306" s="1189"/>
      <c r="H306" s="1189"/>
      <c r="I306" s="1189"/>
      <c r="J306" s="1189"/>
      <c r="K306" s="1189"/>
      <c r="L306" s="1189"/>
      <c r="M306" s="1189"/>
      <c r="N306" s="1189"/>
      <c r="O306" s="1189"/>
      <c r="P306" s="1189"/>
      <c r="Q306" s="1189"/>
      <c r="R306" s="1189"/>
      <c r="S306" s="1189"/>
      <c r="T306" s="1189"/>
      <c r="U306" s="1189"/>
      <c r="V306" s="1189"/>
      <c r="W306" s="1189"/>
      <c r="X306" s="1189"/>
      <c r="Y306" s="1189"/>
      <c r="Z306" s="1189"/>
    </row>
    <row r="307">
      <c r="A307" s="1189"/>
      <c r="B307" s="1189"/>
      <c r="C307" s="1189"/>
      <c r="D307" s="1189"/>
      <c r="E307" s="1189"/>
      <c r="F307" s="1189"/>
      <c r="G307" s="1189"/>
      <c r="H307" s="1189"/>
      <c r="I307" s="1189"/>
      <c r="J307" s="1189"/>
      <c r="K307" s="1189"/>
      <c r="L307" s="1189"/>
      <c r="M307" s="1189"/>
      <c r="N307" s="1189"/>
      <c r="O307" s="1189"/>
      <c r="P307" s="1189"/>
      <c r="Q307" s="1189"/>
      <c r="R307" s="1189"/>
      <c r="S307" s="1189"/>
      <c r="T307" s="1189"/>
      <c r="U307" s="1189"/>
      <c r="V307" s="1189"/>
      <c r="W307" s="1189"/>
      <c r="X307" s="1189"/>
      <c r="Y307" s="1189"/>
      <c r="Z307" s="1189"/>
    </row>
    <row r="308">
      <c r="A308" s="1189"/>
      <c r="B308" s="1189"/>
      <c r="C308" s="1189"/>
      <c r="D308" s="1189"/>
      <c r="E308" s="1189"/>
      <c r="F308" s="1189"/>
      <c r="G308" s="1189"/>
      <c r="H308" s="1189"/>
      <c r="I308" s="1189"/>
      <c r="J308" s="1189"/>
      <c r="K308" s="1189"/>
      <c r="L308" s="1189"/>
      <c r="M308" s="1189"/>
      <c r="N308" s="1189"/>
      <c r="O308" s="1189"/>
      <c r="P308" s="1189"/>
      <c r="Q308" s="1189"/>
      <c r="R308" s="1189"/>
      <c r="S308" s="1189"/>
      <c r="T308" s="1189"/>
      <c r="U308" s="1189"/>
      <c r="V308" s="1189"/>
      <c r="W308" s="1189"/>
      <c r="X308" s="1189"/>
      <c r="Y308" s="1189"/>
      <c r="Z308" s="1189"/>
    </row>
    <row r="309">
      <c r="A309" s="1189"/>
      <c r="B309" s="1189"/>
      <c r="C309" s="1189"/>
      <c r="D309" s="1189"/>
      <c r="E309" s="1189"/>
      <c r="F309" s="1189"/>
      <c r="G309" s="1189"/>
      <c r="H309" s="1189"/>
      <c r="I309" s="1189"/>
      <c r="J309" s="1189"/>
      <c r="K309" s="1189"/>
      <c r="L309" s="1189"/>
      <c r="M309" s="1189"/>
      <c r="N309" s="1189"/>
      <c r="O309" s="1189"/>
      <c r="P309" s="1189"/>
      <c r="Q309" s="1189"/>
      <c r="R309" s="1189"/>
      <c r="S309" s="1189"/>
      <c r="T309" s="1189"/>
      <c r="U309" s="1189"/>
      <c r="V309" s="1189"/>
      <c r="W309" s="1189"/>
      <c r="X309" s="1189"/>
      <c r="Y309" s="1189"/>
      <c r="Z309" s="1189"/>
    </row>
    <row r="310">
      <c r="A310" s="1189"/>
      <c r="B310" s="1189"/>
      <c r="C310" s="1189"/>
      <c r="D310" s="1189"/>
      <c r="E310" s="1189"/>
      <c r="F310" s="1189"/>
      <c r="G310" s="1189"/>
      <c r="H310" s="1189"/>
      <c r="I310" s="1189"/>
      <c r="J310" s="1189"/>
      <c r="K310" s="1189"/>
      <c r="L310" s="1189"/>
      <c r="M310" s="1189"/>
      <c r="N310" s="1189"/>
      <c r="O310" s="1189"/>
      <c r="P310" s="1189"/>
      <c r="Q310" s="1189"/>
      <c r="R310" s="1189"/>
      <c r="S310" s="1189"/>
      <c r="T310" s="1189"/>
      <c r="U310" s="1189"/>
      <c r="V310" s="1189"/>
      <c r="W310" s="1189"/>
      <c r="X310" s="1189"/>
      <c r="Y310" s="1189"/>
      <c r="Z310" s="1189"/>
    </row>
    <row r="311">
      <c r="A311" s="1189"/>
      <c r="B311" s="1189"/>
      <c r="C311" s="1189"/>
      <c r="D311" s="1189"/>
      <c r="E311" s="1189"/>
      <c r="F311" s="1189"/>
      <c r="G311" s="1189"/>
      <c r="H311" s="1189"/>
      <c r="I311" s="1189"/>
      <c r="J311" s="1189"/>
      <c r="K311" s="1189"/>
      <c r="L311" s="1189"/>
      <c r="M311" s="1189"/>
      <c r="N311" s="1189"/>
      <c r="O311" s="1189"/>
      <c r="P311" s="1189"/>
      <c r="Q311" s="1189"/>
      <c r="R311" s="1189"/>
      <c r="S311" s="1189"/>
      <c r="T311" s="1189"/>
      <c r="U311" s="1189"/>
      <c r="V311" s="1189"/>
      <c r="W311" s="1189"/>
      <c r="X311" s="1189"/>
      <c r="Y311" s="1189"/>
      <c r="Z311" s="1189"/>
    </row>
    <row r="312">
      <c r="A312" s="1189"/>
      <c r="B312" s="1189"/>
      <c r="C312" s="1189"/>
      <c r="D312" s="1189"/>
      <c r="E312" s="1189"/>
      <c r="F312" s="1189"/>
      <c r="G312" s="1189"/>
      <c r="H312" s="1189"/>
      <c r="I312" s="1189"/>
      <c r="J312" s="1189"/>
      <c r="K312" s="1189"/>
      <c r="L312" s="1189"/>
      <c r="M312" s="1189"/>
      <c r="N312" s="1189"/>
      <c r="O312" s="1189"/>
      <c r="P312" s="1189"/>
      <c r="Q312" s="1189"/>
      <c r="R312" s="1189"/>
      <c r="S312" s="1189"/>
      <c r="T312" s="1189"/>
      <c r="U312" s="1189"/>
      <c r="V312" s="1189"/>
      <c r="W312" s="1189"/>
      <c r="X312" s="1189"/>
      <c r="Y312" s="1189"/>
      <c r="Z312" s="1189"/>
    </row>
    <row r="313">
      <c r="A313" s="1189"/>
      <c r="B313" s="1189"/>
      <c r="C313" s="1189"/>
      <c r="D313" s="1189"/>
      <c r="E313" s="1189"/>
      <c r="F313" s="1189"/>
      <c r="G313" s="1189"/>
      <c r="H313" s="1189"/>
      <c r="I313" s="1189"/>
      <c r="J313" s="1189"/>
      <c r="K313" s="1189"/>
      <c r="L313" s="1189"/>
      <c r="M313" s="1189"/>
      <c r="N313" s="1189"/>
      <c r="O313" s="1189"/>
      <c r="P313" s="1189"/>
      <c r="Q313" s="1189"/>
      <c r="R313" s="1189"/>
      <c r="S313" s="1189"/>
      <c r="T313" s="1189"/>
      <c r="U313" s="1189"/>
      <c r="V313" s="1189"/>
      <c r="W313" s="1189"/>
      <c r="X313" s="1189"/>
      <c r="Y313" s="1189"/>
      <c r="Z313" s="1189"/>
    </row>
    <row r="314">
      <c r="A314" s="1189"/>
      <c r="B314" s="1189"/>
      <c r="C314" s="1189"/>
      <c r="D314" s="1189"/>
      <c r="E314" s="1189"/>
      <c r="F314" s="1189"/>
      <c r="G314" s="1189"/>
      <c r="H314" s="1189"/>
      <c r="I314" s="1189"/>
      <c r="J314" s="1189"/>
      <c r="K314" s="1189"/>
      <c r="L314" s="1189"/>
      <c r="M314" s="1189"/>
      <c r="N314" s="1189"/>
      <c r="O314" s="1189"/>
      <c r="P314" s="1189"/>
      <c r="Q314" s="1189"/>
      <c r="R314" s="1189"/>
      <c r="S314" s="1189"/>
      <c r="T314" s="1189"/>
      <c r="U314" s="1189"/>
      <c r="V314" s="1189"/>
      <c r="W314" s="1189"/>
      <c r="X314" s="1189"/>
      <c r="Y314" s="1189"/>
      <c r="Z314" s="1189"/>
    </row>
    <row r="315">
      <c r="A315" s="1189"/>
      <c r="B315" s="1189"/>
      <c r="C315" s="1189"/>
      <c r="D315" s="1189"/>
      <c r="E315" s="1189"/>
      <c r="F315" s="1189"/>
      <c r="G315" s="1189"/>
      <c r="H315" s="1189"/>
      <c r="I315" s="1189"/>
      <c r="J315" s="1189"/>
      <c r="K315" s="1189"/>
      <c r="L315" s="1189"/>
      <c r="M315" s="1189"/>
      <c r="N315" s="1189"/>
      <c r="O315" s="1189"/>
      <c r="P315" s="1189"/>
      <c r="Q315" s="1189"/>
      <c r="R315" s="1189"/>
      <c r="S315" s="1189"/>
      <c r="T315" s="1189"/>
      <c r="U315" s="1189"/>
      <c r="V315" s="1189"/>
      <c r="W315" s="1189"/>
      <c r="X315" s="1189"/>
      <c r="Y315" s="1189"/>
      <c r="Z315" s="1189"/>
    </row>
    <row r="316">
      <c r="A316" s="1189"/>
      <c r="B316" s="1189"/>
      <c r="C316" s="1189"/>
      <c r="D316" s="1189"/>
      <c r="E316" s="1189"/>
      <c r="F316" s="1189"/>
      <c r="G316" s="1189"/>
      <c r="H316" s="1189"/>
      <c r="I316" s="1189"/>
      <c r="J316" s="1189"/>
      <c r="K316" s="1189"/>
      <c r="L316" s="1189"/>
      <c r="M316" s="1189"/>
      <c r="N316" s="1189"/>
      <c r="O316" s="1189"/>
      <c r="P316" s="1189"/>
      <c r="Q316" s="1189"/>
      <c r="R316" s="1189"/>
      <c r="S316" s="1189"/>
      <c r="T316" s="1189"/>
      <c r="U316" s="1189"/>
      <c r="V316" s="1189"/>
      <c r="W316" s="1189"/>
      <c r="X316" s="1189"/>
      <c r="Y316" s="1189"/>
      <c r="Z316" s="1189"/>
    </row>
    <row r="317">
      <c r="A317" s="1189"/>
      <c r="B317" s="1189"/>
      <c r="C317" s="1189"/>
      <c r="D317" s="1189"/>
      <c r="E317" s="1189"/>
      <c r="F317" s="1189"/>
      <c r="G317" s="1189"/>
      <c r="H317" s="1189"/>
      <c r="I317" s="1189"/>
      <c r="J317" s="1189"/>
      <c r="K317" s="1189"/>
      <c r="L317" s="1189"/>
      <c r="M317" s="1189"/>
      <c r="N317" s="1189"/>
      <c r="O317" s="1189"/>
      <c r="P317" s="1189"/>
      <c r="Q317" s="1189"/>
      <c r="R317" s="1189"/>
      <c r="S317" s="1189"/>
      <c r="T317" s="1189"/>
      <c r="U317" s="1189"/>
      <c r="V317" s="1189"/>
      <c r="W317" s="1189"/>
      <c r="X317" s="1189"/>
      <c r="Y317" s="1189"/>
      <c r="Z317" s="1189"/>
    </row>
    <row r="318">
      <c r="A318" s="1189"/>
      <c r="B318" s="1189"/>
      <c r="C318" s="1189"/>
      <c r="D318" s="1189"/>
      <c r="E318" s="1189"/>
      <c r="F318" s="1189"/>
      <c r="G318" s="1189"/>
      <c r="H318" s="1189"/>
      <c r="I318" s="1189"/>
      <c r="J318" s="1189"/>
      <c r="K318" s="1189"/>
      <c r="L318" s="1189"/>
      <c r="M318" s="1189"/>
      <c r="N318" s="1189"/>
      <c r="O318" s="1189"/>
      <c r="P318" s="1189"/>
      <c r="Q318" s="1189"/>
      <c r="R318" s="1189"/>
      <c r="S318" s="1189"/>
      <c r="T318" s="1189"/>
      <c r="U318" s="1189"/>
      <c r="V318" s="1189"/>
      <c r="W318" s="1189"/>
      <c r="X318" s="1189"/>
      <c r="Y318" s="1189"/>
      <c r="Z318" s="1189"/>
    </row>
    <row r="319">
      <c r="A319" s="1189"/>
      <c r="B319" s="1189"/>
      <c r="C319" s="1189"/>
      <c r="D319" s="1189"/>
      <c r="E319" s="1189"/>
      <c r="F319" s="1189"/>
      <c r="G319" s="1189"/>
      <c r="H319" s="1189"/>
      <c r="I319" s="1189"/>
      <c r="J319" s="1189"/>
      <c r="K319" s="1189"/>
      <c r="L319" s="1189"/>
      <c r="M319" s="1189"/>
      <c r="N319" s="1189"/>
      <c r="O319" s="1189"/>
      <c r="P319" s="1189"/>
      <c r="Q319" s="1189"/>
      <c r="R319" s="1189"/>
      <c r="S319" s="1189"/>
      <c r="T319" s="1189"/>
      <c r="U319" s="1189"/>
      <c r="V319" s="1189"/>
      <c r="W319" s="1189"/>
      <c r="X319" s="1189"/>
      <c r="Y319" s="1189"/>
      <c r="Z319" s="1189"/>
    </row>
    <row r="320">
      <c r="A320" s="1189"/>
      <c r="B320" s="1189"/>
      <c r="C320" s="1189"/>
      <c r="D320" s="1189"/>
      <c r="E320" s="1189"/>
      <c r="F320" s="1189"/>
      <c r="G320" s="1189"/>
      <c r="H320" s="1189"/>
      <c r="I320" s="1189"/>
      <c r="J320" s="1189"/>
      <c r="K320" s="1189"/>
      <c r="L320" s="1189"/>
      <c r="M320" s="1189"/>
      <c r="N320" s="1189"/>
      <c r="O320" s="1189"/>
      <c r="P320" s="1189"/>
      <c r="Q320" s="1189"/>
      <c r="R320" s="1189"/>
      <c r="S320" s="1189"/>
      <c r="T320" s="1189"/>
      <c r="U320" s="1189"/>
      <c r="V320" s="1189"/>
      <c r="W320" s="1189"/>
      <c r="X320" s="1189"/>
      <c r="Y320" s="1189"/>
      <c r="Z320" s="1189"/>
    </row>
    <row r="321">
      <c r="A321" s="1189"/>
      <c r="B321" s="1189"/>
      <c r="C321" s="1189"/>
      <c r="D321" s="1189"/>
      <c r="E321" s="1189"/>
      <c r="F321" s="1189"/>
      <c r="G321" s="1189"/>
      <c r="H321" s="1189"/>
      <c r="I321" s="1189"/>
      <c r="J321" s="1189"/>
      <c r="K321" s="1189"/>
      <c r="L321" s="1189"/>
      <c r="M321" s="1189"/>
      <c r="N321" s="1189"/>
      <c r="O321" s="1189"/>
      <c r="P321" s="1189"/>
      <c r="Q321" s="1189"/>
      <c r="R321" s="1189"/>
      <c r="S321" s="1189"/>
      <c r="T321" s="1189"/>
      <c r="U321" s="1189"/>
      <c r="V321" s="1189"/>
      <c r="W321" s="1189"/>
      <c r="X321" s="1189"/>
      <c r="Y321" s="1189"/>
      <c r="Z321" s="1189"/>
    </row>
    <row r="322">
      <c r="A322" s="1189"/>
      <c r="B322" s="1189"/>
      <c r="C322" s="1189"/>
      <c r="D322" s="1189"/>
      <c r="E322" s="1189"/>
      <c r="F322" s="1189"/>
      <c r="G322" s="1189"/>
      <c r="H322" s="1189"/>
      <c r="I322" s="1189"/>
      <c r="J322" s="1189"/>
      <c r="K322" s="1189"/>
      <c r="L322" s="1189"/>
      <c r="M322" s="1189"/>
      <c r="N322" s="1189"/>
      <c r="O322" s="1189"/>
      <c r="P322" s="1189"/>
      <c r="Q322" s="1189"/>
      <c r="R322" s="1189"/>
      <c r="S322" s="1189"/>
      <c r="T322" s="1189"/>
      <c r="U322" s="1189"/>
      <c r="V322" s="1189"/>
      <c r="W322" s="1189"/>
      <c r="X322" s="1189"/>
      <c r="Y322" s="1189"/>
      <c r="Z322" s="1189"/>
    </row>
    <row r="323">
      <c r="A323" s="1189"/>
      <c r="B323" s="1189"/>
      <c r="C323" s="1189"/>
      <c r="D323" s="1189"/>
      <c r="E323" s="1189"/>
      <c r="F323" s="1189"/>
      <c r="G323" s="1189"/>
      <c r="H323" s="1189"/>
      <c r="I323" s="1189"/>
      <c r="J323" s="1189"/>
      <c r="K323" s="1189"/>
      <c r="L323" s="1189"/>
      <c r="M323" s="1189"/>
      <c r="N323" s="1189"/>
      <c r="O323" s="1189"/>
      <c r="P323" s="1189"/>
      <c r="Q323" s="1189"/>
      <c r="R323" s="1189"/>
      <c r="S323" s="1189"/>
      <c r="T323" s="1189"/>
      <c r="U323" s="1189"/>
      <c r="V323" s="1189"/>
      <c r="W323" s="1189"/>
      <c r="X323" s="1189"/>
      <c r="Y323" s="1189"/>
      <c r="Z323" s="1189"/>
    </row>
    <row r="324">
      <c r="A324" s="1189"/>
      <c r="B324" s="1189"/>
      <c r="C324" s="1189"/>
      <c r="D324" s="1189"/>
      <c r="E324" s="1189"/>
      <c r="F324" s="1189"/>
      <c r="G324" s="1189"/>
      <c r="H324" s="1189"/>
      <c r="I324" s="1189"/>
      <c r="J324" s="1189"/>
      <c r="K324" s="1189"/>
      <c r="L324" s="1189"/>
      <c r="M324" s="1189"/>
      <c r="N324" s="1189"/>
      <c r="O324" s="1189"/>
      <c r="P324" s="1189"/>
      <c r="Q324" s="1189"/>
      <c r="R324" s="1189"/>
      <c r="S324" s="1189"/>
      <c r="T324" s="1189"/>
      <c r="U324" s="1189"/>
      <c r="V324" s="1189"/>
      <c r="W324" s="1189"/>
      <c r="X324" s="1189"/>
      <c r="Y324" s="1189"/>
      <c r="Z324" s="1189"/>
    </row>
    <row r="325">
      <c r="A325" s="1189"/>
      <c r="B325" s="1189"/>
      <c r="C325" s="1189"/>
      <c r="D325" s="1189"/>
      <c r="E325" s="1189"/>
      <c r="F325" s="1189"/>
      <c r="G325" s="1189"/>
      <c r="H325" s="1189"/>
      <c r="I325" s="1189"/>
      <c r="J325" s="1189"/>
      <c r="K325" s="1189"/>
      <c r="L325" s="1189"/>
      <c r="M325" s="1189"/>
      <c r="N325" s="1189"/>
      <c r="O325" s="1189"/>
      <c r="P325" s="1189"/>
      <c r="Q325" s="1189"/>
      <c r="R325" s="1189"/>
      <c r="S325" s="1189"/>
      <c r="T325" s="1189"/>
      <c r="U325" s="1189"/>
      <c r="V325" s="1189"/>
      <c r="W325" s="1189"/>
      <c r="X325" s="1189"/>
      <c r="Y325" s="1189"/>
      <c r="Z325" s="1189"/>
    </row>
    <row r="326">
      <c r="A326" s="1189"/>
      <c r="B326" s="1189"/>
      <c r="C326" s="1189"/>
      <c r="D326" s="1189"/>
      <c r="E326" s="1189"/>
      <c r="F326" s="1189"/>
      <c r="G326" s="1189"/>
      <c r="H326" s="1189"/>
      <c r="I326" s="1189"/>
      <c r="J326" s="1189"/>
      <c r="K326" s="1189"/>
      <c r="L326" s="1189"/>
      <c r="M326" s="1189"/>
      <c r="N326" s="1189"/>
      <c r="O326" s="1189"/>
      <c r="P326" s="1189"/>
      <c r="Q326" s="1189"/>
      <c r="R326" s="1189"/>
      <c r="S326" s="1189"/>
      <c r="T326" s="1189"/>
      <c r="U326" s="1189"/>
      <c r="V326" s="1189"/>
      <c r="W326" s="1189"/>
      <c r="X326" s="1189"/>
      <c r="Y326" s="1189"/>
      <c r="Z326" s="1189"/>
    </row>
    <row r="327">
      <c r="A327" s="1189"/>
      <c r="B327" s="1189"/>
      <c r="C327" s="1189"/>
      <c r="D327" s="1189"/>
      <c r="E327" s="1189"/>
      <c r="F327" s="1189"/>
      <c r="G327" s="1189"/>
      <c r="H327" s="1189"/>
      <c r="I327" s="1189"/>
      <c r="J327" s="1189"/>
      <c r="K327" s="1189"/>
      <c r="L327" s="1189"/>
      <c r="M327" s="1189"/>
      <c r="N327" s="1189"/>
      <c r="O327" s="1189"/>
      <c r="P327" s="1189"/>
      <c r="Q327" s="1189"/>
      <c r="R327" s="1189"/>
      <c r="S327" s="1189"/>
      <c r="T327" s="1189"/>
      <c r="U327" s="1189"/>
      <c r="V327" s="1189"/>
      <c r="W327" s="1189"/>
      <c r="X327" s="1189"/>
      <c r="Y327" s="1189"/>
      <c r="Z327" s="1189"/>
    </row>
    <row r="328">
      <c r="A328" s="1189"/>
      <c r="B328" s="1189"/>
      <c r="C328" s="1189"/>
      <c r="D328" s="1189"/>
      <c r="E328" s="1189"/>
      <c r="F328" s="1189"/>
      <c r="G328" s="1189"/>
      <c r="H328" s="1189"/>
      <c r="I328" s="1189"/>
      <c r="J328" s="1189"/>
      <c r="K328" s="1189"/>
      <c r="L328" s="1189"/>
      <c r="M328" s="1189"/>
      <c r="N328" s="1189"/>
      <c r="O328" s="1189"/>
      <c r="P328" s="1189"/>
      <c r="Q328" s="1189"/>
      <c r="R328" s="1189"/>
      <c r="S328" s="1189"/>
      <c r="T328" s="1189"/>
      <c r="U328" s="1189"/>
      <c r="V328" s="1189"/>
      <c r="W328" s="1189"/>
      <c r="X328" s="1189"/>
      <c r="Y328" s="1189"/>
      <c r="Z328" s="1189"/>
    </row>
    <row r="329">
      <c r="A329" s="1189"/>
      <c r="B329" s="1189"/>
      <c r="C329" s="1189"/>
      <c r="D329" s="1189"/>
      <c r="E329" s="1189"/>
      <c r="F329" s="1189"/>
      <c r="G329" s="1189"/>
      <c r="H329" s="1189"/>
      <c r="I329" s="1189"/>
      <c r="J329" s="1189"/>
      <c r="K329" s="1189"/>
      <c r="L329" s="1189"/>
      <c r="M329" s="1189"/>
      <c r="N329" s="1189"/>
      <c r="O329" s="1189"/>
      <c r="P329" s="1189"/>
      <c r="Q329" s="1189"/>
      <c r="R329" s="1189"/>
      <c r="S329" s="1189"/>
      <c r="T329" s="1189"/>
      <c r="U329" s="1189"/>
      <c r="V329" s="1189"/>
      <c r="W329" s="1189"/>
      <c r="X329" s="1189"/>
      <c r="Y329" s="1189"/>
      <c r="Z329" s="1189"/>
    </row>
    <row r="330">
      <c r="A330" s="1189"/>
      <c r="B330" s="1189"/>
      <c r="C330" s="1189"/>
      <c r="D330" s="1189"/>
      <c r="E330" s="1189"/>
      <c r="F330" s="1189"/>
      <c r="G330" s="1189"/>
      <c r="H330" s="1189"/>
      <c r="I330" s="1189"/>
      <c r="J330" s="1189"/>
      <c r="K330" s="1189"/>
      <c r="L330" s="1189"/>
      <c r="M330" s="1189"/>
      <c r="N330" s="1189"/>
      <c r="O330" s="1189"/>
      <c r="P330" s="1189"/>
      <c r="Q330" s="1189"/>
      <c r="R330" s="1189"/>
      <c r="S330" s="1189"/>
      <c r="T330" s="1189"/>
      <c r="U330" s="1189"/>
      <c r="V330" s="1189"/>
      <c r="W330" s="1189"/>
      <c r="X330" s="1189"/>
      <c r="Y330" s="1189"/>
      <c r="Z330" s="1189"/>
    </row>
    <row r="331">
      <c r="A331" s="1189"/>
      <c r="B331" s="1189"/>
      <c r="C331" s="1189"/>
      <c r="D331" s="1189"/>
      <c r="E331" s="1189"/>
      <c r="F331" s="1189"/>
      <c r="G331" s="1189"/>
      <c r="H331" s="1189"/>
      <c r="I331" s="1189"/>
      <c r="J331" s="1189"/>
      <c r="K331" s="1189"/>
      <c r="L331" s="1189"/>
      <c r="M331" s="1189"/>
      <c r="N331" s="1189"/>
      <c r="O331" s="1189"/>
      <c r="P331" s="1189"/>
      <c r="Q331" s="1189"/>
      <c r="R331" s="1189"/>
      <c r="S331" s="1189"/>
      <c r="T331" s="1189"/>
      <c r="U331" s="1189"/>
      <c r="V331" s="1189"/>
      <c r="W331" s="1189"/>
      <c r="X331" s="1189"/>
      <c r="Y331" s="1189"/>
      <c r="Z331" s="1189"/>
    </row>
    <row r="332">
      <c r="A332" s="1189"/>
      <c r="B332" s="1189"/>
      <c r="C332" s="1189"/>
      <c r="D332" s="1189"/>
      <c r="E332" s="1189"/>
      <c r="F332" s="1189"/>
      <c r="G332" s="1189"/>
      <c r="H332" s="1189"/>
      <c r="I332" s="1189"/>
      <c r="J332" s="1189"/>
      <c r="K332" s="1189"/>
      <c r="L332" s="1189"/>
      <c r="M332" s="1189"/>
      <c r="N332" s="1189"/>
      <c r="O332" s="1189"/>
      <c r="P332" s="1189"/>
      <c r="Q332" s="1189"/>
      <c r="R332" s="1189"/>
      <c r="S332" s="1189"/>
      <c r="T332" s="1189"/>
      <c r="U332" s="1189"/>
      <c r="V332" s="1189"/>
      <c r="W332" s="1189"/>
      <c r="X332" s="1189"/>
      <c r="Y332" s="1189"/>
      <c r="Z332" s="1189"/>
    </row>
    <row r="333">
      <c r="A333" s="1189"/>
      <c r="B333" s="1189"/>
      <c r="C333" s="1189"/>
      <c r="D333" s="1189"/>
      <c r="E333" s="1189"/>
      <c r="F333" s="1189"/>
      <c r="G333" s="1189"/>
      <c r="H333" s="1189"/>
      <c r="I333" s="1189"/>
      <c r="J333" s="1189"/>
      <c r="K333" s="1189"/>
      <c r="L333" s="1189"/>
      <c r="M333" s="1189"/>
      <c r="N333" s="1189"/>
      <c r="O333" s="1189"/>
      <c r="P333" s="1189"/>
      <c r="Q333" s="1189"/>
      <c r="R333" s="1189"/>
      <c r="S333" s="1189"/>
      <c r="T333" s="1189"/>
      <c r="U333" s="1189"/>
      <c r="V333" s="1189"/>
      <c r="W333" s="1189"/>
      <c r="X333" s="1189"/>
      <c r="Y333" s="1189"/>
      <c r="Z333" s="1189"/>
    </row>
    <row r="334">
      <c r="A334" s="1189"/>
      <c r="B334" s="1189"/>
      <c r="C334" s="1189"/>
      <c r="D334" s="1189"/>
      <c r="E334" s="1189"/>
      <c r="F334" s="1189"/>
      <c r="G334" s="1189"/>
      <c r="H334" s="1189"/>
      <c r="I334" s="1189"/>
      <c r="J334" s="1189"/>
      <c r="K334" s="1189"/>
      <c r="L334" s="1189"/>
      <c r="M334" s="1189"/>
      <c r="N334" s="1189"/>
      <c r="O334" s="1189"/>
      <c r="P334" s="1189"/>
      <c r="Q334" s="1189"/>
      <c r="R334" s="1189"/>
      <c r="S334" s="1189"/>
      <c r="T334" s="1189"/>
      <c r="U334" s="1189"/>
      <c r="V334" s="1189"/>
      <c r="W334" s="1189"/>
      <c r="X334" s="1189"/>
      <c r="Y334" s="1189"/>
      <c r="Z334" s="1189"/>
    </row>
    <row r="335">
      <c r="A335" s="1189"/>
      <c r="B335" s="1189"/>
      <c r="C335" s="1189"/>
      <c r="D335" s="1189"/>
      <c r="E335" s="1189"/>
      <c r="F335" s="1189"/>
      <c r="G335" s="1189"/>
      <c r="H335" s="1189"/>
      <c r="I335" s="1189"/>
      <c r="J335" s="1189"/>
      <c r="K335" s="1189"/>
      <c r="L335" s="1189"/>
      <c r="M335" s="1189"/>
      <c r="N335" s="1189"/>
      <c r="O335" s="1189"/>
      <c r="P335" s="1189"/>
      <c r="Q335" s="1189"/>
      <c r="R335" s="1189"/>
      <c r="S335" s="1189"/>
      <c r="T335" s="1189"/>
      <c r="U335" s="1189"/>
      <c r="V335" s="1189"/>
      <c r="W335" s="1189"/>
      <c r="X335" s="1189"/>
      <c r="Y335" s="1189"/>
      <c r="Z335" s="1189"/>
    </row>
    <row r="336">
      <c r="A336" s="1189"/>
      <c r="B336" s="1189"/>
      <c r="C336" s="1189"/>
      <c r="D336" s="1189"/>
      <c r="E336" s="1189"/>
      <c r="F336" s="1189"/>
      <c r="G336" s="1189"/>
      <c r="H336" s="1189"/>
      <c r="I336" s="1189"/>
      <c r="J336" s="1189"/>
      <c r="K336" s="1189"/>
      <c r="L336" s="1189"/>
      <c r="M336" s="1189"/>
      <c r="N336" s="1189"/>
      <c r="O336" s="1189"/>
      <c r="P336" s="1189"/>
      <c r="Q336" s="1189"/>
      <c r="R336" s="1189"/>
      <c r="S336" s="1189"/>
      <c r="T336" s="1189"/>
      <c r="U336" s="1189"/>
      <c r="V336" s="1189"/>
      <c r="W336" s="1189"/>
      <c r="X336" s="1189"/>
      <c r="Y336" s="1189"/>
      <c r="Z336" s="1189"/>
    </row>
    <row r="337">
      <c r="A337" s="1189"/>
      <c r="B337" s="1189"/>
      <c r="C337" s="1189"/>
      <c r="D337" s="1189"/>
      <c r="E337" s="1189"/>
      <c r="F337" s="1189"/>
      <c r="G337" s="1189"/>
      <c r="H337" s="1189"/>
      <c r="I337" s="1189"/>
      <c r="J337" s="1189"/>
      <c r="K337" s="1189"/>
      <c r="L337" s="1189"/>
      <c r="M337" s="1189"/>
      <c r="N337" s="1189"/>
      <c r="O337" s="1189"/>
      <c r="P337" s="1189"/>
      <c r="Q337" s="1189"/>
      <c r="R337" s="1189"/>
      <c r="S337" s="1189"/>
      <c r="T337" s="1189"/>
      <c r="U337" s="1189"/>
      <c r="V337" s="1189"/>
      <c r="W337" s="1189"/>
      <c r="X337" s="1189"/>
      <c r="Y337" s="1189"/>
      <c r="Z337" s="1189"/>
    </row>
    <row r="338">
      <c r="A338" s="1189"/>
      <c r="B338" s="1189"/>
      <c r="C338" s="1189"/>
      <c r="D338" s="1189"/>
      <c r="E338" s="1189"/>
      <c r="F338" s="1189"/>
      <c r="G338" s="1189"/>
      <c r="H338" s="1189"/>
      <c r="I338" s="1189"/>
      <c r="J338" s="1189"/>
      <c r="K338" s="1189"/>
      <c r="L338" s="1189"/>
      <c r="M338" s="1189"/>
      <c r="N338" s="1189"/>
      <c r="O338" s="1189"/>
      <c r="P338" s="1189"/>
      <c r="Q338" s="1189"/>
      <c r="R338" s="1189"/>
      <c r="S338" s="1189"/>
      <c r="T338" s="1189"/>
      <c r="U338" s="1189"/>
      <c r="V338" s="1189"/>
      <c r="W338" s="1189"/>
      <c r="X338" s="1189"/>
      <c r="Y338" s="1189"/>
      <c r="Z338" s="1189"/>
    </row>
    <row r="339">
      <c r="A339" s="1189"/>
      <c r="B339" s="1189"/>
      <c r="C339" s="1189"/>
      <c r="D339" s="1189"/>
      <c r="E339" s="1189"/>
      <c r="F339" s="1189"/>
      <c r="G339" s="1189"/>
      <c r="H339" s="1189"/>
      <c r="I339" s="1189"/>
      <c r="J339" s="1189"/>
      <c r="K339" s="1189"/>
      <c r="L339" s="1189"/>
      <c r="M339" s="1189"/>
      <c r="N339" s="1189"/>
      <c r="O339" s="1189"/>
      <c r="P339" s="1189"/>
      <c r="Q339" s="1189"/>
      <c r="R339" s="1189"/>
      <c r="S339" s="1189"/>
      <c r="T339" s="1189"/>
      <c r="U339" s="1189"/>
      <c r="V339" s="1189"/>
      <c r="W339" s="1189"/>
      <c r="X339" s="1189"/>
      <c r="Y339" s="1189"/>
      <c r="Z339" s="1189"/>
    </row>
    <row r="340">
      <c r="A340" s="1189"/>
      <c r="B340" s="1189"/>
      <c r="C340" s="1189"/>
      <c r="D340" s="1189"/>
      <c r="E340" s="1189"/>
      <c r="F340" s="1189"/>
      <c r="G340" s="1189"/>
      <c r="H340" s="1189"/>
      <c r="I340" s="1189"/>
      <c r="J340" s="1189"/>
      <c r="K340" s="1189"/>
      <c r="L340" s="1189"/>
      <c r="M340" s="1189"/>
      <c r="N340" s="1189"/>
      <c r="O340" s="1189"/>
      <c r="P340" s="1189"/>
      <c r="Q340" s="1189"/>
      <c r="R340" s="1189"/>
      <c r="S340" s="1189"/>
      <c r="T340" s="1189"/>
      <c r="U340" s="1189"/>
      <c r="V340" s="1189"/>
      <c r="W340" s="1189"/>
      <c r="X340" s="1189"/>
      <c r="Y340" s="1189"/>
      <c r="Z340" s="1189"/>
    </row>
    <row r="341">
      <c r="A341" s="1189"/>
      <c r="B341" s="1189"/>
      <c r="C341" s="1189"/>
      <c r="D341" s="1189"/>
      <c r="E341" s="1189"/>
      <c r="F341" s="1189"/>
      <c r="G341" s="1189"/>
      <c r="H341" s="1189"/>
      <c r="I341" s="1189"/>
      <c r="J341" s="1189"/>
      <c r="K341" s="1189"/>
      <c r="L341" s="1189"/>
      <c r="M341" s="1189"/>
      <c r="N341" s="1189"/>
      <c r="O341" s="1189"/>
      <c r="P341" s="1189"/>
      <c r="Q341" s="1189"/>
      <c r="R341" s="1189"/>
      <c r="S341" s="1189"/>
      <c r="T341" s="1189"/>
      <c r="U341" s="1189"/>
      <c r="V341" s="1189"/>
      <c r="W341" s="1189"/>
      <c r="X341" s="1189"/>
      <c r="Y341" s="1189"/>
      <c r="Z341" s="1189"/>
    </row>
    <row r="342">
      <c r="A342" s="1189"/>
      <c r="B342" s="1189"/>
      <c r="C342" s="1189"/>
      <c r="D342" s="1189"/>
      <c r="E342" s="1189"/>
      <c r="F342" s="1189"/>
      <c r="G342" s="1189"/>
      <c r="H342" s="1189"/>
      <c r="I342" s="1189"/>
      <c r="J342" s="1189"/>
      <c r="K342" s="1189"/>
      <c r="L342" s="1189"/>
      <c r="M342" s="1189"/>
      <c r="N342" s="1189"/>
      <c r="O342" s="1189"/>
      <c r="P342" s="1189"/>
      <c r="Q342" s="1189"/>
      <c r="R342" s="1189"/>
      <c r="S342" s="1189"/>
      <c r="T342" s="1189"/>
      <c r="U342" s="1189"/>
      <c r="V342" s="1189"/>
      <c r="W342" s="1189"/>
      <c r="X342" s="1189"/>
      <c r="Y342" s="1189"/>
      <c r="Z342" s="1189"/>
    </row>
    <row r="343">
      <c r="A343" s="1189"/>
      <c r="B343" s="1189"/>
      <c r="C343" s="1189"/>
      <c r="D343" s="1189"/>
      <c r="E343" s="1189"/>
      <c r="F343" s="1189"/>
      <c r="G343" s="1189"/>
      <c r="H343" s="1189"/>
      <c r="I343" s="1189"/>
      <c r="J343" s="1189"/>
      <c r="K343" s="1189"/>
      <c r="L343" s="1189"/>
      <c r="M343" s="1189"/>
      <c r="N343" s="1189"/>
      <c r="O343" s="1189"/>
      <c r="P343" s="1189"/>
      <c r="Q343" s="1189"/>
      <c r="R343" s="1189"/>
      <c r="S343" s="1189"/>
      <c r="T343" s="1189"/>
      <c r="U343" s="1189"/>
      <c r="V343" s="1189"/>
      <c r="W343" s="1189"/>
      <c r="X343" s="1189"/>
      <c r="Y343" s="1189"/>
      <c r="Z343" s="1189"/>
    </row>
    <row r="344">
      <c r="A344" s="1189"/>
      <c r="B344" s="1189"/>
      <c r="C344" s="1189"/>
      <c r="D344" s="1189"/>
      <c r="E344" s="1189"/>
      <c r="F344" s="1189"/>
      <c r="G344" s="1189"/>
      <c r="H344" s="1189"/>
      <c r="I344" s="1189"/>
      <c r="J344" s="1189"/>
      <c r="K344" s="1189"/>
      <c r="L344" s="1189"/>
      <c r="M344" s="1189"/>
      <c r="N344" s="1189"/>
      <c r="O344" s="1189"/>
      <c r="P344" s="1189"/>
      <c r="Q344" s="1189"/>
      <c r="R344" s="1189"/>
      <c r="S344" s="1189"/>
      <c r="T344" s="1189"/>
      <c r="U344" s="1189"/>
      <c r="V344" s="1189"/>
      <c r="W344" s="1189"/>
      <c r="X344" s="1189"/>
      <c r="Y344" s="1189"/>
      <c r="Z344" s="1189"/>
    </row>
    <row r="345">
      <c r="A345" s="1189"/>
      <c r="B345" s="1189"/>
      <c r="C345" s="1189"/>
      <c r="D345" s="1189"/>
      <c r="E345" s="1189"/>
      <c r="F345" s="1189"/>
      <c r="G345" s="1189"/>
      <c r="H345" s="1189"/>
      <c r="I345" s="1189"/>
      <c r="J345" s="1189"/>
      <c r="K345" s="1189"/>
      <c r="L345" s="1189"/>
      <c r="M345" s="1189"/>
      <c r="N345" s="1189"/>
      <c r="O345" s="1189"/>
      <c r="P345" s="1189"/>
      <c r="Q345" s="1189"/>
      <c r="R345" s="1189"/>
      <c r="S345" s="1189"/>
      <c r="T345" s="1189"/>
      <c r="U345" s="1189"/>
      <c r="V345" s="1189"/>
      <c r="W345" s="1189"/>
      <c r="X345" s="1189"/>
      <c r="Y345" s="1189"/>
      <c r="Z345" s="1189"/>
    </row>
    <row r="346">
      <c r="A346" s="1189"/>
      <c r="B346" s="1189"/>
      <c r="C346" s="1189"/>
      <c r="D346" s="1189"/>
      <c r="E346" s="1189"/>
      <c r="F346" s="1189"/>
      <c r="G346" s="1189"/>
      <c r="H346" s="1189"/>
      <c r="I346" s="1189"/>
      <c r="J346" s="1189"/>
      <c r="K346" s="1189"/>
      <c r="L346" s="1189"/>
      <c r="M346" s="1189"/>
      <c r="N346" s="1189"/>
      <c r="O346" s="1189"/>
      <c r="P346" s="1189"/>
      <c r="Q346" s="1189"/>
      <c r="R346" s="1189"/>
      <c r="S346" s="1189"/>
      <c r="T346" s="1189"/>
      <c r="U346" s="1189"/>
      <c r="V346" s="1189"/>
      <c r="W346" s="1189"/>
      <c r="X346" s="1189"/>
      <c r="Y346" s="1189"/>
      <c r="Z346" s="1189"/>
    </row>
    <row r="347">
      <c r="A347" s="1189"/>
      <c r="B347" s="1189"/>
      <c r="C347" s="1189"/>
      <c r="D347" s="1189"/>
      <c r="E347" s="1189"/>
      <c r="F347" s="1189"/>
      <c r="G347" s="1189"/>
      <c r="H347" s="1189"/>
      <c r="I347" s="1189"/>
      <c r="J347" s="1189"/>
      <c r="K347" s="1189"/>
      <c r="L347" s="1189"/>
      <c r="M347" s="1189"/>
      <c r="N347" s="1189"/>
      <c r="O347" s="1189"/>
      <c r="P347" s="1189"/>
      <c r="Q347" s="1189"/>
      <c r="R347" s="1189"/>
      <c r="S347" s="1189"/>
      <c r="T347" s="1189"/>
      <c r="U347" s="1189"/>
      <c r="V347" s="1189"/>
      <c r="W347" s="1189"/>
      <c r="X347" s="1189"/>
      <c r="Y347" s="1189"/>
      <c r="Z347" s="1189"/>
    </row>
    <row r="348">
      <c r="A348" s="1189"/>
      <c r="B348" s="1189"/>
      <c r="C348" s="1189"/>
      <c r="D348" s="1189"/>
      <c r="E348" s="1189"/>
      <c r="F348" s="1189"/>
      <c r="G348" s="1189"/>
      <c r="H348" s="1189"/>
      <c r="I348" s="1189"/>
      <c r="J348" s="1189"/>
      <c r="K348" s="1189"/>
      <c r="L348" s="1189"/>
      <c r="M348" s="1189"/>
      <c r="N348" s="1189"/>
      <c r="O348" s="1189"/>
      <c r="P348" s="1189"/>
      <c r="Q348" s="1189"/>
      <c r="R348" s="1189"/>
      <c r="S348" s="1189"/>
      <c r="T348" s="1189"/>
      <c r="U348" s="1189"/>
      <c r="V348" s="1189"/>
      <c r="W348" s="1189"/>
      <c r="X348" s="1189"/>
      <c r="Y348" s="1189"/>
      <c r="Z348" s="1189"/>
    </row>
    <row r="349">
      <c r="A349" s="1189"/>
      <c r="B349" s="1189"/>
      <c r="C349" s="1189"/>
      <c r="D349" s="1189"/>
      <c r="E349" s="1189"/>
      <c r="F349" s="1189"/>
      <c r="G349" s="1189"/>
      <c r="H349" s="1189"/>
      <c r="I349" s="1189"/>
      <c r="J349" s="1189"/>
      <c r="K349" s="1189"/>
      <c r="L349" s="1189"/>
      <c r="M349" s="1189"/>
      <c r="N349" s="1189"/>
      <c r="O349" s="1189"/>
      <c r="P349" s="1189"/>
      <c r="Q349" s="1189"/>
      <c r="R349" s="1189"/>
      <c r="S349" s="1189"/>
      <c r="T349" s="1189"/>
      <c r="U349" s="1189"/>
      <c r="V349" s="1189"/>
      <c r="W349" s="1189"/>
      <c r="X349" s="1189"/>
      <c r="Y349" s="1189"/>
      <c r="Z349" s="1189"/>
    </row>
    <row r="350">
      <c r="A350" s="1189"/>
      <c r="B350" s="1189"/>
      <c r="C350" s="1189"/>
      <c r="D350" s="1189"/>
      <c r="E350" s="1189"/>
      <c r="F350" s="1189"/>
      <c r="G350" s="1189"/>
      <c r="H350" s="1189"/>
      <c r="I350" s="1189"/>
      <c r="J350" s="1189"/>
      <c r="K350" s="1189"/>
      <c r="L350" s="1189"/>
      <c r="M350" s="1189"/>
      <c r="N350" s="1189"/>
      <c r="O350" s="1189"/>
      <c r="P350" s="1189"/>
      <c r="Q350" s="1189"/>
      <c r="R350" s="1189"/>
      <c r="S350" s="1189"/>
      <c r="T350" s="1189"/>
      <c r="U350" s="1189"/>
      <c r="V350" s="1189"/>
      <c r="W350" s="1189"/>
      <c r="X350" s="1189"/>
      <c r="Y350" s="1189"/>
      <c r="Z350" s="1189"/>
    </row>
    <row r="351">
      <c r="A351" s="1189"/>
      <c r="B351" s="1189"/>
      <c r="C351" s="1189"/>
      <c r="D351" s="1189"/>
      <c r="E351" s="1189"/>
      <c r="F351" s="1189"/>
      <c r="G351" s="1189"/>
      <c r="H351" s="1189"/>
      <c r="I351" s="1189"/>
      <c r="J351" s="1189"/>
      <c r="K351" s="1189"/>
      <c r="L351" s="1189"/>
      <c r="M351" s="1189"/>
      <c r="N351" s="1189"/>
      <c r="O351" s="1189"/>
      <c r="P351" s="1189"/>
      <c r="Q351" s="1189"/>
      <c r="R351" s="1189"/>
      <c r="S351" s="1189"/>
      <c r="T351" s="1189"/>
      <c r="U351" s="1189"/>
      <c r="V351" s="1189"/>
      <c r="W351" s="1189"/>
      <c r="X351" s="1189"/>
      <c r="Y351" s="1189"/>
      <c r="Z351" s="1189"/>
    </row>
    <row r="352">
      <c r="A352" s="1189"/>
      <c r="B352" s="1189"/>
      <c r="C352" s="1189"/>
      <c r="D352" s="1189"/>
      <c r="E352" s="1189"/>
      <c r="F352" s="1189"/>
      <c r="G352" s="1189"/>
      <c r="H352" s="1189"/>
      <c r="I352" s="1189"/>
      <c r="J352" s="1189"/>
      <c r="K352" s="1189"/>
      <c r="L352" s="1189"/>
      <c r="M352" s="1189"/>
      <c r="N352" s="1189"/>
      <c r="O352" s="1189"/>
      <c r="P352" s="1189"/>
      <c r="Q352" s="1189"/>
      <c r="R352" s="1189"/>
      <c r="S352" s="1189"/>
      <c r="T352" s="1189"/>
      <c r="U352" s="1189"/>
      <c r="V352" s="1189"/>
      <c r="W352" s="1189"/>
      <c r="X352" s="1189"/>
      <c r="Y352" s="1189"/>
      <c r="Z352" s="1189"/>
    </row>
    <row r="353">
      <c r="A353" s="1189"/>
      <c r="B353" s="1189"/>
      <c r="C353" s="1189"/>
      <c r="D353" s="1189"/>
      <c r="E353" s="1189"/>
      <c r="F353" s="1189"/>
      <c r="G353" s="1189"/>
      <c r="H353" s="1189"/>
      <c r="I353" s="1189"/>
      <c r="J353" s="1189"/>
      <c r="K353" s="1189"/>
      <c r="L353" s="1189"/>
      <c r="M353" s="1189"/>
      <c r="N353" s="1189"/>
      <c r="O353" s="1189"/>
      <c r="P353" s="1189"/>
      <c r="Q353" s="1189"/>
      <c r="R353" s="1189"/>
      <c r="S353" s="1189"/>
      <c r="T353" s="1189"/>
      <c r="U353" s="1189"/>
      <c r="V353" s="1189"/>
      <c r="W353" s="1189"/>
      <c r="X353" s="1189"/>
      <c r="Y353" s="1189"/>
      <c r="Z353" s="1189"/>
    </row>
    <row r="354">
      <c r="A354" s="1189"/>
      <c r="B354" s="1189"/>
      <c r="C354" s="1189"/>
      <c r="D354" s="1189"/>
      <c r="E354" s="1189"/>
      <c r="F354" s="1189"/>
      <c r="G354" s="1189"/>
      <c r="H354" s="1189"/>
      <c r="I354" s="1189"/>
      <c r="J354" s="1189"/>
      <c r="K354" s="1189"/>
      <c r="L354" s="1189"/>
      <c r="M354" s="1189"/>
      <c r="N354" s="1189"/>
      <c r="O354" s="1189"/>
      <c r="P354" s="1189"/>
      <c r="Q354" s="1189"/>
      <c r="R354" s="1189"/>
      <c r="S354" s="1189"/>
      <c r="T354" s="1189"/>
      <c r="U354" s="1189"/>
      <c r="V354" s="1189"/>
      <c r="W354" s="1189"/>
      <c r="X354" s="1189"/>
      <c r="Y354" s="1189"/>
      <c r="Z354" s="1189"/>
    </row>
    <row r="355">
      <c r="A355" s="1189"/>
      <c r="B355" s="1189"/>
      <c r="C355" s="1189"/>
      <c r="D355" s="1189"/>
      <c r="E355" s="1189"/>
      <c r="F355" s="1189"/>
      <c r="G355" s="1189"/>
      <c r="H355" s="1189"/>
      <c r="I355" s="1189"/>
      <c r="J355" s="1189"/>
      <c r="K355" s="1189"/>
      <c r="L355" s="1189"/>
      <c r="M355" s="1189"/>
      <c r="N355" s="1189"/>
      <c r="O355" s="1189"/>
      <c r="P355" s="1189"/>
      <c r="Q355" s="1189"/>
      <c r="R355" s="1189"/>
      <c r="S355" s="1189"/>
      <c r="T355" s="1189"/>
      <c r="U355" s="1189"/>
      <c r="V355" s="1189"/>
      <c r="W355" s="1189"/>
      <c r="X355" s="1189"/>
      <c r="Y355" s="1189"/>
      <c r="Z355" s="1189"/>
    </row>
    <row r="356">
      <c r="A356" s="1189"/>
      <c r="B356" s="1189"/>
      <c r="C356" s="1189"/>
      <c r="D356" s="1189"/>
      <c r="E356" s="1189"/>
      <c r="F356" s="1189"/>
      <c r="G356" s="1189"/>
      <c r="H356" s="1189"/>
      <c r="I356" s="1189"/>
      <c r="J356" s="1189"/>
      <c r="K356" s="1189"/>
      <c r="L356" s="1189"/>
      <c r="M356" s="1189"/>
      <c r="N356" s="1189"/>
      <c r="O356" s="1189"/>
      <c r="P356" s="1189"/>
      <c r="Q356" s="1189"/>
      <c r="R356" s="1189"/>
      <c r="S356" s="1189"/>
      <c r="T356" s="1189"/>
      <c r="U356" s="1189"/>
      <c r="V356" s="1189"/>
      <c r="W356" s="1189"/>
      <c r="X356" s="1189"/>
      <c r="Y356" s="1189"/>
      <c r="Z356" s="1189"/>
    </row>
    <row r="357">
      <c r="A357" s="1189"/>
      <c r="B357" s="1189"/>
      <c r="C357" s="1189"/>
      <c r="D357" s="1189"/>
      <c r="E357" s="1189"/>
      <c r="F357" s="1189"/>
      <c r="G357" s="1189"/>
      <c r="H357" s="1189"/>
      <c r="I357" s="1189"/>
      <c r="J357" s="1189"/>
      <c r="K357" s="1189"/>
      <c r="L357" s="1189"/>
      <c r="M357" s="1189"/>
      <c r="N357" s="1189"/>
      <c r="O357" s="1189"/>
      <c r="P357" s="1189"/>
      <c r="Q357" s="1189"/>
      <c r="R357" s="1189"/>
      <c r="S357" s="1189"/>
      <c r="T357" s="1189"/>
      <c r="U357" s="1189"/>
      <c r="V357" s="1189"/>
      <c r="W357" s="1189"/>
      <c r="X357" s="1189"/>
      <c r="Y357" s="1189"/>
      <c r="Z357" s="1189"/>
    </row>
    <row r="358">
      <c r="A358" s="1189"/>
      <c r="B358" s="1189"/>
      <c r="C358" s="1189"/>
      <c r="D358" s="1189"/>
      <c r="E358" s="1189"/>
      <c r="F358" s="1189"/>
      <c r="G358" s="1189"/>
      <c r="H358" s="1189"/>
      <c r="I358" s="1189"/>
      <c r="J358" s="1189"/>
      <c r="K358" s="1189"/>
      <c r="L358" s="1189"/>
      <c r="M358" s="1189"/>
      <c r="N358" s="1189"/>
      <c r="O358" s="1189"/>
      <c r="P358" s="1189"/>
      <c r="Q358" s="1189"/>
      <c r="R358" s="1189"/>
      <c r="S358" s="1189"/>
      <c r="T358" s="1189"/>
      <c r="U358" s="1189"/>
      <c r="V358" s="1189"/>
      <c r="W358" s="1189"/>
      <c r="X358" s="1189"/>
      <c r="Y358" s="1189"/>
      <c r="Z358" s="1189"/>
    </row>
    <row r="359">
      <c r="A359" s="1189"/>
      <c r="B359" s="1189"/>
      <c r="C359" s="1189"/>
      <c r="D359" s="1189"/>
      <c r="E359" s="1189"/>
      <c r="F359" s="1189"/>
      <c r="G359" s="1189"/>
      <c r="H359" s="1189"/>
      <c r="I359" s="1189"/>
      <c r="J359" s="1189"/>
      <c r="K359" s="1189"/>
      <c r="L359" s="1189"/>
      <c r="M359" s="1189"/>
      <c r="N359" s="1189"/>
      <c r="O359" s="1189"/>
      <c r="P359" s="1189"/>
      <c r="Q359" s="1189"/>
      <c r="R359" s="1189"/>
      <c r="S359" s="1189"/>
      <c r="T359" s="1189"/>
      <c r="U359" s="1189"/>
      <c r="V359" s="1189"/>
      <c r="W359" s="1189"/>
      <c r="X359" s="1189"/>
      <c r="Y359" s="1189"/>
      <c r="Z359" s="1189"/>
    </row>
    <row r="360">
      <c r="A360" s="1189"/>
      <c r="B360" s="1189"/>
      <c r="C360" s="1189"/>
      <c r="D360" s="1189"/>
      <c r="E360" s="1189"/>
      <c r="F360" s="1189"/>
      <c r="G360" s="1189"/>
      <c r="H360" s="1189"/>
      <c r="I360" s="1189"/>
      <c r="J360" s="1189"/>
      <c r="K360" s="1189"/>
      <c r="L360" s="1189"/>
      <c r="M360" s="1189"/>
      <c r="N360" s="1189"/>
      <c r="O360" s="1189"/>
      <c r="P360" s="1189"/>
      <c r="Q360" s="1189"/>
      <c r="R360" s="1189"/>
      <c r="S360" s="1189"/>
      <c r="T360" s="1189"/>
      <c r="U360" s="1189"/>
      <c r="V360" s="1189"/>
      <c r="W360" s="1189"/>
      <c r="X360" s="1189"/>
      <c r="Y360" s="1189"/>
      <c r="Z360" s="1189"/>
    </row>
    <row r="361">
      <c r="A361" s="1189"/>
      <c r="B361" s="1189"/>
      <c r="C361" s="1189"/>
      <c r="D361" s="1189"/>
      <c r="E361" s="1189"/>
      <c r="F361" s="1189"/>
      <c r="G361" s="1189"/>
      <c r="H361" s="1189"/>
      <c r="I361" s="1189"/>
      <c r="J361" s="1189"/>
      <c r="K361" s="1189"/>
      <c r="L361" s="1189"/>
      <c r="M361" s="1189"/>
      <c r="N361" s="1189"/>
      <c r="O361" s="1189"/>
      <c r="P361" s="1189"/>
      <c r="Q361" s="1189"/>
      <c r="R361" s="1189"/>
      <c r="S361" s="1189"/>
      <c r="T361" s="1189"/>
      <c r="U361" s="1189"/>
      <c r="V361" s="1189"/>
      <c r="W361" s="1189"/>
      <c r="X361" s="1189"/>
      <c r="Y361" s="1189"/>
      <c r="Z361" s="1189"/>
    </row>
    <row r="362">
      <c r="A362" s="1189"/>
      <c r="B362" s="1189"/>
      <c r="C362" s="1189"/>
      <c r="D362" s="1189"/>
      <c r="E362" s="1189"/>
      <c r="F362" s="1189"/>
      <c r="G362" s="1189"/>
      <c r="H362" s="1189"/>
      <c r="I362" s="1189"/>
      <c r="J362" s="1189"/>
      <c r="K362" s="1189"/>
      <c r="L362" s="1189"/>
      <c r="M362" s="1189"/>
      <c r="N362" s="1189"/>
      <c r="O362" s="1189"/>
      <c r="P362" s="1189"/>
      <c r="Q362" s="1189"/>
      <c r="R362" s="1189"/>
      <c r="S362" s="1189"/>
      <c r="T362" s="1189"/>
      <c r="U362" s="1189"/>
      <c r="V362" s="1189"/>
      <c r="W362" s="1189"/>
      <c r="X362" s="1189"/>
      <c r="Y362" s="1189"/>
      <c r="Z362" s="1189"/>
    </row>
    <row r="363">
      <c r="A363" s="1189"/>
      <c r="B363" s="1189"/>
      <c r="C363" s="1189"/>
      <c r="D363" s="1189"/>
      <c r="E363" s="1189"/>
      <c r="F363" s="1189"/>
      <c r="G363" s="1189"/>
      <c r="H363" s="1189"/>
      <c r="I363" s="1189"/>
      <c r="J363" s="1189"/>
      <c r="K363" s="1189"/>
      <c r="L363" s="1189"/>
      <c r="M363" s="1189"/>
      <c r="N363" s="1189"/>
      <c r="O363" s="1189"/>
      <c r="P363" s="1189"/>
      <c r="Q363" s="1189"/>
      <c r="R363" s="1189"/>
      <c r="S363" s="1189"/>
      <c r="T363" s="1189"/>
      <c r="U363" s="1189"/>
      <c r="V363" s="1189"/>
      <c r="W363" s="1189"/>
      <c r="X363" s="1189"/>
      <c r="Y363" s="1189"/>
      <c r="Z363" s="1189"/>
    </row>
    <row r="364">
      <c r="A364" s="1189"/>
      <c r="B364" s="1189"/>
      <c r="C364" s="1189"/>
      <c r="D364" s="1189"/>
      <c r="E364" s="1189"/>
      <c r="F364" s="1189"/>
      <c r="G364" s="1189"/>
      <c r="H364" s="1189"/>
      <c r="I364" s="1189"/>
      <c r="J364" s="1189"/>
      <c r="K364" s="1189"/>
      <c r="L364" s="1189"/>
      <c r="M364" s="1189"/>
      <c r="N364" s="1189"/>
      <c r="O364" s="1189"/>
      <c r="P364" s="1189"/>
      <c r="Q364" s="1189"/>
      <c r="R364" s="1189"/>
      <c r="S364" s="1189"/>
      <c r="T364" s="1189"/>
      <c r="U364" s="1189"/>
      <c r="V364" s="1189"/>
      <c r="W364" s="1189"/>
      <c r="X364" s="1189"/>
      <c r="Y364" s="1189"/>
      <c r="Z364" s="1189"/>
    </row>
    <row r="365">
      <c r="A365" s="1189"/>
      <c r="B365" s="1189"/>
      <c r="C365" s="1189"/>
      <c r="D365" s="1189"/>
      <c r="E365" s="1189"/>
      <c r="F365" s="1189"/>
      <c r="G365" s="1189"/>
      <c r="H365" s="1189"/>
      <c r="I365" s="1189"/>
      <c r="J365" s="1189"/>
      <c r="K365" s="1189"/>
      <c r="L365" s="1189"/>
      <c r="M365" s="1189"/>
      <c r="N365" s="1189"/>
      <c r="O365" s="1189"/>
      <c r="P365" s="1189"/>
      <c r="Q365" s="1189"/>
      <c r="R365" s="1189"/>
      <c r="S365" s="1189"/>
      <c r="T365" s="1189"/>
      <c r="U365" s="1189"/>
      <c r="V365" s="1189"/>
      <c r="W365" s="1189"/>
      <c r="X365" s="1189"/>
      <c r="Y365" s="1189"/>
      <c r="Z365" s="1189"/>
    </row>
    <row r="366">
      <c r="A366" s="1189"/>
      <c r="B366" s="1189"/>
      <c r="C366" s="1189"/>
      <c r="D366" s="1189"/>
      <c r="E366" s="1189"/>
      <c r="F366" s="1189"/>
      <c r="G366" s="1189"/>
      <c r="H366" s="1189"/>
      <c r="I366" s="1189"/>
      <c r="J366" s="1189"/>
      <c r="K366" s="1189"/>
      <c r="L366" s="1189"/>
      <c r="M366" s="1189"/>
      <c r="N366" s="1189"/>
      <c r="O366" s="1189"/>
      <c r="P366" s="1189"/>
      <c r="Q366" s="1189"/>
      <c r="R366" s="1189"/>
      <c r="S366" s="1189"/>
      <c r="T366" s="1189"/>
      <c r="U366" s="1189"/>
      <c r="V366" s="1189"/>
      <c r="W366" s="1189"/>
      <c r="X366" s="1189"/>
      <c r="Y366" s="1189"/>
      <c r="Z366" s="1189"/>
    </row>
    <row r="367">
      <c r="A367" s="1189"/>
      <c r="B367" s="1189"/>
      <c r="C367" s="1189"/>
      <c r="D367" s="1189"/>
      <c r="E367" s="1189"/>
      <c r="F367" s="1189"/>
      <c r="G367" s="1189"/>
      <c r="H367" s="1189"/>
      <c r="I367" s="1189"/>
      <c r="J367" s="1189"/>
      <c r="K367" s="1189"/>
      <c r="L367" s="1189"/>
      <c r="M367" s="1189"/>
      <c r="N367" s="1189"/>
      <c r="O367" s="1189"/>
      <c r="P367" s="1189"/>
      <c r="Q367" s="1189"/>
      <c r="R367" s="1189"/>
      <c r="S367" s="1189"/>
      <c r="T367" s="1189"/>
      <c r="U367" s="1189"/>
      <c r="V367" s="1189"/>
      <c r="W367" s="1189"/>
      <c r="X367" s="1189"/>
      <c r="Y367" s="1189"/>
      <c r="Z367" s="1189"/>
    </row>
    <row r="368">
      <c r="A368" s="1189"/>
      <c r="B368" s="1189"/>
      <c r="C368" s="1189"/>
      <c r="D368" s="1189"/>
      <c r="E368" s="1189"/>
      <c r="F368" s="1189"/>
      <c r="G368" s="1189"/>
      <c r="H368" s="1189"/>
      <c r="I368" s="1189"/>
      <c r="J368" s="1189"/>
      <c r="K368" s="1189"/>
      <c r="L368" s="1189"/>
      <c r="M368" s="1189"/>
      <c r="N368" s="1189"/>
      <c r="O368" s="1189"/>
      <c r="P368" s="1189"/>
      <c r="Q368" s="1189"/>
      <c r="R368" s="1189"/>
      <c r="S368" s="1189"/>
      <c r="T368" s="1189"/>
      <c r="U368" s="1189"/>
      <c r="V368" s="1189"/>
      <c r="W368" s="1189"/>
      <c r="X368" s="1189"/>
      <c r="Y368" s="1189"/>
      <c r="Z368" s="1189"/>
    </row>
    <row r="369">
      <c r="A369" s="1189"/>
      <c r="B369" s="1189"/>
      <c r="C369" s="1189"/>
      <c r="D369" s="1189"/>
      <c r="E369" s="1189"/>
      <c r="F369" s="1189"/>
      <c r="G369" s="1189"/>
      <c r="H369" s="1189"/>
      <c r="I369" s="1189"/>
      <c r="J369" s="1189"/>
      <c r="K369" s="1189"/>
      <c r="L369" s="1189"/>
      <c r="M369" s="1189"/>
      <c r="N369" s="1189"/>
      <c r="O369" s="1189"/>
      <c r="P369" s="1189"/>
      <c r="Q369" s="1189"/>
      <c r="R369" s="1189"/>
      <c r="S369" s="1189"/>
      <c r="T369" s="1189"/>
      <c r="U369" s="1189"/>
      <c r="V369" s="1189"/>
      <c r="W369" s="1189"/>
      <c r="X369" s="1189"/>
      <c r="Y369" s="1189"/>
      <c r="Z369" s="1189"/>
    </row>
    <row r="370">
      <c r="A370" s="1189"/>
      <c r="B370" s="1189"/>
      <c r="C370" s="1189"/>
      <c r="D370" s="1189"/>
      <c r="E370" s="1189"/>
      <c r="F370" s="1189"/>
      <c r="G370" s="1189"/>
      <c r="H370" s="1189"/>
      <c r="I370" s="1189"/>
      <c r="J370" s="1189"/>
      <c r="K370" s="1189"/>
      <c r="L370" s="1189"/>
      <c r="M370" s="1189"/>
      <c r="N370" s="1189"/>
      <c r="O370" s="1189"/>
      <c r="P370" s="1189"/>
      <c r="Q370" s="1189"/>
      <c r="R370" s="1189"/>
      <c r="S370" s="1189"/>
      <c r="T370" s="1189"/>
      <c r="U370" s="1189"/>
      <c r="V370" s="1189"/>
      <c r="W370" s="1189"/>
      <c r="X370" s="1189"/>
      <c r="Y370" s="1189"/>
      <c r="Z370" s="1189"/>
    </row>
    <row r="371">
      <c r="A371" s="1189"/>
      <c r="B371" s="1189"/>
      <c r="C371" s="1189"/>
      <c r="D371" s="1189"/>
      <c r="E371" s="1189"/>
      <c r="F371" s="1189"/>
      <c r="G371" s="1189"/>
      <c r="H371" s="1189"/>
      <c r="I371" s="1189"/>
      <c r="J371" s="1189"/>
      <c r="K371" s="1189"/>
      <c r="L371" s="1189"/>
      <c r="M371" s="1189"/>
      <c r="N371" s="1189"/>
      <c r="O371" s="1189"/>
      <c r="P371" s="1189"/>
      <c r="Q371" s="1189"/>
      <c r="R371" s="1189"/>
      <c r="S371" s="1189"/>
      <c r="T371" s="1189"/>
      <c r="U371" s="1189"/>
      <c r="V371" s="1189"/>
      <c r="W371" s="1189"/>
      <c r="X371" s="1189"/>
      <c r="Y371" s="1189"/>
      <c r="Z371" s="1189"/>
    </row>
    <row r="372">
      <c r="A372" s="1189"/>
      <c r="B372" s="1189"/>
      <c r="C372" s="1189"/>
      <c r="D372" s="1189"/>
      <c r="E372" s="1189"/>
      <c r="F372" s="1189"/>
      <c r="G372" s="1189"/>
      <c r="H372" s="1189"/>
      <c r="I372" s="1189"/>
      <c r="J372" s="1189"/>
      <c r="K372" s="1189"/>
      <c r="L372" s="1189"/>
      <c r="M372" s="1189"/>
      <c r="N372" s="1189"/>
      <c r="O372" s="1189"/>
      <c r="P372" s="1189"/>
      <c r="Q372" s="1189"/>
      <c r="R372" s="1189"/>
      <c r="S372" s="1189"/>
      <c r="T372" s="1189"/>
      <c r="U372" s="1189"/>
      <c r="V372" s="1189"/>
      <c r="W372" s="1189"/>
      <c r="X372" s="1189"/>
      <c r="Y372" s="1189"/>
      <c r="Z372" s="1189"/>
    </row>
    <row r="373">
      <c r="A373" s="1189"/>
      <c r="B373" s="1189"/>
      <c r="C373" s="1189"/>
      <c r="D373" s="1189"/>
      <c r="E373" s="1189"/>
      <c r="F373" s="1189"/>
      <c r="G373" s="1189"/>
      <c r="H373" s="1189"/>
      <c r="I373" s="1189"/>
      <c r="J373" s="1189"/>
      <c r="K373" s="1189"/>
      <c r="L373" s="1189"/>
      <c r="M373" s="1189"/>
      <c r="N373" s="1189"/>
      <c r="O373" s="1189"/>
      <c r="P373" s="1189"/>
      <c r="Q373" s="1189"/>
      <c r="R373" s="1189"/>
      <c r="S373" s="1189"/>
      <c r="T373" s="1189"/>
      <c r="U373" s="1189"/>
      <c r="V373" s="1189"/>
      <c r="W373" s="1189"/>
      <c r="X373" s="1189"/>
      <c r="Y373" s="1189"/>
      <c r="Z373" s="1189"/>
    </row>
    <row r="374">
      <c r="A374" s="1189"/>
      <c r="B374" s="1189"/>
      <c r="C374" s="1189"/>
      <c r="D374" s="1189"/>
      <c r="E374" s="1189"/>
      <c r="F374" s="1189"/>
      <c r="G374" s="1189"/>
      <c r="H374" s="1189"/>
      <c r="I374" s="1189"/>
      <c r="J374" s="1189"/>
      <c r="K374" s="1189"/>
      <c r="L374" s="1189"/>
      <c r="M374" s="1189"/>
      <c r="N374" s="1189"/>
      <c r="O374" s="1189"/>
      <c r="P374" s="1189"/>
      <c r="Q374" s="1189"/>
      <c r="R374" s="1189"/>
      <c r="S374" s="1189"/>
      <c r="T374" s="1189"/>
      <c r="U374" s="1189"/>
      <c r="V374" s="1189"/>
      <c r="W374" s="1189"/>
      <c r="X374" s="1189"/>
      <c r="Y374" s="1189"/>
      <c r="Z374" s="1189"/>
    </row>
    <row r="375">
      <c r="A375" s="1189"/>
      <c r="B375" s="1189"/>
      <c r="C375" s="1189"/>
      <c r="D375" s="1189"/>
      <c r="E375" s="1189"/>
      <c r="F375" s="1189"/>
      <c r="G375" s="1189"/>
      <c r="H375" s="1189"/>
      <c r="I375" s="1189"/>
      <c r="J375" s="1189"/>
      <c r="K375" s="1189"/>
      <c r="L375" s="1189"/>
      <c r="M375" s="1189"/>
      <c r="N375" s="1189"/>
      <c r="O375" s="1189"/>
      <c r="P375" s="1189"/>
      <c r="Q375" s="1189"/>
      <c r="R375" s="1189"/>
      <c r="S375" s="1189"/>
      <c r="T375" s="1189"/>
      <c r="U375" s="1189"/>
      <c r="V375" s="1189"/>
      <c r="W375" s="1189"/>
      <c r="X375" s="1189"/>
      <c r="Y375" s="1189"/>
      <c r="Z375" s="1189"/>
    </row>
    <row r="376">
      <c r="A376" s="1189"/>
      <c r="B376" s="1189"/>
      <c r="C376" s="1189"/>
      <c r="D376" s="1189"/>
      <c r="E376" s="1189"/>
      <c r="F376" s="1189"/>
      <c r="G376" s="1189"/>
      <c r="H376" s="1189"/>
      <c r="I376" s="1189"/>
      <c r="J376" s="1189"/>
      <c r="K376" s="1189"/>
      <c r="L376" s="1189"/>
      <c r="M376" s="1189"/>
      <c r="N376" s="1189"/>
      <c r="O376" s="1189"/>
      <c r="P376" s="1189"/>
      <c r="Q376" s="1189"/>
      <c r="R376" s="1189"/>
      <c r="S376" s="1189"/>
      <c r="T376" s="1189"/>
      <c r="U376" s="1189"/>
      <c r="V376" s="1189"/>
      <c r="W376" s="1189"/>
      <c r="X376" s="1189"/>
      <c r="Y376" s="1189"/>
      <c r="Z376" s="1189"/>
    </row>
    <row r="377">
      <c r="A377" s="1189"/>
      <c r="B377" s="1189"/>
      <c r="C377" s="1189"/>
      <c r="D377" s="1189"/>
      <c r="E377" s="1189"/>
      <c r="F377" s="1189"/>
      <c r="G377" s="1189"/>
      <c r="H377" s="1189"/>
      <c r="I377" s="1189"/>
      <c r="J377" s="1189"/>
      <c r="K377" s="1189"/>
      <c r="L377" s="1189"/>
      <c r="M377" s="1189"/>
      <c r="N377" s="1189"/>
      <c r="O377" s="1189"/>
      <c r="P377" s="1189"/>
      <c r="Q377" s="1189"/>
      <c r="R377" s="1189"/>
      <c r="S377" s="1189"/>
      <c r="T377" s="1189"/>
      <c r="U377" s="1189"/>
      <c r="V377" s="1189"/>
      <c r="W377" s="1189"/>
      <c r="X377" s="1189"/>
      <c r="Y377" s="1189"/>
      <c r="Z377" s="1189"/>
    </row>
    <row r="378">
      <c r="A378" s="1189"/>
      <c r="B378" s="1189"/>
      <c r="C378" s="1189"/>
      <c r="D378" s="1189"/>
      <c r="E378" s="1189"/>
      <c r="F378" s="1189"/>
      <c r="G378" s="1189"/>
      <c r="H378" s="1189"/>
      <c r="I378" s="1189"/>
      <c r="J378" s="1189"/>
      <c r="K378" s="1189"/>
      <c r="L378" s="1189"/>
      <c r="M378" s="1189"/>
      <c r="N378" s="1189"/>
      <c r="O378" s="1189"/>
      <c r="P378" s="1189"/>
      <c r="Q378" s="1189"/>
      <c r="R378" s="1189"/>
      <c r="S378" s="1189"/>
      <c r="T378" s="1189"/>
      <c r="U378" s="1189"/>
      <c r="V378" s="1189"/>
      <c r="W378" s="1189"/>
      <c r="X378" s="1189"/>
      <c r="Y378" s="1189"/>
      <c r="Z378" s="1189"/>
    </row>
    <row r="379">
      <c r="A379" s="1189"/>
      <c r="B379" s="1189"/>
      <c r="C379" s="1189"/>
      <c r="D379" s="1189"/>
      <c r="E379" s="1189"/>
      <c r="F379" s="1189"/>
      <c r="G379" s="1189"/>
      <c r="H379" s="1189"/>
      <c r="I379" s="1189"/>
      <c r="J379" s="1189"/>
      <c r="K379" s="1189"/>
      <c r="L379" s="1189"/>
      <c r="M379" s="1189"/>
      <c r="N379" s="1189"/>
      <c r="O379" s="1189"/>
      <c r="P379" s="1189"/>
      <c r="Q379" s="1189"/>
      <c r="R379" s="1189"/>
      <c r="S379" s="1189"/>
      <c r="T379" s="1189"/>
      <c r="U379" s="1189"/>
      <c r="V379" s="1189"/>
      <c r="W379" s="1189"/>
      <c r="X379" s="1189"/>
      <c r="Y379" s="1189"/>
      <c r="Z379" s="1189"/>
    </row>
    <row r="380">
      <c r="A380" s="1189"/>
      <c r="B380" s="1189"/>
      <c r="C380" s="1189"/>
      <c r="D380" s="1189"/>
      <c r="E380" s="1189"/>
      <c r="F380" s="1189"/>
      <c r="G380" s="1189"/>
      <c r="H380" s="1189"/>
      <c r="I380" s="1189"/>
      <c r="J380" s="1189"/>
      <c r="K380" s="1189"/>
      <c r="L380" s="1189"/>
      <c r="M380" s="1189"/>
      <c r="N380" s="1189"/>
      <c r="O380" s="1189"/>
      <c r="P380" s="1189"/>
      <c r="Q380" s="1189"/>
      <c r="R380" s="1189"/>
      <c r="S380" s="1189"/>
      <c r="T380" s="1189"/>
      <c r="U380" s="1189"/>
      <c r="V380" s="1189"/>
      <c r="W380" s="1189"/>
      <c r="X380" s="1189"/>
      <c r="Y380" s="1189"/>
      <c r="Z380" s="1189"/>
    </row>
    <row r="381">
      <c r="A381" s="1189"/>
      <c r="B381" s="1189"/>
      <c r="C381" s="1189"/>
      <c r="D381" s="1189"/>
      <c r="E381" s="1189"/>
      <c r="F381" s="1189"/>
      <c r="G381" s="1189"/>
      <c r="H381" s="1189"/>
      <c r="I381" s="1189"/>
      <c r="J381" s="1189"/>
      <c r="K381" s="1189"/>
      <c r="L381" s="1189"/>
      <c r="M381" s="1189"/>
      <c r="N381" s="1189"/>
      <c r="O381" s="1189"/>
      <c r="P381" s="1189"/>
      <c r="Q381" s="1189"/>
      <c r="R381" s="1189"/>
      <c r="S381" s="1189"/>
      <c r="T381" s="1189"/>
      <c r="U381" s="1189"/>
      <c r="V381" s="1189"/>
      <c r="W381" s="1189"/>
      <c r="X381" s="1189"/>
      <c r="Y381" s="1189"/>
      <c r="Z381" s="1189"/>
    </row>
    <row r="382">
      <c r="A382" s="1189"/>
      <c r="B382" s="1189"/>
      <c r="C382" s="1189"/>
      <c r="D382" s="1189"/>
      <c r="E382" s="1189"/>
      <c r="F382" s="1189"/>
      <c r="G382" s="1189"/>
      <c r="H382" s="1189"/>
      <c r="I382" s="1189"/>
      <c r="J382" s="1189"/>
      <c r="K382" s="1189"/>
      <c r="L382" s="1189"/>
      <c r="M382" s="1189"/>
      <c r="N382" s="1189"/>
      <c r="O382" s="1189"/>
      <c r="P382" s="1189"/>
      <c r="Q382" s="1189"/>
      <c r="R382" s="1189"/>
      <c r="S382" s="1189"/>
      <c r="T382" s="1189"/>
      <c r="U382" s="1189"/>
      <c r="V382" s="1189"/>
      <c r="W382" s="1189"/>
      <c r="X382" s="1189"/>
      <c r="Y382" s="1189"/>
      <c r="Z382" s="1189"/>
    </row>
    <row r="383">
      <c r="A383" s="1189"/>
      <c r="B383" s="1189"/>
      <c r="C383" s="1189"/>
      <c r="D383" s="1189"/>
      <c r="E383" s="1189"/>
      <c r="F383" s="1189"/>
      <c r="G383" s="1189"/>
      <c r="H383" s="1189"/>
      <c r="I383" s="1189"/>
      <c r="J383" s="1189"/>
      <c r="K383" s="1189"/>
      <c r="L383" s="1189"/>
      <c r="M383" s="1189"/>
      <c r="N383" s="1189"/>
      <c r="O383" s="1189"/>
      <c r="P383" s="1189"/>
      <c r="Q383" s="1189"/>
      <c r="R383" s="1189"/>
      <c r="S383" s="1189"/>
      <c r="T383" s="1189"/>
      <c r="U383" s="1189"/>
      <c r="V383" s="1189"/>
      <c r="W383" s="1189"/>
      <c r="X383" s="1189"/>
      <c r="Y383" s="1189"/>
      <c r="Z383" s="1189"/>
    </row>
    <row r="384">
      <c r="A384" s="1189"/>
      <c r="B384" s="1189"/>
      <c r="C384" s="1189"/>
      <c r="D384" s="1189"/>
      <c r="E384" s="1189"/>
      <c r="F384" s="1189"/>
      <c r="G384" s="1189"/>
      <c r="H384" s="1189"/>
      <c r="I384" s="1189"/>
      <c r="J384" s="1189"/>
      <c r="K384" s="1189"/>
      <c r="L384" s="1189"/>
      <c r="M384" s="1189"/>
      <c r="N384" s="1189"/>
      <c r="O384" s="1189"/>
      <c r="P384" s="1189"/>
      <c r="Q384" s="1189"/>
      <c r="R384" s="1189"/>
      <c r="S384" s="1189"/>
      <c r="T384" s="1189"/>
      <c r="U384" s="1189"/>
      <c r="V384" s="1189"/>
      <c r="W384" s="1189"/>
      <c r="X384" s="1189"/>
      <c r="Y384" s="1189"/>
      <c r="Z384" s="1189"/>
    </row>
    <row r="385">
      <c r="A385" s="1189"/>
      <c r="B385" s="1189"/>
      <c r="C385" s="1189"/>
      <c r="D385" s="1189"/>
      <c r="E385" s="1189"/>
      <c r="F385" s="1189"/>
      <c r="G385" s="1189"/>
      <c r="H385" s="1189"/>
      <c r="I385" s="1189"/>
      <c r="J385" s="1189"/>
      <c r="K385" s="1189"/>
      <c r="L385" s="1189"/>
      <c r="M385" s="1189"/>
      <c r="N385" s="1189"/>
      <c r="O385" s="1189"/>
      <c r="P385" s="1189"/>
      <c r="Q385" s="1189"/>
      <c r="R385" s="1189"/>
      <c r="S385" s="1189"/>
      <c r="T385" s="1189"/>
      <c r="U385" s="1189"/>
      <c r="V385" s="1189"/>
      <c r="W385" s="1189"/>
      <c r="X385" s="1189"/>
      <c r="Y385" s="1189"/>
      <c r="Z385" s="1189"/>
    </row>
    <row r="386">
      <c r="A386" s="1189"/>
      <c r="B386" s="1189"/>
      <c r="C386" s="1189"/>
      <c r="D386" s="1189"/>
      <c r="E386" s="1189"/>
      <c r="F386" s="1189"/>
      <c r="G386" s="1189"/>
      <c r="H386" s="1189"/>
      <c r="I386" s="1189"/>
      <c r="J386" s="1189"/>
      <c r="K386" s="1189"/>
      <c r="L386" s="1189"/>
      <c r="M386" s="1189"/>
      <c r="N386" s="1189"/>
      <c r="O386" s="1189"/>
      <c r="P386" s="1189"/>
      <c r="Q386" s="1189"/>
      <c r="R386" s="1189"/>
      <c r="S386" s="1189"/>
      <c r="T386" s="1189"/>
      <c r="U386" s="1189"/>
      <c r="V386" s="1189"/>
      <c r="W386" s="1189"/>
      <c r="X386" s="1189"/>
      <c r="Y386" s="1189"/>
      <c r="Z386" s="1189"/>
    </row>
    <row r="387">
      <c r="A387" s="1189"/>
      <c r="B387" s="1189"/>
      <c r="C387" s="1189"/>
      <c r="D387" s="1189"/>
      <c r="E387" s="1189"/>
      <c r="F387" s="1189"/>
      <c r="G387" s="1189"/>
      <c r="H387" s="1189"/>
      <c r="I387" s="1189"/>
      <c r="J387" s="1189"/>
      <c r="K387" s="1189"/>
      <c r="L387" s="1189"/>
      <c r="M387" s="1189"/>
      <c r="N387" s="1189"/>
      <c r="O387" s="1189"/>
      <c r="P387" s="1189"/>
      <c r="Q387" s="1189"/>
      <c r="R387" s="1189"/>
      <c r="S387" s="1189"/>
      <c r="T387" s="1189"/>
      <c r="U387" s="1189"/>
      <c r="V387" s="1189"/>
      <c r="W387" s="1189"/>
      <c r="X387" s="1189"/>
      <c r="Y387" s="1189"/>
      <c r="Z387" s="1189"/>
    </row>
    <row r="388">
      <c r="A388" s="1189"/>
      <c r="B388" s="1189"/>
      <c r="C388" s="1189"/>
      <c r="D388" s="1189"/>
      <c r="E388" s="1189"/>
      <c r="F388" s="1189"/>
      <c r="G388" s="1189"/>
      <c r="H388" s="1189"/>
      <c r="I388" s="1189"/>
      <c r="J388" s="1189"/>
      <c r="K388" s="1189"/>
      <c r="L388" s="1189"/>
      <c r="M388" s="1189"/>
      <c r="N388" s="1189"/>
      <c r="O388" s="1189"/>
      <c r="P388" s="1189"/>
      <c r="Q388" s="1189"/>
      <c r="R388" s="1189"/>
      <c r="S388" s="1189"/>
      <c r="T388" s="1189"/>
      <c r="U388" s="1189"/>
      <c r="V388" s="1189"/>
      <c r="W388" s="1189"/>
      <c r="X388" s="1189"/>
      <c r="Y388" s="1189"/>
      <c r="Z388" s="1189"/>
    </row>
    <row r="389">
      <c r="A389" s="1189"/>
      <c r="B389" s="1189"/>
      <c r="C389" s="1189"/>
      <c r="D389" s="1189"/>
      <c r="E389" s="1189"/>
      <c r="F389" s="1189"/>
      <c r="G389" s="1189"/>
      <c r="H389" s="1189"/>
      <c r="I389" s="1189"/>
      <c r="J389" s="1189"/>
      <c r="K389" s="1189"/>
      <c r="L389" s="1189"/>
      <c r="M389" s="1189"/>
      <c r="N389" s="1189"/>
      <c r="O389" s="1189"/>
      <c r="P389" s="1189"/>
      <c r="Q389" s="1189"/>
      <c r="R389" s="1189"/>
      <c r="S389" s="1189"/>
      <c r="T389" s="1189"/>
      <c r="U389" s="1189"/>
      <c r="V389" s="1189"/>
      <c r="W389" s="1189"/>
      <c r="X389" s="1189"/>
      <c r="Y389" s="1189"/>
      <c r="Z389" s="1189"/>
    </row>
    <row r="390">
      <c r="A390" s="1189"/>
      <c r="B390" s="1189"/>
      <c r="C390" s="1189"/>
      <c r="D390" s="1189"/>
      <c r="E390" s="1189"/>
      <c r="F390" s="1189"/>
      <c r="G390" s="1189"/>
      <c r="H390" s="1189"/>
      <c r="I390" s="1189"/>
      <c r="J390" s="1189"/>
      <c r="K390" s="1189"/>
      <c r="L390" s="1189"/>
      <c r="M390" s="1189"/>
      <c r="N390" s="1189"/>
      <c r="O390" s="1189"/>
      <c r="P390" s="1189"/>
      <c r="Q390" s="1189"/>
      <c r="R390" s="1189"/>
      <c r="S390" s="1189"/>
      <c r="T390" s="1189"/>
      <c r="U390" s="1189"/>
      <c r="V390" s="1189"/>
      <c r="W390" s="1189"/>
      <c r="X390" s="1189"/>
      <c r="Y390" s="1189"/>
      <c r="Z390" s="1189"/>
    </row>
    <row r="391">
      <c r="A391" s="1189"/>
      <c r="B391" s="1189"/>
      <c r="C391" s="1189"/>
      <c r="D391" s="1189"/>
      <c r="E391" s="1189"/>
      <c r="F391" s="1189"/>
      <c r="G391" s="1189"/>
      <c r="H391" s="1189"/>
      <c r="I391" s="1189"/>
      <c r="J391" s="1189"/>
      <c r="K391" s="1189"/>
      <c r="L391" s="1189"/>
      <c r="M391" s="1189"/>
      <c r="N391" s="1189"/>
      <c r="O391" s="1189"/>
      <c r="P391" s="1189"/>
      <c r="Q391" s="1189"/>
      <c r="R391" s="1189"/>
      <c r="S391" s="1189"/>
      <c r="T391" s="1189"/>
      <c r="U391" s="1189"/>
      <c r="V391" s="1189"/>
      <c r="W391" s="1189"/>
      <c r="X391" s="1189"/>
      <c r="Y391" s="1189"/>
      <c r="Z391" s="1189"/>
    </row>
    <row r="392">
      <c r="A392" s="1189"/>
      <c r="B392" s="1189"/>
      <c r="C392" s="1189"/>
      <c r="D392" s="1189"/>
      <c r="E392" s="1189"/>
      <c r="F392" s="1189"/>
      <c r="G392" s="1189"/>
      <c r="H392" s="1189"/>
      <c r="I392" s="1189"/>
      <c r="J392" s="1189"/>
      <c r="K392" s="1189"/>
      <c r="L392" s="1189"/>
      <c r="M392" s="1189"/>
      <c r="N392" s="1189"/>
      <c r="O392" s="1189"/>
      <c r="P392" s="1189"/>
      <c r="Q392" s="1189"/>
      <c r="R392" s="1189"/>
      <c r="S392" s="1189"/>
      <c r="T392" s="1189"/>
      <c r="U392" s="1189"/>
      <c r="V392" s="1189"/>
      <c r="W392" s="1189"/>
      <c r="X392" s="1189"/>
      <c r="Y392" s="1189"/>
      <c r="Z392" s="1189"/>
    </row>
    <row r="393">
      <c r="A393" s="1189"/>
      <c r="B393" s="1189"/>
      <c r="C393" s="1189"/>
      <c r="D393" s="1189"/>
      <c r="E393" s="1189"/>
      <c r="F393" s="1189"/>
      <c r="G393" s="1189"/>
      <c r="H393" s="1189"/>
      <c r="I393" s="1189"/>
      <c r="J393" s="1189"/>
      <c r="K393" s="1189"/>
      <c r="L393" s="1189"/>
      <c r="M393" s="1189"/>
      <c r="N393" s="1189"/>
      <c r="O393" s="1189"/>
      <c r="P393" s="1189"/>
      <c r="Q393" s="1189"/>
      <c r="R393" s="1189"/>
      <c r="S393" s="1189"/>
      <c r="T393" s="1189"/>
      <c r="U393" s="1189"/>
      <c r="V393" s="1189"/>
      <c r="W393" s="1189"/>
      <c r="X393" s="1189"/>
      <c r="Y393" s="1189"/>
      <c r="Z393" s="1189"/>
    </row>
    <row r="394">
      <c r="A394" s="1189"/>
      <c r="B394" s="1189"/>
      <c r="C394" s="1189"/>
      <c r="D394" s="1189"/>
      <c r="E394" s="1189"/>
      <c r="F394" s="1189"/>
      <c r="G394" s="1189"/>
      <c r="H394" s="1189"/>
      <c r="I394" s="1189"/>
      <c r="J394" s="1189"/>
      <c r="K394" s="1189"/>
      <c r="L394" s="1189"/>
      <c r="M394" s="1189"/>
      <c r="N394" s="1189"/>
      <c r="O394" s="1189"/>
      <c r="P394" s="1189"/>
      <c r="Q394" s="1189"/>
      <c r="R394" s="1189"/>
      <c r="S394" s="1189"/>
      <c r="T394" s="1189"/>
      <c r="U394" s="1189"/>
      <c r="V394" s="1189"/>
      <c r="W394" s="1189"/>
      <c r="X394" s="1189"/>
      <c r="Y394" s="1189"/>
      <c r="Z394" s="1189"/>
    </row>
    <row r="395">
      <c r="A395" s="1189"/>
      <c r="B395" s="1189"/>
      <c r="C395" s="1189"/>
      <c r="D395" s="1189"/>
      <c r="E395" s="1189"/>
      <c r="F395" s="1189"/>
      <c r="G395" s="1189"/>
      <c r="H395" s="1189"/>
      <c r="I395" s="1189"/>
      <c r="J395" s="1189"/>
      <c r="K395" s="1189"/>
      <c r="L395" s="1189"/>
      <c r="M395" s="1189"/>
      <c r="N395" s="1189"/>
      <c r="O395" s="1189"/>
      <c r="P395" s="1189"/>
      <c r="Q395" s="1189"/>
      <c r="R395" s="1189"/>
      <c r="S395" s="1189"/>
      <c r="T395" s="1189"/>
      <c r="U395" s="1189"/>
      <c r="V395" s="1189"/>
      <c r="W395" s="1189"/>
      <c r="X395" s="1189"/>
      <c r="Y395" s="1189"/>
      <c r="Z395" s="1189"/>
    </row>
    <row r="396">
      <c r="A396" s="1189"/>
      <c r="B396" s="1189"/>
      <c r="C396" s="1189"/>
      <c r="D396" s="1189"/>
      <c r="E396" s="1189"/>
      <c r="F396" s="1189"/>
      <c r="G396" s="1189"/>
      <c r="H396" s="1189"/>
      <c r="I396" s="1189"/>
      <c r="J396" s="1189"/>
      <c r="K396" s="1189"/>
      <c r="L396" s="1189"/>
      <c r="M396" s="1189"/>
      <c r="N396" s="1189"/>
      <c r="O396" s="1189"/>
      <c r="P396" s="1189"/>
      <c r="Q396" s="1189"/>
      <c r="R396" s="1189"/>
      <c r="S396" s="1189"/>
      <c r="T396" s="1189"/>
      <c r="U396" s="1189"/>
      <c r="V396" s="1189"/>
      <c r="W396" s="1189"/>
      <c r="X396" s="1189"/>
      <c r="Y396" s="1189"/>
      <c r="Z396" s="1189"/>
    </row>
    <row r="397">
      <c r="A397" s="1189"/>
      <c r="B397" s="1189"/>
      <c r="C397" s="1189"/>
      <c r="D397" s="1189"/>
      <c r="E397" s="1189"/>
      <c r="F397" s="1189"/>
      <c r="G397" s="1189"/>
      <c r="H397" s="1189"/>
      <c r="I397" s="1189"/>
      <c r="J397" s="1189"/>
      <c r="K397" s="1189"/>
      <c r="L397" s="1189"/>
      <c r="M397" s="1189"/>
      <c r="N397" s="1189"/>
      <c r="O397" s="1189"/>
      <c r="P397" s="1189"/>
      <c r="Q397" s="1189"/>
      <c r="R397" s="1189"/>
      <c r="S397" s="1189"/>
      <c r="T397" s="1189"/>
      <c r="U397" s="1189"/>
      <c r="V397" s="1189"/>
      <c r="W397" s="1189"/>
      <c r="X397" s="1189"/>
      <c r="Y397" s="1189"/>
      <c r="Z397" s="1189"/>
    </row>
    <row r="398">
      <c r="A398" s="1189"/>
      <c r="B398" s="1189"/>
      <c r="C398" s="1189"/>
      <c r="D398" s="1189"/>
      <c r="E398" s="1189"/>
      <c r="F398" s="1189"/>
      <c r="G398" s="1189"/>
      <c r="H398" s="1189"/>
      <c r="I398" s="1189"/>
      <c r="J398" s="1189"/>
      <c r="K398" s="1189"/>
      <c r="L398" s="1189"/>
      <c r="M398" s="1189"/>
      <c r="N398" s="1189"/>
      <c r="O398" s="1189"/>
      <c r="P398" s="1189"/>
      <c r="Q398" s="1189"/>
      <c r="R398" s="1189"/>
      <c r="S398" s="1189"/>
      <c r="T398" s="1189"/>
      <c r="U398" s="1189"/>
      <c r="V398" s="1189"/>
      <c r="W398" s="1189"/>
      <c r="X398" s="1189"/>
      <c r="Y398" s="1189"/>
      <c r="Z398" s="1189"/>
    </row>
    <row r="399">
      <c r="A399" s="1189"/>
      <c r="B399" s="1189"/>
      <c r="C399" s="1189"/>
      <c r="D399" s="1189"/>
      <c r="E399" s="1189"/>
      <c r="F399" s="1189"/>
      <c r="G399" s="1189"/>
      <c r="H399" s="1189"/>
      <c r="I399" s="1189"/>
      <c r="J399" s="1189"/>
      <c r="K399" s="1189"/>
      <c r="L399" s="1189"/>
      <c r="M399" s="1189"/>
      <c r="N399" s="1189"/>
      <c r="O399" s="1189"/>
      <c r="P399" s="1189"/>
      <c r="Q399" s="1189"/>
      <c r="R399" s="1189"/>
      <c r="S399" s="1189"/>
      <c r="T399" s="1189"/>
      <c r="U399" s="1189"/>
      <c r="V399" s="1189"/>
      <c r="W399" s="1189"/>
      <c r="X399" s="1189"/>
      <c r="Y399" s="1189"/>
      <c r="Z399" s="1189"/>
    </row>
    <row r="400">
      <c r="A400" s="1189"/>
      <c r="B400" s="1189"/>
      <c r="C400" s="1189"/>
      <c r="D400" s="1189"/>
      <c r="E400" s="1189"/>
      <c r="F400" s="1189"/>
      <c r="G400" s="1189"/>
      <c r="H400" s="1189"/>
      <c r="I400" s="1189"/>
      <c r="J400" s="1189"/>
      <c r="K400" s="1189"/>
      <c r="L400" s="1189"/>
      <c r="M400" s="1189"/>
      <c r="N400" s="1189"/>
      <c r="O400" s="1189"/>
      <c r="P400" s="1189"/>
      <c r="Q400" s="1189"/>
      <c r="R400" s="1189"/>
      <c r="S400" s="1189"/>
      <c r="T400" s="1189"/>
      <c r="U400" s="1189"/>
      <c r="V400" s="1189"/>
      <c r="W400" s="1189"/>
      <c r="X400" s="1189"/>
      <c r="Y400" s="1189"/>
      <c r="Z400" s="1189"/>
    </row>
    <row r="401">
      <c r="A401" s="1189"/>
      <c r="B401" s="1189"/>
      <c r="C401" s="1189"/>
      <c r="D401" s="1189"/>
      <c r="E401" s="1189"/>
      <c r="F401" s="1189"/>
      <c r="G401" s="1189"/>
      <c r="H401" s="1189"/>
      <c r="I401" s="1189"/>
      <c r="J401" s="1189"/>
      <c r="K401" s="1189"/>
      <c r="L401" s="1189"/>
      <c r="M401" s="1189"/>
      <c r="N401" s="1189"/>
      <c r="O401" s="1189"/>
      <c r="P401" s="1189"/>
      <c r="Q401" s="1189"/>
      <c r="R401" s="1189"/>
      <c r="S401" s="1189"/>
      <c r="T401" s="1189"/>
      <c r="U401" s="1189"/>
      <c r="V401" s="1189"/>
      <c r="W401" s="1189"/>
      <c r="X401" s="1189"/>
      <c r="Y401" s="1189"/>
      <c r="Z401" s="1189"/>
    </row>
    <row r="402">
      <c r="A402" s="1189"/>
      <c r="B402" s="1189"/>
      <c r="C402" s="1189"/>
      <c r="D402" s="1189"/>
      <c r="E402" s="1189"/>
      <c r="F402" s="1189"/>
      <c r="G402" s="1189"/>
      <c r="H402" s="1189"/>
      <c r="I402" s="1189"/>
      <c r="J402" s="1189"/>
      <c r="K402" s="1189"/>
      <c r="L402" s="1189"/>
      <c r="M402" s="1189"/>
      <c r="N402" s="1189"/>
      <c r="O402" s="1189"/>
      <c r="P402" s="1189"/>
      <c r="Q402" s="1189"/>
      <c r="R402" s="1189"/>
      <c r="S402" s="1189"/>
      <c r="T402" s="1189"/>
      <c r="U402" s="1189"/>
      <c r="V402" s="1189"/>
      <c r="W402" s="1189"/>
      <c r="X402" s="1189"/>
      <c r="Y402" s="1189"/>
      <c r="Z402" s="1189"/>
    </row>
    <row r="403">
      <c r="A403" s="1189"/>
      <c r="B403" s="1189"/>
      <c r="C403" s="1189"/>
      <c r="D403" s="1189"/>
      <c r="E403" s="1189"/>
      <c r="F403" s="1189"/>
      <c r="G403" s="1189"/>
      <c r="H403" s="1189"/>
      <c r="I403" s="1189"/>
      <c r="J403" s="1189"/>
      <c r="K403" s="1189"/>
      <c r="L403" s="1189"/>
      <c r="M403" s="1189"/>
      <c r="N403" s="1189"/>
      <c r="O403" s="1189"/>
      <c r="P403" s="1189"/>
      <c r="Q403" s="1189"/>
      <c r="R403" s="1189"/>
      <c r="S403" s="1189"/>
      <c r="T403" s="1189"/>
      <c r="U403" s="1189"/>
      <c r="V403" s="1189"/>
      <c r="W403" s="1189"/>
      <c r="X403" s="1189"/>
      <c r="Y403" s="1189"/>
      <c r="Z403" s="1189"/>
    </row>
    <row r="404">
      <c r="A404" s="1189"/>
      <c r="B404" s="1189"/>
      <c r="C404" s="1189"/>
      <c r="D404" s="1189"/>
      <c r="E404" s="1189"/>
      <c r="F404" s="1189"/>
      <c r="G404" s="1189"/>
      <c r="H404" s="1189"/>
      <c r="I404" s="1189"/>
      <c r="J404" s="1189"/>
      <c r="K404" s="1189"/>
      <c r="L404" s="1189"/>
      <c r="M404" s="1189"/>
      <c r="N404" s="1189"/>
      <c r="O404" s="1189"/>
      <c r="P404" s="1189"/>
      <c r="Q404" s="1189"/>
      <c r="R404" s="1189"/>
      <c r="S404" s="1189"/>
      <c r="T404" s="1189"/>
      <c r="U404" s="1189"/>
      <c r="V404" s="1189"/>
      <c r="W404" s="1189"/>
      <c r="X404" s="1189"/>
      <c r="Y404" s="1189"/>
      <c r="Z404" s="1189"/>
    </row>
    <row r="405">
      <c r="A405" s="1189"/>
      <c r="B405" s="1189"/>
      <c r="C405" s="1189"/>
      <c r="D405" s="1189"/>
      <c r="E405" s="1189"/>
      <c r="F405" s="1189"/>
      <c r="G405" s="1189"/>
      <c r="H405" s="1189"/>
      <c r="I405" s="1189"/>
      <c r="J405" s="1189"/>
      <c r="K405" s="1189"/>
      <c r="L405" s="1189"/>
      <c r="M405" s="1189"/>
      <c r="N405" s="1189"/>
      <c r="O405" s="1189"/>
      <c r="P405" s="1189"/>
      <c r="Q405" s="1189"/>
      <c r="R405" s="1189"/>
      <c r="S405" s="1189"/>
      <c r="T405" s="1189"/>
      <c r="U405" s="1189"/>
      <c r="V405" s="1189"/>
      <c r="W405" s="1189"/>
      <c r="X405" s="1189"/>
      <c r="Y405" s="1189"/>
      <c r="Z405" s="1189"/>
    </row>
    <row r="406">
      <c r="A406" s="1189"/>
      <c r="B406" s="1189"/>
      <c r="C406" s="1189"/>
      <c r="D406" s="1189"/>
      <c r="E406" s="1189"/>
      <c r="F406" s="1189"/>
      <c r="G406" s="1189"/>
      <c r="H406" s="1189"/>
      <c r="I406" s="1189"/>
      <c r="J406" s="1189"/>
      <c r="K406" s="1189"/>
      <c r="L406" s="1189"/>
      <c r="M406" s="1189"/>
      <c r="N406" s="1189"/>
      <c r="O406" s="1189"/>
      <c r="P406" s="1189"/>
      <c r="Q406" s="1189"/>
      <c r="R406" s="1189"/>
      <c r="S406" s="1189"/>
      <c r="T406" s="1189"/>
      <c r="U406" s="1189"/>
      <c r="V406" s="1189"/>
      <c r="W406" s="1189"/>
      <c r="X406" s="1189"/>
      <c r="Y406" s="1189"/>
      <c r="Z406" s="1189"/>
    </row>
    <row r="407">
      <c r="A407" s="1189"/>
      <c r="B407" s="1189"/>
      <c r="C407" s="1189"/>
      <c r="D407" s="1189"/>
      <c r="E407" s="1189"/>
      <c r="F407" s="1189"/>
      <c r="G407" s="1189"/>
      <c r="H407" s="1189"/>
      <c r="I407" s="1189"/>
      <c r="J407" s="1189"/>
      <c r="K407" s="1189"/>
      <c r="L407" s="1189"/>
      <c r="M407" s="1189"/>
      <c r="N407" s="1189"/>
      <c r="O407" s="1189"/>
      <c r="P407" s="1189"/>
      <c r="Q407" s="1189"/>
      <c r="R407" s="1189"/>
      <c r="S407" s="1189"/>
      <c r="T407" s="1189"/>
      <c r="U407" s="1189"/>
      <c r="V407" s="1189"/>
      <c r="W407" s="1189"/>
      <c r="X407" s="1189"/>
      <c r="Y407" s="1189"/>
      <c r="Z407" s="1189"/>
    </row>
    <row r="408">
      <c r="A408" s="1189"/>
      <c r="B408" s="1189"/>
      <c r="C408" s="1189"/>
      <c r="D408" s="1189"/>
      <c r="E408" s="1189"/>
      <c r="F408" s="1189"/>
      <c r="G408" s="1189"/>
      <c r="H408" s="1189"/>
      <c r="I408" s="1189"/>
      <c r="J408" s="1189"/>
      <c r="K408" s="1189"/>
      <c r="L408" s="1189"/>
      <c r="M408" s="1189"/>
      <c r="N408" s="1189"/>
      <c r="O408" s="1189"/>
      <c r="P408" s="1189"/>
      <c r="Q408" s="1189"/>
      <c r="R408" s="1189"/>
      <c r="S408" s="1189"/>
      <c r="T408" s="1189"/>
      <c r="U408" s="1189"/>
      <c r="V408" s="1189"/>
      <c r="W408" s="1189"/>
      <c r="X408" s="1189"/>
      <c r="Y408" s="1189"/>
      <c r="Z408" s="1189"/>
    </row>
    <row r="409">
      <c r="A409" s="1189"/>
      <c r="B409" s="1189"/>
      <c r="C409" s="1189"/>
      <c r="D409" s="1189"/>
      <c r="E409" s="1189"/>
      <c r="F409" s="1189"/>
      <c r="G409" s="1189"/>
      <c r="H409" s="1189"/>
      <c r="I409" s="1189"/>
      <c r="J409" s="1189"/>
      <c r="K409" s="1189"/>
      <c r="L409" s="1189"/>
      <c r="M409" s="1189"/>
      <c r="N409" s="1189"/>
      <c r="O409" s="1189"/>
      <c r="P409" s="1189"/>
      <c r="Q409" s="1189"/>
      <c r="R409" s="1189"/>
      <c r="S409" s="1189"/>
      <c r="T409" s="1189"/>
      <c r="U409" s="1189"/>
      <c r="V409" s="1189"/>
      <c r="W409" s="1189"/>
      <c r="X409" s="1189"/>
      <c r="Y409" s="1189"/>
      <c r="Z409" s="1189"/>
    </row>
    <row r="410">
      <c r="A410" s="1189"/>
      <c r="B410" s="1189"/>
      <c r="C410" s="1189"/>
      <c r="D410" s="1189"/>
      <c r="E410" s="1189"/>
      <c r="F410" s="1189"/>
      <c r="G410" s="1189"/>
      <c r="H410" s="1189"/>
      <c r="I410" s="1189"/>
      <c r="J410" s="1189"/>
      <c r="K410" s="1189"/>
      <c r="L410" s="1189"/>
      <c r="M410" s="1189"/>
      <c r="N410" s="1189"/>
      <c r="O410" s="1189"/>
      <c r="P410" s="1189"/>
      <c r="Q410" s="1189"/>
      <c r="R410" s="1189"/>
      <c r="S410" s="1189"/>
      <c r="T410" s="1189"/>
      <c r="U410" s="1189"/>
      <c r="V410" s="1189"/>
      <c r="W410" s="1189"/>
      <c r="X410" s="1189"/>
      <c r="Y410" s="1189"/>
      <c r="Z410" s="1189"/>
    </row>
    <row r="411">
      <c r="A411" s="1189"/>
      <c r="B411" s="1189"/>
      <c r="C411" s="1189"/>
      <c r="D411" s="1189"/>
      <c r="E411" s="1189"/>
      <c r="F411" s="1189"/>
      <c r="G411" s="1189"/>
      <c r="H411" s="1189"/>
      <c r="I411" s="1189"/>
      <c r="J411" s="1189"/>
      <c r="K411" s="1189"/>
      <c r="L411" s="1189"/>
      <c r="M411" s="1189"/>
      <c r="N411" s="1189"/>
      <c r="O411" s="1189"/>
      <c r="P411" s="1189"/>
      <c r="Q411" s="1189"/>
      <c r="R411" s="1189"/>
      <c r="S411" s="1189"/>
      <c r="T411" s="1189"/>
      <c r="U411" s="1189"/>
      <c r="V411" s="1189"/>
      <c r="W411" s="1189"/>
      <c r="X411" s="1189"/>
      <c r="Y411" s="1189"/>
      <c r="Z411" s="1189"/>
    </row>
    <row r="412">
      <c r="A412" s="1189"/>
      <c r="B412" s="1189"/>
      <c r="C412" s="1189"/>
      <c r="D412" s="1189"/>
      <c r="E412" s="1189"/>
      <c r="F412" s="1189"/>
      <c r="G412" s="1189"/>
      <c r="H412" s="1189"/>
      <c r="I412" s="1189"/>
      <c r="J412" s="1189"/>
      <c r="K412" s="1189"/>
      <c r="L412" s="1189"/>
      <c r="M412" s="1189"/>
      <c r="N412" s="1189"/>
      <c r="O412" s="1189"/>
      <c r="P412" s="1189"/>
      <c r="Q412" s="1189"/>
      <c r="R412" s="1189"/>
      <c r="S412" s="1189"/>
      <c r="T412" s="1189"/>
      <c r="U412" s="1189"/>
      <c r="V412" s="1189"/>
      <c r="W412" s="1189"/>
      <c r="X412" s="1189"/>
      <c r="Y412" s="1189"/>
      <c r="Z412" s="1189"/>
    </row>
    <row r="413">
      <c r="A413" s="1189"/>
      <c r="B413" s="1189"/>
      <c r="C413" s="1189"/>
      <c r="D413" s="1189"/>
      <c r="E413" s="1189"/>
      <c r="F413" s="1189"/>
      <c r="G413" s="1189"/>
      <c r="H413" s="1189"/>
      <c r="I413" s="1189"/>
      <c r="J413" s="1189"/>
      <c r="K413" s="1189"/>
      <c r="L413" s="1189"/>
      <c r="M413" s="1189"/>
      <c r="N413" s="1189"/>
      <c r="O413" s="1189"/>
      <c r="P413" s="1189"/>
      <c r="Q413" s="1189"/>
      <c r="R413" s="1189"/>
      <c r="S413" s="1189"/>
      <c r="T413" s="1189"/>
      <c r="U413" s="1189"/>
      <c r="V413" s="1189"/>
      <c r="W413" s="1189"/>
      <c r="X413" s="1189"/>
      <c r="Y413" s="1189"/>
      <c r="Z413" s="1189"/>
    </row>
    <row r="414">
      <c r="A414" s="1189"/>
      <c r="B414" s="1189"/>
      <c r="C414" s="1189"/>
      <c r="D414" s="1189"/>
      <c r="E414" s="1189"/>
      <c r="F414" s="1189"/>
      <c r="G414" s="1189"/>
      <c r="H414" s="1189"/>
      <c r="I414" s="1189"/>
      <c r="J414" s="1189"/>
      <c r="K414" s="1189"/>
      <c r="L414" s="1189"/>
      <c r="M414" s="1189"/>
      <c r="N414" s="1189"/>
      <c r="O414" s="1189"/>
      <c r="P414" s="1189"/>
      <c r="Q414" s="1189"/>
      <c r="R414" s="1189"/>
      <c r="S414" s="1189"/>
      <c r="T414" s="1189"/>
      <c r="U414" s="1189"/>
      <c r="V414" s="1189"/>
      <c r="W414" s="1189"/>
      <c r="X414" s="1189"/>
      <c r="Y414" s="1189"/>
      <c r="Z414" s="1189"/>
    </row>
    <row r="415">
      <c r="A415" s="1189"/>
      <c r="B415" s="1189"/>
      <c r="C415" s="1189"/>
      <c r="D415" s="1189"/>
      <c r="E415" s="1189"/>
      <c r="F415" s="1189"/>
      <c r="G415" s="1189"/>
      <c r="H415" s="1189"/>
      <c r="I415" s="1189"/>
      <c r="J415" s="1189"/>
      <c r="K415" s="1189"/>
      <c r="L415" s="1189"/>
      <c r="M415" s="1189"/>
      <c r="N415" s="1189"/>
      <c r="O415" s="1189"/>
      <c r="P415" s="1189"/>
      <c r="Q415" s="1189"/>
      <c r="R415" s="1189"/>
      <c r="S415" s="1189"/>
      <c r="T415" s="1189"/>
      <c r="U415" s="1189"/>
      <c r="V415" s="1189"/>
      <c r="W415" s="1189"/>
      <c r="X415" s="1189"/>
      <c r="Y415" s="1189"/>
      <c r="Z415" s="1189"/>
    </row>
    <row r="416">
      <c r="A416" s="1189"/>
      <c r="B416" s="1189"/>
      <c r="C416" s="1189"/>
      <c r="D416" s="1189"/>
      <c r="E416" s="1189"/>
      <c r="F416" s="1189"/>
      <c r="G416" s="1189"/>
      <c r="H416" s="1189"/>
      <c r="I416" s="1189"/>
      <c r="J416" s="1189"/>
      <c r="K416" s="1189"/>
      <c r="L416" s="1189"/>
      <c r="M416" s="1189"/>
      <c r="N416" s="1189"/>
      <c r="O416" s="1189"/>
      <c r="P416" s="1189"/>
      <c r="Q416" s="1189"/>
      <c r="R416" s="1189"/>
      <c r="S416" s="1189"/>
      <c r="T416" s="1189"/>
      <c r="U416" s="1189"/>
      <c r="V416" s="1189"/>
      <c r="W416" s="1189"/>
      <c r="X416" s="1189"/>
      <c r="Y416" s="1189"/>
      <c r="Z416" s="1189"/>
    </row>
    <row r="417">
      <c r="A417" s="1189"/>
      <c r="B417" s="1189"/>
      <c r="C417" s="1189"/>
      <c r="D417" s="1189"/>
      <c r="E417" s="1189"/>
      <c r="F417" s="1189"/>
      <c r="G417" s="1189"/>
      <c r="H417" s="1189"/>
      <c r="I417" s="1189"/>
      <c r="J417" s="1189"/>
      <c r="K417" s="1189"/>
      <c r="L417" s="1189"/>
      <c r="M417" s="1189"/>
      <c r="N417" s="1189"/>
      <c r="O417" s="1189"/>
      <c r="P417" s="1189"/>
      <c r="Q417" s="1189"/>
      <c r="R417" s="1189"/>
      <c r="S417" s="1189"/>
      <c r="T417" s="1189"/>
      <c r="U417" s="1189"/>
      <c r="V417" s="1189"/>
      <c r="W417" s="1189"/>
      <c r="X417" s="1189"/>
      <c r="Y417" s="1189"/>
      <c r="Z417" s="1189"/>
    </row>
    <row r="418">
      <c r="A418" s="1189"/>
      <c r="B418" s="1189"/>
      <c r="C418" s="1189"/>
      <c r="D418" s="1189"/>
      <c r="E418" s="1189"/>
      <c r="F418" s="1189"/>
      <c r="G418" s="1189"/>
      <c r="H418" s="1189"/>
      <c r="I418" s="1189"/>
      <c r="J418" s="1189"/>
      <c r="K418" s="1189"/>
      <c r="L418" s="1189"/>
      <c r="M418" s="1189"/>
      <c r="N418" s="1189"/>
      <c r="O418" s="1189"/>
      <c r="P418" s="1189"/>
      <c r="Q418" s="1189"/>
      <c r="R418" s="1189"/>
      <c r="S418" s="1189"/>
      <c r="T418" s="1189"/>
      <c r="U418" s="1189"/>
      <c r="V418" s="1189"/>
      <c r="W418" s="1189"/>
      <c r="X418" s="1189"/>
      <c r="Y418" s="1189"/>
      <c r="Z418" s="1189"/>
    </row>
    <row r="419">
      <c r="A419" s="1189"/>
      <c r="B419" s="1189"/>
      <c r="C419" s="1189"/>
      <c r="D419" s="1189"/>
      <c r="E419" s="1189"/>
      <c r="F419" s="1189"/>
      <c r="G419" s="1189"/>
      <c r="H419" s="1189"/>
      <c r="I419" s="1189"/>
      <c r="J419" s="1189"/>
      <c r="K419" s="1189"/>
      <c r="L419" s="1189"/>
      <c r="M419" s="1189"/>
      <c r="N419" s="1189"/>
      <c r="O419" s="1189"/>
      <c r="P419" s="1189"/>
      <c r="Q419" s="1189"/>
      <c r="R419" s="1189"/>
      <c r="S419" s="1189"/>
      <c r="T419" s="1189"/>
      <c r="U419" s="1189"/>
      <c r="V419" s="1189"/>
      <c r="W419" s="1189"/>
      <c r="X419" s="1189"/>
      <c r="Y419" s="1189"/>
      <c r="Z419" s="1189"/>
    </row>
    <row r="420">
      <c r="A420" s="1189"/>
      <c r="B420" s="1189"/>
      <c r="C420" s="1189"/>
      <c r="D420" s="1189"/>
      <c r="E420" s="1189"/>
      <c r="F420" s="1189"/>
      <c r="G420" s="1189"/>
      <c r="H420" s="1189"/>
      <c r="I420" s="1189"/>
      <c r="J420" s="1189"/>
      <c r="K420" s="1189"/>
      <c r="L420" s="1189"/>
      <c r="M420" s="1189"/>
      <c r="N420" s="1189"/>
      <c r="O420" s="1189"/>
      <c r="P420" s="1189"/>
      <c r="Q420" s="1189"/>
      <c r="R420" s="1189"/>
      <c r="S420" s="1189"/>
      <c r="T420" s="1189"/>
      <c r="U420" s="1189"/>
      <c r="V420" s="1189"/>
      <c r="W420" s="1189"/>
      <c r="X420" s="1189"/>
      <c r="Y420" s="1189"/>
      <c r="Z420" s="1189"/>
    </row>
    <row r="421">
      <c r="A421" s="1189"/>
      <c r="B421" s="1189"/>
      <c r="C421" s="1189"/>
      <c r="D421" s="1189"/>
      <c r="E421" s="1189"/>
      <c r="F421" s="1189"/>
      <c r="G421" s="1189"/>
      <c r="H421" s="1189"/>
      <c r="I421" s="1189"/>
      <c r="J421" s="1189"/>
      <c r="K421" s="1189"/>
      <c r="L421" s="1189"/>
      <c r="M421" s="1189"/>
      <c r="N421" s="1189"/>
      <c r="O421" s="1189"/>
      <c r="P421" s="1189"/>
      <c r="Q421" s="1189"/>
      <c r="R421" s="1189"/>
      <c r="S421" s="1189"/>
      <c r="T421" s="1189"/>
      <c r="U421" s="1189"/>
      <c r="V421" s="1189"/>
      <c r="W421" s="1189"/>
      <c r="X421" s="1189"/>
      <c r="Y421" s="1189"/>
      <c r="Z421" s="1189"/>
    </row>
    <row r="422">
      <c r="A422" s="1189"/>
      <c r="B422" s="1189"/>
      <c r="C422" s="1189"/>
      <c r="D422" s="1189"/>
      <c r="E422" s="1189"/>
      <c r="F422" s="1189"/>
      <c r="G422" s="1189"/>
      <c r="H422" s="1189"/>
      <c r="I422" s="1189"/>
      <c r="J422" s="1189"/>
      <c r="K422" s="1189"/>
      <c r="L422" s="1189"/>
      <c r="M422" s="1189"/>
      <c r="N422" s="1189"/>
      <c r="O422" s="1189"/>
      <c r="P422" s="1189"/>
      <c r="Q422" s="1189"/>
      <c r="R422" s="1189"/>
      <c r="S422" s="1189"/>
      <c r="T422" s="1189"/>
      <c r="U422" s="1189"/>
      <c r="V422" s="1189"/>
      <c r="W422" s="1189"/>
      <c r="X422" s="1189"/>
      <c r="Y422" s="1189"/>
      <c r="Z422" s="1189"/>
    </row>
    <row r="423">
      <c r="A423" s="1189"/>
      <c r="B423" s="1189"/>
      <c r="C423" s="1189"/>
      <c r="D423" s="1189"/>
      <c r="E423" s="1189"/>
      <c r="F423" s="1189"/>
      <c r="G423" s="1189"/>
      <c r="H423" s="1189"/>
      <c r="I423" s="1189"/>
      <c r="J423" s="1189"/>
      <c r="K423" s="1189"/>
      <c r="L423" s="1189"/>
      <c r="M423" s="1189"/>
      <c r="N423" s="1189"/>
      <c r="O423" s="1189"/>
      <c r="P423" s="1189"/>
      <c r="Q423" s="1189"/>
      <c r="R423" s="1189"/>
      <c r="S423" s="1189"/>
      <c r="T423" s="1189"/>
      <c r="U423" s="1189"/>
      <c r="V423" s="1189"/>
      <c r="W423" s="1189"/>
      <c r="X423" s="1189"/>
      <c r="Y423" s="1189"/>
      <c r="Z423" s="1189"/>
    </row>
    <row r="424">
      <c r="A424" s="1189"/>
      <c r="B424" s="1189"/>
      <c r="C424" s="1189"/>
      <c r="D424" s="1189"/>
      <c r="E424" s="1189"/>
      <c r="F424" s="1189"/>
      <c r="G424" s="1189"/>
      <c r="H424" s="1189"/>
      <c r="I424" s="1189"/>
      <c r="J424" s="1189"/>
      <c r="K424" s="1189"/>
      <c r="L424" s="1189"/>
      <c r="M424" s="1189"/>
      <c r="N424" s="1189"/>
      <c r="O424" s="1189"/>
      <c r="P424" s="1189"/>
      <c r="Q424" s="1189"/>
      <c r="R424" s="1189"/>
      <c r="S424" s="1189"/>
      <c r="T424" s="1189"/>
      <c r="U424" s="1189"/>
      <c r="V424" s="1189"/>
      <c r="W424" s="1189"/>
      <c r="X424" s="1189"/>
      <c r="Y424" s="1189"/>
      <c r="Z424" s="1189"/>
    </row>
    <row r="425">
      <c r="A425" s="1189"/>
      <c r="B425" s="1189"/>
      <c r="C425" s="1189"/>
      <c r="D425" s="1189"/>
      <c r="E425" s="1189"/>
      <c r="F425" s="1189"/>
      <c r="G425" s="1189"/>
      <c r="H425" s="1189"/>
      <c r="I425" s="1189"/>
      <c r="J425" s="1189"/>
      <c r="K425" s="1189"/>
      <c r="L425" s="1189"/>
      <c r="M425" s="1189"/>
      <c r="N425" s="1189"/>
      <c r="O425" s="1189"/>
      <c r="P425" s="1189"/>
      <c r="Q425" s="1189"/>
      <c r="R425" s="1189"/>
      <c r="S425" s="1189"/>
      <c r="T425" s="1189"/>
      <c r="U425" s="1189"/>
      <c r="V425" s="1189"/>
      <c r="W425" s="1189"/>
      <c r="X425" s="1189"/>
      <c r="Y425" s="1189"/>
      <c r="Z425" s="1189"/>
    </row>
    <row r="426">
      <c r="A426" s="1189"/>
      <c r="B426" s="1189"/>
      <c r="C426" s="1189"/>
      <c r="D426" s="1189"/>
      <c r="E426" s="1189"/>
      <c r="F426" s="1189"/>
      <c r="G426" s="1189"/>
      <c r="H426" s="1189"/>
      <c r="I426" s="1189"/>
      <c r="J426" s="1189"/>
      <c r="K426" s="1189"/>
      <c r="L426" s="1189"/>
      <c r="M426" s="1189"/>
      <c r="N426" s="1189"/>
      <c r="O426" s="1189"/>
      <c r="P426" s="1189"/>
      <c r="Q426" s="1189"/>
      <c r="R426" s="1189"/>
      <c r="S426" s="1189"/>
      <c r="T426" s="1189"/>
      <c r="U426" s="1189"/>
      <c r="V426" s="1189"/>
      <c r="W426" s="1189"/>
      <c r="X426" s="1189"/>
      <c r="Y426" s="1189"/>
      <c r="Z426" s="1189"/>
    </row>
    <row r="427">
      <c r="A427" s="1189"/>
      <c r="B427" s="1189"/>
      <c r="C427" s="1189"/>
      <c r="D427" s="1189"/>
      <c r="E427" s="1189"/>
      <c r="F427" s="1189"/>
      <c r="G427" s="1189"/>
      <c r="H427" s="1189"/>
      <c r="I427" s="1189"/>
      <c r="J427" s="1189"/>
      <c r="K427" s="1189"/>
      <c r="L427" s="1189"/>
      <c r="M427" s="1189"/>
      <c r="N427" s="1189"/>
      <c r="O427" s="1189"/>
      <c r="P427" s="1189"/>
      <c r="Q427" s="1189"/>
      <c r="R427" s="1189"/>
      <c r="S427" s="1189"/>
      <c r="T427" s="1189"/>
      <c r="U427" s="1189"/>
      <c r="V427" s="1189"/>
      <c r="W427" s="1189"/>
      <c r="X427" s="1189"/>
      <c r="Y427" s="1189"/>
      <c r="Z427" s="1189"/>
    </row>
    <row r="428">
      <c r="A428" s="1189"/>
      <c r="B428" s="1189"/>
      <c r="C428" s="1189"/>
      <c r="D428" s="1189"/>
      <c r="E428" s="1189"/>
      <c r="F428" s="1189"/>
      <c r="G428" s="1189"/>
      <c r="H428" s="1189"/>
      <c r="I428" s="1189"/>
      <c r="J428" s="1189"/>
      <c r="K428" s="1189"/>
      <c r="L428" s="1189"/>
      <c r="M428" s="1189"/>
      <c r="N428" s="1189"/>
      <c r="O428" s="1189"/>
      <c r="P428" s="1189"/>
      <c r="Q428" s="1189"/>
      <c r="R428" s="1189"/>
      <c r="S428" s="1189"/>
      <c r="T428" s="1189"/>
      <c r="U428" s="1189"/>
      <c r="V428" s="1189"/>
      <c r="W428" s="1189"/>
      <c r="X428" s="1189"/>
      <c r="Y428" s="1189"/>
      <c r="Z428" s="1189"/>
    </row>
    <row r="429">
      <c r="A429" s="1189"/>
      <c r="B429" s="1189"/>
      <c r="C429" s="1189"/>
      <c r="D429" s="1189"/>
      <c r="E429" s="1189"/>
      <c r="F429" s="1189"/>
      <c r="G429" s="1189"/>
      <c r="H429" s="1189"/>
      <c r="I429" s="1189"/>
      <c r="J429" s="1189"/>
      <c r="K429" s="1189"/>
      <c r="L429" s="1189"/>
      <c r="M429" s="1189"/>
      <c r="N429" s="1189"/>
      <c r="O429" s="1189"/>
      <c r="P429" s="1189"/>
      <c r="Q429" s="1189"/>
      <c r="R429" s="1189"/>
      <c r="S429" s="1189"/>
      <c r="T429" s="1189"/>
      <c r="U429" s="1189"/>
      <c r="V429" s="1189"/>
      <c r="W429" s="1189"/>
      <c r="X429" s="1189"/>
      <c r="Y429" s="1189"/>
      <c r="Z429" s="1189"/>
    </row>
    <row r="430">
      <c r="A430" s="1189"/>
      <c r="B430" s="1189"/>
      <c r="C430" s="1189"/>
      <c r="D430" s="1189"/>
      <c r="E430" s="1189"/>
      <c r="F430" s="1189"/>
      <c r="G430" s="1189"/>
      <c r="H430" s="1189"/>
      <c r="I430" s="1189"/>
      <c r="J430" s="1189"/>
      <c r="K430" s="1189"/>
      <c r="L430" s="1189"/>
      <c r="M430" s="1189"/>
      <c r="N430" s="1189"/>
      <c r="O430" s="1189"/>
      <c r="P430" s="1189"/>
      <c r="Q430" s="1189"/>
      <c r="R430" s="1189"/>
      <c r="S430" s="1189"/>
      <c r="T430" s="1189"/>
      <c r="U430" s="1189"/>
      <c r="V430" s="1189"/>
      <c r="W430" s="1189"/>
      <c r="X430" s="1189"/>
      <c r="Y430" s="1189"/>
      <c r="Z430" s="1189"/>
    </row>
    <row r="431">
      <c r="A431" s="1189"/>
      <c r="B431" s="1189"/>
      <c r="C431" s="1189"/>
      <c r="D431" s="1189"/>
      <c r="E431" s="1189"/>
      <c r="F431" s="1189"/>
      <c r="G431" s="1189"/>
      <c r="H431" s="1189"/>
      <c r="I431" s="1189"/>
      <c r="J431" s="1189"/>
      <c r="K431" s="1189"/>
      <c r="L431" s="1189"/>
      <c r="M431" s="1189"/>
      <c r="N431" s="1189"/>
      <c r="O431" s="1189"/>
      <c r="P431" s="1189"/>
      <c r="Q431" s="1189"/>
      <c r="R431" s="1189"/>
      <c r="S431" s="1189"/>
      <c r="T431" s="1189"/>
      <c r="U431" s="1189"/>
      <c r="V431" s="1189"/>
      <c r="W431" s="1189"/>
      <c r="X431" s="1189"/>
      <c r="Y431" s="1189"/>
      <c r="Z431" s="1189"/>
    </row>
    <row r="432">
      <c r="A432" s="1189"/>
      <c r="B432" s="1189"/>
      <c r="C432" s="1189"/>
      <c r="D432" s="1189"/>
      <c r="E432" s="1189"/>
      <c r="F432" s="1189"/>
      <c r="G432" s="1189"/>
      <c r="H432" s="1189"/>
      <c r="I432" s="1189"/>
      <c r="J432" s="1189"/>
      <c r="K432" s="1189"/>
      <c r="L432" s="1189"/>
      <c r="M432" s="1189"/>
      <c r="N432" s="1189"/>
      <c r="O432" s="1189"/>
      <c r="P432" s="1189"/>
      <c r="Q432" s="1189"/>
      <c r="R432" s="1189"/>
      <c r="S432" s="1189"/>
      <c r="T432" s="1189"/>
      <c r="U432" s="1189"/>
      <c r="V432" s="1189"/>
      <c r="W432" s="1189"/>
      <c r="X432" s="1189"/>
      <c r="Y432" s="1189"/>
      <c r="Z432" s="1189"/>
    </row>
    <row r="433">
      <c r="A433" s="1189"/>
      <c r="B433" s="1189"/>
      <c r="C433" s="1189"/>
      <c r="D433" s="1189"/>
      <c r="E433" s="1189"/>
      <c r="F433" s="1189"/>
      <c r="G433" s="1189"/>
      <c r="H433" s="1189"/>
      <c r="I433" s="1189"/>
      <c r="J433" s="1189"/>
      <c r="K433" s="1189"/>
      <c r="L433" s="1189"/>
      <c r="M433" s="1189"/>
      <c r="N433" s="1189"/>
      <c r="O433" s="1189"/>
      <c r="P433" s="1189"/>
      <c r="Q433" s="1189"/>
      <c r="R433" s="1189"/>
      <c r="S433" s="1189"/>
      <c r="T433" s="1189"/>
      <c r="U433" s="1189"/>
      <c r="V433" s="1189"/>
      <c r="W433" s="1189"/>
      <c r="X433" s="1189"/>
      <c r="Y433" s="1189"/>
      <c r="Z433" s="1189"/>
    </row>
    <row r="434">
      <c r="A434" s="1189"/>
      <c r="B434" s="1189"/>
      <c r="C434" s="1189"/>
      <c r="D434" s="1189"/>
      <c r="E434" s="1189"/>
      <c r="F434" s="1189"/>
      <c r="G434" s="1189"/>
      <c r="H434" s="1189"/>
      <c r="I434" s="1189"/>
      <c r="J434" s="1189"/>
      <c r="K434" s="1189"/>
      <c r="L434" s="1189"/>
      <c r="M434" s="1189"/>
      <c r="N434" s="1189"/>
      <c r="O434" s="1189"/>
      <c r="P434" s="1189"/>
      <c r="Q434" s="1189"/>
      <c r="R434" s="1189"/>
      <c r="S434" s="1189"/>
      <c r="T434" s="1189"/>
      <c r="U434" s="1189"/>
      <c r="V434" s="1189"/>
      <c r="W434" s="1189"/>
      <c r="X434" s="1189"/>
      <c r="Y434" s="1189"/>
      <c r="Z434" s="1189"/>
    </row>
    <row r="435">
      <c r="A435" s="1189"/>
      <c r="B435" s="1189"/>
      <c r="C435" s="1189"/>
      <c r="D435" s="1189"/>
      <c r="E435" s="1189"/>
      <c r="F435" s="1189"/>
      <c r="G435" s="1189"/>
      <c r="H435" s="1189"/>
      <c r="I435" s="1189"/>
      <c r="J435" s="1189"/>
      <c r="K435" s="1189"/>
      <c r="L435" s="1189"/>
      <c r="M435" s="1189"/>
      <c r="N435" s="1189"/>
      <c r="O435" s="1189"/>
      <c r="P435" s="1189"/>
      <c r="Q435" s="1189"/>
      <c r="R435" s="1189"/>
      <c r="S435" s="1189"/>
      <c r="T435" s="1189"/>
      <c r="U435" s="1189"/>
      <c r="V435" s="1189"/>
      <c r="W435" s="1189"/>
      <c r="X435" s="1189"/>
      <c r="Y435" s="1189"/>
      <c r="Z435" s="1189"/>
    </row>
    <row r="436">
      <c r="A436" s="1189"/>
      <c r="B436" s="1189"/>
      <c r="C436" s="1189"/>
      <c r="D436" s="1189"/>
      <c r="E436" s="1189"/>
      <c r="F436" s="1189"/>
      <c r="G436" s="1189"/>
      <c r="H436" s="1189"/>
      <c r="I436" s="1189"/>
      <c r="J436" s="1189"/>
      <c r="K436" s="1189"/>
      <c r="L436" s="1189"/>
      <c r="M436" s="1189"/>
      <c r="N436" s="1189"/>
      <c r="O436" s="1189"/>
      <c r="P436" s="1189"/>
      <c r="Q436" s="1189"/>
      <c r="R436" s="1189"/>
      <c r="S436" s="1189"/>
      <c r="T436" s="1189"/>
      <c r="U436" s="1189"/>
      <c r="V436" s="1189"/>
      <c r="W436" s="1189"/>
      <c r="X436" s="1189"/>
      <c r="Y436" s="1189"/>
      <c r="Z436" s="1189"/>
    </row>
    <row r="437">
      <c r="A437" s="1189"/>
      <c r="B437" s="1189"/>
      <c r="C437" s="1189"/>
      <c r="D437" s="1189"/>
      <c r="E437" s="1189"/>
      <c r="F437" s="1189"/>
      <c r="G437" s="1189"/>
      <c r="H437" s="1189"/>
      <c r="I437" s="1189"/>
      <c r="J437" s="1189"/>
      <c r="K437" s="1189"/>
      <c r="L437" s="1189"/>
      <c r="M437" s="1189"/>
      <c r="N437" s="1189"/>
      <c r="O437" s="1189"/>
      <c r="P437" s="1189"/>
      <c r="Q437" s="1189"/>
      <c r="R437" s="1189"/>
      <c r="S437" s="1189"/>
      <c r="T437" s="1189"/>
      <c r="U437" s="1189"/>
      <c r="V437" s="1189"/>
      <c r="W437" s="1189"/>
      <c r="X437" s="1189"/>
      <c r="Y437" s="1189"/>
      <c r="Z437" s="1189"/>
    </row>
    <row r="438">
      <c r="A438" s="1189"/>
      <c r="B438" s="1189"/>
      <c r="C438" s="1189"/>
      <c r="D438" s="1189"/>
      <c r="E438" s="1189"/>
      <c r="F438" s="1189"/>
      <c r="G438" s="1189"/>
      <c r="H438" s="1189"/>
      <c r="I438" s="1189"/>
      <c r="J438" s="1189"/>
      <c r="K438" s="1189"/>
      <c r="L438" s="1189"/>
      <c r="M438" s="1189"/>
      <c r="N438" s="1189"/>
      <c r="O438" s="1189"/>
      <c r="P438" s="1189"/>
      <c r="Q438" s="1189"/>
      <c r="R438" s="1189"/>
      <c r="S438" s="1189"/>
      <c r="T438" s="1189"/>
      <c r="U438" s="1189"/>
      <c r="V438" s="1189"/>
      <c r="W438" s="1189"/>
      <c r="X438" s="1189"/>
      <c r="Y438" s="1189"/>
      <c r="Z438" s="1189"/>
    </row>
    <row r="439">
      <c r="A439" s="1189"/>
      <c r="B439" s="1189"/>
      <c r="C439" s="1189"/>
      <c r="D439" s="1189"/>
      <c r="E439" s="1189"/>
      <c r="F439" s="1189"/>
      <c r="G439" s="1189"/>
      <c r="H439" s="1189"/>
      <c r="I439" s="1189"/>
      <c r="J439" s="1189"/>
      <c r="K439" s="1189"/>
      <c r="L439" s="1189"/>
      <c r="M439" s="1189"/>
      <c r="N439" s="1189"/>
      <c r="O439" s="1189"/>
      <c r="P439" s="1189"/>
      <c r="Q439" s="1189"/>
      <c r="R439" s="1189"/>
      <c r="S439" s="1189"/>
      <c r="T439" s="1189"/>
      <c r="U439" s="1189"/>
      <c r="V439" s="1189"/>
      <c r="W439" s="1189"/>
      <c r="X439" s="1189"/>
      <c r="Y439" s="1189"/>
      <c r="Z439" s="1189"/>
    </row>
    <row r="440">
      <c r="A440" s="1189"/>
      <c r="B440" s="1189"/>
      <c r="C440" s="1189"/>
      <c r="D440" s="1189"/>
      <c r="E440" s="1189"/>
      <c r="F440" s="1189"/>
      <c r="G440" s="1189"/>
      <c r="H440" s="1189"/>
      <c r="I440" s="1189"/>
      <c r="J440" s="1189"/>
      <c r="K440" s="1189"/>
      <c r="L440" s="1189"/>
      <c r="M440" s="1189"/>
      <c r="N440" s="1189"/>
      <c r="O440" s="1189"/>
      <c r="P440" s="1189"/>
      <c r="Q440" s="1189"/>
      <c r="R440" s="1189"/>
      <c r="S440" s="1189"/>
      <c r="T440" s="1189"/>
      <c r="U440" s="1189"/>
      <c r="V440" s="1189"/>
      <c r="W440" s="1189"/>
      <c r="X440" s="1189"/>
      <c r="Y440" s="1189"/>
      <c r="Z440" s="1189"/>
    </row>
    <row r="441">
      <c r="A441" s="1189"/>
      <c r="B441" s="1189"/>
      <c r="C441" s="1189"/>
      <c r="D441" s="1189"/>
      <c r="E441" s="1189"/>
      <c r="F441" s="1189"/>
      <c r="G441" s="1189"/>
      <c r="H441" s="1189"/>
      <c r="I441" s="1189"/>
      <c r="J441" s="1189"/>
      <c r="K441" s="1189"/>
      <c r="L441" s="1189"/>
      <c r="M441" s="1189"/>
      <c r="N441" s="1189"/>
      <c r="O441" s="1189"/>
      <c r="P441" s="1189"/>
      <c r="Q441" s="1189"/>
      <c r="R441" s="1189"/>
      <c r="S441" s="1189"/>
      <c r="T441" s="1189"/>
      <c r="U441" s="1189"/>
      <c r="V441" s="1189"/>
      <c r="W441" s="1189"/>
      <c r="X441" s="1189"/>
      <c r="Y441" s="1189"/>
      <c r="Z441" s="1189"/>
    </row>
    <row r="442">
      <c r="A442" s="1189"/>
      <c r="B442" s="1189"/>
      <c r="C442" s="1189"/>
      <c r="D442" s="1189"/>
      <c r="E442" s="1189"/>
      <c r="F442" s="1189"/>
      <c r="G442" s="1189"/>
      <c r="H442" s="1189"/>
      <c r="I442" s="1189"/>
      <c r="J442" s="1189"/>
      <c r="K442" s="1189"/>
      <c r="L442" s="1189"/>
      <c r="M442" s="1189"/>
      <c r="N442" s="1189"/>
      <c r="O442" s="1189"/>
      <c r="P442" s="1189"/>
      <c r="Q442" s="1189"/>
      <c r="R442" s="1189"/>
      <c r="S442" s="1189"/>
      <c r="T442" s="1189"/>
      <c r="U442" s="1189"/>
      <c r="V442" s="1189"/>
      <c r="W442" s="1189"/>
      <c r="X442" s="1189"/>
      <c r="Y442" s="1189"/>
      <c r="Z442" s="1189"/>
    </row>
    <row r="443">
      <c r="A443" s="1189"/>
      <c r="B443" s="1189"/>
      <c r="C443" s="1189"/>
      <c r="D443" s="1189"/>
      <c r="E443" s="1189"/>
      <c r="F443" s="1189"/>
      <c r="G443" s="1189"/>
      <c r="H443" s="1189"/>
      <c r="I443" s="1189"/>
      <c r="J443" s="1189"/>
      <c r="K443" s="1189"/>
      <c r="L443" s="1189"/>
      <c r="M443" s="1189"/>
      <c r="N443" s="1189"/>
      <c r="O443" s="1189"/>
      <c r="P443" s="1189"/>
      <c r="Q443" s="1189"/>
      <c r="R443" s="1189"/>
      <c r="S443" s="1189"/>
      <c r="T443" s="1189"/>
      <c r="U443" s="1189"/>
      <c r="V443" s="1189"/>
      <c r="W443" s="1189"/>
      <c r="X443" s="1189"/>
      <c r="Y443" s="1189"/>
      <c r="Z443" s="1189"/>
    </row>
    <row r="444">
      <c r="A444" s="1189"/>
      <c r="B444" s="1189"/>
      <c r="C444" s="1189"/>
      <c r="D444" s="1189"/>
      <c r="E444" s="1189"/>
      <c r="F444" s="1189"/>
      <c r="G444" s="1189"/>
      <c r="H444" s="1189"/>
      <c r="I444" s="1189"/>
      <c r="J444" s="1189"/>
      <c r="K444" s="1189"/>
      <c r="L444" s="1189"/>
      <c r="M444" s="1189"/>
      <c r="N444" s="1189"/>
      <c r="O444" s="1189"/>
      <c r="P444" s="1189"/>
      <c r="Q444" s="1189"/>
      <c r="R444" s="1189"/>
      <c r="S444" s="1189"/>
      <c r="T444" s="1189"/>
      <c r="U444" s="1189"/>
      <c r="V444" s="1189"/>
      <c r="W444" s="1189"/>
      <c r="X444" s="1189"/>
      <c r="Y444" s="1189"/>
      <c r="Z444" s="1189"/>
    </row>
    <row r="445">
      <c r="A445" s="1189"/>
      <c r="B445" s="1189"/>
      <c r="C445" s="1189"/>
      <c r="D445" s="1189"/>
      <c r="E445" s="1189"/>
      <c r="F445" s="1189"/>
      <c r="G445" s="1189"/>
      <c r="H445" s="1189"/>
      <c r="I445" s="1189"/>
      <c r="J445" s="1189"/>
      <c r="K445" s="1189"/>
      <c r="L445" s="1189"/>
      <c r="M445" s="1189"/>
      <c r="N445" s="1189"/>
      <c r="O445" s="1189"/>
      <c r="P445" s="1189"/>
      <c r="Q445" s="1189"/>
      <c r="R445" s="1189"/>
      <c r="S445" s="1189"/>
      <c r="T445" s="1189"/>
      <c r="U445" s="1189"/>
      <c r="V445" s="1189"/>
      <c r="W445" s="1189"/>
      <c r="X445" s="1189"/>
      <c r="Y445" s="1189"/>
      <c r="Z445" s="1189"/>
    </row>
    <row r="446">
      <c r="A446" s="1189"/>
      <c r="B446" s="1189"/>
      <c r="C446" s="1189"/>
      <c r="D446" s="1189"/>
      <c r="E446" s="1189"/>
      <c r="F446" s="1189"/>
      <c r="G446" s="1189"/>
      <c r="H446" s="1189"/>
      <c r="I446" s="1189"/>
      <c r="J446" s="1189"/>
      <c r="K446" s="1189"/>
      <c r="L446" s="1189"/>
      <c r="M446" s="1189"/>
      <c r="N446" s="1189"/>
      <c r="O446" s="1189"/>
      <c r="P446" s="1189"/>
      <c r="Q446" s="1189"/>
      <c r="R446" s="1189"/>
      <c r="S446" s="1189"/>
      <c r="T446" s="1189"/>
      <c r="U446" s="1189"/>
      <c r="V446" s="1189"/>
      <c r="W446" s="1189"/>
      <c r="X446" s="1189"/>
      <c r="Y446" s="1189"/>
      <c r="Z446" s="1189"/>
    </row>
    <row r="447">
      <c r="A447" s="1189"/>
      <c r="B447" s="1189"/>
      <c r="C447" s="1189"/>
      <c r="D447" s="1189"/>
      <c r="E447" s="1189"/>
      <c r="F447" s="1189"/>
      <c r="G447" s="1189"/>
      <c r="H447" s="1189"/>
      <c r="I447" s="1189"/>
      <c r="J447" s="1189"/>
      <c r="K447" s="1189"/>
      <c r="L447" s="1189"/>
      <c r="M447" s="1189"/>
      <c r="N447" s="1189"/>
      <c r="O447" s="1189"/>
      <c r="P447" s="1189"/>
      <c r="Q447" s="1189"/>
      <c r="R447" s="1189"/>
      <c r="S447" s="1189"/>
      <c r="T447" s="1189"/>
      <c r="U447" s="1189"/>
      <c r="V447" s="1189"/>
      <c r="W447" s="1189"/>
      <c r="X447" s="1189"/>
      <c r="Y447" s="1189"/>
      <c r="Z447" s="1189"/>
    </row>
    <row r="448">
      <c r="A448" s="1189"/>
      <c r="B448" s="1189"/>
      <c r="C448" s="1189"/>
      <c r="D448" s="1189"/>
      <c r="E448" s="1189"/>
      <c r="F448" s="1189"/>
      <c r="G448" s="1189"/>
      <c r="H448" s="1189"/>
      <c r="I448" s="1189"/>
      <c r="J448" s="1189"/>
      <c r="K448" s="1189"/>
      <c r="L448" s="1189"/>
      <c r="M448" s="1189"/>
      <c r="N448" s="1189"/>
      <c r="O448" s="1189"/>
      <c r="P448" s="1189"/>
      <c r="Q448" s="1189"/>
      <c r="R448" s="1189"/>
      <c r="S448" s="1189"/>
      <c r="T448" s="1189"/>
      <c r="U448" s="1189"/>
      <c r="V448" s="1189"/>
      <c r="W448" s="1189"/>
      <c r="X448" s="1189"/>
      <c r="Y448" s="1189"/>
      <c r="Z448" s="1189"/>
    </row>
    <row r="449">
      <c r="A449" s="1189"/>
      <c r="B449" s="1189"/>
      <c r="C449" s="1189"/>
      <c r="D449" s="1189"/>
      <c r="E449" s="1189"/>
      <c r="F449" s="1189"/>
      <c r="G449" s="1189"/>
      <c r="H449" s="1189"/>
      <c r="I449" s="1189"/>
      <c r="J449" s="1189"/>
      <c r="K449" s="1189"/>
      <c r="L449" s="1189"/>
      <c r="M449" s="1189"/>
      <c r="N449" s="1189"/>
      <c r="O449" s="1189"/>
      <c r="P449" s="1189"/>
      <c r="Q449" s="1189"/>
      <c r="R449" s="1189"/>
      <c r="S449" s="1189"/>
      <c r="T449" s="1189"/>
      <c r="U449" s="1189"/>
      <c r="V449" s="1189"/>
      <c r="W449" s="1189"/>
      <c r="X449" s="1189"/>
      <c r="Y449" s="1189"/>
      <c r="Z449" s="1189"/>
    </row>
    <row r="450">
      <c r="A450" s="1189"/>
      <c r="B450" s="1189"/>
      <c r="C450" s="1189"/>
      <c r="D450" s="1189"/>
      <c r="E450" s="1189"/>
      <c r="F450" s="1189"/>
      <c r="G450" s="1189"/>
      <c r="H450" s="1189"/>
      <c r="I450" s="1189"/>
      <c r="J450" s="1189"/>
      <c r="K450" s="1189"/>
      <c r="L450" s="1189"/>
      <c r="M450" s="1189"/>
      <c r="N450" s="1189"/>
      <c r="O450" s="1189"/>
      <c r="P450" s="1189"/>
      <c r="Q450" s="1189"/>
      <c r="R450" s="1189"/>
      <c r="S450" s="1189"/>
      <c r="T450" s="1189"/>
      <c r="U450" s="1189"/>
      <c r="V450" s="1189"/>
      <c r="W450" s="1189"/>
      <c r="X450" s="1189"/>
      <c r="Y450" s="1189"/>
      <c r="Z450" s="1189"/>
    </row>
    <row r="451">
      <c r="A451" s="1189"/>
      <c r="B451" s="1189"/>
      <c r="C451" s="1189"/>
      <c r="D451" s="1189"/>
      <c r="E451" s="1189"/>
      <c r="F451" s="1189"/>
      <c r="G451" s="1189"/>
      <c r="H451" s="1189"/>
      <c r="I451" s="1189"/>
      <c r="J451" s="1189"/>
      <c r="K451" s="1189"/>
      <c r="L451" s="1189"/>
      <c r="M451" s="1189"/>
      <c r="N451" s="1189"/>
      <c r="O451" s="1189"/>
      <c r="P451" s="1189"/>
      <c r="Q451" s="1189"/>
      <c r="R451" s="1189"/>
      <c r="S451" s="1189"/>
      <c r="T451" s="1189"/>
      <c r="U451" s="1189"/>
      <c r="V451" s="1189"/>
      <c r="W451" s="1189"/>
      <c r="X451" s="1189"/>
      <c r="Y451" s="1189"/>
      <c r="Z451" s="1189"/>
    </row>
    <row r="452">
      <c r="A452" s="1189"/>
      <c r="B452" s="1189"/>
      <c r="C452" s="1189"/>
      <c r="D452" s="1189"/>
      <c r="E452" s="1189"/>
      <c r="F452" s="1189"/>
      <c r="G452" s="1189"/>
      <c r="H452" s="1189"/>
      <c r="I452" s="1189"/>
      <c r="J452" s="1189"/>
      <c r="K452" s="1189"/>
      <c r="L452" s="1189"/>
      <c r="M452" s="1189"/>
      <c r="N452" s="1189"/>
      <c r="O452" s="1189"/>
      <c r="P452" s="1189"/>
      <c r="Q452" s="1189"/>
      <c r="R452" s="1189"/>
      <c r="S452" s="1189"/>
      <c r="T452" s="1189"/>
      <c r="U452" s="1189"/>
      <c r="V452" s="1189"/>
      <c r="W452" s="1189"/>
      <c r="X452" s="1189"/>
      <c r="Y452" s="1189"/>
      <c r="Z452" s="1189"/>
    </row>
    <row r="453">
      <c r="A453" s="1189"/>
      <c r="B453" s="1189"/>
      <c r="C453" s="1189"/>
      <c r="D453" s="1189"/>
      <c r="E453" s="1189"/>
      <c r="F453" s="1189"/>
      <c r="G453" s="1189"/>
      <c r="H453" s="1189"/>
      <c r="I453" s="1189"/>
      <c r="J453" s="1189"/>
      <c r="K453" s="1189"/>
      <c r="L453" s="1189"/>
      <c r="M453" s="1189"/>
      <c r="N453" s="1189"/>
      <c r="O453" s="1189"/>
      <c r="P453" s="1189"/>
      <c r="Q453" s="1189"/>
      <c r="R453" s="1189"/>
      <c r="S453" s="1189"/>
      <c r="T453" s="1189"/>
      <c r="U453" s="1189"/>
      <c r="V453" s="1189"/>
      <c r="W453" s="1189"/>
      <c r="X453" s="1189"/>
      <c r="Y453" s="1189"/>
      <c r="Z453" s="1189"/>
    </row>
    <row r="454">
      <c r="A454" s="1189"/>
      <c r="B454" s="1189"/>
      <c r="C454" s="1189"/>
      <c r="D454" s="1189"/>
      <c r="E454" s="1189"/>
      <c r="F454" s="1189"/>
      <c r="G454" s="1189"/>
      <c r="H454" s="1189"/>
      <c r="I454" s="1189"/>
      <c r="J454" s="1189"/>
      <c r="K454" s="1189"/>
      <c r="L454" s="1189"/>
      <c r="M454" s="1189"/>
      <c r="N454" s="1189"/>
      <c r="O454" s="1189"/>
      <c r="P454" s="1189"/>
      <c r="Q454" s="1189"/>
      <c r="R454" s="1189"/>
      <c r="S454" s="1189"/>
      <c r="T454" s="1189"/>
      <c r="U454" s="1189"/>
      <c r="V454" s="1189"/>
      <c r="W454" s="1189"/>
      <c r="X454" s="1189"/>
      <c r="Y454" s="1189"/>
      <c r="Z454" s="1189"/>
    </row>
    <row r="455">
      <c r="A455" s="1189"/>
      <c r="B455" s="1189"/>
      <c r="C455" s="1189"/>
      <c r="D455" s="1189"/>
      <c r="E455" s="1189"/>
      <c r="F455" s="1189"/>
      <c r="G455" s="1189"/>
      <c r="H455" s="1189"/>
      <c r="I455" s="1189"/>
      <c r="J455" s="1189"/>
      <c r="K455" s="1189"/>
      <c r="L455" s="1189"/>
      <c r="M455" s="1189"/>
      <c r="N455" s="1189"/>
      <c r="O455" s="1189"/>
      <c r="P455" s="1189"/>
      <c r="Q455" s="1189"/>
      <c r="R455" s="1189"/>
      <c r="S455" s="1189"/>
      <c r="T455" s="1189"/>
      <c r="U455" s="1189"/>
      <c r="V455" s="1189"/>
      <c r="W455" s="1189"/>
      <c r="X455" s="1189"/>
      <c r="Y455" s="1189"/>
      <c r="Z455" s="1189"/>
    </row>
    <row r="456">
      <c r="A456" s="1189"/>
      <c r="B456" s="1189"/>
      <c r="C456" s="1189"/>
      <c r="D456" s="1189"/>
      <c r="E456" s="1189"/>
      <c r="F456" s="1189"/>
      <c r="G456" s="1189"/>
      <c r="H456" s="1189"/>
      <c r="I456" s="1189"/>
      <c r="J456" s="1189"/>
      <c r="K456" s="1189"/>
      <c r="L456" s="1189"/>
      <c r="M456" s="1189"/>
      <c r="N456" s="1189"/>
      <c r="O456" s="1189"/>
      <c r="P456" s="1189"/>
      <c r="Q456" s="1189"/>
      <c r="R456" s="1189"/>
      <c r="S456" s="1189"/>
      <c r="T456" s="1189"/>
      <c r="U456" s="1189"/>
      <c r="V456" s="1189"/>
      <c r="W456" s="1189"/>
      <c r="X456" s="1189"/>
      <c r="Y456" s="1189"/>
      <c r="Z456" s="1189"/>
    </row>
    <row r="457">
      <c r="A457" s="1189"/>
      <c r="B457" s="1189"/>
      <c r="C457" s="1189"/>
      <c r="D457" s="1189"/>
      <c r="E457" s="1189"/>
      <c r="F457" s="1189"/>
      <c r="G457" s="1189"/>
      <c r="H457" s="1189"/>
      <c r="I457" s="1189"/>
      <c r="J457" s="1189"/>
      <c r="K457" s="1189"/>
      <c r="L457" s="1189"/>
      <c r="M457" s="1189"/>
      <c r="N457" s="1189"/>
      <c r="O457" s="1189"/>
      <c r="P457" s="1189"/>
      <c r="Q457" s="1189"/>
      <c r="R457" s="1189"/>
      <c r="S457" s="1189"/>
      <c r="T457" s="1189"/>
      <c r="U457" s="1189"/>
      <c r="V457" s="1189"/>
      <c r="W457" s="1189"/>
      <c r="X457" s="1189"/>
      <c r="Y457" s="1189"/>
      <c r="Z457" s="1189"/>
    </row>
    <row r="458">
      <c r="A458" s="1189"/>
      <c r="B458" s="1189"/>
      <c r="C458" s="1189"/>
      <c r="D458" s="1189"/>
      <c r="E458" s="1189"/>
      <c r="F458" s="1189"/>
      <c r="G458" s="1189"/>
      <c r="H458" s="1189"/>
      <c r="I458" s="1189"/>
      <c r="J458" s="1189"/>
      <c r="K458" s="1189"/>
      <c r="L458" s="1189"/>
      <c r="M458" s="1189"/>
      <c r="N458" s="1189"/>
      <c r="O458" s="1189"/>
      <c r="P458" s="1189"/>
      <c r="Q458" s="1189"/>
      <c r="R458" s="1189"/>
      <c r="S458" s="1189"/>
      <c r="T458" s="1189"/>
      <c r="U458" s="1189"/>
      <c r="V458" s="1189"/>
      <c r="W458" s="1189"/>
      <c r="X458" s="1189"/>
      <c r="Y458" s="1189"/>
      <c r="Z458" s="1189"/>
    </row>
    <row r="459">
      <c r="A459" s="1189"/>
      <c r="B459" s="1189"/>
      <c r="C459" s="1189"/>
      <c r="D459" s="1189"/>
      <c r="E459" s="1189"/>
      <c r="F459" s="1189"/>
      <c r="G459" s="1189"/>
      <c r="H459" s="1189"/>
      <c r="I459" s="1189"/>
      <c r="J459" s="1189"/>
      <c r="K459" s="1189"/>
      <c r="L459" s="1189"/>
      <c r="M459" s="1189"/>
      <c r="N459" s="1189"/>
      <c r="O459" s="1189"/>
      <c r="P459" s="1189"/>
      <c r="Q459" s="1189"/>
      <c r="R459" s="1189"/>
      <c r="S459" s="1189"/>
      <c r="T459" s="1189"/>
      <c r="U459" s="1189"/>
      <c r="V459" s="1189"/>
      <c r="W459" s="1189"/>
      <c r="X459" s="1189"/>
      <c r="Y459" s="1189"/>
      <c r="Z459" s="1189"/>
    </row>
    <row r="460">
      <c r="A460" s="1189"/>
      <c r="B460" s="1189"/>
      <c r="C460" s="1189"/>
      <c r="D460" s="1189"/>
      <c r="E460" s="1189"/>
      <c r="F460" s="1189"/>
      <c r="G460" s="1189"/>
      <c r="H460" s="1189"/>
      <c r="I460" s="1189"/>
      <c r="J460" s="1189"/>
      <c r="K460" s="1189"/>
      <c r="L460" s="1189"/>
      <c r="M460" s="1189"/>
      <c r="N460" s="1189"/>
      <c r="O460" s="1189"/>
      <c r="P460" s="1189"/>
      <c r="Q460" s="1189"/>
      <c r="R460" s="1189"/>
      <c r="S460" s="1189"/>
      <c r="T460" s="1189"/>
      <c r="U460" s="1189"/>
      <c r="V460" s="1189"/>
      <c r="W460" s="1189"/>
      <c r="X460" s="1189"/>
      <c r="Y460" s="1189"/>
      <c r="Z460" s="1189"/>
    </row>
    <row r="461">
      <c r="A461" s="1189"/>
      <c r="B461" s="1189"/>
      <c r="C461" s="1189"/>
      <c r="D461" s="1189"/>
      <c r="E461" s="1189"/>
      <c r="F461" s="1189"/>
      <c r="G461" s="1189"/>
      <c r="H461" s="1189"/>
      <c r="I461" s="1189"/>
      <c r="J461" s="1189"/>
      <c r="K461" s="1189"/>
      <c r="L461" s="1189"/>
      <c r="M461" s="1189"/>
      <c r="N461" s="1189"/>
      <c r="O461" s="1189"/>
      <c r="P461" s="1189"/>
      <c r="Q461" s="1189"/>
      <c r="R461" s="1189"/>
      <c r="S461" s="1189"/>
      <c r="T461" s="1189"/>
      <c r="U461" s="1189"/>
      <c r="V461" s="1189"/>
      <c r="W461" s="1189"/>
      <c r="X461" s="1189"/>
      <c r="Y461" s="1189"/>
      <c r="Z461" s="1189"/>
    </row>
    <row r="462">
      <c r="A462" s="1189"/>
      <c r="B462" s="1189"/>
      <c r="C462" s="1189"/>
      <c r="D462" s="1189"/>
      <c r="E462" s="1189"/>
      <c r="F462" s="1189"/>
      <c r="G462" s="1189"/>
      <c r="H462" s="1189"/>
      <c r="I462" s="1189"/>
      <c r="J462" s="1189"/>
      <c r="K462" s="1189"/>
      <c r="L462" s="1189"/>
      <c r="M462" s="1189"/>
      <c r="N462" s="1189"/>
      <c r="O462" s="1189"/>
      <c r="P462" s="1189"/>
      <c r="Q462" s="1189"/>
      <c r="R462" s="1189"/>
      <c r="S462" s="1189"/>
      <c r="T462" s="1189"/>
      <c r="U462" s="1189"/>
      <c r="V462" s="1189"/>
      <c r="W462" s="1189"/>
      <c r="X462" s="1189"/>
      <c r="Y462" s="1189"/>
      <c r="Z462" s="1189"/>
    </row>
    <row r="463">
      <c r="A463" s="1189"/>
      <c r="B463" s="1189"/>
      <c r="C463" s="1189"/>
      <c r="D463" s="1189"/>
      <c r="E463" s="1189"/>
      <c r="F463" s="1189"/>
      <c r="G463" s="1189"/>
      <c r="H463" s="1189"/>
      <c r="I463" s="1189"/>
      <c r="J463" s="1189"/>
      <c r="K463" s="1189"/>
      <c r="L463" s="1189"/>
      <c r="M463" s="1189"/>
      <c r="N463" s="1189"/>
      <c r="O463" s="1189"/>
      <c r="P463" s="1189"/>
      <c r="Q463" s="1189"/>
      <c r="R463" s="1189"/>
      <c r="S463" s="1189"/>
      <c r="T463" s="1189"/>
      <c r="U463" s="1189"/>
      <c r="V463" s="1189"/>
      <c r="W463" s="1189"/>
      <c r="X463" s="1189"/>
      <c r="Y463" s="1189"/>
      <c r="Z463" s="1189"/>
    </row>
    <row r="464">
      <c r="A464" s="1189"/>
      <c r="B464" s="1189"/>
      <c r="C464" s="1189"/>
      <c r="D464" s="1189"/>
      <c r="E464" s="1189"/>
      <c r="F464" s="1189"/>
      <c r="G464" s="1189"/>
      <c r="H464" s="1189"/>
      <c r="I464" s="1189"/>
      <c r="J464" s="1189"/>
      <c r="K464" s="1189"/>
      <c r="L464" s="1189"/>
      <c r="M464" s="1189"/>
      <c r="N464" s="1189"/>
      <c r="O464" s="1189"/>
      <c r="P464" s="1189"/>
      <c r="Q464" s="1189"/>
      <c r="R464" s="1189"/>
      <c r="S464" s="1189"/>
      <c r="T464" s="1189"/>
      <c r="U464" s="1189"/>
      <c r="V464" s="1189"/>
      <c r="W464" s="1189"/>
      <c r="X464" s="1189"/>
      <c r="Y464" s="1189"/>
      <c r="Z464" s="1189"/>
    </row>
    <row r="465">
      <c r="A465" s="1189"/>
      <c r="B465" s="1189"/>
      <c r="C465" s="1189"/>
      <c r="D465" s="1189"/>
      <c r="E465" s="1189"/>
      <c r="F465" s="1189"/>
      <c r="G465" s="1189"/>
      <c r="H465" s="1189"/>
      <c r="I465" s="1189"/>
      <c r="J465" s="1189"/>
      <c r="K465" s="1189"/>
      <c r="L465" s="1189"/>
      <c r="M465" s="1189"/>
      <c r="N465" s="1189"/>
      <c r="O465" s="1189"/>
      <c r="P465" s="1189"/>
      <c r="Q465" s="1189"/>
      <c r="R465" s="1189"/>
      <c r="S465" s="1189"/>
      <c r="T465" s="1189"/>
      <c r="U465" s="1189"/>
      <c r="V465" s="1189"/>
      <c r="W465" s="1189"/>
      <c r="X465" s="1189"/>
      <c r="Y465" s="1189"/>
      <c r="Z465" s="1189"/>
    </row>
    <row r="466">
      <c r="A466" s="1189"/>
      <c r="B466" s="1189"/>
      <c r="C466" s="1189"/>
      <c r="D466" s="1189"/>
      <c r="E466" s="1189"/>
      <c r="F466" s="1189"/>
      <c r="G466" s="1189"/>
      <c r="H466" s="1189"/>
      <c r="I466" s="1189"/>
      <c r="J466" s="1189"/>
      <c r="K466" s="1189"/>
      <c r="L466" s="1189"/>
      <c r="M466" s="1189"/>
      <c r="N466" s="1189"/>
      <c r="O466" s="1189"/>
      <c r="P466" s="1189"/>
      <c r="Q466" s="1189"/>
      <c r="R466" s="1189"/>
      <c r="S466" s="1189"/>
      <c r="T466" s="1189"/>
      <c r="U466" s="1189"/>
      <c r="V466" s="1189"/>
      <c r="W466" s="1189"/>
      <c r="X466" s="1189"/>
      <c r="Y466" s="1189"/>
      <c r="Z466" s="1189"/>
    </row>
    <row r="467">
      <c r="A467" s="1189"/>
      <c r="B467" s="1189"/>
      <c r="C467" s="1189"/>
      <c r="D467" s="1189"/>
      <c r="E467" s="1189"/>
      <c r="F467" s="1189"/>
      <c r="G467" s="1189"/>
      <c r="H467" s="1189"/>
      <c r="I467" s="1189"/>
      <c r="J467" s="1189"/>
      <c r="K467" s="1189"/>
      <c r="L467" s="1189"/>
      <c r="M467" s="1189"/>
      <c r="N467" s="1189"/>
      <c r="O467" s="1189"/>
      <c r="P467" s="1189"/>
      <c r="Q467" s="1189"/>
      <c r="R467" s="1189"/>
      <c r="S467" s="1189"/>
      <c r="T467" s="1189"/>
      <c r="U467" s="1189"/>
      <c r="V467" s="1189"/>
      <c r="W467" s="1189"/>
      <c r="X467" s="1189"/>
      <c r="Y467" s="1189"/>
      <c r="Z467" s="1189"/>
    </row>
    <row r="468">
      <c r="A468" s="1189"/>
      <c r="B468" s="1189"/>
      <c r="C468" s="1189"/>
      <c r="D468" s="1189"/>
      <c r="E468" s="1189"/>
      <c r="F468" s="1189"/>
      <c r="G468" s="1189"/>
      <c r="H468" s="1189"/>
      <c r="I468" s="1189"/>
      <c r="J468" s="1189"/>
      <c r="K468" s="1189"/>
      <c r="L468" s="1189"/>
      <c r="M468" s="1189"/>
      <c r="N468" s="1189"/>
      <c r="O468" s="1189"/>
      <c r="P468" s="1189"/>
      <c r="Q468" s="1189"/>
      <c r="R468" s="1189"/>
      <c r="S468" s="1189"/>
      <c r="T468" s="1189"/>
      <c r="U468" s="1189"/>
      <c r="V468" s="1189"/>
      <c r="W468" s="1189"/>
      <c r="X468" s="1189"/>
      <c r="Y468" s="1189"/>
      <c r="Z468" s="1189"/>
    </row>
    <row r="469">
      <c r="A469" s="1189"/>
      <c r="B469" s="1189"/>
      <c r="C469" s="1189"/>
      <c r="D469" s="1189"/>
      <c r="E469" s="1189"/>
      <c r="F469" s="1189"/>
      <c r="G469" s="1189"/>
      <c r="H469" s="1189"/>
      <c r="I469" s="1189"/>
      <c r="J469" s="1189"/>
      <c r="K469" s="1189"/>
      <c r="L469" s="1189"/>
      <c r="M469" s="1189"/>
      <c r="N469" s="1189"/>
      <c r="O469" s="1189"/>
      <c r="P469" s="1189"/>
      <c r="Q469" s="1189"/>
      <c r="R469" s="1189"/>
      <c r="S469" s="1189"/>
      <c r="T469" s="1189"/>
      <c r="U469" s="1189"/>
      <c r="V469" s="1189"/>
      <c r="W469" s="1189"/>
      <c r="X469" s="1189"/>
      <c r="Y469" s="1189"/>
      <c r="Z469" s="1189"/>
    </row>
    <row r="470">
      <c r="A470" s="1189"/>
      <c r="B470" s="1189"/>
      <c r="C470" s="1189"/>
      <c r="D470" s="1189"/>
      <c r="E470" s="1189"/>
      <c r="F470" s="1189"/>
      <c r="G470" s="1189"/>
      <c r="H470" s="1189"/>
      <c r="I470" s="1189"/>
      <c r="J470" s="1189"/>
      <c r="K470" s="1189"/>
      <c r="L470" s="1189"/>
      <c r="M470" s="1189"/>
      <c r="N470" s="1189"/>
      <c r="O470" s="1189"/>
      <c r="P470" s="1189"/>
      <c r="Q470" s="1189"/>
      <c r="R470" s="1189"/>
      <c r="S470" s="1189"/>
      <c r="T470" s="1189"/>
      <c r="U470" s="1189"/>
      <c r="V470" s="1189"/>
      <c r="W470" s="1189"/>
      <c r="X470" s="1189"/>
      <c r="Y470" s="1189"/>
      <c r="Z470" s="1189"/>
    </row>
    <row r="471">
      <c r="A471" s="1189"/>
      <c r="B471" s="1189"/>
      <c r="C471" s="1189"/>
      <c r="D471" s="1189"/>
      <c r="E471" s="1189"/>
      <c r="F471" s="1189"/>
      <c r="G471" s="1189"/>
      <c r="H471" s="1189"/>
      <c r="I471" s="1189"/>
      <c r="J471" s="1189"/>
      <c r="K471" s="1189"/>
      <c r="L471" s="1189"/>
      <c r="M471" s="1189"/>
      <c r="N471" s="1189"/>
      <c r="O471" s="1189"/>
      <c r="P471" s="1189"/>
      <c r="Q471" s="1189"/>
      <c r="R471" s="1189"/>
      <c r="S471" s="1189"/>
      <c r="T471" s="1189"/>
      <c r="U471" s="1189"/>
      <c r="V471" s="1189"/>
      <c r="W471" s="1189"/>
      <c r="X471" s="1189"/>
      <c r="Y471" s="1189"/>
      <c r="Z471" s="1189"/>
    </row>
    <row r="472">
      <c r="A472" s="1189"/>
      <c r="B472" s="1189"/>
      <c r="C472" s="1189"/>
      <c r="D472" s="1189"/>
      <c r="E472" s="1189"/>
      <c r="F472" s="1189"/>
      <c r="G472" s="1189"/>
      <c r="H472" s="1189"/>
      <c r="I472" s="1189"/>
      <c r="J472" s="1189"/>
      <c r="K472" s="1189"/>
      <c r="L472" s="1189"/>
      <c r="M472" s="1189"/>
      <c r="N472" s="1189"/>
      <c r="O472" s="1189"/>
      <c r="P472" s="1189"/>
      <c r="Q472" s="1189"/>
      <c r="R472" s="1189"/>
      <c r="S472" s="1189"/>
      <c r="T472" s="1189"/>
      <c r="U472" s="1189"/>
      <c r="V472" s="1189"/>
      <c r="W472" s="1189"/>
      <c r="X472" s="1189"/>
      <c r="Y472" s="1189"/>
      <c r="Z472" s="1189"/>
    </row>
    <row r="473">
      <c r="A473" s="1189"/>
      <c r="B473" s="1189"/>
      <c r="C473" s="1189"/>
      <c r="D473" s="1189"/>
      <c r="E473" s="1189"/>
      <c r="F473" s="1189"/>
      <c r="G473" s="1189"/>
      <c r="H473" s="1189"/>
      <c r="I473" s="1189"/>
      <c r="J473" s="1189"/>
      <c r="K473" s="1189"/>
      <c r="L473" s="1189"/>
      <c r="M473" s="1189"/>
      <c r="N473" s="1189"/>
      <c r="O473" s="1189"/>
      <c r="P473" s="1189"/>
      <c r="Q473" s="1189"/>
      <c r="R473" s="1189"/>
      <c r="S473" s="1189"/>
      <c r="T473" s="1189"/>
      <c r="U473" s="1189"/>
      <c r="V473" s="1189"/>
      <c r="W473" s="1189"/>
      <c r="X473" s="1189"/>
      <c r="Y473" s="1189"/>
      <c r="Z473" s="1189"/>
    </row>
    <row r="474">
      <c r="A474" s="1189"/>
      <c r="B474" s="1189"/>
      <c r="C474" s="1189"/>
      <c r="D474" s="1189"/>
      <c r="E474" s="1189"/>
      <c r="F474" s="1189"/>
      <c r="G474" s="1189"/>
      <c r="H474" s="1189"/>
      <c r="I474" s="1189"/>
      <c r="J474" s="1189"/>
      <c r="K474" s="1189"/>
      <c r="L474" s="1189"/>
      <c r="M474" s="1189"/>
      <c r="N474" s="1189"/>
      <c r="O474" s="1189"/>
      <c r="P474" s="1189"/>
      <c r="Q474" s="1189"/>
      <c r="R474" s="1189"/>
      <c r="S474" s="1189"/>
      <c r="T474" s="1189"/>
      <c r="U474" s="1189"/>
      <c r="V474" s="1189"/>
      <c r="W474" s="1189"/>
      <c r="X474" s="1189"/>
      <c r="Y474" s="1189"/>
      <c r="Z474" s="1189"/>
    </row>
    <row r="475">
      <c r="A475" s="1189"/>
      <c r="B475" s="1189"/>
      <c r="C475" s="1189"/>
      <c r="D475" s="1189"/>
      <c r="E475" s="1189"/>
      <c r="F475" s="1189"/>
      <c r="G475" s="1189"/>
      <c r="H475" s="1189"/>
      <c r="I475" s="1189"/>
      <c r="J475" s="1189"/>
      <c r="K475" s="1189"/>
      <c r="L475" s="1189"/>
      <c r="M475" s="1189"/>
      <c r="N475" s="1189"/>
      <c r="O475" s="1189"/>
      <c r="P475" s="1189"/>
      <c r="Q475" s="1189"/>
      <c r="R475" s="1189"/>
      <c r="S475" s="1189"/>
      <c r="T475" s="1189"/>
      <c r="U475" s="1189"/>
      <c r="V475" s="1189"/>
      <c r="W475" s="1189"/>
      <c r="X475" s="1189"/>
      <c r="Y475" s="1189"/>
      <c r="Z475" s="1189"/>
    </row>
    <row r="476">
      <c r="A476" s="1189"/>
      <c r="B476" s="1189"/>
      <c r="C476" s="1189"/>
      <c r="D476" s="1189"/>
      <c r="E476" s="1189"/>
      <c r="F476" s="1189"/>
      <c r="G476" s="1189"/>
      <c r="H476" s="1189"/>
      <c r="I476" s="1189"/>
      <c r="J476" s="1189"/>
      <c r="K476" s="1189"/>
      <c r="L476" s="1189"/>
      <c r="M476" s="1189"/>
      <c r="N476" s="1189"/>
      <c r="O476" s="1189"/>
      <c r="P476" s="1189"/>
      <c r="Q476" s="1189"/>
      <c r="R476" s="1189"/>
      <c r="S476" s="1189"/>
      <c r="T476" s="1189"/>
      <c r="U476" s="1189"/>
      <c r="V476" s="1189"/>
      <c r="W476" s="1189"/>
      <c r="X476" s="1189"/>
      <c r="Y476" s="1189"/>
      <c r="Z476" s="1189"/>
    </row>
    <row r="477">
      <c r="A477" s="1189"/>
      <c r="B477" s="1189"/>
      <c r="C477" s="1189"/>
      <c r="D477" s="1189"/>
      <c r="E477" s="1189"/>
      <c r="F477" s="1189"/>
      <c r="G477" s="1189"/>
      <c r="H477" s="1189"/>
      <c r="I477" s="1189"/>
      <c r="J477" s="1189"/>
      <c r="K477" s="1189"/>
      <c r="L477" s="1189"/>
      <c r="M477" s="1189"/>
      <c r="N477" s="1189"/>
      <c r="O477" s="1189"/>
      <c r="P477" s="1189"/>
      <c r="Q477" s="1189"/>
      <c r="R477" s="1189"/>
      <c r="S477" s="1189"/>
      <c r="T477" s="1189"/>
      <c r="U477" s="1189"/>
      <c r="V477" s="1189"/>
      <c r="W477" s="1189"/>
      <c r="X477" s="1189"/>
      <c r="Y477" s="1189"/>
      <c r="Z477" s="1189"/>
    </row>
    <row r="478">
      <c r="A478" s="1189"/>
      <c r="B478" s="1189"/>
      <c r="C478" s="1189"/>
      <c r="D478" s="1189"/>
      <c r="E478" s="1189"/>
      <c r="F478" s="1189"/>
      <c r="G478" s="1189"/>
      <c r="H478" s="1189"/>
      <c r="I478" s="1189"/>
      <c r="J478" s="1189"/>
      <c r="K478" s="1189"/>
      <c r="L478" s="1189"/>
      <c r="M478" s="1189"/>
      <c r="N478" s="1189"/>
      <c r="O478" s="1189"/>
      <c r="P478" s="1189"/>
      <c r="Q478" s="1189"/>
      <c r="R478" s="1189"/>
      <c r="S478" s="1189"/>
      <c r="T478" s="1189"/>
      <c r="U478" s="1189"/>
      <c r="V478" s="1189"/>
      <c r="W478" s="1189"/>
      <c r="X478" s="1189"/>
      <c r="Y478" s="1189"/>
      <c r="Z478" s="1189"/>
    </row>
    <row r="479">
      <c r="A479" s="1189"/>
      <c r="B479" s="1189"/>
      <c r="C479" s="1189"/>
      <c r="D479" s="1189"/>
      <c r="E479" s="1189"/>
      <c r="F479" s="1189"/>
      <c r="G479" s="1189"/>
      <c r="H479" s="1189"/>
      <c r="I479" s="1189"/>
      <c r="J479" s="1189"/>
      <c r="K479" s="1189"/>
      <c r="L479" s="1189"/>
      <c r="M479" s="1189"/>
      <c r="N479" s="1189"/>
      <c r="O479" s="1189"/>
      <c r="P479" s="1189"/>
      <c r="Q479" s="1189"/>
      <c r="R479" s="1189"/>
      <c r="S479" s="1189"/>
      <c r="T479" s="1189"/>
      <c r="U479" s="1189"/>
      <c r="V479" s="1189"/>
      <c r="W479" s="1189"/>
      <c r="X479" s="1189"/>
      <c r="Y479" s="1189"/>
      <c r="Z479" s="1189"/>
    </row>
    <row r="480">
      <c r="A480" s="1189"/>
      <c r="B480" s="1189"/>
      <c r="C480" s="1189"/>
      <c r="D480" s="1189"/>
      <c r="E480" s="1189"/>
      <c r="F480" s="1189"/>
      <c r="G480" s="1189"/>
      <c r="H480" s="1189"/>
      <c r="I480" s="1189"/>
      <c r="J480" s="1189"/>
      <c r="K480" s="1189"/>
      <c r="L480" s="1189"/>
      <c r="M480" s="1189"/>
      <c r="N480" s="1189"/>
      <c r="O480" s="1189"/>
      <c r="P480" s="1189"/>
      <c r="Q480" s="1189"/>
      <c r="R480" s="1189"/>
      <c r="S480" s="1189"/>
      <c r="T480" s="1189"/>
      <c r="U480" s="1189"/>
      <c r="V480" s="1189"/>
      <c r="W480" s="1189"/>
      <c r="X480" s="1189"/>
      <c r="Y480" s="1189"/>
      <c r="Z480" s="1189"/>
    </row>
    <row r="481">
      <c r="A481" s="1189"/>
      <c r="B481" s="1189"/>
      <c r="C481" s="1189"/>
      <c r="D481" s="1189"/>
      <c r="E481" s="1189"/>
      <c r="F481" s="1189"/>
      <c r="G481" s="1189"/>
      <c r="H481" s="1189"/>
      <c r="I481" s="1189"/>
      <c r="J481" s="1189"/>
      <c r="K481" s="1189"/>
      <c r="L481" s="1189"/>
      <c r="M481" s="1189"/>
      <c r="N481" s="1189"/>
      <c r="O481" s="1189"/>
      <c r="P481" s="1189"/>
      <c r="Q481" s="1189"/>
      <c r="R481" s="1189"/>
      <c r="S481" s="1189"/>
      <c r="T481" s="1189"/>
      <c r="U481" s="1189"/>
      <c r="V481" s="1189"/>
      <c r="W481" s="1189"/>
      <c r="X481" s="1189"/>
      <c r="Y481" s="1189"/>
      <c r="Z481" s="1189"/>
    </row>
    <row r="482">
      <c r="A482" s="1189"/>
      <c r="B482" s="1189"/>
      <c r="C482" s="1189"/>
      <c r="D482" s="1189"/>
      <c r="E482" s="1189"/>
      <c r="F482" s="1189"/>
      <c r="G482" s="1189"/>
      <c r="H482" s="1189"/>
      <c r="I482" s="1189"/>
      <c r="J482" s="1189"/>
      <c r="K482" s="1189"/>
      <c r="L482" s="1189"/>
      <c r="M482" s="1189"/>
      <c r="N482" s="1189"/>
      <c r="O482" s="1189"/>
      <c r="P482" s="1189"/>
      <c r="Q482" s="1189"/>
      <c r="R482" s="1189"/>
      <c r="S482" s="1189"/>
      <c r="T482" s="1189"/>
      <c r="U482" s="1189"/>
      <c r="V482" s="1189"/>
      <c r="W482" s="1189"/>
      <c r="X482" s="1189"/>
      <c r="Y482" s="1189"/>
      <c r="Z482" s="1189"/>
    </row>
    <row r="483">
      <c r="A483" s="1189"/>
      <c r="B483" s="1189"/>
      <c r="C483" s="1189"/>
      <c r="D483" s="1189"/>
      <c r="E483" s="1189"/>
      <c r="F483" s="1189"/>
      <c r="G483" s="1189"/>
      <c r="H483" s="1189"/>
      <c r="I483" s="1189"/>
      <c r="J483" s="1189"/>
      <c r="K483" s="1189"/>
      <c r="L483" s="1189"/>
      <c r="M483" s="1189"/>
      <c r="N483" s="1189"/>
      <c r="O483" s="1189"/>
      <c r="P483" s="1189"/>
      <c r="Q483" s="1189"/>
      <c r="R483" s="1189"/>
      <c r="S483" s="1189"/>
      <c r="T483" s="1189"/>
      <c r="U483" s="1189"/>
      <c r="V483" s="1189"/>
      <c r="W483" s="1189"/>
      <c r="X483" s="1189"/>
      <c r="Y483" s="1189"/>
      <c r="Z483" s="1189"/>
    </row>
    <row r="484">
      <c r="A484" s="1189"/>
      <c r="B484" s="1189"/>
      <c r="C484" s="1189"/>
      <c r="D484" s="1189"/>
      <c r="E484" s="1189"/>
      <c r="F484" s="1189"/>
      <c r="G484" s="1189"/>
      <c r="H484" s="1189"/>
      <c r="I484" s="1189"/>
      <c r="J484" s="1189"/>
      <c r="K484" s="1189"/>
      <c r="L484" s="1189"/>
      <c r="M484" s="1189"/>
      <c r="N484" s="1189"/>
      <c r="O484" s="1189"/>
      <c r="P484" s="1189"/>
      <c r="Q484" s="1189"/>
      <c r="R484" s="1189"/>
      <c r="S484" s="1189"/>
      <c r="T484" s="1189"/>
      <c r="U484" s="1189"/>
      <c r="V484" s="1189"/>
      <c r="W484" s="1189"/>
      <c r="X484" s="1189"/>
      <c r="Y484" s="1189"/>
      <c r="Z484" s="1189"/>
    </row>
    <row r="485">
      <c r="A485" s="1189"/>
      <c r="B485" s="1189"/>
      <c r="C485" s="1189"/>
      <c r="D485" s="1189"/>
      <c r="E485" s="1189"/>
      <c r="F485" s="1189"/>
      <c r="G485" s="1189"/>
      <c r="H485" s="1189"/>
      <c r="I485" s="1189"/>
      <c r="J485" s="1189"/>
      <c r="K485" s="1189"/>
      <c r="L485" s="1189"/>
      <c r="M485" s="1189"/>
      <c r="N485" s="1189"/>
      <c r="O485" s="1189"/>
      <c r="P485" s="1189"/>
      <c r="Q485" s="1189"/>
      <c r="R485" s="1189"/>
      <c r="S485" s="1189"/>
      <c r="T485" s="1189"/>
      <c r="U485" s="1189"/>
      <c r="V485" s="1189"/>
      <c r="W485" s="1189"/>
      <c r="X485" s="1189"/>
      <c r="Y485" s="1189"/>
      <c r="Z485" s="1189"/>
    </row>
    <row r="486">
      <c r="A486" s="1189"/>
      <c r="B486" s="1189"/>
      <c r="C486" s="1189"/>
      <c r="D486" s="1189"/>
      <c r="E486" s="1189"/>
      <c r="F486" s="1189"/>
      <c r="G486" s="1189"/>
      <c r="H486" s="1189"/>
      <c r="I486" s="1189"/>
      <c r="J486" s="1189"/>
      <c r="K486" s="1189"/>
      <c r="L486" s="1189"/>
      <c r="M486" s="1189"/>
      <c r="N486" s="1189"/>
      <c r="O486" s="1189"/>
      <c r="P486" s="1189"/>
      <c r="Q486" s="1189"/>
      <c r="R486" s="1189"/>
      <c r="S486" s="1189"/>
      <c r="T486" s="1189"/>
      <c r="U486" s="1189"/>
      <c r="V486" s="1189"/>
      <c r="W486" s="1189"/>
      <c r="X486" s="1189"/>
      <c r="Y486" s="1189"/>
      <c r="Z486" s="1189"/>
    </row>
    <row r="487">
      <c r="A487" s="1189"/>
      <c r="B487" s="1189"/>
      <c r="C487" s="1189"/>
      <c r="D487" s="1189"/>
      <c r="E487" s="1189"/>
      <c r="F487" s="1189"/>
      <c r="G487" s="1189"/>
      <c r="H487" s="1189"/>
      <c r="I487" s="1189"/>
      <c r="J487" s="1189"/>
      <c r="K487" s="1189"/>
      <c r="L487" s="1189"/>
      <c r="M487" s="1189"/>
      <c r="N487" s="1189"/>
      <c r="O487" s="1189"/>
      <c r="P487" s="1189"/>
      <c r="Q487" s="1189"/>
      <c r="R487" s="1189"/>
      <c r="S487" s="1189"/>
      <c r="T487" s="1189"/>
      <c r="U487" s="1189"/>
      <c r="V487" s="1189"/>
      <c r="W487" s="1189"/>
      <c r="X487" s="1189"/>
      <c r="Y487" s="1189"/>
      <c r="Z487" s="1189"/>
    </row>
    <row r="488">
      <c r="A488" s="1189"/>
      <c r="B488" s="1189"/>
      <c r="C488" s="1189"/>
      <c r="D488" s="1189"/>
      <c r="E488" s="1189"/>
      <c r="F488" s="1189"/>
      <c r="G488" s="1189"/>
      <c r="H488" s="1189"/>
      <c r="I488" s="1189"/>
      <c r="J488" s="1189"/>
      <c r="K488" s="1189"/>
      <c r="L488" s="1189"/>
      <c r="M488" s="1189"/>
      <c r="N488" s="1189"/>
      <c r="O488" s="1189"/>
      <c r="P488" s="1189"/>
      <c r="Q488" s="1189"/>
      <c r="R488" s="1189"/>
      <c r="S488" s="1189"/>
      <c r="T488" s="1189"/>
      <c r="U488" s="1189"/>
      <c r="V488" s="1189"/>
      <c r="W488" s="1189"/>
      <c r="X488" s="1189"/>
      <c r="Y488" s="1189"/>
      <c r="Z488" s="1189"/>
    </row>
    <row r="489">
      <c r="A489" s="1189"/>
      <c r="B489" s="1189"/>
      <c r="C489" s="1189"/>
      <c r="D489" s="1189"/>
      <c r="E489" s="1189"/>
      <c r="F489" s="1189"/>
      <c r="G489" s="1189"/>
      <c r="H489" s="1189"/>
      <c r="I489" s="1189"/>
      <c r="J489" s="1189"/>
      <c r="K489" s="1189"/>
      <c r="L489" s="1189"/>
      <c r="M489" s="1189"/>
      <c r="N489" s="1189"/>
      <c r="O489" s="1189"/>
      <c r="P489" s="1189"/>
      <c r="Q489" s="1189"/>
      <c r="R489" s="1189"/>
      <c r="S489" s="1189"/>
      <c r="T489" s="1189"/>
      <c r="U489" s="1189"/>
      <c r="V489" s="1189"/>
      <c r="W489" s="1189"/>
      <c r="X489" s="1189"/>
      <c r="Y489" s="1189"/>
      <c r="Z489" s="1189"/>
    </row>
    <row r="490">
      <c r="A490" s="1189"/>
      <c r="B490" s="1189"/>
      <c r="C490" s="1189"/>
      <c r="D490" s="1189"/>
      <c r="E490" s="1189"/>
      <c r="F490" s="1189"/>
      <c r="G490" s="1189"/>
      <c r="H490" s="1189"/>
      <c r="I490" s="1189"/>
      <c r="J490" s="1189"/>
      <c r="K490" s="1189"/>
      <c r="L490" s="1189"/>
      <c r="M490" s="1189"/>
      <c r="N490" s="1189"/>
      <c r="O490" s="1189"/>
      <c r="P490" s="1189"/>
      <c r="Q490" s="1189"/>
      <c r="R490" s="1189"/>
      <c r="S490" s="1189"/>
      <c r="T490" s="1189"/>
      <c r="U490" s="1189"/>
      <c r="V490" s="1189"/>
      <c r="W490" s="1189"/>
      <c r="X490" s="1189"/>
      <c r="Y490" s="1189"/>
      <c r="Z490" s="1189"/>
    </row>
    <row r="491">
      <c r="A491" s="1189"/>
      <c r="B491" s="1189"/>
      <c r="C491" s="1189"/>
      <c r="D491" s="1189"/>
      <c r="E491" s="1189"/>
      <c r="F491" s="1189"/>
      <c r="G491" s="1189"/>
      <c r="H491" s="1189"/>
      <c r="I491" s="1189"/>
      <c r="J491" s="1189"/>
      <c r="K491" s="1189"/>
      <c r="L491" s="1189"/>
      <c r="M491" s="1189"/>
      <c r="N491" s="1189"/>
      <c r="O491" s="1189"/>
      <c r="P491" s="1189"/>
      <c r="Q491" s="1189"/>
      <c r="R491" s="1189"/>
      <c r="S491" s="1189"/>
      <c r="T491" s="1189"/>
      <c r="U491" s="1189"/>
      <c r="V491" s="1189"/>
      <c r="W491" s="1189"/>
      <c r="X491" s="1189"/>
      <c r="Y491" s="1189"/>
      <c r="Z491" s="1189"/>
    </row>
    <row r="492">
      <c r="A492" s="1189"/>
      <c r="B492" s="1189"/>
      <c r="C492" s="1189"/>
      <c r="D492" s="1189"/>
      <c r="E492" s="1189"/>
      <c r="F492" s="1189"/>
      <c r="G492" s="1189"/>
      <c r="H492" s="1189"/>
      <c r="I492" s="1189"/>
      <c r="J492" s="1189"/>
      <c r="K492" s="1189"/>
      <c r="L492" s="1189"/>
      <c r="M492" s="1189"/>
      <c r="N492" s="1189"/>
      <c r="O492" s="1189"/>
      <c r="P492" s="1189"/>
      <c r="Q492" s="1189"/>
      <c r="R492" s="1189"/>
      <c r="S492" s="1189"/>
      <c r="T492" s="1189"/>
      <c r="U492" s="1189"/>
      <c r="V492" s="1189"/>
      <c r="W492" s="1189"/>
      <c r="X492" s="1189"/>
      <c r="Y492" s="1189"/>
      <c r="Z492" s="1189"/>
    </row>
    <row r="493">
      <c r="A493" s="1189"/>
      <c r="B493" s="1189"/>
      <c r="C493" s="1189"/>
      <c r="D493" s="1189"/>
      <c r="E493" s="1189"/>
      <c r="F493" s="1189"/>
      <c r="G493" s="1189"/>
      <c r="H493" s="1189"/>
      <c r="I493" s="1189"/>
      <c r="J493" s="1189"/>
      <c r="K493" s="1189"/>
      <c r="L493" s="1189"/>
      <c r="M493" s="1189"/>
      <c r="N493" s="1189"/>
      <c r="O493" s="1189"/>
      <c r="P493" s="1189"/>
      <c r="Q493" s="1189"/>
      <c r="R493" s="1189"/>
      <c r="S493" s="1189"/>
      <c r="T493" s="1189"/>
      <c r="U493" s="1189"/>
      <c r="V493" s="1189"/>
      <c r="W493" s="1189"/>
      <c r="X493" s="1189"/>
      <c r="Y493" s="1189"/>
      <c r="Z493" s="1189"/>
    </row>
    <row r="494">
      <c r="A494" s="1189"/>
      <c r="B494" s="1189"/>
      <c r="C494" s="1189"/>
      <c r="D494" s="1189"/>
      <c r="E494" s="1189"/>
      <c r="F494" s="1189"/>
      <c r="G494" s="1189"/>
      <c r="H494" s="1189"/>
      <c r="I494" s="1189"/>
      <c r="J494" s="1189"/>
      <c r="K494" s="1189"/>
      <c r="L494" s="1189"/>
      <c r="M494" s="1189"/>
      <c r="N494" s="1189"/>
      <c r="O494" s="1189"/>
      <c r="P494" s="1189"/>
      <c r="Q494" s="1189"/>
      <c r="R494" s="1189"/>
      <c r="S494" s="1189"/>
      <c r="T494" s="1189"/>
      <c r="U494" s="1189"/>
      <c r="V494" s="1189"/>
      <c r="W494" s="1189"/>
      <c r="X494" s="1189"/>
      <c r="Y494" s="1189"/>
      <c r="Z494" s="1189"/>
    </row>
    <row r="495">
      <c r="A495" s="1189"/>
      <c r="B495" s="1189"/>
      <c r="C495" s="1189"/>
      <c r="D495" s="1189"/>
      <c r="E495" s="1189"/>
      <c r="F495" s="1189"/>
      <c r="G495" s="1189"/>
      <c r="H495" s="1189"/>
      <c r="I495" s="1189"/>
      <c r="J495" s="1189"/>
      <c r="K495" s="1189"/>
      <c r="L495" s="1189"/>
      <c r="M495" s="1189"/>
      <c r="N495" s="1189"/>
      <c r="O495" s="1189"/>
      <c r="P495" s="1189"/>
      <c r="Q495" s="1189"/>
      <c r="R495" s="1189"/>
      <c r="S495" s="1189"/>
      <c r="T495" s="1189"/>
      <c r="U495" s="1189"/>
      <c r="V495" s="1189"/>
      <c r="W495" s="1189"/>
      <c r="X495" s="1189"/>
      <c r="Y495" s="1189"/>
      <c r="Z495" s="1189"/>
    </row>
    <row r="496">
      <c r="A496" s="1189"/>
      <c r="B496" s="1189"/>
      <c r="C496" s="1189"/>
      <c r="D496" s="1189"/>
      <c r="E496" s="1189"/>
      <c r="F496" s="1189"/>
      <c r="G496" s="1189"/>
      <c r="H496" s="1189"/>
      <c r="I496" s="1189"/>
      <c r="J496" s="1189"/>
      <c r="K496" s="1189"/>
      <c r="L496" s="1189"/>
      <c r="M496" s="1189"/>
      <c r="N496" s="1189"/>
      <c r="O496" s="1189"/>
      <c r="P496" s="1189"/>
      <c r="Q496" s="1189"/>
      <c r="R496" s="1189"/>
      <c r="S496" s="1189"/>
      <c r="T496" s="1189"/>
      <c r="U496" s="1189"/>
      <c r="V496" s="1189"/>
      <c r="W496" s="1189"/>
      <c r="X496" s="1189"/>
      <c r="Y496" s="1189"/>
      <c r="Z496" s="1189"/>
    </row>
    <row r="497">
      <c r="A497" s="1189"/>
      <c r="B497" s="1189"/>
      <c r="C497" s="1189"/>
      <c r="D497" s="1189"/>
      <c r="E497" s="1189"/>
      <c r="F497" s="1189"/>
      <c r="G497" s="1189"/>
      <c r="H497" s="1189"/>
      <c r="I497" s="1189"/>
      <c r="J497" s="1189"/>
      <c r="K497" s="1189"/>
      <c r="L497" s="1189"/>
      <c r="M497" s="1189"/>
      <c r="N497" s="1189"/>
      <c r="O497" s="1189"/>
      <c r="P497" s="1189"/>
      <c r="Q497" s="1189"/>
      <c r="R497" s="1189"/>
      <c r="S497" s="1189"/>
      <c r="T497" s="1189"/>
      <c r="U497" s="1189"/>
      <c r="V497" s="1189"/>
      <c r="W497" s="1189"/>
      <c r="X497" s="1189"/>
      <c r="Y497" s="1189"/>
      <c r="Z497" s="1189"/>
    </row>
    <row r="498">
      <c r="A498" s="1189"/>
      <c r="B498" s="1189"/>
      <c r="C498" s="1189"/>
      <c r="D498" s="1189"/>
      <c r="E498" s="1189"/>
      <c r="F498" s="1189"/>
      <c r="G498" s="1189"/>
      <c r="H498" s="1189"/>
      <c r="I498" s="1189"/>
      <c r="J498" s="1189"/>
      <c r="K498" s="1189"/>
      <c r="L498" s="1189"/>
      <c r="M498" s="1189"/>
      <c r="N498" s="1189"/>
      <c r="O498" s="1189"/>
      <c r="P498" s="1189"/>
      <c r="Q498" s="1189"/>
      <c r="R498" s="1189"/>
      <c r="S498" s="1189"/>
      <c r="T498" s="1189"/>
      <c r="U498" s="1189"/>
      <c r="V498" s="1189"/>
      <c r="W498" s="1189"/>
      <c r="X498" s="1189"/>
      <c r="Y498" s="1189"/>
      <c r="Z498" s="1189"/>
    </row>
    <row r="499">
      <c r="A499" s="1189"/>
      <c r="B499" s="1189"/>
      <c r="C499" s="1189"/>
      <c r="D499" s="1189"/>
      <c r="E499" s="1189"/>
      <c r="F499" s="1189"/>
      <c r="G499" s="1189"/>
      <c r="H499" s="1189"/>
      <c r="I499" s="1189"/>
      <c r="J499" s="1189"/>
      <c r="K499" s="1189"/>
      <c r="L499" s="1189"/>
      <c r="M499" s="1189"/>
      <c r="N499" s="1189"/>
      <c r="O499" s="1189"/>
      <c r="P499" s="1189"/>
      <c r="Q499" s="1189"/>
      <c r="R499" s="1189"/>
      <c r="S499" s="1189"/>
      <c r="T499" s="1189"/>
      <c r="U499" s="1189"/>
      <c r="V499" s="1189"/>
      <c r="W499" s="1189"/>
      <c r="X499" s="1189"/>
      <c r="Y499" s="1189"/>
      <c r="Z499" s="1189"/>
    </row>
    <row r="500">
      <c r="A500" s="1189"/>
      <c r="B500" s="1189"/>
      <c r="C500" s="1189"/>
      <c r="D500" s="1189"/>
      <c r="E500" s="1189"/>
      <c r="F500" s="1189"/>
      <c r="G500" s="1189"/>
      <c r="H500" s="1189"/>
      <c r="I500" s="1189"/>
      <c r="J500" s="1189"/>
      <c r="K500" s="1189"/>
      <c r="L500" s="1189"/>
      <c r="M500" s="1189"/>
      <c r="N500" s="1189"/>
      <c r="O500" s="1189"/>
      <c r="P500" s="1189"/>
      <c r="Q500" s="1189"/>
      <c r="R500" s="1189"/>
      <c r="S500" s="1189"/>
      <c r="T500" s="1189"/>
      <c r="U500" s="1189"/>
      <c r="V500" s="1189"/>
      <c r="W500" s="1189"/>
      <c r="X500" s="1189"/>
      <c r="Y500" s="1189"/>
      <c r="Z500" s="1189"/>
    </row>
    <row r="501">
      <c r="A501" s="1189"/>
      <c r="B501" s="1189"/>
      <c r="C501" s="1189"/>
      <c r="D501" s="1189"/>
      <c r="E501" s="1189"/>
      <c r="F501" s="1189"/>
      <c r="G501" s="1189"/>
      <c r="H501" s="1189"/>
      <c r="I501" s="1189"/>
      <c r="J501" s="1189"/>
      <c r="K501" s="1189"/>
      <c r="L501" s="1189"/>
      <c r="M501" s="1189"/>
      <c r="N501" s="1189"/>
      <c r="O501" s="1189"/>
      <c r="P501" s="1189"/>
      <c r="Q501" s="1189"/>
      <c r="R501" s="1189"/>
      <c r="S501" s="1189"/>
      <c r="T501" s="1189"/>
      <c r="U501" s="1189"/>
      <c r="V501" s="1189"/>
      <c r="W501" s="1189"/>
      <c r="X501" s="1189"/>
      <c r="Y501" s="1189"/>
      <c r="Z501" s="1189"/>
    </row>
    <row r="502">
      <c r="A502" s="1189"/>
      <c r="B502" s="1189"/>
      <c r="C502" s="1189"/>
      <c r="D502" s="1189"/>
      <c r="E502" s="1189"/>
      <c r="F502" s="1189"/>
      <c r="G502" s="1189"/>
      <c r="H502" s="1189"/>
      <c r="I502" s="1189"/>
      <c r="J502" s="1189"/>
      <c r="K502" s="1189"/>
      <c r="L502" s="1189"/>
      <c r="M502" s="1189"/>
      <c r="N502" s="1189"/>
      <c r="O502" s="1189"/>
      <c r="P502" s="1189"/>
      <c r="Q502" s="1189"/>
      <c r="R502" s="1189"/>
      <c r="S502" s="1189"/>
      <c r="T502" s="1189"/>
      <c r="U502" s="1189"/>
      <c r="V502" s="1189"/>
      <c r="W502" s="1189"/>
      <c r="X502" s="1189"/>
      <c r="Y502" s="1189"/>
      <c r="Z502" s="1189"/>
    </row>
    <row r="503">
      <c r="A503" s="1189"/>
      <c r="B503" s="1189"/>
      <c r="C503" s="1189"/>
      <c r="D503" s="1189"/>
      <c r="E503" s="1189"/>
      <c r="F503" s="1189"/>
      <c r="G503" s="1189"/>
      <c r="H503" s="1189"/>
      <c r="I503" s="1189"/>
      <c r="J503" s="1189"/>
      <c r="K503" s="1189"/>
      <c r="L503" s="1189"/>
      <c r="M503" s="1189"/>
      <c r="N503" s="1189"/>
      <c r="O503" s="1189"/>
      <c r="P503" s="1189"/>
      <c r="Q503" s="1189"/>
      <c r="R503" s="1189"/>
      <c r="S503" s="1189"/>
      <c r="T503" s="1189"/>
      <c r="U503" s="1189"/>
      <c r="V503" s="1189"/>
      <c r="W503" s="1189"/>
      <c r="X503" s="1189"/>
      <c r="Y503" s="1189"/>
      <c r="Z503" s="1189"/>
    </row>
    <row r="504">
      <c r="A504" s="1189"/>
      <c r="B504" s="1189"/>
      <c r="C504" s="1189"/>
      <c r="D504" s="1189"/>
      <c r="E504" s="1189"/>
      <c r="F504" s="1189"/>
      <c r="G504" s="1189"/>
      <c r="H504" s="1189"/>
      <c r="I504" s="1189"/>
      <c r="J504" s="1189"/>
      <c r="K504" s="1189"/>
      <c r="L504" s="1189"/>
      <c r="M504" s="1189"/>
      <c r="N504" s="1189"/>
      <c r="O504" s="1189"/>
      <c r="P504" s="1189"/>
      <c r="Q504" s="1189"/>
      <c r="R504" s="1189"/>
      <c r="S504" s="1189"/>
      <c r="T504" s="1189"/>
      <c r="U504" s="1189"/>
      <c r="V504" s="1189"/>
      <c r="W504" s="1189"/>
      <c r="X504" s="1189"/>
      <c r="Y504" s="1189"/>
      <c r="Z504" s="1189"/>
    </row>
    <row r="505">
      <c r="A505" s="1189"/>
      <c r="B505" s="1189"/>
      <c r="C505" s="1189"/>
      <c r="D505" s="1189"/>
      <c r="E505" s="1189"/>
      <c r="F505" s="1189"/>
      <c r="G505" s="1189"/>
      <c r="H505" s="1189"/>
      <c r="I505" s="1189"/>
      <c r="J505" s="1189"/>
      <c r="K505" s="1189"/>
      <c r="L505" s="1189"/>
      <c r="M505" s="1189"/>
      <c r="N505" s="1189"/>
      <c r="O505" s="1189"/>
      <c r="P505" s="1189"/>
      <c r="Q505" s="1189"/>
      <c r="R505" s="1189"/>
      <c r="S505" s="1189"/>
      <c r="T505" s="1189"/>
      <c r="U505" s="1189"/>
      <c r="V505" s="1189"/>
      <c r="W505" s="1189"/>
      <c r="X505" s="1189"/>
      <c r="Y505" s="1189"/>
      <c r="Z505" s="1189"/>
    </row>
    <row r="506">
      <c r="A506" s="1189"/>
      <c r="B506" s="1189"/>
      <c r="C506" s="1189"/>
      <c r="D506" s="1189"/>
      <c r="E506" s="1189"/>
      <c r="F506" s="1189"/>
      <c r="G506" s="1189"/>
      <c r="H506" s="1189"/>
      <c r="I506" s="1189"/>
      <c r="J506" s="1189"/>
      <c r="K506" s="1189"/>
      <c r="L506" s="1189"/>
      <c r="M506" s="1189"/>
      <c r="N506" s="1189"/>
      <c r="O506" s="1189"/>
      <c r="P506" s="1189"/>
      <c r="Q506" s="1189"/>
      <c r="R506" s="1189"/>
      <c r="S506" s="1189"/>
      <c r="T506" s="1189"/>
      <c r="U506" s="1189"/>
      <c r="V506" s="1189"/>
      <c r="W506" s="1189"/>
      <c r="X506" s="1189"/>
      <c r="Y506" s="1189"/>
      <c r="Z506" s="1189"/>
    </row>
    <row r="507">
      <c r="A507" s="1189"/>
      <c r="B507" s="1189"/>
      <c r="C507" s="1189"/>
      <c r="D507" s="1189"/>
      <c r="E507" s="1189"/>
      <c r="F507" s="1189"/>
      <c r="G507" s="1189"/>
      <c r="H507" s="1189"/>
      <c r="I507" s="1189"/>
      <c r="J507" s="1189"/>
      <c r="K507" s="1189"/>
      <c r="L507" s="1189"/>
      <c r="M507" s="1189"/>
      <c r="N507" s="1189"/>
      <c r="O507" s="1189"/>
      <c r="P507" s="1189"/>
      <c r="Q507" s="1189"/>
      <c r="R507" s="1189"/>
      <c r="S507" s="1189"/>
      <c r="T507" s="1189"/>
      <c r="U507" s="1189"/>
      <c r="V507" s="1189"/>
      <c r="W507" s="1189"/>
      <c r="X507" s="1189"/>
      <c r="Y507" s="1189"/>
      <c r="Z507" s="1189"/>
    </row>
    <row r="508">
      <c r="A508" s="1189"/>
      <c r="B508" s="1189"/>
      <c r="C508" s="1189"/>
      <c r="D508" s="1189"/>
      <c r="E508" s="1189"/>
      <c r="F508" s="1189"/>
      <c r="G508" s="1189"/>
      <c r="H508" s="1189"/>
      <c r="I508" s="1189"/>
      <c r="J508" s="1189"/>
      <c r="K508" s="1189"/>
      <c r="L508" s="1189"/>
      <c r="M508" s="1189"/>
      <c r="N508" s="1189"/>
      <c r="O508" s="1189"/>
      <c r="P508" s="1189"/>
      <c r="Q508" s="1189"/>
      <c r="R508" s="1189"/>
      <c r="S508" s="1189"/>
      <c r="T508" s="1189"/>
      <c r="U508" s="1189"/>
      <c r="V508" s="1189"/>
      <c r="W508" s="1189"/>
      <c r="X508" s="1189"/>
      <c r="Y508" s="1189"/>
      <c r="Z508" s="1189"/>
    </row>
    <row r="509">
      <c r="A509" s="1189"/>
      <c r="B509" s="1189"/>
      <c r="C509" s="1189"/>
      <c r="D509" s="1189"/>
      <c r="E509" s="1189"/>
      <c r="F509" s="1189"/>
      <c r="G509" s="1189"/>
      <c r="H509" s="1189"/>
      <c r="I509" s="1189"/>
      <c r="J509" s="1189"/>
      <c r="K509" s="1189"/>
      <c r="L509" s="1189"/>
      <c r="M509" s="1189"/>
      <c r="N509" s="1189"/>
      <c r="O509" s="1189"/>
      <c r="P509" s="1189"/>
      <c r="Q509" s="1189"/>
      <c r="R509" s="1189"/>
      <c r="S509" s="1189"/>
      <c r="T509" s="1189"/>
      <c r="U509" s="1189"/>
      <c r="V509" s="1189"/>
      <c r="W509" s="1189"/>
      <c r="X509" s="1189"/>
      <c r="Y509" s="1189"/>
      <c r="Z509" s="1189"/>
    </row>
    <row r="510">
      <c r="A510" s="1189"/>
      <c r="B510" s="1189"/>
      <c r="C510" s="1189"/>
      <c r="D510" s="1189"/>
      <c r="E510" s="1189"/>
      <c r="F510" s="1189"/>
      <c r="G510" s="1189"/>
      <c r="H510" s="1189"/>
      <c r="I510" s="1189"/>
      <c r="J510" s="1189"/>
      <c r="K510" s="1189"/>
      <c r="L510" s="1189"/>
      <c r="M510" s="1189"/>
      <c r="N510" s="1189"/>
      <c r="O510" s="1189"/>
      <c r="P510" s="1189"/>
      <c r="Q510" s="1189"/>
      <c r="R510" s="1189"/>
      <c r="S510" s="1189"/>
      <c r="T510" s="1189"/>
      <c r="U510" s="1189"/>
      <c r="V510" s="1189"/>
      <c r="W510" s="1189"/>
      <c r="X510" s="1189"/>
      <c r="Y510" s="1189"/>
      <c r="Z510" s="1189"/>
    </row>
    <row r="511">
      <c r="A511" s="1189"/>
      <c r="B511" s="1189"/>
      <c r="C511" s="1189"/>
      <c r="D511" s="1189"/>
      <c r="E511" s="1189"/>
      <c r="F511" s="1189"/>
      <c r="G511" s="1189"/>
      <c r="H511" s="1189"/>
      <c r="I511" s="1189"/>
      <c r="J511" s="1189"/>
      <c r="K511" s="1189"/>
      <c r="L511" s="1189"/>
      <c r="M511" s="1189"/>
      <c r="N511" s="1189"/>
      <c r="O511" s="1189"/>
      <c r="P511" s="1189"/>
      <c r="Q511" s="1189"/>
      <c r="R511" s="1189"/>
      <c r="S511" s="1189"/>
      <c r="T511" s="1189"/>
      <c r="U511" s="1189"/>
      <c r="V511" s="1189"/>
      <c r="W511" s="1189"/>
      <c r="X511" s="1189"/>
      <c r="Y511" s="1189"/>
      <c r="Z511" s="1189"/>
    </row>
    <row r="512">
      <c r="A512" s="1189"/>
      <c r="B512" s="1189"/>
      <c r="C512" s="1189"/>
      <c r="D512" s="1189"/>
      <c r="E512" s="1189"/>
      <c r="F512" s="1189"/>
      <c r="G512" s="1189"/>
      <c r="H512" s="1189"/>
      <c r="I512" s="1189"/>
      <c r="J512" s="1189"/>
      <c r="K512" s="1189"/>
      <c r="L512" s="1189"/>
      <c r="M512" s="1189"/>
      <c r="N512" s="1189"/>
      <c r="O512" s="1189"/>
      <c r="P512" s="1189"/>
      <c r="Q512" s="1189"/>
      <c r="R512" s="1189"/>
      <c r="S512" s="1189"/>
      <c r="T512" s="1189"/>
      <c r="U512" s="1189"/>
      <c r="V512" s="1189"/>
      <c r="W512" s="1189"/>
      <c r="X512" s="1189"/>
      <c r="Y512" s="1189"/>
      <c r="Z512" s="1189"/>
    </row>
    <row r="513">
      <c r="A513" s="1189"/>
      <c r="B513" s="1189"/>
      <c r="C513" s="1189"/>
      <c r="D513" s="1189"/>
      <c r="E513" s="1189"/>
      <c r="F513" s="1189"/>
      <c r="G513" s="1189"/>
      <c r="H513" s="1189"/>
      <c r="I513" s="1189"/>
      <c r="J513" s="1189"/>
      <c r="K513" s="1189"/>
      <c r="L513" s="1189"/>
      <c r="M513" s="1189"/>
      <c r="N513" s="1189"/>
      <c r="O513" s="1189"/>
      <c r="P513" s="1189"/>
      <c r="Q513" s="1189"/>
      <c r="R513" s="1189"/>
      <c r="S513" s="1189"/>
      <c r="T513" s="1189"/>
      <c r="U513" s="1189"/>
      <c r="V513" s="1189"/>
      <c r="W513" s="1189"/>
      <c r="X513" s="1189"/>
      <c r="Y513" s="1189"/>
      <c r="Z513" s="1189"/>
    </row>
    <row r="514">
      <c r="A514" s="1189"/>
      <c r="B514" s="1189"/>
      <c r="C514" s="1189"/>
      <c r="D514" s="1189"/>
      <c r="E514" s="1189"/>
      <c r="F514" s="1189"/>
      <c r="G514" s="1189"/>
      <c r="H514" s="1189"/>
      <c r="I514" s="1189"/>
      <c r="J514" s="1189"/>
      <c r="K514" s="1189"/>
      <c r="L514" s="1189"/>
      <c r="M514" s="1189"/>
      <c r="N514" s="1189"/>
      <c r="O514" s="1189"/>
      <c r="P514" s="1189"/>
      <c r="Q514" s="1189"/>
      <c r="R514" s="1189"/>
      <c r="S514" s="1189"/>
      <c r="T514" s="1189"/>
      <c r="U514" s="1189"/>
      <c r="V514" s="1189"/>
      <c r="W514" s="1189"/>
      <c r="X514" s="1189"/>
      <c r="Y514" s="1189"/>
      <c r="Z514" s="1189"/>
    </row>
    <row r="515">
      <c r="A515" s="1189"/>
      <c r="B515" s="1189"/>
      <c r="C515" s="1189"/>
      <c r="D515" s="1189"/>
      <c r="E515" s="1189"/>
      <c r="F515" s="1189"/>
      <c r="G515" s="1189"/>
      <c r="H515" s="1189"/>
      <c r="I515" s="1189"/>
      <c r="J515" s="1189"/>
      <c r="K515" s="1189"/>
      <c r="L515" s="1189"/>
      <c r="M515" s="1189"/>
      <c r="N515" s="1189"/>
      <c r="O515" s="1189"/>
      <c r="P515" s="1189"/>
      <c r="Q515" s="1189"/>
      <c r="R515" s="1189"/>
      <c r="S515" s="1189"/>
      <c r="T515" s="1189"/>
      <c r="U515" s="1189"/>
      <c r="V515" s="1189"/>
      <c r="W515" s="1189"/>
      <c r="X515" s="1189"/>
      <c r="Y515" s="1189"/>
      <c r="Z515" s="1189"/>
    </row>
    <row r="516">
      <c r="A516" s="1189"/>
      <c r="B516" s="1189"/>
      <c r="C516" s="1189"/>
      <c r="D516" s="1189"/>
      <c r="E516" s="1189"/>
      <c r="F516" s="1189"/>
      <c r="G516" s="1189"/>
      <c r="H516" s="1189"/>
      <c r="I516" s="1189"/>
      <c r="J516" s="1189"/>
      <c r="K516" s="1189"/>
      <c r="L516" s="1189"/>
      <c r="M516" s="1189"/>
      <c r="N516" s="1189"/>
      <c r="O516" s="1189"/>
      <c r="P516" s="1189"/>
      <c r="Q516" s="1189"/>
      <c r="R516" s="1189"/>
      <c r="S516" s="1189"/>
      <c r="T516" s="1189"/>
      <c r="U516" s="1189"/>
      <c r="V516" s="1189"/>
      <c r="W516" s="1189"/>
      <c r="X516" s="1189"/>
      <c r="Y516" s="1189"/>
      <c r="Z516" s="1189"/>
    </row>
    <row r="517">
      <c r="A517" s="1189"/>
      <c r="B517" s="1189"/>
      <c r="C517" s="1189"/>
      <c r="D517" s="1189"/>
      <c r="E517" s="1189"/>
      <c r="F517" s="1189"/>
      <c r="G517" s="1189"/>
      <c r="H517" s="1189"/>
      <c r="I517" s="1189"/>
      <c r="J517" s="1189"/>
      <c r="K517" s="1189"/>
      <c r="L517" s="1189"/>
      <c r="M517" s="1189"/>
      <c r="N517" s="1189"/>
      <c r="O517" s="1189"/>
      <c r="P517" s="1189"/>
      <c r="Q517" s="1189"/>
      <c r="R517" s="1189"/>
      <c r="S517" s="1189"/>
      <c r="T517" s="1189"/>
      <c r="U517" s="1189"/>
      <c r="V517" s="1189"/>
      <c r="W517" s="1189"/>
      <c r="X517" s="1189"/>
      <c r="Y517" s="1189"/>
      <c r="Z517" s="1189"/>
    </row>
    <row r="518">
      <c r="A518" s="1189"/>
      <c r="B518" s="1189"/>
      <c r="C518" s="1189"/>
      <c r="D518" s="1189"/>
      <c r="E518" s="1189"/>
      <c r="F518" s="1189"/>
      <c r="G518" s="1189"/>
      <c r="H518" s="1189"/>
      <c r="I518" s="1189"/>
      <c r="J518" s="1189"/>
      <c r="K518" s="1189"/>
      <c r="L518" s="1189"/>
      <c r="M518" s="1189"/>
      <c r="N518" s="1189"/>
      <c r="O518" s="1189"/>
      <c r="P518" s="1189"/>
      <c r="Q518" s="1189"/>
      <c r="R518" s="1189"/>
      <c r="S518" s="1189"/>
      <c r="T518" s="1189"/>
      <c r="U518" s="1189"/>
      <c r="V518" s="1189"/>
      <c r="W518" s="1189"/>
      <c r="X518" s="1189"/>
      <c r="Y518" s="1189"/>
      <c r="Z518" s="1189"/>
    </row>
    <row r="519">
      <c r="A519" s="1189"/>
      <c r="B519" s="1189"/>
      <c r="C519" s="1189"/>
      <c r="D519" s="1189"/>
      <c r="E519" s="1189"/>
      <c r="F519" s="1189"/>
      <c r="G519" s="1189"/>
      <c r="H519" s="1189"/>
      <c r="I519" s="1189"/>
      <c r="J519" s="1189"/>
      <c r="K519" s="1189"/>
      <c r="L519" s="1189"/>
      <c r="M519" s="1189"/>
      <c r="N519" s="1189"/>
      <c r="O519" s="1189"/>
      <c r="P519" s="1189"/>
      <c r="Q519" s="1189"/>
      <c r="R519" s="1189"/>
      <c r="S519" s="1189"/>
      <c r="T519" s="1189"/>
      <c r="U519" s="1189"/>
      <c r="V519" s="1189"/>
      <c r="W519" s="1189"/>
      <c r="X519" s="1189"/>
      <c r="Y519" s="1189"/>
      <c r="Z519" s="1189"/>
    </row>
    <row r="520">
      <c r="A520" s="1189"/>
      <c r="B520" s="1189"/>
      <c r="C520" s="1189"/>
      <c r="D520" s="1189"/>
      <c r="E520" s="1189"/>
      <c r="F520" s="1189"/>
      <c r="G520" s="1189"/>
      <c r="H520" s="1189"/>
      <c r="I520" s="1189"/>
      <c r="J520" s="1189"/>
      <c r="K520" s="1189"/>
      <c r="L520" s="1189"/>
      <c r="M520" s="1189"/>
      <c r="N520" s="1189"/>
      <c r="O520" s="1189"/>
      <c r="P520" s="1189"/>
      <c r="Q520" s="1189"/>
      <c r="R520" s="1189"/>
      <c r="S520" s="1189"/>
      <c r="T520" s="1189"/>
      <c r="U520" s="1189"/>
      <c r="V520" s="1189"/>
      <c r="W520" s="1189"/>
      <c r="X520" s="1189"/>
      <c r="Y520" s="1189"/>
      <c r="Z520" s="1189"/>
    </row>
    <row r="521">
      <c r="A521" s="1189"/>
      <c r="B521" s="1189"/>
      <c r="C521" s="1189"/>
      <c r="D521" s="1189"/>
      <c r="E521" s="1189"/>
      <c r="F521" s="1189"/>
      <c r="G521" s="1189"/>
      <c r="H521" s="1189"/>
      <c r="I521" s="1189"/>
      <c r="J521" s="1189"/>
      <c r="K521" s="1189"/>
      <c r="L521" s="1189"/>
      <c r="M521" s="1189"/>
      <c r="N521" s="1189"/>
      <c r="O521" s="1189"/>
      <c r="P521" s="1189"/>
      <c r="Q521" s="1189"/>
      <c r="R521" s="1189"/>
      <c r="S521" s="1189"/>
      <c r="T521" s="1189"/>
      <c r="U521" s="1189"/>
      <c r="V521" s="1189"/>
      <c r="W521" s="1189"/>
      <c r="X521" s="1189"/>
      <c r="Y521" s="1189"/>
      <c r="Z521" s="1189"/>
    </row>
    <row r="522">
      <c r="A522" s="1189"/>
      <c r="B522" s="1189"/>
      <c r="C522" s="1189"/>
      <c r="D522" s="1189"/>
      <c r="E522" s="1189"/>
      <c r="F522" s="1189"/>
      <c r="G522" s="1189"/>
      <c r="H522" s="1189"/>
      <c r="I522" s="1189"/>
      <c r="J522" s="1189"/>
      <c r="K522" s="1189"/>
      <c r="L522" s="1189"/>
      <c r="M522" s="1189"/>
      <c r="N522" s="1189"/>
      <c r="O522" s="1189"/>
      <c r="P522" s="1189"/>
      <c r="Q522" s="1189"/>
      <c r="R522" s="1189"/>
      <c r="S522" s="1189"/>
      <c r="T522" s="1189"/>
      <c r="U522" s="1189"/>
      <c r="V522" s="1189"/>
      <c r="W522" s="1189"/>
      <c r="X522" s="1189"/>
      <c r="Y522" s="1189"/>
      <c r="Z522" s="1189"/>
    </row>
    <row r="523">
      <c r="A523" s="1189"/>
      <c r="B523" s="1189"/>
      <c r="C523" s="1189"/>
      <c r="D523" s="1189"/>
      <c r="E523" s="1189"/>
      <c r="F523" s="1189"/>
      <c r="G523" s="1189"/>
      <c r="H523" s="1189"/>
      <c r="I523" s="1189"/>
      <c r="J523" s="1189"/>
      <c r="K523" s="1189"/>
      <c r="L523" s="1189"/>
      <c r="M523" s="1189"/>
      <c r="N523" s="1189"/>
      <c r="O523" s="1189"/>
      <c r="P523" s="1189"/>
      <c r="Q523" s="1189"/>
      <c r="R523" s="1189"/>
      <c r="S523" s="1189"/>
      <c r="T523" s="1189"/>
      <c r="U523" s="1189"/>
      <c r="V523" s="1189"/>
      <c r="W523" s="1189"/>
      <c r="X523" s="1189"/>
      <c r="Y523" s="1189"/>
      <c r="Z523" s="1189"/>
    </row>
    <row r="524">
      <c r="A524" s="1189"/>
      <c r="B524" s="1189"/>
      <c r="C524" s="1189"/>
      <c r="D524" s="1189"/>
      <c r="E524" s="1189"/>
      <c r="F524" s="1189"/>
      <c r="G524" s="1189"/>
      <c r="H524" s="1189"/>
      <c r="I524" s="1189"/>
      <c r="J524" s="1189"/>
      <c r="K524" s="1189"/>
      <c r="L524" s="1189"/>
      <c r="M524" s="1189"/>
      <c r="N524" s="1189"/>
      <c r="O524" s="1189"/>
      <c r="P524" s="1189"/>
      <c r="Q524" s="1189"/>
      <c r="R524" s="1189"/>
      <c r="S524" s="1189"/>
      <c r="T524" s="1189"/>
      <c r="U524" s="1189"/>
      <c r="V524" s="1189"/>
      <c r="W524" s="1189"/>
      <c r="X524" s="1189"/>
      <c r="Y524" s="1189"/>
      <c r="Z524" s="1189"/>
    </row>
    <row r="525">
      <c r="A525" s="1189"/>
      <c r="B525" s="1189"/>
      <c r="C525" s="1189"/>
      <c r="D525" s="1189"/>
      <c r="E525" s="1189"/>
      <c r="F525" s="1189"/>
      <c r="G525" s="1189"/>
      <c r="H525" s="1189"/>
      <c r="I525" s="1189"/>
      <c r="J525" s="1189"/>
      <c r="K525" s="1189"/>
      <c r="L525" s="1189"/>
      <c r="M525" s="1189"/>
      <c r="N525" s="1189"/>
      <c r="O525" s="1189"/>
      <c r="P525" s="1189"/>
      <c r="Q525" s="1189"/>
      <c r="R525" s="1189"/>
      <c r="S525" s="1189"/>
      <c r="T525" s="1189"/>
      <c r="U525" s="1189"/>
      <c r="V525" s="1189"/>
      <c r="W525" s="1189"/>
      <c r="X525" s="1189"/>
      <c r="Y525" s="1189"/>
      <c r="Z525" s="1189"/>
    </row>
    <row r="526">
      <c r="A526" s="1189"/>
      <c r="B526" s="1189"/>
      <c r="C526" s="1189"/>
      <c r="D526" s="1189"/>
      <c r="E526" s="1189"/>
      <c r="F526" s="1189"/>
      <c r="G526" s="1189"/>
      <c r="H526" s="1189"/>
      <c r="I526" s="1189"/>
      <c r="J526" s="1189"/>
      <c r="K526" s="1189"/>
      <c r="L526" s="1189"/>
      <c r="M526" s="1189"/>
      <c r="N526" s="1189"/>
      <c r="O526" s="1189"/>
      <c r="P526" s="1189"/>
      <c r="Q526" s="1189"/>
      <c r="R526" s="1189"/>
      <c r="S526" s="1189"/>
      <c r="T526" s="1189"/>
      <c r="U526" s="1189"/>
      <c r="V526" s="1189"/>
      <c r="W526" s="1189"/>
      <c r="X526" s="1189"/>
      <c r="Y526" s="1189"/>
      <c r="Z526" s="1189"/>
    </row>
    <row r="527">
      <c r="A527" s="1189"/>
      <c r="B527" s="1189"/>
      <c r="C527" s="1189"/>
      <c r="D527" s="1189"/>
      <c r="E527" s="1189"/>
      <c r="F527" s="1189"/>
      <c r="G527" s="1189"/>
      <c r="H527" s="1189"/>
      <c r="I527" s="1189"/>
      <c r="J527" s="1189"/>
      <c r="K527" s="1189"/>
      <c r="L527" s="1189"/>
      <c r="M527" s="1189"/>
      <c r="N527" s="1189"/>
      <c r="O527" s="1189"/>
      <c r="P527" s="1189"/>
      <c r="Q527" s="1189"/>
      <c r="R527" s="1189"/>
      <c r="S527" s="1189"/>
      <c r="T527" s="1189"/>
      <c r="U527" s="1189"/>
      <c r="V527" s="1189"/>
      <c r="W527" s="1189"/>
      <c r="X527" s="1189"/>
      <c r="Y527" s="1189"/>
      <c r="Z527" s="1189"/>
    </row>
    <row r="528">
      <c r="A528" s="1189"/>
      <c r="B528" s="1189"/>
      <c r="C528" s="1189"/>
      <c r="D528" s="1189"/>
      <c r="E528" s="1189"/>
      <c r="F528" s="1189"/>
      <c r="G528" s="1189"/>
      <c r="H528" s="1189"/>
      <c r="I528" s="1189"/>
      <c r="J528" s="1189"/>
      <c r="K528" s="1189"/>
      <c r="L528" s="1189"/>
      <c r="M528" s="1189"/>
      <c r="N528" s="1189"/>
      <c r="O528" s="1189"/>
      <c r="P528" s="1189"/>
      <c r="Q528" s="1189"/>
      <c r="R528" s="1189"/>
      <c r="S528" s="1189"/>
      <c r="T528" s="1189"/>
      <c r="U528" s="1189"/>
      <c r="V528" s="1189"/>
      <c r="W528" s="1189"/>
      <c r="X528" s="1189"/>
      <c r="Y528" s="1189"/>
      <c r="Z528" s="1189"/>
    </row>
    <row r="529">
      <c r="A529" s="1189"/>
      <c r="B529" s="1189"/>
      <c r="C529" s="1189"/>
      <c r="D529" s="1189"/>
      <c r="E529" s="1189"/>
      <c r="F529" s="1189"/>
      <c r="G529" s="1189"/>
      <c r="H529" s="1189"/>
      <c r="I529" s="1189"/>
      <c r="J529" s="1189"/>
      <c r="K529" s="1189"/>
      <c r="L529" s="1189"/>
      <c r="M529" s="1189"/>
      <c r="N529" s="1189"/>
      <c r="O529" s="1189"/>
      <c r="P529" s="1189"/>
      <c r="Q529" s="1189"/>
      <c r="R529" s="1189"/>
      <c r="S529" s="1189"/>
      <c r="T529" s="1189"/>
      <c r="U529" s="1189"/>
      <c r="V529" s="1189"/>
      <c r="W529" s="1189"/>
      <c r="X529" s="1189"/>
      <c r="Y529" s="1189"/>
      <c r="Z529" s="1189"/>
    </row>
    <row r="530">
      <c r="A530" s="1189"/>
      <c r="B530" s="1189"/>
      <c r="C530" s="1189"/>
      <c r="D530" s="1189"/>
      <c r="E530" s="1189"/>
      <c r="F530" s="1189"/>
      <c r="G530" s="1189"/>
      <c r="H530" s="1189"/>
      <c r="I530" s="1189"/>
      <c r="J530" s="1189"/>
      <c r="K530" s="1189"/>
      <c r="L530" s="1189"/>
      <c r="M530" s="1189"/>
      <c r="N530" s="1189"/>
      <c r="O530" s="1189"/>
      <c r="P530" s="1189"/>
      <c r="Q530" s="1189"/>
      <c r="R530" s="1189"/>
      <c r="S530" s="1189"/>
      <c r="T530" s="1189"/>
      <c r="U530" s="1189"/>
      <c r="V530" s="1189"/>
      <c r="W530" s="1189"/>
      <c r="X530" s="1189"/>
      <c r="Y530" s="1189"/>
      <c r="Z530" s="1189"/>
    </row>
    <row r="531">
      <c r="A531" s="1189"/>
      <c r="B531" s="1189"/>
      <c r="C531" s="1189"/>
      <c r="D531" s="1189"/>
      <c r="E531" s="1189"/>
      <c r="F531" s="1189"/>
      <c r="G531" s="1189"/>
      <c r="H531" s="1189"/>
      <c r="I531" s="1189"/>
      <c r="J531" s="1189"/>
      <c r="K531" s="1189"/>
      <c r="L531" s="1189"/>
      <c r="M531" s="1189"/>
      <c r="N531" s="1189"/>
      <c r="O531" s="1189"/>
      <c r="P531" s="1189"/>
      <c r="Q531" s="1189"/>
      <c r="R531" s="1189"/>
      <c r="S531" s="1189"/>
      <c r="T531" s="1189"/>
      <c r="U531" s="1189"/>
      <c r="V531" s="1189"/>
      <c r="W531" s="1189"/>
      <c r="X531" s="1189"/>
      <c r="Y531" s="1189"/>
      <c r="Z531" s="1189"/>
    </row>
    <row r="532">
      <c r="A532" s="1189"/>
      <c r="B532" s="1189"/>
      <c r="C532" s="1189"/>
      <c r="D532" s="1189"/>
      <c r="E532" s="1189"/>
      <c r="F532" s="1189"/>
      <c r="G532" s="1189"/>
      <c r="H532" s="1189"/>
      <c r="I532" s="1189"/>
      <c r="J532" s="1189"/>
      <c r="K532" s="1189"/>
      <c r="L532" s="1189"/>
      <c r="M532" s="1189"/>
      <c r="N532" s="1189"/>
      <c r="O532" s="1189"/>
      <c r="P532" s="1189"/>
      <c r="Q532" s="1189"/>
      <c r="R532" s="1189"/>
      <c r="S532" s="1189"/>
      <c r="T532" s="1189"/>
      <c r="U532" s="1189"/>
      <c r="V532" s="1189"/>
      <c r="W532" s="1189"/>
      <c r="X532" s="1189"/>
      <c r="Y532" s="1189"/>
      <c r="Z532" s="1189"/>
    </row>
    <row r="533">
      <c r="A533" s="1189"/>
      <c r="B533" s="1189"/>
      <c r="C533" s="1189"/>
      <c r="D533" s="1189"/>
      <c r="E533" s="1189"/>
      <c r="F533" s="1189"/>
      <c r="G533" s="1189"/>
      <c r="H533" s="1189"/>
      <c r="I533" s="1189"/>
      <c r="J533" s="1189"/>
      <c r="K533" s="1189"/>
      <c r="L533" s="1189"/>
      <c r="M533" s="1189"/>
      <c r="N533" s="1189"/>
      <c r="O533" s="1189"/>
      <c r="P533" s="1189"/>
      <c r="Q533" s="1189"/>
      <c r="R533" s="1189"/>
      <c r="S533" s="1189"/>
      <c r="T533" s="1189"/>
      <c r="U533" s="1189"/>
      <c r="V533" s="1189"/>
      <c r="W533" s="1189"/>
      <c r="X533" s="1189"/>
      <c r="Y533" s="1189"/>
      <c r="Z533" s="1189"/>
    </row>
    <row r="534">
      <c r="A534" s="1189"/>
      <c r="B534" s="1189"/>
      <c r="C534" s="1189"/>
      <c r="D534" s="1189"/>
      <c r="E534" s="1189"/>
      <c r="F534" s="1189"/>
      <c r="G534" s="1189"/>
      <c r="H534" s="1189"/>
      <c r="I534" s="1189"/>
      <c r="J534" s="1189"/>
      <c r="K534" s="1189"/>
      <c r="L534" s="1189"/>
      <c r="M534" s="1189"/>
      <c r="N534" s="1189"/>
      <c r="O534" s="1189"/>
      <c r="P534" s="1189"/>
      <c r="Q534" s="1189"/>
      <c r="R534" s="1189"/>
      <c r="S534" s="1189"/>
      <c r="T534" s="1189"/>
      <c r="U534" s="1189"/>
      <c r="V534" s="1189"/>
      <c r="W534" s="1189"/>
      <c r="X534" s="1189"/>
      <c r="Y534" s="1189"/>
      <c r="Z534" s="1189"/>
    </row>
    <row r="535">
      <c r="A535" s="1189"/>
      <c r="B535" s="1189"/>
      <c r="C535" s="1189"/>
      <c r="D535" s="1189"/>
      <c r="E535" s="1189"/>
      <c r="F535" s="1189"/>
      <c r="G535" s="1189"/>
      <c r="H535" s="1189"/>
      <c r="I535" s="1189"/>
      <c r="J535" s="1189"/>
      <c r="K535" s="1189"/>
      <c r="L535" s="1189"/>
      <c r="M535" s="1189"/>
      <c r="N535" s="1189"/>
      <c r="O535" s="1189"/>
      <c r="P535" s="1189"/>
      <c r="Q535" s="1189"/>
      <c r="R535" s="1189"/>
      <c r="S535" s="1189"/>
      <c r="T535" s="1189"/>
      <c r="U535" s="1189"/>
      <c r="V535" s="1189"/>
      <c r="W535" s="1189"/>
      <c r="X535" s="1189"/>
      <c r="Y535" s="1189"/>
      <c r="Z535" s="1189"/>
    </row>
    <row r="536">
      <c r="A536" s="1189"/>
      <c r="B536" s="1189"/>
      <c r="C536" s="1189"/>
      <c r="D536" s="1189"/>
      <c r="E536" s="1189"/>
      <c r="F536" s="1189"/>
      <c r="G536" s="1189"/>
      <c r="H536" s="1189"/>
      <c r="I536" s="1189"/>
      <c r="J536" s="1189"/>
      <c r="K536" s="1189"/>
      <c r="L536" s="1189"/>
      <c r="M536" s="1189"/>
      <c r="N536" s="1189"/>
      <c r="O536" s="1189"/>
      <c r="P536" s="1189"/>
      <c r="Q536" s="1189"/>
      <c r="R536" s="1189"/>
      <c r="S536" s="1189"/>
      <c r="T536" s="1189"/>
      <c r="U536" s="1189"/>
      <c r="V536" s="1189"/>
      <c r="W536" s="1189"/>
      <c r="X536" s="1189"/>
      <c r="Y536" s="1189"/>
      <c r="Z536" s="1189"/>
    </row>
    <row r="537">
      <c r="A537" s="1189"/>
      <c r="B537" s="1189"/>
      <c r="C537" s="1189"/>
      <c r="D537" s="1189"/>
      <c r="E537" s="1189"/>
      <c r="F537" s="1189"/>
      <c r="G537" s="1189"/>
      <c r="H537" s="1189"/>
      <c r="I537" s="1189"/>
      <c r="J537" s="1189"/>
      <c r="K537" s="1189"/>
      <c r="L537" s="1189"/>
      <c r="M537" s="1189"/>
      <c r="N537" s="1189"/>
      <c r="O537" s="1189"/>
      <c r="P537" s="1189"/>
      <c r="Q537" s="1189"/>
      <c r="R537" s="1189"/>
      <c r="S537" s="1189"/>
      <c r="T537" s="1189"/>
      <c r="U537" s="1189"/>
      <c r="V537" s="1189"/>
      <c r="W537" s="1189"/>
      <c r="X537" s="1189"/>
      <c r="Y537" s="1189"/>
      <c r="Z537" s="1189"/>
    </row>
    <row r="538">
      <c r="A538" s="1189"/>
      <c r="B538" s="1189"/>
      <c r="C538" s="1189"/>
      <c r="D538" s="1189"/>
      <c r="E538" s="1189"/>
      <c r="F538" s="1189"/>
      <c r="G538" s="1189"/>
      <c r="H538" s="1189"/>
      <c r="I538" s="1189"/>
      <c r="J538" s="1189"/>
      <c r="K538" s="1189"/>
      <c r="L538" s="1189"/>
      <c r="M538" s="1189"/>
      <c r="N538" s="1189"/>
      <c r="O538" s="1189"/>
      <c r="P538" s="1189"/>
      <c r="Q538" s="1189"/>
      <c r="R538" s="1189"/>
      <c r="S538" s="1189"/>
      <c r="T538" s="1189"/>
      <c r="U538" s="1189"/>
      <c r="V538" s="1189"/>
      <c r="W538" s="1189"/>
      <c r="X538" s="1189"/>
      <c r="Y538" s="1189"/>
      <c r="Z538" s="1189"/>
    </row>
    <row r="539">
      <c r="A539" s="1189"/>
      <c r="B539" s="1189"/>
      <c r="C539" s="1189"/>
      <c r="D539" s="1189"/>
      <c r="E539" s="1189"/>
      <c r="F539" s="1189"/>
      <c r="G539" s="1189"/>
      <c r="H539" s="1189"/>
      <c r="I539" s="1189"/>
      <c r="J539" s="1189"/>
      <c r="K539" s="1189"/>
      <c r="L539" s="1189"/>
      <c r="M539" s="1189"/>
      <c r="N539" s="1189"/>
      <c r="O539" s="1189"/>
      <c r="P539" s="1189"/>
      <c r="Q539" s="1189"/>
      <c r="R539" s="1189"/>
      <c r="S539" s="1189"/>
      <c r="T539" s="1189"/>
      <c r="U539" s="1189"/>
      <c r="V539" s="1189"/>
      <c r="W539" s="1189"/>
      <c r="X539" s="1189"/>
      <c r="Y539" s="1189"/>
      <c r="Z539" s="1189"/>
    </row>
    <row r="540">
      <c r="A540" s="1189"/>
      <c r="B540" s="1189"/>
      <c r="C540" s="1189"/>
      <c r="D540" s="1189"/>
      <c r="E540" s="1189"/>
      <c r="F540" s="1189"/>
      <c r="G540" s="1189"/>
      <c r="H540" s="1189"/>
      <c r="I540" s="1189"/>
      <c r="J540" s="1189"/>
      <c r="K540" s="1189"/>
      <c r="L540" s="1189"/>
      <c r="M540" s="1189"/>
      <c r="N540" s="1189"/>
      <c r="O540" s="1189"/>
      <c r="P540" s="1189"/>
      <c r="Q540" s="1189"/>
      <c r="R540" s="1189"/>
      <c r="S540" s="1189"/>
      <c r="T540" s="1189"/>
      <c r="U540" s="1189"/>
      <c r="V540" s="1189"/>
      <c r="W540" s="1189"/>
      <c r="X540" s="1189"/>
      <c r="Y540" s="1189"/>
      <c r="Z540" s="1189"/>
    </row>
    <row r="541">
      <c r="A541" s="1189"/>
      <c r="B541" s="1189"/>
      <c r="C541" s="1189"/>
      <c r="D541" s="1189"/>
      <c r="E541" s="1189"/>
      <c r="F541" s="1189"/>
      <c r="G541" s="1189"/>
      <c r="H541" s="1189"/>
      <c r="I541" s="1189"/>
      <c r="J541" s="1189"/>
      <c r="K541" s="1189"/>
      <c r="L541" s="1189"/>
      <c r="M541" s="1189"/>
      <c r="N541" s="1189"/>
      <c r="O541" s="1189"/>
      <c r="P541" s="1189"/>
      <c r="Q541" s="1189"/>
      <c r="R541" s="1189"/>
      <c r="S541" s="1189"/>
      <c r="T541" s="1189"/>
      <c r="U541" s="1189"/>
      <c r="V541" s="1189"/>
      <c r="W541" s="1189"/>
      <c r="X541" s="1189"/>
      <c r="Y541" s="1189"/>
      <c r="Z541" s="1189"/>
    </row>
    <row r="542">
      <c r="A542" s="1189"/>
      <c r="B542" s="1189"/>
      <c r="C542" s="1189"/>
      <c r="D542" s="1189"/>
      <c r="E542" s="1189"/>
      <c r="F542" s="1189"/>
      <c r="G542" s="1189"/>
      <c r="H542" s="1189"/>
      <c r="I542" s="1189"/>
      <c r="J542" s="1189"/>
      <c r="K542" s="1189"/>
      <c r="L542" s="1189"/>
      <c r="M542" s="1189"/>
      <c r="N542" s="1189"/>
      <c r="O542" s="1189"/>
      <c r="P542" s="1189"/>
      <c r="Q542" s="1189"/>
      <c r="R542" s="1189"/>
      <c r="S542" s="1189"/>
      <c r="T542" s="1189"/>
      <c r="U542" s="1189"/>
      <c r="V542" s="1189"/>
      <c r="W542" s="1189"/>
      <c r="X542" s="1189"/>
      <c r="Y542" s="1189"/>
      <c r="Z542" s="1189"/>
    </row>
    <row r="543">
      <c r="A543" s="1189"/>
      <c r="B543" s="1189"/>
      <c r="C543" s="1189"/>
      <c r="D543" s="1189"/>
      <c r="E543" s="1189"/>
      <c r="F543" s="1189"/>
      <c r="G543" s="1189"/>
      <c r="H543" s="1189"/>
      <c r="I543" s="1189"/>
      <c r="J543" s="1189"/>
      <c r="K543" s="1189"/>
      <c r="L543" s="1189"/>
      <c r="M543" s="1189"/>
      <c r="N543" s="1189"/>
      <c r="O543" s="1189"/>
      <c r="P543" s="1189"/>
      <c r="Q543" s="1189"/>
      <c r="R543" s="1189"/>
      <c r="S543" s="1189"/>
      <c r="T543" s="1189"/>
      <c r="U543" s="1189"/>
      <c r="V543" s="1189"/>
      <c r="W543" s="1189"/>
      <c r="X543" s="1189"/>
      <c r="Y543" s="1189"/>
      <c r="Z543" s="1189"/>
    </row>
    <row r="544">
      <c r="A544" s="1189"/>
      <c r="B544" s="1189"/>
      <c r="C544" s="1189"/>
      <c r="D544" s="1189"/>
      <c r="E544" s="1189"/>
      <c r="F544" s="1189"/>
      <c r="G544" s="1189"/>
      <c r="H544" s="1189"/>
      <c r="I544" s="1189"/>
      <c r="J544" s="1189"/>
      <c r="K544" s="1189"/>
      <c r="L544" s="1189"/>
      <c r="M544" s="1189"/>
      <c r="N544" s="1189"/>
      <c r="O544" s="1189"/>
      <c r="P544" s="1189"/>
      <c r="Q544" s="1189"/>
      <c r="R544" s="1189"/>
      <c r="S544" s="1189"/>
      <c r="T544" s="1189"/>
      <c r="U544" s="1189"/>
      <c r="V544" s="1189"/>
      <c r="W544" s="1189"/>
      <c r="X544" s="1189"/>
      <c r="Y544" s="1189"/>
      <c r="Z544" s="1189"/>
    </row>
    <row r="545">
      <c r="A545" s="1189"/>
      <c r="B545" s="1189"/>
      <c r="C545" s="1189"/>
      <c r="D545" s="1189"/>
      <c r="E545" s="1189"/>
      <c r="F545" s="1189"/>
      <c r="G545" s="1189"/>
      <c r="H545" s="1189"/>
      <c r="I545" s="1189"/>
      <c r="J545" s="1189"/>
      <c r="K545" s="1189"/>
      <c r="L545" s="1189"/>
      <c r="M545" s="1189"/>
      <c r="N545" s="1189"/>
      <c r="O545" s="1189"/>
      <c r="P545" s="1189"/>
      <c r="Q545" s="1189"/>
      <c r="R545" s="1189"/>
      <c r="S545" s="1189"/>
      <c r="T545" s="1189"/>
      <c r="U545" s="1189"/>
      <c r="V545" s="1189"/>
      <c r="W545" s="1189"/>
      <c r="X545" s="1189"/>
      <c r="Y545" s="1189"/>
      <c r="Z545" s="1189"/>
    </row>
    <row r="546">
      <c r="A546" s="1189"/>
      <c r="B546" s="1189"/>
      <c r="C546" s="1189"/>
      <c r="D546" s="1189"/>
      <c r="E546" s="1189"/>
      <c r="F546" s="1189"/>
      <c r="G546" s="1189"/>
      <c r="H546" s="1189"/>
      <c r="I546" s="1189"/>
      <c r="J546" s="1189"/>
      <c r="K546" s="1189"/>
      <c r="L546" s="1189"/>
      <c r="M546" s="1189"/>
      <c r="N546" s="1189"/>
      <c r="O546" s="1189"/>
      <c r="P546" s="1189"/>
      <c r="Q546" s="1189"/>
      <c r="R546" s="1189"/>
      <c r="S546" s="1189"/>
      <c r="T546" s="1189"/>
      <c r="U546" s="1189"/>
      <c r="V546" s="1189"/>
      <c r="W546" s="1189"/>
      <c r="X546" s="1189"/>
      <c r="Y546" s="1189"/>
      <c r="Z546" s="1189"/>
    </row>
    <row r="547">
      <c r="A547" s="1189"/>
      <c r="B547" s="1189"/>
      <c r="C547" s="1189"/>
      <c r="D547" s="1189"/>
      <c r="E547" s="1189"/>
      <c r="F547" s="1189"/>
      <c r="G547" s="1189"/>
      <c r="H547" s="1189"/>
      <c r="I547" s="1189"/>
      <c r="J547" s="1189"/>
      <c r="K547" s="1189"/>
      <c r="L547" s="1189"/>
      <c r="M547" s="1189"/>
      <c r="N547" s="1189"/>
      <c r="O547" s="1189"/>
      <c r="P547" s="1189"/>
      <c r="Q547" s="1189"/>
      <c r="R547" s="1189"/>
      <c r="S547" s="1189"/>
      <c r="T547" s="1189"/>
      <c r="U547" s="1189"/>
      <c r="V547" s="1189"/>
      <c r="W547" s="1189"/>
      <c r="X547" s="1189"/>
      <c r="Y547" s="1189"/>
      <c r="Z547" s="1189"/>
    </row>
    <row r="548">
      <c r="A548" s="1189"/>
      <c r="B548" s="1189"/>
      <c r="C548" s="1189"/>
      <c r="D548" s="1189"/>
      <c r="E548" s="1189"/>
      <c r="F548" s="1189"/>
      <c r="G548" s="1189"/>
      <c r="H548" s="1189"/>
      <c r="I548" s="1189"/>
      <c r="J548" s="1189"/>
      <c r="K548" s="1189"/>
      <c r="L548" s="1189"/>
      <c r="M548" s="1189"/>
      <c r="N548" s="1189"/>
      <c r="O548" s="1189"/>
      <c r="P548" s="1189"/>
      <c r="Q548" s="1189"/>
      <c r="R548" s="1189"/>
      <c r="S548" s="1189"/>
      <c r="T548" s="1189"/>
      <c r="U548" s="1189"/>
      <c r="V548" s="1189"/>
      <c r="W548" s="1189"/>
      <c r="X548" s="1189"/>
      <c r="Y548" s="1189"/>
      <c r="Z548" s="1189"/>
    </row>
    <row r="549">
      <c r="A549" s="1189"/>
      <c r="B549" s="1189"/>
      <c r="C549" s="1189"/>
      <c r="D549" s="1189"/>
      <c r="E549" s="1189"/>
      <c r="F549" s="1189"/>
      <c r="G549" s="1189"/>
      <c r="H549" s="1189"/>
      <c r="I549" s="1189"/>
      <c r="J549" s="1189"/>
      <c r="K549" s="1189"/>
      <c r="L549" s="1189"/>
      <c r="M549" s="1189"/>
      <c r="N549" s="1189"/>
      <c r="O549" s="1189"/>
      <c r="P549" s="1189"/>
      <c r="Q549" s="1189"/>
      <c r="R549" s="1189"/>
      <c r="S549" s="1189"/>
      <c r="T549" s="1189"/>
      <c r="U549" s="1189"/>
      <c r="V549" s="1189"/>
      <c r="W549" s="1189"/>
      <c r="X549" s="1189"/>
      <c r="Y549" s="1189"/>
      <c r="Z549" s="1189"/>
    </row>
    <row r="550">
      <c r="A550" s="1189"/>
      <c r="B550" s="1189"/>
      <c r="C550" s="1189"/>
      <c r="D550" s="1189"/>
      <c r="E550" s="1189"/>
      <c r="F550" s="1189"/>
      <c r="G550" s="1189"/>
      <c r="H550" s="1189"/>
      <c r="I550" s="1189"/>
      <c r="J550" s="1189"/>
      <c r="K550" s="1189"/>
      <c r="L550" s="1189"/>
      <c r="M550" s="1189"/>
      <c r="N550" s="1189"/>
      <c r="O550" s="1189"/>
      <c r="P550" s="1189"/>
      <c r="Q550" s="1189"/>
      <c r="R550" s="1189"/>
      <c r="S550" s="1189"/>
      <c r="T550" s="1189"/>
      <c r="U550" s="1189"/>
      <c r="V550" s="1189"/>
      <c r="W550" s="1189"/>
      <c r="X550" s="1189"/>
      <c r="Y550" s="1189"/>
      <c r="Z550" s="1189"/>
    </row>
    <row r="551">
      <c r="A551" s="1189"/>
      <c r="B551" s="1189"/>
      <c r="C551" s="1189"/>
      <c r="D551" s="1189"/>
      <c r="E551" s="1189"/>
      <c r="F551" s="1189"/>
      <c r="G551" s="1189"/>
      <c r="H551" s="1189"/>
      <c r="I551" s="1189"/>
      <c r="J551" s="1189"/>
      <c r="K551" s="1189"/>
      <c r="L551" s="1189"/>
      <c r="M551" s="1189"/>
      <c r="N551" s="1189"/>
      <c r="O551" s="1189"/>
      <c r="P551" s="1189"/>
      <c r="Q551" s="1189"/>
      <c r="R551" s="1189"/>
      <c r="S551" s="1189"/>
      <c r="T551" s="1189"/>
      <c r="U551" s="1189"/>
      <c r="V551" s="1189"/>
      <c r="W551" s="1189"/>
      <c r="X551" s="1189"/>
      <c r="Y551" s="1189"/>
      <c r="Z551" s="1189"/>
    </row>
    <row r="552">
      <c r="A552" s="1189"/>
      <c r="B552" s="1189"/>
      <c r="C552" s="1189"/>
      <c r="D552" s="1189"/>
      <c r="E552" s="1189"/>
      <c r="F552" s="1189"/>
      <c r="G552" s="1189"/>
      <c r="H552" s="1189"/>
      <c r="I552" s="1189"/>
      <c r="J552" s="1189"/>
      <c r="K552" s="1189"/>
      <c r="L552" s="1189"/>
      <c r="M552" s="1189"/>
      <c r="N552" s="1189"/>
      <c r="O552" s="1189"/>
      <c r="P552" s="1189"/>
      <c r="Q552" s="1189"/>
      <c r="R552" s="1189"/>
      <c r="S552" s="1189"/>
      <c r="T552" s="1189"/>
      <c r="U552" s="1189"/>
      <c r="V552" s="1189"/>
      <c r="W552" s="1189"/>
      <c r="X552" s="1189"/>
      <c r="Y552" s="1189"/>
      <c r="Z552" s="1189"/>
    </row>
    <row r="553">
      <c r="A553" s="1189"/>
      <c r="B553" s="1189"/>
      <c r="C553" s="1189"/>
      <c r="D553" s="1189"/>
      <c r="E553" s="1189"/>
      <c r="F553" s="1189"/>
      <c r="G553" s="1189"/>
      <c r="H553" s="1189"/>
      <c r="I553" s="1189"/>
      <c r="J553" s="1189"/>
      <c r="K553" s="1189"/>
      <c r="L553" s="1189"/>
      <c r="M553" s="1189"/>
      <c r="N553" s="1189"/>
      <c r="O553" s="1189"/>
      <c r="P553" s="1189"/>
      <c r="Q553" s="1189"/>
      <c r="R553" s="1189"/>
      <c r="S553" s="1189"/>
      <c r="T553" s="1189"/>
      <c r="U553" s="1189"/>
      <c r="V553" s="1189"/>
      <c r="W553" s="1189"/>
      <c r="X553" s="1189"/>
      <c r="Y553" s="1189"/>
      <c r="Z553" s="1189"/>
    </row>
    <row r="554">
      <c r="A554" s="1189"/>
      <c r="B554" s="1189"/>
      <c r="C554" s="1189"/>
      <c r="D554" s="1189"/>
      <c r="E554" s="1189"/>
      <c r="F554" s="1189"/>
      <c r="G554" s="1189"/>
      <c r="H554" s="1189"/>
      <c r="I554" s="1189"/>
      <c r="J554" s="1189"/>
      <c r="K554" s="1189"/>
      <c r="L554" s="1189"/>
      <c r="M554" s="1189"/>
      <c r="N554" s="1189"/>
      <c r="O554" s="1189"/>
      <c r="P554" s="1189"/>
      <c r="Q554" s="1189"/>
      <c r="R554" s="1189"/>
      <c r="S554" s="1189"/>
      <c r="T554" s="1189"/>
      <c r="U554" s="1189"/>
      <c r="V554" s="1189"/>
      <c r="W554" s="1189"/>
      <c r="X554" s="1189"/>
      <c r="Y554" s="1189"/>
      <c r="Z554" s="1189"/>
    </row>
    <row r="555">
      <c r="A555" s="1189"/>
      <c r="B555" s="1189"/>
      <c r="C555" s="1189"/>
      <c r="D555" s="1189"/>
      <c r="E555" s="1189"/>
      <c r="F555" s="1189"/>
      <c r="G555" s="1189"/>
      <c r="H555" s="1189"/>
      <c r="I555" s="1189"/>
      <c r="J555" s="1189"/>
      <c r="K555" s="1189"/>
      <c r="L555" s="1189"/>
      <c r="M555" s="1189"/>
      <c r="N555" s="1189"/>
      <c r="O555" s="1189"/>
      <c r="P555" s="1189"/>
      <c r="Q555" s="1189"/>
      <c r="R555" s="1189"/>
      <c r="S555" s="1189"/>
      <c r="T555" s="1189"/>
      <c r="U555" s="1189"/>
      <c r="V555" s="1189"/>
      <c r="W555" s="1189"/>
      <c r="X555" s="1189"/>
      <c r="Y555" s="1189"/>
      <c r="Z555" s="1189"/>
    </row>
    <row r="556">
      <c r="A556" s="1189"/>
      <c r="B556" s="1189"/>
      <c r="C556" s="1189"/>
      <c r="D556" s="1189"/>
      <c r="E556" s="1189"/>
      <c r="F556" s="1189"/>
      <c r="G556" s="1189"/>
      <c r="H556" s="1189"/>
      <c r="I556" s="1189"/>
      <c r="J556" s="1189"/>
      <c r="K556" s="1189"/>
      <c r="L556" s="1189"/>
      <c r="M556" s="1189"/>
      <c r="N556" s="1189"/>
      <c r="O556" s="1189"/>
      <c r="P556" s="1189"/>
      <c r="Q556" s="1189"/>
      <c r="R556" s="1189"/>
      <c r="S556" s="1189"/>
      <c r="T556" s="1189"/>
      <c r="U556" s="1189"/>
      <c r="V556" s="1189"/>
      <c r="W556" s="1189"/>
      <c r="X556" s="1189"/>
      <c r="Y556" s="1189"/>
      <c r="Z556" s="1189"/>
    </row>
    <row r="557">
      <c r="A557" s="1189"/>
      <c r="B557" s="1189"/>
      <c r="C557" s="1189"/>
      <c r="D557" s="1189"/>
      <c r="E557" s="1189"/>
      <c r="F557" s="1189"/>
      <c r="G557" s="1189"/>
      <c r="H557" s="1189"/>
      <c r="I557" s="1189"/>
      <c r="J557" s="1189"/>
      <c r="K557" s="1189"/>
      <c r="L557" s="1189"/>
      <c r="M557" s="1189"/>
      <c r="N557" s="1189"/>
      <c r="O557" s="1189"/>
      <c r="P557" s="1189"/>
      <c r="Q557" s="1189"/>
      <c r="R557" s="1189"/>
      <c r="S557" s="1189"/>
      <c r="T557" s="1189"/>
      <c r="U557" s="1189"/>
      <c r="V557" s="1189"/>
      <c r="W557" s="1189"/>
      <c r="X557" s="1189"/>
      <c r="Y557" s="1189"/>
      <c r="Z557" s="1189"/>
    </row>
    <row r="558">
      <c r="A558" s="1189"/>
      <c r="B558" s="1189"/>
      <c r="C558" s="1189"/>
      <c r="D558" s="1189"/>
      <c r="E558" s="1189"/>
      <c r="F558" s="1189"/>
      <c r="G558" s="1189"/>
      <c r="H558" s="1189"/>
      <c r="I558" s="1189"/>
      <c r="J558" s="1189"/>
      <c r="K558" s="1189"/>
      <c r="L558" s="1189"/>
      <c r="M558" s="1189"/>
      <c r="N558" s="1189"/>
      <c r="O558" s="1189"/>
      <c r="P558" s="1189"/>
      <c r="Q558" s="1189"/>
      <c r="R558" s="1189"/>
      <c r="S558" s="1189"/>
      <c r="T558" s="1189"/>
      <c r="U558" s="1189"/>
      <c r="V558" s="1189"/>
      <c r="W558" s="1189"/>
      <c r="X558" s="1189"/>
      <c r="Y558" s="1189"/>
      <c r="Z558" s="1189"/>
    </row>
    <row r="559">
      <c r="A559" s="1189"/>
      <c r="B559" s="1189"/>
      <c r="C559" s="1189"/>
      <c r="D559" s="1189"/>
      <c r="E559" s="1189"/>
      <c r="F559" s="1189"/>
      <c r="G559" s="1189"/>
      <c r="H559" s="1189"/>
      <c r="I559" s="1189"/>
      <c r="J559" s="1189"/>
      <c r="K559" s="1189"/>
      <c r="L559" s="1189"/>
      <c r="M559" s="1189"/>
      <c r="N559" s="1189"/>
      <c r="O559" s="1189"/>
      <c r="P559" s="1189"/>
      <c r="Q559" s="1189"/>
      <c r="R559" s="1189"/>
      <c r="S559" s="1189"/>
      <c r="T559" s="1189"/>
      <c r="U559" s="1189"/>
      <c r="V559" s="1189"/>
      <c r="W559" s="1189"/>
      <c r="X559" s="1189"/>
      <c r="Y559" s="1189"/>
      <c r="Z559" s="1189"/>
    </row>
    <row r="560">
      <c r="A560" s="1189"/>
      <c r="B560" s="1189"/>
      <c r="C560" s="1189"/>
      <c r="D560" s="1189"/>
      <c r="E560" s="1189"/>
      <c r="F560" s="1189"/>
      <c r="G560" s="1189"/>
      <c r="H560" s="1189"/>
      <c r="I560" s="1189"/>
      <c r="J560" s="1189"/>
      <c r="K560" s="1189"/>
      <c r="L560" s="1189"/>
      <c r="M560" s="1189"/>
      <c r="N560" s="1189"/>
      <c r="O560" s="1189"/>
      <c r="P560" s="1189"/>
      <c r="Q560" s="1189"/>
      <c r="R560" s="1189"/>
      <c r="S560" s="1189"/>
      <c r="T560" s="1189"/>
      <c r="U560" s="1189"/>
      <c r="V560" s="1189"/>
      <c r="W560" s="1189"/>
      <c r="X560" s="1189"/>
      <c r="Y560" s="1189"/>
      <c r="Z560" s="1189"/>
    </row>
    <row r="561">
      <c r="A561" s="1189"/>
      <c r="B561" s="1189"/>
      <c r="C561" s="1189"/>
      <c r="D561" s="1189"/>
      <c r="E561" s="1189"/>
      <c r="F561" s="1189"/>
      <c r="G561" s="1189"/>
      <c r="H561" s="1189"/>
      <c r="I561" s="1189"/>
      <c r="J561" s="1189"/>
      <c r="K561" s="1189"/>
      <c r="L561" s="1189"/>
      <c r="M561" s="1189"/>
      <c r="N561" s="1189"/>
      <c r="O561" s="1189"/>
      <c r="P561" s="1189"/>
      <c r="Q561" s="1189"/>
      <c r="R561" s="1189"/>
      <c r="S561" s="1189"/>
      <c r="T561" s="1189"/>
      <c r="U561" s="1189"/>
      <c r="V561" s="1189"/>
      <c r="W561" s="1189"/>
      <c r="X561" s="1189"/>
      <c r="Y561" s="1189"/>
      <c r="Z561" s="1189"/>
    </row>
    <row r="562">
      <c r="A562" s="1189"/>
      <c r="B562" s="1189"/>
      <c r="C562" s="1189"/>
      <c r="D562" s="1189"/>
      <c r="E562" s="1189"/>
      <c r="F562" s="1189"/>
      <c r="G562" s="1189"/>
      <c r="H562" s="1189"/>
      <c r="I562" s="1189"/>
      <c r="J562" s="1189"/>
      <c r="K562" s="1189"/>
      <c r="L562" s="1189"/>
      <c r="M562" s="1189"/>
      <c r="N562" s="1189"/>
      <c r="O562" s="1189"/>
      <c r="P562" s="1189"/>
      <c r="Q562" s="1189"/>
      <c r="R562" s="1189"/>
      <c r="S562" s="1189"/>
      <c r="T562" s="1189"/>
      <c r="U562" s="1189"/>
      <c r="V562" s="1189"/>
      <c r="W562" s="1189"/>
      <c r="X562" s="1189"/>
      <c r="Y562" s="1189"/>
      <c r="Z562" s="1189"/>
    </row>
    <row r="563">
      <c r="A563" s="1189"/>
      <c r="B563" s="1189"/>
      <c r="C563" s="1189"/>
      <c r="D563" s="1189"/>
      <c r="E563" s="1189"/>
      <c r="F563" s="1189"/>
      <c r="G563" s="1189"/>
      <c r="H563" s="1189"/>
      <c r="I563" s="1189"/>
      <c r="J563" s="1189"/>
      <c r="K563" s="1189"/>
      <c r="L563" s="1189"/>
      <c r="M563" s="1189"/>
      <c r="N563" s="1189"/>
      <c r="O563" s="1189"/>
      <c r="P563" s="1189"/>
      <c r="Q563" s="1189"/>
      <c r="R563" s="1189"/>
      <c r="S563" s="1189"/>
      <c r="T563" s="1189"/>
      <c r="U563" s="1189"/>
      <c r="V563" s="1189"/>
      <c r="W563" s="1189"/>
      <c r="X563" s="1189"/>
      <c r="Y563" s="1189"/>
      <c r="Z563" s="1189"/>
    </row>
    <row r="564">
      <c r="A564" s="1189"/>
      <c r="B564" s="1189"/>
      <c r="C564" s="1189"/>
      <c r="D564" s="1189"/>
      <c r="E564" s="1189"/>
      <c r="F564" s="1189"/>
      <c r="G564" s="1189"/>
      <c r="H564" s="1189"/>
      <c r="I564" s="1189"/>
      <c r="J564" s="1189"/>
      <c r="K564" s="1189"/>
      <c r="L564" s="1189"/>
      <c r="M564" s="1189"/>
      <c r="N564" s="1189"/>
      <c r="O564" s="1189"/>
      <c r="P564" s="1189"/>
      <c r="Q564" s="1189"/>
      <c r="R564" s="1189"/>
      <c r="S564" s="1189"/>
      <c r="T564" s="1189"/>
      <c r="U564" s="1189"/>
      <c r="V564" s="1189"/>
      <c r="W564" s="1189"/>
      <c r="X564" s="1189"/>
      <c r="Y564" s="1189"/>
      <c r="Z564" s="1189"/>
    </row>
    <row r="565">
      <c r="A565" s="1189"/>
      <c r="B565" s="1189"/>
      <c r="C565" s="1189"/>
      <c r="D565" s="1189"/>
      <c r="E565" s="1189"/>
      <c r="F565" s="1189"/>
      <c r="G565" s="1189"/>
      <c r="H565" s="1189"/>
      <c r="I565" s="1189"/>
      <c r="J565" s="1189"/>
      <c r="K565" s="1189"/>
      <c r="L565" s="1189"/>
      <c r="M565" s="1189"/>
      <c r="N565" s="1189"/>
      <c r="O565" s="1189"/>
      <c r="P565" s="1189"/>
      <c r="Q565" s="1189"/>
      <c r="R565" s="1189"/>
      <c r="S565" s="1189"/>
      <c r="T565" s="1189"/>
      <c r="U565" s="1189"/>
      <c r="V565" s="1189"/>
      <c r="W565" s="1189"/>
      <c r="X565" s="1189"/>
      <c r="Y565" s="1189"/>
      <c r="Z565" s="1189"/>
    </row>
    <row r="566">
      <c r="A566" s="1189"/>
      <c r="B566" s="1189"/>
      <c r="C566" s="1189"/>
      <c r="D566" s="1189"/>
      <c r="E566" s="1189"/>
      <c r="F566" s="1189"/>
      <c r="G566" s="1189"/>
      <c r="H566" s="1189"/>
      <c r="I566" s="1189"/>
      <c r="J566" s="1189"/>
      <c r="K566" s="1189"/>
      <c r="L566" s="1189"/>
      <c r="M566" s="1189"/>
      <c r="N566" s="1189"/>
      <c r="O566" s="1189"/>
      <c r="P566" s="1189"/>
      <c r="Q566" s="1189"/>
      <c r="R566" s="1189"/>
      <c r="S566" s="1189"/>
      <c r="T566" s="1189"/>
      <c r="U566" s="1189"/>
      <c r="V566" s="1189"/>
      <c r="W566" s="1189"/>
      <c r="X566" s="1189"/>
      <c r="Y566" s="1189"/>
      <c r="Z566" s="1189"/>
    </row>
    <row r="567">
      <c r="A567" s="1189"/>
      <c r="B567" s="1189"/>
      <c r="C567" s="1189"/>
      <c r="D567" s="1189"/>
      <c r="E567" s="1189"/>
      <c r="F567" s="1189"/>
      <c r="G567" s="1189"/>
      <c r="H567" s="1189"/>
      <c r="I567" s="1189"/>
      <c r="J567" s="1189"/>
      <c r="K567" s="1189"/>
      <c r="L567" s="1189"/>
      <c r="M567" s="1189"/>
      <c r="N567" s="1189"/>
      <c r="O567" s="1189"/>
      <c r="P567" s="1189"/>
      <c r="Q567" s="1189"/>
      <c r="R567" s="1189"/>
      <c r="S567" s="1189"/>
      <c r="T567" s="1189"/>
      <c r="U567" s="1189"/>
      <c r="V567" s="1189"/>
      <c r="W567" s="1189"/>
      <c r="X567" s="1189"/>
      <c r="Y567" s="1189"/>
      <c r="Z567" s="1189"/>
    </row>
    <row r="568">
      <c r="A568" s="1189"/>
      <c r="B568" s="1189"/>
      <c r="C568" s="1189"/>
      <c r="D568" s="1189"/>
      <c r="E568" s="1189"/>
      <c r="F568" s="1189"/>
      <c r="G568" s="1189"/>
      <c r="H568" s="1189"/>
      <c r="I568" s="1189"/>
      <c r="J568" s="1189"/>
      <c r="K568" s="1189"/>
      <c r="L568" s="1189"/>
      <c r="M568" s="1189"/>
      <c r="N568" s="1189"/>
      <c r="O568" s="1189"/>
      <c r="P568" s="1189"/>
      <c r="Q568" s="1189"/>
      <c r="R568" s="1189"/>
      <c r="S568" s="1189"/>
      <c r="T568" s="1189"/>
      <c r="U568" s="1189"/>
      <c r="V568" s="1189"/>
      <c r="W568" s="1189"/>
      <c r="X568" s="1189"/>
      <c r="Y568" s="1189"/>
      <c r="Z568" s="1189"/>
    </row>
    <row r="569">
      <c r="A569" s="1189"/>
      <c r="B569" s="1189"/>
      <c r="C569" s="1189"/>
      <c r="D569" s="1189"/>
      <c r="E569" s="1189"/>
      <c r="F569" s="1189"/>
      <c r="G569" s="1189"/>
      <c r="H569" s="1189"/>
      <c r="I569" s="1189"/>
      <c r="J569" s="1189"/>
      <c r="K569" s="1189"/>
      <c r="L569" s="1189"/>
      <c r="M569" s="1189"/>
      <c r="N569" s="1189"/>
      <c r="O569" s="1189"/>
      <c r="P569" s="1189"/>
      <c r="Q569" s="1189"/>
      <c r="R569" s="1189"/>
      <c r="S569" s="1189"/>
      <c r="T569" s="1189"/>
      <c r="U569" s="1189"/>
      <c r="V569" s="1189"/>
      <c r="W569" s="1189"/>
      <c r="X569" s="1189"/>
      <c r="Y569" s="1189"/>
      <c r="Z569" s="1189"/>
    </row>
    <row r="570">
      <c r="A570" s="1189"/>
      <c r="B570" s="1189"/>
      <c r="C570" s="1189"/>
      <c r="D570" s="1189"/>
      <c r="E570" s="1189"/>
      <c r="F570" s="1189"/>
      <c r="G570" s="1189"/>
      <c r="H570" s="1189"/>
      <c r="I570" s="1189"/>
      <c r="J570" s="1189"/>
      <c r="K570" s="1189"/>
      <c r="L570" s="1189"/>
      <c r="M570" s="1189"/>
      <c r="N570" s="1189"/>
      <c r="O570" s="1189"/>
      <c r="P570" s="1189"/>
      <c r="Q570" s="1189"/>
      <c r="R570" s="1189"/>
      <c r="S570" s="1189"/>
      <c r="T570" s="1189"/>
      <c r="U570" s="1189"/>
      <c r="V570" s="1189"/>
      <c r="W570" s="1189"/>
      <c r="X570" s="1189"/>
      <c r="Y570" s="1189"/>
      <c r="Z570" s="1189"/>
    </row>
    <row r="571">
      <c r="A571" s="1189"/>
      <c r="B571" s="1189"/>
      <c r="C571" s="1189"/>
      <c r="D571" s="1189"/>
      <c r="E571" s="1189"/>
      <c r="F571" s="1189"/>
      <c r="G571" s="1189"/>
      <c r="H571" s="1189"/>
      <c r="I571" s="1189"/>
      <c r="J571" s="1189"/>
      <c r="K571" s="1189"/>
      <c r="L571" s="1189"/>
      <c r="M571" s="1189"/>
      <c r="N571" s="1189"/>
      <c r="O571" s="1189"/>
      <c r="P571" s="1189"/>
      <c r="Q571" s="1189"/>
      <c r="R571" s="1189"/>
      <c r="S571" s="1189"/>
      <c r="T571" s="1189"/>
      <c r="U571" s="1189"/>
      <c r="V571" s="1189"/>
      <c r="W571" s="1189"/>
      <c r="X571" s="1189"/>
      <c r="Y571" s="1189"/>
      <c r="Z571" s="1189"/>
    </row>
    <row r="572">
      <c r="A572" s="1189"/>
      <c r="B572" s="1189"/>
      <c r="C572" s="1189"/>
      <c r="D572" s="1189"/>
      <c r="E572" s="1189"/>
      <c r="F572" s="1189"/>
      <c r="G572" s="1189"/>
      <c r="H572" s="1189"/>
      <c r="I572" s="1189"/>
      <c r="J572" s="1189"/>
      <c r="K572" s="1189"/>
      <c r="L572" s="1189"/>
      <c r="M572" s="1189"/>
      <c r="N572" s="1189"/>
      <c r="O572" s="1189"/>
      <c r="P572" s="1189"/>
      <c r="Q572" s="1189"/>
      <c r="R572" s="1189"/>
      <c r="S572" s="1189"/>
      <c r="T572" s="1189"/>
      <c r="U572" s="1189"/>
      <c r="V572" s="1189"/>
      <c r="W572" s="1189"/>
      <c r="X572" s="1189"/>
      <c r="Y572" s="1189"/>
      <c r="Z572" s="1189"/>
    </row>
    <row r="573">
      <c r="A573" s="1189"/>
      <c r="B573" s="1189"/>
      <c r="C573" s="1189"/>
      <c r="D573" s="1189"/>
      <c r="E573" s="1189"/>
      <c r="F573" s="1189"/>
      <c r="G573" s="1189"/>
      <c r="H573" s="1189"/>
      <c r="I573" s="1189"/>
      <c r="J573" s="1189"/>
      <c r="K573" s="1189"/>
      <c r="L573" s="1189"/>
      <c r="M573" s="1189"/>
      <c r="N573" s="1189"/>
      <c r="O573" s="1189"/>
      <c r="P573" s="1189"/>
      <c r="Q573" s="1189"/>
      <c r="R573" s="1189"/>
      <c r="S573" s="1189"/>
      <c r="T573" s="1189"/>
      <c r="U573" s="1189"/>
      <c r="V573" s="1189"/>
      <c r="W573" s="1189"/>
      <c r="X573" s="1189"/>
      <c r="Y573" s="1189"/>
      <c r="Z573" s="1189"/>
    </row>
    <row r="574">
      <c r="A574" s="1189"/>
      <c r="B574" s="1189"/>
      <c r="C574" s="1189"/>
      <c r="D574" s="1189"/>
      <c r="E574" s="1189"/>
      <c r="F574" s="1189"/>
      <c r="G574" s="1189"/>
      <c r="H574" s="1189"/>
      <c r="I574" s="1189"/>
      <c r="J574" s="1189"/>
      <c r="K574" s="1189"/>
      <c r="L574" s="1189"/>
      <c r="M574" s="1189"/>
      <c r="N574" s="1189"/>
      <c r="O574" s="1189"/>
      <c r="P574" s="1189"/>
      <c r="Q574" s="1189"/>
      <c r="R574" s="1189"/>
      <c r="S574" s="1189"/>
      <c r="T574" s="1189"/>
      <c r="U574" s="1189"/>
      <c r="V574" s="1189"/>
      <c r="W574" s="1189"/>
      <c r="X574" s="1189"/>
      <c r="Y574" s="1189"/>
      <c r="Z574" s="1189"/>
    </row>
    <row r="575">
      <c r="A575" s="1189"/>
      <c r="B575" s="1189"/>
      <c r="C575" s="1189"/>
      <c r="D575" s="1189"/>
      <c r="E575" s="1189"/>
      <c r="F575" s="1189"/>
      <c r="G575" s="1189"/>
      <c r="H575" s="1189"/>
      <c r="I575" s="1189"/>
      <c r="J575" s="1189"/>
      <c r="K575" s="1189"/>
      <c r="L575" s="1189"/>
      <c r="M575" s="1189"/>
      <c r="N575" s="1189"/>
      <c r="O575" s="1189"/>
      <c r="P575" s="1189"/>
      <c r="Q575" s="1189"/>
      <c r="R575" s="1189"/>
      <c r="S575" s="1189"/>
      <c r="T575" s="1189"/>
      <c r="U575" s="1189"/>
      <c r="V575" s="1189"/>
      <c r="W575" s="1189"/>
      <c r="X575" s="1189"/>
      <c r="Y575" s="1189"/>
      <c r="Z575" s="1189"/>
    </row>
    <row r="576">
      <c r="A576" s="1189"/>
      <c r="B576" s="1189"/>
      <c r="C576" s="1189"/>
      <c r="D576" s="1189"/>
      <c r="E576" s="1189"/>
      <c r="F576" s="1189"/>
      <c r="G576" s="1189"/>
      <c r="H576" s="1189"/>
      <c r="I576" s="1189"/>
      <c r="J576" s="1189"/>
      <c r="K576" s="1189"/>
      <c r="L576" s="1189"/>
      <c r="M576" s="1189"/>
      <c r="N576" s="1189"/>
      <c r="O576" s="1189"/>
      <c r="P576" s="1189"/>
      <c r="Q576" s="1189"/>
      <c r="R576" s="1189"/>
      <c r="S576" s="1189"/>
      <c r="T576" s="1189"/>
      <c r="U576" s="1189"/>
      <c r="V576" s="1189"/>
      <c r="W576" s="1189"/>
      <c r="X576" s="1189"/>
      <c r="Y576" s="1189"/>
      <c r="Z576" s="1189"/>
    </row>
    <row r="577">
      <c r="A577" s="1189"/>
      <c r="B577" s="1189"/>
      <c r="C577" s="1189"/>
      <c r="D577" s="1189"/>
      <c r="E577" s="1189"/>
      <c r="F577" s="1189"/>
      <c r="G577" s="1189"/>
      <c r="H577" s="1189"/>
      <c r="I577" s="1189"/>
      <c r="J577" s="1189"/>
      <c r="K577" s="1189"/>
      <c r="L577" s="1189"/>
      <c r="M577" s="1189"/>
      <c r="N577" s="1189"/>
      <c r="O577" s="1189"/>
      <c r="P577" s="1189"/>
      <c r="Q577" s="1189"/>
      <c r="R577" s="1189"/>
      <c r="S577" s="1189"/>
      <c r="T577" s="1189"/>
      <c r="U577" s="1189"/>
      <c r="V577" s="1189"/>
      <c r="W577" s="1189"/>
      <c r="X577" s="1189"/>
      <c r="Y577" s="1189"/>
      <c r="Z577" s="1189"/>
    </row>
    <row r="578">
      <c r="A578" s="1189"/>
      <c r="B578" s="1189"/>
      <c r="C578" s="1189"/>
      <c r="D578" s="1189"/>
      <c r="E578" s="1189"/>
      <c r="F578" s="1189"/>
      <c r="G578" s="1189"/>
      <c r="H578" s="1189"/>
      <c r="I578" s="1189"/>
      <c r="J578" s="1189"/>
      <c r="K578" s="1189"/>
      <c r="L578" s="1189"/>
      <c r="M578" s="1189"/>
      <c r="N578" s="1189"/>
      <c r="O578" s="1189"/>
      <c r="P578" s="1189"/>
      <c r="Q578" s="1189"/>
      <c r="R578" s="1189"/>
      <c r="S578" s="1189"/>
      <c r="T578" s="1189"/>
      <c r="U578" s="1189"/>
      <c r="V578" s="1189"/>
      <c r="W578" s="1189"/>
      <c r="X578" s="1189"/>
      <c r="Y578" s="1189"/>
      <c r="Z578" s="1189"/>
    </row>
    <row r="579">
      <c r="A579" s="1189"/>
      <c r="B579" s="1189"/>
      <c r="C579" s="1189"/>
      <c r="D579" s="1189"/>
      <c r="E579" s="1189"/>
      <c r="F579" s="1189"/>
      <c r="G579" s="1189"/>
      <c r="H579" s="1189"/>
      <c r="I579" s="1189"/>
      <c r="J579" s="1189"/>
      <c r="K579" s="1189"/>
      <c r="L579" s="1189"/>
      <c r="M579" s="1189"/>
      <c r="N579" s="1189"/>
      <c r="O579" s="1189"/>
      <c r="P579" s="1189"/>
      <c r="Q579" s="1189"/>
      <c r="R579" s="1189"/>
      <c r="S579" s="1189"/>
      <c r="T579" s="1189"/>
      <c r="U579" s="1189"/>
      <c r="V579" s="1189"/>
      <c r="W579" s="1189"/>
      <c r="X579" s="1189"/>
      <c r="Y579" s="1189"/>
      <c r="Z579" s="1189"/>
    </row>
    <row r="580">
      <c r="A580" s="1189"/>
      <c r="B580" s="1189"/>
      <c r="C580" s="1189"/>
      <c r="D580" s="1189"/>
      <c r="E580" s="1189"/>
      <c r="F580" s="1189"/>
      <c r="G580" s="1189"/>
      <c r="H580" s="1189"/>
      <c r="I580" s="1189"/>
      <c r="J580" s="1189"/>
      <c r="K580" s="1189"/>
      <c r="L580" s="1189"/>
      <c r="M580" s="1189"/>
      <c r="N580" s="1189"/>
      <c r="O580" s="1189"/>
      <c r="P580" s="1189"/>
      <c r="Q580" s="1189"/>
      <c r="R580" s="1189"/>
      <c r="S580" s="1189"/>
      <c r="T580" s="1189"/>
      <c r="U580" s="1189"/>
      <c r="V580" s="1189"/>
      <c r="W580" s="1189"/>
      <c r="X580" s="1189"/>
      <c r="Y580" s="1189"/>
      <c r="Z580" s="1189"/>
    </row>
    <row r="581">
      <c r="A581" s="1189"/>
      <c r="B581" s="1189"/>
      <c r="C581" s="1189"/>
      <c r="D581" s="1189"/>
      <c r="E581" s="1189"/>
      <c r="F581" s="1189"/>
      <c r="G581" s="1189"/>
      <c r="H581" s="1189"/>
      <c r="I581" s="1189"/>
      <c r="J581" s="1189"/>
      <c r="K581" s="1189"/>
      <c r="L581" s="1189"/>
      <c r="M581" s="1189"/>
      <c r="N581" s="1189"/>
      <c r="O581" s="1189"/>
      <c r="P581" s="1189"/>
      <c r="Q581" s="1189"/>
      <c r="R581" s="1189"/>
      <c r="S581" s="1189"/>
      <c r="T581" s="1189"/>
      <c r="U581" s="1189"/>
      <c r="V581" s="1189"/>
      <c r="W581" s="1189"/>
      <c r="X581" s="1189"/>
      <c r="Y581" s="1189"/>
      <c r="Z581" s="1189"/>
    </row>
    <row r="582">
      <c r="A582" s="1189"/>
      <c r="B582" s="1189"/>
      <c r="C582" s="1189"/>
      <c r="D582" s="1189"/>
      <c r="E582" s="1189"/>
      <c r="F582" s="1189"/>
      <c r="G582" s="1189"/>
      <c r="H582" s="1189"/>
      <c r="I582" s="1189"/>
      <c r="J582" s="1189"/>
      <c r="K582" s="1189"/>
      <c r="L582" s="1189"/>
      <c r="M582" s="1189"/>
      <c r="N582" s="1189"/>
      <c r="O582" s="1189"/>
      <c r="P582" s="1189"/>
      <c r="Q582" s="1189"/>
      <c r="R582" s="1189"/>
      <c r="S582" s="1189"/>
      <c r="T582" s="1189"/>
      <c r="U582" s="1189"/>
      <c r="V582" s="1189"/>
      <c r="W582" s="1189"/>
      <c r="X582" s="1189"/>
      <c r="Y582" s="1189"/>
      <c r="Z582" s="1189"/>
    </row>
    <row r="583">
      <c r="A583" s="1189"/>
      <c r="B583" s="1189"/>
      <c r="C583" s="1189"/>
      <c r="D583" s="1189"/>
      <c r="E583" s="1189"/>
      <c r="F583" s="1189"/>
      <c r="G583" s="1189"/>
      <c r="H583" s="1189"/>
      <c r="I583" s="1189"/>
      <c r="J583" s="1189"/>
      <c r="K583" s="1189"/>
      <c r="L583" s="1189"/>
      <c r="M583" s="1189"/>
      <c r="N583" s="1189"/>
      <c r="O583" s="1189"/>
      <c r="P583" s="1189"/>
      <c r="Q583" s="1189"/>
      <c r="R583" s="1189"/>
      <c r="S583" s="1189"/>
      <c r="T583" s="1189"/>
      <c r="U583" s="1189"/>
      <c r="V583" s="1189"/>
      <c r="W583" s="1189"/>
      <c r="X583" s="1189"/>
      <c r="Y583" s="1189"/>
      <c r="Z583" s="1189"/>
    </row>
    <row r="584">
      <c r="A584" s="1189"/>
      <c r="B584" s="1189"/>
      <c r="C584" s="1189"/>
      <c r="D584" s="1189"/>
      <c r="E584" s="1189"/>
      <c r="F584" s="1189"/>
      <c r="G584" s="1189"/>
      <c r="H584" s="1189"/>
      <c r="I584" s="1189"/>
      <c r="J584" s="1189"/>
      <c r="K584" s="1189"/>
      <c r="L584" s="1189"/>
      <c r="M584" s="1189"/>
      <c r="N584" s="1189"/>
      <c r="O584" s="1189"/>
      <c r="P584" s="1189"/>
      <c r="Q584" s="1189"/>
      <c r="R584" s="1189"/>
      <c r="S584" s="1189"/>
      <c r="T584" s="1189"/>
      <c r="U584" s="1189"/>
      <c r="V584" s="1189"/>
      <c r="W584" s="1189"/>
      <c r="X584" s="1189"/>
      <c r="Y584" s="1189"/>
      <c r="Z584" s="1189"/>
    </row>
    <row r="585">
      <c r="A585" s="1189"/>
      <c r="B585" s="1189"/>
      <c r="C585" s="1189"/>
      <c r="D585" s="1189"/>
      <c r="E585" s="1189"/>
      <c r="F585" s="1189"/>
      <c r="G585" s="1189"/>
      <c r="H585" s="1189"/>
      <c r="I585" s="1189"/>
      <c r="J585" s="1189"/>
      <c r="K585" s="1189"/>
      <c r="L585" s="1189"/>
      <c r="M585" s="1189"/>
      <c r="N585" s="1189"/>
      <c r="O585" s="1189"/>
      <c r="P585" s="1189"/>
      <c r="Q585" s="1189"/>
      <c r="R585" s="1189"/>
      <c r="S585" s="1189"/>
      <c r="T585" s="1189"/>
      <c r="U585" s="1189"/>
      <c r="V585" s="1189"/>
      <c r="W585" s="1189"/>
      <c r="X585" s="1189"/>
      <c r="Y585" s="1189"/>
      <c r="Z585" s="1189"/>
    </row>
    <row r="586">
      <c r="A586" s="1189"/>
      <c r="B586" s="1189"/>
      <c r="C586" s="1189"/>
      <c r="D586" s="1189"/>
      <c r="E586" s="1189"/>
      <c r="F586" s="1189"/>
      <c r="G586" s="1189"/>
      <c r="H586" s="1189"/>
      <c r="I586" s="1189"/>
      <c r="J586" s="1189"/>
      <c r="K586" s="1189"/>
      <c r="L586" s="1189"/>
      <c r="M586" s="1189"/>
      <c r="N586" s="1189"/>
      <c r="O586" s="1189"/>
      <c r="P586" s="1189"/>
      <c r="Q586" s="1189"/>
      <c r="R586" s="1189"/>
      <c r="S586" s="1189"/>
      <c r="T586" s="1189"/>
      <c r="U586" s="1189"/>
      <c r="V586" s="1189"/>
      <c r="W586" s="1189"/>
      <c r="X586" s="1189"/>
      <c r="Y586" s="1189"/>
      <c r="Z586" s="1189"/>
    </row>
    <row r="587">
      <c r="A587" s="1189"/>
      <c r="B587" s="1189"/>
      <c r="C587" s="1189"/>
      <c r="D587" s="1189"/>
      <c r="E587" s="1189"/>
      <c r="F587" s="1189"/>
      <c r="G587" s="1189"/>
      <c r="H587" s="1189"/>
      <c r="I587" s="1189"/>
      <c r="J587" s="1189"/>
      <c r="K587" s="1189"/>
      <c r="L587" s="1189"/>
      <c r="M587" s="1189"/>
      <c r="N587" s="1189"/>
      <c r="O587" s="1189"/>
      <c r="P587" s="1189"/>
      <c r="Q587" s="1189"/>
      <c r="R587" s="1189"/>
      <c r="S587" s="1189"/>
      <c r="T587" s="1189"/>
      <c r="U587" s="1189"/>
      <c r="V587" s="1189"/>
      <c r="W587" s="1189"/>
      <c r="X587" s="1189"/>
      <c r="Y587" s="1189"/>
      <c r="Z587" s="1189"/>
    </row>
    <row r="588">
      <c r="A588" s="1189"/>
      <c r="B588" s="1189"/>
      <c r="C588" s="1189"/>
      <c r="D588" s="1189"/>
      <c r="E588" s="1189"/>
      <c r="F588" s="1189"/>
      <c r="G588" s="1189"/>
      <c r="H588" s="1189"/>
      <c r="I588" s="1189"/>
      <c r="J588" s="1189"/>
      <c r="K588" s="1189"/>
      <c r="L588" s="1189"/>
      <c r="M588" s="1189"/>
      <c r="N588" s="1189"/>
      <c r="O588" s="1189"/>
      <c r="P588" s="1189"/>
      <c r="Q588" s="1189"/>
      <c r="R588" s="1189"/>
      <c r="S588" s="1189"/>
      <c r="T588" s="1189"/>
      <c r="U588" s="1189"/>
      <c r="V588" s="1189"/>
      <c r="W588" s="1189"/>
      <c r="X588" s="1189"/>
      <c r="Y588" s="1189"/>
      <c r="Z588" s="1189"/>
    </row>
    <row r="589">
      <c r="A589" s="1189"/>
      <c r="B589" s="1189"/>
      <c r="C589" s="1189"/>
      <c r="D589" s="1189"/>
      <c r="E589" s="1189"/>
      <c r="F589" s="1189"/>
      <c r="G589" s="1189"/>
      <c r="H589" s="1189"/>
      <c r="I589" s="1189"/>
      <c r="J589" s="1189"/>
      <c r="K589" s="1189"/>
      <c r="L589" s="1189"/>
      <c r="M589" s="1189"/>
      <c r="N589" s="1189"/>
      <c r="O589" s="1189"/>
      <c r="P589" s="1189"/>
      <c r="Q589" s="1189"/>
      <c r="R589" s="1189"/>
      <c r="S589" s="1189"/>
      <c r="T589" s="1189"/>
      <c r="U589" s="1189"/>
      <c r="V589" s="1189"/>
      <c r="W589" s="1189"/>
      <c r="X589" s="1189"/>
      <c r="Y589" s="1189"/>
      <c r="Z589" s="1189"/>
    </row>
    <row r="590">
      <c r="A590" s="1189"/>
      <c r="B590" s="1189"/>
      <c r="C590" s="1189"/>
      <c r="D590" s="1189"/>
      <c r="E590" s="1189"/>
      <c r="F590" s="1189"/>
      <c r="G590" s="1189"/>
      <c r="H590" s="1189"/>
      <c r="I590" s="1189"/>
      <c r="J590" s="1189"/>
      <c r="K590" s="1189"/>
      <c r="L590" s="1189"/>
      <c r="M590" s="1189"/>
      <c r="N590" s="1189"/>
      <c r="O590" s="1189"/>
      <c r="P590" s="1189"/>
      <c r="Q590" s="1189"/>
      <c r="R590" s="1189"/>
      <c r="S590" s="1189"/>
      <c r="T590" s="1189"/>
      <c r="U590" s="1189"/>
      <c r="V590" s="1189"/>
      <c r="W590" s="1189"/>
      <c r="X590" s="1189"/>
      <c r="Y590" s="1189"/>
      <c r="Z590" s="1189"/>
    </row>
    <row r="591">
      <c r="A591" s="1189"/>
      <c r="B591" s="1189"/>
      <c r="C591" s="1189"/>
      <c r="D591" s="1189"/>
      <c r="E591" s="1189"/>
      <c r="F591" s="1189"/>
      <c r="G591" s="1189"/>
      <c r="H591" s="1189"/>
      <c r="I591" s="1189"/>
      <c r="J591" s="1189"/>
      <c r="K591" s="1189"/>
      <c r="L591" s="1189"/>
      <c r="M591" s="1189"/>
      <c r="N591" s="1189"/>
      <c r="O591" s="1189"/>
      <c r="P591" s="1189"/>
      <c r="Q591" s="1189"/>
      <c r="R591" s="1189"/>
      <c r="S591" s="1189"/>
      <c r="T591" s="1189"/>
      <c r="U591" s="1189"/>
      <c r="V591" s="1189"/>
      <c r="W591" s="1189"/>
      <c r="X591" s="1189"/>
      <c r="Y591" s="1189"/>
      <c r="Z591" s="1189"/>
    </row>
    <row r="592">
      <c r="A592" s="1189"/>
      <c r="B592" s="1189"/>
      <c r="C592" s="1189"/>
      <c r="D592" s="1189"/>
      <c r="E592" s="1189"/>
      <c r="F592" s="1189"/>
      <c r="G592" s="1189"/>
      <c r="H592" s="1189"/>
      <c r="I592" s="1189"/>
      <c r="J592" s="1189"/>
      <c r="K592" s="1189"/>
      <c r="L592" s="1189"/>
      <c r="M592" s="1189"/>
      <c r="N592" s="1189"/>
      <c r="O592" s="1189"/>
      <c r="P592" s="1189"/>
      <c r="Q592" s="1189"/>
      <c r="R592" s="1189"/>
      <c r="S592" s="1189"/>
      <c r="T592" s="1189"/>
      <c r="U592" s="1189"/>
      <c r="V592" s="1189"/>
      <c r="W592" s="1189"/>
      <c r="X592" s="1189"/>
      <c r="Y592" s="1189"/>
      <c r="Z592" s="1189"/>
    </row>
    <row r="593">
      <c r="A593" s="1189"/>
      <c r="B593" s="1189"/>
      <c r="C593" s="1189"/>
      <c r="D593" s="1189"/>
      <c r="E593" s="1189"/>
      <c r="F593" s="1189"/>
      <c r="G593" s="1189"/>
      <c r="H593" s="1189"/>
      <c r="I593" s="1189"/>
      <c r="J593" s="1189"/>
      <c r="K593" s="1189"/>
      <c r="L593" s="1189"/>
      <c r="M593" s="1189"/>
      <c r="N593" s="1189"/>
      <c r="O593" s="1189"/>
      <c r="P593" s="1189"/>
      <c r="Q593" s="1189"/>
      <c r="R593" s="1189"/>
      <c r="S593" s="1189"/>
      <c r="T593" s="1189"/>
      <c r="U593" s="1189"/>
      <c r="V593" s="1189"/>
      <c r="W593" s="1189"/>
      <c r="X593" s="1189"/>
      <c r="Y593" s="1189"/>
      <c r="Z593" s="1189"/>
    </row>
    <row r="594">
      <c r="A594" s="1189"/>
      <c r="B594" s="1189"/>
      <c r="C594" s="1189"/>
      <c r="D594" s="1189"/>
      <c r="E594" s="1189"/>
      <c r="F594" s="1189"/>
      <c r="G594" s="1189"/>
      <c r="H594" s="1189"/>
      <c r="I594" s="1189"/>
      <c r="J594" s="1189"/>
      <c r="K594" s="1189"/>
      <c r="L594" s="1189"/>
      <c r="M594" s="1189"/>
      <c r="N594" s="1189"/>
      <c r="O594" s="1189"/>
      <c r="P594" s="1189"/>
      <c r="Q594" s="1189"/>
      <c r="R594" s="1189"/>
      <c r="S594" s="1189"/>
      <c r="T594" s="1189"/>
      <c r="U594" s="1189"/>
      <c r="V594" s="1189"/>
      <c r="W594" s="1189"/>
      <c r="X594" s="1189"/>
      <c r="Y594" s="1189"/>
      <c r="Z594" s="1189"/>
    </row>
    <row r="595">
      <c r="A595" s="1189"/>
      <c r="B595" s="1189"/>
      <c r="C595" s="1189"/>
      <c r="D595" s="1189"/>
      <c r="E595" s="1189"/>
      <c r="F595" s="1189"/>
      <c r="G595" s="1189"/>
      <c r="H595" s="1189"/>
      <c r="I595" s="1189"/>
      <c r="J595" s="1189"/>
      <c r="K595" s="1189"/>
      <c r="L595" s="1189"/>
      <c r="M595" s="1189"/>
      <c r="N595" s="1189"/>
      <c r="O595" s="1189"/>
      <c r="P595" s="1189"/>
      <c r="Q595" s="1189"/>
      <c r="R595" s="1189"/>
      <c r="S595" s="1189"/>
      <c r="T595" s="1189"/>
      <c r="U595" s="1189"/>
      <c r="V595" s="1189"/>
      <c r="W595" s="1189"/>
      <c r="X595" s="1189"/>
      <c r="Y595" s="1189"/>
      <c r="Z595" s="1189"/>
    </row>
    <row r="596">
      <c r="A596" s="1189"/>
      <c r="B596" s="1189"/>
      <c r="C596" s="1189"/>
      <c r="D596" s="1189"/>
      <c r="E596" s="1189"/>
      <c r="F596" s="1189"/>
      <c r="G596" s="1189"/>
      <c r="H596" s="1189"/>
      <c r="I596" s="1189"/>
      <c r="J596" s="1189"/>
      <c r="K596" s="1189"/>
      <c r="L596" s="1189"/>
      <c r="M596" s="1189"/>
      <c r="N596" s="1189"/>
      <c r="O596" s="1189"/>
      <c r="P596" s="1189"/>
      <c r="Q596" s="1189"/>
      <c r="R596" s="1189"/>
      <c r="S596" s="1189"/>
      <c r="T596" s="1189"/>
      <c r="U596" s="1189"/>
      <c r="V596" s="1189"/>
      <c r="W596" s="1189"/>
      <c r="X596" s="1189"/>
      <c r="Y596" s="1189"/>
      <c r="Z596" s="1189"/>
    </row>
    <row r="597">
      <c r="A597" s="1189"/>
      <c r="B597" s="1189"/>
      <c r="C597" s="1189"/>
      <c r="D597" s="1189"/>
      <c r="E597" s="1189"/>
      <c r="F597" s="1189"/>
      <c r="G597" s="1189"/>
      <c r="H597" s="1189"/>
      <c r="I597" s="1189"/>
      <c r="J597" s="1189"/>
      <c r="K597" s="1189"/>
      <c r="L597" s="1189"/>
      <c r="M597" s="1189"/>
      <c r="N597" s="1189"/>
      <c r="O597" s="1189"/>
      <c r="P597" s="1189"/>
      <c r="Q597" s="1189"/>
      <c r="R597" s="1189"/>
      <c r="S597" s="1189"/>
      <c r="T597" s="1189"/>
      <c r="U597" s="1189"/>
      <c r="V597" s="1189"/>
      <c r="W597" s="1189"/>
      <c r="X597" s="1189"/>
      <c r="Y597" s="1189"/>
      <c r="Z597" s="1189"/>
    </row>
    <row r="598">
      <c r="A598" s="1189"/>
      <c r="B598" s="1189"/>
      <c r="C598" s="1189"/>
      <c r="D598" s="1189"/>
      <c r="E598" s="1189"/>
      <c r="F598" s="1189"/>
      <c r="G598" s="1189"/>
      <c r="H598" s="1189"/>
      <c r="I598" s="1189"/>
      <c r="J598" s="1189"/>
      <c r="K598" s="1189"/>
      <c r="L598" s="1189"/>
      <c r="M598" s="1189"/>
      <c r="N598" s="1189"/>
      <c r="O598" s="1189"/>
      <c r="P598" s="1189"/>
      <c r="Q598" s="1189"/>
      <c r="R598" s="1189"/>
      <c r="S598" s="1189"/>
      <c r="T598" s="1189"/>
      <c r="U598" s="1189"/>
      <c r="V598" s="1189"/>
      <c r="W598" s="1189"/>
      <c r="X598" s="1189"/>
      <c r="Y598" s="1189"/>
      <c r="Z598" s="1189"/>
    </row>
    <row r="599">
      <c r="A599" s="1189"/>
      <c r="B599" s="1189"/>
      <c r="C599" s="1189"/>
      <c r="D599" s="1189"/>
      <c r="E599" s="1189"/>
      <c r="F599" s="1189"/>
      <c r="G599" s="1189"/>
      <c r="H599" s="1189"/>
      <c r="I599" s="1189"/>
      <c r="J599" s="1189"/>
      <c r="K599" s="1189"/>
      <c r="L599" s="1189"/>
      <c r="M599" s="1189"/>
      <c r="N599" s="1189"/>
      <c r="O599" s="1189"/>
      <c r="P599" s="1189"/>
      <c r="Q599" s="1189"/>
      <c r="R599" s="1189"/>
      <c r="S599" s="1189"/>
      <c r="T599" s="1189"/>
      <c r="U599" s="1189"/>
      <c r="V599" s="1189"/>
      <c r="W599" s="1189"/>
      <c r="X599" s="1189"/>
      <c r="Y599" s="1189"/>
      <c r="Z599" s="1189"/>
    </row>
    <row r="600">
      <c r="A600" s="1189"/>
      <c r="B600" s="1189"/>
      <c r="C600" s="1189"/>
      <c r="D600" s="1189"/>
      <c r="E600" s="1189"/>
      <c r="F600" s="1189"/>
      <c r="G600" s="1189"/>
      <c r="H600" s="1189"/>
      <c r="I600" s="1189"/>
      <c r="J600" s="1189"/>
      <c r="K600" s="1189"/>
      <c r="L600" s="1189"/>
      <c r="M600" s="1189"/>
      <c r="N600" s="1189"/>
      <c r="O600" s="1189"/>
      <c r="P600" s="1189"/>
      <c r="Q600" s="1189"/>
      <c r="R600" s="1189"/>
      <c r="S600" s="1189"/>
      <c r="T600" s="1189"/>
      <c r="U600" s="1189"/>
      <c r="V600" s="1189"/>
      <c r="W600" s="1189"/>
      <c r="X600" s="1189"/>
      <c r="Y600" s="1189"/>
      <c r="Z600" s="1189"/>
    </row>
    <row r="601">
      <c r="A601" s="1189"/>
      <c r="B601" s="1189"/>
      <c r="C601" s="1189"/>
      <c r="D601" s="1189"/>
      <c r="E601" s="1189"/>
      <c r="F601" s="1189"/>
      <c r="G601" s="1189"/>
      <c r="H601" s="1189"/>
      <c r="I601" s="1189"/>
      <c r="J601" s="1189"/>
      <c r="K601" s="1189"/>
      <c r="L601" s="1189"/>
      <c r="M601" s="1189"/>
      <c r="N601" s="1189"/>
      <c r="O601" s="1189"/>
      <c r="P601" s="1189"/>
      <c r="Q601" s="1189"/>
      <c r="R601" s="1189"/>
      <c r="S601" s="1189"/>
      <c r="T601" s="1189"/>
      <c r="U601" s="1189"/>
      <c r="V601" s="1189"/>
      <c r="W601" s="1189"/>
      <c r="X601" s="1189"/>
      <c r="Y601" s="1189"/>
      <c r="Z601" s="1189"/>
    </row>
    <row r="602">
      <c r="A602" s="1189"/>
      <c r="B602" s="1189"/>
      <c r="C602" s="1189"/>
      <c r="D602" s="1189"/>
      <c r="E602" s="1189"/>
      <c r="F602" s="1189"/>
      <c r="G602" s="1189"/>
      <c r="H602" s="1189"/>
      <c r="I602" s="1189"/>
      <c r="J602" s="1189"/>
      <c r="K602" s="1189"/>
      <c r="L602" s="1189"/>
      <c r="M602" s="1189"/>
      <c r="N602" s="1189"/>
      <c r="O602" s="1189"/>
      <c r="P602" s="1189"/>
      <c r="Q602" s="1189"/>
      <c r="R602" s="1189"/>
      <c r="S602" s="1189"/>
      <c r="T602" s="1189"/>
      <c r="U602" s="1189"/>
      <c r="V602" s="1189"/>
      <c r="W602" s="1189"/>
      <c r="X602" s="1189"/>
      <c r="Y602" s="1189"/>
      <c r="Z602" s="1189"/>
    </row>
    <row r="603">
      <c r="A603" s="1189"/>
      <c r="B603" s="1189"/>
      <c r="C603" s="1189"/>
      <c r="D603" s="1189"/>
      <c r="E603" s="1189"/>
      <c r="F603" s="1189"/>
      <c r="G603" s="1189"/>
      <c r="H603" s="1189"/>
      <c r="I603" s="1189"/>
      <c r="J603" s="1189"/>
      <c r="K603" s="1189"/>
      <c r="L603" s="1189"/>
      <c r="M603" s="1189"/>
      <c r="N603" s="1189"/>
      <c r="O603" s="1189"/>
      <c r="P603" s="1189"/>
      <c r="Q603" s="1189"/>
      <c r="R603" s="1189"/>
      <c r="S603" s="1189"/>
      <c r="T603" s="1189"/>
      <c r="U603" s="1189"/>
      <c r="V603" s="1189"/>
      <c r="W603" s="1189"/>
      <c r="X603" s="1189"/>
      <c r="Y603" s="1189"/>
      <c r="Z603" s="1189"/>
    </row>
    <row r="604">
      <c r="A604" s="1189"/>
      <c r="B604" s="1189"/>
      <c r="C604" s="1189"/>
      <c r="D604" s="1189"/>
      <c r="E604" s="1189"/>
      <c r="F604" s="1189"/>
      <c r="G604" s="1189"/>
      <c r="H604" s="1189"/>
      <c r="I604" s="1189"/>
      <c r="J604" s="1189"/>
      <c r="K604" s="1189"/>
      <c r="L604" s="1189"/>
      <c r="M604" s="1189"/>
      <c r="N604" s="1189"/>
      <c r="O604" s="1189"/>
      <c r="P604" s="1189"/>
      <c r="Q604" s="1189"/>
      <c r="R604" s="1189"/>
      <c r="S604" s="1189"/>
      <c r="T604" s="1189"/>
      <c r="U604" s="1189"/>
      <c r="V604" s="1189"/>
      <c r="W604" s="1189"/>
      <c r="X604" s="1189"/>
      <c r="Y604" s="1189"/>
      <c r="Z604" s="1189"/>
    </row>
    <row r="605">
      <c r="A605" s="1189"/>
      <c r="B605" s="1189"/>
      <c r="C605" s="1189"/>
      <c r="D605" s="1189"/>
      <c r="E605" s="1189"/>
      <c r="F605" s="1189"/>
      <c r="G605" s="1189"/>
      <c r="H605" s="1189"/>
      <c r="I605" s="1189"/>
      <c r="J605" s="1189"/>
      <c r="K605" s="1189"/>
      <c r="L605" s="1189"/>
      <c r="M605" s="1189"/>
      <c r="N605" s="1189"/>
      <c r="O605" s="1189"/>
      <c r="P605" s="1189"/>
      <c r="Q605" s="1189"/>
      <c r="R605" s="1189"/>
      <c r="S605" s="1189"/>
      <c r="T605" s="1189"/>
      <c r="U605" s="1189"/>
      <c r="V605" s="1189"/>
      <c r="W605" s="1189"/>
      <c r="X605" s="1189"/>
      <c r="Y605" s="1189"/>
      <c r="Z605" s="1189"/>
    </row>
    <row r="606">
      <c r="A606" s="1189"/>
      <c r="B606" s="1189"/>
      <c r="C606" s="1189"/>
      <c r="D606" s="1189"/>
      <c r="E606" s="1189"/>
      <c r="F606" s="1189"/>
      <c r="G606" s="1189"/>
      <c r="H606" s="1189"/>
      <c r="I606" s="1189"/>
      <c r="J606" s="1189"/>
      <c r="K606" s="1189"/>
      <c r="L606" s="1189"/>
      <c r="M606" s="1189"/>
      <c r="N606" s="1189"/>
      <c r="O606" s="1189"/>
      <c r="P606" s="1189"/>
      <c r="Q606" s="1189"/>
      <c r="R606" s="1189"/>
      <c r="S606" s="1189"/>
      <c r="T606" s="1189"/>
      <c r="U606" s="1189"/>
      <c r="V606" s="1189"/>
      <c r="W606" s="1189"/>
      <c r="X606" s="1189"/>
      <c r="Y606" s="1189"/>
      <c r="Z606" s="1189"/>
    </row>
    <row r="607">
      <c r="A607" s="1189"/>
      <c r="B607" s="1189"/>
      <c r="C607" s="1189"/>
      <c r="D607" s="1189"/>
      <c r="E607" s="1189"/>
      <c r="F607" s="1189"/>
      <c r="G607" s="1189"/>
      <c r="H607" s="1189"/>
      <c r="I607" s="1189"/>
      <c r="J607" s="1189"/>
      <c r="K607" s="1189"/>
      <c r="L607" s="1189"/>
      <c r="M607" s="1189"/>
      <c r="N607" s="1189"/>
      <c r="O607" s="1189"/>
      <c r="P607" s="1189"/>
      <c r="Q607" s="1189"/>
      <c r="R607" s="1189"/>
      <c r="S607" s="1189"/>
      <c r="T607" s="1189"/>
      <c r="U607" s="1189"/>
      <c r="V607" s="1189"/>
      <c r="W607" s="1189"/>
      <c r="X607" s="1189"/>
      <c r="Y607" s="1189"/>
      <c r="Z607" s="1189"/>
    </row>
    <row r="608">
      <c r="A608" s="1189"/>
      <c r="B608" s="1189"/>
      <c r="C608" s="1189"/>
      <c r="D608" s="1189"/>
      <c r="E608" s="1189"/>
      <c r="F608" s="1189"/>
      <c r="G608" s="1189"/>
      <c r="H608" s="1189"/>
      <c r="I608" s="1189"/>
      <c r="J608" s="1189"/>
      <c r="K608" s="1189"/>
      <c r="L608" s="1189"/>
      <c r="M608" s="1189"/>
      <c r="N608" s="1189"/>
      <c r="O608" s="1189"/>
      <c r="P608" s="1189"/>
      <c r="Q608" s="1189"/>
      <c r="R608" s="1189"/>
      <c r="S608" s="1189"/>
      <c r="T608" s="1189"/>
      <c r="U608" s="1189"/>
      <c r="V608" s="1189"/>
      <c r="W608" s="1189"/>
      <c r="X608" s="1189"/>
      <c r="Y608" s="1189"/>
      <c r="Z608" s="1189"/>
    </row>
    <row r="609">
      <c r="A609" s="1189"/>
      <c r="B609" s="1189"/>
      <c r="C609" s="1189"/>
      <c r="D609" s="1189"/>
      <c r="E609" s="1189"/>
      <c r="F609" s="1189"/>
      <c r="G609" s="1189"/>
      <c r="H609" s="1189"/>
      <c r="I609" s="1189"/>
      <c r="J609" s="1189"/>
      <c r="K609" s="1189"/>
      <c r="L609" s="1189"/>
      <c r="M609" s="1189"/>
      <c r="N609" s="1189"/>
      <c r="O609" s="1189"/>
      <c r="P609" s="1189"/>
      <c r="Q609" s="1189"/>
      <c r="R609" s="1189"/>
      <c r="S609" s="1189"/>
      <c r="T609" s="1189"/>
      <c r="U609" s="1189"/>
      <c r="V609" s="1189"/>
      <c r="W609" s="1189"/>
      <c r="X609" s="1189"/>
      <c r="Y609" s="1189"/>
      <c r="Z609" s="1189"/>
    </row>
    <row r="610">
      <c r="A610" s="1189"/>
      <c r="B610" s="1189"/>
      <c r="C610" s="1189"/>
      <c r="D610" s="1189"/>
      <c r="E610" s="1189"/>
      <c r="F610" s="1189"/>
      <c r="G610" s="1189"/>
      <c r="H610" s="1189"/>
      <c r="I610" s="1189"/>
      <c r="J610" s="1189"/>
      <c r="K610" s="1189"/>
      <c r="L610" s="1189"/>
      <c r="M610" s="1189"/>
      <c r="N610" s="1189"/>
      <c r="O610" s="1189"/>
      <c r="P610" s="1189"/>
      <c r="Q610" s="1189"/>
      <c r="R610" s="1189"/>
      <c r="S610" s="1189"/>
      <c r="T610" s="1189"/>
      <c r="U610" s="1189"/>
      <c r="V610" s="1189"/>
      <c r="W610" s="1189"/>
      <c r="X610" s="1189"/>
      <c r="Y610" s="1189"/>
      <c r="Z610" s="1189"/>
    </row>
    <row r="611">
      <c r="A611" s="1189"/>
      <c r="B611" s="1189"/>
      <c r="C611" s="1189"/>
      <c r="D611" s="1189"/>
      <c r="E611" s="1189"/>
      <c r="F611" s="1189"/>
      <c r="G611" s="1189"/>
      <c r="H611" s="1189"/>
      <c r="I611" s="1189"/>
      <c r="J611" s="1189"/>
      <c r="K611" s="1189"/>
      <c r="L611" s="1189"/>
      <c r="M611" s="1189"/>
      <c r="N611" s="1189"/>
      <c r="O611" s="1189"/>
      <c r="P611" s="1189"/>
      <c r="Q611" s="1189"/>
      <c r="R611" s="1189"/>
      <c r="S611" s="1189"/>
      <c r="T611" s="1189"/>
      <c r="U611" s="1189"/>
      <c r="V611" s="1189"/>
      <c r="W611" s="1189"/>
      <c r="X611" s="1189"/>
      <c r="Y611" s="1189"/>
      <c r="Z611" s="1189"/>
    </row>
    <row r="612">
      <c r="A612" s="1189"/>
      <c r="B612" s="1189"/>
      <c r="C612" s="1189"/>
      <c r="D612" s="1189"/>
      <c r="E612" s="1189"/>
      <c r="F612" s="1189"/>
      <c r="G612" s="1189"/>
      <c r="H612" s="1189"/>
      <c r="I612" s="1189"/>
      <c r="J612" s="1189"/>
      <c r="K612" s="1189"/>
      <c r="L612" s="1189"/>
      <c r="M612" s="1189"/>
      <c r="N612" s="1189"/>
      <c r="O612" s="1189"/>
      <c r="P612" s="1189"/>
      <c r="Q612" s="1189"/>
      <c r="R612" s="1189"/>
      <c r="S612" s="1189"/>
      <c r="T612" s="1189"/>
      <c r="U612" s="1189"/>
      <c r="V612" s="1189"/>
      <c r="W612" s="1189"/>
      <c r="X612" s="1189"/>
      <c r="Y612" s="1189"/>
      <c r="Z612" s="1189"/>
    </row>
    <row r="613">
      <c r="A613" s="1189"/>
      <c r="B613" s="1189"/>
      <c r="C613" s="1189"/>
      <c r="D613" s="1189"/>
      <c r="E613" s="1189"/>
      <c r="F613" s="1189"/>
      <c r="G613" s="1189"/>
      <c r="H613" s="1189"/>
      <c r="I613" s="1189"/>
      <c r="J613" s="1189"/>
      <c r="K613" s="1189"/>
      <c r="L613" s="1189"/>
      <c r="M613" s="1189"/>
      <c r="N613" s="1189"/>
      <c r="O613" s="1189"/>
      <c r="P613" s="1189"/>
      <c r="Q613" s="1189"/>
      <c r="R613" s="1189"/>
      <c r="S613" s="1189"/>
      <c r="T613" s="1189"/>
      <c r="U613" s="1189"/>
      <c r="V613" s="1189"/>
      <c r="W613" s="1189"/>
      <c r="X613" s="1189"/>
      <c r="Y613" s="1189"/>
      <c r="Z613" s="1189"/>
    </row>
    <row r="614">
      <c r="A614" s="1189"/>
      <c r="B614" s="1189"/>
      <c r="C614" s="1189"/>
      <c r="D614" s="1189"/>
      <c r="E614" s="1189"/>
      <c r="F614" s="1189"/>
      <c r="G614" s="1189"/>
      <c r="H614" s="1189"/>
      <c r="I614" s="1189"/>
      <c r="J614" s="1189"/>
      <c r="K614" s="1189"/>
      <c r="L614" s="1189"/>
      <c r="M614" s="1189"/>
      <c r="N614" s="1189"/>
      <c r="O614" s="1189"/>
      <c r="P614" s="1189"/>
      <c r="Q614" s="1189"/>
      <c r="R614" s="1189"/>
      <c r="S614" s="1189"/>
      <c r="T614" s="1189"/>
      <c r="U614" s="1189"/>
      <c r="V614" s="1189"/>
      <c r="W614" s="1189"/>
      <c r="X614" s="1189"/>
      <c r="Y614" s="1189"/>
      <c r="Z614" s="1189"/>
    </row>
    <row r="615">
      <c r="A615" s="1189"/>
      <c r="B615" s="1189"/>
      <c r="C615" s="1189"/>
      <c r="D615" s="1189"/>
      <c r="E615" s="1189"/>
      <c r="F615" s="1189"/>
      <c r="G615" s="1189"/>
      <c r="H615" s="1189"/>
      <c r="I615" s="1189"/>
      <c r="J615" s="1189"/>
      <c r="K615" s="1189"/>
      <c r="L615" s="1189"/>
      <c r="M615" s="1189"/>
      <c r="N615" s="1189"/>
      <c r="O615" s="1189"/>
      <c r="P615" s="1189"/>
      <c r="Q615" s="1189"/>
      <c r="R615" s="1189"/>
      <c r="S615" s="1189"/>
      <c r="T615" s="1189"/>
      <c r="U615" s="1189"/>
      <c r="V615" s="1189"/>
      <c r="W615" s="1189"/>
      <c r="X615" s="1189"/>
      <c r="Y615" s="1189"/>
      <c r="Z615" s="1189"/>
    </row>
    <row r="616">
      <c r="A616" s="1189"/>
      <c r="B616" s="1189"/>
      <c r="C616" s="1189"/>
      <c r="D616" s="1189"/>
      <c r="E616" s="1189"/>
      <c r="F616" s="1189"/>
      <c r="G616" s="1189"/>
      <c r="H616" s="1189"/>
      <c r="I616" s="1189"/>
      <c r="J616" s="1189"/>
      <c r="K616" s="1189"/>
      <c r="L616" s="1189"/>
      <c r="M616" s="1189"/>
      <c r="N616" s="1189"/>
      <c r="O616" s="1189"/>
      <c r="P616" s="1189"/>
      <c r="Q616" s="1189"/>
      <c r="R616" s="1189"/>
      <c r="S616" s="1189"/>
      <c r="T616" s="1189"/>
      <c r="U616" s="1189"/>
      <c r="V616" s="1189"/>
      <c r="W616" s="1189"/>
      <c r="X616" s="1189"/>
      <c r="Y616" s="1189"/>
      <c r="Z616" s="1189"/>
    </row>
    <row r="617">
      <c r="A617" s="1189"/>
      <c r="B617" s="1189"/>
      <c r="C617" s="1189"/>
      <c r="D617" s="1189"/>
      <c r="E617" s="1189"/>
      <c r="F617" s="1189"/>
      <c r="G617" s="1189"/>
      <c r="H617" s="1189"/>
      <c r="I617" s="1189"/>
      <c r="J617" s="1189"/>
      <c r="K617" s="1189"/>
      <c r="L617" s="1189"/>
      <c r="M617" s="1189"/>
      <c r="N617" s="1189"/>
      <c r="O617" s="1189"/>
      <c r="P617" s="1189"/>
      <c r="Q617" s="1189"/>
      <c r="R617" s="1189"/>
      <c r="S617" s="1189"/>
      <c r="T617" s="1189"/>
      <c r="U617" s="1189"/>
      <c r="V617" s="1189"/>
      <c r="W617" s="1189"/>
      <c r="X617" s="1189"/>
      <c r="Y617" s="1189"/>
      <c r="Z617" s="1189"/>
    </row>
    <row r="618">
      <c r="A618" s="1189"/>
      <c r="B618" s="1189"/>
      <c r="C618" s="1189"/>
      <c r="D618" s="1189"/>
      <c r="E618" s="1189"/>
      <c r="F618" s="1189"/>
      <c r="G618" s="1189"/>
      <c r="H618" s="1189"/>
      <c r="I618" s="1189"/>
      <c r="J618" s="1189"/>
      <c r="K618" s="1189"/>
      <c r="L618" s="1189"/>
      <c r="M618" s="1189"/>
      <c r="N618" s="1189"/>
      <c r="O618" s="1189"/>
      <c r="P618" s="1189"/>
      <c r="Q618" s="1189"/>
      <c r="R618" s="1189"/>
      <c r="S618" s="1189"/>
      <c r="T618" s="1189"/>
      <c r="U618" s="1189"/>
      <c r="V618" s="1189"/>
      <c r="W618" s="1189"/>
      <c r="X618" s="1189"/>
      <c r="Y618" s="1189"/>
      <c r="Z618" s="1189"/>
    </row>
    <row r="619">
      <c r="A619" s="1189"/>
      <c r="B619" s="1189"/>
      <c r="C619" s="1189"/>
      <c r="D619" s="1189"/>
      <c r="E619" s="1189"/>
      <c r="F619" s="1189"/>
      <c r="G619" s="1189"/>
      <c r="H619" s="1189"/>
      <c r="I619" s="1189"/>
      <c r="J619" s="1189"/>
      <c r="K619" s="1189"/>
      <c r="L619" s="1189"/>
      <c r="M619" s="1189"/>
      <c r="N619" s="1189"/>
      <c r="O619" s="1189"/>
      <c r="P619" s="1189"/>
      <c r="Q619" s="1189"/>
      <c r="R619" s="1189"/>
      <c r="S619" s="1189"/>
      <c r="T619" s="1189"/>
      <c r="U619" s="1189"/>
      <c r="V619" s="1189"/>
      <c r="W619" s="1189"/>
      <c r="X619" s="1189"/>
      <c r="Y619" s="1189"/>
      <c r="Z619" s="1189"/>
    </row>
    <row r="620">
      <c r="A620" s="1189"/>
      <c r="B620" s="1189"/>
      <c r="C620" s="1189"/>
      <c r="D620" s="1189"/>
      <c r="E620" s="1189"/>
      <c r="F620" s="1189"/>
      <c r="G620" s="1189"/>
      <c r="H620" s="1189"/>
      <c r="I620" s="1189"/>
      <c r="J620" s="1189"/>
      <c r="K620" s="1189"/>
      <c r="L620" s="1189"/>
      <c r="M620" s="1189"/>
      <c r="N620" s="1189"/>
      <c r="O620" s="1189"/>
      <c r="P620" s="1189"/>
      <c r="Q620" s="1189"/>
      <c r="R620" s="1189"/>
      <c r="S620" s="1189"/>
      <c r="T620" s="1189"/>
      <c r="U620" s="1189"/>
      <c r="V620" s="1189"/>
      <c r="W620" s="1189"/>
      <c r="X620" s="1189"/>
      <c r="Y620" s="1189"/>
      <c r="Z620" s="1189"/>
    </row>
    <row r="621">
      <c r="A621" s="1189"/>
      <c r="B621" s="1189"/>
      <c r="C621" s="1189"/>
      <c r="D621" s="1189"/>
      <c r="E621" s="1189"/>
      <c r="F621" s="1189"/>
      <c r="G621" s="1189"/>
      <c r="H621" s="1189"/>
      <c r="I621" s="1189"/>
      <c r="J621" s="1189"/>
      <c r="K621" s="1189"/>
      <c r="L621" s="1189"/>
      <c r="M621" s="1189"/>
      <c r="N621" s="1189"/>
      <c r="O621" s="1189"/>
      <c r="P621" s="1189"/>
      <c r="Q621" s="1189"/>
      <c r="R621" s="1189"/>
      <c r="S621" s="1189"/>
      <c r="T621" s="1189"/>
      <c r="U621" s="1189"/>
      <c r="V621" s="1189"/>
      <c r="W621" s="1189"/>
      <c r="X621" s="1189"/>
      <c r="Y621" s="1189"/>
      <c r="Z621" s="1189"/>
    </row>
    <row r="622">
      <c r="A622" s="1189"/>
      <c r="B622" s="1189"/>
      <c r="C622" s="1189"/>
      <c r="D622" s="1189"/>
      <c r="E622" s="1189"/>
      <c r="F622" s="1189"/>
      <c r="G622" s="1189"/>
      <c r="H622" s="1189"/>
      <c r="I622" s="1189"/>
      <c r="J622" s="1189"/>
      <c r="K622" s="1189"/>
      <c r="L622" s="1189"/>
      <c r="M622" s="1189"/>
      <c r="N622" s="1189"/>
      <c r="O622" s="1189"/>
      <c r="P622" s="1189"/>
      <c r="Q622" s="1189"/>
      <c r="R622" s="1189"/>
      <c r="S622" s="1189"/>
      <c r="T622" s="1189"/>
      <c r="U622" s="1189"/>
      <c r="V622" s="1189"/>
      <c r="W622" s="1189"/>
      <c r="X622" s="1189"/>
      <c r="Y622" s="1189"/>
      <c r="Z622" s="1189"/>
    </row>
    <row r="623">
      <c r="A623" s="1189"/>
      <c r="B623" s="1189"/>
      <c r="C623" s="1189"/>
      <c r="D623" s="1189"/>
      <c r="E623" s="1189"/>
      <c r="F623" s="1189"/>
      <c r="G623" s="1189"/>
      <c r="H623" s="1189"/>
      <c r="I623" s="1189"/>
      <c r="J623" s="1189"/>
      <c r="K623" s="1189"/>
      <c r="L623" s="1189"/>
      <c r="M623" s="1189"/>
      <c r="N623" s="1189"/>
      <c r="O623" s="1189"/>
      <c r="P623" s="1189"/>
      <c r="Q623" s="1189"/>
      <c r="R623" s="1189"/>
      <c r="S623" s="1189"/>
      <c r="T623" s="1189"/>
      <c r="U623" s="1189"/>
      <c r="V623" s="1189"/>
      <c r="W623" s="1189"/>
      <c r="X623" s="1189"/>
      <c r="Y623" s="1189"/>
      <c r="Z623" s="1189"/>
    </row>
    <row r="624">
      <c r="A624" s="1189"/>
      <c r="B624" s="1189"/>
      <c r="C624" s="1189"/>
      <c r="D624" s="1189"/>
      <c r="E624" s="1189"/>
      <c r="F624" s="1189"/>
      <c r="G624" s="1189"/>
      <c r="H624" s="1189"/>
      <c r="I624" s="1189"/>
      <c r="J624" s="1189"/>
      <c r="K624" s="1189"/>
      <c r="L624" s="1189"/>
      <c r="M624" s="1189"/>
      <c r="N624" s="1189"/>
      <c r="O624" s="1189"/>
      <c r="P624" s="1189"/>
      <c r="Q624" s="1189"/>
      <c r="R624" s="1189"/>
      <c r="S624" s="1189"/>
      <c r="T624" s="1189"/>
      <c r="U624" s="1189"/>
      <c r="V624" s="1189"/>
      <c r="W624" s="1189"/>
      <c r="X624" s="1189"/>
      <c r="Y624" s="1189"/>
      <c r="Z624" s="1189"/>
    </row>
    <row r="625">
      <c r="A625" s="1189"/>
      <c r="B625" s="1189"/>
      <c r="C625" s="1189"/>
      <c r="D625" s="1189"/>
      <c r="E625" s="1189"/>
      <c r="F625" s="1189"/>
      <c r="G625" s="1189"/>
      <c r="H625" s="1189"/>
      <c r="I625" s="1189"/>
      <c r="J625" s="1189"/>
      <c r="K625" s="1189"/>
      <c r="L625" s="1189"/>
      <c r="M625" s="1189"/>
      <c r="N625" s="1189"/>
      <c r="O625" s="1189"/>
      <c r="P625" s="1189"/>
      <c r="Q625" s="1189"/>
      <c r="R625" s="1189"/>
      <c r="S625" s="1189"/>
      <c r="T625" s="1189"/>
      <c r="U625" s="1189"/>
      <c r="V625" s="1189"/>
      <c r="W625" s="1189"/>
      <c r="X625" s="1189"/>
      <c r="Y625" s="1189"/>
      <c r="Z625" s="1189"/>
    </row>
    <row r="626">
      <c r="A626" s="1189"/>
      <c r="B626" s="1189"/>
      <c r="C626" s="1189"/>
      <c r="D626" s="1189"/>
      <c r="E626" s="1189"/>
      <c r="F626" s="1189"/>
      <c r="G626" s="1189"/>
      <c r="H626" s="1189"/>
      <c r="I626" s="1189"/>
      <c r="J626" s="1189"/>
      <c r="K626" s="1189"/>
      <c r="L626" s="1189"/>
      <c r="M626" s="1189"/>
      <c r="N626" s="1189"/>
      <c r="O626" s="1189"/>
      <c r="P626" s="1189"/>
      <c r="Q626" s="1189"/>
      <c r="R626" s="1189"/>
      <c r="S626" s="1189"/>
      <c r="T626" s="1189"/>
      <c r="U626" s="1189"/>
      <c r="V626" s="1189"/>
      <c r="W626" s="1189"/>
      <c r="X626" s="1189"/>
      <c r="Y626" s="1189"/>
      <c r="Z626" s="1189"/>
    </row>
    <row r="627">
      <c r="A627" s="1189"/>
      <c r="B627" s="1189"/>
      <c r="C627" s="1189"/>
      <c r="D627" s="1189"/>
      <c r="E627" s="1189"/>
      <c r="F627" s="1189"/>
      <c r="G627" s="1189"/>
      <c r="H627" s="1189"/>
      <c r="I627" s="1189"/>
      <c r="J627" s="1189"/>
      <c r="K627" s="1189"/>
      <c r="L627" s="1189"/>
      <c r="M627" s="1189"/>
      <c r="N627" s="1189"/>
      <c r="O627" s="1189"/>
      <c r="P627" s="1189"/>
      <c r="Q627" s="1189"/>
      <c r="R627" s="1189"/>
      <c r="S627" s="1189"/>
      <c r="T627" s="1189"/>
      <c r="U627" s="1189"/>
      <c r="V627" s="1189"/>
      <c r="W627" s="1189"/>
      <c r="X627" s="1189"/>
      <c r="Y627" s="1189"/>
      <c r="Z627" s="1189"/>
    </row>
    <row r="628">
      <c r="A628" s="1189"/>
      <c r="B628" s="1189"/>
      <c r="C628" s="1189"/>
      <c r="D628" s="1189"/>
      <c r="E628" s="1189"/>
      <c r="F628" s="1189"/>
      <c r="G628" s="1189"/>
      <c r="H628" s="1189"/>
      <c r="I628" s="1189"/>
      <c r="J628" s="1189"/>
      <c r="K628" s="1189"/>
      <c r="L628" s="1189"/>
      <c r="M628" s="1189"/>
      <c r="N628" s="1189"/>
      <c r="O628" s="1189"/>
      <c r="P628" s="1189"/>
      <c r="Q628" s="1189"/>
      <c r="R628" s="1189"/>
      <c r="S628" s="1189"/>
      <c r="T628" s="1189"/>
      <c r="U628" s="1189"/>
      <c r="V628" s="1189"/>
      <c r="W628" s="1189"/>
      <c r="X628" s="1189"/>
      <c r="Y628" s="1189"/>
      <c r="Z628" s="1189"/>
    </row>
    <row r="629">
      <c r="A629" s="1189"/>
      <c r="B629" s="1189"/>
      <c r="C629" s="1189"/>
      <c r="D629" s="1189"/>
      <c r="E629" s="1189"/>
      <c r="F629" s="1189"/>
      <c r="G629" s="1189"/>
      <c r="H629" s="1189"/>
      <c r="I629" s="1189"/>
      <c r="J629" s="1189"/>
      <c r="K629" s="1189"/>
      <c r="L629" s="1189"/>
      <c r="M629" s="1189"/>
      <c r="N629" s="1189"/>
      <c r="O629" s="1189"/>
      <c r="P629" s="1189"/>
      <c r="Q629" s="1189"/>
      <c r="R629" s="1189"/>
      <c r="S629" s="1189"/>
      <c r="T629" s="1189"/>
      <c r="U629" s="1189"/>
      <c r="V629" s="1189"/>
      <c r="W629" s="1189"/>
      <c r="X629" s="1189"/>
      <c r="Y629" s="1189"/>
      <c r="Z629" s="1189"/>
    </row>
    <row r="630">
      <c r="A630" s="1189"/>
      <c r="B630" s="1189"/>
      <c r="C630" s="1189"/>
      <c r="D630" s="1189"/>
      <c r="E630" s="1189"/>
      <c r="F630" s="1189"/>
      <c r="G630" s="1189"/>
      <c r="H630" s="1189"/>
      <c r="I630" s="1189"/>
      <c r="J630" s="1189"/>
      <c r="K630" s="1189"/>
      <c r="L630" s="1189"/>
      <c r="M630" s="1189"/>
      <c r="N630" s="1189"/>
      <c r="O630" s="1189"/>
      <c r="P630" s="1189"/>
      <c r="Q630" s="1189"/>
      <c r="R630" s="1189"/>
      <c r="S630" s="1189"/>
      <c r="T630" s="1189"/>
      <c r="U630" s="1189"/>
      <c r="V630" s="1189"/>
      <c r="W630" s="1189"/>
      <c r="X630" s="1189"/>
      <c r="Y630" s="1189"/>
      <c r="Z630" s="1189"/>
    </row>
    <row r="631">
      <c r="A631" s="1189"/>
      <c r="B631" s="1189"/>
      <c r="C631" s="1189"/>
      <c r="D631" s="1189"/>
      <c r="E631" s="1189"/>
      <c r="F631" s="1189"/>
      <c r="G631" s="1189"/>
      <c r="H631" s="1189"/>
      <c r="I631" s="1189"/>
      <c r="J631" s="1189"/>
      <c r="K631" s="1189"/>
      <c r="L631" s="1189"/>
      <c r="M631" s="1189"/>
      <c r="N631" s="1189"/>
      <c r="O631" s="1189"/>
      <c r="P631" s="1189"/>
      <c r="Q631" s="1189"/>
      <c r="R631" s="1189"/>
      <c r="S631" s="1189"/>
      <c r="T631" s="1189"/>
      <c r="U631" s="1189"/>
      <c r="V631" s="1189"/>
      <c r="W631" s="1189"/>
      <c r="X631" s="1189"/>
      <c r="Y631" s="1189"/>
      <c r="Z631" s="1189"/>
    </row>
    <row r="632">
      <c r="A632" s="1189"/>
      <c r="B632" s="1189"/>
      <c r="C632" s="1189"/>
      <c r="D632" s="1189"/>
      <c r="E632" s="1189"/>
      <c r="F632" s="1189"/>
      <c r="G632" s="1189"/>
      <c r="H632" s="1189"/>
      <c r="I632" s="1189"/>
      <c r="J632" s="1189"/>
      <c r="K632" s="1189"/>
      <c r="L632" s="1189"/>
      <c r="M632" s="1189"/>
      <c r="N632" s="1189"/>
      <c r="O632" s="1189"/>
      <c r="P632" s="1189"/>
      <c r="Q632" s="1189"/>
      <c r="R632" s="1189"/>
      <c r="S632" s="1189"/>
      <c r="T632" s="1189"/>
      <c r="U632" s="1189"/>
      <c r="V632" s="1189"/>
      <c r="W632" s="1189"/>
      <c r="X632" s="1189"/>
      <c r="Y632" s="1189"/>
      <c r="Z632" s="1189"/>
    </row>
    <row r="633">
      <c r="A633" s="1189"/>
      <c r="B633" s="1189"/>
      <c r="C633" s="1189"/>
      <c r="D633" s="1189"/>
      <c r="E633" s="1189"/>
      <c r="F633" s="1189"/>
      <c r="G633" s="1189"/>
      <c r="H633" s="1189"/>
      <c r="I633" s="1189"/>
      <c r="J633" s="1189"/>
      <c r="K633" s="1189"/>
      <c r="L633" s="1189"/>
      <c r="M633" s="1189"/>
      <c r="N633" s="1189"/>
      <c r="O633" s="1189"/>
      <c r="P633" s="1189"/>
      <c r="Q633" s="1189"/>
      <c r="R633" s="1189"/>
      <c r="S633" s="1189"/>
      <c r="T633" s="1189"/>
      <c r="U633" s="1189"/>
      <c r="V633" s="1189"/>
      <c r="W633" s="1189"/>
      <c r="X633" s="1189"/>
      <c r="Y633" s="1189"/>
      <c r="Z633" s="1189"/>
    </row>
    <row r="634">
      <c r="A634" s="1189"/>
      <c r="B634" s="1189"/>
      <c r="C634" s="1189"/>
      <c r="D634" s="1189"/>
      <c r="E634" s="1189"/>
      <c r="F634" s="1189"/>
      <c r="G634" s="1189"/>
      <c r="H634" s="1189"/>
      <c r="I634" s="1189"/>
      <c r="J634" s="1189"/>
      <c r="K634" s="1189"/>
      <c r="L634" s="1189"/>
      <c r="M634" s="1189"/>
      <c r="N634" s="1189"/>
      <c r="O634" s="1189"/>
      <c r="P634" s="1189"/>
      <c r="Q634" s="1189"/>
      <c r="R634" s="1189"/>
      <c r="S634" s="1189"/>
      <c r="T634" s="1189"/>
      <c r="U634" s="1189"/>
      <c r="V634" s="1189"/>
      <c r="W634" s="1189"/>
      <c r="X634" s="1189"/>
      <c r="Y634" s="1189"/>
      <c r="Z634" s="1189"/>
    </row>
    <row r="635">
      <c r="A635" s="1189"/>
      <c r="B635" s="1189"/>
      <c r="C635" s="1189"/>
      <c r="D635" s="1189"/>
      <c r="E635" s="1189"/>
      <c r="F635" s="1189"/>
      <c r="G635" s="1189"/>
      <c r="H635" s="1189"/>
      <c r="I635" s="1189"/>
      <c r="J635" s="1189"/>
      <c r="K635" s="1189"/>
      <c r="L635" s="1189"/>
      <c r="M635" s="1189"/>
      <c r="N635" s="1189"/>
      <c r="O635" s="1189"/>
      <c r="P635" s="1189"/>
      <c r="Q635" s="1189"/>
      <c r="R635" s="1189"/>
      <c r="S635" s="1189"/>
      <c r="T635" s="1189"/>
      <c r="U635" s="1189"/>
      <c r="V635" s="1189"/>
      <c r="W635" s="1189"/>
      <c r="X635" s="1189"/>
      <c r="Y635" s="1189"/>
      <c r="Z635" s="1189"/>
    </row>
    <row r="636">
      <c r="A636" s="1189"/>
      <c r="B636" s="1189"/>
      <c r="C636" s="1189"/>
      <c r="D636" s="1189"/>
      <c r="E636" s="1189"/>
      <c r="F636" s="1189"/>
      <c r="G636" s="1189"/>
      <c r="H636" s="1189"/>
      <c r="I636" s="1189"/>
      <c r="J636" s="1189"/>
      <c r="K636" s="1189"/>
      <c r="L636" s="1189"/>
      <c r="M636" s="1189"/>
      <c r="N636" s="1189"/>
      <c r="O636" s="1189"/>
      <c r="P636" s="1189"/>
      <c r="Q636" s="1189"/>
      <c r="R636" s="1189"/>
      <c r="S636" s="1189"/>
      <c r="T636" s="1189"/>
      <c r="U636" s="1189"/>
      <c r="V636" s="1189"/>
      <c r="W636" s="1189"/>
      <c r="X636" s="1189"/>
      <c r="Y636" s="1189"/>
      <c r="Z636" s="1189"/>
    </row>
    <row r="637">
      <c r="A637" s="1189"/>
      <c r="B637" s="1189"/>
      <c r="C637" s="1189"/>
      <c r="D637" s="1189"/>
      <c r="E637" s="1189"/>
      <c r="F637" s="1189"/>
      <c r="G637" s="1189"/>
      <c r="H637" s="1189"/>
      <c r="I637" s="1189"/>
      <c r="J637" s="1189"/>
      <c r="K637" s="1189"/>
      <c r="L637" s="1189"/>
      <c r="M637" s="1189"/>
      <c r="N637" s="1189"/>
      <c r="O637" s="1189"/>
      <c r="P637" s="1189"/>
      <c r="Q637" s="1189"/>
      <c r="R637" s="1189"/>
      <c r="S637" s="1189"/>
      <c r="T637" s="1189"/>
      <c r="U637" s="1189"/>
      <c r="V637" s="1189"/>
      <c r="W637" s="1189"/>
      <c r="X637" s="1189"/>
      <c r="Y637" s="1189"/>
      <c r="Z637" s="1189"/>
    </row>
    <row r="638">
      <c r="A638" s="1189"/>
      <c r="B638" s="1189"/>
      <c r="C638" s="1189"/>
      <c r="D638" s="1189"/>
      <c r="E638" s="1189"/>
      <c r="F638" s="1189"/>
      <c r="G638" s="1189"/>
      <c r="H638" s="1189"/>
      <c r="I638" s="1189"/>
      <c r="J638" s="1189"/>
      <c r="K638" s="1189"/>
      <c r="L638" s="1189"/>
      <c r="M638" s="1189"/>
      <c r="N638" s="1189"/>
      <c r="O638" s="1189"/>
      <c r="P638" s="1189"/>
      <c r="Q638" s="1189"/>
      <c r="R638" s="1189"/>
      <c r="S638" s="1189"/>
      <c r="T638" s="1189"/>
      <c r="U638" s="1189"/>
      <c r="V638" s="1189"/>
      <c r="W638" s="1189"/>
      <c r="X638" s="1189"/>
      <c r="Y638" s="1189"/>
      <c r="Z638" s="1189"/>
    </row>
    <row r="639">
      <c r="A639" s="1189"/>
      <c r="B639" s="1189"/>
      <c r="C639" s="1189"/>
      <c r="D639" s="1189"/>
      <c r="E639" s="1189"/>
      <c r="F639" s="1189"/>
      <c r="G639" s="1189"/>
      <c r="H639" s="1189"/>
      <c r="I639" s="1189"/>
      <c r="J639" s="1189"/>
      <c r="K639" s="1189"/>
      <c r="L639" s="1189"/>
      <c r="M639" s="1189"/>
      <c r="N639" s="1189"/>
      <c r="O639" s="1189"/>
      <c r="P639" s="1189"/>
      <c r="Q639" s="1189"/>
      <c r="R639" s="1189"/>
      <c r="S639" s="1189"/>
      <c r="T639" s="1189"/>
      <c r="U639" s="1189"/>
      <c r="V639" s="1189"/>
      <c r="W639" s="1189"/>
      <c r="X639" s="1189"/>
      <c r="Y639" s="1189"/>
      <c r="Z639" s="1189"/>
    </row>
    <row r="640">
      <c r="A640" s="1189"/>
      <c r="B640" s="1189"/>
      <c r="C640" s="1189"/>
      <c r="D640" s="1189"/>
      <c r="E640" s="1189"/>
      <c r="F640" s="1189"/>
      <c r="G640" s="1189"/>
      <c r="H640" s="1189"/>
      <c r="I640" s="1189"/>
      <c r="J640" s="1189"/>
      <c r="K640" s="1189"/>
      <c r="L640" s="1189"/>
      <c r="M640" s="1189"/>
      <c r="N640" s="1189"/>
      <c r="O640" s="1189"/>
      <c r="P640" s="1189"/>
      <c r="Q640" s="1189"/>
      <c r="R640" s="1189"/>
      <c r="S640" s="1189"/>
      <c r="T640" s="1189"/>
      <c r="U640" s="1189"/>
      <c r="V640" s="1189"/>
      <c r="W640" s="1189"/>
      <c r="X640" s="1189"/>
      <c r="Y640" s="1189"/>
      <c r="Z640" s="1189"/>
    </row>
    <row r="641">
      <c r="A641" s="1189"/>
      <c r="B641" s="1189"/>
      <c r="C641" s="1189"/>
      <c r="D641" s="1189"/>
      <c r="E641" s="1189"/>
      <c r="F641" s="1189"/>
      <c r="G641" s="1189"/>
      <c r="H641" s="1189"/>
      <c r="I641" s="1189"/>
      <c r="J641" s="1189"/>
      <c r="K641" s="1189"/>
      <c r="L641" s="1189"/>
      <c r="M641" s="1189"/>
      <c r="N641" s="1189"/>
      <c r="O641" s="1189"/>
      <c r="P641" s="1189"/>
      <c r="Q641" s="1189"/>
      <c r="R641" s="1189"/>
      <c r="S641" s="1189"/>
      <c r="T641" s="1189"/>
      <c r="U641" s="1189"/>
      <c r="V641" s="1189"/>
      <c r="W641" s="1189"/>
      <c r="X641" s="1189"/>
      <c r="Y641" s="1189"/>
      <c r="Z641" s="1189"/>
    </row>
    <row r="642">
      <c r="A642" s="1189"/>
      <c r="B642" s="1189"/>
      <c r="C642" s="1189"/>
      <c r="D642" s="1189"/>
      <c r="E642" s="1189"/>
      <c r="F642" s="1189"/>
      <c r="G642" s="1189"/>
      <c r="H642" s="1189"/>
      <c r="I642" s="1189"/>
      <c r="J642" s="1189"/>
      <c r="K642" s="1189"/>
      <c r="L642" s="1189"/>
      <c r="M642" s="1189"/>
      <c r="N642" s="1189"/>
      <c r="O642" s="1189"/>
      <c r="P642" s="1189"/>
      <c r="Q642" s="1189"/>
      <c r="R642" s="1189"/>
      <c r="S642" s="1189"/>
      <c r="T642" s="1189"/>
      <c r="U642" s="1189"/>
      <c r="V642" s="1189"/>
      <c r="W642" s="1189"/>
      <c r="X642" s="1189"/>
      <c r="Y642" s="1189"/>
      <c r="Z642" s="1189"/>
    </row>
    <row r="643">
      <c r="A643" s="1189"/>
      <c r="B643" s="1189"/>
      <c r="C643" s="1189"/>
      <c r="D643" s="1189"/>
      <c r="E643" s="1189"/>
      <c r="F643" s="1189"/>
      <c r="G643" s="1189"/>
      <c r="H643" s="1189"/>
      <c r="I643" s="1189"/>
      <c r="J643" s="1189"/>
      <c r="K643" s="1189"/>
      <c r="L643" s="1189"/>
      <c r="M643" s="1189"/>
      <c r="N643" s="1189"/>
      <c r="O643" s="1189"/>
      <c r="P643" s="1189"/>
      <c r="Q643" s="1189"/>
      <c r="R643" s="1189"/>
      <c r="S643" s="1189"/>
      <c r="T643" s="1189"/>
      <c r="U643" s="1189"/>
      <c r="V643" s="1189"/>
      <c r="W643" s="1189"/>
      <c r="X643" s="1189"/>
      <c r="Y643" s="1189"/>
      <c r="Z643" s="1189"/>
    </row>
    <row r="644">
      <c r="A644" s="1189"/>
      <c r="B644" s="1189"/>
      <c r="C644" s="1189"/>
      <c r="D644" s="1189"/>
      <c r="E644" s="1189"/>
      <c r="F644" s="1189"/>
      <c r="G644" s="1189"/>
      <c r="H644" s="1189"/>
      <c r="I644" s="1189"/>
      <c r="J644" s="1189"/>
      <c r="K644" s="1189"/>
      <c r="L644" s="1189"/>
      <c r="M644" s="1189"/>
      <c r="N644" s="1189"/>
      <c r="O644" s="1189"/>
      <c r="P644" s="1189"/>
      <c r="Q644" s="1189"/>
      <c r="R644" s="1189"/>
      <c r="S644" s="1189"/>
      <c r="T644" s="1189"/>
      <c r="U644" s="1189"/>
      <c r="V644" s="1189"/>
      <c r="W644" s="1189"/>
      <c r="X644" s="1189"/>
      <c r="Y644" s="1189"/>
      <c r="Z644" s="1189"/>
    </row>
    <row r="645">
      <c r="A645" s="1189"/>
      <c r="B645" s="1189"/>
      <c r="C645" s="1189"/>
      <c r="D645" s="1189"/>
      <c r="E645" s="1189"/>
      <c r="F645" s="1189"/>
      <c r="G645" s="1189"/>
      <c r="H645" s="1189"/>
      <c r="I645" s="1189"/>
      <c r="J645" s="1189"/>
      <c r="K645" s="1189"/>
      <c r="L645" s="1189"/>
      <c r="M645" s="1189"/>
      <c r="N645" s="1189"/>
      <c r="O645" s="1189"/>
      <c r="P645" s="1189"/>
      <c r="Q645" s="1189"/>
      <c r="R645" s="1189"/>
      <c r="S645" s="1189"/>
      <c r="T645" s="1189"/>
      <c r="U645" s="1189"/>
      <c r="V645" s="1189"/>
      <c r="W645" s="1189"/>
      <c r="X645" s="1189"/>
      <c r="Y645" s="1189"/>
      <c r="Z645" s="1189"/>
    </row>
    <row r="646">
      <c r="A646" s="1189"/>
      <c r="B646" s="1189"/>
      <c r="C646" s="1189"/>
      <c r="D646" s="1189"/>
      <c r="E646" s="1189"/>
      <c r="F646" s="1189"/>
      <c r="G646" s="1189"/>
      <c r="H646" s="1189"/>
      <c r="I646" s="1189"/>
      <c r="J646" s="1189"/>
      <c r="K646" s="1189"/>
      <c r="L646" s="1189"/>
      <c r="M646" s="1189"/>
      <c r="N646" s="1189"/>
      <c r="O646" s="1189"/>
      <c r="P646" s="1189"/>
      <c r="Q646" s="1189"/>
      <c r="R646" s="1189"/>
      <c r="S646" s="1189"/>
      <c r="T646" s="1189"/>
      <c r="U646" s="1189"/>
      <c r="V646" s="1189"/>
      <c r="W646" s="1189"/>
      <c r="X646" s="1189"/>
      <c r="Y646" s="1189"/>
      <c r="Z646" s="1189"/>
    </row>
    <row r="647">
      <c r="A647" s="1189"/>
      <c r="B647" s="1189"/>
      <c r="C647" s="1189"/>
      <c r="D647" s="1189"/>
      <c r="E647" s="1189"/>
      <c r="F647" s="1189"/>
      <c r="G647" s="1189"/>
      <c r="H647" s="1189"/>
      <c r="I647" s="1189"/>
      <c r="J647" s="1189"/>
      <c r="K647" s="1189"/>
      <c r="L647" s="1189"/>
      <c r="M647" s="1189"/>
      <c r="N647" s="1189"/>
      <c r="O647" s="1189"/>
      <c r="P647" s="1189"/>
      <c r="Q647" s="1189"/>
      <c r="R647" s="1189"/>
      <c r="S647" s="1189"/>
      <c r="T647" s="1189"/>
      <c r="U647" s="1189"/>
      <c r="V647" s="1189"/>
      <c r="W647" s="1189"/>
      <c r="X647" s="1189"/>
      <c r="Y647" s="1189"/>
      <c r="Z647" s="1189"/>
    </row>
    <row r="648">
      <c r="A648" s="1189"/>
      <c r="B648" s="1189"/>
      <c r="C648" s="1189"/>
      <c r="D648" s="1189"/>
      <c r="E648" s="1189"/>
      <c r="F648" s="1189"/>
      <c r="G648" s="1189"/>
      <c r="H648" s="1189"/>
      <c r="I648" s="1189"/>
      <c r="J648" s="1189"/>
      <c r="K648" s="1189"/>
      <c r="L648" s="1189"/>
      <c r="M648" s="1189"/>
      <c r="N648" s="1189"/>
      <c r="O648" s="1189"/>
      <c r="P648" s="1189"/>
      <c r="Q648" s="1189"/>
      <c r="R648" s="1189"/>
      <c r="S648" s="1189"/>
      <c r="T648" s="1189"/>
      <c r="U648" s="1189"/>
      <c r="V648" s="1189"/>
      <c r="W648" s="1189"/>
      <c r="X648" s="1189"/>
      <c r="Y648" s="1189"/>
      <c r="Z648" s="1189"/>
    </row>
    <row r="649">
      <c r="A649" s="1189"/>
      <c r="B649" s="1189"/>
      <c r="C649" s="1189"/>
      <c r="D649" s="1189"/>
      <c r="E649" s="1189"/>
      <c r="F649" s="1189"/>
      <c r="G649" s="1189"/>
      <c r="H649" s="1189"/>
      <c r="I649" s="1189"/>
      <c r="J649" s="1189"/>
      <c r="K649" s="1189"/>
      <c r="L649" s="1189"/>
      <c r="M649" s="1189"/>
      <c r="N649" s="1189"/>
      <c r="O649" s="1189"/>
      <c r="P649" s="1189"/>
      <c r="Q649" s="1189"/>
      <c r="R649" s="1189"/>
      <c r="S649" s="1189"/>
      <c r="T649" s="1189"/>
      <c r="U649" s="1189"/>
      <c r="V649" s="1189"/>
      <c r="W649" s="1189"/>
      <c r="X649" s="1189"/>
      <c r="Y649" s="1189"/>
      <c r="Z649" s="1189"/>
    </row>
    <row r="650">
      <c r="A650" s="1189"/>
      <c r="B650" s="1189"/>
      <c r="C650" s="1189"/>
      <c r="D650" s="1189"/>
      <c r="E650" s="1189"/>
      <c r="F650" s="1189"/>
      <c r="G650" s="1189"/>
      <c r="H650" s="1189"/>
      <c r="I650" s="1189"/>
      <c r="J650" s="1189"/>
      <c r="K650" s="1189"/>
      <c r="L650" s="1189"/>
      <c r="M650" s="1189"/>
      <c r="N650" s="1189"/>
      <c r="O650" s="1189"/>
      <c r="P650" s="1189"/>
      <c r="Q650" s="1189"/>
      <c r="R650" s="1189"/>
      <c r="S650" s="1189"/>
      <c r="T650" s="1189"/>
      <c r="U650" s="1189"/>
      <c r="V650" s="1189"/>
      <c r="W650" s="1189"/>
      <c r="X650" s="1189"/>
      <c r="Y650" s="1189"/>
      <c r="Z650" s="1189"/>
    </row>
    <row r="651">
      <c r="A651" s="1189"/>
      <c r="B651" s="1189"/>
      <c r="C651" s="1189"/>
      <c r="D651" s="1189"/>
      <c r="E651" s="1189"/>
      <c r="F651" s="1189"/>
      <c r="G651" s="1189"/>
      <c r="H651" s="1189"/>
      <c r="I651" s="1189"/>
      <c r="J651" s="1189"/>
      <c r="K651" s="1189"/>
      <c r="L651" s="1189"/>
      <c r="M651" s="1189"/>
      <c r="N651" s="1189"/>
      <c r="O651" s="1189"/>
      <c r="P651" s="1189"/>
      <c r="Q651" s="1189"/>
      <c r="R651" s="1189"/>
      <c r="S651" s="1189"/>
      <c r="T651" s="1189"/>
      <c r="U651" s="1189"/>
      <c r="V651" s="1189"/>
      <c r="W651" s="1189"/>
      <c r="X651" s="1189"/>
      <c r="Y651" s="1189"/>
      <c r="Z651" s="1189"/>
    </row>
    <row r="652">
      <c r="A652" s="1189"/>
      <c r="B652" s="1189"/>
      <c r="C652" s="1189"/>
      <c r="D652" s="1189"/>
      <c r="E652" s="1189"/>
      <c r="F652" s="1189"/>
      <c r="G652" s="1189"/>
      <c r="H652" s="1189"/>
      <c r="I652" s="1189"/>
      <c r="J652" s="1189"/>
      <c r="K652" s="1189"/>
      <c r="L652" s="1189"/>
      <c r="M652" s="1189"/>
      <c r="N652" s="1189"/>
      <c r="O652" s="1189"/>
      <c r="P652" s="1189"/>
      <c r="Q652" s="1189"/>
      <c r="R652" s="1189"/>
      <c r="S652" s="1189"/>
      <c r="T652" s="1189"/>
      <c r="U652" s="1189"/>
      <c r="V652" s="1189"/>
      <c r="W652" s="1189"/>
      <c r="X652" s="1189"/>
      <c r="Y652" s="1189"/>
      <c r="Z652" s="1189"/>
    </row>
    <row r="653">
      <c r="A653" s="1189"/>
      <c r="B653" s="1189"/>
      <c r="C653" s="1189"/>
      <c r="D653" s="1189"/>
      <c r="E653" s="1189"/>
      <c r="F653" s="1189"/>
      <c r="G653" s="1189"/>
      <c r="H653" s="1189"/>
      <c r="I653" s="1189"/>
      <c r="J653" s="1189"/>
      <c r="K653" s="1189"/>
      <c r="L653" s="1189"/>
      <c r="M653" s="1189"/>
      <c r="N653" s="1189"/>
      <c r="O653" s="1189"/>
      <c r="P653" s="1189"/>
      <c r="Q653" s="1189"/>
      <c r="R653" s="1189"/>
      <c r="S653" s="1189"/>
      <c r="T653" s="1189"/>
      <c r="U653" s="1189"/>
      <c r="V653" s="1189"/>
      <c r="W653" s="1189"/>
      <c r="X653" s="1189"/>
      <c r="Y653" s="1189"/>
      <c r="Z653" s="1189"/>
    </row>
    <row r="654">
      <c r="A654" s="1189"/>
      <c r="B654" s="1189"/>
      <c r="C654" s="1189"/>
      <c r="D654" s="1189"/>
      <c r="E654" s="1189"/>
      <c r="F654" s="1189"/>
      <c r="G654" s="1189"/>
      <c r="H654" s="1189"/>
      <c r="I654" s="1189"/>
      <c r="J654" s="1189"/>
      <c r="K654" s="1189"/>
      <c r="L654" s="1189"/>
      <c r="M654" s="1189"/>
      <c r="N654" s="1189"/>
      <c r="O654" s="1189"/>
      <c r="P654" s="1189"/>
      <c r="Q654" s="1189"/>
      <c r="R654" s="1189"/>
      <c r="S654" s="1189"/>
      <c r="T654" s="1189"/>
      <c r="U654" s="1189"/>
      <c r="V654" s="1189"/>
      <c r="W654" s="1189"/>
      <c r="X654" s="1189"/>
      <c r="Y654" s="1189"/>
      <c r="Z654" s="1189"/>
    </row>
    <row r="655">
      <c r="A655" s="1189"/>
      <c r="B655" s="1189"/>
      <c r="C655" s="1189"/>
      <c r="D655" s="1189"/>
      <c r="E655" s="1189"/>
      <c r="F655" s="1189"/>
      <c r="G655" s="1189"/>
      <c r="H655" s="1189"/>
      <c r="I655" s="1189"/>
      <c r="J655" s="1189"/>
      <c r="K655" s="1189"/>
      <c r="L655" s="1189"/>
      <c r="M655" s="1189"/>
      <c r="N655" s="1189"/>
      <c r="O655" s="1189"/>
      <c r="P655" s="1189"/>
      <c r="Q655" s="1189"/>
      <c r="R655" s="1189"/>
      <c r="S655" s="1189"/>
      <c r="T655" s="1189"/>
      <c r="U655" s="1189"/>
      <c r="V655" s="1189"/>
      <c r="W655" s="1189"/>
      <c r="X655" s="1189"/>
      <c r="Y655" s="1189"/>
      <c r="Z655" s="1189"/>
    </row>
    <row r="656">
      <c r="A656" s="1189"/>
      <c r="B656" s="1189"/>
      <c r="C656" s="1189"/>
      <c r="D656" s="1189"/>
      <c r="E656" s="1189"/>
      <c r="F656" s="1189"/>
      <c r="G656" s="1189"/>
      <c r="H656" s="1189"/>
      <c r="I656" s="1189"/>
      <c r="J656" s="1189"/>
      <c r="K656" s="1189"/>
      <c r="L656" s="1189"/>
      <c r="M656" s="1189"/>
      <c r="N656" s="1189"/>
      <c r="O656" s="1189"/>
      <c r="P656" s="1189"/>
      <c r="Q656" s="1189"/>
      <c r="R656" s="1189"/>
      <c r="S656" s="1189"/>
      <c r="T656" s="1189"/>
      <c r="U656" s="1189"/>
      <c r="V656" s="1189"/>
      <c r="W656" s="1189"/>
      <c r="X656" s="1189"/>
      <c r="Y656" s="1189"/>
      <c r="Z656" s="1189"/>
    </row>
    <row r="657">
      <c r="A657" s="1189"/>
      <c r="B657" s="1189"/>
      <c r="C657" s="1189"/>
      <c r="D657" s="1189"/>
      <c r="E657" s="1189"/>
      <c r="F657" s="1189"/>
      <c r="G657" s="1189"/>
      <c r="H657" s="1189"/>
      <c r="I657" s="1189"/>
      <c r="J657" s="1189"/>
      <c r="K657" s="1189"/>
      <c r="L657" s="1189"/>
      <c r="M657" s="1189"/>
      <c r="N657" s="1189"/>
      <c r="O657" s="1189"/>
      <c r="P657" s="1189"/>
      <c r="Q657" s="1189"/>
      <c r="R657" s="1189"/>
      <c r="S657" s="1189"/>
      <c r="T657" s="1189"/>
      <c r="U657" s="1189"/>
      <c r="V657" s="1189"/>
      <c r="W657" s="1189"/>
      <c r="X657" s="1189"/>
      <c r="Y657" s="1189"/>
      <c r="Z657" s="1189"/>
    </row>
    <row r="658">
      <c r="A658" s="1189"/>
      <c r="B658" s="1189"/>
      <c r="C658" s="1189"/>
      <c r="D658" s="1189"/>
      <c r="E658" s="1189"/>
      <c r="F658" s="1189"/>
      <c r="G658" s="1189"/>
      <c r="H658" s="1189"/>
      <c r="I658" s="1189"/>
      <c r="J658" s="1189"/>
      <c r="K658" s="1189"/>
      <c r="L658" s="1189"/>
      <c r="M658" s="1189"/>
      <c r="N658" s="1189"/>
      <c r="O658" s="1189"/>
      <c r="P658" s="1189"/>
      <c r="Q658" s="1189"/>
      <c r="R658" s="1189"/>
      <c r="S658" s="1189"/>
      <c r="T658" s="1189"/>
      <c r="U658" s="1189"/>
      <c r="V658" s="1189"/>
      <c r="W658" s="1189"/>
      <c r="X658" s="1189"/>
      <c r="Y658" s="1189"/>
      <c r="Z658" s="1189"/>
    </row>
    <row r="659">
      <c r="A659" s="1189"/>
      <c r="B659" s="1189"/>
      <c r="C659" s="1189"/>
      <c r="D659" s="1189"/>
      <c r="E659" s="1189"/>
      <c r="F659" s="1189"/>
      <c r="G659" s="1189"/>
      <c r="H659" s="1189"/>
      <c r="I659" s="1189"/>
      <c r="J659" s="1189"/>
      <c r="K659" s="1189"/>
      <c r="L659" s="1189"/>
      <c r="M659" s="1189"/>
      <c r="N659" s="1189"/>
      <c r="O659" s="1189"/>
      <c r="P659" s="1189"/>
      <c r="Q659" s="1189"/>
      <c r="R659" s="1189"/>
      <c r="S659" s="1189"/>
      <c r="T659" s="1189"/>
      <c r="U659" s="1189"/>
      <c r="V659" s="1189"/>
      <c r="W659" s="1189"/>
      <c r="X659" s="1189"/>
      <c r="Y659" s="1189"/>
      <c r="Z659" s="1189"/>
    </row>
    <row r="660">
      <c r="A660" s="1189"/>
      <c r="B660" s="1189"/>
      <c r="C660" s="1189"/>
      <c r="D660" s="1189"/>
      <c r="E660" s="1189"/>
      <c r="F660" s="1189"/>
      <c r="G660" s="1189"/>
      <c r="H660" s="1189"/>
      <c r="I660" s="1189"/>
      <c r="J660" s="1189"/>
      <c r="K660" s="1189"/>
      <c r="L660" s="1189"/>
      <c r="M660" s="1189"/>
      <c r="N660" s="1189"/>
      <c r="O660" s="1189"/>
      <c r="P660" s="1189"/>
      <c r="Q660" s="1189"/>
      <c r="R660" s="1189"/>
      <c r="S660" s="1189"/>
      <c r="T660" s="1189"/>
      <c r="U660" s="1189"/>
      <c r="V660" s="1189"/>
      <c r="W660" s="1189"/>
      <c r="X660" s="1189"/>
      <c r="Y660" s="1189"/>
      <c r="Z660" s="1189"/>
    </row>
    <row r="661">
      <c r="A661" s="1189"/>
      <c r="B661" s="1189"/>
      <c r="C661" s="1189"/>
      <c r="D661" s="1189"/>
      <c r="E661" s="1189"/>
      <c r="F661" s="1189"/>
      <c r="G661" s="1189"/>
      <c r="H661" s="1189"/>
      <c r="I661" s="1189"/>
      <c r="J661" s="1189"/>
      <c r="K661" s="1189"/>
      <c r="L661" s="1189"/>
      <c r="M661" s="1189"/>
      <c r="N661" s="1189"/>
      <c r="O661" s="1189"/>
      <c r="P661" s="1189"/>
      <c r="Q661" s="1189"/>
      <c r="R661" s="1189"/>
      <c r="S661" s="1189"/>
      <c r="T661" s="1189"/>
      <c r="U661" s="1189"/>
      <c r="V661" s="1189"/>
      <c r="W661" s="1189"/>
      <c r="X661" s="1189"/>
      <c r="Y661" s="1189"/>
      <c r="Z661" s="1189"/>
    </row>
    <row r="662">
      <c r="A662" s="1189"/>
      <c r="B662" s="1189"/>
      <c r="C662" s="1189"/>
      <c r="D662" s="1189"/>
      <c r="E662" s="1189"/>
      <c r="F662" s="1189"/>
      <c r="G662" s="1189"/>
      <c r="H662" s="1189"/>
      <c r="I662" s="1189"/>
      <c r="J662" s="1189"/>
      <c r="K662" s="1189"/>
      <c r="L662" s="1189"/>
      <c r="M662" s="1189"/>
      <c r="N662" s="1189"/>
      <c r="O662" s="1189"/>
      <c r="P662" s="1189"/>
      <c r="Q662" s="1189"/>
      <c r="R662" s="1189"/>
      <c r="S662" s="1189"/>
      <c r="T662" s="1189"/>
      <c r="U662" s="1189"/>
      <c r="V662" s="1189"/>
      <c r="W662" s="1189"/>
      <c r="X662" s="1189"/>
      <c r="Y662" s="1189"/>
      <c r="Z662" s="1189"/>
    </row>
    <row r="663">
      <c r="A663" s="1189"/>
      <c r="B663" s="1189"/>
      <c r="C663" s="1189"/>
      <c r="D663" s="1189"/>
      <c r="E663" s="1189"/>
      <c r="F663" s="1189"/>
      <c r="G663" s="1189"/>
      <c r="H663" s="1189"/>
      <c r="I663" s="1189"/>
      <c r="J663" s="1189"/>
      <c r="K663" s="1189"/>
      <c r="L663" s="1189"/>
      <c r="M663" s="1189"/>
      <c r="N663" s="1189"/>
      <c r="O663" s="1189"/>
      <c r="P663" s="1189"/>
      <c r="Q663" s="1189"/>
      <c r="R663" s="1189"/>
      <c r="S663" s="1189"/>
      <c r="T663" s="1189"/>
      <c r="U663" s="1189"/>
      <c r="V663" s="1189"/>
      <c r="W663" s="1189"/>
      <c r="X663" s="1189"/>
      <c r="Y663" s="1189"/>
      <c r="Z663" s="1189"/>
    </row>
    <row r="664">
      <c r="A664" s="1189"/>
      <c r="B664" s="1189"/>
      <c r="C664" s="1189"/>
      <c r="D664" s="1189"/>
      <c r="E664" s="1189"/>
      <c r="F664" s="1189"/>
      <c r="G664" s="1189"/>
      <c r="H664" s="1189"/>
      <c r="I664" s="1189"/>
      <c r="J664" s="1189"/>
      <c r="K664" s="1189"/>
      <c r="L664" s="1189"/>
      <c r="M664" s="1189"/>
      <c r="N664" s="1189"/>
      <c r="O664" s="1189"/>
      <c r="P664" s="1189"/>
      <c r="Q664" s="1189"/>
      <c r="R664" s="1189"/>
      <c r="S664" s="1189"/>
      <c r="T664" s="1189"/>
      <c r="U664" s="1189"/>
      <c r="V664" s="1189"/>
      <c r="W664" s="1189"/>
      <c r="X664" s="1189"/>
      <c r="Y664" s="1189"/>
      <c r="Z664" s="1189"/>
    </row>
    <row r="665">
      <c r="A665" s="1189"/>
      <c r="B665" s="1189"/>
      <c r="C665" s="1189"/>
      <c r="D665" s="1189"/>
      <c r="E665" s="1189"/>
      <c r="F665" s="1189"/>
      <c r="G665" s="1189"/>
      <c r="H665" s="1189"/>
      <c r="I665" s="1189"/>
      <c r="J665" s="1189"/>
      <c r="K665" s="1189"/>
      <c r="L665" s="1189"/>
      <c r="M665" s="1189"/>
      <c r="N665" s="1189"/>
      <c r="O665" s="1189"/>
      <c r="P665" s="1189"/>
      <c r="Q665" s="1189"/>
      <c r="R665" s="1189"/>
      <c r="S665" s="1189"/>
      <c r="T665" s="1189"/>
      <c r="U665" s="1189"/>
      <c r="V665" s="1189"/>
      <c r="W665" s="1189"/>
      <c r="X665" s="1189"/>
      <c r="Y665" s="1189"/>
      <c r="Z665" s="1189"/>
    </row>
    <row r="666">
      <c r="A666" s="1189"/>
      <c r="B666" s="1189"/>
      <c r="C666" s="1189"/>
      <c r="D666" s="1189"/>
      <c r="E666" s="1189"/>
      <c r="F666" s="1189"/>
      <c r="G666" s="1189"/>
      <c r="H666" s="1189"/>
      <c r="I666" s="1189"/>
      <c r="J666" s="1189"/>
      <c r="K666" s="1189"/>
      <c r="L666" s="1189"/>
      <c r="M666" s="1189"/>
      <c r="N666" s="1189"/>
      <c r="O666" s="1189"/>
      <c r="P666" s="1189"/>
      <c r="Q666" s="1189"/>
      <c r="R666" s="1189"/>
      <c r="S666" s="1189"/>
      <c r="T666" s="1189"/>
      <c r="U666" s="1189"/>
      <c r="V666" s="1189"/>
      <c r="W666" s="1189"/>
      <c r="X666" s="1189"/>
      <c r="Y666" s="1189"/>
      <c r="Z666" s="1189"/>
    </row>
    <row r="667">
      <c r="A667" s="1189"/>
      <c r="B667" s="1189"/>
      <c r="C667" s="1189"/>
      <c r="D667" s="1189"/>
      <c r="E667" s="1189"/>
      <c r="F667" s="1189"/>
      <c r="G667" s="1189"/>
      <c r="H667" s="1189"/>
      <c r="I667" s="1189"/>
      <c r="J667" s="1189"/>
      <c r="K667" s="1189"/>
      <c r="L667" s="1189"/>
      <c r="M667" s="1189"/>
      <c r="N667" s="1189"/>
      <c r="O667" s="1189"/>
      <c r="P667" s="1189"/>
      <c r="Q667" s="1189"/>
      <c r="R667" s="1189"/>
      <c r="S667" s="1189"/>
      <c r="T667" s="1189"/>
      <c r="U667" s="1189"/>
      <c r="V667" s="1189"/>
      <c r="W667" s="1189"/>
      <c r="X667" s="1189"/>
      <c r="Y667" s="1189"/>
      <c r="Z667" s="1189"/>
    </row>
    <row r="668">
      <c r="A668" s="1189"/>
      <c r="B668" s="1189"/>
      <c r="C668" s="1189"/>
      <c r="D668" s="1189"/>
      <c r="E668" s="1189"/>
      <c r="F668" s="1189"/>
      <c r="G668" s="1189"/>
      <c r="H668" s="1189"/>
      <c r="I668" s="1189"/>
      <c r="J668" s="1189"/>
      <c r="K668" s="1189"/>
      <c r="L668" s="1189"/>
      <c r="M668" s="1189"/>
      <c r="N668" s="1189"/>
      <c r="O668" s="1189"/>
      <c r="P668" s="1189"/>
      <c r="Q668" s="1189"/>
      <c r="R668" s="1189"/>
      <c r="S668" s="1189"/>
      <c r="T668" s="1189"/>
      <c r="U668" s="1189"/>
      <c r="V668" s="1189"/>
      <c r="W668" s="1189"/>
      <c r="X668" s="1189"/>
      <c r="Y668" s="1189"/>
      <c r="Z668" s="1189"/>
    </row>
    <row r="669">
      <c r="A669" s="1189"/>
      <c r="B669" s="1189"/>
      <c r="C669" s="1189"/>
      <c r="D669" s="1189"/>
      <c r="E669" s="1189"/>
      <c r="F669" s="1189"/>
      <c r="G669" s="1189"/>
      <c r="H669" s="1189"/>
      <c r="I669" s="1189"/>
      <c r="J669" s="1189"/>
      <c r="K669" s="1189"/>
      <c r="L669" s="1189"/>
      <c r="M669" s="1189"/>
      <c r="N669" s="1189"/>
      <c r="O669" s="1189"/>
      <c r="P669" s="1189"/>
      <c r="Q669" s="1189"/>
      <c r="R669" s="1189"/>
      <c r="S669" s="1189"/>
      <c r="T669" s="1189"/>
      <c r="U669" s="1189"/>
      <c r="V669" s="1189"/>
      <c r="W669" s="1189"/>
      <c r="X669" s="1189"/>
      <c r="Y669" s="1189"/>
      <c r="Z669" s="1189"/>
    </row>
    <row r="670">
      <c r="A670" s="1189"/>
      <c r="B670" s="1189"/>
      <c r="C670" s="1189"/>
      <c r="D670" s="1189"/>
      <c r="E670" s="1189"/>
      <c r="F670" s="1189"/>
      <c r="G670" s="1189"/>
      <c r="H670" s="1189"/>
      <c r="I670" s="1189"/>
      <c r="J670" s="1189"/>
      <c r="K670" s="1189"/>
      <c r="L670" s="1189"/>
      <c r="M670" s="1189"/>
      <c r="N670" s="1189"/>
      <c r="O670" s="1189"/>
      <c r="P670" s="1189"/>
      <c r="Q670" s="1189"/>
      <c r="R670" s="1189"/>
      <c r="S670" s="1189"/>
      <c r="T670" s="1189"/>
      <c r="U670" s="1189"/>
      <c r="V670" s="1189"/>
      <c r="W670" s="1189"/>
      <c r="X670" s="1189"/>
      <c r="Y670" s="1189"/>
      <c r="Z670" s="1189"/>
    </row>
    <row r="671">
      <c r="A671" s="1189"/>
      <c r="B671" s="1189"/>
      <c r="C671" s="1189"/>
      <c r="D671" s="1189"/>
      <c r="E671" s="1189"/>
      <c r="F671" s="1189"/>
      <c r="G671" s="1189"/>
      <c r="H671" s="1189"/>
      <c r="I671" s="1189"/>
      <c r="J671" s="1189"/>
      <c r="K671" s="1189"/>
      <c r="L671" s="1189"/>
      <c r="M671" s="1189"/>
      <c r="N671" s="1189"/>
      <c r="O671" s="1189"/>
      <c r="P671" s="1189"/>
      <c r="Q671" s="1189"/>
      <c r="R671" s="1189"/>
      <c r="S671" s="1189"/>
      <c r="T671" s="1189"/>
      <c r="U671" s="1189"/>
      <c r="V671" s="1189"/>
      <c r="W671" s="1189"/>
      <c r="X671" s="1189"/>
      <c r="Y671" s="1189"/>
      <c r="Z671" s="1189"/>
    </row>
    <row r="672">
      <c r="A672" s="1189"/>
      <c r="B672" s="1189"/>
      <c r="C672" s="1189"/>
      <c r="D672" s="1189"/>
      <c r="E672" s="1189"/>
      <c r="F672" s="1189"/>
      <c r="G672" s="1189"/>
      <c r="H672" s="1189"/>
      <c r="I672" s="1189"/>
      <c r="J672" s="1189"/>
      <c r="K672" s="1189"/>
      <c r="L672" s="1189"/>
      <c r="M672" s="1189"/>
      <c r="N672" s="1189"/>
      <c r="O672" s="1189"/>
      <c r="P672" s="1189"/>
      <c r="Q672" s="1189"/>
      <c r="R672" s="1189"/>
      <c r="S672" s="1189"/>
      <c r="T672" s="1189"/>
      <c r="U672" s="1189"/>
      <c r="V672" s="1189"/>
      <c r="W672" s="1189"/>
      <c r="X672" s="1189"/>
      <c r="Y672" s="1189"/>
      <c r="Z672" s="1189"/>
    </row>
    <row r="673">
      <c r="A673" s="1189"/>
      <c r="B673" s="1189"/>
      <c r="C673" s="1189"/>
      <c r="D673" s="1189"/>
      <c r="E673" s="1189"/>
      <c r="F673" s="1189"/>
      <c r="G673" s="1189"/>
      <c r="H673" s="1189"/>
      <c r="I673" s="1189"/>
      <c r="J673" s="1189"/>
      <c r="K673" s="1189"/>
      <c r="L673" s="1189"/>
      <c r="M673" s="1189"/>
      <c r="N673" s="1189"/>
      <c r="O673" s="1189"/>
      <c r="P673" s="1189"/>
      <c r="Q673" s="1189"/>
      <c r="R673" s="1189"/>
      <c r="S673" s="1189"/>
      <c r="T673" s="1189"/>
      <c r="U673" s="1189"/>
      <c r="V673" s="1189"/>
      <c r="W673" s="1189"/>
      <c r="X673" s="1189"/>
      <c r="Y673" s="1189"/>
      <c r="Z673" s="1189"/>
    </row>
    <row r="674">
      <c r="A674" s="1189"/>
      <c r="B674" s="1189"/>
      <c r="C674" s="1189"/>
      <c r="D674" s="1189"/>
      <c r="E674" s="1189"/>
      <c r="F674" s="1189"/>
      <c r="G674" s="1189"/>
      <c r="H674" s="1189"/>
      <c r="I674" s="1189"/>
      <c r="J674" s="1189"/>
      <c r="K674" s="1189"/>
      <c r="L674" s="1189"/>
      <c r="M674" s="1189"/>
      <c r="N674" s="1189"/>
      <c r="O674" s="1189"/>
      <c r="P674" s="1189"/>
      <c r="Q674" s="1189"/>
      <c r="R674" s="1189"/>
      <c r="S674" s="1189"/>
      <c r="T674" s="1189"/>
      <c r="U674" s="1189"/>
      <c r="V674" s="1189"/>
      <c r="W674" s="1189"/>
      <c r="X674" s="1189"/>
      <c r="Y674" s="1189"/>
      <c r="Z674" s="1189"/>
    </row>
    <row r="675">
      <c r="A675" s="1189"/>
      <c r="B675" s="1189"/>
      <c r="C675" s="1189"/>
      <c r="D675" s="1189"/>
      <c r="E675" s="1189"/>
      <c r="F675" s="1189"/>
      <c r="G675" s="1189"/>
      <c r="H675" s="1189"/>
      <c r="I675" s="1189"/>
      <c r="J675" s="1189"/>
      <c r="K675" s="1189"/>
      <c r="L675" s="1189"/>
      <c r="M675" s="1189"/>
      <c r="N675" s="1189"/>
      <c r="O675" s="1189"/>
      <c r="P675" s="1189"/>
      <c r="Q675" s="1189"/>
      <c r="R675" s="1189"/>
      <c r="S675" s="1189"/>
      <c r="T675" s="1189"/>
      <c r="U675" s="1189"/>
      <c r="V675" s="1189"/>
      <c r="W675" s="1189"/>
      <c r="X675" s="1189"/>
      <c r="Y675" s="1189"/>
      <c r="Z675" s="1189"/>
    </row>
    <row r="676">
      <c r="A676" s="1189"/>
      <c r="B676" s="1189"/>
      <c r="C676" s="1189"/>
      <c r="D676" s="1189"/>
      <c r="E676" s="1189"/>
      <c r="F676" s="1189"/>
      <c r="G676" s="1189"/>
      <c r="H676" s="1189"/>
      <c r="I676" s="1189"/>
      <c r="J676" s="1189"/>
      <c r="K676" s="1189"/>
      <c r="L676" s="1189"/>
      <c r="M676" s="1189"/>
      <c r="N676" s="1189"/>
      <c r="O676" s="1189"/>
      <c r="P676" s="1189"/>
      <c r="Q676" s="1189"/>
      <c r="R676" s="1189"/>
      <c r="S676" s="1189"/>
      <c r="T676" s="1189"/>
      <c r="U676" s="1189"/>
      <c r="V676" s="1189"/>
      <c r="W676" s="1189"/>
      <c r="X676" s="1189"/>
      <c r="Y676" s="1189"/>
      <c r="Z676" s="1189"/>
    </row>
    <row r="677">
      <c r="A677" s="1189"/>
      <c r="B677" s="1189"/>
      <c r="C677" s="1189"/>
      <c r="D677" s="1189"/>
      <c r="E677" s="1189"/>
      <c r="F677" s="1189"/>
      <c r="G677" s="1189"/>
      <c r="H677" s="1189"/>
      <c r="I677" s="1189"/>
      <c r="J677" s="1189"/>
      <c r="K677" s="1189"/>
      <c r="L677" s="1189"/>
      <c r="M677" s="1189"/>
      <c r="N677" s="1189"/>
      <c r="O677" s="1189"/>
      <c r="P677" s="1189"/>
      <c r="Q677" s="1189"/>
      <c r="R677" s="1189"/>
      <c r="S677" s="1189"/>
      <c r="T677" s="1189"/>
      <c r="U677" s="1189"/>
      <c r="V677" s="1189"/>
      <c r="W677" s="1189"/>
      <c r="X677" s="1189"/>
      <c r="Y677" s="1189"/>
      <c r="Z677" s="1189"/>
    </row>
    <row r="678">
      <c r="A678" s="1189"/>
      <c r="B678" s="1189"/>
      <c r="C678" s="1189"/>
      <c r="D678" s="1189"/>
      <c r="E678" s="1189"/>
      <c r="F678" s="1189"/>
      <c r="G678" s="1189"/>
      <c r="H678" s="1189"/>
      <c r="I678" s="1189"/>
      <c r="J678" s="1189"/>
      <c r="K678" s="1189"/>
      <c r="L678" s="1189"/>
      <c r="M678" s="1189"/>
      <c r="N678" s="1189"/>
      <c r="O678" s="1189"/>
      <c r="P678" s="1189"/>
      <c r="Q678" s="1189"/>
      <c r="R678" s="1189"/>
      <c r="S678" s="1189"/>
      <c r="T678" s="1189"/>
      <c r="U678" s="1189"/>
      <c r="V678" s="1189"/>
      <c r="W678" s="1189"/>
      <c r="X678" s="1189"/>
      <c r="Y678" s="1189"/>
      <c r="Z678" s="1189"/>
    </row>
    <row r="679">
      <c r="A679" s="1189"/>
      <c r="B679" s="1189"/>
      <c r="C679" s="1189"/>
      <c r="D679" s="1189"/>
      <c r="E679" s="1189"/>
      <c r="F679" s="1189"/>
      <c r="G679" s="1189"/>
      <c r="H679" s="1189"/>
      <c r="I679" s="1189"/>
      <c r="J679" s="1189"/>
      <c r="K679" s="1189"/>
      <c r="L679" s="1189"/>
      <c r="M679" s="1189"/>
      <c r="N679" s="1189"/>
      <c r="O679" s="1189"/>
      <c r="P679" s="1189"/>
      <c r="Q679" s="1189"/>
      <c r="R679" s="1189"/>
      <c r="S679" s="1189"/>
      <c r="T679" s="1189"/>
      <c r="U679" s="1189"/>
      <c r="V679" s="1189"/>
      <c r="W679" s="1189"/>
      <c r="X679" s="1189"/>
      <c r="Y679" s="1189"/>
      <c r="Z679" s="1189"/>
    </row>
    <row r="680">
      <c r="A680" s="1189"/>
      <c r="B680" s="1189"/>
      <c r="C680" s="1189"/>
      <c r="D680" s="1189"/>
      <c r="E680" s="1189"/>
      <c r="F680" s="1189"/>
      <c r="G680" s="1189"/>
      <c r="H680" s="1189"/>
      <c r="I680" s="1189"/>
      <c r="J680" s="1189"/>
      <c r="K680" s="1189"/>
      <c r="L680" s="1189"/>
      <c r="M680" s="1189"/>
      <c r="N680" s="1189"/>
      <c r="O680" s="1189"/>
      <c r="P680" s="1189"/>
      <c r="Q680" s="1189"/>
      <c r="R680" s="1189"/>
      <c r="S680" s="1189"/>
      <c r="T680" s="1189"/>
      <c r="U680" s="1189"/>
      <c r="V680" s="1189"/>
      <c r="W680" s="1189"/>
      <c r="X680" s="1189"/>
      <c r="Y680" s="1189"/>
      <c r="Z680" s="1189"/>
    </row>
    <row r="681">
      <c r="A681" s="1189"/>
      <c r="B681" s="1189"/>
      <c r="C681" s="1189"/>
      <c r="D681" s="1189"/>
      <c r="E681" s="1189"/>
      <c r="F681" s="1189"/>
      <c r="G681" s="1189"/>
      <c r="H681" s="1189"/>
      <c r="I681" s="1189"/>
      <c r="J681" s="1189"/>
      <c r="K681" s="1189"/>
      <c r="L681" s="1189"/>
      <c r="M681" s="1189"/>
      <c r="N681" s="1189"/>
      <c r="O681" s="1189"/>
      <c r="P681" s="1189"/>
      <c r="Q681" s="1189"/>
      <c r="R681" s="1189"/>
      <c r="S681" s="1189"/>
      <c r="T681" s="1189"/>
      <c r="U681" s="1189"/>
      <c r="V681" s="1189"/>
      <c r="W681" s="1189"/>
      <c r="X681" s="1189"/>
      <c r="Y681" s="1189"/>
      <c r="Z681" s="1189"/>
    </row>
    <row r="682">
      <c r="A682" s="1189"/>
      <c r="B682" s="1189"/>
      <c r="C682" s="1189"/>
      <c r="D682" s="1189"/>
      <c r="E682" s="1189"/>
      <c r="F682" s="1189"/>
      <c r="G682" s="1189"/>
      <c r="H682" s="1189"/>
      <c r="I682" s="1189"/>
      <c r="J682" s="1189"/>
      <c r="K682" s="1189"/>
      <c r="L682" s="1189"/>
      <c r="M682" s="1189"/>
      <c r="N682" s="1189"/>
      <c r="O682" s="1189"/>
      <c r="P682" s="1189"/>
      <c r="Q682" s="1189"/>
      <c r="R682" s="1189"/>
      <c r="S682" s="1189"/>
      <c r="T682" s="1189"/>
      <c r="U682" s="1189"/>
      <c r="V682" s="1189"/>
      <c r="W682" s="1189"/>
      <c r="X682" s="1189"/>
      <c r="Y682" s="1189"/>
      <c r="Z682" s="1189"/>
    </row>
    <row r="683">
      <c r="A683" s="1189"/>
      <c r="B683" s="1189"/>
      <c r="C683" s="1189"/>
      <c r="D683" s="1189"/>
      <c r="E683" s="1189"/>
      <c r="F683" s="1189"/>
      <c r="G683" s="1189"/>
      <c r="H683" s="1189"/>
      <c r="I683" s="1189"/>
      <c r="J683" s="1189"/>
      <c r="K683" s="1189"/>
      <c r="L683" s="1189"/>
      <c r="M683" s="1189"/>
      <c r="N683" s="1189"/>
      <c r="O683" s="1189"/>
      <c r="P683" s="1189"/>
      <c r="Q683" s="1189"/>
      <c r="R683" s="1189"/>
      <c r="S683" s="1189"/>
      <c r="T683" s="1189"/>
      <c r="U683" s="1189"/>
      <c r="V683" s="1189"/>
      <c r="W683" s="1189"/>
      <c r="X683" s="1189"/>
      <c r="Y683" s="1189"/>
      <c r="Z683" s="1189"/>
    </row>
    <row r="684">
      <c r="A684" s="1189"/>
      <c r="B684" s="1189"/>
      <c r="C684" s="1189"/>
      <c r="D684" s="1189"/>
      <c r="E684" s="1189"/>
      <c r="F684" s="1189"/>
      <c r="G684" s="1189"/>
      <c r="H684" s="1189"/>
      <c r="I684" s="1189"/>
      <c r="J684" s="1189"/>
      <c r="K684" s="1189"/>
      <c r="L684" s="1189"/>
      <c r="M684" s="1189"/>
      <c r="N684" s="1189"/>
      <c r="O684" s="1189"/>
      <c r="P684" s="1189"/>
      <c r="Q684" s="1189"/>
      <c r="R684" s="1189"/>
      <c r="S684" s="1189"/>
      <c r="T684" s="1189"/>
      <c r="U684" s="1189"/>
      <c r="V684" s="1189"/>
      <c r="W684" s="1189"/>
      <c r="X684" s="1189"/>
      <c r="Y684" s="1189"/>
      <c r="Z684" s="1189"/>
    </row>
    <row r="685">
      <c r="A685" s="1189"/>
      <c r="B685" s="1189"/>
      <c r="C685" s="1189"/>
      <c r="D685" s="1189"/>
      <c r="E685" s="1189"/>
      <c r="F685" s="1189"/>
      <c r="G685" s="1189"/>
      <c r="H685" s="1189"/>
      <c r="I685" s="1189"/>
      <c r="J685" s="1189"/>
      <c r="K685" s="1189"/>
      <c r="L685" s="1189"/>
      <c r="M685" s="1189"/>
      <c r="N685" s="1189"/>
      <c r="O685" s="1189"/>
      <c r="P685" s="1189"/>
      <c r="Q685" s="1189"/>
      <c r="R685" s="1189"/>
      <c r="S685" s="1189"/>
      <c r="T685" s="1189"/>
      <c r="U685" s="1189"/>
      <c r="V685" s="1189"/>
      <c r="W685" s="1189"/>
      <c r="X685" s="1189"/>
      <c r="Y685" s="1189"/>
      <c r="Z685" s="1189"/>
    </row>
    <row r="686">
      <c r="A686" s="1189"/>
      <c r="B686" s="1189"/>
      <c r="C686" s="1189"/>
      <c r="D686" s="1189"/>
      <c r="E686" s="1189"/>
      <c r="F686" s="1189"/>
      <c r="G686" s="1189"/>
      <c r="H686" s="1189"/>
      <c r="I686" s="1189"/>
      <c r="J686" s="1189"/>
      <c r="K686" s="1189"/>
      <c r="L686" s="1189"/>
      <c r="M686" s="1189"/>
      <c r="N686" s="1189"/>
      <c r="O686" s="1189"/>
      <c r="P686" s="1189"/>
      <c r="Q686" s="1189"/>
      <c r="R686" s="1189"/>
      <c r="S686" s="1189"/>
      <c r="T686" s="1189"/>
      <c r="U686" s="1189"/>
      <c r="V686" s="1189"/>
      <c r="W686" s="1189"/>
      <c r="X686" s="1189"/>
      <c r="Y686" s="1189"/>
      <c r="Z686" s="1189"/>
    </row>
    <row r="687">
      <c r="A687" s="1189"/>
      <c r="B687" s="1189"/>
      <c r="C687" s="1189"/>
      <c r="D687" s="1189"/>
      <c r="E687" s="1189"/>
      <c r="F687" s="1189"/>
      <c r="G687" s="1189"/>
      <c r="H687" s="1189"/>
      <c r="I687" s="1189"/>
      <c r="J687" s="1189"/>
      <c r="K687" s="1189"/>
      <c r="L687" s="1189"/>
      <c r="M687" s="1189"/>
      <c r="N687" s="1189"/>
      <c r="O687" s="1189"/>
      <c r="P687" s="1189"/>
      <c r="Q687" s="1189"/>
      <c r="R687" s="1189"/>
      <c r="S687" s="1189"/>
      <c r="T687" s="1189"/>
      <c r="U687" s="1189"/>
      <c r="V687" s="1189"/>
      <c r="W687" s="1189"/>
      <c r="X687" s="1189"/>
      <c r="Y687" s="1189"/>
      <c r="Z687" s="1189"/>
    </row>
    <row r="688">
      <c r="A688" s="1189"/>
      <c r="B688" s="1189"/>
      <c r="C688" s="1189"/>
      <c r="D688" s="1189"/>
      <c r="E688" s="1189"/>
      <c r="F688" s="1189"/>
      <c r="G688" s="1189"/>
      <c r="H688" s="1189"/>
      <c r="I688" s="1189"/>
      <c r="J688" s="1189"/>
      <c r="K688" s="1189"/>
      <c r="L688" s="1189"/>
      <c r="M688" s="1189"/>
      <c r="N688" s="1189"/>
      <c r="O688" s="1189"/>
      <c r="P688" s="1189"/>
      <c r="Q688" s="1189"/>
      <c r="R688" s="1189"/>
      <c r="S688" s="1189"/>
      <c r="T688" s="1189"/>
      <c r="U688" s="1189"/>
      <c r="V688" s="1189"/>
      <c r="W688" s="1189"/>
      <c r="X688" s="1189"/>
      <c r="Y688" s="1189"/>
      <c r="Z688" s="1189"/>
    </row>
    <row r="689">
      <c r="A689" s="1189"/>
      <c r="B689" s="1189"/>
      <c r="C689" s="1189"/>
      <c r="D689" s="1189"/>
      <c r="E689" s="1189"/>
      <c r="F689" s="1189"/>
      <c r="G689" s="1189"/>
      <c r="H689" s="1189"/>
      <c r="I689" s="1189"/>
      <c r="J689" s="1189"/>
      <c r="K689" s="1189"/>
      <c r="L689" s="1189"/>
      <c r="M689" s="1189"/>
      <c r="N689" s="1189"/>
      <c r="O689" s="1189"/>
      <c r="P689" s="1189"/>
      <c r="Q689" s="1189"/>
      <c r="R689" s="1189"/>
      <c r="S689" s="1189"/>
      <c r="T689" s="1189"/>
      <c r="U689" s="1189"/>
      <c r="V689" s="1189"/>
      <c r="W689" s="1189"/>
      <c r="X689" s="1189"/>
      <c r="Y689" s="1189"/>
      <c r="Z689" s="1189"/>
    </row>
    <row r="690">
      <c r="A690" s="1189"/>
      <c r="B690" s="1189"/>
      <c r="C690" s="1189"/>
      <c r="D690" s="1189"/>
      <c r="E690" s="1189"/>
      <c r="F690" s="1189"/>
      <c r="G690" s="1189"/>
      <c r="H690" s="1189"/>
      <c r="I690" s="1189"/>
      <c r="J690" s="1189"/>
      <c r="K690" s="1189"/>
      <c r="L690" s="1189"/>
      <c r="M690" s="1189"/>
      <c r="N690" s="1189"/>
      <c r="O690" s="1189"/>
      <c r="P690" s="1189"/>
      <c r="Q690" s="1189"/>
      <c r="R690" s="1189"/>
      <c r="S690" s="1189"/>
      <c r="T690" s="1189"/>
      <c r="U690" s="1189"/>
      <c r="V690" s="1189"/>
      <c r="W690" s="1189"/>
      <c r="X690" s="1189"/>
      <c r="Y690" s="1189"/>
      <c r="Z690" s="1189"/>
    </row>
    <row r="691">
      <c r="A691" s="1189"/>
      <c r="B691" s="1189"/>
      <c r="C691" s="1189"/>
      <c r="D691" s="1189"/>
      <c r="E691" s="1189"/>
      <c r="F691" s="1189"/>
      <c r="G691" s="1189"/>
      <c r="H691" s="1189"/>
      <c r="I691" s="1189"/>
      <c r="J691" s="1189"/>
      <c r="K691" s="1189"/>
      <c r="L691" s="1189"/>
      <c r="M691" s="1189"/>
      <c r="N691" s="1189"/>
      <c r="O691" s="1189"/>
      <c r="P691" s="1189"/>
      <c r="Q691" s="1189"/>
      <c r="R691" s="1189"/>
      <c r="S691" s="1189"/>
      <c r="T691" s="1189"/>
      <c r="U691" s="1189"/>
      <c r="V691" s="1189"/>
      <c r="W691" s="1189"/>
      <c r="X691" s="1189"/>
      <c r="Y691" s="1189"/>
      <c r="Z691" s="1189"/>
    </row>
    <row r="692">
      <c r="A692" s="1189"/>
      <c r="B692" s="1189"/>
      <c r="C692" s="1189"/>
      <c r="D692" s="1189"/>
      <c r="E692" s="1189"/>
      <c r="F692" s="1189"/>
      <c r="G692" s="1189"/>
      <c r="H692" s="1189"/>
      <c r="I692" s="1189"/>
      <c r="J692" s="1189"/>
      <c r="K692" s="1189"/>
      <c r="L692" s="1189"/>
      <c r="M692" s="1189"/>
      <c r="N692" s="1189"/>
      <c r="O692" s="1189"/>
      <c r="P692" s="1189"/>
      <c r="Q692" s="1189"/>
      <c r="R692" s="1189"/>
      <c r="S692" s="1189"/>
      <c r="T692" s="1189"/>
      <c r="U692" s="1189"/>
      <c r="V692" s="1189"/>
      <c r="W692" s="1189"/>
      <c r="X692" s="1189"/>
      <c r="Y692" s="1189"/>
      <c r="Z692" s="1189"/>
    </row>
    <row r="693">
      <c r="A693" s="1189"/>
      <c r="B693" s="1189"/>
      <c r="C693" s="1189"/>
      <c r="D693" s="1189"/>
      <c r="E693" s="1189"/>
      <c r="F693" s="1189"/>
      <c r="G693" s="1189"/>
      <c r="H693" s="1189"/>
      <c r="I693" s="1189"/>
      <c r="J693" s="1189"/>
      <c r="K693" s="1189"/>
      <c r="L693" s="1189"/>
      <c r="M693" s="1189"/>
      <c r="N693" s="1189"/>
      <c r="O693" s="1189"/>
      <c r="P693" s="1189"/>
      <c r="Q693" s="1189"/>
      <c r="R693" s="1189"/>
      <c r="S693" s="1189"/>
      <c r="T693" s="1189"/>
      <c r="U693" s="1189"/>
      <c r="V693" s="1189"/>
      <c r="W693" s="1189"/>
      <c r="X693" s="1189"/>
      <c r="Y693" s="1189"/>
      <c r="Z693" s="1189"/>
    </row>
    <row r="694">
      <c r="A694" s="1189"/>
      <c r="B694" s="1189"/>
      <c r="C694" s="1189"/>
      <c r="D694" s="1189"/>
      <c r="E694" s="1189"/>
      <c r="F694" s="1189"/>
      <c r="G694" s="1189"/>
      <c r="H694" s="1189"/>
      <c r="I694" s="1189"/>
      <c r="J694" s="1189"/>
      <c r="K694" s="1189"/>
      <c r="L694" s="1189"/>
      <c r="M694" s="1189"/>
      <c r="N694" s="1189"/>
      <c r="O694" s="1189"/>
      <c r="P694" s="1189"/>
      <c r="Q694" s="1189"/>
      <c r="R694" s="1189"/>
      <c r="S694" s="1189"/>
      <c r="T694" s="1189"/>
      <c r="U694" s="1189"/>
      <c r="V694" s="1189"/>
      <c r="W694" s="1189"/>
      <c r="X694" s="1189"/>
      <c r="Y694" s="1189"/>
      <c r="Z694" s="1189"/>
    </row>
    <row r="695">
      <c r="A695" s="1189"/>
      <c r="B695" s="1189"/>
      <c r="C695" s="1189"/>
      <c r="D695" s="1189"/>
      <c r="E695" s="1189"/>
      <c r="F695" s="1189"/>
      <c r="G695" s="1189"/>
      <c r="H695" s="1189"/>
      <c r="I695" s="1189"/>
      <c r="J695" s="1189"/>
      <c r="K695" s="1189"/>
      <c r="L695" s="1189"/>
      <c r="M695" s="1189"/>
      <c r="N695" s="1189"/>
      <c r="O695" s="1189"/>
      <c r="P695" s="1189"/>
      <c r="Q695" s="1189"/>
      <c r="R695" s="1189"/>
      <c r="S695" s="1189"/>
      <c r="T695" s="1189"/>
      <c r="U695" s="1189"/>
      <c r="V695" s="1189"/>
      <c r="W695" s="1189"/>
      <c r="X695" s="1189"/>
      <c r="Y695" s="1189"/>
      <c r="Z695" s="1189"/>
    </row>
    <row r="696">
      <c r="A696" s="1189"/>
      <c r="B696" s="1189"/>
      <c r="C696" s="1189"/>
      <c r="D696" s="1189"/>
      <c r="E696" s="1189"/>
      <c r="F696" s="1189"/>
      <c r="G696" s="1189"/>
      <c r="H696" s="1189"/>
      <c r="I696" s="1189"/>
      <c r="J696" s="1189"/>
      <c r="K696" s="1189"/>
      <c r="L696" s="1189"/>
      <c r="M696" s="1189"/>
      <c r="N696" s="1189"/>
      <c r="O696" s="1189"/>
      <c r="P696" s="1189"/>
      <c r="Q696" s="1189"/>
      <c r="R696" s="1189"/>
      <c r="S696" s="1189"/>
      <c r="T696" s="1189"/>
      <c r="U696" s="1189"/>
      <c r="V696" s="1189"/>
      <c r="W696" s="1189"/>
      <c r="X696" s="1189"/>
      <c r="Y696" s="1189"/>
      <c r="Z696" s="1189"/>
    </row>
    <row r="697">
      <c r="A697" s="1189"/>
      <c r="B697" s="1189"/>
      <c r="C697" s="1189"/>
      <c r="D697" s="1189"/>
      <c r="E697" s="1189"/>
      <c r="F697" s="1189"/>
      <c r="G697" s="1189"/>
      <c r="H697" s="1189"/>
      <c r="I697" s="1189"/>
      <c r="J697" s="1189"/>
      <c r="K697" s="1189"/>
      <c r="L697" s="1189"/>
      <c r="M697" s="1189"/>
      <c r="N697" s="1189"/>
      <c r="O697" s="1189"/>
      <c r="P697" s="1189"/>
      <c r="Q697" s="1189"/>
      <c r="R697" s="1189"/>
      <c r="S697" s="1189"/>
      <c r="T697" s="1189"/>
      <c r="U697" s="1189"/>
      <c r="V697" s="1189"/>
      <c r="W697" s="1189"/>
      <c r="X697" s="1189"/>
      <c r="Y697" s="1189"/>
      <c r="Z697" s="1189"/>
    </row>
    <row r="698">
      <c r="A698" s="1189"/>
      <c r="B698" s="1189"/>
      <c r="C698" s="1189"/>
      <c r="D698" s="1189"/>
      <c r="E698" s="1189"/>
      <c r="F698" s="1189"/>
      <c r="G698" s="1189"/>
      <c r="H698" s="1189"/>
      <c r="I698" s="1189"/>
      <c r="J698" s="1189"/>
      <c r="K698" s="1189"/>
      <c r="L698" s="1189"/>
      <c r="M698" s="1189"/>
      <c r="N698" s="1189"/>
      <c r="O698" s="1189"/>
      <c r="P698" s="1189"/>
      <c r="Q698" s="1189"/>
      <c r="R698" s="1189"/>
      <c r="S698" s="1189"/>
      <c r="T698" s="1189"/>
      <c r="U698" s="1189"/>
      <c r="V698" s="1189"/>
      <c r="W698" s="1189"/>
      <c r="X698" s="1189"/>
      <c r="Y698" s="1189"/>
      <c r="Z698" s="1189"/>
    </row>
    <row r="699">
      <c r="A699" s="1189"/>
      <c r="B699" s="1189"/>
      <c r="C699" s="1189"/>
      <c r="D699" s="1189"/>
      <c r="E699" s="1189"/>
      <c r="F699" s="1189"/>
      <c r="G699" s="1189"/>
      <c r="H699" s="1189"/>
      <c r="I699" s="1189"/>
      <c r="J699" s="1189"/>
      <c r="K699" s="1189"/>
      <c r="L699" s="1189"/>
      <c r="M699" s="1189"/>
      <c r="N699" s="1189"/>
      <c r="O699" s="1189"/>
      <c r="P699" s="1189"/>
      <c r="Q699" s="1189"/>
      <c r="R699" s="1189"/>
      <c r="S699" s="1189"/>
      <c r="T699" s="1189"/>
      <c r="U699" s="1189"/>
      <c r="V699" s="1189"/>
      <c r="W699" s="1189"/>
      <c r="X699" s="1189"/>
      <c r="Y699" s="1189"/>
      <c r="Z699" s="1189"/>
    </row>
    <row r="700">
      <c r="A700" s="1189"/>
      <c r="B700" s="1189"/>
      <c r="C700" s="1189"/>
      <c r="D700" s="1189"/>
      <c r="E700" s="1189"/>
      <c r="F700" s="1189"/>
      <c r="G700" s="1189"/>
      <c r="H700" s="1189"/>
      <c r="I700" s="1189"/>
      <c r="J700" s="1189"/>
      <c r="K700" s="1189"/>
      <c r="L700" s="1189"/>
      <c r="M700" s="1189"/>
      <c r="N700" s="1189"/>
      <c r="O700" s="1189"/>
      <c r="P700" s="1189"/>
      <c r="Q700" s="1189"/>
      <c r="R700" s="1189"/>
      <c r="S700" s="1189"/>
      <c r="T700" s="1189"/>
      <c r="U700" s="1189"/>
      <c r="V700" s="1189"/>
      <c r="W700" s="1189"/>
      <c r="X700" s="1189"/>
      <c r="Y700" s="1189"/>
      <c r="Z700" s="1189"/>
    </row>
    <row r="701">
      <c r="A701" s="1189"/>
      <c r="B701" s="1189"/>
      <c r="C701" s="1189"/>
      <c r="D701" s="1189"/>
      <c r="E701" s="1189"/>
      <c r="F701" s="1189"/>
      <c r="G701" s="1189"/>
      <c r="H701" s="1189"/>
      <c r="I701" s="1189"/>
      <c r="J701" s="1189"/>
      <c r="K701" s="1189"/>
      <c r="L701" s="1189"/>
      <c r="M701" s="1189"/>
      <c r="N701" s="1189"/>
      <c r="O701" s="1189"/>
      <c r="P701" s="1189"/>
      <c r="Q701" s="1189"/>
      <c r="R701" s="1189"/>
      <c r="S701" s="1189"/>
      <c r="T701" s="1189"/>
      <c r="U701" s="1189"/>
      <c r="V701" s="1189"/>
      <c r="W701" s="1189"/>
      <c r="X701" s="1189"/>
      <c r="Y701" s="1189"/>
      <c r="Z701" s="1189"/>
    </row>
    <row r="702">
      <c r="A702" s="1189"/>
      <c r="B702" s="1189"/>
      <c r="C702" s="1189"/>
      <c r="D702" s="1189"/>
      <c r="E702" s="1189"/>
      <c r="F702" s="1189"/>
      <c r="G702" s="1189"/>
      <c r="H702" s="1189"/>
      <c r="I702" s="1189"/>
      <c r="J702" s="1189"/>
      <c r="K702" s="1189"/>
      <c r="L702" s="1189"/>
      <c r="M702" s="1189"/>
      <c r="N702" s="1189"/>
      <c r="O702" s="1189"/>
      <c r="P702" s="1189"/>
      <c r="Q702" s="1189"/>
      <c r="R702" s="1189"/>
      <c r="S702" s="1189"/>
      <c r="T702" s="1189"/>
      <c r="U702" s="1189"/>
      <c r="V702" s="1189"/>
      <c r="W702" s="1189"/>
      <c r="X702" s="1189"/>
      <c r="Y702" s="1189"/>
      <c r="Z702" s="1189"/>
    </row>
    <row r="703">
      <c r="A703" s="1189"/>
      <c r="B703" s="1189"/>
      <c r="C703" s="1189"/>
      <c r="D703" s="1189"/>
      <c r="E703" s="1189"/>
      <c r="F703" s="1189"/>
      <c r="G703" s="1189"/>
      <c r="H703" s="1189"/>
      <c r="I703" s="1189"/>
      <c r="J703" s="1189"/>
      <c r="K703" s="1189"/>
      <c r="L703" s="1189"/>
      <c r="M703" s="1189"/>
      <c r="N703" s="1189"/>
      <c r="O703" s="1189"/>
      <c r="P703" s="1189"/>
      <c r="Q703" s="1189"/>
      <c r="R703" s="1189"/>
      <c r="S703" s="1189"/>
      <c r="T703" s="1189"/>
      <c r="U703" s="1189"/>
      <c r="V703" s="1189"/>
      <c r="W703" s="1189"/>
      <c r="X703" s="1189"/>
      <c r="Y703" s="1189"/>
      <c r="Z703" s="1189"/>
    </row>
    <row r="704">
      <c r="A704" s="1189"/>
      <c r="B704" s="1189"/>
      <c r="C704" s="1189"/>
      <c r="D704" s="1189"/>
      <c r="E704" s="1189"/>
      <c r="F704" s="1189"/>
      <c r="G704" s="1189"/>
      <c r="H704" s="1189"/>
      <c r="I704" s="1189"/>
      <c r="J704" s="1189"/>
      <c r="K704" s="1189"/>
      <c r="L704" s="1189"/>
      <c r="M704" s="1189"/>
      <c r="N704" s="1189"/>
      <c r="O704" s="1189"/>
      <c r="P704" s="1189"/>
      <c r="Q704" s="1189"/>
      <c r="R704" s="1189"/>
      <c r="S704" s="1189"/>
      <c r="T704" s="1189"/>
      <c r="U704" s="1189"/>
      <c r="V704" s="1189"/>
      <c r="W704" s="1189"/>
      <c r="X704" s="1189"/>
      <c r="Y704" s="1189"/>
      <c r="Z704" s="1189"/>
    </row>
    <row r="705">
      <c r="A705" s="1189"/>
      <c r="B705" s="1189"/>
      <c r="C705" s="1189"/>
      <c r="D705" s="1189"/>
      <c r="E705" s="1189"/>
      <c r="F705" s="1189"/>
      <c r="G705" s="1189"/>
      <c r="H705" s="1189"/>
      <c r="I705" s="1189"/>
      <c r="J705" s="1189"/>
      <c r="K705" s="1189"/>
      <c r="L705" s="1189"/>
      <c r="M705" s="1189"/>
      <c r="N705" s="1189"/>
      <c r="O705" s="1189"/>
      <c r="P705" s="1189"/>
      <c r="Q705" s="1189"/>
      <c r="R705" s="1189"/>
      <c r="S705" s="1189"/>
      <c r="T705" s="1189"/>
      <c r="U705" s="1189"/>
      <c r="V705" s="1189"/>
      <c r="W705" s="1189"/>
      <c r="X705" s="1189"/>
      <c r="Y705" s="1189"/>
      <c r="Z705" s="1189"/>
    </row>
    <row r="706">
      <c r="A706" s="1189"/>
      <c r="B706" s="1189"/>
      <c r="C706" s="1189"/>
      <c r="D706" s="1189"/>
      <c r="E706" s="1189"/>
      <c r="F706" s="1189"/>
      <c r="G706" s="1189"/>
      <c r="H706" s="1189"/>
      <c r="I706" s="1189"/>
      <c r="J706" s="1189"/>
      <c r="K706" s="1189"/>
      <c r="L706" s="1189"/>
      <c r="M706" s="1189"/>
      <c r="N706" s="1189"/>
      <c r="O706" s="1189"/>
      <c r="P706" s="1189"/>
      <c r="Q706" s="1189"/>
      <c r="R706" s="1189"/>
      <c r="S706" s="1189"/>
      <c r="T706" s="1189"/>
      <c r="U706" s="1189"/>
      <c r="V706" s="1189"/>
      <c r="W706" s="1189"/>
      <c r="X706" s="1189"/>
      <c r="Y706" s="1189"/>
      <c r="Z706" s="1189"/>
    </row>
    <row r="707">
      <c r="A707" s="1189"/>
      <c r="B707" s="1189"/>
      <c r="C707" s="1189"/>
      <c r="D707" s="1189"/>
      <c r="E707" s="1189"/>
      <c r="F707" s="1189"/>
      <c r="G707" s="1189"/>
      <c r="H707" s="1189"/>
      <c r="I707" s="1189"/>
      <c r="J707" s="1189"/>
      <c r="K707" s="1189"/>
      <c r="L707" s="1189"/>
      <c r="M707" s="1189"/>
      <c r="N707" s="1189"/>
      <c r="O707" s="1189"/>
      <c r="P707" s="1189"/>
      <c r="Q707" s="1189"/>
      <c r="R707" s="1189"/>
      <c r="S707" s="1189"/>
      <c r="T707" s="1189"/>
      <c r="U707" s="1189"/>
      <c r="V707" s="1189"/>
      <c r="W707" s="1189"/>
      <c r="X707" s="1189"/>
      <c r="Y707" s="1189"/>
      <c r="Z707" s="1189"/>
    </row>
    <row r="708">
      <c r="A708" s="1189"/>
      <c r="B708" s="1189"/>
      <c r="C708" s="1189"/>
      <c r="D708" s="1189"/>
      <c r="E708" s="1189"/>
      <c r="F708" s="1189"/>
      <c r="G708" s="1189"/>
      <c r="H708" s="1189"/>
      <c r="I708" s="1189"/>
      <c r="J708" s="1189"/>
      <c r="K708" s="1189"/>
      <c r="L708" s="1189"/>
      <c r="M708" s="1189"/>
      <c r="N708" s="1189"/>
      <c r="O708" s="1189"/>
      <c r="P708" s="1189"/>
      <c r="Q708" s="1189"/>
      <c r="R708" s="1189"/>
      <c r="S708" s="1189"/>
      <c r="T708" s="1189"/>
      <c r="U708" s="1189"/>
      <c r="V708" s="1189"/>
      <c r="W708" s="1189"/>
      <c r="X708" s="1189"/>
      <c r="Y708" s="1189"/>
      <c r="Z708" s="1189"/>
    </row>
    <row r="709">
      <c r="A709" s="1189"/>
      <c r="B709" s="1189"/>
      <c r="C709" s="1189"/>
      <c r="D709" s="1189"/>
      <c r="E709" s="1189"/>
      <c r="F709" s="1189"/>
      <c r="G709" s="1189"/>
      <c r="H709" s="1189"/>
      <c r="I709" s="1189"/>
      <c r="J709" s="1189"/>
      <c r="K709" s="1189"/>
      <c r="L709" s="1189"/>
      <c r="M709" s="1189"/>
      <c r="N709" s="1189"/>
      <c r="O709" s="1189"/>
      <c r="P709" s="1189"/>
      <c r="Q709" s="1189"/>
      <c r="R709" s="1189"/>
      <c r="S709" s="1189"/>
      <c r="T709" s="1189"/>
      <c r="U709" s="1189"/>
      <c r="V709" s="1189"/>
      <c r="W709" s="1189"/>
      <c r="X709" s="1189"/>
      <c r="Y709" s="1189"/>
      <c r="Z709" s="1189"/>
    </row>
    <row r="710">
      <c r="A710" s="1189"/>
      <c r="B710" s="1189"/>
      <c r="C710" s="1189"/>
      <c r="D710" s="1189"/>
      <c r="E710" s="1189"/>
      <c r="F710" s="1189"/>
      <c r="G710" s="1189"/>
      <c r="H710" s="1189"/>
      <c r="I710" s="1189"/>
      <c r="J710" s="1189"/>
      <c r="K710" s="1189"/>
      <c r="L710" s="1189"/>
      <c r="M710" s="1189"/>
      <c r="N710" s="1189"/>
      <c r="O710" s="1189"/>
      <c r="P710" s="1189"/>
      <c r="Q710" s="1189"/>
      <c r="R710" s="1189"/>
      <c r="S710" s="1189"/>
      <c r="T710" s="1189"/>
      <c r="U710" s="1189"/>
      <c r="V710" s="1189"/>
      <c r="W710" s="1189"/>
      <c r="X710" s="1189"/>
      <c r="Y710" s="1189"/>
      <c r="Z710" s="1189"/>
    </row>
    <row r="711">
      <c r="A711" s="1189"/>
      <c r="B711" s="1189"/>
      <c r="C711" s="1189"/>
      <c r="D711" s="1189"/>
      <c r="E711" s="1189"/>
      <c r="F711" s="1189"/>
      <c r="G711" s="1189"/>
      <c r="H711" s="1189"/>
      <c r="I711" s="1189"/>
      <c r="J711" s="1189"/>
      <c r="K711" s="1189"/>
      <c r="L711" s="1189"/>
      <c r="M711" s="1189"/>
      <c r="N711" s="1189"/>
      <c r="O711" s="1189"/>
      <c r="P711" s="1189"/>
      <c r="Q711" s="1189"/>
      <c r="R711" s="1189"/>
      <c r="S711" s="1189"/>
      <c r="T711" s="1189"/>
      <c r="U711" s="1189"/>
      <c r="V711" s="1189"/>
      <c r="W711" s="1189"/>
      <c r="X711" s="1189"/>
      <c r="Y711" s="1189"/>
      <c r="Z711" s="1189"/>
    </row>
    <row r="712">
      <c r="A712" s="1189"/>
      <c r="B712" s="1189"/>
      <c r="C712" s="1189"/>
      <c r="D712" s="1189"/>
      <c r="E712" s="1189"/>
      <c r="F712" s="1189"/>
      <c r="G712" s="1189"/>
      <c r="H712" s="1189"/>
      <c r="I712" s="1189"/>
      <c r="J712" s="1189"/>
      <c r="K712" s="1189"/>
      <c r="L712" s="1189"/>
      <c r="M712" s="1189"/>
      <c r="N712" s="1189"/>
      <c r="O712" s="1189"/>
      <c r="P712" s="1189"/>
      <c r="Q712" s="1189"/>
      <c r="R712" s="1189"/>
      <c r="S712" s="1189"/>
      <c r="T712" s="1189"/>
      <c r="U712" s="1189"/>
      <c r="V712" s="1189"/>
      <c r="W712" s="1189"/>
      <c r="X712" s="1189"/>
      <c r="Y712" s="1189"/>
      <c r="Z712" s="1189"/>
    </row>
    <row r="713">
      <c r="A713" s="1189"/>
      <c r="B713" s="1189"/>
      <c r="C713" s="1189"/>
      <c r="D713" s="1189"/>
      <c r="E713" s="1189"/>
      <c r="F713" s="1189"/>
      <c r="G713" s="1189"/>
      <c r="H713" s="1189"/>
      <c r="I713" s="1189"/>
      <c r="J713" s="1189"/>
      <c r="K713" s="1189"/>
      <c r="L713" s="1189"/>
      <c r="M713" s="1189"/>
      <c r="N713" s="1189"/>
      <c r="O713" s="1189"/>
      <c r="P713" s="1189"/>
      <c r="Q713" s="1189"/>
      <c r="R713" s="1189"/>
      <c r="S713" s="1189"/>
      <c r="T713" s="1189"/>
      <c r="U713" s="1189"/>
      <c r="V713" s="1189"/>
      <c r="W713" s="1189"/>
      <c r="X713" s="1189"/>
      <c r="Y713" s="1189"/>
      <c r="Z713" s="1189"/>
    </row>
    <row r="714">
      <c r="A714" s="1189"/>
      <c r="B714" s="1189"/>
      <c r="C714" s="1189"/>
      <c r="D714" s="1189"/>
      <c r="E714" s="1189"/>
      <c r="F714" s="1189"/>
      <c r="G714" s="1189"/>
      <c r="H714" s="1189"/>
      <c r="I714" s="1189"/>
      <c r="J714" s="1189"/>
      <c r="K714" s="1189"/>
      <c r="L714" s="1189"/>
      <c r="M714" s="1189"/>
      <c r="N714" s="1189"/>
      <c r="O714" s="1189"/>
      <c r="P714" s="1189"/>
      <c r="Q714" s="1189"/>
      <c r="R714" s="1189"/>
      <c r="S714" s="1189"/>
      <c r="T714" s="1189"/>
      <c r="U714" s="1189"/>
      <c r="V714" s="1189"/>
      <c r="W714" s="1189"/>
      <c r="X714" s="1189"/>
      <c r="Y714" s="1189"/>
      <c r="Z714" s="1189"/>
    </row>
    <row r="715">
      <c r="A715" s="1189"/>
      <c r="B715" s="1189"/>
      <c r="C715" s="1189"/>
      <c r="D715" s="1189"/>
      <c r="E715" s="1189"/>
      <c r="F715" s="1189"/>
      <c r="G715" s="1189"/>
      <c r="H715" s="1189"/>
      <c r="I715" s="1189"/>
      <c r="J715" s="1189"/>
      <c r="K715" s="1189"/>
      <c r="L715" s="1189"/>
      <c r="M715" s="1189"/>
      <c r="N715" s="1189"/>
      <c r="O715" s="1189"/>
      <c r="P715" s="1189"/>
      <c r="Q715" s="1189"/>
      <c r="R715" s="1189"/>
      <c r="S715" s="1189"/>
      <c r="T715" s="1189"/>
      <c r="U715" s="1189"/>
      <c r="V715" s="1189"/>
      <c r="W715" s="1189"/>
      <c r="X715" s="1189"/>
      <c r="Y715" s="1189"/>
      <c r="Z715" s="1189"/>
    </row>
    <row r="716">
      <c r="A716" s="1189"/>
      <c r="B716" s="1189"/>
      <c r="C716" s="1189"/>
      <c r="D716" s="1189"/>
      <c r="E716" s="1189"/>
      <c r="F716" s="1189"/>
      <c r="G716" s="1189"/>
      <c r="H716" s="1189"/>
      <c r="I716" s="1189"/>
      <c r="J716" s="1189"/>
      <c r="K716" s="1189"/>
      <c r="L716" s="1189"/>
      <c r="M716" s="1189"/>
      <c r="N716" s="1189"/>
      <c r="O716" s="1189"/>
      <c r="P716" s="1189"/>
      <c r="Q716" s="1189"/>
      <c r="R716" s="1189"/>
      <c r="S716" s="1189"/>
      <c r="T716" s="1189"/>
      <c r="U716" s="1189"/>
      <c r="V716" s="1189"/>
      <c r="W716" s="1189"/>
      <c r="X716" s="1189"/>
      <c r="Y716" s="1189"/>
      <c r="Z716" s="1189"/>
    </row>
    <row r="717">
      <c r="A717" s="1189"/>
      <c r="B717" s="1189"/>
      <c r="C717" s="1189"/>
      <c r="D717" s="1189"/>
      <c r="E717" s="1189"/>
      <c r="F717" s="1189"/>
      <c r="G717" s="1189"/>
      <c r="H717" s="1189"/>
      <c r="I717" s="1189"/>
      <c r="J717" s="1189"/>
      <c r="K717" s="1189"/>
      <c r="L717" s="1189"/>
      <c r="M717" s="1189"/>
      <c r="N717" s="1189"/>
      <c r="O717" s="1189"/>
      <c r="P717" s="1189"/>
      <c r="Q717" s="1189"/>
      <c r="R717" s="1189"/>
      <c r="S717" s="1189"/>
      <c r="T717" s="1189"/>
      <c r="U717" s="1189"/>
      <c r="V717" s="1189"/>
      <c r="W717" s="1189"/>
      <c r="X717" s="1189"/>
      <c r="Y717" s="1189"/>
      <c r="Z717" s="1189"/>
    </row>
    <row r="718">
      <c r="A718" s="1189"/>
      <c r="B718" s="1189"/>
      <c r="C718" s="1189"/>
      <c r="D718" s="1189"/>
      <c r="E718" s="1189"/>
      <c r="F718" s="1189"/>
      <c r="G718" s="1189"/>
      <c r="H718" s="1189"/>
      <c r="I718" s="1189"/>
      <c r="J718" s="1189"/>
      <c r="K718" s="1189"/>
      <c r="L718" s="1189"/>
      <c r="M718" s="1189"/>
      <c r="N718" s="1189"/>
      <c r="O718" s="1189"/>
      <c r="P718" s="1189"/>
      <c r="Q718" s="1189"/>
      <c r="R718" s="1189"/>
      <c r="S718" s="1189"/>
      <c r="T718" s="1189"/>
      <c r="U718" s="1189"/>
      <c r="V718" s="1189"/>
      <c r="W718" s="1189"/>
      <c r="X718" s="1189"/>
      <c r="Y718" s="1189"/>
      <c r="Z718" s="1189"/>
    </row>
    <row r="719">
      <c r="A719" s="1189"/>
      <c r="B719" s="1189"/>
      <c r="C719" s="1189"/>
      <c r="D719" s="1189"/>
      <c r="E719" s="1189"/>
      <c r="F719" s="1189"/>
      <c r="G719" s="1189"/>
      <c r="H719" s="1189"/>
      <c r="I719" s="1189"/>
      <c r="J719" s="1189"/>
      <c r="K719" s="1189"/>
      <c r="L719" s="1189"/>
      <c r="M719" s="1189"/>
      <c r="N719" s="1189"/>
      <c r="O719" s="1189"/>
      <c r="P719" s="1189"/>
      <c r="Q719" s="1189"/>
      <c r="R719" s="1189"/>
      <c r="S719" s="1189"/>
      <c r="T719" s="1189"/>
      <c r="U719" s="1189"/>
      <c r="V719" s="1189"/>
      <c r="W719" s="1189"/>
      <c r="X719" s="1189"/>
      <c r="Y719" s="1189"/>
      <c r="Z719" s="1189"/>
    </row>
    <row r="720">
      <c r="A720" s="1189"/>
      <c r="B720" s="1189"/>
      <c r="C720" s="1189"/>
      <c r="D720" s="1189"/>
      <c r="E720" s="1189"/>
      <c r="F720" s="1189"/>
      <c r="G720" s="1189"/>
      <c r="H720" s="1189"/>
      <c r="I720" s="1189"/>
      <c r="J720" s="1189"/>
      <c r="K720" s="1189"/>
      <c r="L720" s="1189"/>
      <c r="M720" s="1189"/>
      <c r="N720" s="1189"/>
      <c r="O720" s="1189"/>
      <c r="P720" s="1189"/>
      <c r="Q720" s="1189"/>
      <c r="R720" s="1189"/>
      <c r="S720" s="1189"/>
      <c r="T720" s="1189"/>
      <c r="U720" s="1189"/>
      <c r="V720" s="1189"/>
      <c r="W720" s="1189"/>
      <c r="X720" s="1189"/>
      <c r="Y720" s="1189"/>
      <c r="Z720" s="1189"/>
    </row>
    <row r="721">
      <c r="A721" s="1189"/>
      <c r="B721" s="1189"/>
      <c r="C721" s="1189"/>
      <c r="D721" s="1189"/>
      <c r="E721" s="1189"/>
      <c r="F721" s="1189"/>
      <c r="G721" s="1189"/>
      <c r="H721" s="1189"/>
      <c r="I721" s="1189"/>
      <c r="J721" s="1189"/>
      <c r="K721" s="1189"/>
      <c r="L721" s="1189"/>
      <c r="M721" s="1189"/>
      <c r="N721" s="1189"/>
      <c r="O721" s="1189"/>
      <c r="P721" s="1189"/>
      <c r="Q721" s="1189"/>
      <c r="R721" s="1189"/>
      <c r="S721" s="1189"/>
      <c r="T721" s="1189"/>
      <c r="U721" s="1189"/>
      <c r="V721" s="1189"/>
      <c r="W721" s="1189"/>
      <c r="X721" s="1189"/>
      <c r="Y721" s="1189"/>
      <c r="Z721" s="1189"/>
    </row>
    <row r="722">
      <c r="A722" s="1189"/>
      <c r="B722" s="1189"/>
      <c r="C722" s="1189"/>
      <c r="D722" s="1189"/>
      <c r="E722" s="1189"/>
      <c r="F722" s="1189"/>
      <c r="G722" s="1189"/>
      <c r="H722" s="1189"/>
      <c r="I722" s="1189"/>
      <c r="J722" s="1189"/>
      <c r="K722" s="1189"/>
      <c r="L722" s="1189"/>
      <c r="M722" s="1189"/>
      <c r="N722" s="1189"/>
      <c r="O722" s="1189"/>
      <c r="P722" s="1189"/>
      <c r="Q722" s="1189"/>
      <c r="R722" s="1189"/>
      <c r="S722" s="1189"/>
      <c r="T722" s="1189"/>
      <c r="U722" s="1189"/>
      <c r="V722" s="1189"/>
      <c r="W722" s="1189"/>
      <c r="X722" s="1189"/>
      <c r="Y722" s="1189"/>
      <c r="Z722" s="1189"/>
    </row>
    <row r="723">
      <c r="A723" s="1189"/>
      <c r="B723" s="1189"/>
      <c r="C723" s="1189"/>
      <c r="D723" s="1189"/>
      <c r="E723" s="1189"/>
      <c r="F723" s="1189"/>
      <c r="G723" s="1189"/>
      <c r="H723" s="1189"/>
      <c r="I723" s="1189"/>
      <c r="J723" s="1189"/>
      <c r="K723" s="1189"/>
      <c r="L723" s="1189"/>
      <c r="M723" s="1189"/>
      <c r="N723" s="1189"/>
      <c r="O723" s="1189"/>
      <c r="P723" s="1189"/>
      <c r="Q723" s="1189"/>
      <c r="R723" s="1189"/>
      <c r="S723" s="1189"/>
      <c r="T723" s="1189"/>
      <c r="U723" s="1189"/>
      <c r="V723" s="1189"/>
      <c r="W723" s="1189"/>
      <c r="X723" s="1189"/>
      <c r="Y723" s="1189"/>
      <c r="Z723" s="1189"/>
    </row>
    <row r="724">
      <c r="A724" s="1189"/>
      <c r="B724" s="1189"/>
      <c r="C724" s="1189"/>
      <c r="D724" s="1189"/>
      <c r="E724" s="1189"/>
      <c r="F724" s="1189"/>
      <c r="G724" s="1189"/>
      <c r="H724" s="1189"/>
      <c r="I724" s="1189"/>
      <c r="J724" s="1189"/>
      <c r="K724" s="1189"/>
      <c r="L724" s="1189"/>
      <c r="M724" s="1189"/>
      <c r="N724" s="1189"/>
      <c r="O724" s="1189"/>
      <c r="P724" s="1189"/>
      <c r="Q724" s="1189"/>
      <c r="R724" s="1189"/>
      <c r="S724" s="1189"/>
      <c r="T724" s="1189"/>
      <c r="U724" s="1189"/>
      <c r="V724" s="1189"/>
      <c r="W724" s="1189"/>
      <c r="X724" s="1189"/>
      <c r="Y724" s="1189"/>
      <c r="Z724" s="1189"/>
    </row>
    <row r="725">
      <c r="A725" s="1189"/>
      <c r="B725" s="1189"/>
      <c r="C725" s="1189"/>
      <c r="D725" s="1189"/>
      <c r="E725" s="1189"/>
      <c r="F725" s="1189"/>
      <c r="G725" s="1189"/>
      <c r="H725" s="1189"/>
      <c r="I725" s="1189"/>
      <c r="J725" s="1189"/>
      <c r="K725" s="1189"/>
      <c r="L725" s="1189"/>
      <c r="M725" s="1189"/>
      <c r="N725" s="1189"/>
      <c r="O725" s="1189"/>
      <c r="P725" s="1189"/>
      <c r="Q725" s="1189"/>
      <c r="R725" s="1189"/>
      <c r="S725" s="1189"/>
      <c r="T725" s="1189"/>
      <c r="U725" s="1189"/>
      <c r="V725" s="1189"/>
      <c r="W725" s="1189"/>
      <c r="X725" s="1189"/>
      <c r="Y725" s="1189"/>
      <c r="Z725" s="1189"/>
    </row>
    <row r="726">
      <c r="A726" s="1189"/>
      <c r="B726" s="1189"/>
      <c r="C726" s="1189"/>
      <c r="D726" s="1189"/>
      <c r="E726" s="1189"/>
      <c r="F726" s="1189"/>
      <c r="G726" s="1189"/>
      <c r="H726" s="1189"/>
      <c r="I726" s="1189"/>
      <c r="J726" s="1189"/>
      <c r="K726" s="1189"/>
      <c r="L726" s="1189"/>
      <c r="M726" s="1189"/>
      <c r="N726" s="1189"/>
      <c r="O726" s="1189"/>
      <c r="P726" s="1189"/>
      <c r="Q726" s="1189"/>
      <c r="R726" s="1189"/>
      <c r="S726" s="1189"/>
      <c r="T726" s="1189"/>
      <c r="U726" s="1189"/>
      <c r="V726" s="1189"/>
      <c r="W726" s="1189"/>
      <c r="X726" s="1189"/>
      <c r="Y726" s="1189"/>
      <c r="Z726" s="1189"/>
    </row>
    <row r="727">
      <c r="A727" s="1189"/>
      <c r="B727" s="1189"/>
      <c r="C727" s="1189"/>
      <c r="D727" s="1189"/>
      <c r="E727" s="1189"/>
      <c r="F727" s="1189"/>
      <c r="G727" s="1189"/>
      <c r="H727" s="1189"/>
      <c r="I727" s="1189"/>
      <c r="J727" s="1189"/>
      <c r="K727" s="1189"/>
      <c r="L727" s="1189"/>
      <c r="M727" s="1189"/>
      <c r="N727" s="1189"/>
      <c r="O727" s="1189"/>
      <c r="P727" s="1189"/>
      <c r="Q727" s="1189"/>
      <c r="R727" s="1189"/>
      <c r="S727" s="1189"/>
      <c r="T727" s="1189"/>
      <c r="U727" s="1189"/>
      <c r="V727" s="1189"/>
      <c r="W727" s="1189"/>
      <c r="X727" s="1189"/>
      <c r="Y727" s="1189"/>
      <c r="Z727" s="1189"/>
    </row>
    <row r="728">
      <c r="A728" s="1189"/>
      <c r="B728" s="1189"/>
      <c r="C728" s="1189"/>
      <c r="D728" s="1189"/>
      <c r="E728" s="1189"/>
      <c r="F728" s="1189"/>
      <c r="G728" s="1189"/>
      <c r="H728" s="1189"/>
      <c r="I728" s="1189"/>
      <c r="J728" s="1189"/>
      <c r="K728" s="1189"/>
      <c r="L728" s="1189"/>
      <c r="M728" s="1189"/>
      <c r="N728" s="1189"/>
      <c r="O728" s="1189"/>
      <c r="P728" s="1189"/>
      <c r="Q728" s="1189"/>
      <c r="R728" s="1189"/>
      <c r="S728" s="1189"/>
      <c r="T728" s="1189"/>
      <c r="U728" s="1189"/>
      <c r="V728" s="1189"/>
      <c r="W728" s="1189"/>
      <c r="X728" s="1189"/>
      <c r="Y728" s="1189"/>
      <c r="Z728" s="1189"/>
    </row>
    <row r="729">
      <c r="A729" s="1189"/>
      <c r="B729" s="1189"/>
      <c r="C729" s="1189"/>
      <c r="D729" s="1189"/>
      <c r="E729" s="1189"/>
      <c r="F729" s="1189"/>
      <c r="G729" s="1189"/>
      <c r="H729" s="1189"/>
      <c r="I729" s="1189"/>
      <c r="J729" s="1189"/>
      <c r="K729" s="1189"/>
      <c r="L729" s="1189"/>
      <c r="M729" s="1189"/>
      <c r="N729" s="1189"/>
      <c r="O729" s="1189"/>
      <c r="P729" s="1189"/>
      <c r="Q729" s="1189"/>
      <c r="R729" s="1189"/>
      <c r="S729" s="1189"/>
      <c r="T729" s="1189"/>
      <c r="U729" s="1189"/>
      <c r="V729" s="1189"/>
      <c r="W729" s="1189"/>
      <c r="X729" s="1189"/>
      <c r="Y729" s="1189"/>
      <c r="Z729" s="1189"/>
    </row>
    <row r="730">
      <c r="A730" s="1189"/>
      <c r="B730" s="1189"/>
      <c r="C730" s="1189"/>
      <c r="D730" s="1189"/>
      <c r="E730" s="1189"/>
      <c r="F730" s="1189"/>
      <c r="G730" s="1189"/>
      <c r="H730" s="1189"/>
      <c r="I730" s="1189"/>
      <c r="J730" s="1189"/>
      <c r="K730" s="1189"/>
      <c r="L730" s="1189"/>
      <c r="M730" s="1189"/>
      <c r="N730" s="1189"/>
      <c r="O730" s="1189"/>
      <c r="P730" s="1189"/>
      <c r="Q730" s="1189"/>
      <c r="R730" s="1189"/>
      <c r="S730" s="1189"/>
      <c r="T730" s="1189"/>
      <c r="U730" s="1189"/>
      <c r="V730" s="1189"/>
      <c r="W730" s="1189"/>
      <c r="X730" s="1189"/>
      <c r="Y730" s="1189"/>
      <c r="Z730" s="1189"/>
    </row>
    <row r="731">
      <c r="A731" s="1189"/>
      <c r="B731" s="1189"/>
      <c r="C731" s="1189"/>
      <c r="D731" s="1189"/>
      <c r="E731" s="1189"/>
      <c r="F731" s="1189"/>
      <c r="G731" s="1189"/>
      <c r="H731" s="1189"/>
      <c r="I731" s="1189"/>
      <c r="J731" s="1189"/>
      <c r="K731" s="1189"/>
      <c r="L731" s="1189"/>
      <c r="M731" s="1189"/>
      <c r="N731" s="1189"/>
      <c r="O731" s="1189"/>
      <c r="P731" s="1189"/>
      <c r="Q731" s="1189"/>
      <c r="R731" s="1189"/>
      <c r="S731" s="1189"/>
      <c r="T731" s="1189"/>
      <c r="U731" s="1189"/>
      <c r="V731" s="1189"/>
      <c r="W731" s="1189"/>
      <c r="X731" s="1189"/>
      <c r="Y731" s="1189"/>
      <c r="Z731" s="1189"/>
    </row>
    <row r="732">
      <c r="A732" s="1189"/>
      <c r="B732" s="1189"/>
      <c r="C732" s="1189"/>
      <c r="D732" s="1189"/>
      <c r="E732" s="1189"/>
      <c r="F732" s="1189"/>
      <c r="G732" s="1189"/>
      <c r="H732" s="1189"/>
      <c r="I732" s="1189"/>
      <c r="J732" s="1189"/>
      <c r="K732" s="1189"/>
      <c r="L732" s="1189"/>
      <c r="M732" s="1189"/>
      <c r="N732" s="1189"/>
      <c r="O732" s="1189"/>
      <c r="P732" s="1189"/>
      <c r="Q732" s="1189"/>
      <c r="R732" s="1189"/>
      <c r="S732" s="1189"/>
      <c r="T732" s="1189"/>
      <c r="U732" s="1189"/>
      <c r="V732" s="1189"/>
      <c r="W732" s="1189"/>
      <c r="X732" s="1189"/>
      <c r="Y732" s="1189"/>
      <c r="Z732" s="1189"/>
    </row>
    <row r="733">
      <c r="A733" s="1189"/>
      <c r="B733" s="1189"/>
      <c r="C733" s="1189"/>
      <c r="D733" s="1189"/>
      <c r="E733" s="1189"/>
      <c r="F733" s="1189"/>
      <c r="G733" s="1189"/>
      <c r="H733" s="1189"/>
      <c r="I733" s="1189"/>
      <c r="J733" s="1189"/>
      <c r="K733" s="1189"/>
      <c r="L733" s="1189"/>
      <c r="M733" s="1189"/>
      <c r="N733" s="1189"/>
      <c r="O733" s="1189"/>
      <c r="P733" s="1189"/>
      <c r="Q733" s="1189"/>
      <c r="R733" s="1189"/>
      <c r="S733" s="1189"/>
      <c r="T733" s="1189"/>
      <c r="U733" s="1189"/>
      <c r="V733" s="1189"/>
      <c r="W733" s="1189"/>
      <c r="X733" s="1189"/>
      <c r="Y733" s="1189"/>
      <c r="Z733" s="1189"/>
    </row>
    <row r="734">
      <c r="A734" s="1189"/>
      <c r="B734" s="1189"/>
      <c r="C734" s="1189"/>
      <c r="D734" s="1189"/>
      <c r="E734" s="1189"/>
      <c r="F734" s="1189"/>
      <c r="G734" s="1189"/>
      <c r="H734" s="1189"/>
      <c r="I734" s="1189"/>
      <c r="J734" s="1189"/>
      <c r="K734" s="1189"/>
      <c r="L734" s="1189"/>
      <c r="M734" s="1189"/>
      <c r="N734" s="1189"/>
      <c r="O734" s="1189"/>
      <c r="P734" s="1189"/>
      <c r="Q734" s="1189"/>
      <c r="R734" s="1189"/>
      <c r="S734" s="1189"/>
      <c r="T734" s="1189"/>
      <c r="U734" s="1189"/>
      <c r="V734" s="1189"/>
      <c r="W734" s="1189"/>
      <c r="X734" s="1189"/>
      <c r="Y734" s="1189"/>
      <c r="Z734" s="1189"/>
    </row>
    <row r="735">
      <c r="A735" s="1189"/>
      <c r="B735" s="1189"/>
      <c r="C735" s="1189"/>
      <c r="D735" s="1189"/>
      <c r="E735" s="1189"/>
      <c r="F735" s="1189"/>
      <c r="G735" s="1189"/>
      <c r="H735" s="1189"/>
      <c r="I735" s="1189"/>
      <c r="J735" s="1189"/>
      <c r="K735" s="1189"/>
      <c r="L735" s="1189"/>
      <c r="M735" s="1189"/>
      <c r="N735" s="1189"/>
      <c r="O735" s="1189"/>
      <c r="P735" s="1189"/>
      <c r="Q735" s="1189"/>
      <c r="R735" s="1189"/>
      <c r="S735" s="1189"/>
      <c r="T735" s="1189"/>
      <c r="U735" s="1189"/>
      <c r="V735" s="1189"/>
      <c r="W735" s="1189"/>
      <c r="X735" s="1189"/>
      <c r="Y735" s="1189"/>
      <c r="Z735" s="1189"/>
    </row>
    <row r="736">
      <c r="A736" s="1189"/>
      <c r="B736" s="1189"/>
      <c r="C736" s="1189"/>
      <c r="D736" s="1189"/>
      <c r="E736" s="1189"/>
      <c r="F736" s="1189"/>
      <c r="G736" s="1189"/>
      <c r="H736" s="1189"/>
      <c r="I736" s="1189"/>
      <c r="J736" s="1189"/>
      <c r="K736" s="1189"/>
      <c r="L736" s="1189"/>
      <c r="M736" s="1189"/>
      <c r="N736" s="1189"/>
      <c r="O736" s="1189"/>
      <c r="P736" s="1189"/>
      <c r="Q736" s="1189"/>
      <c r="R736" s="1189"/>
      <c r="S736" s="1189"/>
      <c r="T736" s="1189"/>
      <c r="U736" s="1189"/>
      <c r="V736" s="1189"/>
      <c r="W736" s="1189"/>
      <c r="X736" s="1189"/>
      <c r="Y736" s="1189"/>
      <c r="Z736" s="1189"/>
    </row>
    <row r="737">
      <c r="A737" s="1189"/>
      <c r="B737" s="1189"/>
      <c r="C737" s="1189"/>
      <c r="D737" s="1189"/>
      <c r="E737" s="1189"/>
      <c r="F737" s="1189"/>
      <c r="G737" s="1189"/>
      <c r="H737" s="1189"/>
      <c r="I737" s="1189"/>
      <c r="J737" s="1189"/>
      <c r="K737" s="1189"/>
      <c r="L737" s="1189"/>
      <c r="M737" s="1189"/>
      <c r="N737" s="1189"/>
      <c r="O737" s="1189"/>
      <c r="P737" s="1189"/>
      <c r="Q737" s="1189"/>
      <c r="R737" s="1189"/>
      <c r="S737" s="1189"/>
      <c r="T737" s="1189"/>
      <c r="U737" s="1189"/>
      <c r="V737" s="1189"/>
      <c r="W737" s="1189"/>
      <c r="X737" s="1189"/>
      <c r="Y737" s="1189"/>
      <c r="Z737" s="1189"/>
    </row>
    <row r="738">
      <c r="A738" s="1189"/>
      <c r="B738" s="1189"/>
      <c r="C738" s="1189"/>
      <c r="D738" s="1189"/>
      <c r="E738" s="1189"/>
      <c r="F738" s="1189"/>
      <c r="G738" s="1189"/>
      <c r="H738" s="1189"/>
      <c r="I738" s="1189"/>
      <c r="J738" s="1189"/>
      <c r="K738" s="1189"/>
      <c r="L738" s="1189"/>
      <c r="M738" s="1189"/>
      <c r="N738" s="1189"/>
      <c r="O738" s="1189"/>
      <c r="P738" s="1189"/>
      <c r="Q738" s="1189"/>
      <c r="R738" s="1189"/>
      <c r="S738" s="1189"/>
      <c r="T738" s="1189"/>
      <c r="U738" s="1189"/>
      <c r="V738" s="1189"/>
      <c r="W738" s="1189"/>
      <c r="X738" s="1189"/>
      <c r="Y738" s="1189"/>
      <c r="Z738" s="1189"/>
    </row>
    <row r="739">
      <c r="A739" s="1189"/>
      <c r="B739" s="1189"/>
      <c r="C739" s="1189"/>
      <c r="D739" s="1189"/>
      <c r="E739" s="1189"/>
      <c r="F739" s="1189"/>
      <c r="G739" s="1189"/>
      <c r="H739" s="1189"/>
      <c r="I739" s="1189"/>
      <c r="J739" s="1189"/>
      <c r="K739" s="1189"/>
      <c r="L739" s="1189"/>
      <c r="M739" s="1189"/>
      <c r="N739" s="1189"/>
      <c r="O739" s="1189"/>
      <c r="P739" s="1189"/>
      <c r="Q739" s="1189"/>
      <c r="R739" s="1189"/>
      <c r="S739" s="1189"/>
      <c r="T739" s="1189"/>
      <c r="U739" s="1189"/>
      <c r="V739" s="1189"/>
      <c r="W739" s="1189"/>
      <c r="X739" s="1189"/>
      <c r="Y739" s="1189"/>
      <c r="Z739" s="1189"/>
    </row>
    <row r="740">
      <c r="A740" s="1189"/>
      <c r="B740" s="1189"/>
      <c r="C740" s="1189"/>
      <c r="D740" s="1189"/>
      <c r="E740" s="1189"/>
      <c r="F740" s="1189"/>
      <c r="G740" s="1189"/>
      <c r="H740" s="1189"/>
      <c r="I740" s="1189"/>
      <c r="J740" s="1189"/>
      <c r="K740" s="1189"/>
      <c r="L740" s="1189"/>
      <c r="M740" s="1189"/>
      <c r="N740" s="1189"/>
      <c r="O740" s="1189"/>
      <c r="P740" s="1189"/>
      <c r="Q740" s="1189"/>
      <c r="R740" s="1189"/>
      <c r="S740" s="1189"/>
      <c r="T740" s="1189"/>
      <c r="U740" s="1189"/>
      <c r="V740" s="1189"/>
      <c r="W740" s="1189"/>
      <c r="X740" s="1189"/>
      <c r="Y740" s="1189"/>
      <c r="Z740" s="1189"/>
    </row>
    <row r="741">
      <c r="A741" s="1189"/>
      <c r="B741" s="1189"/>
      <c r="C741" s="1189"/>
      <c r="D741" s="1189"/>
      <c r="E741" s="1189"/>
      <c r="F741" s="1189"/>
      <c r="G741" s="1189"/>
      <c r="H741" s="1189"/>
      <c r="I741" s="1189"/>
      <c r="J741" s="1189"/>
      <c r="K741" s="1189"/>
      <c r="L741" s="1189"/>
      <c r="M741" s="1189"/>
      <c r="N741" s="1189"/>
      <c r="O741" s="1189"/>
      <c r="P741" s="1189"/>
      <c r="Q741" s="1189"/>
      <c r="R741" s="1189"/>
      <c r="S741" s="1189"/>
      <c r="T741" s="1189"/>
      <c r="U741" s="1189"/>
      <c r="V741" s="1189"/>
      <c r="W741" s="1189"/>
      <c r="X741" s="1189"/>
      <c r="Y741" s="1189"/>
      <c r="Z741" s="1189"/>
    </row>
    <row r="742">
      <c r="A742" s="1189"/>
      <c r="B742" s="1189"/>
      <c r="C742" s="1189"/>
      <c r="D742" s="1189"/>
      <c r="E742" s="1189"/>
      <c r="F742" s="1189"/>
      <c r="G742" s="1189"/>
      <c r="H742" s="1189"/>
      <c r="I742" s="1189"/>
      <c r="J742" s="1189"/>
      <c r="K742" s="1189"/>
      <c r="L742" s="1189"/>
      <c r="M742" s="1189"/>
      <c r="N742" s="1189"/>
      <c r="O742" s="1189"/>
      <c r="P742" s="1189"/>
      <c r="Q742" s="1189"/>
      <c r="R742" s="1189"/>
      <c r="S742" s="1189"/>
      <c r="T742" s="1189"/>
      <c r="U742" s="1189"/>
      <c r="V742" s="1189"/>
      <c r="W742" s="1189"/>
      <c r="X742" s="1189"/>
      <c r="Y742" s="1189"/>
      <c r="Z742" s="1189"/>
    </row>
    <row r="743">
      <c r="A743" s="1189"/>
      <c r="B743" s="1189"/>
      <c r="C743" s="1189"/>
      <c r="D743" s="1189"/>
      <c r="E743" s="1189"/>
      <c r="F743" s="1189"/>
      <c r="G743" s="1189"/>
      <c r="H743" s="1189"/>
      <c r="I743" s="1189"/>
      <c r="J743" s="1189"/>
      <c r="K743" s="1189"/>
      <c r="L743" s="1189"/>
      <c r="M743" s="1189"/>
      <c r="N743" s="1189"/>
      <c r="O743" s="1189"/>
      <c r="P743" s="1189"/>
      <c r="Q743" s="1189"/>
      <c r="R743" s="1189"/>
      <c r="S743" s="1189"/>
      <c r="T743" s="1189"/>
      <c r="U743" s="1189"/>
      <c r="V743" s="1189"/>
      <c r="W743" s="1189"/>
      <c r="X743" s="1189"/>
      <c r="Y743" s="1189"/>
      <c r="Z743" s="1189"/>
    </row>
    <row r="744">
      <c r="A744" s="1189"/>
      <c r="B744" s="1189"/>
      <c r="C744" s="1189"/>
      <c r="D744" s="1189"/>
      <c r="E744" s="1189"/>
      <c r="F744" s="1189"/>
      <c r="G744" s="1189"/>
      <c r="H744" s="1189"/>
      <c r="I744" s="1189"/>
      <c r="J744" s="1189"/>
      <c r="K744" s="1189"/>
      <c r="L744" s="1189"/>
      <c r="M744" s="1189"/>
      <c r="N744" s="1189"/>
      <c r="O744" s="1189"/>
      <c r="P744" s="1189"/>
      <c r="Q744" s="1189"/>
      <c r="R744" s="1189"/>
      <c r="S744" s="1189"/>
      <c r="T744" s="1189"/>
      <c r="U744" s="1189"/>
      <c r="V744" s="1189"/>
      <c r="W744" s="1189"/>
      <c r="X744" s="1189"/>
      <c r="Y744" s="1189"/>
      <c r="Z744" s="1189"/>
    </row>
    <row r="745">
      <c r="A745" s="1189"/>
      <c r="B745" s="1189"/>
      <c r="C745" s="1189"/>
      <c r="D745" s="1189"/>
      <c r="E745" s="1189"/>
      <c r="F745" s="1189"/>
      <c r="G745" s="1189"/>
      <c r="H745" s="1189"/>
      <c r="I745" s="1189"/>
      <c r="J745" s="1189"/>
      <c r="K745" s="1189"/>
      <c r="L745" s="1189"/>
      <c r="M745" s="1189"/>
      <c r="N745" s="1189"/>
      <c r="O745" s="1189"/>
      <c r="P745" s="1189"/>
      <c r="Q745" s="1189"/>
      <c r="R745" s="1189"/>
      <c r="S745" s="1189"/>
      <c r="T745" s="1189"/>
      <c r="U745" s="1189"/>
      <c r="V745" s="1189"/>
      <c r="W745" s="1189"/>
      <c r="X745" s="1189"/>
      <c r="Y745" s="1189"/>
      <c r="Z745" s="1189"/>
    </row>
    <row r="746">
      <c r="A746" s="1189"/>
      <c r="B746" s="1189"/>
      <c r="C746" s="1189"/>
      <c r="D746" s="1189"/>
      <c r="E746" s="1189"/>
      <c r="F746" s="1189"/>
      <c r="G746" s="1189"/>
      <c r="H746" s="1189"/>
      <c r="I746" s="1189"/>
      <c r="J746" s="1189"/>
      <c r="K746" s="1189"/>
      <c r="L746" s="1189"/>
      <c r="M746" s="1189"/>
      <c r="N746" s="1189"/>
      <c r="O746" s="1189"/>
      <c r="P746" s="1189"/>
      <c r="Q746" s="1189"/>
      <c r="R746" s="1189"/>
      <c r="S746" s="1189"/>
      <c r="T746" s="1189"/>
      <c r="U746" s="1189"/>
      <c r="V746" s="1189"/>
      <c r="W746" s="1189"/>
      <c r="X746" s="1189"/>
      <c r="Y746" s="1189"/>
      <c r="Z746" s="1189"/>
    </row>
    <row r="747">
      <c r="A747" s="1189"/>
      <c r="B747" s="1189"/>
      <c r="C747" s="1189"/>
      <c r="D747" s="1189"/>
      <c r="E747" s="1189"/>
      <c r="F747" s="1189"/>
      <c r="G747" s="1189"/>
      <c r="H747" s="1189"/>
      <c r="I747" s="1189"/>
      <c r="J747" s="1189"/>
      <c r="K747" s="1189"/>
      <c r="L747" s="1189"/>
      <c r="M747" s="1189"/>
      <c r="N747" s="1189"/>
      <c r="O747" s="1189"/>
      <c r="P747" s="1189"/>
      <c r="Q747" s="1189"/>
      <c r="R747" s="1189"/>
      <c r="S747" s="1189"/>
      <c r="T747" s="1189"/>
      <c r="U747" s="1189"/>
      <c r="V747" s="1189"/>
      <c r="W747" s="1189"/>
      <c r="X747" s="1189"/>
      <c r="Y747" s="1189"/>
      <c r="Z747" s="1189"/>
    </row>
    <row r="748">
      <c r="A748" s="1189"/>
      <c r="B748" s="1189"/>
      <c r="C748" s="1189"/>
      <c r="D748" s="1189"/>
      <c r="E748" s="1189"/>
      <c r="F748" s="1189"/>
      <c r="G748" s="1189"/>
      <c r="H748" s="1189"/>
      <c r="I748" s="1189"/>
      <c r="J748" s="1189"/>
      <c r="K748" s="1189"/>
      <c r="L748" s="1189"/>
      <c r="M748" s="1189"/>
      <c r="N748" s="1189"/>
      <c r="O748" s="1189"/>
      <c r="P748" s="1189"/>
      <c r="Q748" s="1189"/>
      <c r="R748" s="1189"/>
      <c r="S748" s="1189"/>
      <c r="T748" s="1189"/>
      <c r="U748" s="1189"/>
      <c r="V748" s="1189"/>
      <c r="W748" s="1189"/>
      <c r="X748" s="1189"/>
      <c r="Y748" s="1189"/>
      <c r="Z748" s="1189"/>
    </row>
    <row r="749">
      <c r="A749" s="1189"/>
      <c r="B749" s="1189"/>
      <c r="C749" s="1189"/>
      <c r="D749" s="1189"/>
      <c r="E749" s="1189"/>
      <c r="F749" s="1189"/>
      <c r="G749" s="1189"/>
      <c r="H749" s="1189"/>
      <c r="I749" s="1189"/>
      <c r="J749" s="1189"/>
      <c r="K749" s="1189"/>
      <c r="L749" s="1189"/>
      <c r="M749" s="1189"/>
      <c r="N749" s="1189"/>
      <c r="O749" s="1189"/>
      <c r="P749" s="1189"/>
      <c r="Q749" s="1189"/>
      <c r="R749" s="1189"/>
      <c r="S749" s="1189"/>
      <c r="T749" s="1189"/>
      <c r="U749" s="1189"/>
      <c r="V749" s="1189"/>
      <c r="W749" s="1189"/>
      <c r="X749" s="1189"/>
      <c r="Y749" s="1189"/>
      <c r="Z749" s="1189"/>
    </row>
    <row r="750">
      <c r="A750" s="1189"/>
      <c r="B750" s="1189"/>
      <c r="C750" s="1189"/>
      <c r="D750" s="1189"/>
      <c r="E750" s="1189"/>
      <c r="F750" s="1189"/>
      <c r="G750" s="1189"/>
      <c r="H750" s="1189"/>
      <c r="I750" s="1189"/>
      <c r="J750" s="1189"/>
      <c r="K750" s="1189"/>
      <c r="L750" s="1189"/>
      <c r="M750" s="1189"/>
      <c r="N750" s="1189"/>
      <c r="O750" s="1189"/>
      <c r="P750" s="1189"/>
      <c r="Q750" s="1189"/>
      <c r="R750" s="1189"/>
      <c r="S750" s="1189"/>
      <c r="T750" s="1189"/>
      <c r="U750" s="1189"/>
      <c r="V750" s="1189"/>
      <c r="W750" s="1189"/>
      <c r="X750" s="1189"/>
      <c r="Y750" s="1189"/>
      <c r="Z750" s="1189"/>
    </row>
    <row r="751">
      <c r="A751" s="1189"/>
      <c r="B751" s="1189"/>
      <c r="C751" s="1189"/>
      <c r="D751" s="1189"/>
      <c r="E751" s="1189"/>
      <c r="F751" s="1189"/>
      <c r="G751" s="1189"/>
      <c r="H751" s="1189"/>
      <c r="I751" s="1189"/>
      <c r="J751" s="1189"/>
      <c r="K751" s="1189"/>
      <c r="L751" s="1189"/>
      <c r="M751" s="1189"/>
      <c r="N751" s="1189"/>
      <c r="O751" s="1189"/>
      <c r="P751" s="1189"/>
      <c r="Q751" s="1189"/>
      <c r="R751" s="1189"/>
      <c r="S751" s="1189"/>
      <c r="T751" s="1189"/>
      <c r="U751" s="1189"/>
      <c r="V751" s="1189"/>
      <c r="W751" s="1189"/>
      <c r="X751" s="1189"/>
      <c r="Y751" s="1189"/>
      <c r="Z751" s="1189"/>
    </row>
    <row r="752">
      <c r="A752" s="1189"/>
      <c r="B752" s="1189"/>
      <c r="C752" s="1189"/>
      <c r="D752" s="1189"/>
      <c r="E752" s="1189"/>
      <c r="F752" s="1189"/>
      <c r="G752" s="1189"/>
      <c r="H752" s="1189"/>
      <c r="I752" s="1189"/>
      <c r="J752" s="1189"/>
      <c r="K752" s="1189"/>
      <c r="L752" s="1189"/>
      <c r="M752" s="1189"/>
      <c r="N752" s="1189"/>
      <c r="O752" s="1189"/>
      <c r="P752" s="1189"/>
      <c r="Q752" s="1189"/>
      <c r="R752" s="1189"/>
      <c r="S752" s="1189"/>
      <c r="T752" s="1189"/>
      <c r="U752" s="1189"/>
      <c r="V752" s="1189"/>
      <c r="W752" s="1189"/>
      <c r="X752" s="1189"/>
      <c r="Y752" s="1189"/>
      <c r="Z752" s="1189"/>
    </row>
    <row r="753">
      <c r="A753" s="1189"/>
      <c r="B753" s="1189"/>
      <c r="C753" s="1189"/>
      <c r="D753" s="1189"/>
      <c r="E753" s="1189"/>
      <c r="F753" s="1189"/>
      <c r="G753" s="1189"/>
      <c r="H753" s="1189"/>
      <c r="I753" s="1189"/>
      <c r="J753" s="1189"/>
      <c r="K753" s="1189"/>
      <c r="L753" s="1189"/>
      <c r="M753" s="1189"/>
      <c r="N753" s="1189"/>
      <c r="O753" s="1189"/>
      <c r="P753" s="1189"/>
      <c r="Q753" s="1189"/>
      <c r="R753" s="1189"/>
      <c r="S753" s="1189"/>
      <c r="T753" s="1189"/>
      <c r="U753" s="1189"/>
      <c r="V753" s="1189"/>
      <c r="W753" s="1189"/>
      <c r="X753" s="1189"/>
      <c r="Y753" s="1189"/>
      <c r="Z753" s="1189"/>
    </row>
    <row r="754">
      <c r="A754" s="1189"/>
      <c r="B754" s="1189"/>
      <c r="C754" s="1189"/>
      <c r="D754" s="1189"/>
      <c r="E754" s="1189"/>
      <c r="F754" s="1189"/>
      <c r="G754" s="1189"/>
      <c r="H754" s="1189"/>
      <c r="I754" s="1189"/>
      <c r="J754" s="1189"/>
      <c r="K754" s="1189"/>
      <c r="L754" s="1189"/>
      <c r="M754" s="1189"/>
      <c r="N754" s="1189"/>
      <c r="O754" s="1189"/>
      <c r="P754" s="1189"/>
      <c r="Q754" s="1189"/>
      <c r="R754" s="1189"/>
      <c r="S754" s="1189"/>
      <c r="T754" s="1189"/>
      <c r="U754" s="1189"/>
      <c r="V754" s="1189"/>
      <c r="W754" s="1189"/>
      <c r="X754" s="1189"/>
      <c r="Y754" s="1189"/>
      <c r="Z754" s="1189"/>
    </row>
    <row r="755">
      <c r="A755" s="1189"/>
      <c r="B755" s="1189"/>
      <c r="C755" s="1189"/>
      <c r="D755" s="1189"/>
      <c r="E755" s="1189"/>
      <c r="F755" s="1189"/>
      <c r="G755" s="1189"/>
      <c r="H755" s="1189"/>
      <c r="I755" s="1189"/>
      <c r="J755" s="1189"/>
      <c r="K755" s="1189"/>
      <c r="L755" s="1189"/>
      <c r="M755" s="1189"/>
      <c r="N755" s="1189"/>
      <c r="O755" s="1189"/>
      <c r="P755" s="1189"/>
      <c r="Q755" s="1189"/>
      <c r="R755" s="1189"/>
      <c r="S755" s="1189"/>
      <c r="T755" s="1189"/>
      <c r="U755" s="1189"/>
      <c r="V755" s="1189"/>
      <c r="W755" s="1189"/>
      <c r="X755" s="1189"/>
      <c r="Y755" s="1189"/>
      <c r="Z755" s="1189"/>
    </row>
    <row r="756">
      <c r="A756" s="1189"/>
      <c r="B756" s="1189"/>
      <c r="C756" s="1189"/>
      <c r="D756" s="1189"/>
      <c r="E756" s="1189"/>
      <c r="F756" s="1189"/>
      <c r="G756" s="1189"/>
      <c r="H756" s="1189"/>
      <c r="I756" s="1189"/>
      <c r="J756" s="1189"/>
      <c r="K756" s="1189"/>
      <c r="L756" s="1189"/>
      <c r="M756" s="1189"/>
      <c r="N756" s="1189"/>
      <c r="O756" s="1189"/>
      <c r="P756" s="1189"/>
      <c r="Q756" s="1189"/>
      <c r="R756" s="1189"/>
      <c r="S756" s="1189"/>
      <c r="T756" s="1189"/>
      <c r="U756" s="1189"/>
      <c r="V756" s="1189"/>
      <c r="W756" s="1189"/>
      <c r="X756" s="1189"/>
      <c r="Y756" s="1189"/>
      <c r="Z756" s="1189"/>
    </row>
    <row r="757">
      <c r="A757" s="1189"/>
      <c r="B757" s="1189"/>
      <c r="C757" s="1189"/>
      <c r="D757" s="1189"/>
      <c r="E757" s="1189"/>
      <c r="F757" s="1189"/>
      <c r="G757" s="1189"/>
      <c r="H757" s="1189"/>
      <c r="I757" s="1189"/>
      <c r="J757" s="1189"/>
      <c r="K757" s="1189"/>
      <c r="L757" s="1189"/>
      <c r="M757" s="1189"/>
      <c r="N757" s="1189"/>
      <c r="O757" s="1189"/>
      <c r="P757" s="1189"/>
      <c r="Q757" s="1189"/>
      <c r="R757" s="1189"/>
      <c r="S757" s="1189"/>
      <c r="T757" s="1189"/>
      <c r="U757" s="1189"/>
      <c r="V757" s="1189"/>
      <c r="W757" s="1189"/>
      <c r="X757" s="1189"/>
      <c r="Y757" s="1189"/>
      <c r="Z757" s="1189"/>
    </row>
    <row r="758">
      <c r="A758" s="1189"/>
      <c r="B758" s="1189"/>
      <c r="C758" s="1189"/>
      <c r="D758" s="1189"/>
      <c r="E758" s="1189"/>
      <c r="F758" s="1189"/>
      <c r="G758" s="1189"/>
      <c r="H758" s="1189"/>
      <c r="I758" s="1189"/>
      <c r="J758" s="1189"/>
      <c r="K758" s="1189"/>
      <c r="L758" s="1189"/>
      <c r="M758" s="1189"/>
      <c r="N758" s="1189"/>
      <c r="O758" s="1189"/>
      <c r="P758" s="1189"/>
      <c r="Q758" s="1189"/>
      <c r="R758" s="1189"/>
      <c r="S758" s="1189"/>
      <c r="T758" s="1189"/>
      <c r="U758" s="1189"/>
      <c r="V758" s="1189"/>
      <c r="W758" s="1189"/>
      <c r="X758" s="1189"/>
      <c r="Y758" s="1189"/>
      <c r="Z758" s="1189"/>
    </row>
    <row r="759">
      <c r="A759" s="1189"/>
      <c r="B759" s="1189"/>
      <c r="C759" s="1189"/>
      <c r="D759" s="1189"/>
      <c r="E759" s="1189"/>
      <c r="F759" s="1189"/>
      <c r="G759" s="1189"/>
      <c r="H759" s="1189"/>
      <c r="I759" s="1189"/>
      <c r="J759" s="1189"/>
      <c r="K759" s="1189"/>
      <c r="L759" s="1189"/>
      <c r="M759" s="1189"/>
      <c r="N759" s="1189"/>
      <c r="O759" s="1189"/>
      <c r="P759" s="1189"/>
      <c r="Q759" s="1189"/>
      <c r="R759" s="1189"/>
      <c r="S759" s="1189"/>
      <c r="T759" s="1189"/>
      <c r="U759" s="1189"/>
      <c r="V759" s="1189"/>
      <c r="W759" s="1189"/>
      <c r="X759" s="1189"/>
      <c r="Y759" s="1189"/>
      <c r="Z759" s="1189"/>
    </row>
    <row r="760">
      <c r="A760" s="1189"/>
      <c r="B760" s="1189"/>
      <c r="C760" s="1189"/>
      <c r="D760" s="1189"/>
      <c r="E760" s="1189"/>
      <c r="F760" s="1189"/>
      <c r="G760" s="1189"/>
      <c r="H760" s="1189"/>
      <c r="I760" s="1189"/>
      <c r="J760" s="1189"/>
      <c r="K760" s="1189"/>
      <c r="L760" s="1189"/>
      <c r="M760" s="1189"/>
      <c r="N760" s="1189"/>
      <c r="O760" s="1189"/>
      <c r="P760" s="1189"/>
      <c r="Q760" s="1189"/>
      <c r="R760" s="1189"/>
      <c r="S760" s="1189"/>
      <c r="T760" s="1189"/>
      <c r="U760" s="1189"/>
      <c r="V760" s="1189"/>
      <c r="W760" s="1189"/>
      <c r="X760" s="1189"/>
      <c r="Y760" s="1189"/>
      <c r="Z760" s="1189"/>
    </row>
    <row r="761">
      <c r="A761" s="1189"/>
      <c r="B761" s="1189"/>
      <c r="C761" s="1189"/>
      <c r="D761" s="1189"/>
      <c r="E761" s="1189"/>
      <c r="F761" s="1189"/>
      <c r="G761" s="1189"/>
      <c r="H761" s="1189"/>
      <c r="I761" s="1189"/>
      <c r="J761" s="1189"/>
      <c r="K761" s="1189"/>
      <c r="L761" s="1189"/>
      <c r="M761" s="1189"/>
      <c r="N761" s="1189"/>
      <c r="O761" s="1189"/>
      <c r="P761" s="1189"/>
      <c r="Q761" s="1189"/>
      <c r="R761" s="1189"/>
      <c r="S761" s="1189"/>
      <c r="T761" s="1189"/>
      <c r="U761" s="1189"/>
      <c r="V761" s="1189"/>
      <c r="W761" s="1189"/>
      <c r="X761" s="1189"/>
      <c r="Y761" s="1189"/>
      <c r="Z761" s="1189"/>
    </row>
    <row r="762">
      <c r="A762" s="1189"/>
      <c r="B762" s="1189"/>
      <c r="C762" s="1189"/>
      <c r="D762" s="1189"/>
      <c r="E762" s="1189"/>
      <c r="F762" s="1189"/>
      <c r="G762" s="1189"/>
      <c r="H762" s="1189"/>
      <c r="I762" s="1189"/>
      <c r="J762" s="1189"/>
      <c r="K762" s="1189"/>
      <c r="L762" s="1189"/>
      <c r="M762" s="1189"/>
      <c r="N762" s="1189"/>
      <c r="O762" s="1189"/>
      <c r="P762" s="1189"/>
      <c r="Q762" s="1189"/>
      <c r="R762" s="1189"/>
      <c r="S762" s="1189"/>
      <c r="T762" s="1189"/>
      <c r="U762" s="1189"/>
      <c r="V762" s="1189"/>
      <c r="W762" s="1189"/>
      <c r="X762" s="1189"/>
      <c r="Y762" s="1189"/>
      <c r="Z762" s="1189"/>
    </row>
    <row r="763">
      <c r="A763" s="1189"/>
      <c r="B763" s="1189"/>
      <c r="C763" s="1189"/>
      <c r="D763" s="1189"/>
      <c r="E763" s="1189"/>
      <c r="F763" s="1189"/>
      <c r="G763" s="1189"/>
      <c r="H763" s="1189"/>
      <c r="I763" s="1189"/>
      <c r="J763" s="1189"/>
      <c r="K763" s="1189"/>
      <c r="L763" s="1189"/>
      <c r="M763" s="1189"/>
      <c r="N763" s="1189"/>
      <c r="O763" s="1189"/>
      <c r="P763" s="1189"/>
      <c r="Q763" s="1189"/>
      <c r="R763" s="1189"/>
      <c r="S763" s="1189"/>
      <c r="T763" s="1189"/>
      <c r="U763" s="1189"/>
      <c r="V763" s="1189"/>
      <c r="W763" s="1189"/>
      <c r="X763" s="1189"/>
      <c r="Y763" s="1189"/>
      <c r="Z763" s="1189"/>
    </row>
    <row r="764">
      <c r="A764" s="1189"/>
      <c r="B764" s="1189"/>
      <c r="C764" s="1189"/>
      <c r="D764" s="1189"/>
      <c r="E764" s="1189"/>
      <c r="F764" s="1189"/>
      <c r="G764" s="1189"/>
      <c r="H764" s="1189"/>
      <c r="I764" s="1189"/>
      <c r="J764" s="1189"/>
      <c r="K764" s="1189"/>
      <c r="L764" s="1189"/>
      <c r="M764" s="1189"/>
      <c r="N764" s="1189"/>
      <c r="O764" s="1189"/>
      <c r="P764" s="1189"/>
      <c r="Q764" s="1189"/>
      <c r="R764" s="1189"/>
      <c r="S764" s="1189"/>
      <c r="T764" s="1189"/>
      <c r="U764" s="1189"/>
      <c r="V764" s="1189"/>
      <c r="W764" s="1189"/>
      <c r="X764" s="1189"/>
      <c r="Y764" s="1189"/>
      <c r="Z764" s="1189"/>
    </row>
    <row r="765">
      <c r="A765" s="1189"/>
      <c r="B765" s="1189"/>
      <c r="C765" s="1189"/>
      <c r="D765" s="1189"/>
      <c r="E765" s="1189"/>
      <c r="F765" s="1189"/>
      <c r="G765" s="1189"/>
      <c r="H765" s="1189"/>
      <c r="I765" s="1189"/>
      <c r="J765" s="1189"/>
      <c r="K765" s="1189"/>
      <c r="L765" s="1189"/>
      <c r="M765" s="1189"/>
      <c r="N765" s="1189"/>
      <c r="O765" s="1189"/>
      <c r="P765" s="1189"/>
      <c r="Q765" s="1189"/>
      <c r="R765" s="1189"/>
      <c r="S765" s="1189"/>
      <c r="T765" s="1189"/>
      <c r="U765" s="1189"/>
      <c r="V765" s="1189"/>
      <c r="W765" s="1189"/>
      <c r="X765" s="1189"/>
      <c r="Y765" s="1189"/>
      <c r="Z765" s="1189"/>
    </row>
    <row r="766">
      <c r="A766" s="1189"/>
      <c r="B766" s="1189"/>
      <c r="C766" s="1189"/>
      <c r="D766" s="1189"/>
      <c r="E766" s="1189"/>
      <c r="F766" s="1189"/>
      <c r="G766" s="1189"/>
      <c r="H766" s="1189"/>
      <c r="I766" s="1189"/>
      <c r="J766" s="1189"/>
      <c r="K766" s="1189"/>
      <c r="L766" s="1189"/>
      <c r="M766" s="1189"/>
      <c r="N766" s="1189"/>
      <c r="O766" s="1189"/>
      <c r="P766" s="1189"/>
      <c r="Q766" s="1189"/>
      <c r="R766" s="1189"/>
      <c r="S766" s="1189"/>
      <c r="T766" s="1189"/>
      <c r="U766" s="1189"/>
      <c r="V766" s="1189"/>
      <c r="W766" s="1189"/>
      <c r="X766" s="1189"/>
      <c r="Y766" s="1189"/>
      <c r="Z766" s="1189"/>
    </row>
    <row r="767">
      <c r="A767" s="1189"/>
      <c r="B767" s="1189"/>
      <c r="C767" s="1189"/>
      <c r="D767" s="1189"/>
      <c r="E767" s="1189"/>
      <c r="F767" s="1189"/>
      <c r="G767" s="1189"/>
      <c r="H767" s="1189"/>
      <c r="I767" s="1189"/>
      <c r="J767" s="1189"/>
      <c r="K767" s="1189"/>
      <c r="L767" s="1189"/>
      <c r="M767" s="1189"/>
      <c r="N767" s="1189"/>
      <c r="O767" s="1189"/>
      <c r="P767" s="1189"/>
      <c r="Q767" s="1189"/>
      <c r="R767" s="1189"/>
      <c r="S767" s="1189"/>
      <c r="T767" s="1189"/>
      <c r="U767" s="1189"/>
      <c r="V767" s="1189"/>
      <c r="W767" s="1189"/>
      <c r="X767" s="1189"/>
      <c r="Y767" s="1189"/>
      <c r="Z767" s="1189"/>
    </row>
    <row r="768">
      <c r="A768" s="1189"/>
      <c r="B768" s="1189"/>
      <c r="C768" s="1189"/>
      <c r="D768" s="1189"/>
      <c r="E768" s="1189"/>
      <c r="F768" s="1189"/>
      <c r="G768" s="1189"/>
      <c r="H768" s="1189"/>
      <c r="I768" s="1189"/>
      <c r="J768" s="1189"/>
      <c r="K768" s="1189"/>
      <c r="L768" s="1189"/>
      <c r="M768" s="1189"/>
      <c r="N768" s="1189"/>
      <c r="O768" s="1189"/>
      <c r="P768" s="1189"/>
      <c r="Q768" s="1189"/>
      <c r="R768" s="1189"/>
      <c r="S768" s="1189"/>
      <c r="T768" s="1189"/>
      <c r="U768" s="1189"/>
      <c r="V768" s="1189"/>
      <c r="W768" s="1189"/>
      <c r="X768" s="1189"/>
      <c r="Y768" s="1189"/>
      <c r="Z768" s="1189"/>
    </row>
    <row r="769">
      <c r="A769" s="1189"/>
      <c r="B769" s="1189"/>
      <c r="C769" s="1189"/>
      <c r="D769" s="1189"/>
      <c r="E769" s="1189"/>
      <c r="F769" s="1189"/>
      <c r="G769" s="1189"/>
      <c r="H769" s="1189"/>
      <c r="I769" s="1189"/>
      <c r="J769" s="1189"/>
      <c r="K769" s="1189"/>
      <c r="L769" s="1189"/>
      <c r="M769" s="1189"/>
      <c r="N769" s="1189"/>
      <c r="O769" s="1189"/>
      <c r="P769" s="1189"/>
      <c r="Q769" s="1189"/>
      <c r="R769" s="1189"/>
      <c r="S769" s="1189"/>
      <c r="T769" s="1189"/>
      <c r="U769" s="1189"/>
      <c r="V769" s="1189"/>
      <c r="W769" s="1189"/>
      <c r="X769" s="1189"/>
      <c r="Y769" s="1189"/>
      <c r="Z769" s="1189"/>
    </row>
    <row r="770">
      <c r="A770" s="1189"/>
      <c r="B770" s="1189"/>
      <c r="C770" s="1189"/>
      <c r="D770" s="1189"/>
      <c r="E770" s="1189"/>
      <c r="F770" s="1189"/>
      <c r="G770" s="1189"/>
      <c r="H770" s="1189"/>
      <c r="I770" s="1189"/>
      <c r="J770" s="1189"/>
      <c r="K770" s="1189"/>
      <c r="L770" s="1189"/>
      <c r="M770" s="1189"/>
      <c r="N770" s="1189"/>
      <c r="O770" s="1189"/>
      <c r="P770" s="1189"/>
      <c r="Q770" s="1189"/>
      <c r="R770" s="1189"/>
      <c r="S770" s="1189"/>
      <c r="T770" s="1189"/>
      <c r="U770" s="1189"/>
      <c r="V770" s="1189"/>
      <c r="W770" s="1189"/>
      <c r="X770" s="1189"/>
      <c r="Y770" s="1189"/>
      <c r="Z770" s="1189"/>
    </row>
    <row r="771">
      <c r="A771" s="1189"/>
      <c r="B771" s="1189"/>
      <c r="C771" s="1189"/>
      <c r="D771" s="1189"/>
      <c r="E771" s="1189"/>
      <c r="F771" s="1189"/>
      <c r="G771" s="1189"/>
      <c r="H771" s="1189"/>
      <c r="I771" s="1189"/>
      <c r="J771" s="1189"/>
      <c r="K771" s="1189"/>
      <c r="L771" s="1189"/>
      <c r="M771" s="1189"/>
      <c r="N771" s="1189"/>
      <c r="O771" s="1189"/>
      <c r="P771" s="1189"/>
      <c r="Q771" s="1189"/>
      <c r="R771" s="1189"/>
      <c r="S771" s="1189"/>
      <c r="T771" s="1189"/>
      <c r="U771" s="1189"/>
      <c r="V771" s="1189"/>
      <c r="W771" s="1189"/>
      <c r="X771" s="1189"/>
      <c r="Y771" s="1189"/>
      <c r="Z771" s="1189"/>
    </row>
    <row r="772">
      <c r="A772" s="1189"/>
      <c r="B772" s="1189"/>
      <c r="C772" s="1189"/>
      <c r="D772" s="1189"/>
      <c r="E772" s="1189"/>
      <c r="F772" s="1189"/>
      <c r="G772" s="1189"/>
      <c r="H772" s="1189"/>
      <c r="I772" s="1189"/>
      <c r="J772" s="1189"/>
      <c r="K772" s="1189"/>
      <c r="L772" s="1189"/>
      <c r="M772" s="1189"/>
      <c r="N772" s="1189"/>
      <c r="O772" s="1189"/>
      <c r="P772" s="1189"/>
      <c r="Q772" s="1189"/>
      <c r="R772" s="1189"/>
      <c r="S772" s="1189"/>
      <c r="T772" s="1189"/>
      <c r="U772" s="1189"/>
      <c r="V772" s="1189"/>
      <c r="W772" s="1189"/>
      <c r="X772" s="1189"/>
      <c r="Y772" s="1189"/>
      <c r="Z772" s="1189"/>
    </row>
    <row r="773">
      <c r="A773" s="1189"/>
      <c r="B773" s="1189"/>
      <c r="C773" s="1189"/>
      <c r="D773" s="1189"/>
      <c r="E773" s="1189"/>
      <c r="F773" s="1189"/>
      <c r="G773" s="1189"/>
      <c r="H773" s="1189"/>
      <c r="I773" s="1189"/>
      <c r="J773" s="1189"/>
      <c r="K773" s="1189"/>
      <c r="L773" s="1189"/>
      <c r="M773" s="1189"/>
      <c r="N773" s="1189"/>
      <c r="O773" s="1189"/>
      <c r="P773" s="1189"/>
      <c r="Q773" s="1189"/>
      <c r="R773" s="1189"/>
      <c r="S773" s="1189"/>
      <c r="T773" s="1189"/>
      <c r="U773" s="1189"/>
      <c r="V773" s="1189"/>
      <c r="W773" s="1189"/>
      <c r="X773" s="1189"/>
      <c r="Y773" s="1189"/>
      <c r="Z773" s="1189"/>
    </row>
    <row r="774">
      <c r="A774" s="1189"/>
      <c r="B774" s="1189"/>
      <c r="C774" s="1189"/>
      <c r="D774" s="1189"/>
      <c r="E774" s="1189"/>
      <c r="F774" s="1189"/>
      <c r="G774" s="1189"/>
      <c r="H774" s="1189"/>
      <c r="I774" s="1189"/>
      <c r="J774" s="1189"/>
      <c r="K774" s="1189"/>
      <c r="L774" s="1189"/>
      <c r="M774" s="1189"/>
      <c r="N774" s="1189"/>
      <c r="O774" s="1189"/>
      <c r="P774" s="1189"/>
      <c r="Q774" s="1189"/>
      <c r="R774" s="1189"/>
      <c r="S774" s="1189"/>
      <c r="T774" s="1189"/>
      <c r="U774" s="1189"/>
      <c r="V774" s="1189"/>
      <c r="W774" s="1189"/>
      <c r="X774" s="1189"/>
      <c r="Y774" s="1189"/>
      <c r="Z774" s="1189"/>
    </row>
    <row r="775">
      <c r="A775" s="1189"/>
      <c r="B775" s="1189"/>
      <c r="C775" s="1189"/>
      <c r="D775" s="1189"/>
      <c r="E775" s="1189"/>
      <c r="F775" s="1189"/>
      <c r="G775" s="1189"/>
      <c r="H775" s="1189"/>
      <c r="I775" s="1189"/>
      <c r="J775" s="1189"/>
      <c r="K775" s="1189"/>
      <c r="L775" s="1189"/>
      <c r="M775" s="1189"/>
      <c r="N775" s="1189"/>
      <c r="O775" s="1189"/>
      <c r="P775" s="1189"/>
      <c r="Q775" s="1189"/>
      <c r="R775" s="1189"/>
      <c r="S775" s="1189"/>
      <c r="T775" s="1189"/>
      <c r="U775" s="1189"/>
      <c r="V775" s="1189"/>
      <c r="W775" s="1189"/>
      <c r="X775" s="1189"/>
      <c r="Y775" s="1189"/>
      <c r="Z775" s="1189"/>
    </row>
    <row r="776">
      <c r="A776" s="1189"/>
      <c r="B776" s="1189"/>
      <c r="C776" s="1189"/>
      <c r="D776" s="1189"/>
      <c r="E776" s="1189"/>
      <c r="F776" s="1189"/>
      <c r="G776" s="1189"/>
      <c r="H776" s="1189"/>
      <c r="I776" s="1189"/>
      <c r="J776" s="1189"/>
      <c r="K776" s="1189"/>
      <c r="L776" s="1189"/>
      <c r="M776" s="1189"/>
      <c r="N776" s="1189"/>
      <c r="O776" s="1189"/>
      <c r="P776" s="1189"/>
      <c r="Q776" s="1189"/>
      <c r="R776" s="1189"/>
      <c r="S776" s="1189"/>
      <c r="T776" s="1189"/>
      <c r="U776" s="1189"/>
      <c r="V776" s="1189"/>
      <c r="W776" s="1189"/>
      <c r="X776" s="1189"/>
      <c r="Y776" s="1189"/>
      <c r="Z776" s="1189"/>
    </row>
    <row r="777">
      <c r="A777" s="1189"/>
      <c r="B777" s="1189"/>
      <c r="C777" s="1189"/>
      <c r="D777" s="1189"/>
      <c r="E777" s="1189"/>
      <c r="F777" s="1189"/>
      <c r="G777" s="1189"/>
      <c r="H777" s="1189"/>
      <c r="I777" s="1189"/>
      <c r="J777" s="1189"/>
      <c r="K777" s="1189"/>
      <c r="L777" s="1189"/>
      <c r="M777" s="1189"/>
      <c r="N777" s="1189"/>
      <c r="O777" s="1189"/>
      <c r="P777" s="1189"/>
      <c r="Q777" s="1189"/>
      <c r="R777" s="1189"/>
      <c r="S777" s="1189"/>
      <c r="T777" s="1189"/>
      <c r="U777" s="1189"/>
      <c r="V777" s="1189"/>
      <c r="W777" s="1189"/>
      <c r="X777" s="1189"/>
      <c r="Y777" s="1189"/>
      <c r="Z777" s="1189"/>
    </row>
    <row r="778">
      <c r="A778" s="1189"/>
      <c r="B778" s="1189"/>
      <c r="C778" s="1189"/>
      <c r="D778" s="1189"/>
      <c r="E778" s="1189"/>
      <c r="F778" s="1189"/>
      <c r="G778" s="1189"/>
      <c r="H778" s="1189"/>
      <c r="I778" s="1189"/>
      <c r="J778" s="1189"/>
      <c r="K778" s="1189"/>
      <c r="L778" s="1189"/>
      <c r="M778" s="1189"/>
      <c r="N778" s="1189"/>
      <c r="O778" s="1189"/>
      <c r="P778" s="1189"/>
      <c r="Q778" s="1189"/>
      <c r="R778" s="1189"/>
      <c r="S778" s="1189"/>
      <c r="T778" s="1189"/>
      <c r="U778" s="1189"/>
      <c r="V778" s="1189"/>
      <c r="W778" s="1189"/>
      <c r="X778" s="1189"/>
      <c r="Y778" s="1189"/>
      <c r="Z778" s="1189"/>
    </row>
    <row r="779">
      <c r="A779" s="1189"/>
      <c r="B779" s="1189"/>
      <c r="C779" s="1189"/>
      <c r="D779" s="1189"/>
      <c r="E779" s="1189"/>
      <c r="F779" s="1189"/>
      <c r="G779" s="1189"/>
      <c r="H779" s="1189"/>
      <c r="I779" s="1189"/>
      <c r="J779" s="1189"/>
      <c r="K779" s="1189"/>
      <c r="L779" s="1189"/>
      <c r="M779" s="1189"/>
      <c r="N779" s="1189"/>
      <c r="O779" s="1189"/>
      <c r="P779" s="1189"/>
      <c r="Q779" s="1189"/>
      <c r="R779" s="1189"/>
      <c r="S779" s="1189"/>
      <c r="T779" s="1189"/>
      <c r="U779" s="1189"/>
      <c r="V779" s="1189"/>
      <c r="W779" s="1189"/>
      <c r="X779" s="1189"/>
      <c r="Y779" s="1189"/>
      <c r="Z779" s="1189"/>
    </row>
    <row r="780">
      <c r="A780" s="1189"/>
      <c r="B780" s="1189"/>
      <c r="C780" s="1189"/>
      <c r="D780" s="1189"/>
      <c r="E780" s="1189"/>
      <c r="F780" s="1189"/>
      <c r="G780" s="1189"/>
      <c r="H780" s="1189"/>
      <c r="I780" s="1189"/>
      <c r="J780" s="1189"/>
      <c r="K780" s="1189"/>
      <c r="L780" s="1189"/>
      <c r="M780" s="1189"/>
      <c r="N780" s="1189"/>
      <c r="O780" s="1189"/>
      <c r="P780" s="1189"/>
      <c r="Q780" s="1189"/>
      <c r="R780" s="1189"/>
      <c r="S780" s="1189"/>
      <c r="T780" s="1189"/>
      <c r="U780" s="1189"/>
      <c r="V780" s="1189"/>
      <c r="W780" s="1189"/>
      <c r="X780" s="1189"/>
      <c r="Y780" s="1189"/>
      <c r="Z780" s="1189"/>
    </row>
    <row r="781">
      <c r="A781" s="1189"/>
      <c r="B781" s="1189"/>
      <c r="C781" s="1189"/>
      <c r="D781" s="1189"/>
      <c r="E781" s="1189"/>
      <c r="F781" s="1189"/>
      <c r="G781" s="1189"/>
      <c r="H781" s="1189"/>
      <c r="I781" s="1189"/>
      <c r="J781" s="1189"/>
      <c r="K781" s="1189"/>
      <c r="L781" s="1189"/>
      <c r="M781" s="1189"/>
      <c r="N781" s="1189"/>
      <c r="O781" s="1189"/>
      <c r="P781" s="1189"/>
      <c r="Q781" s="1189"/>
      <c r="R781" s="1189"/>
      <c r="S781" s="1189"/>
      <c r="T781" s="1189"/>
      <c r="U781" s="1189"/>
      <c r="V781" s="1189"/>
      <c r="W781" s="1189"/>
      <c r="X781" s="1189"/>
      <c r="Y781" s="1189"/>
      <c r="Z781" s="1189"/>
    </row>
    <row r="782">
      <c r="A782" s="1189"/>
      <c r="B782" s="1189"/>
      <c r="C782" s="1189"/>
      <c r="D782" s="1189"/>
      <c r="E782" s="1189"/>
      <c r="F782" s="1189"/>
      <c r="G782" s="1189"/>
      <c r="H782" s="1189"/>
      <c r="I782" s="1189"/>
      <c r="J782" s="1189"/>
      <c r="K782" s="1189"/>
      <c r="L782" s="1189"/>
      <c r="M782" s="1189"/>
      <c r="N782" s="1189"/>
      <c r="O782" s="1189"/>
      <c r="P782" s="1189"/>
      <c r="Q782" s="1189"/>
      <c r="R782" s="1189"/>
      <c r="S782" s="1189"/>
      <c r="T782" s="1189"/>
      <c r="U782" s="1189"/>
      <c r="V782" s="1189"/>
      <c r="W782" s="1189"/>
      <c r="X782" s="1189"/>
      <c r="Y782" s="1189"/>
      <c r="Z782" s="1189"/>
    </row>
    <row r="783">
      <c r="A783" s="1189"/>
      <c r="B783" s="1189"/>
      <c r="C783" s="1189"/>
      <c r="D783" s="1189"/>
      <c r="E783" s="1189"/>
      <c r="F783" s="1189"/>
      <c r="G783" s="1189"/>
      <c r="H783" s="1189"/>
      <c r="I783" s="1189"/>
      <c r="J783" s="1189"/>
      <c r="K783" s="1189"/>
      <c r="L783" s="1189"/>
      <c r="M783" s="1189"/>
      <c r="N783" s="1189"/>
      <c r="O783" s="1189"/>
      <c r="P783" s="1189"/>
      <c r="Q783" s="1189"/>
      <c r="R783" s="1189"/>
      <c r="S783" s="1189"/>
      <c r="T783" s="1189"/>
      <c r="U783" s="1189"/>
      <c r="V783" s="1189"/>
      <c r="W783" s="1189"/>
      <c r="X783" s="1189"/>
      <c r="Y783" s="1189"/>
      <c r="Z783" s="1189"/>
    </row>
    <row r="784">
      <c r="A784" s="1189"/>
      <c r="B784" s="1189"/>
      <c r="C784" s="1189"/>
      <c r="D784" s="1189"/>
      <c r="E784" s="1189"/>
      <c r="F784" s="1189"/>
      <c r="G784" s="1189"/>
      <c r="H784" s="1189"/>
      <c r="I784" s="1189"/>
      <c r="J784" s="1189"/>
      <c r="K784" s="1189"/>
      <c r="L784" s="1189"/>
      <c r="M784" s="1189"/>
      <c r="N784" s="1189"/>
      <c r="O784" s="1189"/>
      <c r="P784" s="1189"/>
      <c r="Q784" s="1189"/>
      <c r="R784" s="1189"/>
      <c r="S784" s="1189"/>
      <c r="T784" s="1189"/>
      <c r="U784" s="1189"/>
      <c r="V784" s="1189"/>
      <c r="W784" s="1189"/>
      <c r="X784" s="1189"/>
      <c r="Y784" s="1189"/>
      <c r="Z784" s="1189"/>
    </row>
    <row r="785">
      <c r="A785" s="1189"/>
      <c r="B785" s="1189"/>
      <c r="C785" s="1189"/>
      <c r="D785" s="1189"/>
      <c r="E785" s="1189"/>
      <c r="F785" s="1189"/>
      <c r="G785" s="1189"/>
      <c r="H785" s="1189"/>
      <c r="I785" s="1189"/>
      <c r="J785" s="1189"/>
      <c r="K785" s="1189"/>
      <c r="L785" s="1189"/>
      <c r="M785" s="1189"/>
      <c r="N785" s="1189"/>
      <c r="O785" s="1189"/>
      <c r="P785" s="1189"/>
      <c r="Q785" s="1189"/>
      <c r="R785" s="1189"/>
      <c r="S785" s="1189"/>
      <c r="T785" s="1189"/>
      <c r="U785" s="1189"/>
      <c r="V785" s="1189"/>
      <c r="W785" s="1189"/>
      <c r="X785" s="1189"/>
      <c r="Y785" s="1189"/>
      <c r="Z785" s="1189"/>
    </row>
    <row r="786">
      <c r="A786" s="1189"/>
      <c r="B786" s="1189"/>
      <c r="C786" s="1189"/>
      <c r="D786" s="1189"/>
      <c r="E786" s="1189"/>
      <c r="F786" s="1189"/>
      <c r="G786" s="1189"/>
      <c r="H786" s="1189"/>
      <c r="I786" s="1189"/>
      <c r="J786" s="1189"/>
      <c r="K786" s="1189"/>
      <c r="L786" s="1189"/>
      <c r="M786" s="1189"/>
      <c r="N786" s="1189"/>
      <c r="O786" s="1189"/>
      <c r="P786" s="1189"/>
      <c r="Q786" s="1189"/>
      <c r="R786" s="1189"/>
      <c r="S786" s="1189"/>
      <c r="T786" s="1189"/>
      <c r="U786" s="1189"/>
      <c r="V786" s="1189"/>
      <c r="W786" s="1189"/>
      <c r="X786" s="1189"/>
      <c r="Y786" s="1189"/>
      <c r="Z786" s="1189"/>
    </row>
    <row r="787">
      <c r="A787" s="1189"/>
      <c r="B787" s="1189"/>
      <c r="C787" s="1189"/>
      <c r="D787" s="1189"/>
      <c r="E787" s="1189"/>
      <c r="F787" s="1189"/>
      <c r="G787" s="1189"/>
      <c r="H787" s="1189"/>
      <c r="I787" s="1189"/>
      <c r="J787" s="1189"/>
      <c r="K787" s="1189"/>
      <c r="L787" s="1189"/>
      <c r="M787" s="1189"/>
      <c r="N787" s="1189"/>
      <c r="O787" s="1189"/>
      <c r="P787" s="1189"/>
      <c r="Q787" s="1189"/>
      <c r="R787" s="1189"/>
      <c r="S787" s="1189"/>
      <c r="T787" s="1189"/>
      <c r="U787" s="1189"/>
      <c r="V787" s="1189"/>
      <c r="W787" s="1189"/>
      <c r="X787" s="1189"/>
      <c r="Y787" s="1189"/>
      <c r="Z787" s="1189"/>
    </row>
    <row r="788">
      <c r="A788" s="1189"/>
      <c r="B788" s="1189"/>
      <c r="C788" s="1189"/>
      <c r="D788" s="1189"/>
      <c r="E788" s="1189"/>
      <c r="F788" s="1189"/>
      <c r="G788" s="1189"/>
      <c r="H788" s="1189"/>
      <c r="I788" s="1189"/>
      <c r="J788" s="1189"/>
      <c r="K788" s="1189"/>
      <c r="L788" s="1189"/>
      <c r="M788" s="1189"/>
      <c r="N788" s="1189"/>
      <c r="O788" s="1189"/>
      <c r="P788" s="1189"/>
      <c r="Q788" s="1189"/>
      <c r="R788" s="1189"/>
      <c r="S788" s="1189"/>
      <c r="T788" s="1189"/>
      <c r="U788" s="1189"/>
      <c r="V788" s="1189"/>
      <c r="W788" s="1189"/>
      <c r="X788" s="1189"/>
      <c r="Y788" s="1189"/>
      <c r="Z788" s="1189"/>
    </row>
    <row r="789">
      <c r="A789" s="1189"/>
      <c r="B789" s="1189"/>
      <c r="C789" s="1189"/>
      <c r="D789" s="1189"/>
      <c r="E789" s="1189"/>
      <c r="F789" s="1189"/>
      <c r="G789" s="1189"/>
      <c r="H789" s="1189"/>
      <c r="I789" s="1189"/>
      <c r="J789" s="1189"/>
      <c r="K789" s="1189"/>
      <c r="L789" s="1189"/>
      <c r="M789" s="1189"/>
      <c r="N789" s="1189"/>
      <c r="O789" s="1189"/>
      <c r="P789" s="1189"/>
      <c r="Q789" s="1189"/>
      <c r="R789" s="1189"/>
      <c r="S789" s="1189"/>
      <c r="T789" s="1189"/>
      <c r="U789" s="1189"/>
      <c r="V789" s="1189"/>
      <c r="W789" s="1189"/>
      <c r="X789" s="1189"/>
      <c r="Y789" s="1189"/>
      <c r="Z789" s="1189"/>
    </row>
    <row r="790">
      <c r="A790" s="1189"/>
      <c r="B790" s="1189"/>
      <c r="C790" s="1189"/>
      <c r="D790" s="1189"/>
      <c r="E790" s="1189"/>
      <c r="F790" s="1189"/>
      <c r="G790" s="1189"/>
      <c r="H790" s="1189"/>
      <c r="I790" s="1189"/>
      <c r="J790" s="1189"/>
      <c r="K790" s="1189"/>
      <c r="L790" s="1189"/>
      <c r="M790" s="1189"/>
      <c r="N790" s="1189"/>
      <c r="O790" s="1189"/>
      <c r="P790" s="1189"/>
      <c r="Q790" s="1189"/>
      <c r="R790" s="1189"/>
      <c r="S790" s="1189"/>
      <c r="T790" s="1189"/>
      <c r="U790" s="1189"/>
      <c r="V790" s="1189"/>
      <c r="W790" s="1189"/>
      <c r="X790" s="1189"/>
      <c r="Y790" s="1189"/>
      <c r="Z790" s="1189"/>
    </row>
    <row r="791">
      <c r="A791" s="1189"/>
      <c r="B791" s="1189"/>
      <c r="C791" s="1189"/>
      <c r="D791" s="1189"/>
      <c r="E791" s="1189"/>
      <c r="F791" s="1189"/>
      <c r="G791" s="1189"/>
      <c r="H791" s="1189"/>
      <c r="I791" s="1189"/>
      <c r="J791" s="1189"/>
      <c r="K791" s="1189"/>
      <c r="L791" s="1189"/>
      <c r="M791" s="1189"/>
      <c r="N791" s="1189"/>
      <c r="O791" s="1189"/>
      <c r="P791" s="1189"/>
      <c r="Q791" s="1189"/>
      <c r="R791" s="1189"/>
      <c r="S791" s="1189"/>
      <c r="T791" s="1189"/>
      <c r="U791" s="1189"/>
      <c r="V791" s="1189"/>
      <c r="W791" s="1189"/>
      <c r="X791" s="1189"/>
      <c r="Y791" s="1189"/>
      <c r="Z791" s="1189"/>
    </row>
    <row r="792">
      <c r="A792" s="1189"/>
      <c r="B792" s="1189"/>
      <c r="C792" s="1189"/>
      <c r="D792" s="1189"/>
      <c r="E792" s="1189"/>
      <c r="F792" s="1189"/>
      <c r="G792" s="1189"/>
      <c r="H792" s="1189"/>
      <c r="I792" s="1189"/>
      <c r="J792" s="1189"/>
      <c r="K792" s="1189"/>
      <c r="L792" s="1189"/>
      <c r="M792" s="1189"/>
      <c r="N792" s="1189"/>
      <c r="O792" s="1189"/>
      <c r="P792" s="1189"/>
      <c r="Q792" s="1189"/>
      <c r="R792" s="1189"/>
      <c r="S792" s="1189"/>
      <c r="T792" s="1189"/>
      <c r="U792" s="1189"/>
      <c r="V792" s="1189"/>
      <c r="W792" s="1189"/>
      <c r="X792" s="1189"/>
      <c r="Y792" s="1189"/>
      <c r="Z792" s="1189"/>
    </row>
    <row r="793">
      <c r="A793" s="1189"/>
      <c r="B793" s="1189"/>
      <c r="C793" s="1189"/>
      <c r="D793" s="1189"/>
      <c r="E793" s="1189"/>
      <c r="F793" s="1189"/>
      <c r="G793" s="1189"/>
      <c r="H793" s="1189"/>
      <c r="I793" s="1189"/>
      <c r="J793" s="1189"/>
      <c r="K793" s="1189"/>
      <c r="L793" s="1189"/>
      <c r="M793" s="1189"/>
      <c r="N793" s="1189"/>
      <c r="O793" s="1189"/>
      <c r="P793" s="1189"/>
      <c r="Q793" s="1189"/>
      <c r="R793" s="1189"/>
      <c r="S793" s="1189"/>
      <c r="T793" s="1189"/>
      <c r="U793" s="1189"/>
      <c r="V793" s="1189"/>
      <c r="W793" s="1189"/>
      <c r="X793" s="1189"/>
      <c r="Y793" s="1189"/>
      <c r="Z793" s="1189"/>
    </row>
    <row r="794">
      <c r="A794" s="1189"/>
      <c r="B794" s="1189"/>
      <c r="C794" s="1189"/>
      <c r="D794" s="1189"/>
      <c r="E794" s="1189"/>
      <c r="F794" s="1189"/>
      <c r="G794" s="1189"/>
      <c r="H794" s="1189"/>
      <c r="I794" s="1189"/>
      <c r="J794" s="1189"/>
      <c r="K794" s="1189"/>
      <c r="L794" s="1189"/>
      <c r="M794" s="1189"/>
      <c r="N794" s="1189"/>
      <c r="O794" s="1189"/>
      <c r="P794" s="1189"/>
      <c r="Q794" s="1189"/>
      <c r="R794" s="1189"/>
      <c r="S794" s="1189"/>
      <c r="T794" s="1189"/>
      <c r="U794" s="1189"/>
      <c r="V794" s="1189"/>
      <c r="W794" s="1189"/>
      <c r="X794" s="1189"/>
      <c r="Y794" s="1189"/>
      <c r="Z794" s="1189"/>
    </row>
    <row r="795">
      <c r="A795" s="1189"/>
      <c r="B795" s="1189"/>
      <c r="C795" s="1189"/>
      <c r="D795" s="1189"/>
      <c r="E795" s="1189"/>
      <c r="F795" s="1189"/>
      <c r="G795" s="1189"/>
      <c r="H795" s="1189"/>
      <c r="I795" s="1189"/>
      <c r="J795" s="1189"/>
      <c r="K795" s="1189"/>
      <c r="L795" s="1189"/>
      <c r="M795" s="1189"/>
      <c r="N795" s="1189"/>
      <c r="O795" s="1189"/>
      <c r="P795" s="1189"/>
      <c r="Q795" s="1189"/>
      <c r="R795" s="1189"/>
      <c r="S795" s="1189"/>
      <c r="T795" s="1189"/>
      <c r="U795" s="1189"/>
      <c r="V795" s="1189"/>
      <c r="W795" s="1189"/>
      <c r="X795" s="1189"/>
      <c r="Y795" s="1189"/>
      <c r="Z795" s="1189"/>
    </row>
    <row r="796">
      <c r="A796" s="1189"/>
      <c r="B796" s="1189"/>
      <c r="C796" s="1189"/>
      <c r="D796" s="1189"/>
      <c r="E796" s="1189"/>
      <c r="F796" s="1189"/>
      <c r="G796" s="1189"/>
      <c r="H796" s="1189"/>
      <c r="I796" s="1189"/>
      <c r="J796" s="1189"/>
      <c r="K796" s="1189"/>
      <c r="L796" s="1189"/>
      <c r="M796" s="1189"/>
      <c r="N796" s="1189"/>
      <c r="O796" s="1189"/>
      <c r="P796" s="1189"/>
      <c r="Q796" s="1189"/>
      <c r="R796" s="1189"/>
      <c r="S796" s="1189"/>
      <c r="T796" s="1189"/>
      <c r="U796" s="1189"/>
      <c r="V796" s="1189"/>
      <c r="W796" s="1189"/>
      <c r="X796" s="1189"/>
      <c r="Y796" s="1189"/>
      <c r="Z796" s="1189"/>
    </row>
    <row r="797">
      <c r="A797" s="1189"/>
      <c r="B797" s="1189"/>
      <c r="C797" s="1189"/>
      <c r="D797" s="1189"/>
      <c r="E797" s="1189"/>
      <c r="F797" s="1189"/>
      <c r="G797" s="1189"/>
      <c r="H797" s="1189"/>
      <c r="I797" s="1189"/>
      <c r="J797" s="1189"/>
      <c r="K797" s="1189"/>
      <c r="L797" s="1189"/>
      <c r="M797" s="1189"/>
      <c r="N797" s="1189"/>
      <c r="O797" s="1189"/>
      <c r="P797" s="1189"/>
      <c r="Q797" s="1189"/>
      <c r="R797" s="1189"/>
      <c r="S797" s="1189"/>
      <c r="T797" s="1189"/>
      <c r="U797" s="1189"/>
      <c r="V797" s="1189"/>
      <c r="W797" s="1189"/>
      <c r="X797" s="1189"/>
      <c r="Y797" s="1189"/>
      <c r="Z797" s="1189"/>
    </row>
    <row r="798">
      <c r="A798" s="1189"/>
      <c r="B798" s="1189"/>
      <c r="C798" s="1189"/>
      <c r="D798" s="1189"/>
      <c r="E798" s="1189"/>
      <c r="F798" s="1189"/>
      <c r="G798" s="1189"/>
      <c r="H798" s="1189"/>
      <c r="I798" s="1189"/>
      <c r="J798" s="1189"/>
      <c r="K798" s="1189"/>
      <c r="L798" s="1189"/>
      <c r="M798" s="1189"/>
      <c r="N798" s="1189"/>
      <c r="O798" s="1189"/>
      <c r="P798" s="1189"/>
      <c r="Q798" s="1189"/>
      <c r="R798" s="1189"/>
      <c r="S798" s="1189"/>
      <c r="T798" s="1189"/>
      <c r="U798" s="1189"/>
      <c r="V798" s="1189"/>
      <c r="W798" s="1189"/>
      <c r="X798" s="1189"/>
      <c r="Y798" s="1189"/>
      <c r="Z798" s="1189"/>
    </row>
    <row r="799">
      <c r="A799" s="1189"/>
      <c r="B799" s="1189"/>
      <c r="C799" s="1189"/>
      <c r="D799" s="1189"/>
      <c r="E799" s="1189"/>
      <c r="F799" s="1189"/>
      <c r="G799" s="1189"/>
      <c r="H799" s="1189"/>
      <c r="I799" s="1189"/>
      <c r="J799" s="1189"/>
      <c r="K799" s="1189"/>
      <c r="L799" s="1189"/>
      <c r="M799" s="1189"/>
      <c r="N799" s="1189"/>
      <c r="O799" s="1189"/>
      <c r="P799" s="1189"/>
      <c r="Q799" s="1189"/>
      <c r="R799" s="1189"/>
      <c r="S799" s="1189"/>
      <c r="T799" s="1189"/>
      <c r="U799" s="1189"/>
      <c r="V799" s="1189"/>
      <c r="W799" s="1189"/>
      <c r="X799" s="1189"/>
      <c r="Y799" s="1189"/>
      <c r="Z799" s="1189"/>
    </row>
    <row r="800">
      <c r="A800" s="1189"/>
      <c r="B800" s="1189"/>
      <c r="C800" s="1189"/>
      <c r="D800" s="1189"/>
      <c r="E800" s="1189"/>
      <c r="F800" s="1189"/>
      <c r="G800" s="1189"/>
      <c r="H800" s="1189"/>
      <c r="I800" s="1189"/>
      <c r="J800" s="1189"/>
      <c r="K800" s="1189"/>
      <c r="L800" s="1189"/>
      <c r="M800" s="1189"/>
      <c r="N800" s="1189"/>
      <c r="O800" s="1189"/>
      <c r="P800" s="1189"/>
      <c r="Q800" s="1189"/>
      <c r="R800" s="1189"/>
      <c r="S800" s="1189"/>
      <c r="T800" s="1189"/>
      <c r="U800" s="1189"/>
      <c r="V800" s="1189"/>
      <c r="W800" s="1189"/>
      <c r="X800" s="1189"/>
      <c r="Y800" s="1189"/>
      <c r="Z800" s="1189"/>
    </row>
    <row r="801">
      <c r="A801" s="1189"/>
      <c r="B801" s="1189"/>
      <c r="C801" s="1189"/>
      <c r="D801" s="1189"/>
      <c r="E801" s="1189"/>
      <c r="F801" s="1189"/>
      <c r="G801" s="1189"/>
      <c r="H801" s="1189"/>
      <c r="I801" s="1189"/>
      <c r="J801" s="1189"/>
      <c r="K801" s="1189"/>
      <c r="L801" s="1189"/>
      <c r="M801" s="1189"/>
      <c r="N801" s="1189"/>
      <c r="O801" s="1189"/>
      <c r="P801" s="1189"/>
      <c r="Q801" s="1189"/>
      <c r="R801" s="1189"/>
      <c r="S801" s="1189"/>
      <c r="T801" s="1189"/>
      <c r="U801" s="1189"/>
      <c r="V801" s="1189"/>
      <c r="W801" s="1189"/>
      <c r="X801" s="1189"/>
      <c r="Y801" s="1189"/>
      <c r="Z801" s="1189"/>
    </row>
    <row r="802">
      <c r="A802" s="1189"/>
      <c r="B802" s="1189"/>
      <c r="C802" s="1189"/>
      <c r="D802" s="1189"/>
      <c r="E802" s="1189"/>
      <c r="F802" s="1189"/>
      <c r="G802" s="1189"/>
      <c r="H802" s="1189"/>
      <c r="I802" s="1189"/>
      <c r="J802" s="1189"/>
      <c r="K802" s="1189"/>
      <c r="L802" s="1189"/>
      <c r="M802" s="1189"/>
      <c r="N802" s="1189"/>
      <c r="O802" s="1189"/>
      <c r="P802" s="1189"/>
      <c r="Q802" s="1189"/>
      <c r="R802" s="1189"/>
      <c r="S802" s="1189"/>
      <c r="T802" s="1189"/>
      <c r="U802" s="1189"/>
      <c r="V802" s="1189"/>
      <c r="W802" s="1189"/>
      <c r="X802" s="1189"/>
      <c r="Y802" s="1189"/>
      <c r="Z802" s="1189"/>
    </row>
    <row r="803">
      <c r="A803" s="1189"/>
      <c r="B803" s="1189"/>
      <c r="C803" s="1189"/>
      <c r="D803" s="1189"/>
      <c r="E803" s="1189"/>
      <c r="F803" s="1189"/>
      <c r="G803" s="1189"/>
      <c r="H803" s="1189"/>
      <c r="I803" s="1189"/>
      <c r="J803" s="1189"/>
      <c r="K803" s="1189"/>
      <c r="L803" s="1189"/>
      <c r="M803" s="1189"/>
      <c r="N803" s="1189"/>
      <c r="O803" s="1189"/>
      <c r="P803" s="1189"/>
      <c r="Q803" s="1189"/>
      <c r="R803" s="1189"/>
      <c r="S803" s="1189"/>
      <c r="T803" s="1189"/>
      <c r="U803" s="1189"/>
      <c r="V803" s="1189"/>
      <c r="W803" s="1189"/>
      <c r="X803" s="1189"/>
      <c r="Y803" s="1189"/>
      <c r="Z803" s="1189"/>
    </row>
    <row r="804">
      <c r="A804" s="1189"/>
      <c r="B804" s="1189"/>
      <c r="C804" s="1189"/>
      <c r="D804" s="1189"/>
      <c r="E804" s="1189"/>
      <c r="F804" s="1189"/>
      <c r="G804" s="1189"/>
      <c r="H804" s="1189"/>
      <c r="I804" s="1189"/>
      <c r="J804" s="1189"/>
      <c r="K804" s="1189"/>
      <c r="L804" s="1189"/>
      <c r="M804" s="1189"/>
      <c r="N804" s="1189"/>
      <c r="O804" s="1189"/>
      <c r="P804" s="1189"/>
      <c r="Q804" s="1189"/>
      <c r="R804" s="1189"/>
      <c r="S804" s="1189"/>
      <c r="T804" s="1189"/>
      <c r="U804" s="1189"/>
      <c r="V804" s="1189"/>
      <c r="W804" s="1189"/>
      <c r="X804" s="1189"/>
      <c r="Y804" s="1189"/>
      <c r="Z804" s="1189"/>
    </row>
    <row r="805">
      <c r="A805" s="1189"/>
      <c r="B805" s="1189"/>
      <c r="C805" s="1189"/>
      <c r="D805" s="1189"/>
      <c r="E805" s="1189"/>
      <c r="F805" s="1189"/>
      <c r="G805" s="1189"/>
      <c r="H805" s="1189"/>
      <c r="I805" s="1189"/>
      <c r="J805" s="1189"/>
      <c r="K805" s="1189"/>
      <c r="L805" s="1189"/>
      <c r="M805" s="1189"/>
      <c r="N805" s="1189"/>
      <c r="O805" s="1189"/>
      <c r="P805" s="1189"/>
      <c r="Q805" s="1189"/>
      <c r="R805" s="1189"/>
      <c r="S805" s="1189"/>
      <c r="T805" s="1189"/>
      <c r="U805" s="1189"/>
      <c r="V805" s="1189"/>
      <c r="W805" s="1189"/>
      <c r="X805" s="1189"/>
      <c r="Y805" s="1189"/>
      <c r="Z805" s="1189"/>
    </row>
    <row r="806">
      <c r="A806" s="1189"/>
      <c r="B806" s="1189"/>
      <c r="C806" s="1189"/>
      <c r="D806" s="1189"/>
      <c r="E806" s="1189"/>
      <c r="F806" s="1189"/>
      <c r="G806" s="1189"/>
      <c r="H806" s="1189"/>
      <c r="I806" s="1189"/>
      <c r="J806" s="1189"/>
      <c r="K806" s="1189"/>
      <c r="L806" s="1189"/>
      <c r="M806" s="1189"/>
      <c r="N806" s="1189"/>
      <c r="O806" s="1189"/>
      <c r="P806" s="1189"/>
      <c r="Q806" s="1189"/>
      <c r="R806" s="1189"/>
      <c r="S806" s="1189"/>
      <c r="T806" s="1189"/>
      <c r="U806" s="1189"/>
      <c r="V806" s="1189"/>
      <c r="W806" s="1189"/>
      <c r="X806" s="1189"/>
      <c r="Y806" s="1189"/>
      <c r="Z806" s="1189"/>
    </row>
    <row r="807">
      <c r="A807" s="1189"/>
      <c r="B807" s="1189"/>
      <c r="C807" s="1189"/>
      <c r="D807" s="1189"/>
      <c r="E807" s="1189"/>
      <c r="F807" s="1189"/>
      <c r="G807" s="1189"/>
      <c r="H807" s="1189"/>
      <c r="I807" s="1189"/>
      <c r="J807" s="1189"/>
      <c r="K807" s="1189"/>
      <c r="L807" s="1189"/>
      <c r="M807" s="1189"/>
      <c r="N807" s="1189"/>
      <c r="O807" s="1189"/>
      <c r="P807" s="1189"/>
      <c r="Q807" s="1189"/>
      <c r="R807" s="1189"/>
      <c r="S807" s="1189"/>
      <c r="T807" s="1189"/>
      <c r="U807" s="1189"/>
      <c r="V807" s="1189"/>
      <c r="W807" s="1189"/>
      <c r="X807" s="1189"/>
      <c r="Y807" s="1189"/>
      <c r="Z807" s="1189"/>
    </row>
    <row r="808">
      <c r="A808" s="1189"/>
      <c r="B808" s="1189"/>
      <c r="C808" s="1189"/>
      <c r="D808" s="1189"/>
      <c r="E808" s="1189"/>
      <c r="F808" s="1189"/>
      <c r="G808" s="1189"/>
      <c r="H808" s="1189"/>
      <c r="I808" s="1189"/>
      <c r="J808" s="1189"/>
      <c r="K808" s="1189"/>
      <c r="L808" s="1189"/>
      <c r="M808" s="1189"/>
      <c r="N808" s="1189"/>
      <c r="O808" s="1189"/>
      <c r="P808" s="1189"/>
      <c r="Q808" s="1189"/>
      <c r="R808" s="1189"/>
      <c r="S808" s="1189"/>
      <c r="T808" s="1189"/>
      <c r="U808" s="1189"/>
      <c r="V808" s="1189"/>
      <c r="W808" s="1189"/>
      <c r="X808" s="1189"/>
      <c r="Y808" s="1189"/>
      <c r="Z808" s="1189"/>
    </row>
    <row r="809">
      <c r="A809" s="1189"/>
      <c r="B809" s="1189"/>
      <c r="C809" s="1189"/>
      <c r="D809" s="1189"/>
      <c r="E809" s="1189"/>
      <c r="F809" s="1189"/>
      <c r="G809" s="1189"/>
      <c r="H809" s="1189"/>
      <c r="I809" s="1189"/>
      <c r="J809" s="1189"/>
      <c r="K809" s="1189"/>
      <c r="L809" s="1189"/>
      <c r="M809" s="1189"/>
      <c r="N809" s="1189"/>
      <c r="O809" s="1189"/>
      <c r="P809" s="1189"/>
      <c r="Q809" s="1189"/>
      <c r="R809" s="1189"/>
      <c r="S809" s="1189"/>
      <c r="T809" s="1189"/>
      <c r="U809" s="1189"/>
      <c r="V809" s="1189"/>
      <c r="W809" s="1189"/>
      <c r="X809" s="1189"/>
      <c r="Y809" s="1189"/>
      <c r="Z809" s="1189"/>
    </row>
    <row r="810">
      <c r="A810" s="1189"/>
      <c r="B810" s="1189"/>
      <c r="C810" s="1189"/>
      <c r="D810" s="1189"/>
      <c r="E810" s="1189"/>
      <c r="F810" s="1189"/>
      <c r="G810" s="1189"/>
      <c r="H810" s="1189"/>
      <c r="I810" s="1189"/>
      <c r="J810" s="1189"/>
      <c r="K810" s="1189"/>
      <c r="L810" s="1189"/>
      <c r="M810" s="1189"/>
      <c r="N810" s="1189"/>
      <c r="O810" s="1189"/>
      <c r="P810" s="1189"/>
      <c r="Q810" s="1189"/>
      <c r="R810" s="1189"/>
      <c r="S810" s="1189"/>
      <c r="T810" s="1189"/>
      <c r="U810" s="1189"/>
      <c r="V810" s="1189"/>
      <c r="W810" s="1189"/>
      <c r="X810" s="1189"/>
      <c r="Y810" s="1189"/>
      <c r="Z810" s="1189"/>
    </row>
    <row r="811">
      <c r="A811" s="1189"/>
      <c r="B811" s="1189"/>
      <c r="C811" s="1189"/>
      <c r="D811" s="1189"/>
      <c r="E811" s="1189"/>
      <c r="F811" s="1189"/>
      <c r="G811" s="1189"/>
      <c r="H811" s="1189"/>
      <c r="I811" s="1189"/>
      <c r="J811" s="1189"/>
      <c r="K811" s="1189"/>
      <c r="L811" s="1189"/>
      <c r="M811" s="1189"/>
      <c r="N811" s="1189"/>
      <c r="O811" s="1189"/>
      <c r="P811" s="1189"/>
      <c r="Q811" s="1189"/>
      <c r="R811" s="1189"/>
      <c r="S811" s="1189"/>
      <c r="T811" s="1189"/>
      <c r="U811" s="1189"/>
      <c r="V811" s="1189"/>
      <c r="W811" s="1189"/>
      <c r="X811" s="1189"/>
      <c r="Y811" s="1189"/>
      <c r="Z811" s="1189"/>
    </row>
    <row r="812">
      <c r="A812" s="1189"/>
      <c r="B812" s="1189"/>
      <c r="C812" s="1189"/>
      <c r="D812" s="1189"/>
      <c r="E812" s="1189"/>
      <c r="F812" s="1189"/>
      <c r="G812" s="1189"/>
      <c r="H812" s="1189"/>
      <c r="I812" s="1189"/>
      <c r="J812" s="1189"/>
      <c r="K812" s="1189"/>
      <c r="L812" s="1189"/>
      <c r="M812" s="1189"/>
      <c r="N812" s="1189"/>
      <c r="O812" s="1189"/>
      <c r="P812" s="1189"/>
      <c r="Q812" s="1189"/>
      <c r="R812" s="1189"/>
      <c r="S812" s="1189"/>
      <c r="T812" s="1189"/>
      <c r="U812" s="1189"/>
      <c r="V812" s="1189"/>
      <c r="W812" s="1189"/>
      <c r="X812" s="1189"/>
      <c r="Y812" s="1189"/>
      <c r="Z812" s="1189"/>
    </row>
    <row r="813">
      <c r="A813" s="1189"/>
      <c r="B813" s="1189"/>
      <c r="C813" s="1189"/>
      <c r="D813" s="1189"/>
      <c r="E813" s="1189"/>
      <c r="F813" s="1189"/>
      <c r="G813" s="1189"/>
      <c r="H813" s="1189"/>
      <c r="I813" s="1189"/>
      <c r="J813" s="1189"/>
      <c r="K813" s="1189"/>
      <c r="L813" s="1189"/>
      <c r="M813" s="1189"/>
      <c r="N813" s="1189"/>
      <c r="O813" s="1189"/>
      <c r="P813" s="1189"/>
      <c r="Q813" s="1189"/>
      <c r="R813" s="1189"/>
      <c r="S813" s="1189"/>
      <c r="T813" s="1189"/>
      <c r="U813" s="1189"/>
      <c r="V813" s="1189"/>
      <c r="W813" s="1189"/>
      <c r="X813" s="1189"/>
      <c r="Y813" s="1189"/>
      <c r="Z813" s="1189"/>
    </row>
    <row r="814">
      <c r="A814" s="1189"/>
      <c r="B814" s="1189"/>
      <c r="C814" s="1189"/>
      <c r="D814" s="1189"/>
      <c r="E814" s="1189"/>
      <c r="F814" s="1189"/>
      <c r="G814" s="1189"/>
      <c r="H814" s="1189"/>
      <c r="I814" s="1189"/>
      <c r="J814" s="1189"/>
      <c r="K814" s="1189"/>
      <c r="L814" s="1189"/>
      <c r="M814" s="1189"/>
      <c r="N814" s="1189"/>
      <c r="O814" s="1189"/>
      <c r="P814" s="1189"/>
      <c r="Q814" s="1189"/>
      <c r="R814" s="1189"/>
      <c r="S814" s="1189"/>
      <c r="T814" s="1189"/>
      <c r="U814" s="1189"/>
      <c r="V814" s="1189"/>
      <c r="W814" s="1189"/>
      <c r="X814" s="1189"/>
      <c r="Y814" s="1189"/>
      <c r="Z814" s="1189"/>
    </row>
    <row r="815">
      <c r="A815" s="1189"/>
      <c r="B815" s="1189"/>
      <c r="C815" s="1189"/>
      <c r="D815" s="1189"/>
      <c r="E815" s="1189"/>
      <c r="F815" s="1189"/>
      <c r="G815" s="1189"/>
      <c r="H815" s="1189"/>
      <c r="I815" s="1189"/>
      <c r="J815" s="1189"/>
      <c r="K815" s="1189"/>
      <c r="L815" s="1189"/>
      <c r="M815" s="1189"/>
      <c r="N815" s="1189"/>
      <c r="O815" s="1189"/>
      <c r="P815" s="1189"/>
      <c r="Q815" s="1189"/>
      <c r="R815" s="1189"/>
      <c r="S815" s="1189"/>
      <c r="T815" s="1189"/>
      <c r="U815" s="1189"/>
      <c r="V815" s="1189"/>
      <c r="W815" s="1189"/>
      <c r="X815" s="1189"/>
      <c r="Y815" s="1189"/>
      <c r="Z815" s="1189"/>
    </row>
    <row r="816">
      <c r="A816" s="1189"/>
      <c r="B816" s="1189"/>
      <c r="C816" s="1189"/>
      <c r="D816" s="1189"/>
      <c r="E816" s="1189"/>
      <c r="F816" s="1189"/>
      <c r="G816" s="1189"/>
      <c r="H816" s="1189"/>
      <c r="I816" s="1189"/>
      <c r="J816" s="1189"/>
      <c r="K816" s="1189"/>
      <c r="L816" s="1189"/>
      <c r="M816" s="1189"/>
      <c r="N816" s="1189"/>
      <c r="O816" s="1189"/>
      <c r="P816" s="1189"/>
      <c r="Q816" s="1189"/>
      <c r="R816" s="1189"/>
      <c r="S816" s="1189"/>
      <c r="T816" s="1189"/>
      <c r="U816" s="1189"/>
      <c r="V816" s="1189"/>
      <c r="W816" s="1189"/>
      <c r="X816" s="1189"/>
      <c r="Y816" s="1189"/>
      <c r="Z816" s="1189"/>
    </row>
    <row r="817">
      <c r="A817" s="1189"/>
      <c r="B817" s="1189"/>
      <c r="C817" s="1189"/>
      <c r="D817" s="1189"/>
      <c r="E817" s="1189"/>
      <c r="F817" s="1189"/>
      <c r="G817" s="1189"/>
      <c r="H817" s="1189"/>
      <c r="I817" s="1189"/>
      <c r="J817" s="1189"/>
      <c r="K817" s="1189"/>
      <c r="L817" s="1189"/>
      <c r="M817" s="1189"/>
      <c r="N817" s="1189"/>
      <c r="O817" s="1189"/>
      <c r="P817" s="1189"/>
      <c r="Q817" s="1189"/>
      <c r="R817" s="1189"/>
      <c r="S817" s="1189"/>
      <c r="T817" s="1189"/>
      <c r="U817" s="1189"/>
      <c r="V817" s="1189"/>
      <c r="W817" s="1189"/>
      <c r="X817" s="1189"/>
      <c r="Y817" s="1189"/>
      <c r="Z817" s="1189"/>
    </row>
    <row r="818">
      <c r="A818" s="1189"/>
      <c r="B818" s="1189"/>
      <c r="C818" s="1189"/>
      <c r="D818" s="1189"/>
      <c r="E818" s="1189"/>
      <c r="F818" s="1189"/>
      <c r="G818" s="1189"/>
      <c r="H818" s="1189"/>
      <c r="I818" s="1189"/>
      <c r="J818" s="1189"/>
      <c r="K818" s="1189"/>
      <c r="L818" s="1189"/>
      <c r="M818" s="1189"/>
      <c r="N818" s="1189"/>
      <c r="O818" s="1189"/>
      <c r="P818" s="1189"/>
      <c r="Q818" s="1189"/>
      <c r="R818" s="1189"/>
      <c r="S818" s="1189"/>
      <c r="T818" s="1189"/>
      <c r="U818" s="1189"/>
      <c r="V818" s="1189"/>
      <c r="W818" s="1189"/>
      <c r="X818" s="1189"/>
      <c r="Y818" s="1189"/>
      <c r="Z818" s="1189"/>
    </row>
    <row r="819">
      <c r="A819" s="1189"/>
      <c r="B819" s="1189"/>
      <c r="C819" s="1189"/>
      <c r="D819" s="1189"/>
      <c r="E819" s="1189"/>
      <c r="F819" s="1189"/>
      <c r="G819" s="1189"/>
      <c r="H819" s="1189"/>
      <c r="I819" s="1189"/>
      <c r="J819" s="1189"/>
      <c r="K819" s="1189"/>
      <c r="L819" s="1189"/>
      <c r="M819" s="1189"/>
      <c r="N819" s="1189"/>
      <c r="O819" s="1189"/>
      <c r="P819" s="1189"/>
      <c r="Q819" s="1189"/>
      <c r="R819" s="1189"/>
      <c r="S819" s="1189"/>
      <c r="T819" s="1189"/>
      <c r="U819" s="1189"/>
      <c r="V819" s="1189"/>
      <c r="W819" s="1189"/>
      <c r="X819" s="1189"/>
      <c r="Y819" s="1189"/>
      <c r="Z819" s="1189"/>
    </row>
    <row r="820">
      <c r="A820" s="1189"/>
      <c r="B820" s="1189"/>
      <c r="C820" s="1189"/>
      <c r="D820" s="1189"/>
      <c r="E820" s="1189"/>
      <c r="F820" s="1189"/>
      <c r="G820" s="1189"/>
      <c r="H820" s="1189"/>
      <c r="I820" s="1189"/>
      <c r="J820" s="1189"/>
      <c r="K820" s="1189"/>
      <c r="L820" s="1189"/>
      <c r="M820" s="1189"/>
      <c r="N820" s="1189"/>
      <c r="O820" s="1189"/>
      <c r="P820" s="1189"/>
      <c r="Q820" s="1189"/>
      <c r="R820" s="1189"/>
      <c r="S820" s="1189"/>
      <c r="T820" s="1189"/>
      <c r="U820" s="1189"/>
      <c r="V820" s="1189"/>
      <c r="W820" s="1189"/>
      <c r="X820" s="1189"/>
      <c r="Y820" s="1189"/>
      <c r="Z820" s="1189"/>
    </row>
    <row r="821">
      <c r="A821" s="1189"/>
      <c r="B821" s="1189"/>
      <c r="C821" s="1189"/>
      <c r="D821" s="1189"/>
      <c r="E821" s="1189"/>
      <c r="F821" s="1189"/>
      <c r="G821" s="1189"/>
      <c r="H821" s="1189"/>
      <c r="I821" s="1189"/>
      <c r="J821" s="1189"/>
      <c r="K821" s="1189"/>
      <c r="L821" s="1189"/>
      <c r="M821" s="1189"/>
      <c r="N821" s="1189"/>
      <c r="O821" s="1189"/>
      <c r="P821" s="1189"/>
      <c r="Q821" s="1189"/>
      <c r="R821" s="1189"/>
      <c r="S821" s="1189"/>
      <c r="T821" s="1189"/>
      <c r="U821" s="1189"/>
      <c r="V821" s="1189"/>
      <c r="W821" s="1189"/>
      <c r="X821" s="1189"/>
      <c r="Y821" s="1189"/>
      <c r="Z821" s="1189"/>
    </row>
    <row r="822">
      <c r="A822" s="1189"/>
      <c r="B822" s="1189"/>
      <c r="C822" s="1189"/>
      <c r="D822" s="1189"/>
      <c r="E822" s="1189"/>
      <c r="F822" s="1189"/>
      <c r="G822" s="1189"/>
      <c r="H822" s="1189"/>
      <c r="I822" s="1189"/>
      <c r="J822" s="1189"/>
      <c r="K822" s="1189"/>
      <c r="L822" s="1189"/>
      <c r="M822" s="1189"/>
      <c r="N822" s="1189"/>
      <c r="O822" s="1189"/>
      <c r="P822" s="1189"/>
      <c r="Q822" s="1189"/>
      <c r="R822" s="1189"/>
      <c r="S822" s="1189"/>
      <c r="T822" s="1189"/>
      <c r="U822" s="1189"/>
      <c r="V822" s="1189"/>
      <c r="W822" s="1189"/>
      <c r="X822" s="1189"/>
      <c r="Y822" s="1189"/>
      <c r="Z822" s="1189"/>
    </row>
    <row r="823">
      <c r="A823" s="1189"/>
      <c r="B823" s="1189"/>
      <c r="C823" s="1189"/>
      <c r="D823" s="1189"/>
      <c r="E823" s="1189"/>
      <c r="F823" s="1189"/>
      <c r="G823" s="1189"/>
      <c r="H823" s="1189"/>
      <c r="I823" s="1189"/>
      <c r="J823" s="1189"/>
      <c r="K823" s="1189"/>
      <c r="L823" s="1189"/>
      <c r="M823" s="1189"/>
      <c r="N823" s="1189"/>
      <c r="O823" s="1189"/>
      <c r="P823" s="1189"/>
      <c r="Q823" s="1189"/>
      <c r="R823" s="1189"/>
      <c r="S823" s="1189"/>
      <c r="T823" s="1189"/>
      <c r="U823" s="1189"/>
      <c r="V823" s="1189"/>
      <c r="W823" s="1189"/>
      <c r="X823" s="1189"/>
      <c r="Y823" s="1189"/>
      <c r="Z823" s="1189"/>
    </row>
    <row r="824">
      <c r="A824" s="1189"/>
      <c r="B824" s="1189"/>
      <c r="C824" s="1189"/>
      <c r="D824" s="1189"/>
      <c r="E824" s="1189"/>
      <c r="F824" s="1189"/>
      <c r="G824" s="1189"/>
      <c r="H824" s="1189"/>
      <c r="I824" s="1189"/>
      <c r="J824" s="1189"/>
      <c r="K824" s="1189"/>
      <c r="L824" s="1189"/>
      <c r="M824" s="1189"/>
      <c r="N824" s="1189"/>
      <c r="O824" s="1189"/>
      <c r="P824" s="1189"/>
      <c r="Q824" s="1189"/>
      <c r="R824" s="1189"/>
      <c r="S824" s="1189"/>
      <c r="T824" s="1189"/>
      <c r="U824" s="1189"/>
      <c r="V824" s="1189"/>
      <c r="W824" s="1189"/>
      <c r="X824" s="1189"/>
      <c r="Y824" s="1189"/>
      <c r="Z824" s="1189"/>
    </row>
    <row r="825">
      <c r="A825" s="1189"/>
      <c r="B825" s="1189"/>
      <c r="C825" s="1189"/>
      <c r="D825" s="1189"/>
      <c r="E825" s="1189"/>
      <c r="F825" s="1189"/>
      <c r="G825" s="1189"/>
      <c r="H825" s="1189"/>
      <c r="I825" s="1189"/>
      <c r="J825" s="1189"/>
      <c r="K825" s="1189"/>
      <c r="L825" s="1189"/>
      <c r="M825" s="1189"/>
      <c r="N825" s="1189"/>
      <c r="O825" s="1189"/>
      <c r="P825" s="1189"/>
      <c r="Q825" s="1189"/>
      <c r="R825" s="1189"/>
      <c r="S825" s="1189"/>
      <c r="T825" s="1189"/>
      <c r="U825" s="1189"/>
      <c r="V825" s="1189"/>
      <c r="W825" s="1189"/>
      <c r="X825" s="1189"/>
      <c r="Y825" s="1189"/>
      <c r="Z825" s="1189"/>
    </row>
    <row r="826">
      <c r="A826" s="1189"/>
      <c r="B826" s="1189"/>
      <c r="C826" s="1189"/>
      <c r="D826" s="1189"/>
      <c r="E826" s="1189"/>
      <c r="F826" s="1189"/>
      <c r="G826" s="1189"/>
      <c r="H826" s="1189"/>
      <c r="I826" s="1189"/>
      <c r="J826" s="1189"/>
      <c r="K826" s="1189"/>
      <c r="L826" s="1189"/>
      <c r="M826" s="1189"/>
      <c r="N826" s="1189"/>
      <c r="O826" s="1189"/>
      <c r="P826" s="1189"/>
      <c r="Q826" s="1189"/>
      <c r="R826" s="1189"/>
      <c r="S826" s="1189"/>
      <c r="T826" s="1189"/>
      <c r="U826" s="1189"/>
      <c r="V826" s="1189"/>
      <c r="W826" s="1189"/>
      <c r="X826" s="1189"/>
      <c r="Y826" s="1189"/>
      <c r="Z826" s="1189"/>
    </row>
    <row r="827">
      <c r="A827" s="1189"/>
      <c r="B827" s="1189"/>
      <c r="C827" s="1189"/>
      <c r="D827" s="1189"/>
      <c r="E827" s="1189"/>
      <c r="F827" s="1189"/>
      <c r="G827" s="1189"/>
      <c r="H827" s="1189"/>
      <c r="I827" s="1189"/>
      <c r="J827" s="1189"/>
      <c r="K827" s="1189"/>
      <c r="L827" s="1189"/>
      <c r="M827" s="1189"/>
      <c r="N827" s="1189"/>
      <c r="O827" s="1189"/>
      <c r="P827" s="1189"/>
      <c r="Q827" s="1189"/>
      <c r="R827" s="1189"/>
      <c r="S827" s="1189"/>
      <c r="T827" s="1189"/>
      <c r="U827" s="1189"/>
      <c r="V827" s="1189"/>
      <c r="W827" s="1189"/>
      <c r="X827" s="1189"/>
      <c r="Y827" s="1189"/>
      <c r="Z827" s="1189"/>
    </row>
    <row r="828">
      <c r="A828" s="1189"/>
      <c r="B828" s="1189"/>
      <c r="C828" s="1189"/>
      <c r="D828" s="1189"/>
      <c r="E828" s="1189"/>
      <c r="F828" s="1189"/>
      <c r="G828" s="1189"/>
      <c r="H828" s="1189"/>
      <c r="I828" s="1189"/>
      <c r="J828" s="1189"/>
      <c r="K828" s="1189"/>
      <c r="L828" s="1189"/>
      <c r="M828" s="1189"/>
      <c r="N828" s="1189"/>
      <c r="O828" s="1189"/>
      <c r="P828" s="1189"/>
      <c r="Q828" s="1189"/>
      <c r="R828" s="1189"/>
      <c r="S828" s="1189"/>
      <c r="T828" s="1189"/>
      <c r="U828" s="1189"/>
      <c r="V828" s="1189"/>
      <c r="W828" s="1189"/>
      <c r="X828" s="1189"/>
      <c r="Y828" s="1189"/>
      <c r="Z828" s="1189"/>
    </row>
    <row r="829">
      <c r="A829" s="1189"/>
      <c r="B829" s="1189"/>
      <c r="C829" s="1189"/>
      <c r="D829" s="1189"/>
      <c r="E829" s="1189"/>
      <c r="F829" s="1189"/>
      <c r="G829" s="1189"/>
      <c r="H829" s="1189"/>
      <c r="I829" s="1189"/>
      <c r="J829" s="1189"/>
      <c r="K829" s="1189"/>
      <c r="L829" s="1189"/>
      <c r="M829" s="1189"/>
      <c r="N829" s="1189"/>
      <c r="O829" s="1189"/>
      <c r="P829" s="1189"/>
      <c r="Q829" s="1189"/>
      <c r="R829" s="1189"/>
      <c r="S829" s="1189"/>
      <c r="T829" s="1189"/>
      <c r="U829" s="1189"/>
      <c r="V829" s="1189"/>
      <c r="W829" s="1189"/>
      <c r="X829" s="1189"/>
      <c r="Y829" s="1189"/>
      <c r="Z829" s="1189"/>
    </row>
    <row r="830">
      <c r="A830" s="1189"/>
      <c r="B830" s="1189"/>
      <c r="C830" s="1189"/>
      <c r="D830" s="1189"/>
      <c r="E830" s="1189"/>
      <c r="F830" s="1189"/>
      <c r="G830" s="1189"/>
      <c r="H830" s="1189"/>
      <c r="I830" s="1189"/>
      <c r="J830" s="1189"/>
      <c r="K830" s="1189"/>
      <c r="L830" s="1189"/>
      <c r="M830" s="1189"/>
      <c r="N830" s="1189"/>
      <c r="O830" s="1189"/>
      <c r="P830" s="1189"/>
      <c r="Q830" s="1189"/>
      <c r="R830" s="1189"/>
      <c r="S830" s="1189"/>
      <c r="T830" s="1189"/>
      <c r="U830" s="1189"/>
      <c r="V830" s="1189"/>
      <c r="W830" s="1189"/>
      <c r="X830" s="1189"/>
      <c r="Y830" s="1189"/>
      <c r="Z830" s="1189"/>
    </row>
    <row r="831">
      <c r="A831" s="1189"/>
      <c r="B831" s="1189"/>
      <c r="C831" s="1189"/>
      <c r="D831" s="1189"/>
      <c r="E831" s="1189"/>
      <c r="F831" s="1189"/>
      <c r="G831" s="1189"/>
      <c r="H831" s="1189"/>
      <c r="I831" s="1189"/>
      <c r="J831" s="1189"/>
      <c r="K831" s="1189"/>
      <c r="L831" s="1189"/>
      <c r="M831" s="1189"/>
      <c r="N831" s="1189"/>
      <c r="O831" s="1189"/>
      <c r="P831" s="1189"/>
      <c r="Q831" s="1189"/>
      <c r="R831" s="1189"/>
      <c r="S831" s="1189"/>
      <c r="T831" s="1189"/>
      <c r="U831" s="1189"/>
      <c r="V831" s="1189"/>
      <c r="W831" s="1189"/>
      <c r="X831" s="1189"/>
      <c r="Y831" s="1189"/>
      <c r="Z831" s="1189"/>
    </row>
    <row r="832">
      <c r="A832" s="1189"/>
      <c r="B832" s="1189"/>
      <c r="C832" s="1189"/>
      <c r="D832" s="1189"/>
      <c r="E832" s="1189"/>
      <c r="F832" s="1189"/>
      <c r="G832" s="1189"/>
      <c r="H832" s="1189"/>
      <c r="I832" s="1189"/>
      <c r="J832" s="1189"/>
      <c r="K832" s="1189"/>
      <c r="L832" s="1189"/>
      <c r="M832" s="1189"/>
      <c r="N832" s="1189"/>
      <c r="O832" s="1189"/>
      <c r="P832" s="1189"/>
      <c r="Q832" s="1189"/>
      <c r="R832" s="1189"/>
      <c r="S832" s="1189"/>
      <c r="T832" s="1189"/>
      <c r="U832" s="1189"/>
      <c r="V832" s="1189"/>
      <c r="W832" s="1189"/>
      <c r="X832" s="1189"/>
      <c r="Y832" s="1189"/>
      <c r="Z832" s="1189"/>
    </row>
    <row r="833">
      <c r="A833" s="1189"/>
      <c r="B833" s="1189"/>
      <c r="C833" s="1189"/>
      <c r="D833" s="1189"/>
      <c r="E833" s="1189"/>
      <c r="F833" s="1189"/>
      <c r="G833" s="1189"/>
      <c r="H833" s="1189"/>
      <c r="I833" s="1189"/>
      <c r="J833" s="1189"/>
      <c r="K833" s="1189"/>
      <c r="L833" s="1189"/>
      <c r="M833" s="1189"/>
      <c r="N833" s="1189"/>
      <c r="O833" s="1189"/>
      <c r="P833" s="1189"/>
      <c r="Q833" s="1189"/>
      <c r="R833" s="1189"/>
      <c r="S833" s="1189"/>
      <c r="T833" s="1189"/>
      <c r="U833" s="1189"/>
      <c r="V833" s="1189"/>
      <c r="W833" s="1189"/>
      <c r="X833" s="1189"/>
      <c r="Y833" s="1189"/>
      <c r="Z833" s="1189"/>
    </row>
    <row r="834">
      <c r="A834" s="1189"/>
      <c r="B834" s="1189"/>
      <c r="C834" s="1189"/>
      <c r="D834" s="1189"/>
      <c r="E834" s="1189"/>
      <c r="F834" s="1189"/>
      <c r="G834" s="1189"/>
      <c r="H834" s="1189"/>
      <c r="I834" s="1189"/>
      <c r="J834" s="1189"/>
      <c r="K834" s="1189"/>
      <c r="L834" s="1189"/>
      <c r="M834" s="1189"/>
      <c r="N834" s="1189"/>
      <c r="O834" s="1189"/>
      <c r="P834" s="1189"/>
      <c r="Q834" s="1189"/>
      <c r="R834" s="1189"/>
      <c r="S834" s="1189"/>
      <c r="T834" s="1189"/>
      <c r="U834" s="1189"/>
      <c r="V834" s="1189"/>
      <c r="W834" s="1189"/>
      <c r="X834" s="1189"/>
      <c r="Y834" s="1189"/>
      <c r="Z834" s="1189"/>
    </row>
    <row r="835">
      <c r="A835" s="1189"/>
      <c r="B835" s="1189"/>
      <c r="C835" s="1189"/>
      <c r="D835" s="1189"/>
      <c r="E835" s="1189"/>
      <c r="F835" s="1189"/>
      <c r="G835" s="1189"/>
      <c r="H835" s="1189"/>
      <c r="I835" s="1189"/>
      <c r="J835" s="1189"/>
      <c r="K835" s="1189"/>
      <c r="L835" s="1189"/>
      <c r="M835" s="1189"/>
      <c r="N835" s="1189"/>
      <c r="O835" s="1189"/>
      <c r="P835" s="1189"/>
      <c r="Q835" s="1189"/>
      <c r="R835" s="1189"/>
      <c r="S835" s="1189"/>
      <c r="T835" s="1189"/>
      <c r="U835" s="1189"/>
      <c r="V835" s="1189"/>
      <c r="W835" s="1189"/>
      <c r="X835" s="1189"/>
      <c r="Y835" s="1189"/>
      <c r="Z835" s="1189"/>
    </row>
    <row r="836">
      <c r="A836" s="1189"/>
      <c r="B836" s="1189"/>
      <c r="C836" s="1189"/>
      <c r="D836" s="1189"/>
      <c r="E836" s="1189"/>
      <c r="F836" s="1189"/>
      <c r="G836" s="1189"/>
      <c r="H836" s="1189"/>
      <c r="I836" s="1189"/>
      <c r="J836" s="1189"/>
      <c r="K836" s="1189"/>
      <c r="L836" s="1189"/>
      <c r="M836" s="1189"/>
      <c r="N836" s="1189"/>
      <c r="O836" s="1189"/>
      <c r="P836" s="1189"/>
      <c r="Q836" s="1189"/>
      <c r="R836" s="1189"/>
      <c r="S836" s="1189"/>
      <c r="T836" s="1189"/>
      <c r="U836" s="1189"/>
      <c r="V836" s="1189"/>
      <c r="W836" s="1189"/>
      <c r="X836" s="1189"/>
      <c r="Y836" s="1189"/>
      <c r="Z836" s="1189"/>
    </row>
    <row r="837">
      <c r="A837" s="1189"/>
      <c r="B837" s="1189"/>
      <c r="C837" s="1189"/>
      <c r="D837" s="1189"/>
      <c r="E837" s="1189"/>
      <c r="F837" s="1189"/>
      <c r="G837" s="1189"/>
      <c r="H837" s="1189"/>
      <c r="I837" s="1189"/>
      <c r="J837" s="1189"/>
      <c r="K837" s="1189"/>
      <c r="L837" s="1189"/>
      <c r="M837" s="1189"/>
      <c r="N837" s="1189"/>
      <c r="O837" s="1189"/>
      <c r="P837" s="1189"/>
      <c r="Q837" s="1189"/>
      <c r="R837" s="1189"/>
      <c r="S837" s="1189"/>
      <c r="T837" s="1189"/>
      <c r="U837" s="1189"/>
      <c r="V837" s="1189"/>
      <c r="W837" s="1189"/>
      <c r="X837" s="1189"/>
      <c r="Y837" s="1189"/>
      <c r="Z837" s="1189"/>
    </row>
    <row r="838">
      <c r="A838" s="1189"/>
      <c r="B838" s="1189"/>
      <c r="C838" s="1189"/>
      <c r="D838" s="1189"/>
      <c r="E838" s="1189"/>
      <c r="F838" s="1189"/>
      <c r="G838" s="1189"/>
      <c r="H838" s="1189"/>
      <c r="I838" s="1189"/>
      <c r="J838" s="1189"/>
      <c r="K838" s="1189"/>
      <c r="L838" s="1189"/>
      <c r="M838" s="1189"/>
      <c r="N838" s="1189"/>
      <c r="O838" s="1189"/>
      <c r="P838" s="1189"/>
      <c r="Q838" s="1189"/>
      <c r="R838" s="1189"/>
      <c r="S838" s="1189"/>
      <c r="T838" s="1189"/>
      <c r="U838" s="1189"/>
      <c r="V838" s="1189"/>
      <c r="W838" s="1189"/>
      <c r="X838" s="1189"/>
      <c r="Y838" s="1189"/>
      <c r="Z838" s="1189"/>
    </row>
    <row r="839">
      <c r="A839" s="1189"/>
      <c r="B839" s="1189"/>
      <c r="C839" s="1189"/>
      <c r="D839" s="1189"/>
      <c r="E839" s="1189"/>
      <c r="F839" s="1189"/>
      <c r="G839" s="1189"/>
      <c r="H839" s="1189"/>
      <c r="I839" s="1189"/>
      <c r="J839" s="1189"/>
      <c r="K839" s="1189"/>
      <c r="L839" s="1189"/>
      <c r="M839" s="1189"/>
      <c r="N839" s="1189"/>
      <c r="O839" s="1189"/>
      <c r="P839" s="1189"/>
      <c r="Q839" s="1189"/>
      <c r="R839" s="1189"/>
      <c r="S839" s="1189"/>
      <c r="T839" s="1189"/>
      <c r="U839" s="1189"/>
      <c r="V839" s="1189"/>
      <c r="W839" s="1189"/>
      <c r="X839" s="1189"/>
      <c r="Y839" s="1189"/>
      <c r="Z839" s="1189"/>
    </row>
    <row r="840">
      <c r="A840" s="1189"/>
      <c r="B840" s="1189"/>
      <c r="C840" s="1189"/>
      <c r="D840" s="1189"/>
      <c r="E840" s="1189"/>
      <c r="F840" s="1189"/>
      <c r="G840" s="1189"/>
      <c r="H840" s="1189"/>
      <c r="I840" s="1189"/>
      <c r="J840" s="1189"/>
      <c r="K840" s="1189"/>
      <c r="L840" s="1189"/>
      <c r="M840" s="1189"/>
      <c r="N840" s="1189"/>
      <c r="O840" s="1189"/>
      <c r="P840" s="1189"/>
      <c r="Q840" s="1189"/>
      <c r="R840" s="1189"/>
      <c r="S840" s="1189"/>
      <c r="T840" s="1189"/>
      <c r="U840" s="1189"/>
      <c r="V840" s="1189"/>
      <c r="W840" s="1189"/>
      <c r="X840" s="1189"/>
      <c r="Y840" s="1189"/>
      <c r="Z840" s="1189"/>
    </row>
    <row r="841">
      <c r="A841" s="1189"/>
      <c r="B841" s="1189"/>
      <c r="C841" s="1189"/>
      <c r="D841" s="1189"/>
      <c r="E841" s="1189"/>
      <c r="F841" s="1189"/>
      <c r="G841" s="1189"/>
      <c r="H841" s="1189"/>
      <c r="I841" s="1189"/>
      <c r="J841" s="1189"/>
      <c r="K841" s="1189"/>
      <c r="L841" s="1189"/>
      <c r="M841" s="1189"/>
      <c r="N841" s="1189"/>
      <c r="O841" s="1189"/>
      <c r="P841" s="1189"/>
      <c r="Q841" s="1189"/>
      <c r="R841" s="1189"/>
      <c r="S841" s="1189"/>
      <c r="T841" s="1189"/>
      <c r="U841" s="1189"/>
      <c r="V841" s="1189"/>
      <c r="W841" s="1189"/>
      <c r="X841" s="1189"/>
      <c r="Y841" s="1189"/>
      <c r="Z841" s="1189"/>
    </row>
    <row r="842">
      <c r="A842" s="1189"/>
      <c r="B842" s="1189"/>
      <c r="C842" s="1189"/>
      <c r="D842" s="1189"/>
      <c r="E842" s="1189"/>
      <c r="F842" s="1189"/>
      <c r="G842" s="1189"/>
      <c r="H842" s="1189"/>
      <c r="I842" s="1189"/>
      <c r="J842" s="1189"/>
      <c r="K842" s="1189"/>
      <c r="L842" s="1189"/>
      <c r="M842" s="1189"/>
      <c r="N842" s="1189"/>
      <c r="O842" s="1189"/>
      <c r="P842" s="1189"/>
      <c r="Q842" s="1189"/>
      <c r="R842" s="1189"/>
      <c r="S842" s="1189"/>
      <c r="T842" s="1189"/>
      <c r="U842" s="1189"/>
      <c r="V842" s="1189"/>
      <c r="W842" s="1189"/>
      <c r="X842" s="1189"/>
      <c r="Y842" s="1189"/>
      <c r="Z842" s="1189"/>
    </row>
    <row r="843">
      <c r="A843" s="1189"/>
      <c r="B843" s="1189"/>
      <c r="C843" s="1189"/>
      <c r="D843" s="1189"/>
      <c r="E843" s="1189"/>
      <c r="F843" s="1189"/>
      <c r="G843" s="1189"/>
      <c r="H843" s="1189"/>
      <c r="I843" s="1189"/>
      <c r="J843" s="1189"/>
      <c r="K843" s="1189"/>
      <c r="L843" s="1189"/>
      <c r="M843" s="1189"/>
      <c r="N843" s="1189"/>
      <c r="O843" s="1189"/>
      <c r="P843" s="1189"/>
      <c r="Q843" s="1189"/>
      <c r="R843" s="1189"/>
      <c r="S843" s="1189"/>
      <c r="T843" s="1189"/>
      <c r="U843" s="1189"/>
      <c r="V843" s="1189"/>
      <c r="W843" s="1189"/>
      <c r="X843" s="1189"/>
      <c r="Y843" s="1189"/>
      <c r="Z843" s="1189"/>
    </row>
    <row r="844">
      <c r="A844" s="1189"/>
      <c r="B844" s="1189"/>
      <c r="C844" s="1189"/>
      <c r="D844" s="1189"/>
      <c r="E844" s="1189"/>
      <c r="F844" s="1189"/>
      <c r="G844" s="1189"/>
      <c r="H844" s="1189"/>
      <c r="I844" s="1189"/>
      <c r="J844" s="1189"/>
      <c r="K844" s="1189"/>
      <c r="L844" s="1189"/>
      <c r="M844" s="1189"/>
      <c r="N844" s="1189"/>
      <c r="O844" s="1189"/>
      <c r="P844" s="1189"/>
      <c r="Q844" s="1189"/>
      <c r="R844" s="1189"/>
      <c r="S844" s="1189"/>
      <c r="T844" s="1189"/>
      <c r="U844" s="1189"/>
      <c r="V844" s="1189"/>
      <c r="W844" s="1189"/>
      <c r="X844" s="1189"/>
      <c r="Y844" s="1189"/>
      <c r="Z844" s="1189"/>
    </row>
    <row r="845">
      <c r="A845" s="1189"/>
      <c r="B845" s="1189"/>
      <c r="C845" s="1189"/>
      <c r="D845" s="1189"/>
      <c r="E845" s="1189"/>
      <c r="F845" s="1189"/>
      <c r="G845" s="1189"/>
      <c r="H845" s="1189"/>
      <c r="I845" s="1189"/>
      <c r="J845" s="1189"/>
      <c r="K845" s="1189"/>
      <c r="L845" s="1189"/>
      <c r="M845" s="1189"/>
      <c r="N845" s="1189"/>
      <c r="O845" s="1189"/>
      <c r="P845" s="1189"/>
      <c r="Q845" s="1189"/>
      <c r="R845" s="1189"/>
      <c r="S845" s="1189"/>
      <c r="T845" s="1189"/>
      <c r="U845" s="1189"/>
      <c r="V845" s="1189"/>
      <c r="W845" s="1189"/>
      <c r="X845" s="1189"/>
      <c r="Y845" s="1189"/>
      <c r="Z845" s="1189"/>
    </row>
    <row r="846">
      <c r="A846" s="1189"/>
      <c r="B846" s="1189"/>
      <c r="C846" s="1189"/>
      <c r="D846" s="1189"/>
      <c r="E846" s="1189"/>
      <c r="F846" s="1189"/>
      <c r="G846" s="1189"/>
      <c r="H846" s="1189"/>
      <c r="I846" s="1189"/>
      <c r="J846" s="1189"/>
      <c r="K846" s="1189"/>
      <c r="L846" s="1189"/>
      <c r="M846" s="1189"/>
      <c r="N846" s="1189"/>
      <c r="O846" s="1189"/>
      <c r="P846" s="1189"/>
      <c r="Q846" s="1189"/>
      <c r="R846" s="1189"/>
      <c r="S846" s="1189"/>
      <c r="T846" s="1189"/>
      <c r="U846" s="1189"/>
      <c r="V846" s="1189"/>
      <c r="W846" s="1189"/>
      <c r="X846" s="1189"/>
      <c r="Y846" s="1189"/>
      <c r="Z846" s="1189"/>
    </row>
    <row r="847">
      <c r="A847" s="1189"/>
      <c r="B847" s="1189"/>
      <c r="C847" s="1189"/>
      <c r="D847" s="1189"/>
      <c r="E847" s="1189"/>
      <c r="F847" s="1189"/>
      <c r="G847" s="1189"/>
      <c r="H847" s="1189"/>
      <c r="I847" s="1189"/>
      <c r="J847" s="1189"/>
      <c r="K847" s="1189"/>
      <c r="L847" s="1189"/>
      <c r="M847" s="1189"/>
      <c r="N847" s="1189"/>
      <c r="O847" s="1189"/>
      <c r="P847" s="1189"/>
      <c r="Q847" s="1189"/>
      <c r="R847" s="1189"/>
      <c r="S847" s="1189"/>
      <c r="T847" s="1189"/>
      <c r="U847" s="1189"/>
      <c r="V847" s="1189"/>
      <c r="W847" s="1189"/>
      <c r="X847" s="1189"/>
      <c r="Y847" s="1189"/>
      <c r="Z847" s="1189"/>
    </row>
    <row r="848">
      <c r="A848" s="1189"/>
      <c r="B848" s="1189"/>
      <c r="C848" s="1189"/>
      <c r="D848" s="1189"/>
      <c r="E848" s="1189"/>
      <c r="F848" s="1189"/>
      <c r="G848" s="1189"/>
      <c r="H848" s="1189"/>
      <c r="I848" s="1189"/>
      <c r="J848" s="1189"/>
      <c r="K848" s="1189"/>
      <c r="L848" s="1189"/>
      <c r="M848" s="1189"/>
      <c r="N848" s="1189"/>
      <c r="O848" s="1189"/>
      <c r="P848" s="1189"/>
      <c r="Q848" s="1189"/>
      <c r="R848" s="1189"/>
      <c r="S848" s="1189"/>
      <c r="T848" s="1189"/>
      <c r="U848" s="1189"/>
      <c r="V848" s="1189"/>
      <c r="W848" s="1189"/>
      <c r="X848" s="1189"/>
      <c r="Y848" s="1189"/>
      <c r="Z848" s="1189"/>
    </row>
    <row r="849">
      <c r="A849" s="1189"/>
      <c r="B849" s="1189"/>
      <c r="C849" s="1189"/>
      <c r="D849" s="1189"/>
      <c r="E849" s="1189"/>
      <c r="F849" s="1189"/>
      <c r="G849" s="1189"/>
      <c r="H849" s="1189"/>
      <c r="I849" s="1189"/>
      <c r="J849" s="1189"/>
      <c r="K849" s="1189"/>
      <c r="L849" s="1189"/>
      <c r="M849" s="1189"/>
      <c r="N849" s="1189"/>
      <c r="O849" s="1189"/>
      <c r="P849" s="1189"/>
      <c r="Q849" s="1189"/>
      <c r="R849" s="1189"/>
      <c r="S849" s="1189"/>
      <c r="T849" s="1189"/>
      <c r="U849" s="1189"/>
      <c r="V849" s="1189"/>
      <c r="W849" s="1189"/>
      <c r="X849" s="1189"/>
      <c r="Y849" s="1189"/>
      <c r="Z849" s="1189"/>
    </row>
    <row r="850">
      <c r="A850" s="1189"/>
      <c r="B850" s="1189"/>
      <c r="C850" s="1189"/>
      <c r="D850" s="1189"/>
      <c r="E850" s="1189"/>
      <c r="F850" s="1189"/>
      <c r="G850" s="1189"/>
      <c r="H850" s="1189"/>
      <c r="I850" s="1189"/>
      <c r="J850" s="1189"/>
      <c r="K850" s="1189"/>
      <c r="L850" s="1189"/>
      <c r="M850" s="1189"/>
      <c r="N850" s="1189"/>
      <c r="O850" s="1189"/>
      <c r="P850" s="1189"/>
      <c r="Q850" s="1189"/>
      <c r="R850" s="1189"/>
      <c r="S850" s="1189"/>
      <c r="T850" s="1189"/>
      <c r="U850" s="1189"/>
      <c r="V850" s="1189"/>
      <c r="W850" s="1189"/>
      <c r="X850" s="1189"/>
      <c r="Y850" s="1189"/>
      <c r="Z850" s="1189"/>
    </row>
    <row r="851">
      <c r="A851" s="1189"/>
      <c r="B851" s="1189"/>
      <c r="C851" s="1189"/>
      <c r="D851" s="1189"/>
      <c r="E851" s="1189"/>
      <c r="F851" s="1189"/>
      <c r="G851" s="1189"/>
      <c r="H851" s="1189"/>
      <c r="I851" s="1189"/>
      <c r="J851" s="1189"/>
      <c r="K851" s="1189"/>
      <c r="L851" s="1189"/>
      <c r="M851" s="1189"/>
      <c r="N851" s="1189"/>
      <c r="O851" s="1189"/>
      <c r="P851" s="1189"/>
      <c r="Q851" s="1189"/>
      <c r="R851" s="1189"/>
      <c r="S851" s="1189"/>
      <c r="T851" s="1189"/>
      <c r="U851" s="1189"/>
      <c r="V851" s="1189"/>
      <c r="W851" s="1189"/>
      <c r="X851" s="1189"/>
      <c r="Y851" s="1189"/>
      <c r="Z851" s="1189"/>
    </row>
    <row r="852">
      <c r="A852" s="1189"/>
      <c r="B852" s="1189"/>
      <c r="C852" s="1189"/>
      <c r="D852" s="1189"/>
      <c r="E852" s="1189"/>
      <c r="F852" s="1189"/>
      <c r="G852" s="1189"/>
      <c r="H852" s="1189"/>
      <c r="I852" s="1189"/>
      <c r="J852" s="1189"/>
      <c r="K852" s="1189"/>
      <c r="L852" s="1189"/>
      <c r="M852" s="1189"/>
      <c r="N852" s="1189"/>
      <c r="O852" s="1189"/>
      <c r="P852" s="1189"/>
      <c r="Q852" s="1189"/>
      <c r="R852" s="1189"/>
      <c r="S852" s="1189"/>
      <c r="T852" s="1189"/>
      <c r="U852" s="1189"/>
      <c r="V852" s="1189"/>
      <c r="W852" s="1189"/>
      <c r="X852" s="1189"/>
      <c r="Y852" s="1189"/>
      <c r="Z852" s="1189"/>
    </row>
    <row r="853">
      <c r="A853" s="1189"/>
      <c r="B853" s="1189"/>
      <c r="C853" s="1189"/>
      <c r="D853" s="1189"/>
      <c r="E853" s="1189"/>
      <c r="F853" s="1189"/>
      <c r="G853" s="1189"/>
      <c r="H853" s="1189"/>
      <c r="I853" s="1189"/>
      <c r="J853" s="1189"/>
      <c r="K853" s="1189"/>
      <c r="L853" s="1189"/>
      <c r="M853" s="1189"/>
      <c r="N853" s="1189"/>
      <c r="O853" s="1189"/>
      <c r="P853" s="1189"/>
      <c r="Q853" s="1189"/>
      <c r="R853" s="1189"/>
      <c r="S853" s="1189"/>
      <c r="T853" s="1189"/>
      <c r="U853" s="1189"/>
      <c r="V853" s="1189"/>
      <c r="W853" s="1189"/>
      <c r="X853" s="1189"/>
      <c r="Y853" s="1189"/>
      <c r="Z853" s="1189"/>
    </row>
    <row r="854">
      <c r="A854" s="1189"/>
      <c r="B854" s="1189"/>
      <c r="C854" s="1189"/>
      <c r="D854" s="1189"/>
      <c r="E854" s="1189"/>
      <c r="F854" s="1189"/>
      <c r="G854" s="1189"/>
      <c r="H854" s="1189"/>
      <c r="I854" s="1189"/>
      <c r="J854" s="1189"/>
      <c r="K854" s="1189"/>
      <c r="L854" s="1189"/>
      <c r="M854" s="1189"/>
      <c r="N854" s="1189"/>
      <c r="O854" s="1189"/>
      <c r="P854" s="1189"/>
      <c r="Q854" s="1189"/>
      <c r="R854" s="1189"/>
      <c r="S854" s="1189"/>
      <c r="T854" s="1189"/>
      <c r="U854" s="1189"/>
      <c r="V854" s="1189"/>
      <c r="W854" s="1189"/>
      <c r="X854" s="1189"/>
      <c r="Y854" s="1189"/>
      <c r="Z854" s="1189"/>
    </row>
    <row r="855">
      <c r="A855" s="1189"/>
      <c r="B855" s="1189"/>
      <c r="C855" s="1189"/>
      <c r="D855" s="1189"/>
      <c r="E855" s="1189"/>
      <c r="F855" s="1189"/>
      <c r="G855" s="1189"/>
      <c r="H855" s="1189"/>
      <c r="I855" s="1189"/>
      <c r="J855" s="1189"/>
      <c r="K855" s="1189"/>
      <c r="L855" s="1189"/>
      <c r="M855" s="1189"/>
      <c r="N855" s="1189"/>
      <c r="O855" s="1189"/>
      <c r="P855" s="1189"/>
      <c r="Q855" s="1189"/>
      <c r="R855" s="1189"/>
      <c r="S855" s="1189"/>
      <c r="T855" s="1189"/>
      <c r="U855" s="1189"/>
      <c r="V855" s="1189"/>
      <c r="W855" s="1189"/>
      <c r="X855" s="1189"/>
      <c r="Y855" s="1189"/>
      <c r="Z855" s="1189"/>
    </row>
    <row r="856">
      <c r="A856" s="1189"/>
      <c r="B856" s="1189"/>
      <c r="C856" s="1189"/>
      <c r="D856" s="1189"/>
      <c r="E856" s="1189"/>
      <c r="F856" s="1189"/>
      <c r="G856" s="1189"/>
      <c r="H856" s="1189"/>
      <c r="I856" s="1189"/>
      <c r="J856" s="1189"/>
      <c r="K856" s="1189"/>
      <c r="L856" s="1189"/>
      <c r="M856" s="1189"/>
      <c r="N856" s="1189"/>
      <c r="O856" s="1189"/>
      <c r="P856" s="1189"/>
      <c r="Q856" s="1189"/>
      <c r="R856" s="1189"/>
      <c r="S856" s="1189"/>
      <c r="T856" s="1189"/>
      <c r="U856" s="1189"/>
      <c r="V856" s="1189"/>
      <c r="W856" s="1189"/>
      <c r="X856" s="1189"/>
      <c r="Y856" s="1189"/>
      <c r="Z856" s="1189"/>
    </row>
    <row r="857">
      <c r="A857" s="1189"/>
      <c r="B857" s="1189"/>
      <c r="C857" s="1189"/>
      <c r="D857" s="1189"/>
      <c r="E857" s="1189"/>
      <c r="F857" s="1189"/>
      <c r="G857" s="1189"/>
      <c r="H857" s="1189"/>
      <c r="I857" s="1189"/>
      <c r="J857" s="1189"/>
      <c r="K857" s="1189"/>
      <c r="L857" s="1189"/>
      <c r="M857" s="1189"/>
      <c r="N857" s="1189"/>
      <c r="O857" s="1189"/>
      <c r="P857" s="1189"/>
      <c r="Q857" s="1189"/>
      <c r="R857" s="1189"/>
      <c r="S857" s="1189"/>
      <c r="T857" s="1189"/>
      <c r="U857" s="1189"/>
      <c r="V857" s="1189"/>
      <c r="W857" s="1189"/>
      <c r="X857" s="1189"/>
      <c r="Y857" s="1189"/>
      <c r="Z857" s="1189"/>
    </row>
    <row r="858">
      <c r="A858" s="1189"/>
      <c r="B858" s="1189"/>
      <c r="C858" s="1189"/>
      <c r="D858" s="1189"/>
      <c r="E858" s="1189"/>
      <c r="F858" s="1189"/>
      <c r="G858" s="1189"/>
      <c r="H858" s="1189"/>
      <c r="I858" s="1189"/>
      <c r="J858" s="1189"/>
      <c r="K858" s="1189"/>
      <c r="L858" s="1189"/>
      <c r="M858" s="1189"/>
      <c r="N858" s="1189"/>
      <c r="O858" s="1189"/>
      <c r="P858" s="1189"/>
      <c r="Q858" s="1189"/>
      <c r="R858" s="1189"/>
      <c r="S858" s="1189"/>
      <c r="T858" s="1189"/>
      <c r="U858" s="1189"/>
      <c r="V858" s="1189"/>
      <c r="W858" s="1189"/>
      <c r="X858" s="1189"/>
      <c r="Y858" s="1189"/>
      <c r="Z858" s="1189"/>
    </row>
    <row r="859">
      <c r="A859" s="1189"/>
      <c r="B859" s="1189"/>
      <c r="C859" s="1189"/>
      <c r="D859" s="1189"/>
      <c r="E859" s="1189"/>
      <c r="F859" s="1189"/>
      <c r="G859" s="1189"/>
      <c r="H859" s="1189"/>
      <c r="I859" s="1189"/>
      <c r="J859" s="1189"/>
      <c r="K859" s="1189"/>
      <c r="L859" s="1189"/>
      <c r="M859" s="1189"/>
      <c r="N859" s="1189"/>
      <c r="O859" s="1189"/>
      <c r="P859" s="1189"/>
      <c r="Q859" s="1189"/>
      <c r="R859" s="1189"/>
      <c r="S859" s="1189"/>
      <c r="T859" s="1189"/>
      <c r="U859" s="1189"/>
      <c r="V859" s="1189"/>
      <c r="W859" s="1189"/>
      <c r="X859" s="1189"/>
      <c r="Y859" s="1189"/>
      <c r="Z859" s="1189"/>
    </row>
    <row r="860">
      <c r="A860" s="1189"/>
      <c r="B860" s="1189"/>
      <c r="C860" s="1189"/>
      <c r="D860" s="1189"/>
      <c r="E860" s="1189"/>
      <c r="F860" s="1189"/>
      <c r="G860" s="1189"/>
      <c r="H860" s="1189"/>
      <c r="I860" s="1189"/>
      <c r="J860" s="1189"/>
      <c r="K860" s="1189"/>
      <c r="L860" s="1189"/>
      <c r="M860" s="1189"/>
      <c r="N860" s="1189"/>
      <c r="O860" s="1189"/>
      <c r="P860" s="1189"/>
      <c r="Q860" s="1189"/>
      <c r="R860" s="1189"/>
      <c r="S860" s="1189"/>
      <c r="T860" s="1189"/>
      <c r="U860" s="1189"/>
      <c r="V860" s="1189"/>
      <c r="W860" s="1189"/>
      <c r="X860" s="1189"/>
      <c r="Y860" s="1189"/>
      <c r="Z860" s="1189"/>
    </row>
    <row r="861">
      <c r="A861" s="1189"/>
      <c r="B861" s="1189"/>
      <c r="C861" s="1189"/>
      <c r="D861" s="1189"/>
      <c r="E861" s="1189"/>
      <c r="F861" s="1189"/>
      <c r="G861" s="1189"/>
      <c r="H861" s="1189"/>
      <c r="I861" s="1189"/>
      <c r="J861" s="1189"/>
      <c r="K861" s="1189"/>
      <c r="L861" s="1189"/>
      <c r="M861" s="1189"/>
      <c r="N861" s="1189"/>
      <c r="O861" s="1189"/>
      <c r="P861" s="1189"/>
      <c r="Q861" s="1189"/>
      <c r="R861" s="1189"/>
      <c r="S861" s="1189"/>
      <c r="T861" s="1189"/>
      <c r="U861" s="1189"/>
      <c r="V861" s="1189"/>
      <c r="W861" s="1189"/>
      <c r="X861" s="1189"/>
      <c r="Y861" s="1189"/>
      <c r="Z861" s="1189"/>
    </row>
    <row r="862">
      <c r="A862" s="1189"/>
      <c r="B862" s="1189"/>
      <c r="C862" s="1189"/>
      <c r="D862" s="1189"/>
      <c r="E862" s="1189"/>
      <c r="F862" s="1189"/>
      <c r="G862" s="1189"/>
      <c r="H862" s="1189"/>
      <c r="I862" s="1189"/>
      <c r="J862" s="1189"/>
      <c r="K862" s="1189"/>
      <c r="L862" s="1189"/>
      <c r="M862" s="1189"/>
      <c r="N862" s="1189"/>
      <c r="O862" s="1189"/>
      <c r="P862" s="1189"/>
      <c r="Q862" s="1189"/>
      <c r="R862" s="1189"/>
      <c r="S862" s="1189"/>
      <c r="T862" s="1189"/>
      <c r="U862" s="1189"/>
      <c r="V862" s="1189"/>
      <c r="W862" s="1189"/>
      <c r="X862" s="1189"/>
      <c r="Y862" s="1189"/>
      <c r="Z862" s="1189"/>
    </row>
    <row r="863">
      <c r="A863" s="1189"/>
      <c r="B863" s="1189"/>
      <c r="C863" s="1189"/>
      <c r="D863" s="1189"/>
      <c r="E863" s="1189"/>
      <c r="F863" s="1189"/>
      <c r="G863" s="1189"/>
      <c r="H863" s="1189"/>
      <c r="I863" s="1189"/>
      <c r="J863" s="1189"/>
      <c r="K863" s="1189"/>
      <c r="L863" s="1189"/>
      <c r="M863" s="1189"/>
      <c r="N863" s="1189"/>
      <c r="O863" s="1189"/>
      <c r="P863" s="1189"/>
      <c r="Q863" s="1189"/>
      <c r="R863" s="1189"/>
      <c r="S863" s="1189"/>
      <c r="T863" s="1189"/>
      <c r="U863" s="1189"/>
      <c r="V863" s="1189"/>
      <c r="W863" s="1189"/>
      <c r="X863" s="1189"/>
      <c r="Y863" s="1189"/>
      <c r="Z863" s="1189"/>
    </row>
    <row r="864">
      <c r="A864" s="1189"/>
      <c r="B864" s="1189"/>
      <c r="C864" s="1189"/>
      <c r="D864" s="1189"/>
      <c r="E864" s="1189"/>
      <c r="F864" s="1189"/>
      <c r="G864" s="1189"/>
      <c r="H864" s="1189"/>
      <c r="I864" s="1189"/>
      <c r="J864" s="1189"/>
      <c r="K864" s="1189"/>
      <c r="L864" s="1189"/>
      <c r="M864" s="1189"/>
      <c r="N864" s="1189"/>
      <c r="O864" s="1189"/>
      <c r="P864" s="1189"/>
      <c r="Q864" s="1189"/>
      <c r="R864" s="1189"/>
      <c r="S864" s="1189"/>
      <c r="T864" s="1189"/>
      <c r="U864" s="1189"/>
      <c r="V864" s="1189"/>
      <c r="W864" s="1189"/>
      <c r="X864" s="1189"/>
      <c r="Y864" s="1189"/>
      <c r="Z864" s="1189"/>
    </row>
    <row r="865">
      <c r="A865" s="1189"/>
      <c r="B865" s="1189"/>
      <c r="C865" s="1189"/>
      <c r="D865" s="1189"/>
      <c r="E865" s="1189"/>
      <c r="F865" s="1189"/>
      <c r="G865" s="1189"/>
      <c r="H865" s="1189"/>
      <c r="I865" s="1189"/>
      <c r="J865" s="1189"/>
      <c r="K865" s="1189"/>
      <c r="L865" s="1189"/>
      <c r="M865" s="1189"/>
      <c r="N865" s="1189"/>
      <c r="O865" s="1189"/>
      <c r="P865" s="1189"/>
      <c r="Q865" s="1189"/>
      <c r="R865" s="1189"/>
      <c r="S865" s="1189"/>
      <c r="T865" s="1189"/>
      <c r="U865" s="1189"/>
      <c r="V865" s="1189"/>
      <c r="W865" s="1189"/>
      <c r="X865" s="1189"/>
      <c r="Y865" s="1189"/>
      <c r="Z865" s="1189"/>
    </row>
    <row r="866">
      <c r="A866" s="1189"/>
      <c r="B866" s="1189"/>
      <c r="C866" s="1189"/>
      <c r="D866" s="1189"/>
      <c r="E866" s="1189"/>
      <c r="F866" s="1189"/>
      <c r="G866" s="1189"/>
      <c r="H866" s="1189"/>
      <c r="I866" s="1189"/>
      <c r="J866" s="1189"/>
      <c r="K866" s="1189"/>
      <c r="L866" s="1189"/>
      <c r="M866" s="1189"/>
      <c r="N866" s="1189"/>
      <c r="O866" s="1189"/>
      <c r="P866" s="1189"/>
      <c r="Q866" s="1189"/>
      <c r="R866" s="1189"/>
      <c r="S866" s="1189"/>
      <c r="T866" s="1189"/>
      <c r="U866" s="1189"/>
      <c r="V866" s="1189"/>
      <c r="W866" s="1189"/>
      <c r="X866" s="1189"/>
      <c r="Y866" s="1189"/>
      <c r="Z866" s="1189"/>
    </row>
    <row r="867">
      <c r="A867" s="1189"/>
      <c r="B867" s="1189"/>
      <c r="C867" s="1189"/>
      <c r="D867" s="1189"/>
      <c r="E867" s="1189"/>
      <c r="F867" s="1189"/>
      <c r="G867" s="1189"/>
      <c r="H867" s="1189"/>
      <c r="I867" s="1189"/>
      <c r="J867" s="1189"/>
      <c r="K867" s="1189"/>
      <c r="L867" s="1189"/>
      <c r="M867" s="1189"/>
      <c r="N867" s="1189"/>
      <c r="O867" s="1189"/>
      <c r="P867" s="1189"/>
      <c r="Q867" s="1189"/>
      <c r="R867" s="1189"/>
      <c r="S867" s="1189"/>
      <c r="T867" s="1189"/>
      <c r="U867" s="1189"/>
      <c r="V867" s="1189"/>
      <c r="W867" s="1189"/>
      <c r="X867" s="1189"/>
      <c r="Y867" s="1189"/>
      <c r="Z867" s="1189"/>
    </row>
    <row r="868">
      <c r="A868" s="1189"/>
      <c r="B868" s="1189"/>
      <c r="C868" s="1189"/>
      <c r="D868" s="1189"/>
      <c r="E868" s="1189"/>
      <c r="F868" s="1189"/>
      <c r="G868" s="1189"/>
      <c r="H868" s="1189"/>
      <c r="I868" s="1189"/>
      <c r="J868" s="1189"/>
      <c r="K868" s="1189"/>
      <c r="L868" s="1189"/>
      <c r="M868" s="1189"/>
      <c r="N868" s="1189"/>
      <c r="O868" s="1189"/>
      <c r="P868" s="1189"/>
      <c r="Q868" s="1189"/>
      <c r="R868" s="1189"/>
      <c r="S868" s="1189"/>
      <c r="T868" s="1189"/>
      <c r="U868" s="1189"/>
      <c r="V868" s="1189"/>
      <c r="W868" s="1189"/>
      <c r="X868" s="1189"/>
      <c r="Y868" s="1189"/>
      <c r="Z868" s="1189"/>
    </row>
    <row r="869">
      <c r="A869" s="1189"/>
      <c r="B869" s="1189"/>
      <c r="C869" s="1189"/>
      <c r="D869" s="1189"/>
      <c r="E869" s="1189"/>
      <c r="F869" s="1189"/>
      <c r="G869" s="1189"/>
      <c r="H869" s="1189"/>
      <c r="I869" s="1189"/>
      <c r="J869" s="1189"/>
      <c r="K869" s="1189"/>
      <c r="L869" s="1189"/>
      <c r="M869" s="1189"/>
      <c r="N869" s="1189"/>
      <c r="O869" s="1189"/>
      <c r="P869" s="1189"/>
      <c r="Q869" s="1189"/>
      <c r="R869" s="1189"/>
      <c r="S869" s="1189"/>
      <c r="T869" s="1189"/>
      <c r="U869" s="1189"/>
      <c r="V869" s="1189"/>
      <c r="W869" s="1189"/>
      <c r="X869" s="1189"/>
      <c r="Y869" s="1189"/>
      <c r="Z869" s="1189"/>
    </row>
    <row r="870">
      <c r="A870" s="1189"/>
      <c r="B870" s="1189"/>
      <c r="C870" s="1189"/>
      <c r="D870" s="1189"/>
      <c r="E870" s="1189"/>
      <c r="F870" s="1189"/>
      <c r="G870" s="1189"/>
      <c r="H870" s="1189"/>
      <c r="I870" s="1189"/>
      <c r="J870" s="1189"/>
      <c r="K870" s="1189"/>
      <c r="L870" s="1189"/>
      <c r="M870" s="1189"/>
      <c r="N870" s="1189"/>
      <c r="O870" s="1189"/>
      <c r="P870" s="1189"/>
      <c r="Q870" s="1189"/>
      <c r="R870" s="1189"/>
      <c r="S870" s="1189"/>
      <c r="T870" s="1189"/>
      <c r="U870" s="1189"/>
      <c r="V870" s="1189"/>
      <c r="W870" s="1189"/>
      <c r="X870" s="1189"/>
      <c r="Y870" s="1189"/>
      <c r="Z870" s="1189"/>
    </row>
    <row r="871">
      <c r="A871" s="1189"/>
      <c r="B871" s="1189"/>
      <c r="C871" s="1189"/>
      <c r="D871" s="1189"/>
      <c r="E871" s="1189"/>
      <c r="F871" s="1189"/>
      <c r="G871" s="1189"/>
      <c r="H871" s="1189"/>
      <c r="I871" s="1189"/>
      <c r="J871" s="1189"/>
      <c r="K871" s="1189"/>
      <c r="L871" s="1189"/>
      <c r="M871" s="1189"/>
      <c r="N871" s="1189"/>
      <c r="O871" s="1189"/>
      <c r="P871" s="1189"/>
      <c r="Q871" s="1189"/>
      <c r="R871" s="1189"/>
      <c r="S871" s="1189"/>
      <c r="T871" s="1189"/>
      <c r="U871" s="1189"/>
      <c r="V871" s="1189"/>
      <c r="W871" s="1189"/>
      <c r="X871" s="1189"/>
      <c r="Y871" s="1189"/>
      <c r="Z871" s="1189"/>
    </row>
    <row r="872">
      <c r="A872" s="1189"/>
      <c r="B872" s="1189"/>
      <c r="C872" s="1189"/>
      <c r="D872" s="1189"/>
      <c r="E872" s="1189"/>
      <c r="F872" s="1189"/>
      <c r="G872" s="1189"/>
      <c r="H872" s="1189"/>
      <c r="I872" s="1189"/>
      <c r="J872" s="1189"/>
      <c r="K872" s="1189"/>
      <c r="L872" s="1189"/>
      <c r="M872" s="1189"/>
      <c r="N872" s="1189"/>
      <c r="O872" s="1189"/>
      <c r="P872" s="1189"/>
      <c r="Q872" s="1189"/>
      <c r="R872" s="1189"/>
      <c r="S872" s="1189"/>
      <c r="T872" s="1189"/>
      <c r="U872" s="1189"/>
      <c r="V872" s="1189"/>
      <c r="W872" s="1189"/>
      <c r="X872" s="1189"/>
      <c r="Y872" s="1189"/>
      <c r="Z872" s="1189"/>
    </row>
    <row r="873">
      <c r="A873" s="1189"/>
      <c r="B873" s="1189"/>
      <c r="C873" s="1189"/>
      <c r="D873" s="1189"/>
      <c r="E873" s="1189"/>
      <c r="F873" s="1189"/>
      <c r="G873" s="1189"/>
      <c r="H873" s="1189"/>
      <c r="I873" s="1189"/>
      <c r="J873" s="1189"/>
      <c r="K873" s="1189"/>
      <c r="L873" s="1189"/>
      <c r="M873" s="1189"/>
      <c r="N873" s="1189"/>
      <c r="O873" s="1189"/>
      <c r="P873" s="1189"/>
      <c r="Q873" s="1189"/>
      <c r="R873" s="1189"/>
      <c r="S873" s="1189"/>
      <c r="T873" s="1189"/>
      <c r="U873" s="1189"/>
      <c r="V873" s="1189"/>
      <c r="W873" s="1189"/>
      <c r="X873" s="1189"/>
      <c r="Y873" s="1189"/>
      <c r="Z873" s="1189"/>
    </row>
    <row r="874">
      <c r="A874" s="1189"/>
      <c r="B874" s="1189"/>
      <c r="C874" s="1189"/>
      <c r="D874" s="1189"/>
      <c r="E874" s="1189"/>
      <c r="F874" s="1189"/>
      <c r="G874" s="1189"/>
      <c r="H874" s="1189"/>
      <c r="I874" s="1189"/>
      <c r="J874" s="1189"/>
      <c r="K874" s="1189"/>
      <c r="L874" s="1189"/>
      <c r="M874" s="1189"/>
      <c r="N874" s="1189"/>
      <c r="O874" s="1189"/>
      <c r="P874" s="1189"/>
      <c r="Q874" s="1189"/>
      <c r="R874" s="1189"/>
      <c r="S874" s="1189"/>
      <c r="T874" s="1189"/>
      <c r="U874" s="1189"/>
      <c r="V874" s="1189"/>
      <c r="W874" s="1189"/>
      <c r="X874" s="1189"/>
      <c r="Y874" s="1189"/>
      <c r="Z874" s="1189"/>
    </row>
    <row r="875">
      <c r="A875" s="1189"/>
      <c r="B875" s="1189"/>
      <c r="C875" s="1189"/>
      <c r="D875" s="1189"/>
      <c r="E875" s="1189"/>
      <c r="F875" s="1189"/>
      <c r="G875" s="1189"/>
      <c r="H875" s="1189"/>
      <c r="I875" s="1189"/>
      <c r="J875" s="1189"/>
      <c r="K875" s="1189"/>
      <c r="L875" s="1189"/>
      <c r="M875" s="1189"/>
      <c r="N875" s="1189"/>
      <c r="O875" s="1189"/>
      <c r="P875" s="1189"/>
      <c r="Q875" s="1189"/>
      <c r="R875" s="1189"/>
      <c r="S875" s="1189"/>
      <c r="T875" s="1189"/>
      <c r="U875" s="1189"/>
      <c r="V875" s="1189"/>
      <c r="W875" s="1189"/>
      <c r="X875" s="1189"/>
      <c r="Y875" s="1189"/>
      <c r="Z875" s="1189"/>
    </row>
    <row r="876">
      <c r="A876" s="1189"/>
      <c r="B876" s="1189"/>
      <c r="C876" s="1189"/>
      <c r="D876" s="1189"/>
      <c r="E876" s="1189"/>
      <c r="F876" s="1189"/>
      <c r="G876" s="1189"/>
      <c r="H876" s="1189"/>
      <c r="I876" s="1189"/>
      <c r="J876" s="1189"/>
      <c r="K876" s="1189"/>
      <c r="L876" s="1189"/>
      <c r="M876" s="1189"/>
      <c r="N876" s="1189"/>
      <c r="O876" s="1189"/>
      <c r="P876" s="1189"/>
      <c r="Q876" s="1189"/>
      <c r="R876" s="1189"/>
      <c r="S876" s="1189"/>
      <c r="T876" s="1189"/>
      <c r="U876" s="1189"/>
      <c r="V876" s="1189"/>
      <c r="W876" s="1189"/>
      <c r="X876" s="1189"/>
      <c r="Y876" s="1189"/>
      <c r="Z876" s="1189"/>
    </row>
    <row r="877">
      <c r="A877" s="1189"/>
      <c r="B877" s="1189"/>
      <c r="C877" s="1189"/>
      <c r="D877" s="1189"/>
      <c r="E877" s="1189"/>
      <c r="F877" s="1189"/>
      <c r="G877" s="1189"/>
      <c r="H877" s="1189"/>
      <c r="I877" s="1189"/>
      <c r="J877" s="1189"/>
      <c r="K877" s="1189"/>
      <c r="L877" s="1189"/>
      <c r="M877" s="1189"/>
      <c r="N877" s="1189"/>
      <c r="O877" s="1189"/>
      <c r="P877" s="1189"/>
      <c r="Q877" s="1189"/>
      <c r="R877" s="1189"/>
      <c r="S877" s="1189"/>
      <c r="T877" s="1189"/>
      <c r="U877" s="1189"/>
      <c r="V877" s="1189"/>
      <c r="W877" s="1189"/>
      <c r="X877" s="1189"/>
      <c r="Y877" s="1189"/>
      <c r="Z877" s="1189"/>
    </row>
    <row r="878">
      <c r="A878" s="1189"/>
      <c r="B878" s="1189"/>
      <c r="C878" s="1189"/>
      <c r="D878" s="1189"/>
      <c r="E878" s="1189"/>
      <c r="F878" s="1189"/>
      <c r="G878" s="1189"/>
      <c r="H878" s="1189"/>
      <c r="I878" s="1189"/>
      <c r="J878" s="1189"/>
      <c r="K878" s="1189"/>
      <c r="L878" s="1189"/>
      <c r="M878" s="1189"/>
      <c r="N878" s="1189"/>
      <c r="O878" s="1189"/>
      <c r="P878" s="1189"/>
      <c r="Q878" s="1189"/>
      <c r="R878" s="1189"/>
      <c r="S878" s="1189"/>
      <c r="T878" s="1189"/>
      <c r="U878" s="1189"/>
      <c r="V878" s="1189"/>
      <c r="W878" s="1189"/>
      <c r="X878" s="1189"/>
      <c r="Y878" s="1189"/>
      <c r="Z878" s="1189"/>
    </row>
    <row r="879">
      <c r="A879" s="1189"/>
      <c r="B879" s="1189"/>
      <c r="C879" s="1189"/>
      <c r="D879" s="1189"/>
      <c r="E879" s="1189"/>
      <c r="F879" s="1189"/>
      <c r="G879" s="1189"/>
      <c r="H879" s="1189"/>
      <c r="I879" s="1189"/>
      <c r="J879" s="1189"/>
      <c r="K879" s="1189"/>
      <c r="L879" s="1189"/>
      <c r="M879" s="1189"/>
      <c r="N879" s="1189"/>
      <c r="O879" s="1189"/>
      <c r="P879" s="1189"/>
      <c r="Q879" s="1189"/>
      <c r="R879" s="1189"/>
      <c r="S879" s="1189"/>
      <c r="T879" s="1189"/>
      <c r="U879" s="1189"/>
      <c r="V879" s="1189"/>
      <c r="W879" s="1189"/>
      <c r="X879" s="1189"/>
      <c r="Y879" s="1189"/>
      <c r="Z879" s="1189"/>
    </row>
    <row r="880">
      <c r="A880" s="1189"/>
      <c r="B880" s="1189"/>
      <c r="C880" s="1189"/>
      <c r="D880" s="1189"/>
      <c r="E880" s="1189"/>
      <c r="F880" s="1189"/>
      <c r="G880" s="1189"/>
      <c r="H880" s="1189"/>
      <c r="I880" s="1189"/>
      <c r="J880" s="1189"/>
      <c r="K880" s="1189"/>
      <c r="L880" s="1189"/>
      <c r="M880" s="1189"/>
      <c r="N880" s="1189"/>
      <c r="O880" s="1189"/>
      <c r="P880" s="1189"/>
      <c r="Q880" s="1189"/>
      <c r="R880" s="1189"/>
      <c r="S880" s="1189"/>
      <c r="T880" s="1189"/>
      <c r="U880" s="1189"/>
      <c r="V880" s="1189"/>
      <c r="W880" s="1189"/>
      <c r="X880" s="1189"/>
      <c r="Y880" s="1189"/>
      <c r="Z880" s="1189"/>
    </row>
    <row r="881">
      <c r="A881" s="1189"/>
      <c r="B881" s="1189"/>
      <c r="C881" s="1189"/>
      <c r="D881" s="1189"/>
      <c r="E881" s="1189"/>
      <c r="F881" s="1189"/>
      <c r="G881" s="1189"/>
      <c r="H881" s="1189"/>
      <c r="I881" s="1189"/>
      <c r="J881" s="1189"/>
      <c r="K881" s="1189"/>
      <c r="L881" s="1189"/>
      <c r="M881" s="1189"/>
      <c r="N881" s="1189"/>
      <c r="O881" s="1189"/>
      <c r="P881" s="1189"/>
      <c r="Q881" s="1189"/>
      <c r="R881" s="1189"/>
      <c r="S881" s="1189"/>
      <c r="T881" s="1189"/>
      <c r="U881" s="1189"/>
      <c r="V881" s="1189"/>
      <c r="W881" s="1189"/>
      <c r="X881" s="1189"/>
      <c r="Y881" s="1189"/>
      <c r="Z881" s="1189"/>
    </row>
    <row r="882">
      <c r="A882" s="1189"/>
      <c r="B882" s="1189"/>
      <c r="C882" s="1189"/>
      <c r="D882" s="1189"/>
      <c r="E882" s="1189"/>
      <c r="F882" s="1189"/>
      <c r="G882" s="1189"/>
      <c r="H882" s="1189"/>
      <c r="I882" s="1189"/>
      <c r="J882" s="1189"/>
      <c r="K882" s="1189"/>
      <c r="L882" s="1189"/>
      <c r="M882" s="1189"/>
      <c r="N882" s="1189"/>
      <c r="O882" s="1189"/>
      <c r="P882" s="1189"/>
      <c r="Q882" s="1189"/>
      <c r="R882" s="1189"/>
      <c r="S882" s="1189"/>
      <c r="T882" s="1189"/>
      <c r="U882" s="1189"/>
      <c r="V882" s="1189"/>
      <c r="W882" s="1189"/>
      <c r="X882" s="1189"/>
      <c r="Y882" s="1189"/>
      <c r="Z882" s="1189"/>
    </row>
    <row r="883">
      <c r="A883" s="1189"/>
      <c r="B883" s="1189"/>
      <c r="C883" s="1189"/>
      <c r="D883" s="1189"/>
      <c r="E883" s="1189"/>
      <c r="F883" s="1189"/>
      <c r="G883" s="1189"/>
      <c r="H883" s="1189"/>
      <c r="I883" s="1189"/>
      <c r="J883" s="1189"/>
      <c r="K883" s="1189"/>
      <c r="L883" s="1189"/>
      <c r="M883" s="1189"/>
      <c r="N883" s="1189"/>
      <c r="O883" s="1189"/>
      <c r="P883" s="1189"/>
      <c r="Q883" s="1189"/>
      <c r="R883" s="1189"/>
      <c r="S883" s="1189"/>
      <c r="T883" s="1189"/>
      <c r="U883" s="1189"/>
      <c r="V883" s="1189"/>
      <c r="W883" s="1189"/>
      <c r="X883" s="1189"/>
      <c r="Y883" s="1189"/>
      <c r="Z883" s="1189"/>
    </row>
    <row r="884">
      <c r="A884" s="1189"/>
      <c r="B884" s="1189"/>
      <c r="C884" s="1189"/>
      <c r="D884" s="1189"/>
      <c r="E884" s="1189"/>
      <c r="F884" s="1189"/>
      <c r="G884" s="1189"/>
      <c r="H884" s="1189"/>
      <c r="I884" s="1189"/>
      <c r="J884" s="1189"/>
      <c r="K884" s="1189"/>
      <c r="L884" s="1189"/>
      <c r="M884" s="1189"/>
      <c r="N884" s="1189"/>
      <c r="O884" s="1189"/>
      <c r="P884" s="1189"/>
      <c r="Q884" s="1189"/>
      <c r="R884" s="1189"/>
      <c r="S884" s="1189"/>
      <c r="T884" s="1189"/>
      <c r="U884" s="1189"/>
      <c r="V884" s="1189"/>
      <c r="W884" s="1189"/>
      <c r="X884" s="1189"/>
      <c r="Y884" s="1189"/>
      <c r="Z884" s="1189"/>
    </row>
    <row r="885">
      <c r="A885" s="1189"/>
      <c r="B885" s="1189"/>
      <c r="C885" s="1189"/>
      <c r="D885" s="1189"/>
      <c r="E885" s="1189"/>
      <c r="F885" s="1189"/>
      <c r="G885" s="1189"/>
      <c r="H885" s="1189"/>
      <c r="I885" s="1189"/>
      <c r="J885" s="1189"/>
      <c r="K885" s="1189"/>
      <c r="L885" s="1189"/>
      <c r="M885" s="1189"/>
      <c r="N885" s="1189"/>
      <c r="O885" s="1189"/>
      <c r="P885" s="1189"/>
      <c r="Q885" s="1189"/>
      <c r="R885" s="1189"/>
      <c r="S885" s="1189"/>
      <c r="T885" s="1189"/>
      <c r="U885" s="1189"/>
      <c r="V885" s="1189"/>
      <c r="W885" s="1189"/>
      <c r="X885" s="1189"/>
      <c r="Y885" s="1189"/>
      <c r="Z885" s="1189"/>
    </row>
    <row r="886">
      <c r="A886" s="1189"/>
      <c r="B886" s="1189"/>
      <c r="C886" s="1189"/>
      <c r="D886" s="1189"/>
      <c r="E886" s="1189"/>
      <c r="F886" s="1189"/>
      <c r="G886" s="1189"/>
      <c r="H886" s="1189"/>
      <c r="I886" s="1189"/>
      <c r="J886" s="1189"/>
      <c r="K886" s="1189"/>
      <c r="L886" s="1189"/>
      <c r="M886" s="1189"/>
      <c r="N886" s="1189"/>
      <c r="O886" s="1189"/>
      <c r="P886" s="1189"/>
      <c r="Q886" s="1189"/>
      <c r="R886" s="1189"/>
      <c r="S886" s="1189"/>
      <c r="T886" s="1189"/>
      <c r="U886" s="1189"/>
      <c r="V886" s="1189"/>
      <c r="W886" s="1189"/>
      <c r="X886" s="1189"/>
      <c r="Y886" s="1189"/>
      <c r="Z886" s="1189"/>
    </row>
    <row r="887">
      <c r="A887" s="1189"/>
      <c r="B887" s="1189"/>
      <c r="C887" s="1189"/>
      <c r="D887" s="1189"/>
      <c r="E887" s="1189"/>
      <c r="F887" s="1189"/>
      <c r="G887" s="1189"/>
      <c r="H887" s="1189"/>
      <c r="I887" s="1189"/>
      <c r="J887" s="1189"/>
      <c r="K887" s="1189"/>
      <c r="L887" s="1189"/>
      <c r="M887" s="1189"/>
      <c r="N887" s="1189"/>
      <c r="O887" s="1189"/>
      <c r="P887" s="1189"/>
      <c r="Q887" s="1189"/>
      <c r="R887" s="1189"/>
      <c r="S887" s="1189"/>
      <c r="T887" s="1189"/>
      <c r="U887" s="1189"/>
      <c r="V887" s="1189"/>
      <c r="W887" s="1189"/>
      <c r="X887" s="1189"/>
      <c r="Y887" s="1189"/>
      <c r="Z887" s="1189"/>
    </row>
    <row r="888">
      <c r="A888" s="1189"/>
      <c r="B888" s="1189"/>
      <c r="C888" s="1189"/>
      <c r="D888" s="1189"/>
      <c r="E888" s="1189"/>
      <c r="F888" s="1189"/>
      <c r="G888" s="1189"/>
      <c r="H888" s="1189"/>
      <c r="I888" s="1189"/>
      <c r="J888" s="1189"/>
      <c r="K888" s="1189"/>
      <c r="L888" s="1189"/>
      <c r="M888" s="1189"/>
      <c r="N888" s="1189"/>
      <c r="O888" s="1189"/>
      <c r="P888" s="1189"/>
      <c r="Q888" s="1189"/>
      <c r="R888" s="1189"/>
      <c r="S888" s="1189"/>
      <c r="T888" s="1189"/>
      <c r="U888" s="1189"/>
      <c r="V888" s="1189"/>
      <c r="W888" s="1189"/>
      <c r="X888" s="1189"/>
      <c r="Y888" s="1189"/>
      <c r="Z888" s="1189"/>
    </row>
    <row r="889">
      <c r="A889" s="1189"/>
      <c r="B889" s="1189"/>
      <c r="C889" s="1189"/>
      <c r="D889" s="1189"/>
      <c r="E889" s="1189"/>
      <c r="F889" s="1189"/>
      <c r="G889" s="1189"/>
      <c r="H889" s="1189"/>
      <c r="I889" s="1189"/>
      <c r="J889" s="1189"/>
      <c r="K889" s="1189"/>
      <c r="L889" s="1189"/>
      <c r="M889" s="1189"/>
      <c r="N889" s="1189"/>
      <c r="O889" s="1189"/>
      <c r="P889" s="1189"/>
      <c r="Q889" s="1189"/>
      <c r="R889" s="1189"/>
      <c r="S889" s="1189"/>
      <c r="T889" s="1189"/>
      <c r="U889" s="1189"/>
      <c r="V889" s="1189"/>
      <c r="W889" s="1189"/>
      <c r="X889" s="1189"/>
      <c r="Y889" s="1189"/>
      <c r="Z889" s="1189"/>
    </row>
    <row r="890">
      <c r="A890" s="1189"/>
      <c r="B890" s="1189"/>
      <c r="C890" s="1189"/>
      <c r="D890" s="1189"/>
      <c r="E890" s="1189"/>
      <c r="F890" s="1189"/>
      <c r="G890" s="1189"/>
      <c r="H890" s="1189"/>
      <c r="I890" s="1189"/>
      <c r="J890" s="1189"/>
      <c r="K890" s="1189"/>
      <c r="L890" s="1189"/>
      <c r="M890" s="1189"/>
      <c r="N890" s="1189"/>
      <c r="O890" s="1189"/>
      <c r="P890" s="1189"/>
      <c r="Q890" s="1189"/>
      <c r="R890" s="1189"/>
      <c r="S890" s="1189"/>
      <c r="T890" s="1189"/>
      <c r="U890" s="1189"/>
      <c r="V890" s="1189"/>
      <c r="W890" s="1189"/>
      <c r="X890" s="1189"/>
      <c r="Y890" s="1189"/>
      <c r="Z890" s="1189"/>
    </row>
    <row r="891">
      <c r="A891" s="1189"/>
      <c r="B891" s="1189"/>
      <c r="C891" s="1189"/>
      <c r="D891" s="1189"/>
      <c r="E891" s="1189"/>
      <c r="F891" s="1189"/>
      <c r="G891" s="1189"/>
      <c r="H891" s="1189"/>
      <c r="I891" s="1189"/>
      <c r="J891" s="1189"/>
      <c r="K891" s="1189"/>
      <c r="L891" s="1189"/>
      <c r="M891" s="1189"/>
      <c r="N891" s="1189"/>
      <c r="O891" s="1189"/>
      <c r="P891" s="1189"/>
      <c r="Q891" s="1189"/>
      <c r="R891" s="1189"/>
      <c r="S891" s="1189"/>
      <c r="T891" s="1189"/>
      <c r="U891" s="1189"/>
      <c r="V891" s="1189"/>
      <c r="W891" s="1189"/>
      <c r="X891" s="1189"/>
      <c r="Y891" s="1189"/>
      <c r="Z891" s="1189"/>
    </row>
    <row r="892">
      <c r="A892" s="1189"/>
      <c r="B892" s="1189"/>
      <c r="C892" s="1189"/>
      <c r="D892" s="1189"/>
      <c r="E892" s="1189"/>
      <c r="F892" s="1189"/>
      <c r="G892" s="1189"/>
      <c r="H892" s="1189"/>
      <c r="I892" s="1189"/>
      <c r="J892" s="1189"/>
      <c r="K892" s="1189"/>
      <c r="L892" s="1189"/>
      <c r="M892" s="1189"/>
      <c r="N892" s="1189"/>
      <c r="O892" s="1189"/>
      <c r="P892" s="1189"/>
      <c r="Q892" s="1189"/>
      <c r="R892" s="1189"/>
      <c r="S892" s="1189"/>
      <c r="T892" s="1189"/>
      <c r="U892" s="1189"/>
      <c r="V892" s="1189"/>
      <c r="W892" s="1189"/>
      <c r="X892" s="1189"/>
      <c r="Y892" s="1189"/>
      <c r="Z892" s="1189"/>
    </row>
    <row r="893">
      <c r="A893" s="1189"/>
      <c r="B893" s="1189"/>
      <c r="C893" s="1189"/>
      <c r="D893" s="1189"/>
      <c r="E893" s="1189"/>
      <c r="F893" s="1189"/>
      <c r="G893" s="1189"/>
      <c r="H893" s="1189"/>
      <c r="I893" s="1189"/>
      <c r="J893" s="1189"/>
      <c r="K893" s="1189"/>
      <c r="L893" s="1189"/>
      <c r="M893" s="1189"/>
      <c r="N893" s="1189"/>
      <c r="O893" s="1189"/>
      <c r="P893" s="1189"/>
      <c r="Q893" s="1189"/>
      <c r="R893" s="1189"/>
      <c r="S893" s="1189"/>
      <c r="T893" s="1189"/>
      <c r="U893" s="1189"/>
      <c r="V893" s="1189"/>
      <c r="W893" s="1189"/>
      <c r="X893" s="1189"/>
      <c r="Y893" s="1189"/>
      <c r="Z893" s="1189"/>
    </row>
    <row r="894">
      <c r="A894" s="1189"/>
      <c r="B894" s="1189"/>
      <c r="C894" s="1189"/>
      <c r="D894" s="1189"/>
      <c r="E894" s="1189"/>
      <c r="F894" s="1189"/>
      <c r="G894" s="1189"/>
      <c r="H894" s="1189"/>
      <c r="I894" s="1189"/>
      <c r="J894" s="1189"/>
      <c r="K894" s="1189"/>
      <c r="L894" s="1189"/>
      <c r="M894" s="1189"/>
      <c r="N894" s="1189"/>
      <c r="O894" s="1189"/>
      <c r="P894" s="1189"/>
      <c r="Q894" s="1189"/>
      <c r="R894" s="1189"/>
      <c r="S894" s="1189"/>
      <c r="T894" s="1189"/>
      <c r="U894" s="1189"/>
      <c r="V894" s="1189"/>
      <c r="W894" s="1189"/>
      <c r="X894" s="1189"/>
      <c r="Y894" s="1189"/>
      <c r="Z894" s="1189"/>
    </row>
    <row r="895">
      <c r="A895" s="1189"/>
      <c r="B895" s="1189"/>
      <c r="C895" s="1189"/>
      <c r="D895" s="1189"/>
      <c r="E895" s="1189"/>
      <c r="F895" s="1189"/>
      <c r="G895" s="1189"/>
      <c r="H895" s="1189"/>
      <c r="I895" s="1189"/>
      <c r="J895" s="1189"/>
      <c r="K895" s="1189"/>
      <c r="L895" s="1189"/>
      <c r="M895" s="1189"/>
      <c r="N895" s="1189"/>
      <c r="O895" s="1189"/>
      <c r="P895" s="1189"/>
      <c r="Q895" s="1189"/>
      <c r="R895" s="1189"/>
      <c r="S895" s="1189"/>
      <c r="T895" s="1189"/>
      <c r="U895" s="1189"/>
      <c r="V895" s="1189"/>
      <c r="W895" s="1189"/>
      <c r="X895" s="1189"/>
      <c r="Y895" s="1189"/>
      <c r="Z895" s="1189"/>
    </row>
    <row r="896">
      <c r="A896" s="1189"/>
      <c r="B896" s="1189"/>
      <c r="C896" s="1189"/>
      <c r="D896" s="1189"/>
      <c r="E896" s="1189"/>
      <c r="F896" s="1189"/>
      <c r="G896" s="1189"/>
      <c r="H896" s="1189"/>
      <c r="I896" s="1189"/>
      <c r="J896" s="1189"/>
      <c r="K896" s="1189"/>
      <c r="L896" s="1189"/>
      <c r="M896" s="1189"/>
      <c r="N896" s="1189"/>
      <c r="O896" s="1189"/>
      <c r="P896" s="1189"/>
      <c r="Q896" s="1189"/>
      <c r="R896" s="1189"/>
      <c r="S896" s="1189"/>
      <c r="T896" s="1189"/>
      <c r="U896" s="1189"/>
      <c r="V896" s="1189"/>
      <c r="W896" s="1189"/>
      <c r="X896" s="1189"/>
      <c r="Y896" s="1189"/>
      <c r="Z896" s="1189"/>
    </row>
    <row r="897">
      <c r="A897" s="1189"/>
      <c r="B897" s="1189"/>
      <c r="C897" s="1189"/>
      <c r="D897" s="1189"/>
      <c r="E897" s="1189"/>
      <c r="F897" s="1189"/>
      <c r="G897" s="1189"/>
      <c r="H897" s="1189"/>
      <c r="I897" s="1189"/>
      <c r="J897" s="1189"/>
      <c r="K897" s="1189"/>
      <c r="L897" s="1189"/>
      <c r="M897" s="1189"/>
      <c r="N897" s="1189"/>
      <c r="O897" s="1189"/>
      <c r="P897" s="1189"/>
      <c r="Q897" s="1189"/>
      <c r="R897" s="1189"/>
      <c r="S897" s="1189"/>
      <c r="T897" s="1189"/>
      <c r="U897" s="1189"/>
      <c r="V897" s="1189"/>
      <c r="W897" s="1189"/>
      <c r="X897" s="1189"/>
      <c r="Y897" s="1189"/>
      <c r="Z897" s="1189"/>
    </row>
    <row r="898">
      <c r="A898" s="1189"/>
      <c r="B898" s="1189"/>
      <c r="C898" s="1189"/>
      <c r="D898" s="1189"/>
      <c r="E898" s="1189"/>
      <c r="F898" s="1189"/>
      <c r="G898" s="1189"/>
      <c r="H898" s="1189"/>
      <c r="I898" s="1189"/>
      <c r="J898" s="1189"/>
      <c r="K898" s="1189"/>
      <c r="L898" s="1189"/>
      <c r="M898" s="1189"/>
      <c r="N898" s="1189"/>
      <c r="O898" s="1189"/>
      <c r="P898" s="1189"/>
      <c r="Q898" s="1189"/>
      <c r="R898" s="1189"/>
      <c r="S898" s="1189"/>
      <c r="T898" s="1189"/>
      <c r="U898" s="1189"/>
      <c r="V898" s="1189"/>
      <c r="W898" s="1189"/>
      <c r="X898" s="1189"/>
      <c r="Y898" s="1189"/>
      <c r="Z898" s="1189"/>
    </row>
    <row r="899">
      <c r="A899" s="1189"/>
      <c r="B899" s="1189"/>
      <c r="C899" s="1189"/>
      <c r="D899" s="1189"/>
      <c r="E899" s="1189"/>
      <c r="F899" s="1189"/>
      <c r="G899" s="1189"/>
      <c r="H899" s="1189"/>
      <c r="I899" s="1189"/>
      <c r="J899" s="1189"/>
      <c r="K899" s="1189"/>
      <c r="L899" s="1189"/>
      <c r="M899" s="1189"/>
      <c r="N899" s="1189"/>
      <c r="O899" s="1189"/>
      <c r="P899" s="1189"/>
      <c r="Q899" s="1189"/>
      <c r="R899" s="1189"/>
      <c r="S899" s="1189"/>
      <c r="T899" s="1189"/>
      <c r="U899" s="1189"/>
      <c r="V899" s="1189"/>
      <c r="W899" s="1189"/>
      <c r="X899" s="1189"/>
      <c r="Y899" s="1189"/>
      <c r="Z899" s="1189"/>
    </row>
    <row r="900">
      <c r="A900" s="1189"/>
      <c r="B900" s="1189"/>
      <c r="C900" s="1189"/>
      <c r="D900" s="1189"/>
      <c r="E900" s="1189"/>
      <c r="F900" s="1189"/>
      <c r="G900" s="1189"/>
      <c r="H900" s="1189"/>
      <c r="I900" s="1189"/>
      <c r="J900" s="1189"/>
      <c r="K900" s="1189"/>
      <c r="L900" s="1189"/>
      <c r="M900" s="1189"/>
      <c r="N900" s="1189"/>
      <c r="O900" s="1189"/>
      <c r="P900" s="1189"/>
      <c r="Q900" s="1189"/>
      <c r="R900" s="1189"/>
      <c r="S900" s="1189"/>
      <c r="T900" s="1189"/>
      <c r="U900" s="1189"/>
      <c r="V900" s="1189"/>
      <c r="W900" s="1189"/>
      <c r="X900" s="1189"/>
      <c r="Y900" s="1189"/>
      <c r="Z900" s="1189"/>
    </row>
    <row r="901">
      <c r="A901" s="1189"/>
      <c r="B901" s="1189"/>
      <c r="C901" s="1189"/>
      <c r="D901" s="1189"/>
      <c r="E901" s="1189"/>
      <c r="F901" s="1189"/>
      <c r="G901" s="1189"/>
      <c r="H901" s="1189"/>
      <c r="I901" s="1189"/>
      <c r="J901" s="1189"/>
      <c r="K901" s="1189"/>
      <c r="L901" s="1189"/>
      <c r="M901" s="1189"/>
      <c r="N901" s="1189"/>
      <c r="O901" s="1189"/>
      <c r="P901" s="1189"/>
      <c r="Q901" s="1189"/>
      <c r="R901" s="1189"/>
      <c r="S901" s="1189"/>
      <c r="T901" s="1189"/>
      <c r="U901" s="1189"/>
      <c r="V901" s="1189"/>
      <c r="W901" s="1189"/>
      <c r="X901" s="1189"/>
      <c r="Y901" s="1189"/>
      <c r="Z901" s="1189"/>
    </row>
    <row r="902">
      <c r="A902" s="1189"/>
      <c r="B902" s="1189"/>
      <c r="C902" s="1189"/>
      <c r="D902" s="1189"/>
      <c r="E902" s="1189"/>
      <c r="F902" s="1189"/>
      <c r="G902" s="1189"/>
      <c r="H902" s="1189"/>
      <c r="I902" s="1189"/>
      <c r="J902" s="1189"/>
      <c r="K902" s="1189"/>
      <c r="L902" s="1189"/>
      <c r="M902" s="1189"/>
      <c r="N902" s="1189"/>
      <c r="O902" s="1189"/>
      <c r="P902" s="1189"/>
      <c r="Q902" s="1189"/>
      <c r="R902" s="1189"/>
      <c r="S902" s="1189"/>
      <c r="T902" s="1189"/>
      <c r="U902" s="1189"/>
      <c r="V902" s="1189"/>
      <c r="W902" s="1189"/>
      <c r="X902" s="1189"/>
      <c r="Y902" s="1189"/>
      <c r="Z902" s="1189"/>
    </row>
    <row r="903">
      <c r="A903" s="1189"/>
      <c r="B903" s="1189"/>
      <c r="C903" s="1189"/>
      <c r="D903" s="1189"/>
      <c r="E903" s="1189"/>
      <c r="F903" s="1189"/>
      <c r="G903" s="1189"/>
      <c r="H903" s="1189"/>
      <c r="I903" s="1189"/>
      <c r="J903" s="1189"/>
      <c r="K903" s="1189"/>
      <c r="L903" s="1189"/>
      <c r="M903" s="1189"/>
      <c r="N903" s="1189"/>
      <c r="O903" s="1189"/>
      <c r="P903" s="1189"/>
      <c r="Q903" s="1189"/>
      <c r="R903" s="1189"/>
      <c r="S903" s="1189"/>
      <c r="T903" s="1189"/>
      <c r="U903" s="1189"/>
      <c r="V903" s="1189"/>
      <c r="W903" s="1189"/>
      <c r="X903" s="1189"/>
      <c r="Y903" s="1189"/>
      <c r="Z903" s="1189"/>
    </row>
    <row r="904">
      <c r="A904" s="1189"/>
      <c r="B904" s="1189"/>
      <c r="C904" s="1189"/>
      <c r="D904" s="1189"/>
      <c r="E904" s="1189"/>
      <c r="F904" s="1189"/>
      <c r="G904" s="1189"/>
      <c r="H904" s="1189"/>
      <c r="I904" s="1189"/>
      <c r="J904" s="1189"/>
      <c r="K904" s="1189"/>
      <c r="L904" s="1189"/>
      <c r="M904" s="1189"/>
      <c r="N904" s="1189"/>
      <c r="O904" s="1189"/>
      <c r="P904" s="1189"/>
      <c r="Q904" s="1189"/>
      <c r="R904" s="1189"/>
      <c r="S904" s="1189"/>
      <c r="T904" s="1189"/>
      <c r="U904" s="1189"/>
      <c r="V904" s="1189"/>
      <c r="W904" s="1189"/>
      <c r="X904" s="1189"/>
      <c r="Y904" s="1189"/>
      <c r="Z904" s="1189"/>
    </row>
    <row r="905">
      <c r="A905" s="1189"/>
      <c r="B905" s="1189"/>
      <c r="C905" s="1189"/>
      <c r="D905" s="1189"/>
      <c r="E905" s="1189"/>
      <c r="F905" s="1189"/>
      <c r="G905" s="1189"/>
      <c r="H905" s="1189"/>
      <c r="I905" s="1189"/>
      <c r="J905" s="1189"/>
      <c r="K905" s="1189"/>
      <c r="L905" s="1189"/>
      <c r="M905" s="1189"/>
      <c r="N905" s="1189"/>
      <c r="O905" s="1189"/>
      <c r="P905" s="1189"/>
      <c r="Q905" s="1189"/>
      <c r="R905" s="1189"/>
      <c r="S905" s="1189"/>
      <c r="T905" s="1189"/>
      <c r="U905" s="1189"/>
      <c r="V905" s="1189"/>
      <c r="W905" s="1189"/>
      <c r="X905" s="1189"/>
      <c r="Y905" s="1189"/>
      <c r="Z905" s="1189"/>
    </row>
    <row r="906">
      <c r="A906" s="1189"/>
      <c r="B906" s="1189"/>
      <c r="C906" s="1189"/>
      <c r="D906" s="1189"/>
      <c r="E906" s="1189"/>
      <c r="F906" s="1189"/>
      <c r="G906" s="1189"/>
      <c r="H906" s="1189"/>
      <c r="I906" s="1189"/>
      <c r="J906" s="1189"/>
      <c r="K906" s="1189"/>
      <c r="L906" s="1189"/>
      <c r="M906" s="1189"/>
      <c r="N906" s="1189"/>
      <c r="O906" s="1189"/>
      <c r="P906" s="1189"/>
      <c r="Q906" s="1189"/>
      <c r="R906" s="1189"/>
      <c r="S906" s="1189"/>
      <c r="T906" s="1189"/>
      <c r="U906" s="1189"/>
      <c r="V906" s="1189"/>
      <c r="W906" s="1189"/>
      <c r="X906" s="1189"/>
      <c r="Y906" s="1189"/>
      <c r="Z906" s="1189"/>
    </row>
    <row r="907">
      <c r="A907" s="1189"/>
      <c r="B907" s="1189"/>
      <c r="C907" s="1189"/>
      <c r="D907" s="1189"/>
      <c r="E907" s="1189"/>
      <c r="F907" s="1189"/>
      <c r="G907" s="1189"/>
      <c r="H907" s="1189"/>
      <c r="I907" s="1189"/>
      <c r="J907" s="1189"/>
      <c r="K907" s="1189"/>
      <c r="L907" s="1189"/>
      <c r="M907" s="1189"/>
      <c r="N907" s="1189"/>
      <c r="O907" s="1189"/>
      <c r="P907" s="1189"/>
      <c r="Q907" s="1189"/>
      <c r="R907" s="1189"/>
      <c r="S907" s="1189"/>
      <c r="T907" s="1189"/>
      <c r="U907" s="1189"/>
      <c r="V907" s="1189"/>
      <c r="W907" s="1189"/>
      <c r="X907" s="1189"/>
      <c r="Y907" s="1189"/>
      <c r="Z907" s="1189"/>
    </row>
    <row r="908">
      <c r="A908" s="1189"/>
      <c r="B908" s="1189"/>
      <c r="C908" s="1189"/>
      <c r="D908" s="1189"/>
      <c r="E908" s="1189"/>
      <c r="F908" s="1189"/>
      <c r="G908" s="1189"/>
      <c r="H908" s="1189"/>
      <c r="I908" s="1189"/>
      <c r="J908" s="1189"/>
      <c r="K908" s="1189"/>
      <c r="L908" s="1189"/>
      <c r="M908" s="1189"/>
      <c r="N908" s="1189"/>
      <c r="O908" s="1189"/>
      <c r="P908" s="1189"/>
      <c r="Q908" s="1189"/>
      <c r="R908" s="1189"/>
      <c r="S908" s="1189"/>
      <c r="T908" s="1189"/>
      <c r="U908" s="1189"/>
      <c r="V908" s="1189"/>
      <c r="W908" s="1189"/>
      <c r="X908" s="1189"/>
      <c r="Y908" s="1189"/>
      <c r="Z908" s="1189"/>
    </row>
    <row r="909">
      <c r="A909" s="1189"/>
      <c r="B909" s="1189"/>
      <c r="C909" s="1189"/>
      <c r="D909" s="1189"/>
      <c r="E909" s="1189"/>
      <c r="F909" s="1189"/>
      <c r="G909" s="1189"/>
      <c r="H909" s="1189"/>
      <c r="I909" s="1189"/>
      <c r="J909" s="1189"/>
      <c r="K909" s="1189"/>
      <c r="L909" s="1189"/>
      <c r="M909" s="1189"/>
      <c r="N909" s="1189"/>
      <c r="O909" s="1189"/>
      <c r="P909" s="1189"/>
      <c r="Q909" s="1189"/>
      <c r="R909" s="1189"/>
      <c r="S909" s="1189"/>
      <c r="T909" s="1189"/>
      <c r="U909" s="1189"/>
      <c r="V909" s="1189"/>
      <c r="W909" s="1189"/>
      <c r="X909" s="1189"/>
      <c r="Y909" s="1189"/>
      <c r="Z909" s="1189"/>
    </row>
    <row r="910">
      <c r="A910" s="1189"/>
      <c r="B910" s="1189"/>
      <c r="C910" s="1189"/>
      <c r="D910" s="1189"/>
      <c r="E910" s="1189"/>
      <c r="F910" s="1189"/>
      <c r="G910" s="1189"/>
      <c r="H910" s="1189"/>
      <c r="I910" s="1189"/>
      <c r="J910" s="1189"/>
      <c r="K910" s="1189"/>
      <c r="L910" s="1189"/>
      <c r="M910" s="1189"/>
      <c r="N910" s="1189"/>
      <c r="O910" s="1189"/>
      <c r="P910" s="1189"/>
      <c r="Q910" s="1189"/>
      <c r="R910" s="1189"/>
      <c r="S910" s="1189"/>
      <c r="T910" s="1189"/>
      <c r="U910" s="1189"/>
      <c r="V910" s="1189"/>
      <c r="W910" s="1189"/>
      <c r="X910" s="1189"/>
      <c r="Y910" s="1189"/>
      <c r="Z910" s="1189"/>
    </row>
    <row r="911">
      <c r="A911" s="1189"/>
      <c r="B911" s="1189"/>
      <c r="C911" s="1189"/>
      <c r="D911" s="1189"/>
      <c r="E911" s="1189"/>
      <c r="F911" s="1189"/>
      <c r="G911" s="1189"/>
      <c r="H911" s="1189"/>
      <c r="I911" s="1189"/>
      <c r="J911" s="1189"/>
      <c r="K911" s="1189"/>
      <c r="L911" s="1189"/>
      <c r="M911" s="1189"/>
      <c r="N911" s="1189"/>
      <c r="O911" s="1189"/>
      <c r="P911" s="1189"/>
      <c r="Q911" s="1189"/>
      <c r="R911" s="1189"/>
      <c r="S911" s="1189"/>
      <c r="T911" s="1189"/>
      <c r="U911" s="1189"/>
      <c r="V911" s="1189"/>
      <c r="W911" s="1189"/>
      <c r="X911" s="1189"/>
      <c r="Y911" s="1189"/>
      <c r="Z911" s="1189"/>
    </row>
    <row r="912">
      <c r="A912" s="1189"/>
      <c r="B912" s="1189"/>
      <c r="C912" s="1189"/>
      <c r="D912" s="1189"/>
      <c r="E912" s="1189"/>
      <c r="F912" s="1189"/>
      <c r="G912" s="1189"/>
      <c r="H912" s="1189"/>
      <c r="I912" s="1189"/>
      <c r="J912" s="1189"/>
      <c r="K912" s="1189"/>
      <c r="L912" s="1189"/>
      <c r="M912" s="1189"/>
      <c r="N912" s="1189"/>
      <c r="O912" s="1189"/>
      <c r="P912" s="1189"/>
      <c r="Q912" s="1189"/>
      <c r="R912" s="1189"/>
      <c r="S912" s="1189"/>
      <c r="T912" s="1189"/>
      <c r="U912" s="1189"/>
      <c r="V912" s="1189"/>
      <c r="W912" s="1189"/>
      <c r="X912" s="1189"/>
      <c r="Y912" s="1189"/>
      <c r="Z912" s="1189"/>
    </row>
    <row r="913">
      <c r="A913" s="1189"/>
      <c r="B913" s="1189"/>
      <c r="C913" s="1189"/>
      <c r="D913" s="1189"/>
      <c r="E913" s="1189"/>
      <c r="F913" s="1189"/>
      <c r="G913" s="1189"/>
      <c r="H913" s="1189"/>
      <c r="I913" s="1189"/>
      <c r="J913" s="1189"/>
      <c r="K913" s="1189"/>
      <c r="L913" s="1189"/>
      <c r="M913" s="1189"/>
      <c r="N913" s="1189"/>
      <c r="O913" s="1189"/>
      <c r="P913" s="1189"/>
      <c r="Q913" s="1189"/>
      <c r="R913" s="1189"/>
      <c r="S913" s="1189"/>
      <c r="T913" s="1189"/>
      <c r="U913" s="1189"/>
      <c r="V913" s="1189"/>
      <c r="W913" s="1189"/>
      <c r="X913" s="1189"/>
      <c r="Y913" s="1189"/>
      <c r="Z913" s="1189"/>
    </row>
    <row r="914">
      <c r="A914" s="1189"/>
      <c r="B914" s="1189"/>
      <c r="C914" s="1189"/>
      <c r="D914" s="1189"/>
      <c r="E914" s="1189"/>
      <c r="F914" s="1189"/>
      <c r="G914" s="1189"/>
      <c r="H914" s="1189"/>
      <c r="I914" s="1189"/>
      <c r="J914" s="1189"/>
      <c r="K914" s="1189"/>
      <c r="L914" s="1189"/>
      <c r="M914" s="1189"/>
      <c r="N914" s="1189"/>
      <c r="O914" s="1189"/>
      <c r="P914" s="1189"/>
      <c r="Q914" s="1189"/>
      <c r="R914" s="1189"/>
      <c r="S914" s="1189"/>
      <c r="T914" s="1189"/>
      <c r="U914" s="1189"/>
      <c r="V914" s="1189"/>
      <c r="W914" s="1189"/>
      <c r="X914" s="1189"/>
      <c r="Y914" s="1189"/>
      <c r="Z914" s="1189"/>
    </row>
    <row r="915">
      <c r="A915" s="1189"/>
      <c r="B915" s="1189"/>
      <c r="C915" s="1189"/>
      <c r="D915" s="1189"/>
      <c r="E915" s="1189"/>
      <c r="F915" s="1189"/>
      <c r="G915" s="1189"/>
      <c r="H915" s="1189"/>
      <c r="I915" s="1189"/>
      <c r="J915" s="1189"/>
      <c r="K915" s="1189"/>
      <c r="L915" s="1189"/>
      <c r="M915" s="1189"/>
      <c r="N915" s="1189"/>
      <c r="O915" s="1189"/>
      <c r="P915" s="1189"/>
      <c r="Q915" s="1189"/>
      <c r="R915" s="1189"/>
      <c r="S915" s="1189"/>
      <c r="T915" s="1189"/>
      <c r="U915" s="1189"/>
      <c r="V915" s="1189"/>
      <c r="W915" s="1189"/>
      <c r="X915" s="1189"/>
      <c r="Y915" s="1189"/>
      <c r="Z915" s="1189"/>
    </row>
    <row r="916">
      <c r="A916" s="1189"/>
      <c r="B916" s="1189"/>
      <c r="C916" s="1189"/>
      <c r="D916" s="1189"/>
      <c r="E916" s="1189"/>
      <c r="F916" s="1189"/>
      <c r="G916" s="1189"/>
      <c r="H916" s="1189"/>
      <c r="I916" s="1189"/>
      <c r="J916" s="1189"/>
      <c r="K916" s="1189"/>
      <c r="L916" s="1189"/>
      <c r="M916" s="1189"/>
      <c r="N916" s="1189"/>
      <c r="O916" s="1189"/>
      <c r="P916" s="1189"/>
      <c r="Q916" s="1189"/>
      <c r="R916" s="1189"/>
      <c r="S916" s="1189"/>
      <c r="T916" s="1189"/>
      <c r="U916" s="1189"/>
      <c r="V916" s="1189"/>
      <c r="W916" s="1189"/>
      <c r="X916" s="1189"/>
      <c r="Y916" s="1189"/>
      <c r="Z916" s="1189"/>
    </row>
    <row r="917">
      <c r="A917" s="1189"/>
      <c r="B917" s="1189"/>
      <c r="C917" s="1189"/>
      <c r="D917" s="1189"/>
      <c r="E917" s="1189"/>
      <c r="F917" s="1189"/>
      <c r="G917" s="1189"/>
      <c r="H917" s="1189"/>
      <c r="I917" s="1189"/>
      <c r="J917" s="1189"/>
      <c r="K917" s="1189"/>
      <c r="L917" s="1189"/>
      <c r="M917" s="1189"/>
      <c r="N917" s="1189"/>
      <c r="O917" s="1189"/>
      <c r="P917" s="1189"/>
      <c r="Q917" s="1189"/>
      <c r="R917" s="1189"/>
      <c r="S917" s="1189"/>
      <c r="T917" s="1189"/>
      <c r="U917" s="1189"/>
      <c r="V917" s="1189"/>
      <c r="W917" s="1189"/>
      <c r="X917" s="1189"/>
      <c r="Y917" s="1189"/>
      <c r="Z917" s="1189"/>
    </row>
    <row r="918">
      <c r="A918" s="1189"/>
      <c r="B918" s="1189"/>
      <c r="C918" s="1189"/>
      <c r="D918" s="1189"/>
      <c r="E918" s="1189"/>
      <c r="F918" s="1189"/>
      <c r="G918" s="1189"/>
      <c r="H918" s="1189"/>
      <c r="I918" s="1189"/>
      <c r="J918" s="1189"/>
      <c r="K918" s="1189"/>
      <c r="L918" s="1189"/>
      <c r="M918" s="1189"/>
      <c r="N918" s="1189"/>
      <c r="O918" s="1189"/>
      <c r="P918" s="1189"/>
      <c r="Q918" s="1189"/>
      <c r="R918" s="1189"/>
      <c r="S918" s="1189"/>
      <c r="T918" s="1189"/>
      <c r="U918" s="1189"/>
      <c r="V918" s="1189"/>
      <c r="W918" s="1189"/>
      <c r="X918" s="1189"/>
      <c r="Y918" s="1189"/>
      <c r="Z918" s="1189"/>
    </row>
    <row r="919">
      <c r="A919" s="1189"/>
      <c r="B919" s="1189"/>
      <c r="C919" s="1189"/>
      <c r="D919" s="1189"/>
      <c r="E919" s="1189"/>
      <c r="F919" s="1189"/>
      <c r="G919" s="1189"/>
      <c r="H919" s="1189"/>
      <c r="I919" s="1189"/>
      <c r="J919" s="1189"/>
      <c r="K919" s="1189"/>
      <c r="L919" s="1189"/>
      <c r="M919" s="1189"/>
      <c r="N919" s="1189"/>
      <c r="O919" s="1189"/>
      <c r="P919" s="1189"/>
      <c r="Q919" s="1189"/>
      <c r="R919" s="1189"/>
      <c r="S919" s="1189"/>
      <c r="T919" s="1189"/>
      <c r="U919" s="1189"/>
      <c r="V919" s="1189"/>
      <c r="W919" s="1189"/>
      <c r="X919" s="1189"/>
      <c r="Y919" s="1189"/>
      <c r="Z919" s="1189"/>
    </row>
    <row r="920">
      <c r="A920" s="1189"/>
      <c r="B920" s="1189"/>
      <c r="C920" s="1189"/>
      <c r="D920" s="1189"/>
      <c r="E920" s="1189"/>
      <c r="F920" s="1189"/>
      <c r="G920" s="1189"/>
      <c r="H920" s="1189"/>
      <c r="I920" s="1189"/>
      <c r="J920" s="1189"/>
      <c r="K920" s="1189"/>
      <c r="L920" s="1189"/>
      <c r="M920" s="1189"/>
      <c r="N920" s="1189"/>
      <c r="O920" s="1189"/>
      <c r="P920" s="1189"/>
      <c r="Q920" s="1189"/>
      <c r="R920" s="1189"/>
      <c r="S920" s="1189"/>
      <c r="T920" s="1189"/>
      <c r="U920" s="1189"/>
      <c r="V920" s="1189"/>
      <c r="W920" s="1189"/>
      <c r="X920" s="1189"/>
      <c r="Y920" s="1189"/>
      <c r="Z920" s="1189"/>
    </row>
    <row r="921">
      <c r="A921" s="1189"/>
      <c r="B921" s="1189"/>
      <c r="C921" s="1189"/>
      <c r="D921" s="1189"/>
      <c r="E921" s="1189"/>
      <c r="F921" s="1189"/>
      <c r="G921" s="1189"/>
      <c r="H921" s="1189"/>
      <c r="I921" s="1189"/>
      <c r="J921" s="1189"/>
      <c r="K921" s="1189"/>
      <c r="L921" s="1189"/>
      <c r="M921" s="1189"/>
      <c r="N921" s="1189"/>
      <c r="O921" s="1189"/>
      <c r="P921" s="1189"/>
      <c r="Q921" s="1189"/>
      <c r="R921" s="1189"/>
      <c r="S921" s="1189"/>
      <c r="T921" s="1189"/>
      <c r="U921" s="1189"/>
      <c r="V921" s="1189"/>
      <c r="W921" s="1189"/>
      <c r="X921" s="1189"/>
      <c r="Y921" s="1189"/>
      <c r="Z921" s="1189"/>
    </row>
    <row r="922">
      <c r="A922" s="1189"/>
      <c r="B922" s="1189"/>
      <c r="C922" s="1189"/>
      <c r="D922" s="1189"/>
      <c r="E922" s="1189"/>
      <c r="F922" s="1189"/>
      <c r="G922" s="1189"/>
      <c r="H922" s="1189"/>
      <c r="I922" s="1189"/>
      <c r="J922" s="1189"/>
      <c r="K922" s="1189"/>
      <c r="L922" s="1189"/>
      <c r="M922" s="1189"/>
      <c r="N922" s="1189"/>
      <c r="O922" s="1189"/>
      <c r="P922" s="1189"/>
      <c r="Q922" s="1189"/>
      <c r="R922" s="1189"/>
      <c r="S922" s="1189"/>
      <c r="T922" s="1189"/>
      <c r="U922" s="1189"/>
      <c r="V922" s="1189"/>
      <c r="W922" s="1189"/>
      <c r="X922" s="1189"/>
      <c r="Y922" s="1189"/>
      <c r="Z922" s="1189"/>
    </row>
    <row r="923">
      <c r="A923" s="1189"/>
      <c r="B923" s="1189"/>
      <c r="C923" s="1189"/>
      <c r="D923" s="1189"/>
      <c r="E923" s="1189"/>
      <c r="F923" s="1189"/>
      <c r="G923" s="1189"/>
      <c r="H923" s="1189"/>
      <c r="I923" s="1189"/>
      <c r="J923" s="1189"/>
      <c r="K923" s="1189"/>
      <c r="L923" s="1189"/>
      <c r="M923" s="1189"/>
      <c r="N923" s="1189"/>
      <c r="O923" s="1189"/>
      <c r="P923" s="1189"/>
      <c r="Q923" s="1189"/>
      <c r="R923" s="1189"/>
      <c r="S923" s="1189"/>
      <c r="T923" s="1189"/>
      <c r="U923" s="1189"/>
      <c r="V923" s="1189"/>
      <c r="W923" s="1189"/>
      <c r="X923" s="1189"/>
      <c r="Y923" s="1189"/>
      <c r="Z923" s="1189"/>
    </row>
    <row r="924">
      <c r="A924" s="1189"/>
      <c r="B924" s="1189"/>
      <c r="C924" s="1189"/>
      <c r="D924" s="1189"/>
      <c r="E924" s="1189"/>
      <c r="F924" s="1189"/>
      <c r="G924" s="1189"/>
      <c r="H924" s="1189"/>
      <c r="I924" s="1189"/>
      <c r="J924" s="1189"/>
      <c r="K924" s="1189"/>
      <c r="L924" s="1189"/>
      <c r="M924" s="1189"/>
      <c r="N924" s="1189"/>
      <c r="O924" s="1189"/>
      <c r="P924" s="1189"/>
      <c r="Q924" s="1189"/>
      <c r="R924" s="1189"/>
      <c r="S924" s="1189"/>
      <c r="T924" s="1189"/>
      <c r="U924" s="1189"/>
      <c r="V924" s="1189"/>
      <c r="W924" s="1189"/>
      <c r="X924" s="1189"/>
      <c r="Y924" s="1189"/>
      <c r="Z924" s="1189"/>
    </row>
    <row r="925">
      <c r="A925" s="1189"/>
      <c r="B925" s="1189"/>
      <c r="C925" s="1189"/>
      <c r="D925" s="1189"/>
      <c r="E925" s="1189"/>
      <c r="F925" s="1189"/>
      <c r="G925" s="1189"/>
      <c r="H925" s="1189"/>
      <c r="I925" s="1189"/>
      <c r="J925" s="1189"/>
      <c r="K925" s="1189"/>
      <c r="L925" s="1189"/>
      <c r="M925" s="1189"/>
      <c r="N925" s="1189"/>
      <c r="O925" s="1189"/>
      <c r="P925" s="1189"/>
      <c r="Q925" s="1189"/>
      <c r="R925" s="1189"/>
      <c r="S925" s="1189"/>
      <c r="T925" s="1189"/>
      <c r="U925" s="1189"/>
      <c r="V925" s="1189"/>
      <c r="W925" s="1189"/>
      <c r="X925" s="1189"/>
      <c r="Y925" s="1189"/>
      <c r="Z925" s="1189"/>
    </row>
    <row r="926">
      <c r="A926" s="1189"/>
      <c r="B926" s="1189"/>
      <c r="C926" s="1189"/>
      <c r="D926" s="1189"/>
      <c r="E926" s="1189"/>
      <c r="F926" s="1189"/>
      <c r="G926" s="1189"/>
      <c r="H926" s="1189"/>
      <c r="I926" s="1189"/>
      <c r="J926" s="1189"/>
      <c r="K926" s="1189"/>
      <c r="L926" s="1189"/>
      <c r="M926" s="1189"/>
      <c r="N926" s="1189"/>
      <c r="O926" s="1189"/>
      <c r="P926" s="1189"/>
      <c r="Q926" s="1189"/>
      <c r="R926" s="1189"/>
      <c r="S926" s="1189"/>
      <c r="T926" s="1189"/>
      <c r="U926" s="1189"/>
      <c r="V926" s="1189"/>
      <c r="W926" s="1189"/>
      <c r="X926" s="1189"/>
      <c r="Y926" s="1189"/>
      <c r="Z926" s="1189"/>
    </row>
    <row r="927">
      <c r="A927" s="1189"/>
      <c r="B927" s="1189"/>
      <c r="C927" s="1189"/>
      <c r="D927" s="1189"/>
      <c r="E927" s="1189"/>
      <c r="F927" s="1189"/>
      <c r="G927" s="1189"/>
      <c r="H927" s="1189"/>
      <c r="I927" s="1189"/>
      <c r="J927" s="1189"/>
      <c r="K927" s="1189"/>
      <c r="L927" s="1189"/>
      <c r="M927" s="1189"/>
      <c r="N927" s="1189"/>
      <c r="O927" s="1189"/>
      <c r="P927" s="1189"/>
      <c r="Q927" s="1189"/>
      <c r="R927" s="1189"/>
      <c r="S927" s="1189"/>
      <c r="T927" s="1189"/>
      <c r="U927" s="1189"/>
      <c r="V927" s="1189"/>
      <c r="W927" s="1189"/>
      <c r="X927" s="1189"/>
      <c r="Y927" s="1189"/>
      <c r="Z927" s="1189"/>
    </row>
    <row r="928">
      <c r="A928" s="1189"/>
      <c r="B928" s="1189"/>
      <c r="C928" s="1189"/>
      <c r="D928" s="1189"/>
      <c r="E928" s="1189"/>
      <c r="F928" s="1189"/>
      <c r="G928" s="1189"/>
      <c r="H928" s="1189"/>
      <c r="I928" s="1189"/>
      <c r="J928" s="1189"/>
      <c r="K928" s="1189"/>
      <c r="L928" s="1189"/>
      <c r="M928" s="1189"/>
      <c r="N928" s="1189"/>
      <c r="O928" s="1189"/>
      <c r="P928" s="1189"/>
      <c r="Q928" s="1189"/>
      <c r="R928" s="1189"/>
      <c r="S928" s="1189"/>
      <c r="T928" s="1189"/>
      <c r="U928" s="1189"/>
      <c r="V928" s="1189"/>
      <c r="W928" s="1189"/>
      <c r="X928" s="1189"/>
      <c r="Y928" s="1189"/>
      <c r="Z928" s="1189"/>
    </row>
    <row r="929">
      <c r="A929" s="1189"/>
      <c r="B929" s="1189"/>
      <c r="C929" s="1189"/>
      <c r="D929" s="1189"/>
      <c r="E929" s="1189"/>
      <c r="F929" s="1189"/>
      <c r="G929" s="1189"/>
      <c r="H929" s="1189"/>
      <c r="I929" s="1189"/>
      <c r="J929" s="1189"/>
      <c r="K929" s="1189"/>
      <c r="L929" s="1189"/>
      <c r="M929" s="1189"/>
      <c r="N929" s="1189"/>
      <c r="O929" s="1189"/>
      <c r="P929" s="1189"/>
      <c r="Q929" s="1189"/>
      <c r="R929" s="1189"/>
      <c r="S929" s="1189"/>
      <c r="T929" s="1189"/>
      <c r="U929" s="1189"/>
      <c r="V929" s="1189"/>
      <c r="W929" s="1189"/>
      <c r="X929" s="1189"/>
      <c r="Y929" s="1189"/>
      <c r="Z929" s="1189"/>
    </row>
    <row r="930">
      <c r="A930" s="1189"/>
      <c r="B930" s="1189"/>
      <c r="C930" s="1189"/>
      <c r="D930" s="1189"/>
      <c r="E930" s="1189"/>
      <c r="F930" s="1189"/>
      <c r="G930" s="1189"/>
      <c r="H930" s="1189"/>
      <c r="I930" s="1189"/>
      <c r="J930" s="1189"/>
      <c r="K930" s="1189"/>
      <c r="L930" s="1189"/>
      <c r="M930" s="1189"/>
      <c r="N930" s="1189"/>
      <c r="O930" s="1189"/>
      <c r="P930" s="1189"/>
      <c r="Q930" s="1189"/>
      <c r="R930" s="1189"/>
      <c r="S930" s="1189"/>
      <c r="T930" s="1189"/>
      <c r="U930" s="1189"/>
      <c r="V930" s="1189"/>
      <c r="W930" s="1189"/>
      <c r="X930" s="1189"/>
      <c r="Y930" s="1189"/>
      <c r="Z930" s="1189"/>
    </row>
    <row r="931">
      <c r="A931" s="1189"/>
      <c r="B931" s="1189"/>
      <c r="C931" s="1189"/>
      <c r="D931" s="1189"/>
      <c r="E931" s="1189"/>
      <c r="F931" s="1189"/>
      <c r="G931" s="1189"/>
      <c r="H931" s="1189"/>
      <c r="I931" s="1189"/>
      <c r="J931" s="1189"/>
      <c r="K931" s="1189"/>
      <c r="L931" s="1189"/>
      <c r="M931" s="1189"/>
      <c r="N931" s="1189"/>
      <c r="O931" s="1189"/>
      <c r="P931" s="1189"/>
      <c r="Q931" s="1189"/>
      <c r="R931" s="1189"/>
      <c r="S931" s="1189"/>
      <c r="T931" s="1189"/>
      <c r="U931" s="1189"/>
      <c r="V931" s="1189"/>
      <c r="W931" s="1189"/>
      <c r="X931" s="1189"/>
      <c r="Y931" s="1189"/>
      <c r="Z931" s="1189"/>
    </row>
    <row r="932">
      <c r="A932" s="1189"/>
      <c r="B932" s="1189"/>
      <c r="C932" s="1189"/>
      <c r="D932" s="1189"/>
      <c r="E932" s="1189"/>
      <c r="F932" s="1189"/>
      <c r="G932" s="1189"/>
      <c r="H932" s="1189"/>
      <c r="I932" s="1189"/>
      <c r="J932" s="1189"/>
      <c r="K932" s="1189"/>
      <c r="L932" s="1189"/>
      <c r="M932" s="1189"/>
      <c r="N932" s="1189"/>
      <c r="O932" s="1189"/>
      <c r="P932" s="1189"/>
      <c r="Q932" s="1189"/>
      <c r="R932" s="1189"/>
      <c r="S932" s="1189"/>
      <c r="T932" s="1189"/>
      <c r="U932" s="1189"/>
      <c r="V932" s="1189"/>
      <c r="W932" s="1189"/>
      <c r="X932" s="1189"/>
      <c r="Y932" s="1189"/>
      <c r="Z932" s="1189"/>
    </row>
    <row r="933">
      <c r="A933" s="1189"/>
      <c r="B933" s="1189"/>
      <c r="C933" s="1189"/>
      <c r="D933" s="1189"/>
      <c r="E933" s="1189"/>
      <c r="F933" s="1189"/>
      <c r="G933" s="1189"/>
      <c r="H933" s="1189"/>
      <c r="I933" s="1189"/>
      <c r="J933" s="1189"/>
      <c r="K933" s="1189"/>
      <c r="L933" s="1189"/>
      <c r="M933" s="1189"/>
      <c r="N933" s="1189"/>
      <c r="O933" s="1189"/>
      <c r="P933" s="1189"/>
      <c r="Q933" s="1189"/>
      <c r="R933" s="1189"/>
      <c r="S933" s="1189"/>
      <c r="T933" s="1189"/>
      <c r="U933" s="1189"/>
      <c r="V933" s="1189"/>
      <c r="W933" s="1189"/>
      <c r="X933" s="1189"/>
      <c r="Y933" s="1189"/>
      <c r="Z933" s="1189"/>
    </row>
    <row r="934">
      <c r="A934" s="1189"/>
      <c r="B934" s="1189"/>
      <c r="C934" s="1189"/>
      <c r="D934" s="1189"/>
      <c r="E934" s="1189"/>
      <c r="F934" s="1189"/>
      <c r="G934" s="1189"/>
      <c r="H934" s="1189"/>
      <c r="I934" s="1189"/>
      <c r="J934" s="1189"/>
      <c r="K934" s="1189"/>
      <c r="L934" s="1189"/>
      <c r="M934" s="1189"/>
      <c r="N934" s="1189"/>
      <c r="O934" s="1189"/>
      <c r="P934" s="1189"/>
      <c r="Q934" s="1189"/>
      <c r="R934" s="1189"/>
      <c r="S934" s="1189"/>
      <c r="T934" s="1189"/>
      <c r="U934" s="1189"/>
      <c r="V934" s="1189"/>
      <c r="W934" s="1189"/>
      <c r="X934" s="1189"/>
      <c r="Y934" s="1189"/>
      <c r="Z934" s="1189"/>
    </row>
    <row r="935">
      <c r="A935" s="1189"/>
      <c r="B935" s="1189"/>
      <c r="C935" s="1189"/>
      <c r="D935" s="1189"/>
      <c r="E935" s="1189"/>
      <c r="F935" s="1189"/>
      <c r="G935" s="1189"/>
      <c r="H935" s="1189"/>
      <c r="I935" s="1189"/>
      <c r="J935" s="1189"/>
      <c r="K935" s="1189"/>
      <c r="L935" s="1189"/>
      <c r="M935" s="1189"/>
      <c r="N935" s="1189"/>
      <c r="O935" s="1189"/>
      <c r="P935" s="1189"/>
      <c r="Q935" s="1189"/>
      <c r="R935" s="1189"/>
      <c r="S935" s="1189"/>
      <c r="T935" s="1189"/>
      <c r="U935" s="1189"/>
      <c r="V935" s="1189"/>
      <c r="W935" s="1189"/>
      <c r="X935" s="1189"/>
      <c r="Y935" s="1189"/>
      <c r="Z935" s="1189"/>
    </row>
    <row r="936">
      <c r="A936" s="1189"/>
      <c r="B936" s="1189"/>
      <c r="C936" s="1189"/>
      <c r="D936" s="1189"/>
      <c r="E936" s="1189"/>
      <c r="F936" s="1189"/>
      <c r="G936" s="1189"/>
      <c r="H936" s="1189"/>
      <c r="I936" s="1189"/>
      <c r="J936" s="1189"/>
      <c r="K936" s="1189"/>
      <c r="L936" s="1189"/>
      <c r="M936" s="1189"/>
      <c r="N936" s="1189"/>
      <c r="O936" s="1189"/>
      <c r="P936" s="1189"/>
      <c r="Q936" s="1189"/>
      <c r="R936" s="1189"/>
      <c r="S936" s="1189"/>
      <c r="T936" s="1189"/>
      <c r="U936" s="1189"/>
      <c r="V936" s="1189"/>
      <c r="W936" s="1189"/>
      <c r="X936" s="1189"/>
      <c r="Y936" s="1189"/>
      <c r="Z936" s="1189"/>
    </row>
    <row r="937">
      <c r="A937" s="1189"/>
      <c r="B937" s="1189"/>
      <c r="C937" s="1189"/>
      <c r="D937" s="1189"/>
      <c r="E937" s="1189"/>
      <c r="F937" s="1189"/>
      <c r="G937" s="1189"/>
      <c r="H937" s="1189"/>
      <c r="I937" s="1189"/>
      <c r="J937" s="1189"/>
      <c r="K937" s="1189"/>
      <c r="L937" s="1189"/>
      <c r="M937" s="1189"/>
      <c r="N937" s="1189"/>
      <c r="O937" s="1189"/>
      <c r="P937" s="1189"/>
      <c r="Q937" s="1189"/>
      <c r="R937" s="1189"/>
      <c r="S937" s="1189"/>
      <c r="T937" s="1189"/>
      <c r="U937" s="1189"/>
      <c r="V937" s="1189"/>
      <c r="W937" s="1189"/>
      <c r="X937" s="1189"/>
      <c r="Y937" s="1189"/>
      <c r="Z937" s="1189"/>
    </row>
    <row r="938">
      <c r="A938" s="1189"/>
      <c r="B938" s="1189"/>
      <c r="C938" s="1189"/>
      <c r="D938" s="1189"/>
      <c r="E938" s="1189"/>
      <c r="F938" s="1189"/>
      <c r="G938" s="1189"/>
      <c r="H938" s="1189"/>
      <c r="I938" s="1189"/>
      <c r="J938" s="1189"/>
      <c r="K938" s="1189"/>
      <c r="L938" s="1189"/>
      <c r="M938" s="1189"/>
      <c r="N938" s="1189"/>
      <c r="O938" s="1189"/>
      <c r="P938" s="1189"/>
      <c r="Q938" s="1189"/>
      <c r="R938" s="1189"/>
      <c r="S938" s="1189"/>
      <c r="T938" s="1189"/>
      <c r="U938" s="1189"/>
      <c r="V938" s="1189"/>
      <c r="W938" s="1189"/>
      <c r="X938" s="1189"/>
      <c r="Y938" s="1189"/>
      <c r="Z938" s="1189"/>
    </row>
    <row r="939">
      <c r="A939" s="1189"/>
      <c r="B939" s="1189"/>
      <c r="C939" s="1189"/>
      <c r="D939" s="1189"/>
      <c r="E939" s="1189"/>
      <c r="F939" s="1189"/>
      <c r="G939" s="1189"/>
      <c r="H939" s="1189"/>
      <c r="I939" s="1189"/>
      <c r="J939" s="1189"/>
      <c r="K939" s="1189"/>
      <c r="L939" s="1189"/>
      <c r="M939" s="1189"/>
      <c r="N939" s="1189"/>
      <c r="O939" s="1189"/>
      <c r="P939" s="1189"/>
      <c r="Q939" s="1189"/>
      <c r="R939" s="1189"/>
      <c r="S939" s="1189"/>
      <c r="T939" s="1189"/>
      <c r="U939" s="1189"/>
      <c r="V939" s="1189"/>
      <c r="W939" s="1189"/>
      <c r="X939" s="1189"/>
      <c r="Y939" s="1189"/>
      <c r="Z939" s="1189"/>
    </row>
    <row r="940">
      <c r="A940" s="1189"/>
      <c r="B940" s="1189"/>
      <c r="C940" s="1189"/>
      <c r="D940" s="1189"/>
      <c r="E940" s="1189"/>
      <c r="F940" s="1189"/>
      <c r="G940" s="1189"/>
      <c r="H940" s="1189"/>
      <c r="I940" s="1189"/>
      <c r="J940" s="1189"/>
      <c r="K940" s="1189"/>
      <c r="L940" s="1189"/>
      <c r="M940" s="1189"/>
      <c r="N940" s="1189"/>
      <c r="O940" s="1189"/>
      <c r="P940" s="1189"/>
      <c r="Q940" s="1189"/>
      <c r="R940" s="1189"/>
      <c r="S940" s="1189"/>
      <c r="T940" s="1189"/>
      <c r="U940" s="1189"/>
      <c r="V940" s="1189"/>
      <c r="W940" s="1189"/>
      <c r="X940" s="1189"/>
      <c r="Y940" s="1189"/>
      <c r="Z940" s="1189"/>
    </row>
    <row r="941">
      <c r="A941" s="1189"/>
      <c r="B941" s="1189"/>
      <c r="C941" s="1189"/>
      <c r="D941" s="1189"/>
      <c r="E941" s="1189"/>
      <c r="F941" s="1189"/>
      <c r="G941" s="1189"/>
      <c r="H941" s="1189"/>
      <c r="I941" s="1189"/>
      <c r="J941" s="1189"/>
      <c r="K941" s="1189"/>
      <c r="L941" s="1189"/>
      <c r="M941" s="1189"/>
      <c r="N941" s="1189"/>
      <c r="O941" s="1189"/>
      <c r="P941" s="1189"/>
      <c r="Q941" s="1189"/>
      <c r="R941" s="1189"/>
      <c r="S941" s="1189"/>
      <c r="T941" s="1189"/>
      <c r="U941" s="1189"/>
      <c r="V941" s="1189"/>
      <c r="W941" s="1189"/>
      <c r="X941" s="1189"/>
      <c r="Y941" s="1189"/>
      <c r="Z941" s="1189"/>
    </row>
    <row r="942">
      <c r="A942" s="1189"/>
      <c r="B942" s="1189"/>
      <c r="C942" s="1189"/>
      <c r="D942" s="1189"/>
      <c r="E942" s="1189"/>
      <c r="F942" s="1189"/>
      <c r="G942" s="1189"/>
      <c r="H942" s="1189"/>
      <c r="I942" s="1189"/>
      <c r="J942" s="1189"/>
      <c r="K942" s="1189"/>
      <c r="L942" s="1189"/>
      <c r="M942" s="1189"/>
      <c r="N942" s="1189"/>
      <c r="O942" s="1189"/>
      <c r="P942" s="1189"/>
      <c r="Q942" s="1189"/>
      <c r="R942" s="1189"/>
      <c r="S942" s="1189"/>
      <c r="T942" s="1189"/>
      <c r="U942" s="1189"/>
      <c r="V942" s="1189"/>
      <c r="W942" s="1189"/>
      <c r="X942" s="1189"/>
      <c r="Y942" s="1189"/>
      <c r="Z942" s="1189"/>
    </row>
    <row r="943">
      <c r="A943" s="1189"/>
      <c r="B943" s="1189"/>
      <c r="C943" s="1189"/>
      <c r="D943" s="1189"/>
      <c r="E943" s="1189"/>
      <c r="F943" s="1189"/>
      <c r="G943" s="1189"/>
      <c r="H943" s="1189"/>
      <c r="I943" s="1189"/>
      <c r="J943" s="1189"/>
      <c r="K943" s="1189"/>
      <c r="L943" s="1189"/>
      <c r="M943" s="1189"/>
      <c r="N943" s="1189"/>
      <c r="O943" s="1189"/>
      <c r="P943" s="1189"/>
      <c r="Q943" s="1189"/>
      <c r="R943" s="1189"/>
      <c r="S943" s="1189"/>
      <c r="T943" s="1189"/>
      <c r="U943" s="1189"/>
      <c r="V943" s="1189"/>
      <c r="W943" s="1189"/>
      <c r="X943" s="1189"/>
      <c r="Y943" s="1189"/>
      <c r="Z943" s="1189"/>
    </row>
    <row r="944">
      <c r="A944" s="1189"/>
      <c r="B944" s="1189"/>
      <c r="C944" s="1189"/>
      <c r="D944" s="1189"/>
      <c r="E944" s="1189"/>
      <c r="F944" s="1189"/>
      <c r="G944" s="1189"/>
      <c r="H944" s="1189"/>
      <c r="I944" s="1189"/>
      <c r="J944" s="1189"/>
      <c r="K944" s="1189"/>
      <c r="L944" s="1189"/>
      <c r="M944" s="1189"/>
      <c r="N944" s="1189"/>
      <c r="O944" s="1189"/>
      <c r="P944" s="1189"/>
      <c r="Q944" s="1189"/>
      <c r="R944" s="1189"/>
      <c r="S944" s="1189"/>
      <c r="T944" s="1189"/>
      <c r="U944" s="1189"/>
      <c r="V944" s="1189"/>
      <c r="W944" s="1189"/>
      <c r="X944" s="1189"/>
      <c r="Y944" s="1189"/>
      <c r="Z944" s="1189"/>
    </row>
    <row r="945">
      <c r="A945" s="1189"/>
      <c r="B945" s="1189"/>
      <c r="C945" s="1189"/>
      <c r="D945" s="1189"/>
      <c r="E945" s="1189"/>
      <c r="F945" s="1189"/>
      <c r="G945" s="1189"/>
      <c r="H945" s="1189"/>
      <c r="I945" s="1189"/>
      <c r="J945" s="1189"/>
      <c r="K945" s="1189"/>
      <c r="L945" s="1189"/>
      <c r="M945" s="1189"/>
      <c r="N945" s="1189"/>
      <c r="O945" s="1189"/>
      <c r="P945" s="1189"/>
      <c r="Q945" s="1189"/>
      <c r="R945" s="1189"/>
      <c r="S945" s="1189"/>
      <c r="T945" s="1189"/>
      <c r="U945" s="1189"/>
      <c r="V945" s="1189"/>
      <c r="W945" s="1189"/>
      <c r="X945" s="1189"/>
      <c r="Y945" s="1189"/>
      <c r="Z945" s="1189"/>
    </row>
    <row r="946">
      <c r="A946" s="1189"/>
      <c r="B946" s="1189"/>
      <c r="C946" s="1189"/>
      <c r="D946" s="1189"/>
      <c r="E946" s="1189"/>
      <c r="F946" s="1189"/>
      <c r="G946" s="1189"/>
      <c r="H946" s="1189"/>
      <c r="I946" s="1189"/>
      <c r="J946" s="1189"/>
      <c r="K946" s="1189"/>
      <c r="L946" s="1189"/>
      <c r="M946" s="1189"/>
      <c r="N946" s="1189"/>
      <c r="O946" s="1189"/>
      <c r="P946" s="1189"/>
      <c r="Q946" s="1189"/>
      <c r="R946" s="1189"/>
      <c r="S946" s="1189"/>
      <c r="T946" s="1189"/>
      <c r="U946" s="1189"/>
      <c r="V946" s="1189"/>
      <c r="W946" s="1189"/>
      <c r="X946" s="1189"/>
      <c r="Y946" s="1189"/>
      <c r="Z946" s="1189"/>
    </row>
    <row r="947">
      <c r="A947" s="1189"/>
      <c r="B947" s="1189"/>
      <c r="C947" s="1189"/>
      <c r="D947" s="1189"/>
      <c r="E947" s="1189"/>
      <c r="F947" s="1189"/>
      <c r="G947" s="1189"/>
      <c r="H947" s="1189"/>
      <c r="I947" s="1189"/>
      <c r="J947" s="1189"/>
      <c r="K947" s="1189"/>
      <c r="L947" s="1189"/>
      <c r="M947" s="1189"/>
      <c r="N947" s="1189"/>
      <c r="O947" s="1189"/>
      <c r="P947" s="1189"/>
      <c r="Q947" s="1189"/>
      <c r="R947" s="1189"/>
      <c r="S947" s="1189"/>
      <c r="T947" s="1189"/>
      <c r="U947" s="1189"/>
      <c r="V947" s="1189"/>
      <c r="W947" s="1189"/>
      <c r="X947" s="1189"/>
      <c r="Y947" s="1189"/>
      <c r="Z947" s="1189"/>
    </row>
    <row r="948">
      <c r="A948" s="1189"/>
      <c r="B948" s="1189"/>
      <c r="C948" s="1189"/>
      <c r="D948" s="1189"/>
      <c r="E948" s="1189"/>
      <c r="F948" s="1189"/>
      <c r="G948" s="1189"/>
      <c r="H948" s="1189"/>
      <c r="I948" s="1189"/>
      <c r="J948" s="1189"/>
      <c r="K948" s="1189"/>
      <c r="L948" s="1189"/>
      <c r="M948" s="1189"/>
      <c r="N948" s="1189"/>
      <c r="O948" s="1189"/>
      <c r="P948" s="1189"/>
      <c r="Q948" s="1189"/>
      <c r="R948" s="1189"/>
      <c r="S948" s="1189"/>
      <c r="T948" s="1189"/>
      <c r="U948" s="1189"/>
      <c r="V948" s="1189"/>
      <c r="W948" s="1189"/>
      <c r="X948" s="1189"/>
      <c r="Y948" s="1189"/>
      <c r="Z948" s="1189"/>
    </row>
    <row r="949">
      <c r="A949" s="1189"/>
      <c r="B949" s="1189"/>
      <c r="C949" s="1189"/>
      <c r="D949" s="1189"/>
      <c r="E949" s="1189"/>
      <c r="F949" s="1189"/>
      <c r="G949" s="1189"/>
      <c r="H949" s="1189"/>
      <c r="I949" s="1189"/>
      <c r="J949" s="1189"/>
      <c r="K949" s="1189"/>
      <c r="L949" s="1189"/>
      <c r="M949" s="1189"/>
      <c r="N949" s="1189"/>
      <c r="O949" s="1189"/>
      <c r="P949" s="1189"/>
      <c r="Q949" s="1189"/>
      <c r="R949" s="1189"/>
      <c r="S949" s="1189"/>
      <c r="T949" s="1189"/>
      <c r="U949" s="1189"/>
      <c r="V949" s="1189"/>
      <c r="W949" s="1189"/>
      <c r="X949" s="1189"/>
      <c r="Y949" s="1189"/>
      <c r="Z949" s="1189"/>
    </row>
    <row r="950">
      <c r="A950" s="1189"/>
      <c r="B950" s="1189"/>
      <c r="C950" s="1189"/>
      <c r="D950" s="1189"/>
      <c r="E950" s="1189"/>
      <c r="F950" s="1189"/>
      <c r="G950" s="1189"/>
      <c r="H950" s="1189"/>
      <c r="I950" s="1189"/>
      <c r="J950" s="1189"/>
      <c r="K950" s="1189"/>
      <c r="L950" s="1189"/>
      <c r="M950" s="1189"/>
      <c r="N950" s="1189"/>
      <c r="O950" s="1189"/>
      <c r="P950" s="1189"/>
      <c r="Q950" s="1189"/>
      <c r="R950" s="1189"/>
      <c r="S950" s="1189"/>
      <c r="T950" s="1189"/>
      <c r="U950" s="1189"/>
      <c r="V950" s="1189"/>
      <c r="W950" s="1189"/>
      <c r="X950" s="1189"/>
      <c r="Y950" s="1189"/>
      <c r="Z950" s="1189"/>
    </row>
    <row r="951">
      <c r="A951" s="1189"/>
      <c r="B951" s="1189"/>
      <c r="C951" s="1189"/>
      <c r="D951" s="1189"/>
      <c r="E951" s="1189"/>
      <c r="F951" s="1189"/>
      <c r="G951" s="1189"/>
      <c r="H951" s="1189"/>
      <c r="I951" s="1189"/>
      <c r="J951" s="1189"/>
      <c r="K951" s="1189"/>
      <c r="L951" s="1189"/>
      <c r="M951" s="1189"/>
      <c r="N951" s="1189"/>
      <c r="O951" s="1189"/>
      <c r="P951" s="1189"/>
      <c r="Q951" s="1189"/>
      <c r="R951" s="1189"/>
      <c r="S951" s="1189"/>
      <c r="T951" s="1189"/>
      <c r="U951" s="1189"/>
      <c r="V951" s="1189"/>
      <c r="W951" s="1189"/>
      <c r="X951" s="1189"/>
      <c r="Y951" s="1189"/>
      <c r="Z951" s="1189"/>
    </row>
    <row r="952">
      <c r="A952" s="1189"/>
      <c r="B952" s="1189"/>
      <c r="C952" s="1189"/>
      <c r="D952" s="1189"/>
      <c r="E952" s="1189"/>
      <c r="F952" s="1189"/>
      <c r="G952" s="1189"/>
      <c r="H952" s="1189"/>
      <c r="I952" s="1189"/>
      <c r="J952" s="1189"/>
      <c r="K952" s="1189"/>
      <c r="L952" s="1189"/>
      <c r="M952" s="1189"/>
      <c r="N952" s="1189"/>
      <c r="O952" s="1189"/>
      <c r="P952" s="1189"/>
      <c r="Q952" s="1189"/>
      <c r="R952" s="1189"/>
      <c r="S952" s="1189"/>
      <c r="T952" s="1189"/>
      <c r="U952" s="1189"/>
      <c r="V952" s="1189"/>
      <c r="W952" s="1189"/>
      <c r="X952" s="1189"/>
      <c r="Y952" s="1189"/>
      <c r="Z952" s="1189"/>
    </row>
    <row r="953">
      <c r="A953" s="1189"/>
      <c r="B953" s="1189"/>
      <c r="C953" s="1189"/>
      <c r="D953" s="1189"/>
      <c r="E953" s="1189"/>
      <c r="F953" s="1189"/>
      <c r="G953" s="1189"/>
      <c r="H953" s="1189"/>
      <c r="I953" s="1189"/>
      <c r="J953" s="1189"/>
      <c r="K953" s="1189"/>
      <c r="L953" s="1189"/>
      <c r="M953" s="1189"/>
      <c r="N953" s="1189"/>
      <c r="O953" s="1189"/>
      <c r="P953" s="1189"/>
      <c r="Q953" s="1189"/>
      <c r="R953" s="1189"/>
      <c r="S953" s="1189"/>
      <c r="T953" s="1189"/>
      <c r="U953" s="1189"/>
      <c r="V953" s="1189"/>
      <c r="W953" s="1189"/>
      <c r="X953" s="1189"/>
      <c r="Y953" s="1189"/>
      <c r="Z953" s="1189"/>
    </row>
    <row r="954">
      <c r="A954" s="1189"/>
      <c r="B954" s="1189"/>
      <c r="C954" s="1189"/>
      <c r="D954" s="1189"/>
      <c r="E954" s="1189"/>
      <c r="F954" s="1189"/>
      <c r="G954" s="1189"/>
      <c r="H954" s="1189"/>
      <c r="I954" s="1189"/>
      <c r="J954" s="1189"/>
      <c r="K954" s="1189"/>
      <c r="L954" s="1189"/>
      <c r="M954" s="1189"/>
      <c r="N954" s="1189"/>
      <c r="O954" s="1189"/>
      <c r="P954" s="1189"/>
      <c r="Q954" s="1189"/>
      <c r="R954" s="1189"/>
      <c r="S954" s="1189"/>
      <c r="T954" s="1189"/>
      <c r="U954" s="1189"/>
      <c r="V954" s="1189"/>
      <c r="W954" s="1189"/>
      <c r="X954" s="1189"/>
      <c r="Y954" s="1189"/>
      <c r="Z954" s="1189"/>
    </row>
    <row r="955">
      <c r="A955" s="1189"/>
      <c r="B955" s="1189"/>
      <c r="C955" s="1189"/>
      <c r="D955" s="1189"/>
      <c r="E955" s="1189"/>
      <c r="F955" s="1189"/>
      <c r="G955" s="1189"/>
      <c r="H955" s="1189"/>
      <c r="I955" s="1189"/>
      <c r="J955" s="1189"/>
      <c r="K955" s="1189"/>
      <c r="L955" s="1189"/>
      <c r="M955" s="1189"/>
      <c r="N955" s="1189"/>
      <c r="O955" s="1189"/>
      <c r="P955" s="1189"/>
      <c r="Q955" s="1189"/>
      <c r="R955" s="1189"/>
      <c r="S955" s="1189"/>
      <c r="T955" s="1189"/>
      <c r="U955" s="1189"/>
      <c r="V955" s="1189"/>
      <c r="W955" s="1189"/>
      <c r="X955" s="1189"/>
      <c r="Y955" s="1189"/>
      <c r="Z955" s="1189"/>
    </row>
    <row r="956">
      <c r="A956" s="1189"/>
      <c r="B956" s="1189"/>
      <c r="C956" s="1189"/>
      <c r="D956" s="1189"/>
      <c r="E956" s="1189"/>
      <c r="F956" s="1189"/>
      <c r="G956" s="1189"/>
      <c r="H956" s="1189"/>
      <c r="I956" s="1189"/>
      <c r="J956" s="1189"/>
      <c r="K956" s="1189"/>
      <c r="L956" s="1189"/>
      <c r="M956" s="1189"/>
      <c r="N956" s="1189"/>
      <c r="O956" s="1189"/>
      <c r="P956" s="1189"/>
      <c r="Q956" s="1189"/>
      <c r="R956" s="1189"/>
      <c r="S956" s="1189"/>
      <c r="T956" s="1189"/>
      <c r="U956" s="1189"/>
      <c r="V956" s="1189"/>
      <c r="W956" s="1189"/>
      <c r="X956" s="1189"/>
      <c r="Y956" s="1189"/>
      <c r="Z956" s="1189"/>
    </row>
    <row r="957">
      <c r="A957" s="1189"/>
      <c r="B957" s="1189"/>
      <c r="C957" s="1189"/>
      <c r="D957" s="1189"/>
      <c r="E957" s="1189"/>
      <c r="F957" s="1189"/>
      <c r="G957" s="1189"/>
      <c r="H957" s="1189"/>
      <c r="I957" s="1189"/>
      <c r="J957" s="1189"/>
      <c r="K957" s="1189"/>
      <c r="L957" s="1189"/>
      <c r="M957" s="1189"/>
      <c r="N957" s="1189"/>
      <c r="O957" s="1189"/>
      <c r="P957" s="1189"/>
      <c r="Q957" s="1189"/>
      <c r="R957" s="1189"/>
      <c r="S957" s="1189"/>
      <c r="T957" s="1189"/>
      <c r="U957" s="1189"/>
      <c r="V957" s="1189"/>
      <c r="W957" s="1189"/>
      <c r="X957" s="1189"/>
      <c r="Y957" s="1189"/>
      <c r="Z957" s="1189"/>
    </row>
    <row r="958">
      <c r="A958" s="1189"/>
      <c r="B958" s="1189"/>
      <c r="C958" s="1189"/>
      <c r="D958" s="1189"/>
      <c r="E958" s="1189"/>
      <c r="F958" s="1189"/>
      <c r="G958" s="1189"/>
      <c r="H958" s="1189"/>
      <c r="I958" s="1189"/>
      <c r="J958" s="1189"/>
      <c r="K958" s="1189"/>
      <c r="L958" s="1189"/>
      <c r="M958" s="1189"/>
      <c r="N958" s="1189"/>
      <c r="O958" s="1189"/>
      <c r="P958" s="1189"/>
      <c r="Q958" s="1189"/>
      <c r="R958" s="1189"/>
      <c r="S958" s="1189"/>
      <c r="T958" s="1189"/>
      <c r="U958" s="1189"/>
      <c r="V958" s="1189"/>
      <c r="W958" s="1189"/>
      <c r="X958" s="1189"/>
      <c r="Y958" s="1189"/>
      <c r="Z958" s="1189"/>
    </row>
    <row r="959">
      <c r="A959" s="1189"/>
      <c r="B959" s="1189"/>
      <c r="C959" s="1189"/>
      <c r="D959" s="1189"/>
      <c r="E959" s="1189"/>
      <c r="F959" s="1189"/>
      <c r="G959" s="1189"/>
      <c r="H959" s="1189"/>
      <c r="I959" s="1189"/>
      <c r="J959" s="1189"/>
      <c r="K959" s="1189"/>
      <c r="L959" s="1189"/>
      <c r="M959" s="1189"/>
      <c r="N959" s="1189"/>
      <c r="O959" s="1189"/>
      <c r="P959" s="1189"/>
      <c r="Q959" s="1189"/>
      <c r="R959" s="1189"/>
      <c r="S959" s="1189"/>
      <c r="T959" s="1189"/>
      <c r="U959" s="1189"/>
      <c r="V959" s="1189"/>
      <c r="W959" s="1189"/>
      <c r="X959" s="1189"/>
      <c r="Y959" s="1189"/>
      <c r="Z959" s="1189"/>
    </row>
    <row r="960">
      <c r="A960" s="1189"/>
      <c r="B960" s="1189"/>
      <c r="C960" s="1189"/>
      <c r="D960" s="1189"/>
      <c r="E960" s="1189"/>
      <c r="F960" s="1189"/>
      <c r="G960" s="1189"/>
      <c r="H960" s="1189"/>
      <c r="I960" s="1189"/>
      <c r="J960" s="1189"/>
      <c r="K960" s="1189"/>
      <c r="L960" s="1189"/>
      <c r="M960" s="1189"/>
      <c r="N960" s="1189"/>
      <c r="O960" s="1189"/>
      <c r="P960" s="1189"/>
      <c r="Q960" s="1189"/>
      <c r="R960" s="1189"/>
      <c r="S960" s="1189"/>
      <c r="T960" s="1189"/>
      <c r="U960" s="1189"/>
      <c r="V960" s="1189"/>
      <c r="W960" s="1189"/>
      <c r="X960" s="1189"/>
      <c r="Y960" s="1189"/>
      <c r="Z960" s="1189"/>
    </row>
    <row r="961">
      <c r="A961" s="1189"/>
      <c r="B961" s="1189"/>
      <c r="C961" s="1189"/>
      <c r="D961" s="1189"/>
      <c r="E961" s="1189"/>
      <c r="F961" s="1189"/>
      <c r="G961" s="1189"/>
      <c r="H961" s="1189"/>
      <c r="I961" s="1189"/>
      <c r="J961" s="1189"/>
      <c r="K961" s="1189"/>
      <c r="L961" s="1189"/>
      <c r="M961" s="1189"/>
      <c r="N961" s="1189"/>
      <c r="O961" s="1189"/>
      <c r="P961" s="1189"/>
      <c r="Q961" s="1189"/>
      <c r="R961" s="1189"/>
      <c r="S961" s="1189"/>
      <c r="T961" s="1189"/>
      <c r="U961" s="1189"/>
      <c r="V961" s="1189"/>
      <c r="W961" s="1189"/>
      <c r="X961" s="1189"/>
      <c r="Y961" s="1189"/>
      <c r="Z961" s="1189"/>
    </row>
    <row r="962">
      <c r="A962" s="1189"/>
      <c r="B962" s="1189"/>
      <c r="C962" s="1189"/>
      <c r="D962" s="1189"/>
      <c r="E962" s="1189"/>
      <c r="F962" s="1189"/>
      <c r="G962" s="1189"/>
      <c r="H962" s="1189"/>
      <c r="I962" s="1189"/>
      <c r="J962" s="1189"/>
      <c r="K962" s="1189"/>
      <c r="L962" s="1189"/>
      <c r="M962" s="1189"/>
      <c r="N962" s="1189"/>
      <c r="O962" s="1189"/>
      <c r="P962" s="1189"/>
      <c r="Q962" s="1189"/>
      <c r="R962" s="1189"/>
      <c r="S962" s="1189"/>
      <c r="T962" s="1189"/>
      <c r="U962" s="1189"/>
      <c r="V962" s="1189"/>
      <c r="W962" s="1189"/>
      <c r="X962" s="1189"/>
      <c r="Y962" s="1189"/>
      <c r="Z962" s="1189"/>
    </row>
    <row r="963">
      <c r="A963" s="1189"/>
      <c r="B963" s="1189"/>
      <c r="C963" s="1189"/>
      <c r="D963" s="1189"/>
      <c r="E963" s="1189"/>
      <c r="F963" s="1189"/>
      <c r="G963" s="1189"/>
      <c r="H963" s="1189"/>
      <c r="I963" s="1189"/>
      <c r="J963" s="1189"/>
      <c r="K963" s="1189"/>
      <c r="L963" s="1189"/>
      <c r="M963" s="1189"/>
      <c r="N963" s="1189"/>
      <c r="O963" s="1189"/>
      <c r="P963" s="1189"/>
      <c r="Q963" s="1189"/>
      <c r="R963" s="1189"/>
      <c r="S963" s="1189"/>
      <c r="T963" s="1189"/>
      <c r="U963" s="1189"/>
      <c r="V963" s="1189"/>
      <c r="W963" s="1189"/>
      <c r="X963" s="1189"/>
      <c r="Y963" s="1189"/>
      <c r="Z963" s="1189"/>
    </row>
    <row r="964">
      <c r="A964" s="1189"/>
      <c r="B964" s="1189"/>
      <c r="C964" s="1189"/>
      <c r="D964" s="1189"/>
      <c r="E964" s="1189"/>
      <c r="F964" s="1189"/>
      <c r="G964" s="1189"/>
      <c r="H964" s="1189"/>
      <c r="I964" s="1189"/>
      <c r="J964" s="1189"/>
      <c r="K964" s="1189"/>
      <c r="L964" s="1189"/>
      <c r="M964" s="1189"/>
      <c r="N964" s="1189"/>
      <c r="O964" s="1189"/>
      <c r="P964" s="1189"/>
      <c r="Q964" s="1189"/>
      <c r="R964" s="1189"/>
      <c r="S964" s="1189"/>
      <c r="T964" s="1189"/>
      <c r="U964" s="1189"/>
      <c r="V964" s="1189"/>
      <c r="W964" s="1189"/>
      <c r="X964" s="1189"/>
      <c r="Y964" s="1189"/>
      <c r="Z964" s="1189"/>
    </row>
    <row r="965">
      <c r="A965" s="1189"/>
      <c r="B965" s="1189"/>
      <c r="C965" s="1189"/>
      <c r="D965" s="1189"/>
      <c r="E965" s="1189"/>
      <c r="F965" s="1189"/>
      <c r="G965" s="1189"/>
      <c r="H965" s="1189"/>
      <c r="I965" s="1189"/>
      <c r="J965" s="1189"/>
      <c r="K965" s="1189"/>
      <c r="L965" s="1189"/>
      <c r="M965" s="1189"/>
      <c r="N965" s="1189"/>
      <c r="O965" s="1189"/>
      <c r="P965" s="1189"/>
      <c r="Q965" s="1189"/>
      <c r="R965" s="1189"/>
      <c r="S965" s="1189"/>
      <c r="T965" s="1189"/>
      <c r="U965" s="1189"/>
      <c r="V965" s="1189"/>
      <c r="W965" s="1189"/>
      <c r="X965" s="1189"/>
      <c r="Y965" s="1189"/>
      <c r="Z965" s="1189"/>
    </row>
    <row r="966">
      <c r="A966" s="1189"/>
      <c r="B966" s="1189"/>
      <c r="C966" s="1189"/>
      <c r="D966" s="1189"/>
      <c r="E966" s="1189"/>
      <c r="F966" s="1189"/>
      <c r="G966" s="1189"/>
      <c r="H966" s="1189"/>
      <c r="I966" s="1189"/>
      <c r="J966" s="1189"/>
      <c r="K966" s="1189"/>
      <c r="L966" s="1189"/>
      <c r="M966" s="1189"/>
      <c r="N966" s="1189"/>
      <c r="O966" s="1189"/>
      <c r="P966" s="1189"/>
      <c r="Q966" s="1189"/>
      <c r="R966" s="1189"/>
      <c r="S966" s="1189"/>
      <c r="T966" s="1189"/>
      <c r="U966" s="1189"/>
      <c r="V966" s="1189"/>
      <c r="W966" s="1189"/>
      <c r="X966" s="1189"/>
      <c r="Y966" s="1189"/>
      <c r="Z966" s="1189"/>
    </row>
    <row r="967">
      <c r="A967" s="1189"/>
      <c r="B967" s="1189"/>
      <c r="C967" s="1189"/>
      <c r="D967" s="1189"/>
      <c r="E967" s="1189"/>
      <c r="F967" s="1189"/>
      <c r="G967" s="1189"/>
      <c r="H967" s="1189"/>
      <c r="I967" s="1189"/>
      <c r="J967" s="1189"/>
      <c r="K967" s="1189"/>
      <c r="L967" s="1189"/>
      <c r="M967" s="1189"/>
      <c r="N967" s="1189"/>
      <c r="O967" s="1189"/>
      <c r="P967" s="1189"/>
      <c r="Q967" s="1189"/>
      <c r="R967" s="1189"/>
      <c r="S967" s="1189"/>
      <c r="T967" s="1189"/>
      <c r="U967" s="1189"/>
      <c r="V967" s="1189"/>
      <c r="W967" s="1189"/>
      <c r="X967" s="1189"/>
      <c r="Y967" s="1189"/>
      <c r="Z967" s="1189"/>
    </row>
    <row r="968">
      <c r="A968" s="1189"/>
      <c r="B968" s="1189"/>
      <c r="C968" s="1189"/>
      <c r="D968" s="1189"/>
      <c r="E968" s="1189"/>
      <c r="F968" s="1189"/>
      <c r="G968" s="1189"/>
      <c r="H968" s="1189"/>
      <c r="I968" s="1189"/>
      <c r="J968" s="1189"/>
      <c r="K968" s="1189"/>
      <c r="L968" s="1189"/>
      <c r="M968" s="1189"/>
      <c r="N968" s="1189"/>
      <c r="O968" s="1189"/>
      <c r="P968" s="1189"/>
      <c r="Q968" s="1189"/>
      <c r="R968" s="1189"/>
      <c r="S968" s="1189"/>
      <c r="T968" s="1189"/>
      <c r="U968" s="1189"/>
      <c r="V968" s="1189"/>
      <c r="W968" s="1189"/>
      <c r="X968" s="1189"/>
      <c r="Y968" s="1189"/>
      <c r="Z968" s="1189"/>
    </row>
    <row r="969">
      <c r="A969" s="1189"/>
      <c r="B969" s="1189"/>
      <c r="C969" s="1189"/>
      <c r="D969" s="1189"/>
      <c r="E969" s="1189"/>
      <c r="F969" s="1189"/>
      <c r="G969" s="1189"/>
      <c r="H969" s="1189"/>
      <c r="I969" s="1189"/>
      <c r="J969" s="1189"/>
      <c r="K969" s="1189"/>
      <c r="L969" s="1189"/>
      <c r="M969" s="1189"/>
      <c r="N969" s="1189"/>
      <c r="O969" s="1189"/>
      <c r="P969" s="1189"/>
      <c r="Q969" s="1189"/>
      <c r="R969" s="1189"/>
      <c r="S969" s="1189"/>
      <c r="T969" s="1189"/>
      <c r="U969" s="1189"/>
      <c r="V969" s="1189"/>
      <c r="W969" s="1189"/>
      <c r="X969" s="1189"/>
      <c r="Y969" s="1189"/>
      <c r="Z969" s="1189"/>
    </row>
    <row r="970">
      <c r="A970" s="1189"/>
      <c r="B970" s="1189"/>
      <c r="C970" s="1189"/>
      <c r="D970" s="1189"/>
      <c r="E970" s="1189"/>
      <c r="F970" s="1189"/>
      <c r="G970" s="1189"/>
      <c r="H970" s="1189"/>
      <c r="I970" s="1189"/>
      <c r="J970" s="1189"/>
      <c r="K970" s="1189"/>
      <c r="L970" s="1189"/>
      <c r="M970" s="1189"/>
      <c r="N970" s="1189"/>
      <c r="O970" s="1189"/>
      <c r="P970" s="1189"/>
      <c r="Q970" s="1189"/>
      <c r="R970" s="1189"/>
      <c r="S970" s="1189"/>
      <c r="T970" s="1189"/>
      <c r="U970" s="1189"/>
      <c r="V970" s="1189"/>
      <c r="W970" s="1189"/>
      <c r="X970" s="1189"/>
      <c r="Y970" s="1189"/>
      <c r="Z970" s="1189"/>
    </row>
    <row r="971">
      <c r="A971" s="1189"/>
      <c r="B971" s="1189"/>
      <c r="C971" s="1189"/>
      <c r="D971" s="1189"/>
      <c r="E971" s="1189"/>
      <c r="F971" s="1189"/>
      <c r="G971" s="1189"/>
      <c r="H971" s="1189"/>
      <c r="I971" s="1189"/>
      <c r="J971" s="1189"/>
      <c r="K971" s="1189"/>
      <c r="L971" s="1189"/>
      <c r="M971" s="1189"/>
      <c r="N971" s="1189"/>
      <c r="O971" s="1189"/>
      <c r="P971" s="1189"/>
      <c r="Q971" s="1189"/>
      <c r="R971" s="1189"/>
      <c r="S971" s="1189"/>
      <c r="T971" s="1189"/>
      <c r="U971" s="1189"/>
      <c r="V971" s="1189"/>
      <c r="W971" s="1189"/>
      <c r="X971" s="1189"/>
      <c r="Y971" s="1189"/>
      <c r="Z971" s="1189"/>
    </row>
    <row r="972">
      <c r="A972" s="1189"/>
      <c r="B972" s="1189"/>
      <c r="C972" s="1189"/>
      <c r="D972" s="1189"/>
      <c r="E972" s="1189"/>
      <c r="F972" s="1189"/>
      <c r="G972" s="1189"/>
      <c r="H972" s="1189"/>
      <c r="I972" s="1189"/>
      <c r="J972" s="1189"/>
      <c r="K972" s="1189"/>
      <c r="L972" s="1189"/>
      <c r="M972" s="1189"/>
      <c r="N972" s="1189"/>
      <c r="O972" s="1189"/>
      <c r="P972" s="1189"/>
      <c r="Q972" s="1189"/>
      <c r="R972" s="1189"/>
      <c r="S972" s="1189"/>
      <c r="T972" s="1189"/>
      <c r="U972" s="1189"/>
      <c r="V972" s="1189"/>
      <c r="W972" s="1189"/>
      <c r="X972" s="1189"/>
      <c r="Y972" s="1189"/>
      <c r="Z972" s="1189"/>
    </row>
    <row r="973">
      <c r="A973" s="1189"/>
      <c r="B973" s="1189"/>
      <c r="C973" s="1189"/>
      <c r="D973" s="1189"/>
      <c r="E973" s="1189"/>
      <c r="F973" s="1189"/>
      <c r="G973" s="1189"/>
      <c r="H973" s="1189"/>
      <c r="I973" s="1189"/>
      <c r="J973" s="1189"/>
      <c r="K973" s="1189"/>
      <c r="L973" s="1189"/>
      <c r="M973" s="1189"/>
      <c r="N973" s="1189"/>
      <c r="O973" s="1189"/>
      <c r="P973" s="1189"/>
      <c r="Q973" s="1189"/>
      <c r="R973" s="1189"/>
      <c r="S973" s="1189"/>
      <c r="T973" s="1189"/>
      <c r="U973" s="1189"/>
      <c r="V973" s="1189"/>
      <c r="W973" s="1189"/>
      <c r="X973" s="1189"/>
      <c r="Y973" s="1189"/>
      <c r="Z973" s="1189"/>
    </row>
    <row r="974">
      <c r="A974" s="1189"/>
      <c r="B974" s="1189"/>
      <c r="C974" s="1189"/>
      <c r="D974" s="1189"/>
      <c r="E974" s="1189"/>
      <c r="F974" s="1189"/>
      <c r="G974" s="1189"/>
      <c r="H974" s="1189"/>
      <c r="I974" s="1189"/>
      <c r="J974" s="1189"/>
      <c r="K974" s="1189"/>
      <c r="L974" s="1189"/>
      <c r="M974" s="1189"/>
      <c r="N974" s="1189"/>
      <c r="O974" s="1189"/>
      <c r="P974" s="1189"/>
      <c r="Q974" s="1189"/>
      <c r="R974" s="1189"/>
      <c r="S974" s="1189"/>
      <c r="T974" s="1189"/>
      <c r="U974" s="1189"/>
      <c r="V974" s="1189"/>
      <c r="W974" s="1189"/>
      <c r="X974" s="1189"/>
      <c r="Y974" s="1189"/>
      <c r="Z974" s="1189"/>
    </row>
    <row r="975">
      <c r="A975" s="1189"/>
      <c r="B975" s="1189"/>
      <c r="C975" s="1189"/>
      <c r="D975" s="1189"/>
      <c r="E975" s="1189"/>
      <c r="F975" s="1189"/>
      <c r="G975" s="1189"/>
      <c r="H975" s="1189"/>
      <c r="I975" s="1189"/>
      <c r="J975" s="1189"/>
      <c r="K975" s="1189"/>
      <c r="L975" s="1189"/>
      <c r="M975" s="1189"/>
      <c r="N975" s="1189"/>
      <c r="O975" s="1189"/>
      <c r="P975" s="1189"/>
      <c r="Q975" s="1189"/>
      <c r="R975" s="1189"/>
      <c r="S975" s="1189"/>
      <c r="T975" s="1189"/>
      <c r="U975" s="1189"/>
      <c r="V975" s="1189"/>
      <c r="W975" s="1189"/>
      <c r="X975" s="1189"/>
      <c r="Y975" s="1189"/>
      <c r="Z975" s="1189"/>
    </row>
    <row r="976">
      <c r="A976" s="1189"/>
      <c r="B976" s="1189"/>
      <c r="C976" s="1189"/>
      <c r="D976" s="1189"/>
      <c r="E976" s="1189"/>
      <c r="F976" s="1189"/>
      <c r="G976" s="1189"/>
      <c r="H976" s="1189"/>
      <c r="I976" s="1189"/>
      <c r="J976" s="1189"/>
      <c r="K976" s="1189"/>
      <c r="L976" s="1189"/>
      <c r="M976" s="1189"/>
      <c r="N976" s="1189"/>
      <c r="O976" s="1189"/>
      <c r="P976" s="1189"/>
      <c r="Q976" s="1189"/>
      <c r="R976" s="1189"/>
      <c r="S976" s="1189"/>
      <c r="T976" s="1189"/>
      <c r="U976" s="1189"/>
      <c r="V976" s="1189"/>
      <c r="W976" s="1189"/>
      <c r="X976" s="1189"/>
      <c r="Y976" s="1189"/>
      <c r="Z976" s="1189"/>
    </row>
    <row r="977">
      <c r="A977" s="1189"/>
      <c r="B977" s="1189"/>
      <c r="C977" s="1189"/>
      <c r="D977" s="1189"/>
      <c r="E977" s="1189"/>
      <c r="F977" s="1189"/>
      <c r="G977" s="1189"/>
      <c r="H977" s="1189"/>
      <c r="I977" s="1189"/>
      <c r="J977" s="1189"/>
      <c r="K977" s="1189"/>
      <c r="L977" s="1189"/>
      <c r="M977" s="1189"/>
      <c r="N977" s="1189"/>
      <c r="O977" s="1189"/>
      <c r="P977" s="1189"/>
      <c r="Q977" s="1189"/>
      <c r="R977" s="1189"/>
      <c r="S977" s="1189"/>
      <c r="T977" s="1189"/>
      <c r="U977" s="1189"/>
      <c r="V977" s="1189"/>
      <c r="W977" s="1189"/>
      <c r="X977" s="1189"/>
      <c r="Y977" s="1189"/>
      <c r="Z977" s="1189"/>
    </row>
    <row r="978">
      <c r="A978" s="1189"/>
      <c r="B978" s="1189"/>
      <c r="C978" s="1189"/>
      <c r="D978" s="1189"/>
      <c r="E978" s="1189"/>
      <c r="F978" s="1189"/>
      <c r="G978" s="1189"/>
      <c r="H978" s="1189"/>
      <c r="I978" s="1189"/>
      <c r="J978" s="1189"/>
      <c r="K978" s="1189"/>
      <c r="L978" s="1189"/>
      <c r="M978" s="1189"/>
      <c r="N978" s="1189"/>
      <c r="O978" s="1189"/>
      <c r="P978" s="1189"/>
      <c r="Q978" s="1189"/>
      <c r="R978" s="1189"/>
      <c r="S978" s="1189"/>
      <c r="T978" s="1189"/>
      <c r="U978" s="1189"/>
      <c r="V978" s="1189"/>
      <c r="W978" s="1189"/>
      <c r="X978" s="1189"/>
      <c r="Y978" s="1189"/>
      <c r="Z978" s="1189"/>
    </row>
    <row r="979">
      <c r="A979" s="1189"/>
      <c r="B979" s="1189"/>
      <c r="C979" s="1189"/>
      <c r="D979" s="1189"/>
      <c r="E979" s="1189"/>
      <c r="F979" s="1189"/>
      <c r="G979" s="1189"/>
      <c r="H979" s="1189"/>
      <c r="I979" s="1189"/>
      <c r="J979" s="1189"/>
      <c r="K979" s="1189"/>
      <c r="L979" s="1189"/>
      <c r="M979" s="1189"/>
      <c r="N979" s="1189"/>
      <c r="O979" s="1189"/>
      <c r="P979" s="1189"/>
      <c r="Q979" s="1189"/>
      <c r="R979" s="1189"/>
      <c r="S979" s="1189"/>
      <c r="T979" s="1189"/>
      <c r="U979" s="1189"/>
      <c r="V979" s="1189"/>
      <c r="W979" s="1189"/>
      <c r="X979" s="1189"/>
      <c r="Y979" s="1189"/>
      <c r="Z979" s="1189"/>
    </row>
    <row r="980">
      <c r="A980" s="1189"/>
      <c r="B980" s="1189"/>
      <c r="C980" s="1189"/>
      <c r="D980" s="1189"/>
      <c r="E980" s="1189"/>
      <c r="F980" s="1189"/>
      <c r="G980" s="1189"/>
      <c r="H980" s="1189"/>
      <c r="I980" s="1189"/>
      <c r="J980" s="1189"/>
      <c r="K980" s="1189"/>
      <c r="L980" s="1189"/>
      <c r="M980" s="1189"/>
      <c r="N980" s="1189"/>
      <c r="O980" s="1189"/>
      <c r="P980" s="1189"/>
      <c r="Q980" s="1189"/>
      <c r="R980" s="1189"/>
      <c r="S980" s="1189"/>
      <c r="T980" s="1189"/>
      <c r="U980" s="1189"/>
      <c r="V980" s="1189"/>
      <c r="W980" s="1189"/>
      <c r="X980" s="1189"/>
      <c r="Y980" s="1189"/>
      <c r="Z980" s="1189"/>
    </row>
    <row r="981">
      <c r="A981" s="1189"/>
      <c r="B981" s="1189"/>
      <c r="C981" s="1189"/>
      <c r="D981" s="1189"/>
      <c r="E981" s="1189"/>
      <c r="F981" s="1189"/>
      <c r="G981" s="1189"/>
      <c r="H981" s="1189"/>
      <c r="I981" s="1189"/>
      <c r="J981" s="1189"/>
      <c r="K981" s="1189"/>
      <c r="L981" s="1189"/>
      <c r="M981" s="1189"/>
      <c r="N981" s="1189"/>
      <c r="O981" s="1189"/>
      <c r="P981" s="1189"/>
      <c r="Q981" s="1189"/>
      <c r="R981" s="1189"/>
      <c r="S981" s="1189"/>
      <c r="T981" s="1189"/>
      <c r="U981" s="1189"/>
      <c r="V981" s="1189"/>
      <c r="W981" s="1189"/>
      <c r="X981" s="1189"/>
      <c r="Y981" s="1189"/>
      <c r="Z981" s="1189"/>
    </row>
    <row r="982">
      <c r="A982" s="1189"/>
      <c r="B982" s="1189"/>
      <c r="C982" s="1189"/>
      <c r="D982" s="1189"/>
      <c r="E982" s="1189"/>
      <c r="F982" s="1189"/>
      <c r="G982" s="1189"/>
      <c r="H982" s="1189"/>
      <c r="I982" s="1189"/>
      <c r="J982" s="1189"/>
      <c r="K982" s="1189"/>
      <c r="L982" s="1189"/>
      <c r="M982" s="1189"/>
      <c r="N982" s="1189"/>
      <c r="O982" s="1189"/>
      <c r="P982" s="1189"/>
      <c r="Q982" s="1189"/>
      <c r="R982" s="1189"/>
      <c r="S982" s="1189"/>
      <c r="T982" s="1189"/>
      <c r="U982" s="1189"/>
      <c r="V982" s="1189"/>
      <c r="W982" s="1189"/>
      <c r="X982" s="1189"/>
      <c r="Y982" s="1189"/>
      <c r="Z982" s="1189"/>
    </row>
    <row r="983">
      <c r="A983" s="1189"/>
      <c r="B983" s="1189"/>
      <c r="C983" s="1189"/>
      <c r="D983" s="1189"/>
      <c r="E983" s="1189"/>
      <c r="F983" s="1189"/>
      <c r="G983" s="1189"/>
      <c r="H983" s="1189"/>
      <c r="I983" s="1189"/>
      <c r="J983" s="1189"/>
      <c r="K983" s="1189"/>
      <c r="L983" s="1189"/>
      <c r="M983" s="1189"/>
      <c r="N983" s="1189"/>
      <c r="O983" s="1189"/>
      <c r="P983" s="1189"/>
      <c r="Q983" s="1189"/>
      <c r="R983" s="1189"/>
      <c r="S983" s="1189"/>
      <c r="T983" s="1189"/>
      <c r="U983" s="1189"/>
      <c r="V983" s="1189"/>
      <c r="W983" s="1189"/>
      <c r="X983" s="1189"/>
      <c r="Y983" s="1189"/>
      <c r="Z983" s="1189"/>
    </row>
    <row r="984">
      <c r="A984" s="1189"/>
      <c r="B984" s="1189"/>
      <c r="C984" s="1189"/>
      <c r="D984" s="1189"/>
      <c r="E984" s="1189"/>
      <c r="F984" s="1189"/>
      <c r="G984" s="1189"/>
      <c r="H984" s="1189"/>
      <c r="I984" s="1189"/>
      <c r="J984" s="1189"/>
      <c r="K984" s="1189"/>
      <c r="L984" s="1189"/>
      <c r="M984" s="1189"/>
      <c r="N984" s="1189"/>
      <c r="O984" s="1189"/>
      <c r="P984" s="1189"/>
      <c r="Q984" s="1189"/>
      <c r="R984" s="1189"/>
      <c r="S984" s="1189"/>
      <c r="T984" s="1189"/>
      <c r="U984" s="1189"/>
      <c r="V984" s="1189"/>
      <c r="W984" s="1189"/>
      <c r="X984" s="1189"/>
      <c r="Y984" s="1189"/>
      <c r="Z984" s="1189"/>
    </row>
    <row r="985">
      <c r="A985" s="1189"/>
      <c r="B985" s="1189"/>
      <c r="C985" s="1189"/>
      <c r="D985" s="1189"/>
      <c r="E985" s="1189"/>
      <c r="F985" s="1189"/>
      <c r="G985" s="1189"/>
      <c r="H985" s="1189"/>
      <c r="I985" s="1189"/>
      <c r="J985" s="1189"/>
      <c r="K985" s="1189"/>
      <c r="L985" s="1189"/>
      <c r="M985" s="1189"/>
      <c r="N985" s="1189"/>
      <c r="O985" s="1189"/>
      <c r="P985" s="1189"/>
      <c r="Q985" s="1189"/>
      <c r="R985" s="1189"/>
      <c r="S985" s="1189"/>
      <c r="T985" s="1189"/>
      <c r="U985" s="1189"/>
      <c r="V985" s="1189"/>
      <c r="W985" s="1189"/>
      <c r="X985" s="1189"/>
      <c r="Y985" s="1189"/>
      <c r="Z985" s="1189"/>
    </row>
    <row r="986">
      <c r="A986" s="1189"/>
      <c r="B986" s="1189"/>
      <c r="C986" s="1189"/>
      <c r="D986" s="1189"/>
      <c r="E986" s="1189"/>
      <c r="F986" s="1189"/>
      <c r="G986" s="1189"/>
      <c r="H986" s="1189"/>
      <c r="I986" s="1189"/>
      <c r="J986" s="1189"/>
      <c r="K986" s="1189"/>
      <c r="L986" s="1189"/>
      <c r="M986" s="1189"/>
      <c r="N986" s="1189"/>
      <c r="O986" s="1189"/>
      <c r="P986" s="1189"/>
      <c r="Q986" s="1189"/>
      <c r="R986" s="1189"/>
      <c r="S986" s="1189"/>
      <c r="T986" s="1189"/>
      <c r="U986" s="1189"/>
      <c r="V986" s="1189"/>
      <c r="W986" s="1189"/>
      <c r="X986" s="1189"/>
      <c r="Y986" s="1189"/>
      <c r="Z986" s="1189"/>
    </row>
    <row r="987">
      <c r="A987" s="1189"/>
      <c r="B987" s="1189"/>
      <c r="C987" s="1189"/>
      <c r="D987" s="1189"/>
      <c r="E987" s="1189"/>
      <c r="F987" s="1189"/>
      <c r="G987" s="1189"/>
      <c r="H987" s="1189"/>
      <c r="I987" s="1189"/>
      <c r="J987" s="1189"/>
      <c r="K987" s="1189"/>
      <c r="L987" s="1189"/>
      <c r="M987" s="1189"/>
      <c r="N987" s="1189"/>
      <c r="O987" s="1189"/>
      <c r="P987" s="1189"/>
      <c r="Q987" s="1189"/>
      <c r="R987" s="1189"/>
      <c r="S987" s="1189"/>
      <c r="T987" s="1189"/>
      <c r="U987" s="1189"/>
      <c r="V987" s="1189"/>
      <c r="W987" s="1189"/>
      <c r="X987" s="1189"/>
      <c r="Y987" s="1189"/>
      <c r="Z987" s="1189"/>
    </row>
    <row r="988">
      <c r="A988" s="1189"/>
      <c r="B988" s="1189"/>
      <c r="C988" s="1189"/>
      <c r="D988" s="1189"/>
      <c r="E988" s="1189"/>
      <c r="F988" s="1189"/>
      <c r="G988" s="1189"/>
      <c r="H988" s="1189"/>
      <c r="I988" s="1189"/>
      <c r="J988" s="1189"/>
      <c r="K988" s="1189"/>
      <c r="L988" s="1189"/>
      <c r="M988" s="1189"/>
      <c r="N988" s="1189"/>
      <c r="O988" s="1189"/>
      <c r="P988" s="1189"/>
      <c r="Q988" s="1189"/>
      <c r="R988" s="1189"/>
      <c r="S988" s="1189"/>
      <c r="T988" s="1189"/>
      <c r="U988" s="1189"/>
      <c r="V988" s="1189"/>
      <c r="W988" s="1189"/>
      <c r="X988" s="1189"/>
      <c r="Y988" s="1189"/>
      <c r="Z988" s="1189"/>
    </row>
    <row r="989">
      <c r="A989" s="1189"/>
      <c r="B989" s="1189"/>
      <c r="C989" s="1189"/>
      <c r="D989" s="1189"/>
      <c r="E989" s="1189"/>
      <c r="F989" s="1189"/>
      <c r="G989" s="1189"/>
      <c r="H989" s="1189"/>
      <c r="I989" s="1189"/>
      <c r="J989" s="1189"/>
      <c r="K989" s="1189"/>
      <c r="L989" s="1189"/>
      <c r="M989" s="1189"/>
      <c r="N989" s="1189"/>
      <c r="O989" s="1189"/>
      <c r="P989" s="1189"/>
      <c r="Q989" s="1189"/>
      <c r="R989" s="1189"/>
      <c r="S989" s="1189"/>
      <c r="T989" s="1189"/>
      <c r="U989" s="1189"/>
      <c r="V989" s="1189"/>
      <c r="W989" s="1189"/>
      <c r="X989" s="1189"/>
      <c r="Y989" s="1189"/>
      <c r="Z989" s="1189"/>
    </row>
    <row r="990">
      <c r="A990" s="1189"/>
      <c r="B990" s="1189"/>
      <c r="C990" s="1189"/>
      <c r="D990" s="1189"/>
      <c r="E990" s="1189"/>
      <c r="F990" s="1189"/>
      <c r="G990" s="1189"/>
      <c r="H990" s="1189"/>
      <c r="I990" s="1189"/>
      <c r="J990" s="1189"/>
      <c r="K990" s="1189"/>
      <c r="L990" s="1189"/>
      <c r="M990" s="1189"/>
      <c r="N990" s="1189"/>
      <c r="O990" s="1189"/>
      <c r="P990" s="1189"/>
      <c r="Q990" s="1189"/>
      <c r="R990" s="1189"/>
      <c r="S990" s="1189"/>
      <c r="T990" s="1189"/>
      <c r="U990" s="1189"/>
      <c r="V990" s="1189"/>
      <c r="W990" s="1189"/>
      <c r="X990" s="1189"/>
      <c r="Y990" s="1189"/>
      <c r="Z990" s="1189"/>
    </row>
    <row r="991">
      <c r="A991" s="1189"/>
      <c r="B991" s="1189"/>
      <c r="C991" s="1189"/>
      <c r="D991" s="1189"/>
      <c r="E991" s="1189"/>
      <c r="F991" s="1189"/>
      <c r="G991" s="1189"/>
      <c r="H991" s="1189"/>
      <c r="I991" s="1189"/>
      <c r="J991" s="1189"/>
      <c r="K991" s="1189"/>
      <c r="L991" s="1189"/>
      <c r="M991" s="1189"/>
      <c r="N991" s="1189"/>
      <c r="O991" s="1189"/>
      <c r="P991" s="1189"/>
      <c r="Q991" s="1189"/>
      <c r="R991" s="1189"/>
      <c r="S991" s="1189"/>
      <c r="T991" s="1189"/>
      <c r="U991" s="1189"/>
      <c r="V991" s="1189"/>
      <c r="W991" s="1189"/>
      <c r="X991" s="1189"/>
      <c r="Y991" s="1189"/>
      <c r="Z991" s="1189"/>
    </row>
    <row r="992">
      <c r="A992" s="1189"/>
      <c r="B992" s="1189"/>
      <c r="C992" s="1189"/>
      <c r="D992" s="1189"/>
      <c r="E992" s="1189"/>
      <c r="F992" s="1189"/>
      <c r="G992" s="1189"/>
      <c r="H992" s="1189"/>
      <c r="I992" s="1189"/>
      <c r="J992" s="1189"/>
      <c r="K992" s="1189"/>
      <c r="L992" s="1189"/>
      <c r="M992" s="1189"/>
      <c r="N992" s="1189"/>
      <c r="O992" s="1189"/>
      <c r="P992" s="1189"/>
      <c r="Q992" s="1189"/>
      <c r="R992" s="1189"/>
      <c r="S992" s="1189"/>
      <c r="T992" s="1189"/>
      <c r="U992" s="1189"/>
      <c r="V992" s="1189"/>
      <c r="W992" s="1189"/>
      <c r="X992" s="1189"/>
      <c r="Y992" s="1189"/>
      <c r="Z992" s="1189"/>
    </row>
  </sheetData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9.38"/>
    <col customWidth="1" min="2" max="2" width="32.75"/>
  </cols>
  <sheetData>
    <row r="1" ht="20.25" customHeight="1">
      <c r="A1" s="123" t="s">
        <v>94</v>
      </c>
      <c r="B1" s="123"/>
      <c r="C1" s="1175" t="s">
        <v>119</v>
      </c>
      <c r="D1" s="1175" t="s">
        <v>1045</v>
      </c>
      <c r="E1" s="1175" t="s">
        <v>121</v>
      </c>
      <c r="F1" s="1175" t="s">
        <v>122</v>
      </c>
      <c r="G1" s="1175" t="s">
        <v>123</v>
      </c>
      <c r="H1" s="1175" t="s">
        <v>124</v>
      </c>
      <c r="I1" s="1175" t="s">
        <v>1046</v>
      </c>
      <c r="J1" s="1175" t="s">
        <v>126</v>
      </c>
      <c r="K1" s="1175" t="s">
        <v>127</v>
      </c>
      <c r="L1" s="1175" t="s">
        <v>128</v>
      </c>
      <c r="M1" s="1175" t="s">
        <v>129</v>
      </c>
      <c r="N1" s="1175" t="s">
        <v>1048</v>
      </c>
    </row>
    <row r="2">
      <c r="A2" s="132" t="s">
        <v>195</v>
      </c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</row>
    <row r="3">
      <c r="A3" s="136" t="s">
        <v>196</v>
      </c>
      <c r="B3" s="1177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</row>
    <row r="4">
      <c r="B4" s="1177" t="s">
        <v>1067</v>
      </c>
      <c r="C4" s="145">
        <f t="shared" ref="C4:N4" si="1">155000/12</f>
        <v>12916.66667</v>
      </c>
      <c r="D4" s="145">
        <f t="shared" si="1"/>
        <v>12916.66667</v>
      </c>
      <c r="E4" s="145">
        <f t="shared" si="1"/>
        <v>12916.66667</v>
      </c>
      <c r="F4" s="145">
        <f t="shared" si="1"/>
        <v>12916.66667</v>
      </c>
      <c r="G4" s="145">
        <f t="shared" si="1"/>
        <v>12916.66667</v>
      </c>
      <c r="H4" s="145">
        <f t="shared" si="1"/>
        <v>12916.66667</v>
      </c>
      <c r="I4" s="145">
        <f t="shared" si="1"/>
        <v>12916.66667</v>
      </c>
      <c r="J4" s="145">
        <f t="shared" si="1"/>
        <v>12916.66667</v>
      </c>
      <c r="K4" s="145">
        <f t="shared" si="1"/>
        <v>12916.66667</v>
      </c>
      <c r="L4" s="145">
        <f t="shared" si="1"/>
        <v>12916.66667</v>
      </c>
      <c r="M4" s="145">
        <f t="shared" si="1"/>
        <v>12916.66667</v>
      </c>
      <c r="N4" s="145">
        <f t="shared" si="1"/>
        <v>12916.66667</v>
      </c>
    </row>
    <row r="5">
      <c r="A5" s="136" t="s">
        <v>199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</row>
    <row r="6" ht="15.0" customHeight="1">
      <c r="B6" s="1179" t="s">
        <v>1050</v>
      </c>
      <c r="C6" s="690">
        <v>5000.0</v>
      </c>
      <c r="D6" s="690">
        <f t="shared" ref="D6:N6" si="2">C6+C6*0.1</f>
        <v>5500</v>
      </c>
      <c r="E6" s="690">
        <f t="shared" si="2"/>
        <v>6050</v>
      </c>
      <c r="F6" s="690">
        <f t="shared" si="2"/>
        <v>6655</v>
      </c>
      <c r="G6" s="690">
        <f t="shared" si="2"/>
        <v>7320.5</v>
      </c>
      <c r="H6" s="690">
        <f t="shared" si="2"/>
        <v>8052.55</v>
      </c>
      <c r="I6" s="690">
        <f t="shared" si="2"/>
        <v>8857.805</v>
      </c>
      <c r="J6" s="690">
        <f t="shared" si="2"/>
        <v>9743.5855</v>
      </c>
      <c r="K6" s="690">
        <f t="shared" si="2"/>
        <v>10717.94405</v>
      </c>
      <c r="L6" s="690">
        <f t="shared" si="2"/>
        <v>11789.73846</v>
      </c>
      <c r="M6" s="690">
        <f t="shared" si="2"/>
        <v>12968.7123</v>
      </c>
      <c r="N6" s="690">
        <f t="shared" si="2"/>
        <v>14265.58353</v>
      </c>
    </row>
    <row r="7">
      <c r="B7" s="1179" t="s">
        <v>1051</v>
      </c>
      <c r="C7" s="145">
        <v>0.0</v>
      </c>
      <c r="D7" s="145">
        <v>0.0</v>
      </c>
      <c r="E7" s="145">
        <v>0.0</v>
      </c>
      <c r="F7" s="145">
        <v>0.0</v>
      </c>
      <c r="G7" s="145">
        <v>0.0</v>
      </c>
      <c r="H7" s="145">
        <v>0.0</v>
      </c>
      <c r="I7" s="145">
        <v>0.0</v>
      </c>
      <c r="J7" s="145">
        <v>0.0</v>
      </c>
      <c r="K7" s="145">
        <v>0.0</v>
      </c>
      <c r="L7" s="145">
        <v>0.0</v>
      </c>
      <c r="M7" s="145">
        <v>0.0</v>
      </c>
      <c r="N7" s="145">
        <v>0.0</v>
      </c>
    </row>
    <row r="8">
      <c r="A8" s="167"/>
      <c r="B8" s="1208" t="s">
        <v>1052</v>
      </c>
      <c r="C8" s="232">
        <v>0.0</v>
      </c>
      <c r="D8" s="232">
        <v>0.0</v>
      </c>
      <c r="E8" s="232">
        <v>0.0</v>
      </c>
      <c r="F8" s="232">
        <v>0.0</v>
      </c>
      <c r="G8" s="232">
        <v>0.0</v>
      </c>
      <c r="H8" s="232">
        <v>0.0</v>
      </c>
      <c r="I8" s="232">
        <v>0.0</v>
      </c>
      <c r="J8" s="232">
        <v>0.0</v>
      </c>
      <c r="K8" s="232">
        <v>0.0</v>
      </c>
      <c r="L8" s="232">
        <v>0.0</v>
      </c>
      <c r="M8" s="232">
        <v>0.0</v>
      </c>
      <c r="N8" s="232">
        <v>0.0</v>
      </c>
    </row>
    <row r="9">
      <c r="A9" s="172" t="s">
        <v>203</v>
      </c>
      <c r="B9" s="172"/>
      <c r="C9" s="173">
        <f t="shared" ref="C9:N9" si="3">sum(C3:C8)</f>
        <v>17916.66667</v>
      </c>
      <c r="D9" s="173">
        <f t="shared" si="3"/>
        <v>18416.66667</v>
      </c>
      <c r="E9" s="173">
        <f t="shared" si="3"/>
        <v>18966.66667</v>
      </c>
      <c r="F9" s="173">
        <f t="shared" si="3"/>
        <v>19571.66667</v>
      </c>
      <c r="G9" s="173">
        <f t="shared" si="3"/>
        <v>20237.16667</v>
      </c>
      <c r="H9" s="173">
        <f t="shared" si="3"/>
        <v>20969.21667</v>
      </c>
      <c r="I9" s="173">
        <f t="shared" si="3"/>
        <v>21774.47167</v>
      </c>
      <c r="J9" s="173">
        <f t="shared" si="3"/>
        <v>22660.25217</v>
      </c>
      <c r="K9" s="173">
        <f t="shared" si="3"/>
        <v>23634.61072</v>
      </c>
      <c r="L9" s="173">
        <f t="shared" si="3"/>
        <v>24706.40512</v>
      </c>
      <c r="M9" s="173">
        <f t="shared" si="3"/>
        <v>25885.37897</v>
      </c>
      <c r="N9" s="173">
        <f t="shared" si="3"/>
        <v>27182.2502</v>
      </c>
    </row>
    <row r="10">
      <c r="A10" s="172" t="s">
        <v>999</v>
      </c>
      <c r="B10" s="172"/>
      <c r="C10" s="137">
        <f t="shared" ref="C10:N10" si="4">C4*0.4+C6*0.34+C7*0.4</f>
        <v>6866.666667</v>
      </c>
      <c r="D10" s="137">
        <f t="shared" si="4"/>
        <v>7036.666667</v>
      </c>
      <c r="E10" s="137">
        <f t="shared" si="4"/>
        <v>7223.666667</v>
      </c>
      <c r="F10" s="137">
        <f t="shared" si="4"/>
        <v>7429.366667</v>
      </c>
      <c r="G10" s="137">
        <f t="shared" si="4"/>
        <v>7655.636667</v>
      </c>
      <c r="H10" s="137">
        <f t="shared" si="4"/>
        <v>7904.533667</v>
      </c>
      <c r="I10" s="137">
        <f t="shared" si="4"/>
        <v>8178.320367</v>
      </c>
      <c r="J10" s="137">
        <f t="shared" si="4"/>
        <v>8479.485737</v>
      </c>
      <c r="K10" s="137">
        <f t="shared" si="4"/>
        <v>8810.767644</v>
      </c>
      <c r="L10" s="137">
        <f t="shared" si="4"/>
        <v>9175.177741</v>
      </c>
      <c r="M10" s="137">
        <f t="shared" si="4"/>
        <v>9576.028849</v>
      </c>
      <c r="N10" s="137">
        <f t="shared" si="4"/>
        <v>10016.96507</v>
      </c>
    </row>
    <row r="11">
      <c r="A11" s="172" t="s">
        <v>1000</v>
      </c>
      <c r="B11" s="172"/>
      <c r="C11" s="137">
        <f t="shared" ref="C11:N11" si="5">C4*0.05</f>
        <v>645.8333333</v>
      </c>
      <c r="D11" s="137">
        <f t="shared" si="5"/>
        <v>645.8333333</v>
      </c>
      <c r="E11" s="137">
        <f t="shared" si="5"/>
        <v>645.8333333</v>
      </c>
      <c r="F11" s="137">
        <f t="shared" si="5"/>
        <v>645.8333333</v>
      </c>
      <c r="G11" s="137">
        <f t="shared" si="5"/>
        <v>645.8333333</v>
      </c>
      <c r="H11" s="137">
        <f t="shared" si="5"/>
        <v>645.8333333</v>
      </c>
      <c r="I11" s="137">
        <f t="shared" si="5"/>
        <v>645.8333333</v>
      </c>
      <c r="J11" s="137">
        <f t="shared" si="5"/>
        <v>645.8333333</v>
      </c>
      <c r="K11" s="137">
        <f t="shared" si="5"/>
        <v>645.8333333</v>
      </c>
      <c r="L11" s="137">
        <f t="shared" si="5"/>
        <v>645.8333333</v>
      </c>
      <c r="M11" s="137">
        <f t="shared" si="5"/>
        <v>645.8333333</v>
      </c>
      <c r="N11" s="137">
        <f t="shared" si="5"/>
        <v>645.8333333</v>
      </c>
    </row>
    <row r="12">
      <c r="A12" s="176" t="s">
        <v>206</v>
      </c>
      <c r="B12" s="176"/>
      <c r="C12" s="179">
        <f t="shared" ref="C12:N12" si="6">C9-C10-C11</f>
        <v>10404.16667</v>
      </c>
      <c r="D12" s="179">
        <f t="shared" si="6"/>
        <v>10734.16667</v>
      </c>
      <c r="E12" s="179">
        <f t="shared" si="6"/>
        <v>11097.16667</v>
      </c>
      <c r="F12" s="179">
        <f t="shared" si="6"/>
        <v>11496.46667</v>
      </c>
      <c r="G12" s="179">
        <f t="shared" si="6"/>
        <v>11935.69667</v>
      </c>
      <c r="H12" s="179">
        <f t="shared" si="6"/>
        <v>12418.84967</v>
      </c>
      <c r="I12" s="179">
        <f t="shared" si="6"/>
        <v>12950.31797</v>
      </c>
      <c r="J12" s="179">
        <f t="shared" si="6"/>
        <v>13534.9331</v>
      </c>
      <c r="K12" s="179">
        <f t="shared" si="6"/>
        <v>14178.00974</v>
      </c>
      <c r="L12" s="179">
        <f t="shared" si="6"/>
        <v>14885.39405</v>
      </c>
      <c r="M12" s="179">
        <f t="shared" si="6"/>
        <v>15663.51678</v>
      </c>
      <c r="N12" s="179">
        <f t="shared" si="6"/>
        <v>16519.4518</v>
      </c>
    </row>
    <row r="13">
      <c r="A13" s="182"/>
      <c r="B13" s="182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</row>
    <row r="14">
      <c r="A14" s="187" t="s">
        <v>1001</v>
      </c>
      <c r="B14" s="187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</row>
    <row r="15">
      <c r="A15" s="136" t="s">
        <v>1002</v>
      </c>
      <c r="B15" s="136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</row>
    <row r="16">
      <c r="A16" s="1121" t="s">
        <v>209</v>
      </c>
      <c r="B16" s="144" t="s">
        <v>210</v>
      </c>
      <c r="C16" s="137">
        <v>2500.0</v>
      </c>
      <c r="D16" s="137">
        <v>2500.0</v>
      </c>
      <c r="E16" s="137">
        <v>2500.0</v>
      </c>
      <c r="F16" s="137">
        <v>2500.0</v>
      </c>
      <c r="G16" s="137">
        <v>2500.0</v>
      </c>
      <c r="H16" s="137">
        <v>2500.0</v>
      </c>
      <c r="I16" s="137">
        <v>2500.0</v>
      </c>
      <c r="J16" s="137">
        <v>2500.0</v>
      </c>
      <c r="K16" s="137">
        <v>2500.0</v>
      </c>
      <c r="L16" s="137">
        <v>2500.0</v>
      </c>
      <c r="M16" s="137">
        <v>2500.0</v>
      </c>
      <c r="N16" s="137">
        <v>2500.0</v>
      </c>
    </row>
    <row r="17">
      <c r="A17" s="1121"/>
      <c r="B17" s="144" t="s">
        <v>1068</v>
      </c>
      <c r="C17" s="137">
        <v>0.0</v>
      </c>
      <c r="D17" s="137">
        <v>0.0</v>
      </c>
      <c r="E17" s="137">
        <v>0.0</v>
      </c>
      <c r="F17" s="137">
        <v>0.0</v>
      </c>
      <c r="G17" s="137">
        <v>0.0</v>
      </c>
      <c r="H17" s="137">
        <v>0.0</v>
      </c>
      <c r="I17" s="137">
        <v>0.0</v>
      </c>
      <c r="J17" s="137">
        <v>0.0</v>
      </c>
      <c r="K17" s="137">
        <v>0.0</v>
      </c>
      <c r="L17" s="137">
        <v>0.0</v>
      </c>
      <c r="M17" s="137">
        <v>0.0</v>
      </c>
      <c r="N17" s="137">
        <v>0.0</v>
      </c>
    </row>
    <row r="18">
      <c r="B18" s="144" t="s">
        <v>568</v>
      </c>
      <c r="C18" s="145">
        <v>20.0</v>
      </c>
      <c r="D18" s="145">
        <v>20.0</v>
      </c>
      <c r="E18" s="145">
        <v>20.0</v>
      </c>
      <c r="F18" s="145">
        <v>20.0</v>
      </c>
      <c r="G18" s="145">
        <v>20.0</v>
      </c>
      <c r="H18" s="145">
        <v>20.0</v>
      </c>
      <c r="I18" s="145">
        <v>20.0</v>
      </c>
      <c r="J18" s="145">
        <v>20.0</v>
      </c>
      <c r="K18" s="145">
        <v>20.0</v>
      </c>
      <c r="L18" s="145">
        <v>20.0</v>
      </c>
      <c r="M18" s="145">
        <v>20.0</v>
      </c>
      <c r="N18" s="145">
        <v>20.0</v>
      </c>
    </row>
    <row r="19">
      <c r="B19" s="144" t="s">
        <v>363</v>
      </c>
      <c r="C19" s="137">
        <v>100.0</v>
      </c>
      <c r="D19" s="137">
        <v>100.0</v>
      </c>
      <c r="E19" s="137">
        <v>100.0</v>
      </c>
      <c r="F19" s="137">
        <v>100.0</v>
      </c>
      <c r="G19" s="137">
        <v>100.0</v>
      </c>
      <c r="H19" s="137">
        <v>100.0</v>
      </c>
      <c r="I19" s="137">
        <v>100.0</v>
      </c>
      <c r="J19" s="137">
        <v>100.0</v>
      </c>
      <c r="K19" s="137">
        <v>100.0</v>
      </c>
      <c r="L19" s="137">
        <v>100.0</v>
      </c>
      <c r="M19" s="137">
        <v>100.0</v>
      </c>
      <c r="N19" s="137">
        <v>100.0</v>
      </c>
    </row>
    <row r="20">
      <c r="B20" s="144" t="s">
        <v>212</v>
      </c>
      <c r="C20" s="145">
        <f t="shared" ref="C20:N20" si="7">62.95/2</f>
        <v>31.475</v>
      </c>
      <c r="D20" s="145">
        <f t="shared" si="7"/>
        <v>31.475</v>
      </c>
      <c r="E20" s="145">
        <f t="shared" si="7"/>
        <v>31.475</v>
      </c>
      <c r="F20" s="145">
        <f t="shared" si="7"/>
        <v>31.475</v>
      </c>
      <c r="G20" s="145">
        <f t="shared" si="7"/>
        <v>31.475</v>
      </c>
      <c r="H20" s="145">
        <f t="shared" si="7"/>
        <v>31.475</v>
      </c>
      <c r="I20" s="145">
        <f t="shared" si="7"/>
        <v>31.475</v>
      </c>
      <c r="J20" s="145">
        <f t="shared" si="7"/>
        <v>31.475</v>
      </c>
      <c r="K20" s="145">
        <f t="shared" si="7"/>
        <v>31.475</v>
      </c>
      <c r="L20" s="145">
        <f t="shared" si="7"/>
        <v>31.475</v>
      </c>
      <c r="M20" s="145">
        <f t="shared" si="7"/>
        <v>31.475</v>
      </c>
      <c r="N20" s="145">
        <f t="shared" si="7"/>
        <v>31.475</v>
      </c>
    </row>
    <row r="21">
      <c r="B21" s="144" t="s">
        <v>22</v>
      </c>
      <c r="C21" s="137">
        <v>300.0</v>
      </c>
      <c r="D21" s="137">
        <v>300.0</v>
      </c>
      <c r="E21" s="137">
        <v>300.0</v>
      </c>
      <c r="F21" s="137">
        <v>300.0</v>
      </c>
      <c r="G21" s="137">
        <v>300.0</v>
      </c>
      <c r="H21" s="137">
        <v>300.0</v>
      </c>
      <c r="I21" s="137">
        <v>300.0</v>
      </c>
      <c r="J21" s="137">
        <v>300.0</v>
      </c>
      <c r="K21" s="137">
        <v>300.0</v>
      </c>
      <c r="L21" s="137">
        <v>300.0</v>
      </c>
      <c r="M21" s="137">
        <v>300.0</v>
      </c>
      <c r="N21" s="137">
        <v>300.0</v>
      </c>
    </row>
    <row r="22">
      <c r="A22" s="1121" t="s">
        <v>213</v>
      </c>
      <c r="B22" s="144" t="s">
        <v>1003</v>
      </c>
      <c r="C22" s="145">
        <v>100.0</v>
      </c>
      <c r="D22" s="145">
        <v>100.0</v>
      </c>
      <c r="E22" s="145">
        <v>100.0</v>
      </c>
      <c r="F22" s="145">
        <v>100.0</v>
      </c>
      <c r="G22" s="145">
        <v>100.0</v>
      </c>
      <c r="H22" s="145">
        <v>100.0</v>
      </c>
      <c r="I22" s="145">
        <v>100.0</v>
      </c>
      <c r="J22" s="145">
        <v>100.0</v>
      </c>
      <c r="K22" s="145">
        <v>100.0</v>
      </c>
      <c r="L22" s="145">
        <v>100.0</v>
      </c>
      <c r="M22" s="145">
        <v>100.0</v>
      </c>
      <c r="N22" s="145">
        <v>100.0</v>
      </c>
    </row>
    <row r="23">
      <c r="A23" s="1121" t="s">
        <v>215</v>
      </c>
      <c r="B23" s="144" t="s">
        <v>215</v>
      </c>
      <c r="C23" s="137">
        <v>600.0</v>
      </c>
      <c r="D23" s="137">
        <v>600.0</v>
      </c>
      <c r="E23" s="137">
        <v>600.0</v>
      </c>
      <c r="F23" s="137">
        <v>600.0</v>
      </c>
      <c r="G23" s="137">
        <v>600.0</v>
      </c>
      <c r="H23" s="137">
        <v>600.0</v>
      </c>
      <c r="I23" s="137">
        <v>600.0</v>
      </c>
      <c r="J23" s="137">
        <v>600.0</v>
      </c>
      <c r="K23" s="137">
        <v>600.0</v>
      </c>
      <c r="L23" s="137">
        <v>600.0</v>
      </c>
      <c r="M23" s="137">
        <v>600.0</v>
      </c>
      <c r="N23" s="137">
        <v>600.0</v>
      </c>
    </row>
    <row r="24">
      <c r="A24" s="1121" t="s">
        <v>216</v>
      </c>
      <c r="B24" s="144" t="s">
        <v>217</v>
      </c>
      <c r="C24" s="137">
        <v>200.0</v>
      </c>
      <c r="D24" s="137">
        <v>200.0</v>
      </c>
      <c r="E24" s="137">
        <v>200.0</v>
      </c>
      <c r="F24" s="137">
        <v>200.0</v>
      </c>
      <c r="G24" s="137">
        <v>200.0</v>
      </c>
      <c r="H24" s="137">
        <v>200.0</v>
      </c>
      <c r="I24" s="137">
        <v>200.0</v>
      </c>
      <c r="J24" s="137">
        <v>200.0</v>
      </c>
      <c r="K24" s="137">
        <v>200.0</v>
      </c>
      <c r="L24" s="137">
        <v>200.0</v>
      </c>
      <c r="M24" s="137">
        <v>200.0</v>
      </c>
      <c r="N24" s="137">
        <v>200.0</v>
      </c>
    </row>
    <row r="25">
      <c r="B25" s="144" t="s">
        <v>1004</v>
      </c>
      <c r="C25" s="137">
        <f t="shared" ref="C25:N25" si="8">8*5*4</f>
        <v>160</v>
      </c>
      <c r="D25" s="137">
        <f t="shared" si="8"/>
        <v>160</v>
      </c>
      <c r="E25" s="137">
        <f t="shared" si="8"/>
        <v>160</v>
      </c>
      <c r="F25" s="137">
        <f t="shared" si="8"/>
        <v>160</v>
      </c>
      <c r="G25" s="137">
        <f t="shared" si="8"/>
        <v>160</v>
      </c>
      <c r="H25" s="137">
        <f t="shared" si="8"/>
        <v>160</v>
      </c>
      <c r="I25" s="137">
        <f t="shared" si="8"/>
        <v>160</v>
      </c>
      <c r="J25" s="137">
        <f t="shared" si="8"/>
        <v>160</v>
      </c>
      <c r="K25" s="137">
        <f t="shared" si="8"/>
        <v>160</v>
      </c>
      <c r="L25" s="137">
        <f t="shared" si="8"/>
        <v>160</v>
      </c>
      <c r="M25" s="137">
        <f t="shared" si="8"/>
        <v>160</v>
      </c>
      <c r="N25" s="137">
        <f t="shared" si="8"/>
        <v>160</v>
      </c>
    </row>
    <row r="26">
      <c r="A26" s="1121"/>
      <c r="B26" s="144"/>
      <c r="C26" s="196">
        <f t="shared" ref="C26:N26" si="9">sum(C16:C25)/C12</f>
        <v>0.3855642771</v>
      </c>
      <c r="D26" s="196">
        <f t="shared" si="9"/>
        <v>0.373710892</v>
      </c>
      <c r="E26" s="196">
        <f t="shared" si="9"/>
        <v>0.3614864155</v>
      </c>
      <c r="F26" s="196">
        <f t="shared" si="9"/>
        <v>0.3489311209</v>
      </c>
      <c r="G26" s="196">
        <f t="shared" si="9"/>
        <v>0.336090562</v>
      </c>
      <c r="H26" s="196">
        <f t="shared" si="9"/>
        <v>0.3230150221</v>
      </c>
      <c r="I26" s="196">
        <f t="shared" si="9"/>
        <v>0.3097588036</v>
      </c>
      <c r="J26" s="196">
        <f t="shared" si="9"/>
        <v>0.2963793741</v>
      </c>
      <c r="K26" s="196">
        <f t="shared" si="9"/>
        <v>0.2829363975</v>
      </c>
      <c r="L26" s="196">
        <f t="shared" si="9"/>
        <v>0.2694906824</v>
      </c>
      <c r="M26" s="196">
        <f t="shared" si="9"/>
        <v>0.2561030869</v>
      </c>
      <c r="N26" s="196">
        <f t="shared" si="9"/>
        <v>0.2428334214</v>
      </c>
    </row>
    <row r="27">
      <c r="A27" s="136" t="s">
        <v>1005</v>
      </c>
      <c r="B27" s="136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</row>
    <row r="28">
      <c r="A28" s="1121" t="s">
        <v>220</v>
      </c>
      <c r="B28" s="144" t="s">
        <v>1006</v>
      </c>
      <c r="C28" s="137">
        <f t="shared" ref="C28:N28" si="10">25*20</f>
        <v>500</v>
      </c>
      <c r="D28" s="137">
        <f t="shared" si="10"/>
        <v>500</v>
      </c>
      <c r="E28" s="137">
        <f t="shared" si="10"/>
        <v>500</v>
      </c>
      <c r="F28" s="137">
        <f t="shared" si="10"/>
        <v>500</v>
      </c>
      <c r="G28" s="137">
        <f t="shared" si="10"/>
        <v>500</v>
      </c>
      <c r="H28" s="137">
        <f t="shared" si="10"/>
        <v>500</v>
      </c>
      <c r="I28" s="137">
        <f t="shared" si="10"/>
        <v>500</v>
      </c>
      <c r="J28" s="137">
        <f t="shared" si="10"/>
        <v>500</v>
      </c>
      <c r="K28" s="137">
        <f t="shared" si="10"/>
        <v>500</v>
      </c>
      <c r="L28" s="137">
        <f t="shared" si="10"/>
        <v>500</v>
      </c>
      <c r="M28" s="137">
        <f t="shared" si="10"/>
        <v>500</v>
      </c>
      <c r="N28" s="137">
        <f t="shared" si="10"/>
        <v>500</v>
      </c>
    </row>
    <row r="29">
      <c r="B29" s="144" t="s">
        <v>1007</v>
      </c>
      <c r="C29" s="137">
        <f t="shared" ref="C29:N29" si="11">50*8</f>
        <v>400</v>
      </c>
      <c r="D29" s="137">
        <f t="shared" si="11"/>
        <v>400</v>
      </c>
      <c r="E29" s="137">
        <f t="shared" si="11"/>
        <v>400</v>
      </c>
      <c r="F29" s="137">
        <f t="shared" si="11"/>
        <v>400</v>
      </c>
      <c r="G29" s="137">
        <f t="shared" si="11"/>
        <v>400</v>
      </c>
      <c r="H29" s="137">
        <f t="shared" si="11"/>
        <v>400</v>
      </c>
      <c r="I29" s="137">
        <f t="shared" si="11"/>
        <v>400</v>
      </c>
      <c r="J29" s="137">
        <f t="shared" si="11"/>
        <v>400</v>
      </c>
      <c r="K29" s="137">
        <f t="shared" si="11"/>
        <v>400</v>
      </c>
      <c r="L29" s="137">
        <f t="shared" si="11"/>
        <v>400</v>
      </c>
      <c r="M29" s="137">
        <f t="shared" si="11"/>
        <v>400</v>
      </c>
      <c r="N29" s="137">
        <f t="shared" si="11"/>
        <v>400</v>
      </c>
    </row>
    <row r="30">
      <c r="A30" s="144"/>
      <c r="B30" s="144" t="s">
        <v>223</v>
      </c>
      <c r="C30" s="137">
        <v>0.0</v>
      </c>
      <c r="D30" s="137">
        <v>0.0</v>
      </c>
      <c r="E30" s="137">
        <v>0.0</v>
      </c>
      <c r="F30" s="137">
        <v>0.0</v>
      </c>
      <c r="G30" s="137">
        <v>0.0</v>
      </c>
      <c r="H30" s="137">
        <v>0.0</v>
      </c>
      <c r="I30" s="137">
        <v>0.0</v>
      </c>
      <c r="J30" s="137">
        <v>0.0</v>
      </c>
      <c r="K30" s="137">
        <v>0.0</v>
      </c>
      <c r="L30" s="137">
        <v>0.0</v>
      </c>
      <c r="M30" s="137">
        <v>0.0</v>
      </c>
      <c r="N30" s="137">
        <v>0.0</v>
      </c>
    </row>
    <row r="31">
      <c r="A31" s="144"/>
      <c r="B31" s="144" t="s">
        <v>569</v>
      </c>
      <c r="C31" s="137">
        <f t="shared" ref="C31:N31" si="12">10+5+20+60+35.68</f>
        <v>130.68</v>
      </c>
      <c r="D31" s="137">
        <f t="shared" si="12"/>
        <v>130.68</v>
      </c>
      <c r="E31" s="137">
        <f t="shared" si="12"/>
        <v>130.68</v>
      </c>
      <c r="F31" s="137">
        <f t="shared" si="12"/>
        <v>130.68</v>
      </c>
      <c r="G31" s="137">
        <f t="shared" si="12"/>
        <v>130.68</v>
      </c>
      <c r="H31" s="137">
        <f t="shared" si="12"/>
        <v>130.68</v>
      </c>
      <c r="I31" s="137">
        <f t="shared" si="12"/>
        <v>130.68</v>
      </c>
      <c r="J31" s="137">
        <f t="shared" si="12"/>
        <v>130.68</v>
      </c>
      <c r="K31" s="137">
        <f t="shared" si="12"/>
        <v>130.68</v>
      </c>
      <c r="L31" s="137">
        <f t="shared" si="12"/>
        <v>130.68</v>
      </c>
      <c r="M31" s="137">
        <f t="shared" si="12"/>
        <v>130.68</v>
      </c>
      <c r="N31" s="137">
        <f t="shared" si="12"/>
        <v>130.68</v>
      </c>
    </row>
    <row r="32">
      <c r="A32" s="144"/>
      <c r="B32" s="144" t="s">
        <v>225</v>
      </c>
      <c r="C32" s="137">
        <f t="shared" ref="C32:K32" si="13">2000/3</f>
        <v>666.6666667</v>
      </c>
      <c r="D32" s="137">
        <f t="shared" si="13"/>
        <v>666.6666667</v>
      </c>
      <c r="E32" s="137">
        <f t="shared" si="13"/>
        <v>666.6666667</v>
      </c>
      <c r="F32" s="137">
        <f t="shared" si="13"/>
        <v>666.6666667</v>
      </c>
      <c r="G32" s="137">
        <f t="shared" si="13"/>
        <v>666.6666667</v>
      </c>
      <c r="H32" s="137">
        <f t="shared" si="13"/>
        <v>666.6666667</v>
      </c>
      <c r="I32" s="137">
        <f t="shared" si="13"/>
        <v>666.6666667</v>
      </c>
      <c r="J32" s="137">
        <f t="shared" si="13"/>
        <v>666.6666667</v>
      </c>
      <c r="K32" s="137">
        <f t="shared" si="13"/>
        <v>666.6666667</v>
      </c>
      <c r="L32" s="137">
        <f t="shared" ref="L32:N32" si="14">3000/3</f>
        <v>1000</v>
      </c>
      <c r="M32" s="137">
        <f t="shared" si="14"/>
        <v>1000</v>
      </c>
      <c r="N32" s="137">
        <f t="shared" si="14"/>
        <v>1000</v>
      </c>
    </row>
    <row r="33">
      <c r="A33" s="1121" t="s">
        <v>209</v>
      </c>
      <c r="B33" s="144" t="s">
        <v>1008</v>
      </c>
      <c r="C33" s="137">
        <v>0.0</v>
      </c>
      <c r="D33" s="137">
        <v>0.0</v>
      </c>
      <c r="E33" s="137">
        <v>0.0</v>
      </c>
      <c r="F33" s="137">
        <v>0.0</v>
      </c>
      <c r="G33" s="137">
        <v>0.0</v>
      </c>
      <c r="H33" s="137">
        <v>0.0</v>
      </c>
      <c r="I33" s="137">
        <v>0.0</v>
      </c>
      <c r="J33" s="137">
        <v>0.0</v>
      </c>
      <c r="K33" s="137">
        <v>0.0</v>
      </c>
      <c r="L33" s="137">
        <v>0.0</v>
      </c>
      <c r="M33" s="137">
        <v>0.0</v>
      </c>
      <c r="N33" s="137">
        <v>0.0</v>
      </c>
    </row>
    <row r="34" ht="15.75" customHeight="1">
      <c r="B34" s="144" t="s">
        <v>227</v>
      </c>
      <c r="C34" s="137">
        <v>0.0</v>
      </c>
      <c r="D34" s="137">
        <f t="shared" ref="D34:N34" si="15">12*1</f>
        <v>12</v>
      </c>
      <c r="E34" s="137">
        <f t="shared" si="15"/>
        <v>12</v>
      </c>
      <c r="F34" s="137">
        <f t="shared" si="15"/>
        <v>12</v>
      </c>
      <c r="G34" s="137">
        <f t="shared" si="15"/>
        <v>12</v>
      </c>
      <c r="H34" s="137">
        <f t="shared" si="15"/>
        <v>12</v>
      </c>
      <c r="I34" s="137">
        <f t="shared" si="15"/>
        <v>12</v>
      </c>
      <c r="J34" s="137">
        <f t="shared" si="15"/>
        <v>12</v>
      </c>
      <c r="K34" s="137">
        <f t="shared" si="15"/>
        <v>12</v>
      </c>
      <c r="L34" s="137">
        <f t="shared" si="15"/>
        <v>12</v>
      </c>
      <c r="M34" s="137">
        <f t="shared" si="15"/>
        <v>12</v>
      </c>
      <c r="N34" s="137">
        <f t="shared" si="15"/>
        <v>12</v>
      </c>
    </row>
    <row r="35">
      <c r="B35" s="144" t="s">
        <v>29</v>
      </c>
      <c r="C35" s="137">
        <v>100.0</v>
      </c>
      <c r="D35" s="137">
        <v>100.0</v>
      </c>
      <c r="E35" s="137">
        <v>100.0</v>
      </c>
      <c r="F35" s="137">
        <v>100.0</v>
      </c>
      <c r="G35" s="137">
        <v>100.0</v>
      </c>
      <c r="H35" s="137">
        <v>100.0</v>
      </c>
      <c r="I35" s="137">
        <v>100.0</v>
      </c>
      <c r="J35" s="137">
        <v>100.0</v>
      </c>
      <c r="K35" s="137">
        <v>100.0</v>
      </c>
      <c r="L35" s="137">
        <v>100.0</v>
      </c>
      <c r="M35" s="137">
        <v>100.0</v>
      </c>
      <c r="N35" s="137">
        <v>100.0</v>
      </c>
    </row>
    <row r="36">
      <c r="A36" s="1122" t="s">
        <v>228</v>
      </c>
      <c r="B36" s="144" t="s">
        <v>229</v>
      </c>
      <c r="C36" s="137">
        <v>0.0</v>
      </c>
      <c r="D36" s="137">
        <v>0.0</v>
      </c>
      <c r="E36" s="137">
        <v>0.0</v>
      </c>
      <c r="F36" s="137">
        <v>0.0</v>
      </c>
      <c r="G36" s="137">
        <v>0.0</v>
      </c>
      <c r="H36" s="137">
        <v>0.0</v>
      </c>
      <c r="I36" s="137">
        <v>0.0</v>
      </c>
      <c r="J36" s="137">
        <v>0.0</v>
      </c>
      <c r="K36" s="137">
        <v>0.0</v>
      </c>
      <c r="L36" s="137">
        <v>0.0</v>
      </c>
      <c r="M36" s="137">
        <v>0.0</v>
      </c>
      <c r="N36" s="137">
        <v>0.0</v>
      </c>
    </row>
    <row r="37">
      <c r="A37" s="144"/>
      <c r="B37" s="144" t="s">
        <v>30</v>
      </c>
      <c r="C37" s="137">
        <v>0.0</v>
      </c>
      <c r="D37" s="137">
        <v>0.0</v>
      </c>
      <c r="E37" s="137">
        <v>0.0</v>
      </c>
      <c r="F37" s="137">
        <v>0.0</v>
      </c>
      <c r="G37" s="137">
        <v>0.0</v>
      </c>
      <c r="H37" s="137">
        <v>0.0</v>
      </c>
      <c r="I37" s="137">
        <v>0.0</v>
      </c>
      <c r="J37" s="137">
        <v>0.0</v>
      </c>
      <c r="K37" s="137">
        <v>0.0</v>
      </c>
      <c r="L37" s="137">
        <v>0.0</v>
      </c>
      <c r="M37" s="137">
        <v>0.0</v>
      </c>
      <c r="N37" s="137">
        <v>0.0</v>
      </c>
    </row>
    <row r="38">
      <c r="B38" s="144" t="s">
        <v>230</v>
      </c>
      <c r="C38" s="137">
        <v>100.0</v>
      </c>
      <c r="D38" s="137">
        <v>100.0</v>
      </c>
      <c r="E38" s="137">
        <v>100.0</v>
      </c>
      <c r="F38" s="137">
        <v>100.0</v>
      </c>
      <c r="G38" s="137">
        <v>100.0</v>
      </c>
      <c r="H38" s="137">
        <v>100.0</v>
      </c>
      <c r="I38" s="137">
        <v>100.0</v>
      </c>
      <c r="J38" s="137">
        <v>100.0</v>
      </c>
      <c r="K38" s="137">
        <v>100.0</v>
      </c>
      <c r="L38" s="137">
        <v>100.0</v>
      </c>
      <c r="M38" s="137">
        <v>100.0</v>
      </c>
      <c r="N38" s="137">
        <v>100.0</v>
      </c>
    </row>
    <row r="39">
      <c r="A39" s="144"/>
      <c r="B39" s="144" t="s">
        <v>231</v>
      </c>
      <c r="C39" s="137">
        <v>0.0</v>
      </c>
      <c r="D39" s="137">
        <v>0.0</v>
      </c>
      <c r="E39" s="137">
        <v>0.0</v>
      </c>
      <c r="F39" s="137">
        <v>0.0</v>
      </c>
      <c r="G39" s="137">
        <v>0.0</v>
      </c>
      <c r="H39" s="137">
        <v>0.0</v>
      </c>
      <c r="I39" s="137">
        <v>0.0</v>
      </c>
      <c r="J39" s="137">
        <v>0.0</v>
      </c>
      <c r="K39" s="137">
        <v>0.0</v>
      </c>
      <c r="L39" s="137">
        <v>0.0</v>
      </c>
      <c r="M39" s="137">
        <v>0.0</v>
      </c>
      <c r="N39" s="137">
        <v>0.0</v>
      </c>
    </row>
    <row r="40">
      <c r="A40" s="1121" t="s">
        <v>232</v>
      </c>
      <c r="B40" s="144" t="s">
        <v>1009</v>
      </c>
      <c r="C40" s="137">
        <v>50.0</v>
      </c>
      <c r="D40" s="137">
        <v>50.0</v>
      </c>
      <c r="E40" s="137">
        <v>50.0</v>
      </c>
      <c r="F40" s="137">
        <v>50.0</v>
      </c>
      <c r="G40" s="137">
        <v>50.0</v>
      </c>
      <c r="H40" s="137">
        <v>50.0</v>
      </c>
      <c r="I40" s="137">
        <v>50.0</v>
      </c>
      <c r="J40" s="137">
        <v>50.0</v>
      </c>
      <c r="K40" s="137">
        <v>50.0</v>
      </c>
      <c r="L40" s="137">
        <v>50.0</v>
      </c>
      <c r="M40" s="137">
        <v>50.0</v>
      </c>
      <c r="N40" s="137">
        <v>50.0</v>
      </c>
    </row>
    <row r="41">
      <c r="A41" s="144"/>
      <c r="B41" s="144" t="s">
        <v>234</v>
      </c>
      <c r="C41" s="137">
        <v>200.0</v>
      </c>
      <c r="D41" s="137">
        <v>200.0</v>
      </c>
      <c r="E41" s="137">
        <v>200.0</v>
      </c>
      <c r="F41" s="137">
        <v>200.0</v>
      </c>
      <c r="G41" s="137">
        <v>200.0</v>
      </c>
      <c r="H41" s="137">
        <v>200.0</v>
      </c>
      <c r="I41" s="137">
        <v>200.0</v>
      </c>
      <c r="J41" s="137">
        <v>200.0</v>
      </c>
      <c r="K41" s="137">
        <v>200.0</v>
      </c>
      <c r="L41" s="137">
        <v>200.0</v>
      </c>
      <c r="M41" s="137">
        <v>200.0</v>
      </c>
      <c r="N41" s="137">
        <v>200.0</v>
      </c>
    </row>
    <row r="42">
      <c r="A42" s="209"/>
      <c r="B42" s="209"/>
      <c r="C42" s="212">
        <f t="shared" ref="C42:N42" si="16">sum(C28:C41)/C12</f>
        <v>0.2063929515</v>
      </c>
      <c r="D42" s="212">
        <f t="shared" si="16"/>
        <v>0.201165748</v>
      </c>
      <c r="E42" s="212">
        <f t="shared" si="16"/>
        <v>0.1945854047</v>
      </c>
      <c r="F42" s="212">
        <f t="shared" si="16"/>
        <v>0.1878269845</v>
      </c>
      <c r="G42" s="212">
        <f t="shared" si="16"/>
        <v>0.1809150087</v>
      </c>
      <c r="H42" s="212">
        <f t="shared" si="16"/>
        <v>0.1738765445</v>
      </c>
      <c r="I42" s="212">
        <f t="shared" si="16"/>
        <v>0.1667408223</v>
      </c>
      <c r="J42" s="212">
        <f t="shared" si="16"/>
        <v>0.1595387765</v>
      </c>
      <c r="K42" s="212">
        <f t="shared" si="16"/>
        <v>0.1523025239</v>
      </c>
      <c r="L42" s="212">
        <f t="shared" si="16"/>
        <v>0.1674581131</v>
      </c>
      <c r="M42" s="212">
        <f t="shared" si="16"/>
        <v>0.15913923</v>
      </c>
      <c r="N42" s="212">
        <f t="shared" si="16"/>
        <v>0.1508936271</v>
      </c>
    </row>
    <row r="43">
      <c r="A43" s="235" t="s">
        <v>236</v>
      </c>
      <c r="B43" s="235"/>
      <c r="C43" s="1123">
        <f t="shared" ref="C43:N43" si="17">sum(C16:C25)+SUM(C28:C41)</f>
        <v>6158.821667</v>
      </c>
      <c r="D43" s="1123">
        <f t="shared" si="17"/>
        <v>6170.821667</v>
      </c>
      <c r="E43" s="1123">
        <f t="shared" si="17"/>
        <v>6170.821667</v>
      </c>
      <c r="F43" s="1123">
        <f t="shared" si="17"/>
        <v>6170.821667</v>
      </c>
      <c r="G43" s="1123">
        <f t="shared" si="17"/>
        <v>6170.821667</v>
      </c>
      <c r="H43" s="1123">
        <f t="shared" si="17"/>
        <v>6170.821667</v>
      </c>
      <c r="I43" s="1123">
        <f t="shared" si="17"/>
        <v>6170.821667</v>
      </c>
      <c r="J43" s="1123">
        <f t="shared" si="17"/>
        <v>6170.821667</v>
      </c>
      <c r="K43" s="1123">
        <f t="shared" si="17"/>
        <v>6170.821667</v>
      </c>
      <c r="L43" s="1123">
        <f t="shared" si="17"/>
        <v>6504.155</v>
      </c>
      <c r="M43" s="1123">
        <f t="shared" si="17"/>
        <v>6504.155</v>
      </c>
      <c r="N43" s="1123">
        <f t="shared" si="17"/>
        <v>6504.155</v>
      </c>
    </row>
    <row r="44">
      <c r="A44" s="183"/>
      <c r="B44" s="183"/>
      <c r="C44" s="216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</row>
    <row r="45">
      <c r="A45" s="187" t="s">
        <v>1010</v>
      </c>
      <c r="B45" s="187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</row>
    <row r="46">
      <c r="A46" s="136" t="s">
        <v>1011</v>
      </c>
      <c r="B46" s="136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</row>
    <row r="47">
      <c r="A47" s="144"/>
      <c r="B47" s="144" t="s">
        <v>1069</v>
      </c>
      <c r="C47" s="194">
        <f t="shared" ref="C47:N47" si="18">C12*0.2</f>
        <v>2080.833333</v>
      </c>
      <c r="D47" s="194">
        <f t="shared" si="18"/>
        <v>2146.833333</v>
      </c>
      <c r="E47" s="194">
        <f t="shared" si="18"/>
        <v>2219.433333</v>
      </c>
      <c r="F47" s="194">
        <f t="shared" si="18"/>
        <v>2299.293333</v>
      </c>
      <c r="G47" s="194">
        <f t="shared" si="18"/>
        <v>2387.139333</v>
      </c>
      <c r="H47" s="194">
        <f t="shared" si="18"/>
        <v>2483.769933</v>
      </c>
      <c r="I47" s="194">
        <f t="shared" si="18"/>
        <v>2590.063593</v>
      </c>
      <c r="J47" s="194">
        <f t="shared" si="18"/>
        <v>2706.986619</v>
      </c>
      <c r="K47" s="194">
        <f t="shared" si="18"/>
        <v>2835.601948</v>
      </c>
      <c r="L47" s="194">
        <f t="shared" si="18"/>
        <v>2977.078809</v>
      </c>
      <c r="M47" s="194">
        <f t="shared" si="18"/>
        <v>3132.703357</v>
      </c>
      <c r="N47" s="194">
        <f t="shared" si="18"/>
        <v>3303.890359</v>
      </c>
    </row>
    <row r="48">
      <c r="A48" s="136" t="s">
        <v>1013</v>
      </c>
      <c r="B48" s="136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</row>
    <row r="49">
      <c r="A49" s="1125"/>
      <c r="B49" s="220" t="s">
        <v>1014</v>
      </c>
      <c r="C49" s="137">
        <f t="shared" ref="C49:N49" si="19">C12*0.015</f>
        <v>156.0625</v>
      </c>
      <c r="D49" s="137">
        <f t="shared" si="19"/>
        <v>161.0125</v>
      </c>
      <c r="E49" s="137">
        <f t="shared" si="19"/>
        <v>166.4575</v>
      </c>
      <c r="F49" s="137">
        <f t="shared" si="19"/>
        <v>172.447</v>
      </c>
      <c r="G49" s="137">
        <f t="shared" si="19"/>
        <v>179.03545</v>
      </c>
      <c r="H49" s="137">
        <f t="shared" si="19"/>
        <v>186.282745</v>
      </c>
      <c r="I49" s="137">
        <f t="shared" si="19"/>
        <v>194.2547695</v>
      </c>
      <c r="J49" s="137">
        <f t="shared" si="19"/>
        <v>203.0239965</v>
      </c>
      <c r="K49" s="137">
        <f t="shared" si="19"/>
        <v>212.6701461</v>
      </c>
      <c r="L49" s="137">
        <f t="shared" si="19"/>
        <v>223.2809107</v>
      </c>
      <c r="M49" s="137">
        <f t="shared" si="19"/>
        <v>234.9527518</v>
      </c>
      <c r="N49" s="137">
        <f t="shared" si="19"/>
        <v>247.791777</v>
      </c>
    </row>
    <row r="50">
      <c r="A50" s="1125"/>
      <c r="B50" s="1126" t="s">
        <v>1015</v>
      </c>
      <c r="C50" s="137">
        <f t="shared" ref="C50:N50" si="20">C12*0</f>
        <v>0</v>
      </c>
      <c r="D50" s="137">
        <f t="shared" si="20"/>
        <v>0</v>
      </c>
      <c r="E50" s="137">
        <f t="shared" si="20"/>
        <v>0</v>
      </c>
      <c r="F50" s="137">
        <f t="shared" si="20"/>
        <v>0</v>
      </c>
      <c r="G50" s="137">
        <f t="shared" si="20"/>
        <v>0</v>
      </c>
      <c r="H50" s="137">
        <f t="shared" si="20"/>
        <v>0</v>
      </c>
      <c r="I50" s="137">
        <f t="shared" si="20"/>
        <v>0</v>
      </c>
      <c r="J50" s="137">
        <f t="shared" si="20"/>
        <v>0</v>
      </c>
      <c r="K50" s="137">
        <f t="shared" si="20"/>
        <v>0</v>
      </c>
      <c r="L50" s="137">
        <f t="shared" si="20"/>
        <v>0</v>
      </c>
      <c r="M50" s="137">
        <f t="shared" si="20"/>
        <v>0</v>
      </c>
      <c r="N50" s="137">
        <f t="shared" si="20"/>
        <v>0</v>
      </c>
    </row>
    <row r="51">
      <c r="A51" s="136" t="s">
        <v>380</v>
      </c>
      <c r="B51" s="136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</row>
    <row r="52">
      <c r="A52" s="1125"/>
      <c r="B52" s="1127" t="s">
        <v>1016</v>
      </c>
      <c r="C52" s="137">
        <f t="shared" ref="C52:N52" si="21">C12*0</f>
        <v>0</v>
      </c>
      <c r="D52" s="137">
        <f t="shared" si="21"/>
        <v>0</v>
      </c>
      <c r="E52" s="137">
        <f t="shared" si="21"/>
        <v>0</v>
      </c>
      <c r="F52" s="137">
        <f t="shared" si="21"/>
        <v>0</v>
      </c>
      <c r="G52" s="137">
        <f t="shared" si="21"/>
        <v>0</v>
      </c>
      <c r="H52" s="137">
        <f t="shared" si="21"/>
        <v>0</v>
      </c>
      <c r="I52" s="137">
        <f t="shared" si="21"/>
        <v>0</v>
      </c>
      <c r="J52" s="137">
        <f t="shared" si="21"/>
        <v>0</v>
      </c>
      <c r="K52" s="137">
        <f t="shared" si="21"/>
        <v>0</v>
      </c>
      <c r="L52" s="137">
        <f t="shared" si="21"/>
        <v>0</v>
      </c>
      <c r="M52" s="137">
        <f t="shared" si="21"/>
        <v>0</v>
      </c>
      <c r="N52" s="137">
        <f t="shared" si="21"/>
        <v>0</v>
      </c>
    </row>
    <row r="53">
      <c r="A53" s="1125"/>
      <c r="B53" s="1127" t="s">
        <v>1017</v>
      </c>
      <c r="C53" s="137">
        <f t="shared" ref="C53:N53" si="22">C12*0.02</f>
        <v>208.0833333</v>
      </c>
      <c r="D53" s="137">
        <f t="shared" si="22"/>
        <v>214.6833333</v>
      </c>
      <c r="E53" s="137">
        <f t="shared" si="22"/>
        <v>221.9433333</v>
      </c>
      <c r="F53" s="137">
        <f t="shared" si="22"/>
        <v>229.9293333</v>
      </c>
      <c r="G53" s="137">
        <f t="shared" si="22"/>
        <v>238.7139333</v>
      </c>
      <c r="H53" s="137">
        <f t="shared" si="22"/>
        <v>248.3769933</v>
      </c>
      <c r="I53" s="137">
        <f t="shared" si="22"/>
        <v>259.0063593</v>
      </c>
      <c r="J53" s="137">
        <f t="shared" si="22"/>
        <v>270.6986619</v>
      </c>
      <c r="K53" s="137">
        <f t="shared" si="22"/>
        <v>283.5601948</v>
      </c>
      <c r="L53" s="137">
        <f t="shared" si="22"/>
        <v>297.7078809</v>
      </c>
      <c r="M53" s="137">
        <f t="shared" si="22"/>
        <v>313.2703357</v>
      </c>
      <c r="N53" s="137">
        <f t="shared" si="22"/>
        <v>330.3890359</v>
      </c>
    </row>
    <row r="54">
      <c r="A54" s="1125"/>
      <c r="B54" s="223" t="s">
        <v>1070</v>
      </c>
      <c r="C54" s="137">
        <f t="shared" ref="C54:N54" si="23">C12*0.02</f>
        <v>208.0833333</v>
      </c>
      <c r="D54" s="137">
        <f t="shared" si="23"/>
        <v>214.6833333</v>
      </c>
      <c r="E54" s="137">
        <f t="shared" si="23"/>
        <v>221.9433333</v>
      </c>
      <c r="F54" s="137">
        <f t="shared" si="23"/>
        <v>229.9293333</v>
      </c>
      <c r="G54" s="137">
        <f t="shared" si="23"/>
        <v>238.7139333</v>
      </c>
      <c r="H54" s="137">
        <f t="shared" si="23"/>
        <v>248.3769933</v>
      </c>
      <c r="I54" s="137">
        <f t="shared" si="23"/>
        <v>259.0063593</v>
      </c>
      <c r="J54" s="137">
        <f t="shared" si="23"/>
        <v>270.6986619</v>
      </c>
      <c r="K54" s="137">
        <f t="shared" si="23"/>
        <v>283.5601948</v>
      </c>
      <c r="L54" s="137">
        <f t="shared" si="23"/>
        <v>297.7078809</v>
      </c>
      <c r="M54" s="137">
        <f t="shared" si="23"/>
        <v>313.2703357</v>
      </c>
      <c r="N54" s="137">
        <f t="shared" si="23"/>
        <v>330.3890359</v>
      </c>
    </row>
    <row r="55">
      <c r="A55" s="1125"/>
      <c r="B55" s="1127" t="s">
        <v>1019</v>
      </c>
      <c r="C55" s="137">
        <f t="shared" ref="C55:N55" si="24">C12*0.02</f>
        <v>208.0833333</v>
      </c>
      <c r="D55" s="137">
        <f t="shared" si="24"/>
        <v>214.6833333</v>
      </c>
      <c r="E55" s="137">
        <f t="shared" si="24"/>
        <v>221.9433333</v>
      </c>
      <c r="F55" s="137">
        <f t="shared" si="24"/>
        <v>229.9293333</v>
      </c>
      <c r="G55" s="137">
        <f t="shared" si="24"/>
        <v>238.7139333</v>
      </c>
      <c r="H55" s="137">
        <f t="shared" si="24"/>
        <v>248.3769933</v>
      </c>
      <c r="I55" s="137">
        <f t="shared" si="24"/>
        <v>259.0063593</v>
      </c>
      <c r="J55" s="137">
        <f t="shared" si="24"/>
        <v>270.6986619</v>
      </c>
      <c r="K55" s="137">
        <f t="shared" si="24"/>
        <v>283.5601948</v>
      </c>
      <c r="L55" s="137">
        <f t="shared" si="24"/>
        <v>297.7078809</v>
      </c>
      <c r="M55" s="137">
        <f t="shared" si="24"/>
        <v>313.2703357</v>
      </c>
      <c r="N55" s="137">
        <f t="shared" si="24"/>
        <v>330.3890359</v>
      </c>
    </row>
    <row r="56">
      <c r="A56" s="1128"/>
      <c r="B56" s="1209" t="s">
        <v>1071</v>
      </c>
      <c r="C56" s="222">
        <f t="shared" ref="C56:N56" si="25">C11</f>
        <v>645.8333333</v>
      </c>
      <c r="D56" s="222">
        <f t="shared" si="25"/>
        <v>645.8333333</v>
      </c>
      <c r="E56" s="222">
        <f t="shared" si="25"/>
        <v>645.8333333</v>
      </c>
      <c r="F56" s="222">
        <f t="shared" si="25"/>
        <v>645.8333333</v>
      </c>
      <c r="G56" s="222">
        <f t="shared" si="25"/>
        <v>645.8333333</v>
      </c>
      <c r="H56" s="222">
        <f t="shared" si="25"/>
        <v>645.8333333</v>
      </c>
      <c r="I56" s="222">
        <f t="shared" si="25"/>
        <v>645.8333333</v>
      </c>
      <c r="J56" s="222">
        <f t="shared" si="25"/>
        <v>645.8333333</v>
      </c>
      <c r="K56" s="222">
        <f t="shared" si="25"/>
        <v>645.8333333</v>
      </c>
      <c r="L56" s="222">
        <f t="shared" si="25"/>
        <v>645.8333333</v>
      </c>
      <c r="M56" s="222">
        <f t="shared" si="25"/>
        <v>645.8333333</v>
      </c>
      <c r="N56" s="222">
        <f t="shared" si="25"/>
        <v>645.8333333</v>
      </c>
    </row>
    <row r="57">
      <c r="A57" s="176" t="s">
        <v>733</v>
      </c>
      <c r="B57" s="176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</row>
    <row r="58">
      <c r="A58" s="137"/>
      <c r="B58" s="137" t="s">
        <v>1072</v>
      </c>
      <c r="C58" s="137">
        <f t="shared" ref="C58:N58" si="26">C12*0.01</f>
        <v>104.0416667</v>
      </c>
      <c r="D58" s="137">
        <f t="shared" si="26"/>
        <v>107.3416667</v>
      </c>
      <c r="E58" s="137">
        <f t="shared" si="26"/>
        <v>110.9716667</v>
      </c>
      <c r="F58" s="137">
        <f t="shared" si="26"/>
        <v>114.9646667</v>
      </c>
      <c r="G58" s="137">
        <f t="shared" si="26"/>
        <v>119.3569667</v>
      </c>
      <c r="H58" s="137">
        <f t="shared" si="26"/>
        <v>124.1884967</v>
      </c>
      <c r="I58" s="137">
        <f t="shared" si="26"/>
        <v>129.5031797</v>
      </c>
      <c r="J58" s="137">
        <f t="shared" si="26"/>
        <v>135.349331</v>
      </c>
      <c r="K58" s="137">
        <f t="shared" si="26"/>
        <v>141.7800974</v>
      </c>
      <c r="L58" s="137">
        <f t="shared" si="26"/>
        <v>148.8539405</v>
      </c>
      <c r="M58" s="137">
        <f t="shared" si="26"/>
        <v>156.6351678</v>
      </c>
      <c r="N58" s="137">
        <f t="shared" si="26"/>
        <v>165.194518</v>
      </c>
    </row>
    <row r="59">
      <c r="A59" s="702"/>
      <c r="B59" s="702"/>
      <c r="C59" s="704">
        <f t="shared" ref="C59:N59" si="27">sum(C47:C55)/C12</f>
        <v>0.275</v>
      </c>
      <c r="D59" s="704">
        <f t="shared" si="27"/>
        <v>0.275</v>
      </c>
      <c r="E59" s="704">
        <f t="shared" si="27"/>
        <v>0.275</v>
      </c>
      <c r="F59" s="704">
        <f t="shared" si="27"/>
        <v>0.275</v>
      </c>
      <c r="G59" s="704">
        <f t="shared" si="27"/>
        <v>0.275</v>
      </c>
      <c r="H59" s="704">
        <f t="shared" si="27"/>
        <v>0.275</v>
      </c>
      <c r="I59" s="704">
        <f t="shared" si="27"/>
        <v>0.275</v>
      </c>
      <c r="J59" s="704">
        <f t="shared" si="27"/>
        <v>0.275</v>
      </c>
      <c r="K59" s="704">
        <f t="shared" si="27"/>
        <v>0.275</v>
      </c>
      <c r="L59" s="704">
        <f t="shared" si="27"/>
        <v>0.275</v>
      </c>
      <c r="M59" s="704">
        <f t="shared" si="27"/>
        <v>0.275</v>
      </c>
      <c r="N59" s="704">
        <f t="shared" si="27"/>
        <v>0.275</v>
      </c>
    </row>
    <row r="60">
      <c r="A60" s="235" t="s">
        <v>252</v>
      </c>
      <c r="B60" s="235"/>
      <c r="C60" s="236">
        <f t="shared" ref="C60:N60" si="28">sum(C47:C55)+C58</f>
        <v>2965.1875</v>
      </c>
      <c r="D60" s="236">
        <f t="shared" si="28"/>
        <v>3059.2375</v>
      </c>
      <c r="E60" s="236">
        <f t="shared" si="28"/>
        <v>3162.6925</v>
      </c>
      <c r="F60" s="236">
        <f t="shared" si="28"/>
        <v>3276.493</v>
      </c>
      <c r="G60" s="236">
        <f t="shared" si="28"/>
        <v>3401.67355</v>
      </c>
      <c r="H60" s="236">
        <f t="shared" si="28"/>
        <v>3539.372155</v>
      </c>
      <c r="I60" s="236">
        <f t="shared" si="28"/>
        <v>3690.840621</v>
      </c>
      <c r="J60" s="236">
        <f t="shared" si="28"/>
        <v>3857.455933</v>
      </c>
      <c r="K60" s="236">
        <f t="shared" si="28"/>
        <v>4040.732776</v>
      </c>
      <c r="L60" s="236">
        <f t="shared" si="28"/>
        <v>4242.337303</v>
      </c>
      <c r="M60" s="236">
        <f t="shared" si="28"/>
        <v>4464.102284</v>
      </c>
      <c r="N60" s="236">
        <f t="shared" si="28"/>
        <v>4708.043762</v>
      </c>
    </row>
    <row r="61">
      <c r="A61" s="241"/>
      <c r="B61" s="241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</row>
    <row r="62">
      <c r="A62" s="1130"/>
      <c r="B62" s="1130"/>
      <c r="C62" s="247"/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7"/>
    </row>
    <row r="63">
      <c r="A63" s="708" t="s">
        <v>253</v>
      </c>
      <c r="B63" s="708"/>
      <c r="C63" s="709">
        <f t="shared" ref="C63:N63" si="29">C12-C11-C43-C60</f>
        <v>634.3241667</v>
      </c>
      <c r="D63" s="709">
        <f t="shared" si="29"/>
        <v>858.2741667</v>
      </c>
      <c r="E63" s="709">
        <f t="shared" si="29"/>
        <v>1117.819167</v>
      </c>
      <c r="F63" s="709">
        <f t="shared" si="29"/>
        <v>1403.318667</v>
      </c>
      <c r="G63" s="709">
        <f t="shared" si="29"/>
        <v>1717.368117</v>
      </c>
      <c r="H63" s="709">
        <f t="shared" si="29"/>
        <v>2062.822512</v>
      </c>
      <c r="I63" s="709">
        <f t="shared" si="29"/>
        <v>2442.822346</v>
      </c>
      <c r="J63" s="709">
        <f t="shared" si="29"/>
        <v>2860.822164</v>
      </c>
      <c r="K63" s="709">
        <f t="shared" si="29"/>
        <v>3320.621964</v>
      </c>
      <c r="L63" s="709">
        <f t="shared" si="29"/>
        <v>3493.06841</v>
      </c>
      <c r="M63" s="709">
        <f t="shared" si="29"/>
        <v>4049.426168</v>
      </c>
      <c r="N63" s="709">
        <f t="shared" si="29"/>
        <v>4661.419701</v>
      </c>
    </row>
    <row r="64">
      <c r="A64" s="252"/>
      <c r="B64" s="252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</row>
    <row r="65">
      <c r="A65" s="1205" t="s">
        <v>1063</v>
      </c>
      <c r="B65" s="13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</row>
    <row r="66">
      <c r="A66" s="1210">
        <f>sum(C9:N9)</f>
        <v>261921.4188</v>
      </c>
      <c r="B66" s="183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</row>
    <row r="67">
      <c r="A67" s="1205" t="s">
        <v>1064</v>
      </c>
      <c r="B67" s="179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</row>
    <row r="68">
      <c r="A68" s="1210">
        <f>sum(C12:N12)</f>
        <v>155818.1364</v>
      </c>
      <c r="B68" s="179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</row>
    <row r="69">
      <c r="A69" s="1205" t="s">
        <v>964</v>
      </c>
      <c r="B69" s="137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</row>
    <row r="70">
      <c r="A70" s="1211">
        <f>sum(C60:N60)-sum(C47:N47)</f>
        <v>13244.5416</v>
      </c>
      <c r="B70" s="179"/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</row>
    <row r="71">
      <c r="A71" s="1205" t="s">
        <v>1065</v>
      </c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</row>
    <row r="72">
      <c r="A72" s="1186">
        <f>sum(C49:N50)</f>
        <v>2337.272046</v>
      </c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</row>
    <row r="73">
      <c r="A73" s="1207" t="s">
        <v>1066</v>
      </c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</row>
    <row r="74">
      <c r="A74" s="1210">
        <f>sum(C47:N47)</f>
        <v>31163.62729</v>
      </c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</row>
    <row r="75">
      <c r="A75" s="177"/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</row>
    <row r="76">
      <c r="A76" s="177"/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</row>
    <row r="77">
      <c r="A77" s="177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</row>
    <row r="78">
      <c r="A78" s="177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</row>
    <row r="79">
      <c r="A79" s="177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</row>
    <row r="80">
      <c r="A80" s="177"/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</row>
    <row r="81">
      <c r="A81" s="177"/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</row>
    <row r="82">
      <c r="A82" s="177"/>
      <c r="B82" s="177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7"/>
      <c r="N82" s="177"/>
    </row>
    <row r="83">
      <c r="A83" s="177"/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</row>
    <row r="84">
      <c r="A84" s="177"/>
      <c r="B84" s="177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</row>
    <row r="85">
      <c r="A85" s="177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</row>
    <row r="86">
      <c r="A86" s="177"/>
      <c r="B86" s="177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</row>
    <row r="87">
      <c r="A87" s="177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</row>
    <row r="88">
      <c r="A88" s="177"/>
      <c r="B88" s="177"/>
      <c r="C88" s="177"/>
      <c r="D88" s="177"/>
      <c r="E88" s="177"/>
      <c r="F88" s="177"/>
      <c r="G88" s="177"/>
      <c r="H88" s="177"/>
      <c r="I88" s="177"/>
      <c r="J88" s="177"/>
      <c r="K88" s="177"/>
      <c r="L88" s="177"/>
      <c r="M88" s="177"/>
      <c r="N88" s="177"/>
    </row>
    <row r="89">
      <c r="A89" s="177"/>
      <c r="B89" s="177"/>
      <c r="C89" s="177"/>
      <c r="D89" s="177"/>
      <c r="E89" s="177"/>
      <c r="F89" s="177"/>
      <c r="G89" s="177"/>
      <c r="H89" s="177"/>
      <c r="I89" s="177"/>
      <c r="J89" s="177"/>
      <c r="K89" s="177"/>
      <c r="L89" s="177"/>
      <c r="M89" s="177"/>
      <c r="N89" s="177"/>
    </row>
    <row r="90">
      <c r="A90" s="177"/>
      <c r="B90" s="177"/>
      <c r="C90" s="177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</row>
    <row r="91">
      <c r="A91" s="177"/>
      <c r="B91" s="177"/>
      <c r="C91" s="177"/>
      <c r="D91" s="177"/>
      <c r="E91" s="177"/>
      <c r="F91" s="177"/>
      <c r="G91" s="177"/>
      <c r="H91" s="177"/>
      <c r="I91" s="177"/>
      <c r="J91" s="177"/>
      <c r="K91" s="177"/>
      <c r="L91" s="177"/>
      <c r="M91" s="177"/>
      <c r="N91" s="177"/>
    </row>
    <row r="92">
      <c r="A92" s="177"/>
      <c r="B92" s="177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7"/>
      <c r="N92" s="177"/>
    </row>
    <row r="93">
      <c r="A93" s="177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</row>
    <row r="94">
      <c r="A94" s="177"/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</row>
    <row r="95">
      <c r="A95" s="177"/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</row>
    <row r="96">
      <c r="A96" s="177"/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</row>
    <row r="97">
      <c r="A97" s="177"/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</row>
    <row r="98">
      <c r="A98" s="177"/>
      <c r="B98" s="177"/>
      <c r="C98" s="177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</row>
    <row r="99">
      <c r="A99" s="177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</row>
    <row r="100">
      <c r="A100" s="177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</row>
    <row r="101">
      <c r="A101" s="177"/>
      <c r="B101" s="17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</row>
    <row r="102">
      <c r="A102" s="177"/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</row>
    <row r="103">
      <c r="A103" s="177"/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</row>
    <row r="104">
      <c r="A104" s="177"/>
      <c r="B104" s="177"/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</row>
    <row r="105">
      <c r="A105" s="177"/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</row>
    <row r="106">
      <c r="A106" s="177"/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</row>
    <row r="107">
      <c r="A107" s="177"/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</row>
    <row r="108">
      <c r="A108" s="177"/>
      <c r="B108" s="17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7"/>
      <c r="N108" s="177"/>
    </row>
    <row r="109">
      <c r="A109" s="177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</row>
    <row r="110">
      <c r="A110" s="177"/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</row>
    <row r="111">
      <c r="A111" s="177"/>
      <c r="B111" s="17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</row>
    <row r="112">
      <c r="A112" s="177"/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</row>
    <row r="113">
      <c r="A113" s="177"/>
      <c r="B113" s="17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</row>
    <row r="114">
      <c r="A114" s="177"/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177"/>
      <c r="N114" s="177"/>
    </row>
    <row r="115">
      <c r="A115" s="177"/>
      <c r="B115" s="177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</row>
    <row r="116">
      <c r="A116" s="177"/>
      <c r="B116" s="17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177"/>
    </row>
    <row r="117">
      <c r="A117" s="177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</row>
    <row r="118">
      <c r="A118" s="177"/>
      <c r="B118" s="177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  <c r="N118" s="177"/>
    </row>
    <row r="119">
      <c r="A119" s="177"/>
      <c r="B119" s="177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7"/>
    </row>
    <row r="120">
      <c r="A120" s="177"/>
      <c r="B120" s="177"/>
      <c r="C120" s="177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/>
    </row>
    <row r="121">
      <c r="A121" s="177"/>
      <c r="B121" s="177"/>
      <c r="C121" s="177"/>
      <c r="D121" s="177"/>
      <c r="E121" s="177"/>
      <c r="F121" s="177"/>
      <c r="G121" s="177"/>
      <c r="H121" s="177"/>
      <c r="I121" s="177"/>
      <c r="J121" s="177"/>
      <c r="K121" s="177"/>
      <c r="L121" s="177"/>
      <c r="M121" s="177"/>
      <c r="N121" s="177"/>
    </row>
    <row r="122">
      <c r="A122" s="177"/>
      <c r="B122" s="177"/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</row>
    <row r="123">
      <c r="A123" s="177"/>
      <c r="B123" s="177"/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</row>
    <row r="124">
      <c r="A124" s="177"/>
      <c r="B124" s="177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</row>
    <row r="125">
      <c r="A125" s="177"/>
      <c r="B125" s="177"/>
      <c r="C125" s="177"/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</row>
    <row r="126">
      <c r="A126" s="177"/>
      <c r="B126" s="177"/>
      <c r="C126" s="177"/>
      <c r="D126" s="177"/>
      <c r="E126" s="177"/>
      <c r="F126" s="177"/>
      <c r="G126" s="177"/>
      <c r="H126" s="177"/>
      <c r="I126" s="177"/>
      <c r="J126" s="177"/>
      <c r="K126" s="177"/>
      <c r="L126" s="177"/>
      <c r="M126" s="177"/>
      <c r="N126" s="177"/>
    </row>
    <row r="127">
      <c r="A127" s="177"/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</row>
    <row r="128">
      <c r="A128" s="177"/>
      <c r="B128" s="177"/>
      <c r="C128" s="177"/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</row>
    <row r="129">
      <c r="A129" s="177"/>
      <c r="B129" s="177"/>
      <c r="C129" s="177"/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</row>
    <row r="130">
      <c r="A130" s="177"/>
      <c r="B130" s="177"/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</row>
    <row r="131">
      <c r="A131" s="177"/>
      <c r="B131" s="177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</row>
    <row r="132">
      <c r="A132" s="177"/>
      <c r="B132" s="177"/>
      <c r="C132" s="177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</row>
    <row r="133">
      <c r="A133" s="177"/>
      <c r="B133" s="177"/>
      <c r="C133" s="177"/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</row>
    <row r="134">
      <c r="A134" s="177"/>
      <c r="B134" s="177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</row>
    <row r="135">
      <c r="A135" s="177"/>
      <c r="B135" s="177"/>
      <c r="C135" s="177"/>
      <c r="D135" s="177"/>
      <c r="E135" s="177"/>
      <c r="F135" s="177"/>
      <c r="G135" s="177"/>
      <c r="H135" s="177"/>
      <c r="I135" s="177"/>
      <c r="J135" s="177"/>
      <c r="K135" s="177"/>
      <c r="L135" s="177"/>
      <c r="M135" s="177"/>
      <c r="N135" s="177"/>
    </row>
    <row r="136">
      <c r="A136" s="177"/>
      <c r="B136" s="177"/>
      <c r="C136" s="177"/>
      <c r="D136" s="177"/>
      <c r="E136" s="177"/>
      <c r="F136" s="177"/>
      <c r="G136" s="177"/>
      <c r="H136" s="177"/>
      <c r="I136" s="177"/>
      <c r="J136" s="177"/>
      <c r="K136" s="177"/>
      <c r="L136" s="177"/>
      <c r="M136" s="177"/>
      <c r="N136" s="177"/>
    </row>
    <row r="137">
      <c r="A137" s="177"/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</row>
    <row r="138">
      <c r="A138" s="177"/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</row>
    <row r="139">
      <c r="A139" s="177"/>
      <c r="B139" s="177"/>
      <c r="C139" s="177"/>
      <c r="D139" s="177"/>
      <c r="E139" s="177"/>
      <c r="F139" s="177"/>
      <c r="G139" s="177"/>
      <c r="H139" s="177"/>
      <c r="I139" s="177"/>
      <c r="J139" s="177"/>
      <c r="K139" s="177"/>
      <c r="L139" s="177"/>
      <c r="M139" s="177"/>
      <c r="N139" s="177"/>
    </row>
    <row r="140">
      <c r="A140" s="177"/>
      <c r="B140" s="177"/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</row>
    <row r="141">
      <c r="A141" s="177"/>
      <c r="B141" s="177"/>
      <c r="C141" s="177"/>
      <c r="D141" s="177"/>
      <c r="E141" s="177"/>
      <c r="F141" s="177"/>
      <c r="G141" s="177"/>
      <c r="H141" s="177"/>
      <c r="I141" s="177"/>
      <c r="J141" s="177"/>
      <c r="K141" s="177"/>
      <c r="L141" s="177"/>
      <c r="M141" s="177"/>
      <c r="N141" s="177"/>
    </row>
    <row r="142">
      <c r="A142" s="177"/>
      <c r="B142" s="177"/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  <c r="N142" s="177"/>
    </row>
    <row r="143">
      <c r="A143" s="177"/>
      <c r="B143" s="177"/>
      <c r="C143" s="177"/>
      <c r="D143" s="177"/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</row>
    <row r="144">
      <c r="A144" s="177"/>
      <c r="B144" s="177"/>
      <c r="C144" s="177"/>
      <c r="D144" s="177"/>
      <c r="E144" s="177"/>
      <c r="F144" s="177"/>
      <c r="G144" s="177"/>
      <c r="H144" s="177"/>
      <c r="I144" s="177"/>
      <c r="J144" s="177"/>
      <c r="K144" s="177"/>
      <c r="L144" s="177"/>
      <c r="M144" s="177"/>
      <c r="N144" s="177"/>
    </row>
    <row r="145">
      <c r="A145" s="177"/>
      <c r="B145" s="177"/>
      <c r="C145" s="177"/>
      <c r="D145" s="177"/>
      <c r="E145" s="177"/>
      <c r="F145" s="177"/>
      <c r="G145" s="177"/>
      <c r="H145" s="177"/>
      <c r="I145" s="177"/>
      <c r="J145" s="177"/>
      <c r="K145" s="177"/>
      <c r="L145" s="177"/>
      <c r="M145" s="177"/>
      <c r="N145" s="177"/>
    </row>
    <row r="146">
      <c r="A146" s="177"/>
      <c r="B146" s="177"/>
      <c r="C146" s="177"/>
      <c r="D146" s="177"/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</row>
    <row r="147">
      <c r="A147" s="177"/>
      <c r="B147" s="177"/>
      <c r="C147" s="177"/>
      <c r="D147" s="177"/>
      <c r="E147" s="177"/>
      <c r="F147" s="177"/>
      <c r="G147" s="177"/>
      <c r="H147" s="177"/>
      <c r="I147" s="177"/>
      <c r="J147" s="177"/>
      <c r="K147" s="177"/>
      <c r="L147" s="177"/>
      <c r="M147" s="177"/>
      <c r="N147" s="177"/>
    </row>
    <row r="148">
      <c r="A148" s="177"/>
      <c r="B148" s="177"/>
      <c r="C148" s="177"/>
      <c r="D148" s="177"/>
      <c r="E148" s="177"/>
      <c r="F148" s="177"/>
      <c r="G148" s="177"/>
      <c r="H148" s="177"/>
      <c r="I148" s="177"/>
      <c r="J148" s="177"/>
      <c r="K148" s="177"/>
      <c r="L148" s="177"/>
      <c r="M148" s="177"/>
      <c r="N148" s="177"/>
    </row>
    <row r="149">
      <c r="A149" s="177"/>
      <c r="B149" s="177"/>
      <c r="C149" s="177"/>
      <c r="D149" s="177"/>
      <c r="E149" s="177"/>
      <c r="F149" s="177"/>
      <c r="G149" s="177"/>
      <c r="H149" s="177"/>
      <c r="I149" s="177"/>
      <c r="J149" s="177"/>
      <c r="K149" s="177"/>
      <c r="L149" s="177"/>
      <c r="M149" s="177"/>
      <c r="N149" s="177"/>
    </row>
    <row r="150">
      <c r="A150" s="177"/>
      <c r="B150" s="177"/>
      <c r="C150" s="177"/>
      <c r="D150" s="177"/>
      <c r="E150" s="177"/>
      <c r="F150" s="177"/>
      <c r="G150" s="177"/>
      <c r="H150" s="177"/>
      <c r="I150" s="177"/>
      <c r="J150" s="177"/>
      <c r="K150" s="177"/>
      <c r="L150" s="177"/>
      <c r="M150" s="177"/>
      <c r="N150" s="177"/>
    </row>
    <row r="151">
      <c r="A151" s="177"/>
      <c r="B151" s="177"/>
      <c r="C151" s="177"/>
      <c r="D151" s="177"/>
      <c r="E151" s="177"/>
      <c r="F151" s="177"/>
      <c r="G151" s="177"/>
      <c r="H151" s="177"/>
      <c r="I151" s="177"/>
      <c r="J151" s="177"/>
      <c r="K151" s="177"/>
      <c r="L151" s="177"/>
      <c r="M151" s="177"/>
      <c r="N151" s="177"/>
    </row>
    <row r="152">
      <c r="A152" s="177"/>
      <c r="B152" s="177"/>
      <c r="C152" s="177"/>
      <c r="D152" s="177"/>
      <c r="E152" s="177"/>
      <c r="F152" s="177"/>
      <c r="G152" s="177"/>
      <c r="H152" s="177"/>
      <c r="I152" s="177"/>
      <c r="J152" s="177"/>
      <c r="K152" s="177"/>
      <c r="L152" s="177"/>
      <c r="M152" s="177"/>
      <c r="N152" s="177"/>
    </row>
    <row r="153">
      <c r="A153" s="177"/>
      <c r="B153" s="177"/>
      <c r="C153" s="177"/>
      <c r="D153" s="177"/>
      <c r="E153" s="177"/>
      <c r="F153" s="177"/>
      <c r="G153" s="177"/>
      <c r="H153" s="177"/>
      <c r="I153" s="177"/>
      <c r="J153" s="177"/>
      <c r="K153" s="177"/>
      <c r="L153" s="177"/>
      <c r="M153" s="177"/>
      <c r="N153" s="177"/>
    </row>
    <row r="154">
      <c r="A154" s="177"/>
      <c r="B154" s="177"/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  <c r="N154" s="177"/>
    </row>
    <row r="155">
      <c r="A155" s="177"/>
      <c r="B155" s="177"/>
      <c r="C155" s="177"/>
      <c r="D155" s="177"/>
      <c r="E155" s="177"/>
      <c r="F155" s="177"/>
      <c r="G155" s="177"/>
      <c r="H155" s="177"/>
      <c r="I155" s="177"/>
      <c r="J155" s="177"/>
      <c r="K155" s="177"/>
      <c r="L155" s="177"/>
      <c r="M155" s="177"/>
      <c r="N155" s="177"/>
    </row>
    <row r="156">
      <c r="A156" s="177"/>
      <c r="B156" s="177"/>
      <c r="C156" s="177"/>
      <c r="D156" s="177"/>
      <c r="E156" s="177"/>
      <c r="F156" s="177"/>
      <c r="G156" s="177"/>
      <c r="H156" s="177"/>
      <c r="I156" s="177"/>
      <c r="J156" s="177"/>
      <c r="K156" s="177"/>
      <c r="L156" s="177"/>
      <c r="M156" s="177"/>
      <c r="N156" s="177"/>
    </row>
    <row r="157">
      <c r="A157" s="177"/>
      <c r="B157" s="177"/>
      <c r="C157" s="177"/>
      <c r="D157" s="177"/>
      <c r="E157" s="177"/>
      <c r="F157" s="177"/>
      <c r="G157" s="177"/>
      <c r="H157" s="177"/>
      <c r="I157" s="177"/>
      <c r="J157" s="177"/>
      <c r="K157" s="177"/>
      <c r="L157" s="177"/>
      <c r="M157" s="177"/>
      <c r="N157" s="177"/>
    </row>
    <row r="158">
      <c r="A158" s="177"/>
      <c r="B158" s="177"/>
      <c r="C158" s="177"/>
      <c r="D158" s="177"/>
      <c r="E158" s="177"/>
      <c r="F158" s="177"/>
      <c r="G158" s="177"/>
      <c r="H158" s="177"/>
      <c r="I158" s="177"/>
      <c r="J158" s="177"/>
      <c r="K158" s="177"/>
      <c r="L158" s="177"/>
      <c r="M158" s="177"/>
      <c r="N158" s="177"/>
    </row>
    <row r="159">
      <c r="A159" s="177"/>
      <c r="B159" s="177"/>
      <c r="C159" s="177"/>
      <c r="D159" s="177"/>
      <c r="E159" s="177"/>
      <c r="F159" s="177"/>
      <c r="G159" s="177"/>
      <c r="H159" s="177"/>
      <c r="I159" s="177"/>
      <c r="J159" s="177"/>
      <c r="K159" s="177"/>
      <c r="L159" s="177"/>
      <c r="M159" s="177"/>
      <c r="N159" s="177"/>
    </row>
    <row r="160">
      <c r="A160" s="177"/>
      <c r="B160" s="177"/>
      <c r="C160" s="177"/>
      <c r="D160" s="177"/>
      <c r="E160" s="177"/>
      <c r="F160" s="177"/>
      <c r="G160" s="177"/>
      <c r="H160" s="177"/>
      <c r="I160" s="177"/>
      <c r="J160" s="177"/>
      <c r="K160" s="177"/>
      <c r="L160" s="177"/>
      <c r="M160" s="177"/>
      <c r="N160" s="177"/>
    </row>
    <row r="161">
      <c r="A161" s="177"/>
      <c r="B161" s="177"/>
      <c r="C161" s="177"/>
      <c r="D161" s="177"/>
      <c r="E161" s="177"/>
      <c r="F161" s="177"/>
      <c r="G161" s="177"/>
      <c r="H161" s="177"/>
      <c r="I161" s="177"/>
      <c r="J161" s="177"/>
      <c r="K161" s="177"/>
      <c r="L161" s="177"/>
      <c r="M161" s="177"/>
      <c r="N161" s="177"/>
    </row>
    <row r="162">
      <c r="A162" s="177"/>
      <c r="B162" s="177"/>
      <c r="C162" s="177"/>
      <c r="D162" s="177"/>
      <c r="E162" s="177"/>
      <c r="F162" s="177"/>
      <c r="G162" s="177"/>
      <c r="H162" s="177"/>
      <c r="I162" s="177"/>
      <c r="J162" s="177"/>
      <c r="K162" s="177"/>
      <c r="L162" s="177"/>
      <c r="M162" s="177"/>
      <c r="N162" s="177"/>
    </row>
    <row r="163">
      <c r="A163" s="177"/>
      <c r="B163" s="177"/>
      <c r="C163" s="177"/>
      <c r="D163" s="177"/>
      <c r="E163" s="177"/>
      <c r="F163" s="177"/>
      <c r="G163" s="177"/>
      <c r="H163" s="177"/>
      <c r="I163" s="177"/>
      <c r="J163" s="177"/>
      <c r="K163" s="177"/>
      <c r="L163" s="177"/>
      <c r="M163" s="177"/>
      <c r="N163" s="177"/>
    </row>
    <row r="164">
      <c r="A164" s="177"/>
      <c r="B164" s="177"/>
      <c r="C164" s="177"/>
      <c r="D164" s="177"/>
      <c r="E164" s="177"/>
      <c r="F164" s="177"/>
      <c r="G164" s="177"/>
      <c r="H164" s="177"/>
      <c r="I164" s="177"/>
      <c r="J164" s="177"/>
      <c r="K164" s="177"/>
      <c r="L164" s="177"/>
      <c r="M164" s="177"/>
      <c r="N164" s="177"/>
    </row>
    <row r="165">
      <c r="A165" s="177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</row>
    <row r="166">
      <c r="A166" s="177"/>
      <c r="B166" s="177"/>
      <c r="C166" s="177"/>
      <c r="D166" s="177"/>
      <c r="E166" s="177"/>
      <c r="F166" s="177"/>
      <c r="G166" s="177"/>
      <c r="H166" s="177"/>
      <c r="I166" s="177"/>
      <c r="J166" s="177"/>
      <c r="K166" s="177"/>
      <c r="L166" s="177"/>
      <c r="M166" s="177"/>
      <c r="N166" s="177"/>
    </row>
    <row r="167">
      <c r="A167" s="177"/>
      <c r="B167" s="177"/>
      <c r="C167" s="177"/>
      <c r="D167" s="177"/>
      <c r="E167" s="177"/>
      <c r="F167" s="177"/>
      <c r="G167" s="177"/>
      <c r="H167" s="177"/>
      <c r="I167" s="177"/>
      <c r="J167" s="177"/>
      <c r="K167" s="177"/>
      <c r="L167" s="177"/>
      <c r="M167" s="177"/>
      <c r="N167" s="177"/>
    </row>
    <row r="168">
      <c r="A168" s="177"/>
      <c r="B168" s="177"/>
      <c r="C168" s="177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7"/>
    </row>
    <row r="169">
      <c r="A169" s="177"/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  <c r="L169" s="177"/>
      <c r="M169" s="177"/>
      <c r="N169" s="177"/>
    </row>
    <row r="170">
      <c r="A170" s="177"/>
      <c r="B170" s="177"/>
      <c r="C170" s="177"/>
      <c r="D170" s="177"/>
      <c r="E170" s="177"/>
      <c r="F170" s="177"/>
      <c r="G170" s="177"/>
      <c r="H170" s="177"/>
      <c r="I170" s="177"/>
      <c r="J170" s="177"/>
      <c r="K170" s="177"/>
      <c r="L170" s="177"/>
      <c r="M170" s="177"/>
      <c r="N170" s="177"/>
    </row>
    <row r="171">
      <c r="A171" s="177"/>
      <c r="B171" s="177"/>
      <c r="C171" s="177"/>
      <c r="D171" s="177"/>
      <c r="E171" s="177"/>
      <c r="F171" s="177"/>
      <c r="G171" s="177"/>
      <c r="H171" s="177"/>
      <c r="I171" s="177"/>
      <c r="J171" s="177"/>
      <c r="K171" s="177"/>
      <c r="L171" s="177"/>
      <c r="M171" s="177"/>
      <c r="N171" s="177"/>
    </row>
    <row r="172">
      <c r="A172" s="177"/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  <c r="L172" s="177"/>
      <c r="M172" s="177"/>
      <c r="N172" s="177"/>
    </row>
    <row r="173">
      <c r="A173" s="177"/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  <c r="L173" s="177"/>
      <c r="M173" s="177"/>
      <c r="N173" s="177"/>
    </row>
    <row r="174">
      <c r="A174" s="177"/>
      <c r="B174" s="177"/>
      <c r="C174" s="177"/>
      <c r="D174" s="177"/>
      <c r="E174" s="177"/>
      <c r="F174" s="177"/>
      <c r="G174" s="177"/>
      <c r="H174" s="177"/>
      <c r="I174" s="177"/>
      <c r="J174" s="177"/>
      <c r="K174" s="177"/>
      <c r="L174" s="177"/>
      <c r="M174" s="177"/>
      <c r="N174" s="177"/>
    </row>
    <row r="175">
      <c r="A175" s="177"/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  <c r="L175" s="177"/>
      <c r="M175" s="177"/>
      <c r="N175" s="177"/>
    </row>
    <row r="176">
      <c r="A176" s="177"/>
      <c r="B176" s="177"/>
      <c r="C176" s="177"/>
      <c r="D176" s="177"/>
      <c r="E176" s="177"/>
      <c r="F176" s="177"/>
      <c r="G176" s="177"/>
      <c r="H176" s="177"/>
      <c r="I176" s="177"/>
      <c r="J176" s="177"/>
      <c r="K176" s="177"/>
      <c r="L176" s="177"/>
      <c r="M176" s="177"/>
      <c r="N176" s="177"/>
    </row>
    <row r="177">
      <c r="A177" s="177"/>
      <c r="B177" s="177"/>
      <c r="C177" s="177"/>
      <c r="D177" s="177"/>
      <c r="E177" s="177"/>
      <c r="F177" s="177"/>
      <c r="G177" s="177"/>
      <c r="H177" s="177"/>
      <c r="I177" s="177"/>
      <c r="J177" s="177"/>
      <c r="K177" s="177"/>
      <c r="L177" s="177"/>
      <c r="M177" s="177"/>
      <c r="N177" s="177"/>
    </row>
    <row r="178">
      <c r="A178" s="177"/>
      <c r="B178" s="177"/>
      <c r="C178" s="177"/>
      <c r="D178" s="177"/>
      <c r="E178" s="177"/>
      <c r="F178" s="177"/>
      <c r="G178" s="177"/>
      <c r="H178" s="177"/>
      <c r="I178" s="177"/>
      <c r="J178" s="177"/>
      <c r="K178" s="177"/>
      <c r="L178" s="177"/>
      <c r="M178" s="177"/>
      <c r="N178" s="177"/>
    </row>
    <row r="179">
      <c r="A179" s="177"/>
      <c r="B179" s="177"/>
      <c r="C179" s="177"/>
      <c r="D179" s="177"/>
      <c r="E179" s="177"/>
      <c r="F179" s="177"/>
      <c r="G179" s="177"/>
      <c r="H179" s="177"/>
      <c r="I179" s="177"/>
      <c r="J179" s="177"/>
      <c r="K179" s="177"/>
      <c r="L179" s="177"/>
      <c r="M179" s="177"/>
      <c r="N179" s="177"/>
    </row>
    <row r="180">
      <c r="A180" s="177"/>
      <c r="B180" s="177"/>
      <c r="C180" s="177"/>
      <c r="D180" s="177"/>
      <c r="E180" s="177"/>
      <c r="F180" s="177"/>
      <c r="G180" s="177"/>
      <c r="H180" s="177"/>
      <c r="I180" s="177"/>
      <c r="J180" s="177"/>
      <c r="K180" s="177"/>
      <c r="L180" s="177"/>
      <c r="M180" s="177"/>
      <c r="N180" s="177"/>
    </row>
    <row r="181">
      <c r="A181" s="177"/>
      <c r="B181" s="177"/>
      <c r="C181" s="177"/>
      <c r="D181" s="177"/>
      <c r="E181" s="177"/>
      <c r="F181" s="177"/>
      <c r="G181" s="177"/>
      <c r="H181" s="177"/>
      <c r="I181" s="177"/>
      <c r="J181" s="177"/>
      <c r="K181" s="177"/>
      <c r="L181" s="177"/>
      <c r="M181" s="177"/>
      <c r="N181" s="177"/>
    </row>
    <row r="182">
      <c r="A182" s="177"/>
      <c r="B182" s="177"/>
      <c r="C182" s="177"/>
      <c r="D182" s="177"/>
      <c r="E182" s="177"/>
      <c r="F182" s="177"/>
      <c r="G182" s="177"/>
      <c r="H182" s="177"/>
      <c r="I182" s="177"/>
      <c r="J182" s="177"/>
      <c r="K182" s="177"/>
      <c r="L182" s="177"/>
      <c r="M182" s="177"/>
      <c r="N182" s="177"/>
    </row>
    <row r="183">
      <c r="A183" s="177"/>
      <c r="B183" s="177"/>
      <c r="C183" s="177"/>
      <c r="D183" s="177"/>
      <c r="E183" s="177"/>
      <c r="F183" s="177"/>
      <c r="G183" s="177"/>
      <c r="H183" s="177"/>
      <c r="I183" s="177"/>
      <c r="J183" s="177"/>
      <c r="K183" s="177"/>
      <c r="L183" s="177"/>
      <c r="M183" s="177"/>
      <c r="N183" s="177"/>
    </row>
    <row r="184">
      <c r="A184" s="177"/>
      <c r="B184" s="177"/>
      <c r="C184" s="177"/>
      <c r="D184" s="177"/>
      <c r="E184" s="177"/>
      <c r="F184" s="177"/>
      <c r="G184" s="177"/>
      <c r="H184" s="177"/>
      <c r="I184" s="177"/>
      <c r="J184" s="177"/>
      <c r="K184" s="177"/>
      <c r="L184" s="177"/>
      <c r="M184" s="177"/>
      <c r="N184" s="177"/>
    </row>
    <row r="185">
      <c r="A185" s="177"/>
      <c r="B185" s="177"/>
      <c r="C185" s="177"/>
      <c r="D185" s="177"/>
      <c r="E185" s="177"/>
      <c r="F185" s="177"/>
      <c r="G185" s="177"/>
      <c r="H185" s="177"/>
      <c r="I185" s="177"/>
      <c r="J185" s="177"/>
      <c r="K185" s="177"/>
      <c r="L185" s="177"/>
      <c r="M185" s="177"/>
      <c r="N185" s="177"/>
    </row>
    <row r="186">
      <c r="A186" s="177"/>
      <c r="B186" s="177"/>
      <c r="C186" s="177"/>
      <c r="D186" s="177"/>
      <c r="E186" s="177"/>
      <c r="F186" s="177"/>
      <c r="G186" s="177"/>
      <c r="H186" s="177"/>
      <c r="I186" s="177"/>
      <c r="J186" s="177"/>
      <c r="K186" s="177"/>
      <c r="L186" s="177"/>
      <c r="M186" s="177"/>
      <c r="N186" s="177"/>
    </row>
    <row r="187">
      <c r="A187" s="177"/>
      <c r="B187" s="177"/>
      <c r="C187" s="177"/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</row>
    <row r="188">
      <c r="A188" s="177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</row>
    <row r="189">
      <c r="A189" s="177"/>
      <c r="B189" s="177"/>
      <c r="C189" s="177"/>
      <c r="D189" s="177"/>
      <c r="E189" s="177"/>
      <c r="F189" s="177"/>
      <c r="G189" s="177"/>
      <c r="H189" s="177"/>
      <c r="I189" s="177"/>
      <c r="J189" s="177"/>
      <c r="K189" s="177"/>
      <c r="L189" s="177"/>
      <c r="M189" s="177"/>
      <c r="N189" s="177"/>
    </row>
    <row r="190">
      <c r="A190" s="177"/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</row>
    <row r="191">
      <c r="A191" s="177"/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</row>
    <row r="192">
      <c r="A192" s="177"/>
      <c r="B192" s="177"/>
      <c r="C192" s="177"/>
      <c r="D192" s="177"/>
      <c r="E192" s="177"/>
      <c r="F192" s="177"/>
      <c r="G192" s="177"/>
      <c r="H192" s="177"/>
      <c r="I192" s="177"/>
      <c r="J192" s="177"/>
      <c r="K192" s="177"/>
      <c r="L192" s="177"/>
      <c r="M192" s="177"/>
      <c r="N192" s="177"/>
    </row>
    <row r="193">
      <c r="A193" s="177"/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  <c r="N193" s="177"/>
    </row>
    <row r="194">
      <c r="A194" s="177"/>
      <c r="B194" s="177"/>
      <c r="C194" s="177"/>
      <c r="D194" s="177"/>
      <c r="E194" s="177"/>
      <c r="F194" s="177"/>
      <c r="G194" s="177"/>
      <c r="H194" s="177"/>
      <c r="I194" s="177"/>
      <c r="J194" s="177"/>
      <c r="K194" s="177"/>
      <c r="L194" s="177"/>
      <c r="M194" s="177"/>
      <c r="N194" s="177"/>
    </row>
    <row r="195">
      <c r="A195" s="177"/>
      <c r="B195" s="177"/>
      <c r="C195" s="177"/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</row>
    <row r="196">
      <c r="A196" s="177"/>
      <c r="B196" s="177"/>
      <c r="C196" s="177"/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</row>
    <row r="197">
      <c r="A197" s="177"/>
      <c r="B197" s="177"/>
      <c r="C197" s="177"/>
      <c r="D197" s="177"/>
      <c r="E197" s="177"/>
      <c r="F197" s="177"/>
      <c r="G197" s="177"/>
      <c r="H197" s="177"/>
      <c r="I197" s="177"/>
      <c r="J197" s="177"/>
      <c r="K197" s="177"/>
      <c r="L197" s="177"/>
      <c r="M197" s="177"/>
      <c r="N197" s="177"/>
    </row>
    <row r="198">
      <c r="A198" s="177"/>
      <c r="B198" s="177"/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</row>
    <row r="199">
      <c r="A199" s="177"/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</row>
    <row r="200">
      <c r="A200" s="177"/>
      <c r="B200" s="177"/>
      <c r="C200" s="177"/>
      <c r="D200" s="177"/>
      <c r="E200" s="177"/>
      <c r="F200" s="177"/>
      <c r="G200" s="177"/>
      <c r="H200" s="177"/>
      <c r="I200" s="177"/>
      <c r="J200" s="177"/>
      <c r="K200" s="177"/>
      <c r="L200" s="177"/>
      <c r="M200" s="177"/>
      <c r="N200" s="177"/>
    </row>
    <row r="201">
      <c r="A201" s="177"/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</row>
    <row r="202">
      <c r="A202" s="177"/>
      <c r="B202" s="177"/>
      <c r="C202" s="177"/>
      <c r="D202" s="177"/>
      <c r="E202" s="177"/>
      <c r="F202" s="177"/>
      <c r="G202" s="177"/>
      <c r="H202" s="177"/>
      <c r="I202" s="177"/>
      <c r="J202" s="177"/>
      <c r="K202" s="177"/>
      <c r="L202" s="177"/>
      <c r="M202" s="177"/>
      <c r="N202" s="177"/>
    </row>
    <row r="203">
      <c r="A203" s="177"/>
      <c r="B203" s="177"/>
      <c r="C203" s="177"/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</row>
    <row r="204">
      <c r="A204" s="177"/>
      <c r="B204" s="177"/>
      <c r="C204" s="177"/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</row>
    <row r="205">
      <c r="A205" s="177"/>
      <c r="B205" s="177"/>
      <c r="C205" s="177"/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</row>
    <row r="206">
      <c r="A206" s="177"/>
      <c r="B206" s="177"/>
      <c r="C206" s="177"/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</row>
    <row r="207">
      <c r="A207" s="177"/>
      <c r="B207" s="177"/>
      <c r="C207" s="177"/>
      <c r="D207" s="177"/>
      <c r="E207" s="177"/>
      <c r="F207" s="177"/>
      <c r="G207" s="177"/>
      <c r="H207" s="177"/>
      <c r="I207" s="177"/>
      <c r="J207" s="177"/>
      <c r="K207" s="177"/>
      <c r="L207" s="177"/>
      <c r="M207" s="177"/>
      <c r="N207" s="177"/>
    </row>
    <row r="208">
      <c r="A208" s="177"/>
      <c r="B208" s="177"/>
      <c r="C208" s="177"/>
      <c r="D208" s="177"/>
      <c r="E208" s="177"/>
      <c r="F208" s="177"/>
      <c r="G208" s="177"/>
      <c r="H208" s="177"/>
      <c r="I208" s="177"/>
      <c r="J208" s="177"/>
      <c r="K208" s="177"/>
      <c r="L208" s="177"/>
      <c r="M208" s="177"/>
      <c r="N208" s="177"/>
    </row>
    <row r="209">
      <c r="A209" s="177"/>
      <c r="B209" s="177"/>
      <c r="C209" s="177"/>
      <c r="D209" s="177"/>
      <c r="E209" s="177"/>
      <c r="F209" s="177"/>
      <c r="G209" s="177"/>
      <c r="H209" s="177"/>
      <c r="I209" s="177"/>
      <c r="J209" s="177"/>
      <c r="K209" s="177"/>
      <c r="L209" s="177"/>
      <c r="M209" s="177"/>
      <c r="N209" s="177"/>
    </row>
    <row r="210">
      <c r="A210" s="177"/>
      <c r="B210" s="177"/>
      <c r="C210" s="177"/>
      <c r="D210" s="177"/>
      <c r="E210" s="177"/>
      <c r="F210" s="177"/>
      <c r="G210" s="177"/>
      <c r="H210" s="177"/>
      <c r="I210" s="177"/>
      <c r="J210" s="177"/>
      <c r="K210" s="177"/>
      <c r="L210" s="177"/>
      <c r="M210" s="177"/>
      <c r="N210" s="177"/>
    </row>
    <row r="211">
      <c r="A211" s="177"/>
      <c r="B211" s="177"/>
      <c r="C211" s="177"/>
      <c r="D211" s="177"/>
      <c r="E211" s="177"/>
      <c r="F211" s="177"/>
      <c r="G211" s="177"/>
      <c r="H211" s="177"/>
      <c r="I211" s="177"/>
      <c r="J211" s="177"/>
      <c r="K211" s="177"/>
      <c r="L211" s="177"/>
      <c r="M211" s="177"/>
      <c r="N211" s="177"/>
    </row>
    <row r="212">
      <c r="A212" s="177"/>
      <c r="B212" s="177"/>
      <c r="C212" s="177"/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  <c r="N212" s="177"/>
    </row>
    <row r="213">
      <c r="A213" s="177"/>
      <c r="B213" s="177"/>
      <c r="C213" s="177"/>
      <c r="D213" s="177"/>
      <c r="E213" s="177"/>
      <c r="F213" s="177"/>
      <c r="G213" s="177"/>
      <c r="H213" s="177"/>
      <c r="I213" s="177"/>
      <c r="J213" s="177"/>
      <c r="K213" s="177"/>
      <c r="L213" s="177"/>
      <c r="M213" s="177"/>
      <c r="N213" s="177"/>
    </row>
    <row r="214">
      <c r="A214" s="177"/>
      <c r="B214" s="177"/>
      <c r="C214" s="177"/>
      <c r="D214" s="177"/>
      <c r="E214" s="177"/>
      <c r="F214" s="177"/>
      <c r="G214" s="177"/>
      <c r="H214" s="177"/>
      <c r="I214" s="177"/>
      <c r="J214" s="177"/>
      <c r="K214" s="177"/>
      <c r="L214" s="177"/>
      <c r="M214" s="177"/>
      <c r="N214" s="177"/>
    </row>
    <row r="215">
      <c r="A215" s="177"/>
      <c r="B215" s="177"/>
      <c r="C215" s="177"/>
      <c r="D215" s="177"/>
      <c r="E215" s="177"/>
      <c r="F215" s="177"/>
      <c r="G215" s="177"/>
      <c r="H215" s="177"/>
      <c r="I215" s="177"/>
      <c r="J215" s="177"/>
      <c r="K215" s="177"/>
      <c r="L215" s="177"/>
      <c r="M215" s="177"/>
      <c r="N215" s="177"/>
    </row>
    <row r="216">
      <c r="A216" s="177"/>
      <c r="B216" s="177"/>
      <c r="C216" s="177"/>
      <c r="D216" s="177"/>
      <c r="E216" s="177"/>
      <c r="F216" s="177"/>
      <c r="G216" s="177"/>
      <c r="H216" s="177"/>
      <c r="I216" s="177"/>
      <c r="J216" s="177"/>
      <c r="K216" s="177"/>
      <c r="L216" s="177"/>
      <c r="M216" s="177"/>
      <c r="N216" s="177"/>
    </row>
    <row r="217">
      <c r="A217" s="177"/>
      <c r="B217" s="177"/>
      <c r="C217" s="177"/>
      <c r="D217" s="177"/>
      <c r="E217" s="177"/>
      <c r="F217" s="177"/>
      <c r="G217" s="177"/>
      <c r="H217" s="177"/>
      <c r="I217" s="177"/>
      <c r="J217" s="177"/>
      <c r="K217" s="177"/>
      <c r="L217" s="177"/>
      <c r="M217" s="177"/>
      <c r="N217" s="177"/>
    </row>
    <row r="218">
      <c r="A218" s="177"/>
      <c r="B218" s="177"/>
      <c r="C218" s="177"/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</row>
    <row r="219">
      <c r="A219" s="177"/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</row>
    <row r="220">
      <c r="A220" s="177"/>
      <c r="B220" s="177"/>
      <c r="C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</row>
    <row r="221">
      <c r="A221" s="177"/>
      <c r="B221" s="177"/>
      <c r="C221" s="177"/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</row>
    <row r="222">
      <c r="A222" s="177"/>
      <c r="B222" s="177"/>
      <c r="C222" s="177"/>
      <c r="D222" s="177"/>
      <c r="E222" s="177"/>
      <c r="F222" s="177"/>
      <c r="G222" s="177"/>
      <c r="H222" s="177"/>
      <c r="I222" s="177"/>
      <c r="J222" s="177"/>
      <c r="K222" s="177"/>
      <c r="L222" s="177"/>
      <c r="M222" s="177"/>
      <c r="N222" s="177"/>
    </row>
    <row r="223">
      <c r="A223" s="177"/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</row>
    <row r="224">
      <c r="A224" s="177"/>
      <c r="B224" s="177"/>
      <c r="C224" s="177"/>
      <c r="D224" s="177"/>
      <c r="E224" s="177"/>
      <c r="F224" s="177"/>
      <c r="G224" s="177"/>
      <c r="H224" s="177"/>
      <c r="I224" s="177"/>
      <c r="J224" s="177"/>
      <c r="K224" s="177"/>
      <c r="L224" s="177"/>
      <c r="M224" s="177"/>
      <c r="N224" s="177"/>
    </row>
    <row r="225">
      <c r="A225" s="177"/>
      <c r="B225" s="177"/>
      <c r="C225" s="177"/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</row>
    <row r="226">
      <c r="A226" s="177"/>
      <c r="B226" s="177"/>
      <c r="C226" s="177"/>
      <c r="D226" s="177"/>
      <c r="E226" s="177"/>
      <c r="F226" s="177"/>
      <c r="G226" s="177"/>
      <c r="H226" s="177"/>
      <c r="I226" s="177"/>
      <c r="J226" s="177"/>
      <c r="K226" s="177"/>
      <c r="L226" s="177"/>
      <c r="M226" s="177"/>
      <c r="N226" s="177"/>
    </row>
    <row r="227">
      <c r="A227" s="177"/>
      <c r="B227" s="177"/>
      <c r="C227" s="177"/>
      <c r="D227" s="177"/>
      <c r="E227" s="177"/>
      <c r="F227" s="177"/>
      <c r="G227" s="177"/>
      <c r="H227" s="177"/>
      <c r="I227" s="177"/>
      <c r="J227" s="177"/>
      <c r="K227" s="177"/>
      <c r="L227" s="177"/>
      <c r="M227" s="177"/>
      <c r="N227" s="177"/>
    </row>
    <row r="228">
      <c r="A228" s="177"/>
      <c r="B228" s="177"/>
      <c r="C228" s="177"/>
      <c r="D228" s="177"/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</row>
    <row r="229">
      <c r="A229" s="177"/>
      <c r="B229" s="177"/>
      <c r="C229" s="177"/>
      <c r="D229" s="177"/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</row>
    <row r="230">
      <c r="A230" s="177"/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</row>
    <row r="231">
      <c r="A231" s="177"/>
      <c r="B231" s="177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</row>
    <row r="232">
      <c r="A232" s="177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</row>
    <row r="233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</row>
    <row r="234">
      <c r="A234" s="177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</row>
    <row r="235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</row>
    <row r="236">
      <c r="A236" s="177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</row>
    <row r="237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</row>
    <row r="238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</row>
    <row r="239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</row>
    <row r="240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</row>
    <row r="24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</row>
    <row r="242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</row>
    <row r="243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</row>
    <row r="244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</row>
    <row r="245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</row>
    <row r="246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</row>
    <row r="247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</row>
    <row r="248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</row>
    <row r="249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</row>
    <row r="250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</row>
    <row r="25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</row>
    <row r="252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</row>
    <row r="253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</row>
    <row r="254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</row>
    <row r="255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</row>
    <row r="256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</row>
    <row r="257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</row>
    <row r="258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</row>
    <row r="259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</row>
    <row r="260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</row>
    <row r="26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</row>
    <row r="262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</row>
    <row r="263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</row>
    <row r="264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</row>
    <row r="265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</row>
    <row r="266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</row>
    <row r="267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</row>
    <row r="268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</row>
    <row r="269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</row>
    <row r="270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</row>
    <row r="27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</row>
    <row r="272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</row>
    <row r="273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</row>
    <row r="274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</row>
    <row r="275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</row>
    <row r="276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</row>
    <row r="277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</row>
    <row r="278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</row>
    <row r="279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</row>
    <row r="280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</row>
    <row r="28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</row>
    <row r="282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</row>
    <row r="283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</row>
    <row r="284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</row>
    <row r="285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</row>
    <row r="286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</row>
    <row r="287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</row>
    <row r="288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</row>
    <row r="289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</row>
    <row r="290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</row>
    <row r="29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</row>
    <row r="292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</row>
    <row r="293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</row>
    <row r="294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</row>
    <row r="295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</row>
    <row r="296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</row>
    <row r="297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</row>
    <row r="298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</row>
    <row r="299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</row>
    <row r="300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</row>
    <row r="30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</row>
    <row r="302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</row>
    <row r="303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</row>
    <row r="304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</row>
    <row r="305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</row>
    <row r="306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</row>
    <row r="307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</row>
    <row r="308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</row>
    <row r="309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</row>
    <row r="310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</row>
    <row r="31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</row>
    <row r="312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</row>
    <row r="313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</row>
    <row r="314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</row>
    <row r="315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</row>
    <row r="316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</row>
    <row r="317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</row>
    <row r="318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</row>
    <row r="319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</row>
    <row r="320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</row>
    <row r="32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</row>
    <row r="322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</row>
    <row r="323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</row>
    <row r="324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</row>
    <row r="325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</row>
    <row r="326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</row>
    <row r="327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</row>
    <row r="328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</row>
    <row r="329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</row>
    <row r="330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</row>
    <row r="33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</row>
    <row r="332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</row>
    <row r="333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</row>
    <row r="334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</row>
    <row r="335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</row>
    <row r="336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</row>
    <row r="337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</row>
    <row r="338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</row>
    <row r="339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</row>
    <row r="340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</row>
    <row r="34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</row>
    <row r="342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</row>
    <row r="343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</row>
    <row r="344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</row>
    <row r="345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</row>
    <row r="346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</row>
    <row r="347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</row>
    <row r="348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</row>
    <row r="349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</row>
    <row r="350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</row>
    <row r="35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</row>
    <row r="352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</row>
    <row r="353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</row>
    <row r="354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</row>
    <row r="355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</row>
    <row r="356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</row>
    <row r="357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</row>
    <row r="358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</row>
    <row r="359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</row>
    <row r="360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</row>
    <row r="36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</row>
    <row r="362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</row>
    <row r="363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</row>
    <row r="364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</row>
    <row r="365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</row>
    <row r="366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</row>
    <row r="367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</row>
    <row r="368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</row>
    <row r="369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</row>
    <row r="370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</row>
    <row r="37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</row>
    <row r="372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</row>
    <row r="373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</row>
    <row r="374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</row>
    <row r="375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</row>
    <row r="376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</row>
    <row r="377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</row>
    <row r="378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</row>
    <row r="379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</row>
    <row r="380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</row>
    <row r="38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</row>
    <row r="382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</row>
    <row r="383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</row>
    <row r="384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</row>
    <row r="385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</row>
    <row r="386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</row>
    <row r="387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</row>
    <row r="388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</row>
    <row r="389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</row>
    <row r="390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</row>
    <row r="39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</row>
    <row r="392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</row>
    <row r="393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</row>
    <row r="394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</row>
    <row r="395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</row>
    <row r="396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</row>
    <row r="397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</row>
    <row r="398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</row>
    <row r="399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</row>
    <row r="400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</row>
    <row r="40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</row>
    <row r="402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</row>
    <row r="403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</row>
    <row r="404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</row>
    <row r="405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</row>
    <row r="406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</row>
    <row r="407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</row>
    <row r="408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</row>
    <row r="409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</row>
    <row r="410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</row>
    <row r="41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</row>
    <row r="412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</row>
    <row r="413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</row>
    <row r="414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</row>
    <row r="415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</row>
    <row r="416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</row>
    <row r="417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</row>
    <row r="418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</row>
    <row r="419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</row>
    <row r="420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</row>
    <row r="42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</row>
    <row r="422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</row>
    <row r="423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</row>
    <row r="424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</row>
    <row r="425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</row>
    <row r="426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</row>
    <row r="427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</row>
    <row r="428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</row>
    <row r="429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</row>
    <row r="430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</row>
    <row r="43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</row>
    <row r="432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</row>
    <row r="433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</row>
    <row r="434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</row>
    <row r="435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</row>
    <row r="436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</row>
    <row r="437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</row>
    <row r="438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</row>
    <row r="439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</row>
    <row r="440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</row>
    <row r="44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</row>
    <row r="442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</row>
    <row r="443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</row>
    <row r="444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</row>
    <row r="445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</row>
    <row r="446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</row>
    <row r="447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</row>
    <row r="448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</row>
    <row r="449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</row>
    <row r="450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</row>
    <row r="45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</row>
    <row r="452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</row>
    <row r="453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</row>
    <row r="454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</row>
    <row r="455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</row>
    <row r="456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</row>
    <row r="457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</row>
    <row r="458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</row>
    <row r="459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</row>
    <row r="460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</row>
    <row r="46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</row>
    <row r="462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</row>
    <row r="463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</row>
    <row r="464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</row>
    <row r="465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</row>
    <row r="466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</row>
    <row r="467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</row>
    <row r="468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</row>
    <row r="469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</row>
    <row r="470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</row>
    <row r="47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</row>
    <row r="472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</row>
    <row r="473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</row>
    <row r="474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</row>
    <row r="475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</row>
    <row r="476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</row>
    <row r="477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</row>
    <row r="478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</row>
    <row r="479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</row>
    <row r="480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</row>
    <row r="48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</row>
    <row r="482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</row>
    <row r="483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</row>
    <row r="484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</row>
    <row r="485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</row>
    <row r="486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</row>
    <row r="487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</row>
    <row r="488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</row>
    <row r="489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</row>
    <row r="490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</row>
    <row r="49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</row>
    <row r="492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</row>
    <row r="493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</row>
    <row r="494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</row>
    <row r="495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</row>
    <row r="496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</row>
    <row r="497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</row>
    <row r="498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</row>
    <row r="499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</row>
    <row r="500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</row>
    <row r="50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</row>
    <row r="502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</row>
    <row r="503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</row>
    <row r="504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</row>
    <row r="505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</row>
    <row r="506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</row>
    <row r="507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</row>
    <row r="508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</row>
    <row r="509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</row>
    <row r="510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</row>
    <row r="51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</row>
    <row r="512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</row>
    <row r="513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</row>
    <row r="514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</row>
    <row r="515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</row>
    <row r="516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</row>
    <row r="517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</row>
    <row r="518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</row>
    <row r="519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</row>
    <row r="520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</row>
    <row r="52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</row>
    <row r="522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</row>
    <row r="523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</row>
    <row r="524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</row>
    <row r="525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</row>
    <row r="526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</row>
    <row r="527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</row>
    <row r="528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</row>
    <row r="529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</row>
    <row r="530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</row>
    <row r="53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</row>
    <row r="532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</row>
    <row r="533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</row>
    <row r="534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</row>
    <row r="535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</row>
    <row r="536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</row>
    <row r="537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</row>
    <row r="538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</row>
    <row r="539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</row>
    <row r="540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</row>
    <row r="54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</row>
    <row r="542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</row>
    <row r="543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</row>
    <row r="544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</row>
    <row r="545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</row>
    <row r="546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</row>
    <row r="547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</row>
    <row r="548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</row>
    <row r="549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</row>
    <row r="550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</row>
    <row r="55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</row>
    <row r="552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</row>
    <row r="553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</row>
    <row r="554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</row>
    <row r="555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</row>
    <row r="556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</row>
    <row r="557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</row>
    <row r="558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</row>
    <row r="559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</row>
    <row r="560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</row>
    <row r="56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</row>
    <row r="562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</row>
    <row r="563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</row>
    <row r="564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</row>
    <row r="565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</row>
    <row r="566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</row>
    <row r="567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</row>
    <row r="568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</row>
    <row r="569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</row>
    <row r="570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</row>
    <row r="57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</row>
    <row r="572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</row>
    <row r="573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</row>
    <row r="574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</row>
    <row r="575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</row>
    <row r="576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</row>
    <row r="577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</row>
    <row r="578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</row>
    <row r="579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</row>
    <row r="580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</row>
    <row r="58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</row>
    <row r="582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</row>
    <row r="583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</row>
    <row r="584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</row>
    <row r="585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</row>
    <row r="586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</row>
    <row r="587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</row>
    <row r="588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</row>
    <row r="589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</row>
    <row r="590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</row>
    <row r="59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</row>
    <row r="592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</row>
    <row r="593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</row>
    <row r="594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</row>
    <row r="595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</row>
    <row r="596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</row>
    <row r="597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</row>
    <row r="598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</row>
    <row r="599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</row>
    <row r="600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</row>
    <row r="60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</row>
    <row r="602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</row>
    <row r="603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</row>
    <row r="604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</row>
    <row r="605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</row>
    <row r="606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</row>
    <row r="607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</row>
    <row r="608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</row>
    <row r="609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</row>
    <row r="610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</row>
    <row r="61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</row>
    <row r="612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</row>
    <row r="613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</row>
    <row r="614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</row>
    <row r="615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</row>
    <row r="616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</row>
    <row r="617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</row>
    <row r="618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</row>
    <row r="619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</row>
    <row r="620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</row>
    <row r="62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</row>
    <row r="622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</row>
    <row r="623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</row>
    <row r="624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</row>
    <row r="625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</row>
    <row r="626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</row>
    <row r="627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</row>
    <row r="628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</row>
    <row r="629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</row>
    <row r="630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</row>
    <row r="63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</row>
    <row r="632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</row>
    <row r="633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</row>
    <row r="634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</row>
    <row r="635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</row>
    <row r="636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</row>
    <row r="637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</row>
    <row r="638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</row>
    <row r="639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</row>
    <row r="640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</row>
    <row r="64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</row>
    <row r="642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</row>
    <row r="643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</row>
    <row r="644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</row>
    <row r="645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</row>
    <row r="646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</row>
    <row r="647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</row>
    <row r="648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</row>
    <row r="649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</row>
    <row r="650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</row>
    <row r="65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</row>
    <row r="652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</row>
    <row r="653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</row>
    <row r="654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</row>
    <row r="655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</row>
    <row r="656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</row>
    <row r="657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</row>
    <row r="658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</row>
    <row r="659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</row>
    <row r="660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</row>
    <row r="66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</row>
    <row r="662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</row>
    <row r="663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</row>
    <row r="664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</row>
    <row r="665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</row>
    <row r="666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</row>
    <row r="667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</row>
    <row r="668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</row>
    <row r="669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</row>
    <row r="670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</row>
    <row r="67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</row>
    <row r="672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</row>
    <row r="673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</row>
    <row r="674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</row>
    <row r="675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</row>
    <row r="676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</row>
    <row r="677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</row>
    <row r="678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</row>
    <row r="679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</row>
    <row r="680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</row>
    <row r="68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</row>
    <row r="682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</row>
    <row r="683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</row>
    <row r="684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</row>
    <row r="685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</row>
    <row r="686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</row>
    <row r="687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</row>
    <row r="688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</row>
    <row r="689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</row>
    <row r="690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</row>
    <row r="69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</row>
    <row r="692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</row>
    <row r="693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</row>
    <row r="694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</row>
    <row r="695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</row>
    <row r="696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</row>
    <row r="697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</row>
    <row r="698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</row>
    <row r="699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</row>
    <row r="700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</row>
    <row r="70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</row>
    <row r="702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</row>
    <row r="703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</row>
    <row r="704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</row>
    <row r="705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</row>
    <row r="706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</row>
    <row r="707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</row>
    <row r="708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</row>
    <row r="709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</row>
    <row r="710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</row>
    <row r="71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</row>
    <row r="712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</row>
    <row r="713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</row>
    <row r="714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</row>
    <row r="715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</row>
    <row r="716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</row>
    <row r="717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</row>
    <row r="718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</row>
    <row r="719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</row>
    <row r="720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</row>
    <row r="72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</row>
    <row r="722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</row>
    <row r="723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</row>
    <row r="724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</row>
    <row r="725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</row>
    <row r="726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</row>
    <row r="727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</row>
    <row r="728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</row>
    <row r="729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</row>
    <row r="730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</row>
    <row r="73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</row>
    <row r="732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</row>
    <row r="733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</row>
    <row r="734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</row>
    <row r="735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</row>
    <row r="736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</row>
    <row r="737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</row>
    <row r="738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</row>
    <row r="739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</row>
    <row r="740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</row>
    <row r="74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</row>
    <row r="742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</row>
    <row r="743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</row>
    <row r="744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</row>
    <row r="745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</row>
    <row r="746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</row>
    <row r="747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</row>
    <row r="748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</row>
    <row r="749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</row>
    <row r="750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</row>
    <row r="75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</row>
    <row r="752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</row>
    <row r="753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</row>
    <row r="754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</row>
    <row r="755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</row>
    <row r="756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</row>
    <row r="757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</row>
    <row r="758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</row>
    <row r="759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</row>
    <row r="760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</row>
    <row r="76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</row>
    <row r="762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</row>
    <row r="763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</row>
    <row r="764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</row>
    <row r="765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</row>
    <row r="766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</row>
    <row r="767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</row>
    <row r="768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</row>
    <row r="769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</row>
    <row r="770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</row>
    <row r="77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</row>
    <row r="772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</row>
    <row r="773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</row>
    <row r="774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</row>
    <row r="775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</row>
    <row r="776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</row>
    <row r="777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</row>
    <row r="778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</row>
    <row r="779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</row>
    <row r="780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</row>
    <row r="78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</row>
    <row r="782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</row>
    <row r="783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</row>
    <row r="784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</row>
    <row r="785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</row>
    <row r="786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</row>
    <row r="787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</row>
    <row r="788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</row>
    <row r="789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</row>
    <row r="790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</row>
    <row r="79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</row>
    <row r="792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</row>
    <row r="793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</row>
    <row r="794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</row>
    <row r="795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</row>
    <row r="796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</row>
    <row r="797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</row>
    <row r="798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</row>
    <row r="799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</row>
    <row r="800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</row>
    <row r="80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</row>
    <row r="802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</row>
    <row r="803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</row>
    <row r="804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</row>
    <row r="805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</row>
    <row r="806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</row>
    <row r="807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</row>
    <row r="808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</row>
    <row r="809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</row>
    <row r="810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</row>
    <row r="81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</row>
    <row r="812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</row>
    <row r="813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</row>
    <row r="814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</row>
    <row r="815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</row>
    <row r="816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</row>
    <row r="817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</row>
    <row r="818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</row>
    <row r="819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</row>
    <row r="820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</row>
    <row r="82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</row>
    <row r="822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</row>
    <row r="823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</row>
    <row r="824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</row>
    <row r="825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</row>
    <row r="826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</row>
    <row r="827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</row>
    <row r="828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</row>
    <row r="829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</row>
    <row r="830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</row>
    <row r="83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</row>
    <row r="832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</row>
    <row r="833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</row>
    <row r="834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</row>
    <row r="835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</row>
    <row r="836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</row>
    <row r="837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</row>
    <row r="838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</row>
    <row r="839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</row>
    <row r="840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</row>
    <row r="84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</row>
    <row r="842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</row>
    <row r="843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</row>
    <row r="844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</row>
    <row r="845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</row>
    <row r="846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</row>
    <row r="847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</row>
    <row r="848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</row>
    <row r="849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</row>
    <row r="850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</row>
    <row r="85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</row>
    <row r="852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</row>
    <row r="853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</row>
    <row r="854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</row>
    <row r="855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</row>
    <row r="856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</row>
    <row r="857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</row>
    <row r="858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</row>
    <row r="859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</row>
    <row r="860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</row>
    <row r="86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</row>
    <row r="862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</row>
    <row r="863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</row>
    <row r="864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</row>
    <row r="865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</row>
    <row r="866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</row>
    <row r="867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</row>
    <row r="868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</row>
    <row r="869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</row>
    <row r="870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</row>
    <row r="87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</row>
    <row r="872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</row>
    <row r="873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</row>
    <row r="874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</row>
    <row r="875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</row>
    <row r="876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</row>
    <row r="877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</row>
    <row r="878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</row>
    <row r="879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</row>
    <row r="880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</row>
    <row r="88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</row>
    <row r="882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</row>
    <row r="883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</row>
    <row r="884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</row>
    <row r="885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</row>
    <row r="886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</row>
    <row r="887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</row>
    <row r="888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</row>
    <row r="889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</row>
    <row r="890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</row>
    <row r="89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</row>
    <row r="892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</row>
    <row r="893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</row>
    <row r="894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</row>
    <row r="895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</row>
    <row r="896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</row>
    <row r="897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</row>
    <row r="898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</row>
    <row r="899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</row>
    <row r="900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</row>
    <row r="90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</row>
    <row r="902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</row>
    <row r="903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</row>
    <row r="904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</row>
    <row r="905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</row>
    <row r="906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</row>
    <row r="907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</row>
    <row r="908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</row>
    <row r="909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</row>
    <row r="910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</row>
    <row r="91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</row>
    <row r="912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</row>
    <row r="913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</row>
    <row r="914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</row>
    <row r="915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</row>
    <row r="916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</row>
    <row r="917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</row>
    <row r="918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</row>
    <row r="919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</row>
    <row r="920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</row>
    <row r="92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</row>
    <row r="922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</row>
    <row r="923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</row>
    <row r="924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</row>
    <row r="925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</row>
    <row r="926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</row>
    <row r="927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</row>
    <row r="928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</row>
    <row r="929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</row>
    <row r="930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</row>
    <row r="93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</row>
    <row r="932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</row>
    <row r="933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</row>
    <row r="934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</row>
    <row r="935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</row>
    <row r="936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</row>
    <row r="937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</row>
    <row r="938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</row>
    <row r="939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</row>
    <row r="940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</row>
    <row r="94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</row>
    <row r="942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</row>
    <row r="943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</row>
    <row r="944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</row>
    <row r="945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</row>
    <row r="946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</row>
    <row r="947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</row>
    <row r="948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</row>
    <row r="949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</row>
    <row r="950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</row>
    <row r="95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</row>
    <row r="952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</row>
    <row r="953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</row>
    <row r="954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</row>
    <row r="955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</row>
    <row r="956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</row>
    <row r="957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</row>
    <row r="958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</row>
    <row r="959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</row>
    <row r="960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</row>
    <row r="96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</row>
    <row r="962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</row>
    <row r="963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</row>
    <row r="964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</row>
    <row r="965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</row>
    <row r="966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</row>
    <row r="967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</row>
    <row r="968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</row>
    <row r="969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</row>
    <row r="970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</row>
    <row r="97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</row>
    <row r="972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</row>
    <row r="973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</row>
    <row r="974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</row>
    <row r="975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</row>
    <row r="976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</row>
    <row r="977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</row>
    <row r="978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</row>
    <row r="979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</row>
    <row r="980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</row>
    <row r="98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</row>
    <row r="982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</row>
    <row r="983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</row>
    <row r="984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</row>
    <row r="985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</row>
    <row r="986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</row>
    <row r="987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</row>
    <row r="988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</row>
    <row r="989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</row>
    <row r="990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</row>
    <row r="99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</row>
    <row r="992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</row>
    <row r="993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</row>
    <row r="994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</row>
    <row r="995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</row>
    <row r="996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</row>
    <row r="997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</row>
    <row r="998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</row>
    <row r="999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</row>
    <row r="1000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177"/>
      <c r="N1000" s="177"/>
    </row>
    <row r="1001">
      <c r="A1001" s="177"/>
      <c r="B1001" s="177"/>
      <c r="C1001" s="177"/>
      <c r="D1001" s="177"/>
      <c r="E1001" s="177"/>
      <c r="F1001" s="177"/>
      <c r="G1001" s="177"/>
      <c r="H1001" s="177"/>
      <c r="I1001" s="177"/>
      <c r="J1001" s="177"/>
      <c r="K1001" s="177"/>
      <c r="L1001" s="177"/>
      <c r="M1001" s="177"/>
      <c r="N1001" s="177"/>
    </row>
    <row r="1002">
      <c r="A1002" s="177"/>
      <c r="B1002" s="177"/>
      <c r="C1002" s="177"/>
      <c r="D1002" s="177"/>
      <c r="E1002" s="177"/>
      <c r="F1002" s="177"/>
      <c r="G1002" s="177"/>
      <c r="H1002" s="177"/>
      <c r="I1002" s="177"/>
      <c r="J1002" s="177"/>
      <c r="K1002" s="177"/>
      <c r="L1002" s="177"/>
      <c r="M1002" s="177"/>
      <c r="N1002" s="177"/>
    </row>
    <row r="1003">
      <c r="A1003" s="177"/>
      <c r="B1003" s="177"/>
      <c r="C1003" s="177"/>
      <c r="D1003" s="177"/>
      <c r="E1003" s="177"/>
      <c r="F1003" s="177"/>
      <c r="G1003" s="177"/>
      <c r="H1003" s="177"/>
      <c r="I1003" s="177"/>
      <c r="J1003" s="177"/>
      <c r="K1003" s="177"/>
      <c r="L1003" s="177"/>
      <c r="M1003" s="177"/>
      <c r="N1003" s="177"/>
    </row>
    <row r="1004">
      <c r="A1004" s="177"/>
      <c r="B1004" s="177"/>
      <c r="C1004" s="177"/>
      <c r="D1004" s="177"/>
      <c r="E1004" s="177"/>
      <c r="F1004" s="177"/>
      <c r="G1004" s="177"/>
      <c r="H1004" s="177"/>
      <c r="I1004" s="177"/>
      <c r="J1004" s="177"/>
      <c r="K1004" s="177"/>
      <c r="L1004" s="177"/>
      <c r="M1004" s="177"/>
      <c r="N1004" s="177"/>
    </row>
    <row r="1005">
      <c r="A1005" s="177"/>
      <c r="B1005" s="177"/>
      <c r="C1005" s="177"/>
      <c r="D1005" s="177"/>
      <c r="E1005" s="177"/>
      <c r="F1005" s="177"/>
      <c r="G1005" s="177"/>
      <c r="H1005" s="177"/>
      <c r="I1005" s="177"/>
      <c r="J1005" s="177"/>
      <c r="K1005" s="177"/>
      <c r="L1005" s="177"/>
      <c r="M1005" s="177"/>
      <c r="N1005" s="177"/>
    </row>
    <row r="1006">
      <c r="A1006" s="177"/>
      <c r="B1006" s="177"/>
      <c r="C1006" s="177"/>
      <c r="D1006" s="177"/>
      <c r="E1006" s="177"/>
      <c r="F1006" s="177"/>
      <c r="G1006" s="177"/>
      <c r="H1006" s="177"/>
      <c r="I1006" s="177"/>
      <c r="J1006" s="177"/>
      <c r="K1006" s="177"/>
      <c r="L1006" s="177"/>
      <c r="M1006" s="177"/>
      <c r="N1006" s="177"/>
    </row>
    <row r="1007">
      <c r="A1007" s="177"/>
      <c r="B1007" s="177"/>
      <c r="C1007" s="177"/>
      <c r="D1007" s="177"/>
      <c r="E1007" s="177"/>
      <c r="F1007" s="177"/>
      <c r="G1007" s="177"/>
      <c r="H1007" s="177"/>
      <c r="I1007" s="177"/>
      <c r="J1007" s="177"/>
      <c r="K1007" s="177"/>
      <c r="L1007" s="177"/>
      <c r="M1007" s="177"/>
      <c r="N1007" s="177"/>
    </row>
  </sheetData>
  <conditionalFormatting sqref="C63:N63">
    <cfRule type="cellIs" dxfId="0" priority="1" operator="greaterThan">
      <formula>0</formula>
    </cfRule>
  </conditionalFormatting>
  <conditionalFormatting sqref="C63:N63">
    <cfRule type="cellIs" dxfId="1" priority="2" operator="lessThan">
      <formula>0</formula>
    </cfRule>
  </conditionalFormatting>
  <conditionalFormatting sqref="C26:N26">
    <cfRule type="cellIs" dxfId="2" priority="3" operator="lessThanOrEqual">
      <formula>"50%"</formula>
    </cfRule>
  </conditionalFormatting>
  <conditionalFormatting sqref="C26:N26">
    <cfRule type="cellIs" dxfId="3" priority="4" operator="greaterThanOrEqual">
      <formula>"50%"</formula>
    </cfRule>
  </conditionalFormatting>
  <conditionalFormatting sqref="C42:N42">
    <cfRule type="cellIs" dxfId="2" priority="5" operator="lessThanOrEqual">
      <formula>"30%"</formula>
    </cfRule>
  </conditionalFormatting>
  <conditionalFormatting sqref="C42:N42">
    <cfRule type="cellIs" dxfId="3" priority="6" operator="greaterThanOrEqual">
      <formula>"30%"</formula>
    </cfRule>
  </conditionalFormatting>
  <conditionalFormatting sqref="C59:N59">
    <cfRule type="cellIs" dxfId="3" priority="7" operator="greaterThan">
      <formula>"20%"</formula>
    </cfRule>
  </conditionalFormatting>
  <conditionalFormatting sqref="C59:N59">
    <cfRule type="cellIs" dxfId="20" priority="8" operator="lessThanOrEqual">
      <formula>"20%"</formula>
    </cfRule>
  </conditionalFormatting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9.38"/>
    <col customWidth="1" min="2" max="2" width="32.75"/>
  </cols>
  <sheetData>
    <row r="1" ht="20.25" customHeight="1">
      <c r="A1" s="123" t="s">
        <v>94</v>
      </c>
      <c r="B1" s="123"/>
      <c r="C1" s="1175" t="s">
        <v>131</v>
      </c>
      <c r="D1" s="1175" t="s">
        <v>132</v>
      </c>
      <c r="E1" s="1175" t="s">
        <v>133</v>
      </c>
      <c r="F1" s="1175" t="s">
        <v>134</v>
      </c>
      <c r="G1" s="1175" t="s">
        <v>135</v>
      </c>
      <c r="H1" s="1175" t="s">
        <v>136</v>
      </c>
      <c r="I1" s="1175" t="s">
        <v>137</v>
      </c>
      <c r="J1" s="1175" t="s">
        <v>138</v>
      </c>
      <c r="K1" s="1175" t="s">
        <v>139</v>
      </c>
      <c r="L1" s="1175" t="s">
        <v>140</v>
      </c>
      <c r="M1" s="1175" t="s">
        <v>141</v>
      </c>
      <c r="N1" s="1175" t="s">
        <v>1073</v>
      </c>
    </row>
    <row r="2">
      <c r="A2" s="132" t="s">
        <v>195</v>
      </c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</row>
    <row r="3">
      <c r="A3" s="136" t="s">
        <v>196</v>
      </c>
      <c r="B3" s="1177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</row>
    <row r="4">
      <c r="B4" s="1177" t="s">
        <v>1049</v>
      </c>
      <c r="C4" s="145">
        <f t="shared" ref="C4:N4" si="1">250000/12</f>
        <v>20833.33333</v>
      </c>
      <c r="D4" s="145">
        <f t="shared" si="1"/>
        <v>20833.33333</v>
      </c>
      <c r="E4" s="145">
        <f t="shared" si="1"/>
        <v>20833.33333</v>
      </c>
      <c r="F4" s="145">
        <f t="shared" si="1"/>
        <v>20833.33333</v>
      </c>
      <c r="G4" s="145">
        <f t="shared" si="1"/>
        <v>20833.33333</v>
      </c>
      <c r="H4" s="145">
        <f t="shared" si="1"/>
        <v>20833.33333</v>
      </c>
      <c r="I4" s="145">
        <f t="shared" si="1"/>
        <v>20833.33333</v>
      </c>
      <c r="J4" s="145">
        <f t="shared" si="1"/>
        <v>20833.33333</v>
      </c>
      <c r="K4" s="145">
        <f t="shared" si="1"/>
        <v>20833.33333</v>
      </c>
      <c r="L4" s="145">
        <f t="shared" si="1"/>
        <v>20833.33333</v>
      </c>
      <c r="M4" s="145">
        <f t="shared" si="1"/>
        <v>20833.33333</v>
      </c>
      <c r="N4" s="145">
        <f t="shared" si="1"/>
        <v>20833.33333</v>
      </c>
    </row>
    <row r="5">
      <c r="A5" s="136" t="s">
        <v>199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</row>
    <row r="6" ht="15.0" customHeight="1">
      <c r="B6" s="1179" t="s">
        <v>1050</v>
      </c>
      <c r="C6" s="690">
        <v>5000.0</v>
      </c>
      <c r="D6" s="690">
        <f t="shared" ref="D6:N6" si="2">C6+C6*0.1</f>
        <v>5500</v>
      </c>
      <c r="E6" s="690">
        <f t="shared" si="2"/>
        <v>6050</v>
      </c>
      <c r="F6" s="690">
        <f t="shared" si="2"/>
        <v>6655</v>
      </c>
      <c r="G6" s="690">
        <f t="shared" si="2"/>
        <v>7320.5</v>
      </c>
      <c r="H6" s="690">
        <f t="shared" si="2"/>
        <v>8052.55</v>
      </c>
      <c r="I6" s="690">
        <f t="shared" si="2"/>
        <v>8857.805</v>
      </c>
      <c r="J6" s="690">
        <f t="shared" si="2"/>
        <v>9743.5855</v>
      </c>
      <c r="K6" s="690">
        <f t="shared" si="2"/>
        <v>10717.94405</v>
      </c>
      <c r="L6" s="690">
        <f t="shared" si="2"/>
        <v>11789.73846</v>
      </c>
      <c r="M6" s="690">
        <f t="shared" si="2"/>
        <v>12968.7123</v>
      </c>
      <c r="N6" s="690">
        <f t="shared" si="2"/>
        <v>14265.58353</v>
      </c>
    </row>
    <row r="7">
      <c r="B7" s="1179" t="s">
        <v>1051</v>
      </c>
      <c r="C7" s="145">
        <v>0.0</v>
      </c>
      <c r="D7" s="145">
        <v>0.0</v>
      </c>
      <c r="E7" s="145">
        <v>0.0</v>
      </c>
      <c r="F7" s="145">
        <v>0.0</v>
      </c>
      <c r="G7" s="145">
        <v>0.0</v>
      </c>
      <c r="H7" s="145">
        <v>0.0</v>
      </c>
      <c r="I7" s="145">
        <v>0.0</v>
      </c>
      <c r="J7" s="145">
        <v>0.0</v>
      </c>
      <c r="K7" s="145">
        <v>0.0</v>
      </c>
      <c r="L7" s="145">
        <v>0.0</v>
      </c>
      <c r="M7" s="145">
        <v>0.0</v>
      </c>
      <c r="N7" s="145">
        <v>0.0</v>
      </c>
    </row>
    <row r="8">
      <c r="A8" s="167"/>
      <c r="B8" s="1208" t="s">
        <v>1052</v>
      </c>
      <c r="C8" s="232">
        <v>0.0</v>
      </c>
      <c r="D8" s="232">
        <v>0.0</v>
      </c>
      <c r="E8" s="232">
        <v>0.0</v>
      </c>
      <c r="F8" s="232">
        <v>0.0</v>
      </c>
      <c r="G8" s="232">
        <v>0.0</v>
      </c>
      <c r="H8" s="232">
        <v>0.0</v>
      </c>
      <c r="I8" s="232">
        <v>0.0</v>
      </c>
      <c r="J8" s="232">
        <v>0.0</v>
      </c>
      <c r="K8" s="232">
        <v>0.0</v>
      </c>
      <c r="L8" s="232">
        <v>0.0</v>
      </c>
      <c r="M8" s="232">
        <v>0.0</v>
      </c>
      <c r="N8" s="232">
        <v>0.0</v>
      </c>
    </row>
    <row r="9">
      <c r="A9" s="172" t="s">
        <v>203</v>
      </c>
      <c r="B9" s="172"/>
      <c r="C9" s="173">
        <f t="shared" ref="C9:N9" si="3">sum(C3:C8)</f>
        <v>25833.33333</v>
      </c>
      <c r="D9" s="173">
        <f t="shared" si="3"/>
        <v>26333.33333</v>
      </c>
      <c r="E9" s="173">
        <f t="shared" si="3"/>
        <v>26883.33333</v>
      </c>
      <c r="F9" s="173">
        <f t="shared" si="3"/>
        <v>27488.33333</v>
      </c>
      <c r="G9" s="173">
        <f t="shared" si="3"/>
        <v>28153.83333</v>
      </c>
      <c r="H9" s="173">
        <f t="shared" si="3"/>
        <v>28885.88333</v>
      </c>
      <c r="I9" s="173">
        <f t="shared" si="3"/>
        <v>29691.13833</v>
      </c>
      <c r="J9" s="173">
        <f t="shared" si="3"/>
        <v>30576.91883</v>
      </c>
      <c r="K9" s="173">
        <f t="shared" si="3"/>
        <v>31551.27738</v>
      </c>
      <c r="L9" s="173">
        <f t="shared" si="3"/>
        <v>32623.07179</v>
      </c>
      <c r="M9" s="173">
        <f t="shared" si="3"/>
        <v>33802.04563</v>
      </c>
      <c r="N9" s="173">
        <f t="shared" si="3"/>
        <v>35098.91686</v>
      </c>
    </row>
    <row r="10">
      <c r="A10" s="172" t="s">
        <v>999</v>
      </c>
      <c r="B10" s="172"/>
      <c r="C10" s="137">
        <f t="shared" ref="C10:N10" si="4">C4*0.4+C6*0.34+C7*0.4</f>
        <v>10033.33333</v>
      </c>
      <c r="D10" s="137">
        <f t="shared" si="4"/>
        <v>10203.33333</v>
      </c>
      <c r="E10" s="137">
        <f t="shared" si="4"/>
        <v>10390.33333</v>
      </c>
      <c r="F10" s="137">
        <f t="shared" si="4"/>
        <v>10596.03333</v>
      </c>
      <c r="G10" s="137">
        <f t="shared" si="4"/>
        <v>10822.30333</v>
      </c>
      <c r="H10" s="137">
        <f t="shared" si="4"/>
        <v>11071.20033</v>
      </c>
      <c r="I10" s="137">
        <f t="shared" si="4"/>
        <v>11344.98703</v>
      </c>
      <c r="J10" s="137">
        <f t="shared" si="4"/>
        <v>11646.1524</v>
      </c>
      <c r="K10" s="137">
        <f t="shared" si="4"/>
        <v>11977.43431</v>
      </c>
      <c r="L10" s="137">
        <f t="shared" si="4"/>
        <v>12341.84441</v>
      </c>
      <c r="M10" s="137">
        <f t="shared" si="4"/>
        <v>12742.69552</v>
      </c>
      <c r="N10" s="137">
        <f t="shared" si="4"/>
        <v>13183.63173</v>
      </c>
    </row>
    <row r="11">
      <c r="A11" s="172" t="s">
        <v>1000</v>
      </c>
      <c r="B11" s="172"/>
      <c r="C11" s="137">
        <f t="shared" ref="C11:N11" si="5">C4*0.05</f>
        <v>1041.666667</v>
      </c>
      <c r="D11" s="137">
        <f t="shared" si="5"/>
        <v>1041.666667</v>
      </c>
      <c r="E11" s="137">
        <f t="shared" si="5"/>
        <v>1041.666667</v>
      </c>
      <c r="F11" s="137">
        <f t="shared" si="5"/>
        <v>1041.666667</v>
      </c>
      <c r="G11" s="137">
        <f t="shared" si="5"/>
        <v>1041.666667</v>
      </c>
      <c r="H11" s="137">
        <f t="shared" si="5"/>
        <v>1041.666667</v>
      </c>
      <c r="I11" s="137">
        <f t="shared" si="5"/>
        <v>1041.666667</v>
      </c>
      <c r="J11" s="137">
        <f t="shared" si="5"/>
        <v>1041.666667</v>
      </c>
      <c r="K11" s="137">
        <f t="shared" si="5"/>
        <v>1041.666667</v>
      </c>
      <c r="L11" s="137">
        <f t="shared" si="5"/>
        <v>1041.666667</v>
      </c>
      <c r="M11" s="137">
        <f t="shared" si="5"/>
        <v>1041.666667</v>
      </c>
      <c r="N11" s="137">
        <f t="shared" si="5"/>
        <v>1041.666667</v>
      </c>
    </row>
    <row r="12">
      <c r="A12" s="176" t="s">
        <v>206</v>
      </c>
      <c r="B12" s="176"/>
      <c r="C12" s="179">
        <f t="shared" ref="C12:N12" si="6">C9-C10-C11</f>
        <v>14758.33333</v>
      </c>
      <c r="D12" s="179">
        <f t="shared" si="6"/>
        <v>15088.33333</v>
      </c>
      <c r="E12" s="179">
        <f t="shared" si="6"/>
        <v>15451.33333</v>
      </c>
      <c r="F12" s="179">
        <f t="shared" si="6"/>
        <v>15850.63333</v>
      </c>
      <c r="G12" s="179">
        <f t="shared" si="6"/>
        <v>16289.86333</v>
      </c>
      <c r="H12" s="179">
        <f t="shared" si="6"/>
        <v>16773.01633</v>
      </c>
      <c r="I12" s="179">
        <f t="shared" si="6"/>
        <v>17304.48463</v>
      </c>
      <c r="J12" s="179">
        <f t="shared" si="6"/>
        <v>17889.09976</v>
      </c>
      <c r="K12" s="179">
        <f t="shared" si="6"/>
        <v>18532.17641</v>
      </c>
      <c r="L12" s="179">
        <f t="shared" si="6"/>
        <v>19239.56071</v>
      </c>
      <c r="M12" s="179">
        <f t="shared" si="6"/>
        <v>20017.68345</v>
      </c>
      <c r="N12" s="179">
        <f t="shared" si="6"/>
        <v>20873.61846</v>
      </c>
    </row>
    <row r="13">
      <c r="A13" s="182"/>
      <c r="B13" s="182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</row>
    <row r="14">
      <c r="A14" s="187" t="s">
        <v>1001</v>
      </c>
      <c r="B14" s="187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</row>
    <row r="15">
      <c r="A15" s="136" t="s">
        <v>1002</v>
      </c>
      <c r="B15" s="136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</row>
    <row r="16">
      <c r="A16" s="1121" t="s">
        <v>209</v>
      </c>
      <c r="B16" s="144" t="s">
        <v>210</v>
      </c>
      <c r="C16" s="137">
        <v>4000.0</v>
      </c>
      <c r="D16" s="137">
        <v>4000.0</v>
      </c>
      <c r="E16" s="137">
        <v>4000.0</v>
      </c>
      <c r="F16" s="137">
        <v>4000.0</v>
      </c>
      <c r="G16" s="137">
        <v>4000.0</v>
      </c>
      <c r="H16" s="137">
        <v>4000.0</v>
      </c>
      <c r="I16" s="137">
        <v>4000.0</v>
      </c>
      <c r="J16" s="137">
        <v>4000.0</v>
      </c>
      <c r="K16" s="137">
        <v>4000.0</v>
      </c>
      <c r="L16" s="137">
        <v>4000.0</v>
      </c>
      <c r="M16" s="137">
        <v>4000.0</v>
      </c>
      <c r="N16" s="137">
        <v>4000.0</v>
      </c>
    </row>
    <row r="17">
      <c r="A17" s="1121"/>
      <c r="B17" s="144" t="s">
        <v>1068</v>
      </c>
      <c r="C17" s="137">
        <v>0.0</v>
      </c>
      <c r="D17" s="137">
        <v>0.0</v>
      </c>
      <c r="E17" s="137">
        <v>0.0</v>
      </c>
      <c r="F17" s="137">
        <v>0.0</v>
      </c>
      <c r="G17" s="137">
        <v>0.0</v>
      </c>
      <c r="H17" s="137">
        <v>0.0</v>
      </c>
      <c r="I17" s="137">
        <v>0.0</v>
      </c>
      <c r="J17" s="137">
        <v>0.0</v>
      </c>
      <c r="K17" s="137">
        <v>0.0</v>
      </c>
      <c r="L17" s="137">
        <v>0.0</v>
      </c>
      <c r="M17" s="137">
        <v>0.0</v>
      </c>
      <c r="N17" s="137">
        <v>0.0</v>
      </c>
    </row>
    <row r="18">
      <c r="B18" s="144" t="s">
        <v>568</v>
      </c>
      <c r="C18" s="145">
        <v>20.0</v>
      </c>
      <c r="D18" s="145">
        <v>20.0</v>
      </c>
      <c r="E18" s="145">
        <v>20.0</v>
      </c>
      <c r="F18" s="145">
        <v>20.0</v>
      </c>
      <c r="G18" s="145">
        <v>20.0</v>
      </c>
      <c r="H18" s="145">
        <v>20.0</v>
      </c>
      <c r="I18" s="145">
        <v>20.0</v>
      </c>
      <c r="J18" s="145">
        <v>20.0</v>
      </c>
      <c r="K18" s="145">
        <v>20.0</v>
      </c>
      <c r="L18" s="145">
        <v>20.0</v>
      </c>
      <c r="M18" s="145">
        <v>20.0</v>
      </c>
      <c r="N18" s="145">
        <v>20.0</v>
      </c>
    </row>
    <row r="19">
      <c r="B19" s="144" t="s">
        <v>363</v>
      </c>
      <c r="C19" s="137">
        <v>100.0</v>
      </c>
      <c r="D19" s="137">
        <v>100.0</v>
      </c>
      <c r="E19" s="137">
        <v>100.0</v>
      </c>
      <c r="F19" s="137">
        <v>100.0</v>
      </c>
      <c r="G19" s="137">
        <v>100.0</v>
      </c>
      <c r="H19" s="137">
        <v>100.0</v>
      </c>
      <c r="I19" s="137">
        <v>100.0</v>
      </c>
      <c r="J19" s="137">
        <v>100.0</v>
      </c>
      <c r="K19" s="137">
        <v>100.0</v>
      </c>
      <c r="L19" s="137">
        <v>100.0</v>
      </c>
      <c r="M19" s="137">
        <v>100.0</v>
      </c>
      <c r="N19" s="137">
        <v>100.0</v>
      </c>
    </row>
    <row r="20">
      <c r="B20" s="144" t="s">
        <v>212</v>
      </c>
      <c r="C20" s="145">
        <f t="shared" ref="C20:N20" si="7">62.95/2</f>
        <v>31.475</v>
      </c>
      <c r="D20" s="145">
        <f t="shared" si="7"/>
        <v>31.475</v>
      </c>
      <c r="E20" s="145">
        <f t="shared" si="7"/>
        <v>31.475</v>
      </c>
      <c r="F20" s="145">
        <f t="shared" si="7"/>
        <v>31.475</v>
      </c>
      <c r="G20" s="145">
        <f t="shared" si="7"/>
        <v>31.475</v>
      </c>
      <c r="H20" s="145">
        <f t="shared" si="7"/>
        <v>31.475</v>
      </c>
      <c r="I20" s="145">
        <f t="shared" si="7"/>
        <v>31.475</v>
      </c>
      <c r="J20" s="145">
        <f t="shared" si="7"/>
        <v>31.475</v>
      </c>
      <c r="K20" s="145">
        <f t="shared" si="7"/>
        <v>31.475</v>
      </c>
      <c r="L20" s="145">
        <f t="shared" si="7"/>
        <v>31.475</v>
      </c>
      <c r="M20" s="145">
        <f t="shared" si="7"/>
        <v>31.475</v>
      </c>
      <c r="N20" s="145">
        <f t="shared" si="7"/>
        <v>31.475</v>
      </c>
    </row>
    <row r="21">
      <c r="B21" s="144" t="s">
        <v>22</v>
      </c>
      <c r="C21" s="137">
        <v>300.0</v>
      </c>
      <c r="D21" s="137">
        <v>300.0</v>
      </c>
      <c r="E21" s="137">
        <v>300.0</v>
      </c>
      <c r="F21" s="137">
        <v>300.0</v>
      </c>
      <c r="G21" s="137">
        <v>300.0</v>
      </c>
      <c r="H21" s="137">
        <v>300.0</v>
      </c>
      <c r="I21" s="137">
        <v>300.0</v>
      </c>
      <c r="J21" s="137">
        <v>300.0</v>
      </c>
      <c r="K21" s="137">
        <v>300.0</v>
      </c>
      <c r="L21" s="137">
        <v>300.0</v>
      </c>
      <c r="M21" s="137">
        <v>300.0</v>
      </c>
      <c r="N21" s="137">
        <v>300.0</v>
      </c>
    </row>
    <row r="22">
      <c r="A22" s="1121" t="s">
        <v>213</v>
      </c>
      <c r="B22" s="144" t="s">
        <v>1003</v>
      </c>
      <c r="C22" s="145">
        <v>100.0</v>
      </c>
      <c r="D22" s="145">
        <v>100.0</v>
      </c>
      <c r="E22" s="145">
        <v>100.0</v>
      </c>
      <c r="F22" s="145">
        <v>100.0</v>
      </c>
      <c r="G22" s="145">
        <v>100.0</v>
      </c>
      <c r="H22" s="145">
        <v>100.0</v>
      </c>
      <c r="I22" s="145">
        <v>100.0</v>
      </c>
      <c r="J22" s="145">
        <v>100.0</v>
      </c>
      <c r="K22" s="145">
        <v>100.0</v>
      </c>
      <c r="L22" s="145">
        <v>100.0</v>
      </c>
      <c r="M22" s="145">
        <v>100.0</v>
      </c>
      <c r="N22" s="145">
        <v>100.0</v>
      </c>
    </row>
    <row r="23">
      <c r="A23" s="1121" t="s">
        <v>215</v>
      </c>
      <c r="B23" s="144" t="s">
        <v>215</v>
      </c>
      <c r="C23" s="137">
        <v>800.0</v>
      </c>
      <c r="D23" s="137">
        <v>800.0</v>
      </c>
      <c r="E23" s="137">
        <v>800.0</v>
      </c>
      <c r="F23" s="137">
        <v>800.0</v>
      </c>
      <c r="G23" s="137">
        <v>800.0</v>
      </c>
      <c r="H23" s="137">
        <v>800.0</v>
      </c>
      <c r="I23" s="137">
        <v>800.0</v>
      </c>
      <c r="J23" s="137">
        <v>800.0</v>
      </c>
      <c r="K23" s="137">
        <v>800.0</v>
      </c>
      <c r="L23" s="137">
        <v>800.0</v>
      </c>
      <c r="M23" s="137">
        <v>800.0</v>
      </c>
      <c r="N23" s="137">
        <v>800.0</v>
      </c>
    </row>
    <row r="24">
      <c r="A24" s="1121" t="s">
        <v>216</v>
      </c>
      <c r="B24" s="144" t="s">
        <v>217</v>
      </c>
      <c r="C24" s="137">
        <v>200.0</v>
      </c>
      <c r="D24" s="137">
        <v>200.0</v>
      </c>
      <c r="E24" s="137">
        <v>200.0</v>
      </c>
      <c r="F24" s="137">
        <v>200.0</v>
      </c>
      <c r="G24" s="137">
        <v>200.0</v>
      </c>
      <c r="H24" s="137">
        <v>200.0</v>
      </c>
      <c r="I24" s="137">
        <v>200.0</v>
      </c>
      <c r="J24" s="137">
        <v>200.0</v>
      </c>
      <c r="K24" s="137">
        <v>200.0</v>
      </c>
      <c r="L24" s="137">
        <v>200.0</v>
      </c>
      <c r="M24" s="137">
        <v>200.0</v>
      </c>
      <c r="N24" s="137">
        <v>200.0</v>
      </c>
    </row>
    <row r="25">
      <c r="B25" s="144" t="s">
        <v>1004</v>
      </c>
      <c r="C25" s="137">
        <f t="shared" ref="C25:N25" si="8">8*5*4</f>
        <v>160</v>
      </c>
      <c r="D25" s="137">
        <f t="shared" si="8"/>
        <v>160</v>
      </c>
      <c r="E25" s="137">
        <f t="shared" si="8"/>
        <v>160</v>
      </c>
      <c r="F25" s="137">
        <f t="shared" si="8"/>
        <v>160</v>
      </c>
      <c r="G25" s="137">
        <f t="shared" si="8"/>
        <v>160</v>
      </c>
      <c r="H25" s="137">
        <f t="shared" si="8"/>
        <v>160</v>
      </c>
      <c r="I25" s="137">
        <f t="shared" si="8"/>
        <v>160</v>
      </c>
      <c r="J25" s="137">
        <f t="shared" si="8"/>
        <v>160</v>
      </c>
      <c r="K25" s="137">
        <f t="shared" si="8"/>
        <v>160</v>
      </c>
      <c r="L25" s="137">
        <f t="shared" si="8"/>
        <v>160</v>
      </c>
      <c r="M25" s="137">
        <f t="shared" si="8"/>
        <v>160</v>
      </c>
      <c r="N25" s="137">
        <f t="shared" si="8"/>
        <v>160</v>
      </c>
    </row>
    <row r="26">
      <c r="A26" s="1121"/>
      <c r="B26" s="144"/>
      <c r="C26" s="196">
        <f t="shared" ref="C26:N26" si="9">sum(C16:C25)/C12</f>
        <v>0.387</v>
      </c>
      <c r="D26" s="196">
        <f t="shared" si="9"/>
        <v>0.3785358445</v>
      </c>
      <c r="E26" s="196">
        <f t="shared" si="9"/>
        <v>0.3696428571</v>
      </c>
      <c r="F26" s="196">
        <f t="shared" si="9"/>
        <v>0.3603310278</v>
      </c>
      <c r="G26" s="196">
        <f t="shared" si="9"/>
        <v>0.3506152804</v>
      </c>
      <c r="H26" s="196">
        <f t="shared" si="9"/>
        <v>0.3405156763</v>
      </c>
      <c r="I26" s="196">
        <f t="shared" si="9"/>
        <v>0.3300575036</v>
      </c>
      <c r="J26" s="196">
        <f t="shared" si="9"/>
        <v>0.3192712364</v>
      </c>
      <c r="K26" s="196">
        <f t="shared" si="9"/>
        <v>0.3081923501</v>
      </c>
      <c r="L26" s="196">
        <f t="shared" si="9"/>
        <v>0.2968609879</v>
      </c>
      <c r="M26" s="196">
        <f t="shared" si="9"/>
        <v>0.2853214766</v>
      </c>
      <c r="N26" s="196">
        <f t="shared" si="9"/>
        <v>0.2736217015</v>
      </c>
    </row>
    <row r="27">
      <c r="A27" s="136" t="s">
        <v>1005</v>
      </c>
      <c r="B27" s="136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</row>
    <row r="28">
      <c r="A28" s="1121" t="s">
        <v>220</v>
      </c>
      <c r="B28" s="144" t="s">
        <v>1006</v>
      </c>
      <c r="C28" s="137">
        <f t="shared" ref="C28:N28" si="10">50*20</f>
        <v>1000</v>
      </c>
      <c r="D28" s="137">
        <f t="shared" si="10"/>
        <v>1000</v>
      </c>
      <c r="E28" s="137">
        <f t="shared" si="10"/>
        <v>1000</v>
      </c>
      <c r="F28" s="137">
        <f t="shared" si="10"/>
        <v>1000</v>
      </c>
      <c r="G28" s="137">
        <f t="shared" si="10"/>
        <v>1000</v>
      </c>
      <c r="H28" s="137">
        <f t="shared" si="10"/>
        <v>1000</v>
      </c>
      <c r="I28" s="137">
        <f t="shared" si="10"/>
        <v>1000</v>
      </c>
      <c r="J28" s="137">
        <f t="shared" si="10"/>
        <v>1000</v>
      </c>
      <c r="K28" s="137">
        <f t="shared" si="10"/>
        <v>1000</v>
      </c>
      <c r="L28" s="137">
        <f t="shared" si="10"/>
        <v>1000</v>
      </c>
      <c r="M28" s="137">
        <f t="shared" si="10"/>
        <v>1000</v>
      </c>
      <c r="N28" s="137">
        <f t="shared" si="10"/>
        <v>1000</v>
      </c>
    </row>
    <row r="29">
      <c r="B29" s="144" t="s">
        <v>1007</v>
      </c>
      <c r="C29" s="137">
        <f t="shared" ref="C29:N29" si="11">75*8</f>
        <v>600</v>
      </c>
      <c r="D29" s="137">
        <f t="shared" si="11"/>
        <v>600</v>
      </c>
      <c r="E29" s="137">
        <f t="shared" si="11"/>
        <v>600</v>
      </c>
      <c r="F29" s="137">
        <f t="shared" si="11"/>
        <v>600</v>
      </c>
      <c r="G29" s="137">
        <f t="shared" si="11"/>
        <v>600</v>
      </c>
      <c r="H29" s="137">
        <f t="shared" si="11"/>
        <v>600</v>
      </c>
      <c r="I29" s="137">
        <f t="shared" si="11"/>
        <v>600</v>
      </c>
      <c r="J29" s="137">
        <f t="shared" si="11"/>
        <v>600</v>
      </c>
      <c r="K29" s="137">
        <f t="shared" si="11"/>
        <v>600</v>
      </c>
      <c r="L29" s="137">
        <f t="shared" si="11"/>
        <v>600</v>
      </c>
      <c r="M29" s="137">
        <f t="shared" si="11"/>
        <v>600</v>
      </c>
      <c r="N29" s="137">
        <f t="shared" si="11"/>
        <v>600</v>
      </c>
    </row>
    <row r="30">
      <c r="A30" s="144"/>
      <c r="B30" s="144" t="s">
        <v>223</v>
      </c>
      <c r="C30" s="137">
        <v>0.0</v>
      </c>
      <c r="D30" s="137">
        <v>0.0</v>
      </c>
      <c r="E30" s="137">
        <v>0.0</v>
      </c>
      <c r="F30" s="137">
        <v>0.0</v>
      </c>
      <c r="G30" s="137">
        <v>0.0</v>
      </c>
      <c r="H30" s="137">
        <v>0.0</v>
      </c>
      <c r="I30" s="137">
        <v>0.0</v>
      </c>
      <c r="J30" s="137">
        <v>0.0</v>
      </c>
      <c r="K30" s="137">
        <v>0.0</v>
      </c>
      <c r="L30" s="137">
        <v>0.0</v>
      </c>
      <c r="M30" s="137">
        <v>0.0</v>
      </c>
      <c r="N30" s="137">
        <v>0.0</v>
      </c>
    </row>
    <row r="31">
      <c r="A31" s="144"/>
      <c r="B31" s="144" t="s">
        <v>569</v>
      </c>
      <c r="C31" s="137">
        <f t="shared" ref="C31:N31" si="12">10+5+20+60+35.68</f>
        <v>130.68</v>
      </c>
      <c r="D31" s="137">
        <f t="shared" si="12"/>
        <v>130.68</v>
      </c>
      <c r="E31" s="137">
        <f t="shared" si="12"/>
        <v>130.68</v>
      </c>
      <c r="F31" s="137">
        <f t="shared" si="12"/>
        <v>130.68</v>
      </c>
      <c r="G31" s="137">
        <f t="shared" si="12"/>
        <v>130.68</v>
      </c>
      <c r="H31" s="137">
        <f t="shared" si="12"/>
        <v>130.68</v>
      </c>
      <c r="I31" s="137">
        <f t="shared" si="12"/>
        <v>130.68</v>
      </c>
      <c r="J31" s="137">
        <f t="shared" si="12"/>
        <v>130.68</v>
      </c>
      <c r="K31" s="137">
        <f t="shared" si="12"/>
        <v>130.68</v>
      </c>
      <c r="L31" s="137">
        <f t="shared" si="12"/>
        <v>130.68</v>
      </c>
      <c r="M31" s="137">
        <f t="shared" si="12"/>
        <v>130.68</v>
      </c>
      <c r="N31" s="137">
        <f t="shared" si="12"/>
        <v>130.68</v>
      </c>
    </row>
    <row r="32">
      <c r="A32" s="144"/>
      <c r="B32" s="144" t="s">
        <v>225</v>
      </c>
      <c r="C32" s="137">
        <f t="shared" ref="C32:K32" si="13">2000/3</f>
        <v>666.6666667</v>
      </c>
      <c r="D32" s="137">
        <f t="shared" si="13"/>
        <v>666.6666667</v>
      </c>
      <c r="E32" s="137">
        <f t="shared" si="13"/>
        <v>666.6666667</v>
      </c>
      <c r="F32" s="137">
        <f t="shared" si="13"/>
        <v>666.6666667</v>
      </c>
      <c r="G32" s="137">
        <f t="shared" si="13"/>
        <v>666.6666667</v>
      </c>
      <c r="H32" s="137">
        <f t="shared" si="13"/>
        <v>666.6666667</v>
      </c>
      <c r="I32" s="137">
        <f t="shared" si="13"/>
        <v>666.6666667</v>
      </c>
      <c r="J32" s="137">
        <f t="shared" si="13"/>
        <v>666.6666667</v>
      </c>
      <c r="K32" s="137">
        <f t="shared" si="13"/>
        <v>666.6666667</v>
      </c>
      <c r="L32" s="137">
        <f t="shared" ref="L32:N32" si="14">3000/3</f>
        <v>1000</v>
      </c>
      <c r="M32" s="137">
        <f t="shared" si="14"/>
        <v>1000</v>
      </c>
      <c r="N32" s="137">
        <f t="shared" si="14"/>
        <v>1000</v>
      </c>
    </row>
    <row r="33">
      <c r="A33" s="1121" t="s">
        <v>209</v>
      </c>
      <c r="B33" s="144" t="s">
        <v>1008</v>
      </c>
      <c r="C33" s="137">
        <f>90+266</f>
        <v>356</v>
      </c>
      <c r="D33" s="137">
        <v>0.0</v>
      </c>
      <c r="E33" s="137">
        <v>0.0</v>
      </c>
      <c r="F33" s="137">
        <v>0.0</v>
      </c>
      <c r="G33" s="137">
        <v>0.0</v>
      </c>
      <c r="H33" s="137">
        <v>0.0</v>
      </c>
      <c r="I33" s="137">
        <v>0.0</v>
      </c>
      <c r="J33" s="137">
        <v>0.0</v>
      </c>
      <c r="K33" s="137">
        <v>0.0</v>
      </c>
      <c r="L33" s="137">
        <v>0.0</v>
      </c>
      <c r="M33" s="137">
        <v>0.0</v>
      </c>
      <c r="N33" s="137">
        <v>0.0</v>
      </c>
    </row>
    <row r="34" ht="15.75" customHeight="1">
      <c r="B34" s="144" t="s">
        <v>227</v>
      </c>
      <c r="C34" s="137">
        <v>0.0</v>
      </c>
      <c r="D34" s="137">
        <f t="shared" ref="D34:N34" si="15">12*1</f>
        <v>12</v>
      </c>
      <c r="E34" s="137">
        <f t="shared" si="15"/>
        <v>12</v>
      </c>
      <c r="F34" s="137">
        <f t="shared" si="15"/>
        <v>12</v>
      </c>
      <c r="G34" s="137">
        <f t="shared" si="15"/>
        <v>12</v>
      </c>
      <c r="H34" s="137">
        <f t="shared" si="15"/>
        <v>12</v>
      </c>
      <c r="I34" s="137">
        <f t="shared" si="15"/>
        <v>12</v>
      </c>
      <c r="J34" s="137">
        <f t="shared" si="15"/>
        <v>12</v>
      </c>
      <c r="K34" s="137">
        <f t="shared" si="15"/>
        <v>12</v>
      </c>
      <c r="L34" s="137">
        <f t="shared" si="15"/>
        <v>12</v>
      </c>
      <c r="M34" s="137">
        <f t="shared" si="15"/>
        <v>12</v>
      </c>
      <c r="N34" s="137">
        <f t="shared" si="15"/>
        <v>12</v>
      </c>
    </row>
    <row r="35">
      <c r="B35" s="144" t="s">
        <v>29</v>
      </c>
      <c r="C35" s="137">
        <v>100.0</v>
      </c>
      <c r="D35" s="137">
        <v>100.0</v>
      </c>
      <c r="E35" s="137">
        <v>100.0</v>
      </c>
      <c r="F35" s="137">
        <v>100.0</v>
      </c>
      <c r="G35" s="137">
        <v>100.0</v>
      </c>
      <c r="H35" s="137">
        <v>100.0</v>
      </c>
      <c r="I35" s="137">
        <v>100.0</v>
      </c>
      <c r="J35" s="137">
        <v>100.0</v>
      </c>
      <c r="K35" s="137">
        <v>100.0</v>
      </c>
      <c r="L35" s="137">
        <v>100.0</v>
      </c>
      <c r="M35" s="137">
        <v>100.0</v>
      </c>
      <c r="N35" s="137">
        <v>100.0</v>
      </c>
    </row>
    <row r="36">
      <c r="A36" s="1122" t="s">
        <v>228</v>
      </c>
      <c r="B36" s="144" t="s">
        <v>229</v>
      </c>
      <c r="C36" s="137">
        <v>0.0</v>
      </c>
      <c r="D36" s="137">
        <v>0.0</v>
      </c>
      <c r="E36" s="137">
        <v>0.0</v>
      </c>
      <c r="F36" s="137">
        <v>0.0</v>
      </c>
      <c r="G36" s="137">
        <v>0.0</v>
      </c>
      <c r="H36" s="137">
        <v>0.0</v>
      </c>
      <c r="I36" s="137">
        <v>0.0</v>
      </c>
      <c r="J36" s="137">
        <v>0.0</v>
      </c>
      <c r="K36" s="137">
        <v>0.0</v>
      </c>
      <c r="L36" s="137">
        <v>0.0</v>
      </c>
      <c r="M36" s="137">
        <v>0.0</v>
      </c>
      <c r="N36" s="137">
        <v>0.0</v>
      </c>
    </row>
    <row r="37">
      <c r="A37" s="144"/>
      <c r="B37" s="144" t="s">
        <v>30</v>
      </c>
      <c r="C37" s="137">
        <v>0.0</v>
      </c>
      <c r="D37" s="137">
        <v>0.0</v>
      </c>
      <c r="E37" s="137">
        <v>0.0</v>
      </c>
      <c r="F37" s="137">
        <v>0.0</v>
      </c>
      <c r="G37" s="137">
        <v>0.0</v>
      </c>
      <c r="H37" s="137">
        <v>0.0</v>
      </c>
      <c r="I37" s="137">
        <v>0.0</v>
      </c>
      <c r="J37" s="137">
        <v>0.0</v>
      </c>
      <c r="K37" s="137">
        <v>0.0</v>
      </c>
      <c r="L37" s="137">
        <v>0.0</v>
      </c>
      <c r="M37" s="137">
        <v>0.0</v>
      </c>
      <c r="N37" s="137">
        <v>0.0</v>
      </c>
    </row>
    <row r="38">
      <c r="B38" s="144" t="s">
        <v>230</v>
      </c>
      <c r="C38" s="137">
        <v>100.0</v>
      </c>
      <c r="D38" s="137">
        <v>100.0</v>
      </c>
      <c r="E38" s="137">
        <v>100.0</v>
      </c>
      <c r="F38" s="137">
        <v>100.0</v>
      </c>
      <c r="G38" s="137">
        <v>100.0</v>
      </c>
      <c r="H38" s="137">
        <v>100.0</v>
      </c>
      <c r="I38" s="137">
        <v>100.0</v>
      </c>
      <c r="J38" s="137">
        <v>100.0</v>
      </c>
      <c r="K38" s="137">
        <v>100.0</v>
      </c>
      <c r="L38" s="137">
        <v>100.0</v>
      </c>
      <c r="M38" s="137">
        <v>100.0</v>
      </c>
      <c r="N38" s="137">
        <v>100.0</v>
      </c>
    </row>
    <row r="39">
      <c r="A39" s="144"/>
      <c r="B39" s="144" t="s">
        <v>231</v>
      </c>
      <c r="C39" s="137">
        <v>150.0</v>
      </c>
      <c r="D39" s="137">
        <v>150.0</v>
      </c>
      <c r="E39" s="137">
        <v>150.0</v>
      </c>
      <c r="F39" s="137">
        <v>150.0</v>
      </c>
      <c r="G39" s="137">
        <v>150.0</v>
      </c>
      <c r="H39" s="137">
        <v>150.0</v>
      </c>
      <c r="I39" s="137">
        <v>150.0</v>
      </c>
      <c r="J39" s="137">
        <v>150.0</v>
      </c>
      <c r="K39" s="137">
        <v>150.0</v>
      </c>
      <c r="L39" s="137">
        <v>150.0</v>
      </c>
      <c r="M39" s="137">
        <v>150.0</v>
      </c>
      <c r="N39" s="137">
        <v>150.0</v>
      </c>
    </row>
    <row r="40">
      <c r="A40" s="1121" t="s">
        <v>232</v>
      </c>
      <c r="B40" s="144" t="s">
        <v>1009</v>
      </c>
      <c r="C40" s="137">
        <v>50.0</v>
      </c>
      <c r="D40" s="137">
        <v>50.0</v>
      </c>
      <c r="E40" s="137">
        <v>50.0</v>
      </c>
      <c r="F40" s="137">
        <v>50.0</v>
      </c>
      <c r="G40" s="137">
        <v>50.0</v>
      </c>
      <c r="H40" s="137">
        <v>50.0</v>
      </c>
      <c r="I40" s="137">
        <v>50.0</v>
      </c>
      <c r="J40" s="137">
        <v>50.0</v>
      </c>
      <c r="K40" s="137">
        <v>50.0</v>
      </c>
      <c r="L40" s="137">
        <v>50.0</v>
      </c>
      <c r="M40" s="137">
        <v>50.0</v>
      </c>
      <c r="N40" s="137">
        <v>50.0</v>
      </c>
    </row>
    <row r="41">
      <c r="A41" s="144"/>
      <c r="B41" s="144" t="s">
        <v>234</v>
      </c>
      <c r="C41" s="137">
        <v>500.0</v>
      </c>
      <c r="D41" s="137">
        <v>500.0</v>
      </c>
      <c r="E41" s="137">
        <v>500.0</v>
      </c>
      <c r="F41" s="137">
        <v>500.0</v>
      </c>
      <c r="G41" s="137">
        <v>500.0</v>
      </c>
      <c r="H41" s="137">
        <v>500.0</v>
      </c>
      <c r="I41" s="137">
        <v>500.0</v>
      </c>
      <c r="J41" s="137">
        <v>500.0</v>
      </c>
      <c r="K41" s="137">
        <v>500.0</v>
      </c>
      <c r="L41" s="137">
        <v>500.0</v>
      </c>
      <c r="M41" s="137">
        <v>500.0</v>
      </c>
      <c r="N41" s="137">
        <v>500.0</v>
      </c>
    </row>
    <row r="42">
      <c r="A42" s="209"/>
      <c r="B42" s="209"/>
      <c r="C42" s="212">
        <f t="shared" ref="C42:N42" si="16">sum(C28:C41)/C12</f>
        <v>0.247544664</v>
      </c>
      <c r="D42" s="212">
        <f t="shared" si="16"/>
        <v>0.2193314923</v>
      </c>
      <c r="E42" s="212">
        <f t="shared" si="16"/>
        <v>0.2141787117</v>
      </c>
      <c r="F42" s="212">
        <f t="shared" si="16"/>
        <v>0.2087832453</v>
      </c>
      <c r="G42" s="212">
        <f t="shared" si="16"/>
        <v>0.2031537404</v>
      </c>
      <c r="H42" s="212">
        <f t="shared" si="16"/>
        <v>0.197301821</v>
      </c>
      <c r="I42" s="212">
        <f t="shared" si="16"/>
        <v>0.1912421396</v>
      </c>
      <c r="J42" s="212">
        <f t="shared" si="16"/>
        <v>0.1849923535</v>
      </c>
      <c r="K42" s="212">
        <f t="shared" si="16"/>
        <v>0.1785730178</v>
      </c>
      <c r="L42" s="212">
        <f t="shared" si="16"/>
        <v>0.1893328052</v>
      </c>
      <c r="M42" s="212">
        <f t="shared" si="16"/>
        <v>0.1819731044</v>
      </c>
      <c r="N42" s="212">
        <f t="shared" si="16"/>
        <v>0.1745111901</v>
      </c>
    </row>
    <row r="43">
      <c r="A43" s="235" t="s">
        <v>236</v>
      </c>
      <c r="B43" s="235"/>
      <c r="C43" s="1123">
        <f t="shared" ref="C43:N43" si="17">sum(C16:C25)+SUM(C28:C41)</f>
        <v>9364.821667</v>
      </c>
      <c r="D43" s="1123">
        <f t="shared" si="17"/>
        <v>9020.821667</v>
      </c>
      <c r="E43" s="1123">
        <f t="shared" si="17"/>
        <v>9020.821667</v>
      </c>
      <c r="F43" s="1123">
        <f t="shared" si="17"/>
        <v>9020.821667</v>
      </c>
      <c r="G43" s="1123">
        <f t="shared" si="17"/>
        <v>9020.821667</v>
      </c>
      <c r="H43" s="1123">
        <f t="shared" si="17"/>
        <v>9020.821667</v>
      </c>
      <c r="I43" s="1123">
        <f t="shared" si="17"/>
        <v>9020.821667</v>
      </c>
      <c r="J43" s="1123">
        <f t="shared" si="17"/>
        <v>9020.821667</v>
      </c>
      <c r="K43" s="1123">
        <f t="shared" si="17"/>
        <v>9020.821667</v>
      </c>
      <c r="L43" s="1123">
        <f t="shared" si="17"/>
        <v>9354.155</v>
      </c>
      <c r="M43" s="1123">
        <f t="shared" si="17"/>
        <v>9354.155</v>
      </c>
      <c r="N43" s="1123">
        <f t="shared" si="17"/>
        <v>9354.155</v>
      </c>
    </row>
    <row r="44">
      <c r="A44" s="183"/>
      <c r="B44" s="183"/>
      <c r="C44" s="216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</row>
    <row r="45">
      <c r="A45" s="187" t="s">
        <v>1010</v>
      </c>
      <c r="B45" s="187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</row>
    <row r="46">
      <c r="A46" s="136" t="s">
        <v>1011</v>
      </c>
      <c r="B46" s="136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</row>
    <row r="47">
      <c r="A47" s="144"/>
      <c r="B47" s="144" t="s">
        <v>1069</v>
      </c>
      <c r="C47" s="194">
        <f t="shared" ref="C47:N47" si="18">C12*0.1</f>
        <v>1475.833333</v>
      </c>
      <c r="D47" s="194">
        <f t="shared" si="18"/>
        <v>1508.833333</v>
      </c>
      <c r="E47" s="194">
        <f t="shared" si="18"/>
        <v>1545.133333</v>
      </c>
      <c r="F47" s="194">
        <f t="shared" si="18"/>
        <v>1585.063333</v>
      </c>
      <c r="G47" s="194">
        <f t="shared" si="18"/>
        <v>1628.986333</v>
      </c>
      <c r="H47" s="194">
        <f t="shared" si="18"/>
        <v>1677.301633</v>
      </c>
      <c r="I47" s="194">
        <f t="shared" si="18"/>
        <v>1730.448463</v>
      </c>
      <c r="J47" s="194">
        <f t="shared" si="18"/>
        <v>1788.909976</v>
      </c>
      <c r="K47" s="194">
        <f t="shared" si="18"/>
        <v>1853.217641</v>
      </c>
      <c r="L47" s="194">
        <f t="shared" si="18"/>
        <v>1923.956071</v>
      </c>
      <c r="M47" s="194">
        <f t="shared" si="18"/>
        <v>2001.768345</v>
      </c>
      <c r="N47" s="194">
        <f t="shared" si="18"/>
        <v>2087.361846</v>
      </c>
    </row>
    <row r="48">
      <c r="A48" s="136" t="s">
        <v>1013</v>
      </c>
      <c r="B48" s="136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</row>
    <row r="49">
      <c r="A49" s="1125"/>
      <c r="B49" s="220" t="s">
        <v>1014</v>
      </c>
      <c r="C49" s="137">
        <f t="shared" ref="C49:N49" si="19">C12*0.015</f>
        <v>221.375</v>
      </c>
      <c r="D49" s="137">
        <f t="shared" si="19"/>
        <v>226.325</v>
      </c>
      <c r="E49" s="137">
        <f t="shared" si="19"/>
        <v>231.77</v>
      </c>
      <c r="F49" s="137">
        <f t="shared" si="19"/>
        <v>237.7595</v>
      </c>
      <c r="G49" s="137">
        <f t="shared" si="19"/>
        <v>244.34795</v>
      </c>
      <c r="H49" s="137">
        <f t="shared" si="19"/>
        <v>251.595245</v>
      </c>
      <c r="I49" s="137">
        <f t="shared" si="19"/>
        <v>259.5672695</v>
      </c>
      <c r="J49" s="137">
        <f t="shared" si="19"/>
        <v>268.3364965</v>
      </c>
      <c r="K49" s="137">
        <f t="shared" si="19"/>
        <v>277.9826461</v>
      </c>
      <c r="L49" s="137">
        <f t="shared" si="19"/>
        <v>288.5934107</v>
      </c>
      <c r="M49" s="137">
        <f t="shared" si="19"/>
        <v>300.2652518</v>
      </c>
      <c r="N49" s="137">
        <f t="shared" si="19"/>
        <v>313.104277</v>
      </c>
    </row>
    <row r="50">
      <c r="A50" s="1125"/>
      <c r="B50" s="1126" t="s">
        <v>1015</v>
      </c>
      <c r="C50" s="137">
        <f t="shared" ref="C50:N50" si="20">C12*0</f>
        <v>0</v>
      </c>
      <c r="D50" s="137">
        <f t="shared" si="20"/>
        <v>0</v>
      </c>
      <c r="E50" s="137">
        <f t="shared" si="20"/>
        <v>0</v>
      </c>
      <c r="F50" s="137">
        <f t="shared" si="20"/>
        <v>0</v>
      </c>
      <c r="G50" s="137">
        <f t="shared" si="20"/>
        <v>0</v>
      </c>
      <c r="H50" s="137">
        <f t="shared" si="20"/>
        <v>0</v>
      </c>
      <c r="I50" s="137">
        <f t="shared" si="20"/>
        <v>0</v>
      </c>
      <c r="J50" s="137">
        <f t="shared" si="20"/>
        <v>0</v>
      </c>
      <c r="K50" s="137">
        <f t="shared" si="20"/>
        <v>0</v>
      </c>
      <c r="L50" s="137">
        <f t="shared" si="20"/>
        <v>0</v>
      </c>
      <c r="M50" s="137">
        <f t="shared" si="20"/>
        <v>0</v>
      </c>
      <c r="N50" s="137">
        <f t="shared" si="20"/>
        <v>0</v>
      </c>
    </row>
    <row r="51">
      <c r="A51" s="136" t="s">
        <v>380</v>
      </c>
      <c r="B51" s="136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</row>
    <row r="52">
      <c r="A52" s="1125"/>
      <c r="B52" s="1127" t="s">
        <v>1016</v>
      </c>
      <c r="C52" s="137">
        <f t="shared" ref="C52:N52" si="21">C12*0</f>
        <v>0</v>
      </c>
      <c r="D52" s="137">
        <f t="shared" si="21"/>
        <v>0</v>
      </c>
      <c r="E52" s="137">
        <f t="shared" si="21"/>
        <v>0</v>
      </c>
      <c r="F52" s="137">
        <f t="shared" si="21"/>
        <v>0</v>
      </c>
      <c r="G52" s="137">
        <f t="shared" si="21"/>
        <v>0</v>
      </c>
      <c r="H52" s="137">
        <f t="shared" si="21"/>
        <v>0</v>
      </c>
      <c r="I52" s="137">
        <f t="shared" si="21"/>
        <v>0</v>
      </c>
      <c r="J52" s="137">
        <f t="shared" si="21"/>
        <v>0</v>
      </c>
      <c r="K52" s="137">
        <f t="shared" si="21"/>
        <v>0</v>
      </c>
      <c r="L52" s="137">
        <f t="shared" si="21"/>
        <v>0</v>
      </c>
      <c r="M52" s="137">
        <f t="shared" si="21"/>
        <v>0</v>
      </c>
      <c r="N52" s="137">
        <f t="shared" si="21"/>
        <v>0</v>
      </c>
    </row>
    <row r="53">
      <c r="A53" s="1125"/>
      <c r="B53" s="1127" t="s">
        <v>1017</v>
      </c>
      <c r="C53" s="137">
        <f t="shared" ref="C53:N53" si="22">C12*0.02</f>
        <v>295.1666667</v>
      </c>
      <c r="D53" s="137">
        <f t="shared" si="22"/>
        <v>301.7666667</v>
      </c>
      <c r="E53" s="137">
        <f t="shared" si="22"/>
        <v>309.0266667</v>
      </c>
      <c r="F53" s="137">
        <f t="shared" si="22"/>
        <v>317.0126667</v>
      </c>
      <c r="G53" s="137">
        <f t="shared" si="22"/>
        <v>325.7972667</v>
      </c>
      <c r="H53" s="137">
        <f t="shared" si="22"/>
        <v>335.4603267</v>
      </c>
      <c r="I53" s="137">
        <f t="shared" si="22"/>
        <v>346.0896927</v>
      </c>
      <c r="J53" s="137">
        <f t="shared" si="22"/>
        <v>357.7819953</v>
      </c>
      <c r="K53" s="137">
        <f t="shared" si="22"/>
        <v>370.6435281</v>
      </c>
      <c r="L53" s="137">
        <f t="shared" si="22"/>
        <v>384.7912143</v>
      </c>
      <c r="M53" s="137">
        <f t="shared" si="22"/>
        <v>400.353669</v>
      </c>
      <c r="N53" s="137">
        <f t="shared" si="22"/>
        <v>417.4723693</v>
      </c>
    </row>
    <row r="54">
      <c r="A54" s="1125"/>
      <c r="B54" s="223" t="s">
        <v>1070</v>
      </c>
      <c r="C54" s="137">
        <f t="shared" ref="C54:N54" si="23">C12*0.02</f>
        <v>295.1666667</v>
      </c>
      <c r="D54" s="137">
        <f t="shared" si="23"/>
        <v>301.7666667</v>
      </c>
      <c r="E54" s="137">
        <f t="shared" si="23"/>
        <v>309.0266667</v>
      </c>
      <c r="F54" s="137">
        <f t="shared" si="23"/>
        <v>317.0126667</v>
      </c>
      <c r="G54" s="137">
        <f t="shared" si="23"/>
        <v>325.7972667</v>
      </c>
      <c r="H54" s="137">
        <f t="shared" si="23"/>
        <v>335.4603267</v>
      </c>
      <c r="I54" s="137">
        <f t="shared" si="23"/>
        <v>346.0896927</v>
      </c>
      <c r="J54" s="137">
        <f t="shared" si="23"/>
        <v>357.7819953</v>
      </c>
      <c r="K54" s="137">
        <f t="shared" si="23"/>
        <v>370.6435281</v>
      </c>
      <c r="L54" s="137">
        <f t="shared" si="23"/>
        <v>384.7912143</v>
      </c>
      <c r="M54" s="137">
        <f t="shared" si="23"/>
        <v>400.353669</v>
      </c>
      <c r="N54" s="137">
        <f t="shared" si="23"/>
        <v>417.4723693</v>
      </c>
    </row>
    <row r="55">
      <c r="A55" s="1125"/>
      <c r="B55" s="1127" t="s">
        <v>1019</v>
      </c>
      <c r="C55" s="137">
        <f t="shared" ref="C55:N55" si="24">C12*0.02</f>
        <v>295.1666667</v>
      </c>
      <c r="D55" s="137">
        <f t="shared" si="24"/>
        <v>301.7666667</v>
      </c>
      <c r="E55" s="137">
        <f t="shared" si="24"/>
        <v>309.0266667</v>
      </c>
      <c r="F55" s="137">
        <f t="shared" si="24"/>
        <v>317.0126667</v>
      </c>
      <c r="G55" s="137">
        <f t="shared" si="24"/>
        <v>325.7972667</v>
      </c>
      <c r="H55" s="137">
        <f t="shared" si="24"/>
        <v>335.4603267</v>
      </c>
      <c r="I55" s="137">
        <f t="shared" si="24"/>
        <v>346.0896927</v>
      </c>
      <c r="J55" s="137">
        <f t="shared" si="24"/>
        <v>357.7819953</v>
      </c>
      <c r="K55" s="137">
        <f t="shared" si="24"/>
        <v>370.6435281</v>
      </c>
      <c r="L55" s="137">
        <f t="shared" si="24"/>
        <v>384.7912143</v>
      </c>
      <c r="M55" s="137">
        <f t="shared" si="24"/>
        <v>400.353669</v>
      </c>
      <c r="N55" s="137">
        <f t="shared" si="24"/>
        <v>417.4723693</v>
      </c>
    </row>
    <row r="56">
      <c r="A56" s="1128"/>
      <c r="B56" s="1209" t="s">
        <v>1071</v>
      </c>
      <c r="C56" s="222">
        <f t="shared" ref="C56:N56" si="25">C11</f>
        <v>1041.666667</v>
      </c>
      <c r="D56" s="222">
        <f t="shared" si="25"/>
        <v>1041.666667</v>
      </c>
      <c r="E56" s="222">
        <f t="shared" si="25"/>
        <v>1041.666667</v>
      </c>
      <c r="F56" s="222">
        <f t="shared" si="25"/>
        <v>1041.666667</v>
      </c>
      <c r="G56" s="222">
        <f t="shared" si="25"/>
        <v>1041.666667</v>
      </c>
      <c r="H56" s="222">
        <f t="shared" si="25"/>
        <v>1041.666667</v>
      </c>
      <c r="I56" s="222">
        <f t="shared" si="25"/>
        <v>1041.666667</v>
      </c>
      <c r="J56" s="222">
        <f t="shared" si="25"/>
        <v>1041.666667</v>
      </c>
      <c r="K56" s="222">
        <f t="shared" si="25"/>
        <v>1041.666667</v>
      </c>
      <c r="L56" s="222">
        <f t="shared" si="25"/>
        <v>1041.666667</v>
      </c>
      <c r="M56" s="222">
        <f t="shared" si="25"/>
        <v>1041.666667</v>
      </c>
      <c r="N56" s="222">
        <f t="shared" si="25"/>
        <v>1041.666667</v>
      </c>
    </row>
    <row r="57">
      <c r="A57" s="176" t="s">
        <v>733</v>
      </c>
      <c r="B57" s="176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</row>
    <row r="58">
      <c r="A58" s="137"/>
      <c r="B58" s="137" t="s">
        <v>1072</v>
      </c>
      <c r="C58" s="137">
        <f t="shared" ref="C58:N58" si="26">C12*0.01</f>
        <v>147.5833333</v>
      </c>
      <c r="D58" s="137">
        <f t="shared" si="26"/>
        <v>150.8833333</v>
      </c>
      <c r="E58" s="137">
        <f t="shared" si="26"/>
        <v>154.5133333</v>
      </c>
      <c r="F58" s="137">
        <f t="shared" si="26"/>
        <v>158.5063333</v>
      </c>
      <c r="G58" s="137">
        <f t="shared" si="26"/>
        <v>162.8986333</v>
      </c>
      <c r="H58" s="137">
        <f t="shared" si="26"/>
        <v>167.7301633</v>
      </c>
      <c r="I58" s="137">
        <f t="shared" si="26"/>
        <v>173.0448463</v>
      </c>
      <c r="J58" s="137">
        <f t="shared" si="26"/>
        <v>178.8909976</v>
      </c>
      <c r="K58" s="137">
        <f t="shared" si="26"/>
        <v>185.3217641</v>
      </c>
      <c r="L58" s="137">
        <f t="shared" si="26"/>
        <v>192.3956071</v>
      </c>
      <c r="M58" s="137">
        <f t="shared" si="26"/>
        <v>200.1768345</v>
      </c>
      <c r="N58" s="137">
        <f t="shared" si="26"/>
        <v>208.7361846</v>
      </c>
    </row>
    <row r="59">
      <c r="A59" s="702"/>
      <c r="B59" s="702"/>
      <c r="C59" s="704">
        <f t="shared" ref="C59:N59" si="27">sum(C47:C55)/C12</f>
        <v>0.175</v>
      </c>
      <c r="D59" s="704">
        <f t="shared" si="27"/>
        <v>0.175</v>
      </c>
      <c r="E59" s="704">
        <f t="shared" si="27"/>
        <v>0.175</v>
      </c>
      <c r="F59" s="704">
        <f t="shared" si="27"/>
        <v>0.175</v>
      </c>
      <c r="G59" s="704">
        <f t="shared" si="27"/>
        <v>0.175</v>
      </c>
      <c r="H59" s="704">
        <f t="shared" si="27"/>
        <v>0.175</v>
      </c>
      <c r="I59" s="704">
        <f t="shared" si="27"/>
        <v>0.175</v>
      </c>
      <c r="J59" s="704">
        <f t="shared" si="27"/>
        <v>0.175</v>
      </c>
      <c r="K59" s="704">
        <f t="shared" si="27"/>
        <v>0.175</v>
      </c>
      <c r="L59" s="704">
        <f t="shared" si="27"/>
        <v>0.175</v>
      </c>
      <c r="M59" s="704">
        <f t="shared" si="27"/>
        <v>0.175</v>
      </c>
      <c r="N59" s="704">
        <f t="shared" si="27"/>
        <v>0.175</v>
      </c>
    </row>
    <row r="60">
      <c r="A60" s="235" t="s">
        <v>252</v>
      </c>
      <c r="B60" s="235"/>
      <c r="C60" s="236">
        <f t="shared" ref="C60:N60" si="28">sum(C47:C55)+C58</f>
        <v>2730.291667</v>
      </c>
      <c r="D60" s="236">
        <f t="shared" si="28"/>
        <v>2791.341667</v>
      </c>
      <c r="E60" s="236">
        <f t="shared" si="28"/>
        <v>2858.496667</v>
      </c>
      <c r="F60" s="236">
        <f t="shared" si="28"/>
        <v>2932.367167</v>
      </c>
      <c r="G60" s="236">
        <f t="shared" si="28"/>
        <v>3013.624717</v>
      </c>
      <c r="H60" s="236">
        <f t="shared" si="28"/>
        <v>3103.008022</v>
      </c>
      <c r="I60" s="236">
        <f t="shared" si="28"/>
        <v>3201.329657</v>
      </c>
      <c r="J60" s="236">
        <f t="shared" si="28"/>
        <v>3309.483456</v>
      </c>
      <c r="K60" s="236">
        <f t="shared" si="28"/>
        <v>3428.452635</v>
      </c>
      <c r="L60" s="236">
        <f t="shared" si="28"/>
        <v>3559.318732</v>
      </c>
      <c r="M60" s="236">
        <f t="shared" si="28"/>
        <v>3703.271439</v>
      </c>
      <c r="N60" s="236">
        <f t="shared" si="28"/>
        <v>3861.619416</v>
      </c>
    </row>
    <row r="61">
      <c r="A61" s="241"/>
      <c r="B61" s="241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</row>
    <row r="62">
      <c r="A62" s="1130"/>
      <c r="B62" s="1130"/>
      <c r="C62" s="247"/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7"/>
    </row>
    <row r="63">
      <c r="A63" s="708" t="s">
        <v>253</v>
      </c>
      <c r="B63" s="708"/>
      <c r="C63" s="709">
        <f t="shared" ref="C63:N63" si="29">C12-C11-C43-C60</f>
        <v>1621.553333</v>
      </c>
      <c r="D63" s="709">
        <f t="shared" si="29"/>
        <v>2234.503333</v>
      </c>
      <c r="E63" s="709">
        <f t="shared" si="29"/>
        <v>2530.348333</v>
      </c>
      <c r="F63" s="709">
        <f t="shared" si="29"/>
        <v>2855.777833</v>
      </c>
      <c r="G63" s="709">
        <f t="shared" si="29"/>
        <v>3213.750283</v>
      </c>
      <c r="H63" s="709">
        <f t="shared" si="29"/>
        <v>3607.519978</v>
      </c>
      <c r="I63" s="709">
        <f t="shared" si="29"/>
        <v>4040.666643</v>
      </c>
      <c r="J63" s="709">
        <f t="shared" si="29"/>
        <v>4517.127974</v>
      </c>
      <c r="K63" s="709">
        <f t="shared" si="29"/>
        <v>5041.235438</v>
      </c>
      <c r="L63" s="709">
        <f t="shared" si="29"/>
        <v>5284.420315</v>
      </c>
      <c r="M63" s="709">
        <f t="shared" si="29"/>
        <v>5918.590346</v>
      </c>
      <c r="N63" s="709">
        <f t="shared" si="29"/>
        <v>6616.177381</v>
      </c>
    </row>
    <row r="64">
      <c r="A64" s="252"/>
      <c r="B64" s="252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</row>
    <row r="65">
      <c r="A65" s="1205" t="s">
        <v>1063</v>
      </c>
      <c r="B65" s="13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</row>
    <row r="66">
      <c r="A66" s="1210">
        <f>sum(C9:N9)</f>
        <v>356921.4188</v>
      </c>
      <c r="B66" s="183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</row>
    <row r="67">
      <c r="A67" s="1205" t="s">
        <v>1064</v>
      </c>
      <c r="B67" s="179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</row>
    <row r="68">
      <c r="A68" s="1210">
        <f>sum(C12:N12)</f>
        <v>208068.1364</v>
      </c>
      <c r="B68" s="179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</row>
    <row r="69">
      <c r="A69" s="1205" t="s">
        <v>964</v>
      </c>
      <c r="B69" s="137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</row>
    <row r="70">
      <c r="A70" s="1211">
        <f>sum(C60:N60)-sum(C47:N47)</f>
        <v>17685.7916</v>
      </c>
      <c r="B70" s="179"/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</row>
    <row r="71">
      <c r="A71" s="1205" t="s">
        <v>1065</v>
      </c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</row>
    <row r="72">
      <c r="A72" s="1186">
        <f>sum(C49:N50)</f>
        <v>3121.022046</v>
      </c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</row>
    <row r="73">
      <c r="A73" s="1207" t="s">
        <v>1066</v>
      </c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</row>
    <row r="74">
      <c r="A74" s="1210">
        <f>sum(C47:N47)</f>
        <v>20806.81364</v>
      </c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</row>
    <row r="75">
      <c r="A75" s="177"/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</row>
    <row r="76">
      <c r="A76" s="177"/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</row>
    <row r="77">
      <c r="A77" s="177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</row>
    <row r="78">
      <c r="A78" s="177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</row>
    <row r="79">
      <c r="A79" s="177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</row>
    <row r="80">
      <c r="A80" s="177"/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</row>
    <row r="81">
      <c r="A81" s="177"/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</row>
    <row r="82">
      <c r="A82" s="177"/>
      <c r="B82" s="177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7"/>
      <c r="N82" s="177"/>
    </row>
    <row r="83">
      <c r="A83" s="177"/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</row>
    <row r="84">
      <c r="A84" s="177"/>
      <c r="B84" s="177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</row>
    <row r="85">
      <c r="A85" s="177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</row>
    <row r="86">
      <c r="A86" s="177"/>
      <c r="B86" s="177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</row>
    <row r="87">
      <c r="A87" s="177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</row>
    <row r="88">
      <c r="A88" s="177"/>
      <c r="B88" s="177"/>
      <c r="C88" s="177"/>
      <c r="D88" s="177"/>
      <c r="E88" s="177"/>
      <c r="F88" s="177"/>
      <c r="G88" s="177"/>
      <c r="H88" s="177"/>
      <c r="I88" s="177"/>
      <c r="J88" s="177"/>
      <c r="K88" s="177"/>
      <c r="L88" s="177"/>
      <c r="M88" s="177"/>
      <c r="N88" s="177"/>
    </row>
    <row r="89">
      <c r="A89" s="177"/>
      <c r="B89" s="177"/>
      <c r="C89" s="177"/>
      <c r="D89" s="177"/>
      <c r="E89" s="177"/>
      <c r="F89" s="177"/>
      <c r="G89" s="177"/>
      <c r="H89" s="177"/>
      <c r="I89" s="177"/>
      <c r="J89" s="177"/>
      <c r="K89" s="177"/>
      <c r="L89" s="177"/>
      <c r="M89" s="177"/>
      <c r="N89" s="177"/>
    </row>
    <row r="90">
      <c r="A90" s="177"/>
      <c r="B90" s="177"/>
      <c r="C90" s="177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</row>
    <row r="91">
      <c r="A91" s="177"/>
      <c r="B91" s="177"/>
      <c r="C91" s="177"/>
      <c r="D91" s="177"/>
      <c r="E91" s="177"/>
      <c r="F91" s="177"/>
      <c r="G91" s="177"/>
      <c r="H91" s="177"/>
      <c r="I91" s="177"/>
      <c r="J91" s="177"/>
      <c r="K91" s="177"/>
      <c r="L91" s="177"/>
      <c r="M91" s="177"/>
      <c r="N91" s="177"/>
    </row>
    <row r="92">
      <c r="A92" s="177"/>
      <c r="B92" s="177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7"/>
      <c r="N92" s="177"/>
    </row>
    <row r="93">
      <c r="A93" s="177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</row>
    <row r="94">
      <c r="A94" s="177"/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</row>
    <row r="95">
      <c r="A95" s="177"/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</row>
    <row r="96">
      <c r="A96" s="177"/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</row>
    <row r="97">
      <c r="A97" s="177"/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</row>
    <row r="98">
      <c r="A98" s="177"/>
      <c r="B98" s="177"/>
      <c r="C98" s="177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</row>
    <row r="99">
      <c r="A99" s="177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</row>
    <row r="100">
      <c r="A100" s="177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</row>
    <row r="101">
      <c r="A101" s="177"/>
      <c r="B101" s="17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</row>
    <row r="102">
      <c r="A102" s="177"/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</row>
    <row r="103">
      <c r="A103" s="177"/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</row>
    <row r="104">
      <c r="A104" s="177"/>
      <c r="B104" s="177"/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</row>
    <row r="105">
      <c r="A105" s="177"/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</row>
    <row r="106">
      <c r="A106" s="177"/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</row>
    <row r="107">
      <c r="A107" s="177"/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</row>
    <row r="108">
      <c r="A108" s="177"/>
      <c r="B108" s="17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7"/>
      <c r="N108" s="177"/>
    </row>
    <row r="109">
      <c r="A109" s="177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</row>
    <row r="110">
      <c r="A110" s="177"/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</row>
    <row r="111">
      <c r="A111" s="177"/>
      <c r="B111" s="17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</row>
    <row r="112">
      <c r="A112" s="177"/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</row>
    <row r="113">
      <c r="A113" s="177"/>
      <c r="B113" s="17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</row>
    <row r="114">
      <c r="A114" s="177"/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177"/>
      <c r="N114" s="177"/>
    </row>
    <row r="115">
      <c r="A115" s="177"/>
      <c r="B115" s="177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</row>
    <row r="116">
      <c r="A116" s="177"/>
      <c r="B116" s="17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177"/>
    </row>
    <row r="117">
      <c r="A117" s="177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</row>
    <row r="118">
      <c r="A118" s="177"/>
      <c r="B118" s="177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  <c r="N118" s="177"/>
    </row>
    <row r="119">
      <c r="A119" s="177"/>
      <c r="B119" s="177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7"/>
    </row>
    <row r="120">
      <c r="A120" s="177"/>
      <c r="B120" s="177"/>
      <c r="C120" s="177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/>
    </row>
    <row r="121">
      <c r="A121" s="177"/>
      <c r="B121" s="177"/>
      <c r="C121" s="177"/>
      <c r="D121" s="177"/>
      <c r="E121" s="177"/>
      <c r="F121" s="177"/>
      <c r="G121" s="177"/>
      <c r="H121" s="177"/>
      <c r="I121" s="177"/>
      <c r="J121" s="177"/>
      <c r="K121" s="177"/>
      <c r="L121" s="177"/>
      <c r="M121" s="177"/>
      <c r="N121" s="177"/>
    </row>
    <row r="122">
      <c r="A122" s="177"/>
      <c r="B122" s="177"/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</row>
    <row r="123">
      <c r="A123" s="177"/>
      <c r="B123" s="177"/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</row>
    <row r="124">
      <c r="A124" s="177"/>
      <c r="B124" s="177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</row>
    <row r="125">
      <c r="A125" s="177"/>
      <c r="B125" s="177"/>
      <c r="C125" s="177"/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</row>
    <row r="126">
      <c r="A126" s="177"/>
      <c r="B126" s="177"/>
      <c r="C126" s="177"/>
      <c r="D126" s="177"/>
      <c r="E126" s="177"/>
      <c r="F126" s="177"/>
      <c r="G126" s="177"/>
      <c r="H126" s="177"/>
      <c r="I126" s="177"/>
      <c r="J126" s="177"/>
      <c r="K126" s="177"/>
      <c r="L126" s="177"/>
      <c r="M126" s="177"/>
      <c r="N126" s="177"/>
    </row>
    <row r="127">
      <c r="A127" s="177"/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</row>
    <row r="128">
      <c r="A128" s="177"/>
      <c r="B128" s="177"/>
      <c r="C128" s="177"/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</row>
    <row r="129">
      <c r="A129" s="177"/>
      <c r="B129" s="177"/>
      <c r="C129" s="177"/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</row>
    <row r="130">
      <c r="A130" s="177"/>
      <c r="B130" s="177"/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</row>
    <row r="131">
      <c r="A131" s="177"/>
      <c r="B131" s="177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</row>
    <row r="132">
      <c r="A132" s="177"/>
      <c r="B132" s="177"/>
      <c r="C132" s="177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</row>
    <row r="133">
      <c r="A133" s="177"/>
      <c r="B133" s="177"/>
      <c r="C133" s="177"/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</row>
    <row r="134">
      <c r="A134" s="177"/>
      <c r="B134" s="177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</row>
    <row r="135">
      <c r="A135" s="177"/>
      <c r="B135" s="177"/>
      <c r="C135" s="177"/>
      <c r="D135" s="177"/>
      <c r="E135" s="177"/>
      <c r="F135" s="177"/>
      <c r="G135" s="177"/>
      <c r="H135" s="177"/>
      <c r="I135" s="177"/>
      <c r="J135" s="177"/>
      <c r="K135" s="177"/>
      <c r="L135" s="177"/>
      <c r="M135" s="177"/>
      <c r="N135" s="177"/>
    </row>
    <row r="136">
      <c r="A136" s="177"/>
      <c r="B136" s="177"/>
      <c r="C136" s="177"/>
      <c r="D136" s="177"/>
      <c r="E136" s="177"/>
      <c r="F136" s="177"/>
      <c r="G136" s="177"/>
      <c r="H136" s="177"/>
      <c r="I136" s="177"/>
      <c r="J136" s="177"/>
      <c r="K136" s="177"/>
      <c r="L136" s="177"/>
      <c r="M136" s="177"/>
      <c r="N136" s="177"/>
    </row>
    <row r="137">
      <c r="A137" s="177"/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</row>
    <row r="138">
      <c r="A138" s="177"/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</row>
    <row r="139">
      <c r="A139" s="177"/>
      <c r="B139" s="177"/>
      <c r="C139" s="177"/>
      <c r="D139" s="177"/>
      <c r="E139" s="177"/>
      <c r="F139" s="177"/>
      <c r="G139" s="177"/>
      <c r="H139" s="177"/>
      <c r="I139" s="177"/>
      <c r="J139" s="177"/>
      <c r="K139" s="177"/>
      <c r="L139" s="177"/>
      <c r="M139" s="177"/>
      <c r="N139" s="177"/>
    </row>
    <row r="140">
      <c r="A140" s="177"/>
      <c r="B140" s="177"/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</row>
    <row r="141">
      <c r="A141" s="177"/>
      <c r="B141" s="177"/>
      <c r="C141" s="177"/>
      <c r="D141" s="177"/>
      <c r="E141" s="177"/>
      <c r="F141" s="177"/>
      <c r="G141" s="177"/>
      <c r="H141" s="177"/>
      <c r="I141" s="177"/>
      <c r="J141" s="177"/>
      <c r="K141" s="177"/>
      <c r="L141" s="177"/>
      <c r="M141" s="177"/>
      <c r="N141" s="177"/>
    </row>
    <row r="142">
      <c r="A142" s="177"/>
      <c r="B142" s="177"/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  <c r="N142" s="177"/>
    </row>
    <row r="143">
      <c r="A143" s="177"/>
      <c r="B143" s="177"/>
      <c r="C143" s="177"/>
      <c r="D143" s="177"/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</row>
    <row r="144">
      <c r="A144" s="177"/>
      <c r="B144" s="177"/>
      <c r="C144" s="177"/>
      <c r="D144" s="177"/>
      <c r="E144" s="177"/>
      <c r="F144" s="177"/>
      <c r="G144" s="177"/>
      <c r="H144" s="177"/>
      <c r="I144" s="177"/>
      <c r="J144" s="177"/>
      <c r="K144" s="177"/>
      <c r="L144" s="177"/>
      <c r="M144" s="177"/>
      <c r="N144" s="177"/>
    </row>
    <row r="145">
      <c r="A145" s="177"/>
      <c r="B145" s="177"/>
      <c r="C145" s="177"/>
      <c r="D145" s="177"/>
      <c r="E145" s="177"/>
      <c r="F145" s="177"/>
      <c r="G145" s="177"/>
      <c r="H145" s="177"/>
      <c r="I145" s="177"/>
      <c r="J145" s="177"/>
      <c r="K145" s="177"/>
      <c r="L145" s="177"/>
      <c r="M145" s="177"/>
      <c r="N145" s="177"/>
    </row>
    <row r="146">
      <c r="A146" s="177"/>
      <c r="B146" s="177"/>
      <c r="C146" s="177"/>
      <c r="D146" s="177"/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</row>
    <row r="147">
      <c r="A147" s="177"/>
      <c r="B147" s="177"/>
      <c r="C147" s="177"/>
      <c r="D147" s="177"/>
      <c r="E147" s="177"/>
      <c r="F147" s="177"/>
      <c r="G147" s="177"/>
      <c r="H147" s="177"/>
      <c r="I147" s="177"/>
      <c r="J147" s="177"/>
      <c r="K147" s="177"/>
      <c r="L147" s="177"/>
      <c r="M147" s="177"/>
      <c r="N147" s="177"/>
    </row>
    <row r="148">
      <c r="A148" s="177"/>
      <c r="B148" s="177"/>
      <c r="C148" s="177"/>
      <c r="D148" s="177"/>
      <c r="E148" s="177"/>
      <c r="F148" s="177"/>
      <c r="G148" s="177"/>
      <c r="H148" s="177"/>
      <c r="I148" s="177"/>
      <c r="J148" s="177"/>
      <c r="K148" s="177"/>
      <c r="L148" s="177"/>
      <c r="M148" s="177"/>
      <c r="N148" s="177"/>
    </row>
    <row r="149">
      <c r="A149" s="177"/>
      <c r="B149" s="177"/>
      <c r="C149" s="177"/>
      <c r="D149" s="177"/>
      <c r="E149" s="177"/>
      <c r="F149" s="177"/>
      <c r="G149" s="177"/>
      <c r="H149" s="177"/>
      <c r="I149" s="177"/>
      <c r="J149" s="177"/>
      <c r="K149" s="177"/>
      <c r="L149" s="177"/>
      <c r="M149" s="177"/>
      <c r="N149" s="177"/>
    </row>
    <row r="150">
      <c r="A150" s="177"/>
      <c r="B150" s="177"/>
      <c r="C150" s="177"/>
      <c r="D150" s="177"/>
      <c r="E150" s="177"/>
      <c r="F150" s="177"/>
      <c r="G150" s="177"/>
      <c r="H150" s="177"/>
      <c r="I150" s="177"/>
      <c r="J150" s="177"/>
      <c r="K150" s="177"/>
      <c r="L150" s="177"/>
      <c r="M150" s="177"/>
      <c r="N150" s="177"/>
    </row>
    <row r="151">
      <c r="A151" s="177"/>
      <c r="B151" s="177"/>
      <c r="C151" s="177"/>
      <c r="D151" s="177"/>
      <c r="E151" s="177"/>
      <c r="F151" s="177"/>
      <c r="G151" s="177"/>
      <c r="H151" s="177"/>
      <c r="I151" s="177"/>
      <c r="J151" s="177"/>
      <c r="K151" s="177"/>
      <c r="L151" s="177"/>
      <c r="M151" s="177"/>
      <c r="N151" s="177"/>
    </row>
    <row r="152">
      <c r="A152" s="177"/>
      <c r="B152" s="177"/>
      <c r="C152" s="177"/>
      <c r="D152" s="177"/>
      <c r="E152" s="177"/>
      <c r="F152" s="177"/>
      <c r="G152" s="177"/>
      <c r="H152" s="177"/>
      <c r="I152" s="177"/>
      <c r="J152" s="177"/>
      <c r="K152" s="177"/>
      <c r="L152" s="177"/>
      <c r="M152" s="177"/>
      <c r="N152" s="177"/>
    </row>
    <row r="153">
      <c r="A153" s="177"/>
      <c r="B153" s="177"/>
      <c r="C153" s="177"/>
      <c r="D153" s="177"/>
      <c r="E153" s="177"/>
      <c r="F153" s="177"/>
      <c r="G153" s="177"/>
      <c r="H153" s="177"/>
      <c r="I153" s="177"/>
      <c r="J153" s="177"/>
      <c r="K153" s="177"/>
      <c r="L153" s="177"/>
      <c r="M153" s="177"/>
      <c r="N153" s="177"/>
    </row>
    <row r="154">
      <c r="A154" s="177"/>
      <c r="B154" s="177"/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  <c r="N154" s="177"/>
    </row>
    <row r="155">
      <c r="A155" s="177"/>
      <c r="B155" s="177"/>
      <c r="C155" s="177"/>
      <c r="D155" s="177"/>
      <c r="E155" s="177"/>
      <c r="F155" s="177"/>
      <c r="G155" s="177"/>
      <c r="H155" s="177"/>
      <c r="I155" s="177"/>
      <c r="J155" s="177"/>
      <c r="K155" s="177"/>
      <c r="L155" s="177"/>
      <c r="M155" s="177"/>
      <c r="N155" s="177"/>
    </row>
    <row r="156">
      <c r="A156" s="177"/>
      <c r="B156" s="177"/>
      <c r="C156" s="177"/>
      <c r="D156" s="177"/>
      <c r="E156" s="177"/>
      <c r="F156" s="177"/>
      <c r="G156" s="177"/>
      <c r="H156" s="177"/>
      <c r="I156" s="177"/>
      <c r="J156" s="177"/>
      <c r="K156" s="177"/>
      <c r="L156" s="177"/>
      <c r="M156" s="177"/>
      <c r="N156" s="177"/>
    </row>
    <row r="157">
      <c r="A157" s="177"/>
      <c r="B157" s="177"/>
      <c r="C157" s="177"/>
      <c r="D157" s="177"/>
      <c r="E157" s="177"/>
      <c r="F157" s="177"/>
      <c r="G157" s="177"/>
      <c r="H157" s="177"/>
      <c r="I157" s="177"/>
      <c r="J157" s="177"/>
      <c r="K157" s="177"/>
      <c r="L157" s="177"/>
      <c r="M157" s="177"/>
      <c r="N157" s="177"/>
    </row>
    <row r="158">
      <c r="A158" s="177"/>
      <c r="B158" s="177"/>
      <c r="C158" s="177"/>
      <c r="D158" s="177"/>
      <c r="E158" s="177"/>
      <c r="F158" s="177"/>
      <c r="G158" s="177"/>
      <c r="H158" s="177"/>
      <c r="I158" s="177"/>
      <c r="J158" s="177"/>
      <c r="K158" s="177"/>
      <c r="L158" s="177"/>
      <c r="M158" s="177"/>
      <c r="N158" s="177"/>
    </row>
    <row r="159">
      <c r="A159" s="177"/>
      <c r="B159" s="177"/>
      <c r="C159" s="177"/>
      <c r="D159" s="177"/>
      <c r="E159" s="177"/>
      <c r="F159" s="177"/>
      <c r="G159" s="177"/>
      <c r="H159" s="177"/>
      <c r="I159" s="177"/>
      <c r="J159" s="177"/>
      <c r="K159" s="177"/>
      <c r="L159" s="177"/>
      <c r="M159" s="177"/>
      <c r="N159" s="177"/>
    </row>
    <row r="160">
      <c r="A160" s="177"/>
      <c r="B160" s="177"/>
      <c r="C160" s="177"/>
      <c r="D160" s="177"/>
      <c r="E160" s="177"/>
      <c r="F160" s="177"/>
      <c r="G160" s="177"/>
      <c r="H160" s="177"/>
      <c r="I160" s="177"/>
      <c r="J160" s="177"/>
      <c r="K160" s="177"/>
      <c r="L160" s="177"/>
      <c r="M160" s="177"/>
      <c r="N160" s="177"/>
    </row>
    <row r="161">
      <c r="A161" s="177"/>
      <c r="B161" s="177"/>
      <c r="C161" s="177"/>
      <c r="D161" s="177"/>
      <c r="E161" s="177"/>
      <c r="F161" s="177"/>
      <c r="G161" s="177"/>
      <c r="H161" s="177"/>
      <c r="I161" s="177"/>
      <c r="J161" s="177"/>
      <c r="K161" s="177"/>
      <c r="L161" s="177"/>
      <c r="M161" s="177"/>
      <c r="N161" s="177"/>
    </row>
    <row r="162">
      <c r="A162" s="177"/>
      <c r="B162" s="177"/>
      <c r="C162" s="177"/>
      <c r="D162" s="177"/>
      <c r="E162" s="177"/>
      <c r="F162" s="177"/>
      <c r="G162" s="177"/>
      <c r="H162" s="177"/>
      <c r="I162" s="177"/>
      <c r="J162" s="177"/>
      <c r="K162" s="177"/>
      <c r="L162" s="177"/>
      <c r="M162" s="177"/>
      <c r="N162" s="177"/>
    </row>
    <row r="163">
      <c r="A163" s="177"/>
      <c r="B163" s="177"/>
      <c r="C163" s="177"/>
      <c r="D163" s="177"/>
      <c r="E163" s="177"/>
      <c r="F163" s="177"/>
      <c r="G163" s="177"/>
      <c r="H163" s="177"/>
      <c r="I163" s="177"/>
      <c r="J163" s="177"/>
      <c r="K163" s="177"/>
      <c r="L163" s="177"/>
      <c r="M163" s="177"/>
      <c r="N163" s="177"/>
    </row>
    <row r="164">
      <c r="A164" s="177"/>
      <c r="B164" s="177"/>
      <c r="C164" s="177"/>
      <c r="D164" s="177"/>
      <c r="E164" s="177"/>
      <c r="F164" s="177"/>
      <c r="G164" s="177"/>
      <c r="H164" s="177"/>
      <c r="I164" s="177"/>
      <c r="J164" s="177"/>
      <c r="K164" s="177"/>
      <c r="L164" s="177"/>
      <c r="M164" s="177"/>
      <c r="N164" s="177"/>
    </row>
    <row r="165">
      <c r="A165" s="177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</row>
    <row r="166">
      <c r="A166" s="177"/>
      <c r="B166" s="177"/>
      <c r="C166" s="177"/>
      <c r="D166" s="177"/>
      <c r="E166" s="177"/>
      <c r="F166" s="177"/>
      <c r="G166" s="177"/>
      <c r="H166" s="177"/>
      <c r="I166" s="177"/>
      <c r="J166" s="177"/>
      <c r="K166" s="177"/>
      <c r="L166" s="177"/>
      <c r="M166" s="177"/>
      <c r="N166" s="177"/>
    </row>
    <row r="167">
      <c r="A167" s="177"/>
      <c r="B167" s="177"/>
      <c r="C167" s="177"/>
      <c r="D167" s="177"/>
      <c r="E167" s="177"/>
      <c r="F167" s="177"/>
      <c r="G167" s="177"/>
      <c r="H167" s="177"/>
      <c r="I167" s="177"/>
      <c r="J167" s="177"/>
      <c r="K167" s="177"/>
      <c r="L167" s="177"/>
      <c r="M167" s="177"/>
      <c r="N167" s="177"/>
    </row>
    <row r="168">
      <c r="A168" s="177"/>
      <c r="B168" s="177"/>
      <c r="C168" s="177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7"/>
    </row>
    <row r="169">
      <c r="A169" s="177"/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  <c r="L169" s="177"/>
      <c r="M169" s="177"/>
      <c r="N169" s="177"/>
    </row>
    <row r="170">
      <c r="A170" s="177"/>
      <c r="B170" s="177"/>
      <c r="C170" s="177"/>
      <c r="D170" s="177"/>
      <c r="E170" s="177"/>
      <c r="F170" s="177"/>
      <c r="G170" s="177"/>
      <c r="H170" s="177"/>
      <c r="I170" s="177"/>
      <c r="J170" s="177"/>
      <c r="K170" s="177"/>
      <c r="L170" s="177"/>
      <c r="M170" s="177"/>
      <c r="N170" s="177"/>
    </row>
    <row r="171">
      <c r="A171" s="177"/>
      <c r="B171" s="177"/>
      <c r="C171" s="177"/>
      <c r="D171" s="177"/>
      <c r="E171" s="177"/>
      <c r="F171" s="177"/>
      <c r="G171" s="177"/>
      <c r="H171" s="177"/>
      <c r="I171" s="177"/>
      <c r="J171" s="177"/>
      <c r="K171" s="177"/>
      <c r="L171" s="177"/>
      <c r="M171" s="177"/>
      <c r="N171" s="177"/>
    </row>
    <row r="172">
      <c r="A172" s="177"/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  <c r="L172" s="177"/>
      <c r="M172" s="177"/>
      <c r="N172" s="177"/>
    </row>
    <row r="173">
      <c r="A173" s="177"/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  <c r="L173" s="177"/>
      <c r="M173" s="177"/>
      <c r="N173" s="177"/>
    </row>
    <row r="174">
      <c r="A174" s="177"/>
      <c r="B174" s="177"/>
      <c r="C174" s="177"/>
      <c r="D174" s="177"/>
      <c r="E174" s="177"/>
      <c r="F174" s="177"/>
      <c r="G174" s="177"/>
      <c r="H174" s="177"/>
      <c r="I174" s="177"/>
      <c r="J174" s="177"/>
      <c r="K174" s="177"/>
      <c r="L174" s="177"/>
      <c r="M174" s="177"/>
      <c r="N174" s="177"/>
    </row>
    <row r="175">
      <c r="A175" s="177"/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  <c r="L175" s="177"/>
      <c r="M175" s="177"/>
      <c r="N175" s="177"/>
    </row>
    <row r="176">
      <c r="A176" s="177"/>
      <c r="B176" s="177"/>
      <c r="C176" s="177"/>
      <c r="D176" s="177"/>
      <c r="E176" s="177"/>
      <c r="F176" s="177"/>
      <c r="G176" s="177"/>
      <c r="H176" s="177"/>
      <c r="I176" s="177"/>
      <c r="J176" s="177"/>
      <c r="K176" s="177"/>
      <c r="L176" s="177"/>
      <c r="M176" s="177"/>
      <c r="N176" s="177"/>
    </row>
    <row r="177">
      <c r="A177" s="177"/>
      <c r="B177" s="177"/>
      <c r="C177" s="177"/>
      <c r="D177" s="177"/>
      <c r="E177" s="177"/>
      <c r="F177" s="177"/>
      <c r="G177" s="177"/>
      <c r="H177" s="177"/>
      <c r="I177" s="177"/>
      <c r="J177" s="177"/>
      <c r="K177" s="177"/>
      <c r="L177" s="177"/>
      <c r="M177" s="177"/>
      <c r="N177" s="177"/>
    </row>
    <row r="178">
      <c r="A178" s="177"/>
      <c r="B178" s="177"/>
      <c r="C178" s="177"/>
      <c r="D178" s="177"/>
      <c r="E178" s="177"/>
      <c r="F178" s="177"/>
      <c r="G178" s="177"/>
      <c r="H178" s="177"/>
      <c r="I178" s="177"/>
      <c r="J178" s="177"/>
      <c r="K178" s="177"/>
      <c r="L178" s="177"/>
      <c r="M178" s="177"/>
      <c r="N178" s="177"/>
    </row>
    <row r="179">
      <c r="A179" s="177"/>
      <c r="B179" s="177"/>
      <c r="C179" s="177"/>
      <c r="D179" s="177"/>
      <c r="E179" s="177"/>
      <c r="F179" s="177"/>
      <c r="G179" s="177"/>
      <c r="H179" s="177"/>
      <c r="I179" s="177"/>
      <c r="J179" s="177"/>
      <c r="K179" s="177"/>
      <c r="L179" s="177"/>
      <c r="M179" s="177"/>
      <c r="N179" s="177"/>
    </row>
    <row r="180">
      <c r="A180" s="177"/>
      <c r="B180" s="177"/>
      <c r="C180" s="177"/>
      <c r="D180" s="177"/>
      <c r="E180" s="177"/>
      <c r="F180" s="177"/>
      <c r="G180" s="177"/>
      <c r="H180" s="177"/>
      <c r="I180" s="177"/>
      <c r="J180" s="177"/>
      <c r="K180" s="177"/>
      <c r="L180" s="177"/>
      <c r="M180" s="177"/>
      <c r="N180" s="177"/>
    </row>
    <row r="181">
      <c r="A181" s="177"/>
      <c r="B181" s="177"/>
      <c r="C181" s="177"/>
      <c r="D181" s="177"/>
      <c r="E181" s="177"/>
      <c r="F181" s="177"/>
      <c r="G181" s="177"/>
      <c r="H181" s="177"/>
      <c r="I181" s="177"/>
      <c r="J181" s="177"/>
      <c r="K181" s="177"/>
      <c r="L181" s="177"/>
      <c r="M181" s="177"/>
      <c r="N181" s="177"/>
    </row>
    <row r="182">
      <c r="A182" s="177"/>
      <c r="B182" s="177"/>
      <c r="C182" s="177"/>
      <c r="D182" s="177"/>
      <c r="E182" s="177"/>
      <c r="F182" s="177"/>
      <c r="G182" s="177"/>
      <c r="H182" s="177"/>
      <c r="I182" s="177"/>
      <c r="J182" s="177"/>
      <c r="K182" s="177"/>
      <c r="L182" s="177"/>
      <c r="M182" s="177"/>
      <c r="N182" s="177"/>
    </row>
    <row r="183">
      <c r="A183" s="177"/>
      <c r="B183" s="177"/>
      <c r="C183" s="177"/>
      <c r="D183" s="177"/>
      <c r="E183" s="177"/>
      <c r="F183" s="177"/>
      <c r="G183" s="177"/>
      <c r="H183" s="177"/>
      <c r="I183" s="177"/>
      <c r="J183" s="177"/>
      <c r="K183" s="177"/>
      <c r="L183" s="177"/>
      <c r="M183" s="177"/>
      <c r="N183" s="177"/>
    </row>
    <row r="184">
      <c r="A184" s="177"/>
      <c r="B184" s="177"/>
      <c r="C184" s="177"/>
      <c r="D184" s="177"/>
      <c r="E184" s="177"/>
      <c r="F184" s="177"/>
      <c r="G184" s="177"/>
      <c r="H184" s="177"/>
      <c r="I184" s="177"/>
      <c r="J184" s="177"/>
      <c r="K184" s="177"/>
      <c r="L184" s="177"/>
      <c r="M184" s="177"/>
      <c r="N184" s="177"/>
    </row>
    <row r="185">
      <c r="A185" s="177"/>
      <c r="B185" s="177"/>
      <c r="C185" s="177"/>
      <c r="D185" s="177"/>
      <c r="E185" s="177"/>
      <c r="F185" s="177"/>
      <c r="G185" s="177"/>
      <c r="H185" s="177"/>
      <c r="I185" s="177"/>
      <c r="J185" s="177"/>
      <c r="K185" s="177"/>
      <c r="L185" s="177"/>
      <c r="M185" s="177"/>
      <c r="N185" s="177"/>
    </row>
    <row r="186">
      <c r="A186" s="177"/>
      <c r="B186" s="177"/>
      <c r="C186" s="177"/>
      <c r="D186" s="177"/>
      <c r="E186" s="177"/>
      <c r="F186" s="177"/>
      <c r="G186" s="177"/>
      <c r="H186" s="177"/>
      <c r="I186" s="177"/>
      <c r="J186" s="177"/>
      <c r="K186" s="177"/>
      <c r="L186" s="177"/>
      <c r="M186" s="177"/>
      <c r="N186" s="177"/>
    </row>
    <row r="187">
      <c r="A187" s="177"/>
      <c r="B187" s="177"/>
      <c r="C187" s="177"/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</row>
    <row r="188">
      <c r="A188" s="177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</row>
    <row r="189">
      <c r="A189" s="177"/>
      <c r="B189" s="177"/>
      <c r="C189" s="177"/>
      <c r="D189" s="177"/>
      <c r="E189" s="177"/>
      <c r="F189" s="177"/>
      <c r="G189" s="177"/>
      <c r="H189" s="177"/>
      <c r="I189" s="177"/>
      <c r="J189" s="177"/>
      <c r="K189" s="177"/>
      <c r="L189" s="177"/>
      <c r="M189" s="177"/>
      <c r="N189" s="177"/>
    </row>
    <row r="190">
      <c r="A190" s="177"/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</row>
    <row r="191">
      <c r="A191" s="177"/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</row>
    <row r="192">
      <c r="A192" s="177"/>
      <c r="B192" s="177"/>
      <c r="C192" s="177"/>
      <c r="D192" s="177"/>
      <c r="E192" s="177"/>
      <c r="F192" s="177"/>
      <c r="G192" s="177"/>
      <c r="H192" s="177"/>
      <c r="I192" s="177"/>
      <c r="J192" s="177"/>
      <c r="K192" s="177"/>
      <c r="L192" s="177"/>
      <c r="M192" s="177"/>
      <c r="N192" s="177"/>
    </row>
    <row r="193">
      <c r="A193" s="177"/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  <c r="N193" s="177"/>
    </row>
    <row r="194">
      <c r="A194" s="177"/>
      <c r="B194" s="177"/>
      <c r="C194" s="177"/>
      <c r="D194" s="177"/>
      <c r="E194" s="177"/>
      <c r="F194" s="177"/>
      <c r="G194" s="177"/>
      <c r="H194" s="177"/>
      <c r="I194" s="177"/>
      <c r="J194" s="177"/>
      <c r="K194" s="177"/>
      <c r="L194" s="177"/>
      <c r="M194" s="177"/>
      <c r="N194" s="177"/>
    </row>
    <row r="195">
      <c r="A195" s="177"/>
      <c r="B195" s="177"/>
      <c r="C195" s="177"/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</row>
    <row r="196">
      <c r="A196" s="177"/>
      <c r="B196" s="177"/>
      <c r="C196" s="177"/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</row>
    <row r="197">
      <c r="A197" s="177"/>
      <c r="B197" s="177"/>
      <c r="C197" s="177"/>
      <c r="D197" s="177"/>
      <c r="E197" s="177"/>
      <c r="F197" s="177"/>
      <c r="G197" s="177"/>
      <c r="H197" s="177"/>
      <c r="I197" s="177"/>
      <c r="J197" s="177"/>
      <c r="K197" s="177"/>
      <c r="L197" s="177"/>
      <c r="M197" s="177"/>
      <c r="N197" s="177"/>
    </row>
    <row r="198">
      <c r="A198" s="177"/>
      <c r="B198" s="177"/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</row>
    <row r="199">
      <c r="A199" s="177"/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</row>
    <row r="200">
      <c r="A200" s="177"/>
      <c r="B200" s="177"/>
      <c r="C200" s="177"/>
      <c r="D200" s="177"/>
      <c r="E200" s="177"/>
      <c r="F200" s="177"/>
      <c r="G200" s="177"/>
      <c r="H200" s="177"/>
      <c r="I200" s="177"/>
      <c r="J200" s="177"/>
      <c r="K200" s="177"/>
      <c r="L200" s="177"/>
      <c r="M200" s="177"/>
      <c r="N200" s="177"/>
    </row>
    <row r="201">
      <c r="A201" s="177"/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</row>
    <row r="202">
      <c r="A202" s="177"/>
      <c r="B202" s="177"/>
      <c r="C202" s="177"/>
      <c r="D202" s="177"/>
      <c r="E202" s="177"/>
      <c r="F202" s="177"/>
      <c r="G202" s="177"/>
      <c r="H202" s="177"/>
      <c r="I202" s="177"/>
      <c r="J202" s="177"/>
      <c r="K202" s="177"/>
      <c r="L202" s="177"/>
      <c r="M202" s="177"/>
      <c r="N202" s="177"/>
    </row>
    <row r="203">
      <c r="A203" s="177"/>
      <c r="B203" s="177"/>
      <c r="C203" s="177"/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</row>
    <row r="204">
      <c r="A204" s="177"/>
      <c r="B204" s="177"/>
      <c r="C204" s="177"/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</row>
    <row r="205">
      <c r="A205" s="177"/>
      <c r="B205" s="177"/>
      <c r="C205" s="177"/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</row>
    <row r="206">
      <c r="A206" s="177"/>
      <c r="B206" s="177"/>
      <c r="C206" s="177"/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</row>
    <row r="207">
      <c r="A207" s="177"/>
      <c r="B207" s="177"/>
      <c r="C207" s="177"/>
      <c r="D207" s="177"/>
      <c r="E207" s="177"/>
      <c r="F207" s="177"/>
      <c r="G207" s="177"/>
      <c r="H207" s="177"/>
      <c r="I207" s="177"/>
      <c r="J207" s="177"/>
      <c r="K207" s="177"/>
      <c r="L207" s="177"/>
      <c r="M207" s="177"/>
      <c r="N207" s="177"/>
    </row>
    <row r="208">
      <c r="A208" s="177"/>
      <c r="B208" s="177"/>
      <c r="C208" s="177"/>
      <c r="D208" s="177"/>
      <c r="E208" s="177"/>
      <c r="F208" s="177"/>
      <c r="G208" s="177"/>
      <c r="H208" s="177"/>
      <c r="I208" s="177"/>
      <c r="J208" s="177"/>
      <c r="K208" s="177"/>
      <c r="L208" s="177"/>
      <c r="M208" s="177"/>
      <c r="N208" s="177"/>
    </row>
    <row r="209">
      <c r="A209" s="177"/>
      <c r="B209" s="177"/>
      <c r="C209" s="177"/>
      <c r="D209" s="177"/>
      <c r="E209" s="177"/>
      <c r="F209" s="177"/>
      <c r="G209" s="177"/>
      <c r="H209" s="177"/>
      <c r="I209" s="177"/>
      <c r="J209" s="177"/>
      <c r="K209" s="177"/>
      <c r="L209" s="177"/>
      <c r="M209" s="177"/>
      <c r="N209" s="177"/>
    </row>
    <row r="210">
      <c r="A210" s="177"/>
      <c r="B210" s="177"/>
      <c r="C210" s="177"/>
      <c r="D210" s="177"/>
      <c r="E210" s="177"/>
      <c r="F210" s="177"/>
      <c r="G210" s="177"/>
      <c r="H210" s="177"/>
      <c r="I210" s="177"/>
      <c r="J210" s="177"/>
      <c r="K210" s="177"/>
      <c r="L210" s="177"/>
      <c r="M210" s="177"/>
      <c r="N210" s="177"/>
    </row>
    <row r="211">
      <c r="A211" s="177"/>
      <c r="B211" s="177"/>
      <c r="C211" s="177"/>
      <c r="D211" s="177"/>
      <c r="E211" s="177"/>
      <c r="F211" s="177"/>
      <c r="G211" s="177"/>
      <c r="H211" s="177"/>
      <c r="I211" s="177"/>
      <c r="J211" s="177"/>
      <c r="K211" s="177"/>
      <c r="L211" s="177"/>
      <c r="M211" s="177"/>
      <c r="N211" s="177"/>
    </row>
    <row r="212">
      <c r="A212" s="177"/>
      <c r="B212" s="177"/>
      <c r="C212" s="177"/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  <c r="N212" s="177"/>
    </row>
    <row r="213">
      <c r="A213" s="177"/>
      <c r="B213" s="177"/>
      <c r="C213" s="177"/>
      <c r="D213" s="177"/>
      <c r="E213" s="177"/>
      <c r="F213" s="177"/>
      <c r="G213" s="177"/>
      <c r="H213" s="177"/>
      <c r="I213" s="177"/>
      <c r="J213" s="177"/>
      <c r="K213" s="177"/>
      <c r="L213" s="177"/>
      <c r="M213" s="177"/>
      <c r="N213" s="177"/>
    </row>
    <row r="214">
      <c r="A214" s="177"/>
      <c r="B214" s="177"/>
      <c r="C214" s="177"/>
      <c r="D214" s="177"/>
      <c r="E214" s="177"/>
      <c r="F214" s="177"/>
      <c r="G214" s="177"/>
      <c r="H214" s="177"/>
      <c r="I214" s="177"/>
      <c r="J214" s="177"/>
      <c r="K214" s="177"/>
      <c r="L214" s="177"/>
      <c r="M214" s="177"/>
      <c r="N214" s="177"/>
    </row>
    <row r="215">
      <c r="A215" s="177"/>
      <c r="B215" s="177"/>
      <c r="C215" s="177"/>
      <c r="D215" s="177"/>
      <c r="E215" s="177"/>
      <c r="F215" s="177"/>
      <c r="G215" s="177"/>
      <c r="H215" s="177"/>
      <c r="I215" s="177"/>
      <c r="J215" s="177"/>
      <c r="K215" s="177"/>
      <c r="L215" s="177"/>
      <c r="M215" s="177"/>
      <c r="N215" s="177"/>
    </row>
    <row r="216">
      <c r="A216" s="177"/>
      <c r="B216" s="177"/>
      <c r="C216" s="177"/>
      <c r="D216" s="177"/>
      <c r="E216" s="177"/>
      <c r="F216" s="177"/>
      <c r="G216" s="177"/>
      <c r="H216" s="177"/>
      <c r="I216" s="177"/>
      <c r="J216" s="177"/>
      <c r="K216" s="177"/>
      <c r="L216" s="177"/>
      <c r="M216" s="177"/>
      <c r="N216" s="177"/>
    </row>
    <row r="217">
      <c r="A217" s="177"/>
      <c r="B217" s="177"/>
      <c r="C217" s="177"/>
      <c r="D217" s="177"/>
      <c r="E217" s="177"/>
      <c r="F217" s="177"/>
      <c r="G217" s="177"/>
      <c r="H217" s="177"/>
      <c r="I217" s="177"/>
      <c r="J217" s="177"/>
      <c r="K217" s="177"/>
      <c r="L217" s="177"/>
      <c r="M217" s="177"/>
      <c r="N217" s="177"/>
    </row>
    <row r="218">
      <c r="A218" s="177"/>
      <c r="B218" s="177"/>
      <c r="C218" s="177"/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</row>
    <row r="219">
      <c r="A219" s="177"/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</row>
    <row r="220">
      <c r="A220" s="177"/>
      <c r="B220" s="177"/>
      <c r="C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</row>
    <row r="221">
      <c r="A221" s="177"/>
      <c r="B221" s="177"/>
      <c r="C221" s="177"/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</row>
    <row r="222">
      <c r="A222" s="177"/>
      <c r="B222" s="177"/>
      <c r="C222" s="177"/>
      <c r="D222" s="177"/>
      <c r="E222" s="177"/>
      <c r="F222" s="177"/>
      <c r="G222" s="177"/>
      <c r="H222" s="177"/>
      <c r="I222" s="177"/>
      <c r="J222" s="177"/>
      <c r="K222" s="177"/>
      <c r="L222" s="177"/>
      <c r="M222" s="177"/>
      <c r="N222" s="177"/>
    </row>
    <row r="223">
      <c r="A223" s="177"/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</row>
    <row r="224">
      <c r="A224" s="177"/>
      <c r="B224" s="177"/>
      <c r="C224" s="177"/>
      <c r="D224" s="177"/>
      <c r="E224" s="177"/>
      <c r="F224" s="177"/>
      <c r="G224" s="177"/>
      <c r="H224" s="177"/>
      <c r="I224" s="177"/>
      <c r="J224" s="177"/>
      <c r="K224" s="177"/>
      <c r="L224" s="177"/>
      <c r="M224" s="177"/>
      <c r="N224" s="177"/>
    </row>
    <row r="225">
      <c r="A225" s="177"/>
      <c r="B225" s="177"/>
      <c r="C225" s="177"/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</row>
    <row r="226">
      <c r="A226" s="177"/>
      <c r="B226" s="177"/>
      <c r="C226" s="177"/>
      <c r="D226" s="177"/>
      <c r="E226" s="177"/>
      <c r="F226" s="177"/>
      <c r="G226" s="177"/>
      <c r="H226" s="177"/>
      <c r="I226" s="177"/>
      <c r="J226" s="177"/>
      <c r="K226" s="177"/>
      <c r="L226" s="177"/>
      <c r="M226" s="177"/>
      <c r="N226" s="177"/>
    </row>
    <row r="227">
      <c r="A227" s="177"/>
      <c r="B227" s="177"/>
      <c r="C227" s="177"/>
      <c r="D227" s="177"/>
      <c r="E227" s="177"/>
      <c r="F227" s="177"/>
      <c r="G227" s="177"/>
      <c r="H227" s="177"/>
      <c r="I227" s="177"/>
      <c r="J227" s="177"/>
      <c r="K227" s="177"/>
      <c r="L227" s="177"/>
      <c r="M227" s="177"/>
      <c r="N227" s="177"/>
    </row>
    <row r="228">
      <c r="A228" s="177"/>
      <c r="B228" s="177"/>
      <c r="C228" s="177"/>
      <c r="D228" s="177"/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</row>
    <row r="229">
      <c r="A229" s="177"/>
      <c r="B229" s="177"/>
      <c r="C229" s="177"/>
      <c r="D229" s="177"/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</row>
    <row r="230">
      <c r="A230" s="177"/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</row>
    <row r="231">
      <c r="A231" s="177"/>
      <c r="B231" s="177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</row>
    <row r="232">
      <c r="A232" s="177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</row>
    <row r="233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</row>
    <row r="234">
      <c r="A234" s="177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</row>
    <row r="235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</row>
    <row r="236">
      <c r="A236" s="177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</row>
    <row r="237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</row>
    <row r="238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</row>
    <row r="239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</row>
    <row r="240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</row>
    <row r="24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</row>
    <row r="242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</row>
    <row r="243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</row>
    <row r="244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</row>
    <row r="245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</row>
    <row r="246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</row>
    <row r="247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</row>
    <row r="248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</row>
    <row r="249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</row>
    <row r="250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</row>
    <row r="25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</row>
    <row r="252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</row>
    <row r="253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</row>
    <row r="254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</row>
    <row r="255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</row>
    <row r="256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</row>
    <row r="257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</row>
    <row r="258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</row>
    <row r="259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</row>
    <row r="260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</row>
    <row r="26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</row>
    <row r="262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</row>
    <row r="263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</row>
    <row r="264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</row>
    <row r="265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</row>
    <row r="266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</row>
    <row r="267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</row>
    <row r="268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</row>
    <row r="269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</row>
    <row r="270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</row>
    <row r="27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</row>
    <row r="272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</row>
    <row r="273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</row>
    <row r="274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</row>
    <row r="275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</row>
    <row r="276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</row>
    <row r="277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</row>
    <row r="278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</row>
    <row r="279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</row>
    <row r="280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</row>
    <row r="28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</row>
    <row r="282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</row>
    <row r="283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</row>
    <row r="284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</row>
    <row r="285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</row>
    <row r="286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</row>
    <row r="287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</row>
    <row r="288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</row>
    <row r="289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</row>
    <row r="290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</row>
    <row r="29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</row>
    <row r="292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</row>
    <row r="293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</row>
    <row r="294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</row>
    <row r="295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</row>
    <row r="296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</row>
    <row r="297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</row>
    <row r="298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</row>
    <row r="299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</row>
    <row r="300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</row>
    <row r="30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</row>
    <row r="302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</row>
    <row r="303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</row>
    <row r="304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</row>
    <row r="305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</row>
    <row r="306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</row>
    <row r="307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</row>
    <row r="308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</row>
    <row r="309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</row>
    <row r="310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</row>
    <row r="31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</row>
    <row r="312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</row>
    <row r="313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</row>
    <row r="314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</row>
    <row r="315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</row>
    <row r="316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</row>
    <row r="317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</row>
    <row r="318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</row>
    <row r="319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</row>
    <row r="320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</row>
    <row r="32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</row>
    <row r="322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</row>
    <row r="323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</row>
    <row r="324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</row>
    <row r="325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</row>
    <row r="326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</row>
    <row r="327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</row>
    <row r="328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</row>
    <row r="329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</row>
    <row r="330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</row>
    <row r="33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</row>
    <row r="332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</row>
    <row r="333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</row>
    <row r="334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</row>
    <row r="335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</row>
    <row r="336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</row>
    <row r="337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</row>
    <row r="338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</row>
    <row r="339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</row>
    <row r="340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</row>
    <row r="34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</row>
    <row r="342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</row>
    <row r="343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</row>
    <row r="344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</row>
    <row r="345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</row>
    <row r="346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</row>
    <row r="347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</row>
    <row r="348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</row>
    <row r="349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</row>
    <row r="350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</row>
    <row r="35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</row>
    <row r="352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</row>
    <row r="353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</row>
    <row r="354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</row>
    <row r="355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</row>
    <row r="356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</row>
    <row r="357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</row>
    <row r="358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</row>
    <row r="359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</row>
    <row r="360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</row>
    <row r="36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</row>
    <row r="362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</row>
    <row r="363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</row>
    <row r="364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</row>
    <row r="365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</row>
    <row r="366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</row>
    <row r="367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</row>
    <row r="368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</row>
    <row r="369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</row>
    <row r="370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</row>
    <row r="37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</row>
    <row r="372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</row>
    <row r="373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</row>
    <row r="374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</row>
    <row r="375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</row>
    <row r="376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</row>
    <row r="377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</row>
    <row r="378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</row>
    <row r="379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</row>
    <row r="380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</row>
    <row r="38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</row>
    <row r="382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</row>
    <row r="383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</row>
    <row r="384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</row>
    <row r="385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</row>
    <row r="386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</row>
    <row r="387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</row>
    <row r="388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</row>
    <row r="389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</row>
    <row r="390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</row>
    <row r="39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</row>
    <row r="392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</row>
    <row r="393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</row>
    <row r="394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</row>
    <row r="395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</row>
    <row r="396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</row>
    <row r="397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</row>
    <row r="398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</row>
    <row r="399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</row>
    <row r="400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</row>
    <row r="40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</row>
    <row r="402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</row>
    <row r="403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</row>
    <row r="404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</row>
    <row r="405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</row>
    <row r="406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</row>
    <row r="407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</row>
    <row r="408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</row>
    <row r="409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</row>
    <row r="410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</row>
    <row r="41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</row>
    <row r="412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</row>
    <row r="413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</row>
    <row r="414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</row>
    <row r="415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</row>
    <row r="416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</row>
    <row r="417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</row>
    <row r="418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</row>
    <row r="419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</row>
    <row r="420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</row>
    <row r="42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</row>
    <row r="422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</row>
    <row r="423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</row>
    <row r="424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</row>
    <row r="425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</row>
    <row r="426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</row>
    <row r="427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</row>
    <row r="428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</row>
    <row r="429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</row>
    <row r="430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</row>
    <row r="43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</row>
    <row r="432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</row>
    <row r="433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</row>
    <row r="434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</row>
    <row r="435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</row>
    <row r="436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</row>
    <row r="437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</row>
    <row r="438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</row>
    <row r="439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</row>
    <row r="440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</row>
    <row r="44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</row>
    <row r="442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</row>
    <row r="443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</row>
    <row r="444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</row>
    <row r="445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</row>
    <row r="446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</row>
    <row r="447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</row>
    <row r="448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</row>
    <row r="449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</row>
    <row r="450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</row>
    <row r="45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</row>
    <row r="452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</row>
    <row r="453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</row>
    <row r="454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</row>
    <row r="455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</row>
    <row r="456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</row>
    <row r="457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</row>
    <row r="458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</row>
    <row r="459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</row>
    <row r="460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</row>
    <row r="46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</row>
    <row r="462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</row>
    <row r="463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</row>
    <row r="464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</row>
    <row r="465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</row>
    <row r="466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</row>
    <row r="467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</row>
    <row r="468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</row>
    <row r="469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</row>
    <row r="470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</row>
    <row r="47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</row>
    <row r="472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</row>
    <row r="473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</row>
    <row r="474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</row>
    <row r="475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</row>
    <row r="476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</row>
    <row r="477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</row>
    <row r="478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</row>
    <row r="479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</row>
    <row r="480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</row>
    <row r="48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</row>
    <row r="482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</row>
    <row r="483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</row>
    <row r="484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</row>
    <row r="485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</row>
    <row r="486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</row>
    <row r="487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</row>
    <row r="488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</row>
    <row r="489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</row>
    <row r="490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</row>
    <row r="49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</row>
    <row r="492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</row>
    <row r="493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</row>
    <row r="494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</row>
    <row r="495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</row>
    <row r="496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</row>
    <row r="497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</row>
    <row r="498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</row>
    <row r="499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</row>
    <row r="500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</row>
    <row r="50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</row>
    <row r="502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</row>
    <row r="503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</row>
    <row r="504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</row>
    <row r="505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</row>
    <row r="506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</row>
    <row r="507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</row>
    <row r="508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</row>
    <row r="509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</row>
    <row r="510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</row>
    <row r="51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</row>
    <row r="512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</row>
    <row r="513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</row>
    <row r="514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</row>
    <row r="515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</row>
    <row r="516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</row>
    <row r="517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</row>
    <row r="518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</row>
    <row r="519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</row>
    <row r="520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</row>
    <row r="52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</row>
    <row r="522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</row>
    <row r="523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</row>
    <row r="524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</row>
    <row r="525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</row>
    <row r="526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</row>
    <row r="527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</row>
    <row r="528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</row>
    <row r="529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</row>
    <row r="530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</row>
    <row r="53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</row>
    <row r="532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</row>
    <row r="533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</row>
    <row r="534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</row>
    <row r="535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</row>
    <row r="536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</row>
    <row r="537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</row>
    <row r="538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</row>
    <row r="539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</row>
    <row r="540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</row>
    <row r="54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</row>
    <row r="542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</row>
    <row r="543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</row>
    <row r="544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</row>
    <row r="545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</row>
    <row r="546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</row>
    <row r="547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</row>
    <row r="548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</row>
    <row r="549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</row>
    <row r="550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</row>
    <row r="55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</row>
    <row r="552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</row>
    <row r="553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</row>
    <row r="554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</row>
    <row r="555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</row>
    <row r="556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</row>
    <row r="557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</row>
    <row r="558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</row>
    <row r="559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</row>
    <row r="560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</row>
    <row r="56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</row>
    <row r="562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</row>
    <row r="563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</row>
    <row r="564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</row>
    <row r="565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</row>
    <row r="566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</row>
    <row r="567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</row>
    <row r="568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</row>
    <row r="569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</row>
    <row r="570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</row>
    <row r="57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</row>
    <row r="572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</row>
    <row r="573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</row>
    <row r="574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</row>
    <row r="575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</row>
    <row r="576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</row>
    <row r="577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</row>
    <row r="578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</row>
    <row r="579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</row>
    <row r="580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</row>
    <row r="58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</row>
    <row r="582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</row>
    <row r="583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</row>
    <row r="584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</row>
    <row r="585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</row>
    <row r="586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</row>
    <row r="587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</row>
    <row r="588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</row>
    <row r="589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</row>
    <row r="590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</row>
    <row r="59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</row>
    <row r="592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</row>
    <row r="593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</row>
    <row r="594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</row>
    <row r="595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</row>
    <row r="596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</row>
    <row r="597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</row>
    <row r="598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</row>
    <row r="599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</row>
    <row r="600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</row>
    <row r="60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</row>
    <row r="602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</row>
    <row r="603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</row>
    <row r="604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</row>
    <row r="605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</row>
    <row r="606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</row>
    <row r="607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</row>
    <row r="608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</row>
    <row r="609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</row>
    <row r="610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</row>
    <row r="61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</row>
    <row r="612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</row>
    <row r="613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</row>
    <row r="614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</row>
    <row r="615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</row>
    <row r="616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</row>
    <row r="617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</row>
    <row r="618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</row>
    <row r="619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</row>
    <row r="620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</row>
    <row r="62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</row>
    <row r="622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</row>
    <row r="623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</row>
    <row r="624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</row>
    <row r="625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</row>
    <row r="626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</row>
    <row r="627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</row>
    <row r="628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</row>
    <row r="629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</row>
    <row r="630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</row>
    <row r="63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</row>
    <row r="632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</row>
    <row r="633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</row>
    <row r="634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</row>
    <row r="635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</row>
    <row r="636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</row>
    <row r="637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</row>
    <row r="638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</row>
    <row r="639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</row>
    <row r="640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</row>
    <row r="64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</row>
    <row r="642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</row>
    <row r="643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</row>
    <row r="644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</row>
    <row r="645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</row>
    <row r="646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</row>
    <row r="647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</row>
    <row r="648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</row>
    <row r="649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</row>
    <row r="650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</row>
    <row r="65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</row>
    <row r="652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</row>
    <row r="653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</row>
    <row r="654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</row>
    <row r="655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</row>
    <row r="656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</row>
    <row r="657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</row>
    <row r="658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</row>
    <row r="659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</row>
    <row r="660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</row>
    <row r="66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</row>
    <row r="662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</row>
    <row r="663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</row>
    <row r="664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</row>
    <row r="665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</row>
    <row r="666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</row>
    <row r="667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</row>
    <row r="668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</row>
    <row r="669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</row>
    <row r="670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</row>
    <row r="67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</row>
    <row r="672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</row>
    <row r="673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</row>
    <row r="674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</row>
    <row r="675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</row>
    <row r="676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</row>
    <row r="677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</row>
    <row r="678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</row>
    <row r="679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</row>
    <row r="680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</row>
    <row r="68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</row>
    <row r="682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</row>
    <row r="683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</row>
    <row r="684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</row>
    <row r="685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</row>
    <row r="686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</row>
    <row r="687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</row>
    <row r="688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</row>
    <row r="689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</row>
    <row r="690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</row>
    <row r="69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</row>
    <row r="692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</row>
    <row r="693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</row>
    <row r="694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</row>
    <row r="695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</row>
    <row r="696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</row>
    <row r="697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</row>
    <row r="698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</row>
    <row r="699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</row>
    <row r="700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</row>
    <row r="70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</row>
    <row r="702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</row>
    <row r="703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</row>
    <row r="704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</row>
    <row r="705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</row>
    <row r="706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</row>
    <row r="707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</row>
    <row r="708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</row>
    <row r="709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</row>
    <row r="710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</row>
    <row r="71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</row>
    <row r="712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</row>
    <row r="713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</row>
    <row r="714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</row>
    <row r="715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</row>
    <row r="716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</row>
    <row r="717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</row>
    <row r="718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</row>
    <row r="719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</row>
    <row r="720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</row>
    <row r="72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</row>
    <row r="722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</row>
    <row r="723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</row>
    <row r="724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</row>
    <row r="725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</row>
    <row r="726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</row>
    <row r="727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</row>
    <row r="728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</row>
    <row r="729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</row>
    <row r="730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</row>
    <row r="73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</row>
    <row r="732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</row>
    <row r="733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</row>
    <row r="734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</row>
    <row r="735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</row>
    <row r="736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</row>
    <row r="737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</row>
    <row r="738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</row>
    <row r="739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</row>
    <row r="740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</row>
    <row r="74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</row>
    <row r="742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</row>
    <row r="743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</row>
    <row r="744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</row>
    <row r="745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</row>
    <row r="746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</row>
    <row r="747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</row>
    <row r="748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</row>
    <row r="749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</row>
    <row r="750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</row>
    <row r="75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</row>
    <row r="752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</row>
    <row r="753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</row>
    <row r="754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</row>
    <row r="755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</row>
    <row r="756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</row>
    <row r="757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</row>
    <row r="758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</row>
    <row r="759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</row>
    <row r="760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</row>
    <row r="76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</row>
    <row r="762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</row>
    <row r="763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</row>
    <row r="764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</row>
    <row r="765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</row>
    <row r="766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</row>
    <row r="767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</row>
    <row r="768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</row>
    <row r="769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</row>
    <row r="770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</row>
    <row r="77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</row>
    <row r="772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</row>
    <row r="773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</row>
    <row r="774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</row>
    <row r="775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</row>
    <row r="776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</row>
    <row r="777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</row>
    <row r="778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</row>
    <row r="779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</row>
    <row r="780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</row>
    <row r="78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</row>
    <row r="782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</row>
    <row r="783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</row>
    <row r="784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</row>
    <row r="785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</row>
    <row r="786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</row>
    <row r="787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</row>
    <row r="788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</row>
    <row r="789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</row>
    <row r="790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</row>
    <row r="79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</row>
    <row r="792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</row>
    <row r="793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</row>
    <row r="794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</row>
    <row r="795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</row>
    <row r="796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</row>
    <row r="797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</row>
    <row r="798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</row>
    <row r="799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</row>
    <row r="800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</row>
    <row r="80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</row>
    <row r="802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</row>
    <row r="803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</row>
    <row r="804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</row>
    <row r="805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</row>
    <row r="806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</row>
    <row r="807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</row>
    <row r="808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</row>
    <row r="809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</row>
    <row r="810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</row>
    <row r="81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</row>
    <row r="812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</row>
    <row r="813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</row>
    <row r="814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</row>
    <row r="815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</row>
    <row r="816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</row>
    <row r="817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</row>
    <row r="818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</row>
    <row r="819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</row>
    <row r="820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</row>
    <row r="82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</row>
    <row r="822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</row>
    <row r="823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</row>
    <row r="824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</row>
    <row r="825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</row>
    <row r="826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</row>
    <row r="827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</row>
    <row r="828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</row>
    <row r="829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</row>
    <row r="830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</row>
    <row r="83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</row>
    <row r="832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</row>
    <row r="833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</row>
    <row r="834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</row>
    <row r="835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</row>
    <row r="836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</row>
    <row r="837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</row>
    <row r="838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</row>
    <row r="839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</row>
    <row r="840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</row>
    <row r="84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</row>
    <row r="842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</row>
    <row r="843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</row>
    <row r="844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</row>
    <row r="845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</row>
    <row r="846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</row>
    <row r="847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</row>
    <row r="848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</row>
    <row r="849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</row>
    <row r="850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</row>
    <row r="85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</row>
    <row r="852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</row>
    <row r="853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</row>
    <row r="854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</row>
    <row r="855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</row>
    <row r="856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</row>
    <row r="857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</row>
    <row r="858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</row>
    <row r="859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</row>
    <row r="860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</row>
    <row r="86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</row>
    <row r="862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</row>
    <row r="863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</row>
    <row r="864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</row>
    <row r="865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</row>
    <row r="866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</row>
    <row r="867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</row>
    <row r="868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</row>
    <row r="869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</row>
    <row r="870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</row>
    <row r="87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</row>
    <row r="872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</row>
    <row r="873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</row>
    <row r="874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</row>
    <row r="875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</row>
    <row r="876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</row>
    <row r="877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</row>
    <row r="878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</row>
    <row r="879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</row>
    <row r="880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</row>
    <row r="88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</row>
    <row r="882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</row>
    <row r="883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</row>
    <row r="884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</row>
    <row r="885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</row>
    <row r="886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</row>
    <row r="887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</row>
    <row r="888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</row>
    <row r="889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</row>
    <row r="890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</row>
    <row r="89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</row>
    <row r="892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</row>
    <row r="893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</row>
    <row r="894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</row>
    <row r="895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</row>
    <row r="896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</row>
    <row r="897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</row>
    <row r="898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</row>
    <row r="899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</row>
    <row r="900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</row>
    <row r="90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</row>
    <row r="902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</row>
    <row r="903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</row>
    <row r="904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</row>
    <row r="905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</row>
    <row r="906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</row>
    <row r="907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</row>
    <row r="908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</row>
    <row r="909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</row>
    <row r="910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</row>
    <row r="91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</row>
    <row r="912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</row>
    <row r="913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</row>
    <row r="914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</row>
    <row r="915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</row>
    <row r="916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</row>
    <row r="917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</row>
    <row r="918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</row>
    <row r="919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</row>
    <row r="920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</row>
    <row r="92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</row>
    <row r="922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</row>
    <row r="923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</row>
    <row r="924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</row>
    <row r="925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</row>
    <row r="926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</row>
    <row r="927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</row>
    <row r="928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</row>
    <row r="929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</row>
    <row r="930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</row>
    <row r="93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</row>
    <row r="932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</row>
    <row r="933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</row>
    <row r="934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</row>
    <row r="935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</row>
    <row r="936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</row>
    <row r="937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</row>
    <row r="938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</row>
    <row r="939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</row>
    <row r="940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</row>
    <row r="94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</row>
    <row r="942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</row>
    <row r="943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</row>
    <row r="944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</row>
    <row r="945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</row>
    <row r="946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</row>
    <row r="947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</row>
    <row r="948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</row>
    <row r="949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</row>
    <row r="950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</row>
    <row r="95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</row>
    <row r="952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</row>
    <row r="953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</row>
    <row r="954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</row>
    <row r="955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</row>
    <row r="956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</row>
    <row r="957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</row>
    <row r="958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</row>
    <row r="959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</row>
    <row r="960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</row>
    <row r="96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</row>
    <row r="962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</row>
    <row r="963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</row>
    <row r="964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</row>
    <row r="965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</row>
    <row r="966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</row>
    <row r="967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</row>
    <row r="968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</row>
    <row r="969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</row>
    <row r="970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</row>
    <row r="97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</row>
    <row r="972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</row>
    <row r="973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</row>
    <row r="974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</row>
    <row r="975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</row>
    <row r="976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</row>
    <row r="977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</row>
    <row r="978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</row>
    <row r="979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</row>
    <row r="980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</row>
    <row r="98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</row>
    <row r="982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</row>
    <row r="983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</row>
    <row r="984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</row>
    <row r="985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</row>
    <row r="986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</row>
    <row r="987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</row>
    <row r="988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</row>
    <row r="989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</row>
    <row r="990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</row>
    <row r="99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</row>
    <row r="992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</row>
    <row r="993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</row>
    <row r="994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</row>
    <row r="995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</row>
    <row r="996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</row>
    <row r="997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</row>
    <row r="998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</row>
    <row r="999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</row>
    <row r="1000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177"/>
      <c r="N1000" s="177"/>
    </row>
    <row r="1001">
      <c r="A1001" s="177"/>
      <c r="B1001" s="177"/>
      <c r="C1001" s="177"/>
      <c r="D1001" s="177"/>
      <c r="E1001" s="177"/>
      <c r="F1001" s="177"/>
      <c r="G1001" s="177"/>
      <c r="H1001" s="177"/>
      <c r="I1001" s="177"/>
      <c r="J1001" s="177"/>
      <c r="K1001" s="177"/>
      <c r="L1001" s="177"/>
      <c r="M1001" s="177"/>
      <c r="N1001" s="177"/>
    </row>
    <row r="1002">
      <c r="A1002" s="177"/>
      <c r="B1002" s="177"/>
      <c r="C1002" s="177"/>
      <c r="D1002" s="177"/>
      <c r="E1002" s="177"/>
      <c r="F1002" s="177"/>
      <c r="G1002" s="177"/>
      <c r="H1002" s="177"/>
      <c r="I1002" s="177"/>
      <c r="J1002" s="177"/>
      <c r="K1002" s="177"/>
      <c r="L1002" s="177"/>
      <c r="M1002" s="177"/>
      <c r="N1002" s="177"/>
    </row>
    <row r="1003">
      <c r="A1003" s="177"/>
      <c r="B1003" s="177"/>
      <c r="C1003" s="177"/>
      <c r="D1003" s="177"/>
      <c r="E1003" s="177"/>
      <c r="F1003" s="177"/>
      <c r="G1003" s="177"/>
      <c r="H1003" s="177"/>
      <c r="I1003" s="177"/>
      <c r="J1003" s="177"/>
      <c r="K1003" s="177"/>
      <c r="L1003" s="177"/>
      <c r="M1003" s="177"/>
      <c r="N1003" s="177"/>
    </row>
    <row r="1004">
      <c r="A1004" s="177"/>
      <c r="B1004" s="177"/>
      <c r="C1004" s="177"/>
      <c r="D1004" s="177"/>
      <c r="E1004" s="177"/>
      <c r="F1004" s="177"/>
      <c r="G1004" s="177"/>
      <c r="H1004" s="177"/>
      <c r="I1004" s="177"/>
      <c r="J1004" s="177"/>
      <c r="K1004" s="177"/>
      <c r="L1004" s="177"/>
      <c r="M1004" s="177"/>
      <c r="N1004" s="177"/>
    </row>
    <row r="1005">
      <c r="A1005" s="177"/>
      <c r="B1005" s="177"/>
      <c r="C1005" s="177"/>
      <c r="D1005" s="177"/>
      <c r="E1005" s="177"/>
      <c r="F1005" s="177"/>
      <c r="G1005" s="177"/>
      <c r="H1005" s="177"/>
      <c r="I1005" s="177"/>
      <c r="J1005" s="177"/>
      <c r="K1005" s="177"/>
      <c r="L1005" s="177"/>
      <c r="M1005" s="177"/>
      <c r="N1005" s="177"/>
    </row>
    <row r="1006">
      <c r="A1006" s="177"/>
      <c r="B1006" s="177"/>
      <c r="C1006" s="177"/>
      <c r="D1006" s="177"/>
      <c r="E1006" s="177"/>
      <c r="F1006" s="177"/>
      <c r="G1006" s="177"/>
      <c r="H1006" s="177"/>
      <c r="I1006" s="177"/>
      <c r="J1006" s="177"/>
      <c r="K1006" s="177"/>
      <c r="L1006" s="177"/>
      <c r="M1006" s="177"/>
      <c r="N1006" s="177"/>
    </row>
    <row r="1007">
      <c r="A1007" s="177"/>
      <c r="B1007" s="177"/>
      <c r="C1007" s="177"/>
      <c r="D1007" s="177"/>
      <c r="E1007" s="177"/>
      <c r="F1007" s="177"/>
      <c r="G1007" s="177"/>
      <c r="H1007" s="177"/>
      <c r="I1007" s="177"/>
      <c r="J1007" s="177"/>
      <c r="K1007" s="177"/>
      <c r="L1007" s="177"/>
      <c r="M1007" s="177"/>
      <c r="N1007" s="177"/>
    </row>
  </sheetData>
  <conditionalFormatting sqref="C63:N63">
    <cfRule type="cellIs" dxfId="0" priority="1" operator="greaterThan">
      <formula>0</formula>
    </cfRule>
  </conditionalFormatting>
  <conditionalFormatting sqref="C63:N63">
    <cfRule type="cellIs" dxfId="1" priority="2" operator="lessThan">
      <formula>0</formula>
    </cfRule>
  </conditionalFormatting>
  <conditionalFormatting sqref="C26:N26">
    <cfRule type="cellIs" dxfId="2" priority="3" operator="lessThanOrEqual">
      <formula>"50%"</formula>
    </cfRule>
  </conditionalFormatting>
  <conditionalFormatting sqref="C26:N26">
    <cfRule type="cellIs" dxfId="3" priority="4" operator="greaterThanOrEqual">
      <formula>"50%"</formula>
    </cfRule>
  </conditionalFormatting>
  <conditionalFormatting sqref="C42:N42">
    <cfRule type="cellIs" dxfId="2" priority="5" operator="lessThanOrEqual">
      <formula>"30%"</formula>
    </cfRule>
  </conditionalFormatting>
  <conditionalFormatting sqref="C42:N42">
    <cfRule type="cellIs" dxfId="3" priority="6" operator="greaterThanOrEqual">
      <formula>"30%"</formula>
    </cfRule>
  </conditionalFormatting>
  <conditionalFormatting sqref="C59:N59">
    <cfRule type="cellIs" dxfId="3" priority="7" operator="greaterThan">
      <formula>"20%"</formula>
    </cfRule>
  </conditionalFormatting>
  <conditionalFormatting sqref="C59:N59">
    <cfRule type="cellIs" dxfId="20" priority="8" operator="lessThanOrEqual">
      <formula>"20%"</formula>
    </cfRule>
  </conditionalFormatting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9.38"/>
    <col customWidth="1" min="2" max="2" width="32.75"/>
  </cols>
  <sheetData>
    <row r="1" ht="20.25" customHeight="1">
      <c r="A1" s="123" t="s">
        <v>94</v>
      </c>
      <c r="B1" s="123"/>
      <c r="C1" s="1175" t="s">
        <v>131</v>
      </c>
      <c r="D1" s="1175" t="s">
        <v>132</v>
      </c>
      <c r="E1" s="1175" t="s">
        <v>133</v>
      </c>
      <c r="F1" s="1175" t="s">
        <v>134</v>
      </c>
      <c r="G1" s="1175" t="s">
        <v>135</v>
      </c>
      <c r="H1" s="1175" t="s">
        <v>136</v>
      </c>
      <c r="I1" s="1175" t="s">
        <v>137</v>
      </c>
      <c r="J1" s="1175" t="s">
        <v>138</v>
      </c>
      <c r="K1" s="1175" t="s">
        <v>139</v>
      </c>
      <c r="L1" s="1175" t="s">
        <v>140</v>
      </c>
      <c r="M1" s="1175" t="s">
        <v>141</v>
      </c>
      <c r="N1" s="1175" t="s">
        <v>1073</v>
      </c>
    </row>
    <row r="2">
      <c r="A2" s="132" t="s">
        <v>195</v>
      </c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</row>
    <row r="3">
      <c r="A3" s="136" t="s">
        <v>196</v>
      </c>
      <c r="B3" s="1177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</row>
    <row r="4">
      <c r="B4" s="1177" t="s">
        <v>196</v>
      </c>
      <c r="C4" s="145">
        <f t="shared" ref="C4:N4" si="1">250000/12</f>
        <v>20833.33333</v>
      </c>
      <c r="D4" s="145">
        <f t="shared" si="1"/>
        <v>20833.33333</v>
      </c>
      <c r="E4" s="145">
        <f t="shared" si="1"/>
        <v>20833.33333</v>
      </c>
      <c r="F4" s="145">
        <f t="shared" si="1"/>
        <v>20833.33333</v>
      </c>
      <c r="G4" s="145">
        <f t="shared" si="1"/>
        <v>20833.33333</v>
      </c>
      <c r="H4" s="145">
        <f t="shared" si="1"/>
        <v>20833.33333</v>
      </c>
      <c r="I4" s="145">
        <f t="shared" si="1"/>
        <v>20833.33333</v>
      </c>
      <c r="J4" s="145">
        <f t="shared" si="1"/>
        <v>20833.33333</v>
      </c>
      <c r="K4" s="145">
        <f t="shared" si="1"/>
        <v>20833.33333</v>
      </c>
      <c r="L4" s="145">
        <f t="shared" si="1"/>
        <v>20833.33333</v>
      </c>
      <c r="M4" s="145">
        <f t="shared" si="1"/>
        <v>20833.33333</v>
      </c>
      <c r="N4" s="145">
        <f t="shared" si="1"/>
        <v>20833.33333</v>
      </c>
    </row>
    <row r="5">
      <c r="A5" s="136" t="s">
        <v>199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</row>
    <row r="6" ht="15.0" customHeight="1">
      <c r="B6" s="1179" t="s">
        <v>1050</v>
      </c>
      <c r="C6" s="690">
        <v>5000.0</v>
      </c>
      <c r="D6" s="690">
        <f t="shared" ref="D6:N6" si="2">C6+C6*0.1</f>
        <v>5500</v>
      </c>
      <c r="E6" s="690">
        <f t="shared" si="2"/>
        <v>6050</v>
      </c>
      <c r="F6" s="690">
        <f t="shared" si="2"/>
        <v>6655</v>
      </c>
      <c r="G6" s="690">
        <f t="shared" si="2"/>
        <v>7320.5</v>
      </c>
      <c r="H6" s="690">
        <f t="shared" si="2"/>
        <v>8052.55</v>
      </c>
      <c r="I6" s="690">
        <f t="shared" si="2"/>
        <v>8857.805</v>
      </c>
      <c r="J6" s="690">
        <f t="shared" si="2"/>
        <v>9743.5855</v>
      </c>
      <c r="K6" s="690">
        <f t="shared" si="2"/>
        <v>10717.94405</v>
      </c>
      <c r="L6" s="690">
        <f t="shared" si="2"/>
        <v>11789.73846</v>
      </c>
      <c r="M6" s="690">
        <f t="shared" si="2"/>
        <v>12968.7123</v>
      </c>
      <c r="N6" s="690">
        <f t="shared" si="2"/>
        <v>14265.58353</v>
      </c>
    </row>
    <row r="7">
      <c r="B7" s="1179" t="s">
        <v>1051</v>
      </c>
      <c r="C7" s="145">
        <v>0.0</v>
      </c>
      <c r="D7" s="145">
        <v>0.0</v>
      </c>
      <c r="E7" s="145">
        <v>0.0</v>
      </c>
      <c r="F7" s="145">
        <v>0.0</v>
      </c>
      <c r="G7" s="145">
        <v>0.0</v>
      </c>
      <c r="H7" s="145">
        <v>0.0</v>
      </c>
      <c r="I7" s="145">
        <v>0.0</v>
      </c>
      <c r="J7" s="145">
        <v>0.0</v>
      </c>
      <c r="K7" s="145">
        <v>0.0</v>
      </c>
      <c r="L7" s="145">
        <v>0.0</v>
      </c>
      <c r="M7" s="145">
        <v>0.0</v>
      </c>
      <c r="N7" s="145">
        <v>0.0</v>
      </c>
    </row>
    <row r="8">
      <c r="A8" s="167"/>
      <c r="B8" s="1208" t="s">
        <v>1052</v>
      </c>
      <c r="C8" s="232">
        <v>0.0</v>
      </c>
      <c r="D8" s="232">
        <v>0.0</v>
      </c>
      <c r="E8" s="232">
        <v>0.0</v>
      </c>
      <c r="F8" s="232">
        <v>0.0</v>
      </c>
      <c r="G8" s="232">
        <v>0.0</v>
      </c>
      <c r="H8" s="232">
        <v>0.0</v>
      </c>
      <c r="I8" s="232">
        <v>0.0</v>
      </c>
      <c r="J8" s="232">
        <v>0.0</v>
      </c>
      <c r="K8" s="232">
        <v>0.0</v>
      </c>
      <c r="L8" s="232">
        <v>0.0</v>
      </c>
      <c r="M8" s="232">
        <v>0.0</v>
      </c>
      <c r="N8" s="232">
        <v>0.0</v>
      </c>
    </row>
    <row r="9">
      <c r="A9" s="172" t="s">
        <v>203</v>
      </c>
      <c r="B9" s="172"/>
      <c r="C9" s="173">
        <f t="shared" ref="C9:N9" si="3">sum(C3:C8)</f>
        <v>25833.33333</v>
      </c>
      <c r="D9" s="173">
        <f t="shared" si="3"/>
        <v>26333.33333</v>
      </c>
      <c r="E9" s="173">
        <f t="shared" si="3"/>
        <v>26883.33333</v>
      </c>
      <c r="F9" s="173">
        <f t="shared" si="3"/>
        <v>27488.33333</v>
      </c>
      <c r="G9" s="173">
        <f t="shared" si="3"/>
        <v>28153.83333</v>
      </c>
      <c r="H9" s="173">
        <f t="shared" si="3"/>
        <v>28885.88333</v>
      </c>
      <c r="I9" s="173">
        <f t="shared" si="3"/>
        <v>29691.13833</v>
      </c>
      <c r="J9" s="173">
        <f t="shared" si="3"/>
        <v>30576.91883</v>
      </c>
      <c r="K9" s="173">
        <f t="shared" si="3"/>
        <v>31551.27738</v>
      </c>
      <c r="L9" s="173">
        <f t="shared" si="3"/>
        <v>32623.07179</v>
      </c>
      <c r="M9" s="173">
        <f t="shared" si="3"/>
        <v>33802.04563</v>
      </c>
      <c r="N9" s="173">
        <f t="shared" si="3"/>
        <v>35098.91686</v>
      </c>
    </row>
    <row r="10">
      <c r="A10" s="172" t="s">
        <v>999</v>
      </c>
      <c r="B10" s="172"/>
      <c r="C10" s="137">
        <f t="shared" ref="C10:N10" si="4">C4*0.4+C6*0.34+C7*0.4</f>
        <v>10033.33333</v>
      </c>
      <c r="D10" s="137">
        <f t="shared" si="4"/>
        <v>10203.33333</v>
      </c>
      <c r="E10" s="137">
        <f t="shared" si="4"/>
        <v>10390.33333</v>
      </c>
      <c r="F10" s="137">
        <f t="shared" si="4"/>
        <v>10596.03333</v>
      </c>
      <c r="G10" s="137">
        <f t="shared" si="4"/>
        <v>10822.30333</v>
      </c>
      <c r="H10" s="137">
        <f t="shared" si="4"/>
        <v>11071.20033</v>
      </c>
      <c r="I10" s="137">
        <f t="shared" si="4"/>
        <v>11344.98703</v>
      </c>
      <c r="J10" s="137">
        <f t="shared" si="4"/>
        <v>11646.1524</v>
      </c>
      <c r="K10" s="137">
        <f t="shared" si="4"/>
        <v>11977.43431</v>
      </c>
      <c r="L10" s="137">
        <f t="shared" si="4"/>
        <v>12341.84441</v>
      </c>
      <c r="M10" s="137">
        <f t="shared" si="4"/>
        <v>12742.69552</v>
      </c>
      <c r="N10" s="137">
        <f t="shared" si="4"/>
        <v>13183.63173</v>
      </c>
    </row>
    <row r="11">
      <c r="A11" s="172" t="s">
        <v>1000</v>
      </c>
      <c r="B11" s="172"/>
      <c r="C11" s="137">
        <f t="shared" ref="C11:N11" si="5">C4*0.05</f>
        <v>1041.666667</v>
      </c>
      <c r="D11" s="137">
        <f t="shared" si="5"/>
        <v>1041.666667</v>
      </c>
      <c r="E11" s="137">
        <f t="shared" si="5"/>
        <v>1041.666667</v>
      </c>
      <c r="F11" s="137">
        <f t="shared" si="5"/>
        <v>1041.666667</v>
      </c>
      <c r="G11" s="137">
        <f t="shared" si="5"/>
        <v>1041.666667</v>
      </c>
      <c r="H11" s="137">
        <f t="shared" si="5"/>
        <v>1041.666667</v>
      </c>
      <c r="I11" s="137">
        <f t="shared" si="5"/>
        <v>1041.666667</v>
      </c>
      <c r="J11" s="137">
        <f t="shared" si="5"/>
        <v>1041.666667</v>
      </c>
      <c r="K11" s="137">
        <f t="shared" si="5"/>
        <v>1041.666667</v>
      </c>
      <c r="L11" s="137">
        <f t="shared" si="5"/>
        <v>1041.666667</v>
      </c>
      <c r="M11" s="137">
        <f t="shared" si="5"/>
        <v>1041.666667</v>
      </c>
      <c r="N11" s="137">
        <f t="shared" si="5"/>
        <v>1041.666667</v>
      </c>
    </row>
    <row r="12">
      <c r="A12" s="176" t="s">
        <v>206</v>
      </c>
      <c r="B12" s="176"/>
      <c r="C12" s="179">
        <f t="shared" ref="C12:N12" si="6">C9-C10-C11</f>
        <v>14758.33333</v>
      </c>
      <c r="D12" s="179">
        <f t="shared" si="6"/>
        <v>15088.33333</v>
      </c>
      <c r="E12" s="179">
        <f t="shared" si="6"/>
        <v>15451.33333</v>
      </c>
      <c r="F12" s="179">
        <f t="shared" si="6"/>
        <v>15850.63333</v>
      </c>
      <c r="G12" s="179">
        <f t="shared" si="6"/>
        <v>16289.86333</v>
      </c>
      <c r="H12" s="179">
        <f t="shared" si="6"/>
        <v>16773.01633</v>
      </c>
      <c r="I12" s="179">
        <f t="shared" si="6"/>
        <v>17304.48463</v>
      </c>
      <c r="J12" s="179">
        <f t="shared" si="6"/>
        <v>17889.09976</v>
      </c>
      <c r="K12" s="179">
        <f t="shared" si="6"/>
        <v>18532.17641</v>
      </c>
      <c r="L12" s="179">
        <f t="shared" si="6"/>
        <v>19239.56071</v>
      </c>
      <c r="M12" s="179">
        <f t="shared" si="6"/>
        <v>20017.68345</v>
      </c>
      <c r="N12" s="179">
        <f t="shared" si="6"/>
        <v>20873.61846</v>
      </c>
    </row>
    <row r="13">
      <c r="A13" s="182"/>
      <c r="B13" s="182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</row>
    <row r="14">
      <c r="A14" s="187" t="s">
        <v>1001</v>
      </c>
      <c r="B14" s="187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</row>
    <row r="15">
      <c r="A15" s="136" t="s">
        <v>1002</v>
      </c>
      <c r="B15" s="136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</row>
    <row r="16">
      <c r="A16" s="1121" t="s">
        <v>209</v>
      </c>
      <c r="B16" s="144" t="s">
        <v>210</v>
      </c>
      <c r="C16" s="137">
        <v>4000.0</v>
      </c>
      <c r="D16" s="137">
        <v>4000.0</v>
      </c>
      <c r="E16" s="137">
        <v>4000.0</v>
      </c>
      <c r="F16" s="137">
        <v>4000.0</v>
      </c>
      <c r="G16" s="137">
        <v>4000.0</v>
      </c>
      <c r="H16" s="137">
        <v>4000.0</v>
      </c>
      <c r="I16" s="137">
        <v>4000.0</v>
      </c>
      <c r="J16" s="137">
        <v>4000.0</v>
      </c>
      <c r="K16" s="137">
        <v>4000.0</v>
      </c>
      <c r="L16" s="137">
        <v>4000.0</v>
      </c>
      <c r="M16" s="137">
        <v>4000.0</v>
      </c>
      <c r="N16" s="137">
        <v>4000.0</v>
      </c>
    </row>
    <row r="17">
      <c r="A17" s="1121"/>
      <c r="B17" s="144" t="s">
        <v>1068</v>
      </c>
      <c r="C17" s="137">
        <v>0.0</v>
      </c>
      <c r="D17" s="137">
        <v>0.0</v>
      </c>
      <c r="E17" s="137">
        <v>0.0</v>
      </c>
      <c r="F17" s="137">
        <v>0.0</v>
      </c>
      <c r="G17" s="137">
        <v>0.0</v>
      </c>
      <c r="H17" s="137">
        <v>0.0</v>
      </c>
      <c r="I17" s="137">
        <v>0.0</v>
      </c>
      <c r="J17" s="137">
        <v>0.0</v>
      </c>
      <c r="K17" s="137">
        <v>0.0</v>
      </c>
      <c r="L17" s="137">
        <v>0.0</v>
      </c>
      <c r="M17" s="137">
        <v>0.0</v>
      </c>
      <c r="N17" s="137">
        <v>0.0</v>
      </c>
    </row>
    <row r="18">
      <c r="B18" s="144" t="s">
        <v>568</v>
      </c>
      <c r="C18" s="145">
        <v>20.0</v>
      </c>
      <c r="D18" s="145">
        <v>20.0</v>
      </c>
      <c r="E18" s="145">
        <v>20.0</v>
      </c>
      <c r="F18" s="145">
        <v>20.0</v>
      </c>
      <c r="G18" s="145">
        <v>20.0</v>
      </c>
      <c r="H18" s="145">
        <v>20.0</v>
      </c>
      <c r="I18" s="145">
        <v>20.0</v>
      </c>
      <c r="J18" s="145">
        <v>20.0</v>
      </c>
      <c r="K18" s="145">
        <v>20.0</v>
      </c>
      <c r="L18" s="145">
        <v>20.0</v>
      </c>
      <c r="M18" s="145">
        <v>20.0</v>
      </c>
      <c r="N18" s="145">
        <v>20.0</v>
      </c>
    </row>
    <row r="19">
      <c r="B19" s="144" t="s">
        <v>363</v>
      </c>
      <c r="C19" s="137">
        <v>100.0</v>
      </c>
      <c r="D19" s="137">
        <v>100.0</v>
      </c>
      <c r="E19" s="137">
        <v>100.0</v>
      </c>
      <c r="F19" s="137">
        <v>100.0</v>
      </c>
      <c r="G19" s="137">
        <v>100.0</v>
      </c>
      <c r="H19" s="137">
        <v>100.0</v>
      </c>
      <c r="I19" s="137">
        <v>100.0</v>
      </c>
      <c r="J19" s="137">
        <v>100.0</v>
      </c>
      <c r="K19" s="137">
        <v>100.0</v>
      </c>
      <c r="L19" s="137">
        <v>100.0</v>
      </c>
      <c r="M19" s="137">
        <v>100.0</v>
      </c>
      <c r="N19" s="137">
        <v>100.0</v>
      </c>
    </row>
    <row r="20">
      <c r="B20" s="144" t="s">
        <v>212</v>
      </c>
      <c r="C20" s="145">
        <f t="shared" ref="C20:N20" si="7">62.95/2</f>
        <v>31.475</v>
      </c>
      <c r="D20" s="145">
        <f t="shared" si="7"/>
        <v>31.475</v>
      </c>
      <c r="E20" s="145">
        <f t="shared" si="7"/>
        <v>31.475</v>
      </c>
      <c r="F20" s="145">
        <f t="shared" si="7"/>
        <v>31.475</v>
      </c>
      <c r="G20" s="145">
        <f t="shared" si="7"/>
        <v>31.475</v>
      </c>
      <c r="H20" s="145">
        <f t="shared" si="7"/>
        <v>31.475</v>
      </c>
      <c r="I20" s="145">
        <f t="shared" si="7"/>
        <v>31.475</v>
      </c>
      <c r="J20" s="145">
        <f t="shared" si="7"/>
        <v>31.475</v>
      </c>
      <c r="K20" s="145">
        <f t="shared" si="7"/>
        <v>31.475</v>
      </c>
      <c r="L20" s="145">
        <f t="shared" si="7"/>
        <v>31.475</v>
      </c>
      <c r="M20" s="145">
        <f t="shared" si="7"/>
        <v>31.475</v>
      </c>
      <c r="N20" s="145">
        <f t="shared" si="7"/>
        <v>31.475</v>
      </c>
    </row>
    <row r="21">
      <c r="B21" s="144" t="s">
        <v>22</v>
      </c>
      <c r="C21" s="137">
        <v>300.0</v>
      </c>
      <c r="D21" s="137">
        <v>300.0</v>
      </c>
      <c r="E21" s="137">
        <v>300.0</v>
      </c>
      <c r="F21" s="137">
        <v>300.0</v>
      </c>
      <c r="G21" s="137">
        <v>300.0</v>
      </c>
      <c r="H21" s="137">
        <v>300.0</v>
      </c>
      <c r="I21" s="137">
        <v>300.0</v>
      </c>
      <c r="J21" s="137">
        <v>300.0</v>
      </c>
      <c r="K21" s="137">
        <v>300.0</v>
      </c>
      <c r="L21" s="137">
        <v>300.0</v>
      </c>
      <c r="M21" s="137">
        <v>300.0</v>
      </c>
      <c r="N21" s="137">
        <v>300.0</v>
      </c>
    </row>
    <row r="22">
      <c r="A22" s="1121" t="s">
        <v>213</v>
      </c>
      <c r="B22" s="144" t="s">
        <v>1003</v>
      </c>
      <c r="C22" s="145">
        <v>100.0</v>
      </c>
      <c r="D22" s="145">
        <v>100.0</v>
      </c>
      <c r="E22" s="145">
        <v>100.0</v>
      </c>
      <c r="F22" s="145">
        <v>100.0</v>
      </c>
      <c r="G22" s="145">
        <v>100.0</v>
      </c>
      <c r="H22" s="145">
        <v>100.0</v>
      </c>
      <c r="I22" s="145">
        <v>100.0</v>
      </c>
      <c r="J22" s="145">
        <v>100.0</v>
      </c>
      <c r="K22" s="145">
        <v>100.0</v>
      </c>
      <c r="L22" s="145">
        <v>100.0</v>
      </c>
      <c r="M22" s="145">
        <v>100.0</v>
      </c>
      <c r="N22" s="145">
        <v>100.0</v>
      </c>
    </row>
    <row r="23">
      <c r="A23" s="1121" t="s">
        <v>215</v>
      </c>
      <c r="B23" s="144" t="s">
        <v>215</v>
      </c>
      <c r="C23" s="137">
        <v>800.0</v>
      </c>
      <c r="D23" s="137">
        <v>800.0</v>
      </c>
      <c r="E23" s="137">
        <v>800.0</v>
      </c>
      <c r="F23" s="137">
        <v>800.0</v>
      </c>
      <c r="G23" s="137">
        <v>800.0</v>
      </c>
      <c r="H23" s="137">
        <v>800.0</v>
      </c>
      <c r="I23" s="137">
        <v>800.0</v>
      </c>
      <c r="J23" s="137">
        <v>800.0</v>
      </c>
      <c r="K23" s="137">
        <v>800.0</v>
      </c>
      <c r="L23" s="137">
        <v>800.0</v>
      </c>
      <c r="M23" s="137">
        <v>800.0</v>
      </c>
      <c r="N23" s="137">
        <v>800.0</v>
      </c>
    </row>
    <row r="24">
      <c r="A24" s="1121" t="s">
        <v>216</v>
      </c>
      <c r="B24" s="144" t="s">
        <v>217</v>
      </c>
      <c r="C24" s="137">
        <v>200.0</v>
      </c>
      <c r="D24" s="137">
        <v>200.0</v>
      </c>
      <c r="E24" s="137">
        <v>200.0</v>
      </c>
      <c r="F24" s="137">
        <v>200.0</v>
      </c>
      <c r="G24" s="137">
        <v>200.0</v>
      </c>
      <c r="H24" s="137">
        <v>200.0</v>
      </c>
      <c r="I24" s="137">
        <v>200.0</v>
      </c>
      <c r="J24" s="137">
        <v>200.0</v>
      </c>
      <c r="K24" s="137">
        <v>200.0</v>
      </c>
      <c r="L24" s="137">
        <v>200.0</v>
      </c>
      <c r="M24" s="137">
        <v>200.0</v>
      </c>
      <c r="N24" s="137">
        <v>200.0</v>
      </c>
    </row>
    <row r="25">
      <c r="B25" s="144" t="s">
        <v>1004</v>
      </c>
      <c r="C25" s="137">
        <f t="shared" ref="C25:N25" si="8">8*5*4</f>
        <v>160</v>
      </c>
      <c r="D25" s="137">
        <f t="shared" si="8"/>
        <v>160</v>
      </c>
      <c r="E25" s="137">
        <f t="shared" si="8"/>
        <v>160</v>
      </c>
      <c r="F25" s="137">
        <f t="shared" si="8"/>
        <v>160</v>
      </c>
      <c r="G25" s="137">
        <f t="shared" si="8"/>
        <v>160</v>
      </c>
      <c r="H25" s="137">
        <f t="shared" si="8"/>
        <v>160</v>
      </c>
      <c r="I25" s="137">
        <f t="shared" si="8"/>
        <v>160</v>
      </c>
      <c r="J25" s="137">
        <f t="shared" si="8"/>
        <v>160</v>
      </c>
      <c r="K25" s="137">
        <f t="shared" si="8"/>
        <v>160</v>
      </c>
      <c r="L25" s="137">
        <f t="shared" si="8"/>
        <v>160</v>
      </c>
      <c r="M25" s="137">
        <f t="shared" si="8"/>
        <v>160</v>
      </c>
      <c r="N25" s="137">
        <f t="shared" si="8"/>
        <v>160</v>
      </c>
    </row>
    <row r="26">
      <c r="A26" s="1121"/>
      <c r="B26" s="144"/>
      <c r="C26" s="196">
        <f t="shared" ref="C26:N26" si="9">sum(C16:C25)/C12</f>
        <v>0.387</v>
      </c>
      <c r="D26" s="196">
        <f t="shared" si="9"/>
        <v>0.3785358445</v>
      </c>
      <c r="E26" s="196">
        <f t="shared" si="9"/>
        <v>0.3696428571</v>
      </c>
      <c r="F26" s="196">
        <f t="shared" si="9"/>
        <v>0.3603310278</v>
      </c>
      <c r="G26" s="196">
        <f t="shared" si="9"/>
        <v>0.3506152804</v>
      </c>
      <c r="H26" s="196">
        <f t="shared" si="9"/>
        <v>0.3405156763</v>
      </c>
      <c r="I26" s="196">
        <f t="shared" si="9"/>
        <v>0.3300575036</v>
      </c>
      <c r="J26" s="196">
        <f t="shared" si="9"/>
        <v>0.3192712364</v>
      </c>
      <c r="K26" s="196">
        <f t="shared" si="9"/>
        <v>0.3081923501</v>
      </c>
      <c r="L26" s="196">
        <f t="shared" si="9"/>
        <v>0.2968609879</v>
      </c>
      <c r="M26" s="196">
        <f t="shared" si="9"/>
        <v>0.2853214766</v>
      </c>
      <c r="N26" s="196">
        <f t="shared" si="9"/>
        <v>0.2736217015</v>
      </c>
    </row>
    <row r="27">
      <c r="A27" s="136" t="s">
        <v>1005</v>
      </c>
      <c r="B27" s="136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</row>
    <row r="28">
      <c r="A28" s="1121" t="s">
        <v>220</v>
      </c>
      <c r="B28" s="144" t="s">
        <v>1006</v>
      </c>
      <c r="C28" s="137">
        <f t="shared" ref="C28:N28" si="10">50*20</f>
        <v>1000</v>
      </c>
      <c r="D28" s="137">
        <f t="shared" si="10"/>
        <v>1000</v>
      </c>
      <c r="E28" s="137">
        <f t="shared" si="10"/>
        <v>1000</v>
      </c>
      <c r="F28" s="137">
        <f t="shared" si="10"/>
        <v>1000</v>
      </c>
      <c r="G28" s="137">
        <f t="shared" si="10"/>
        <v>1000</v>
      </c>
      <c r="H28" s="137">
        <f t="shared" si="10"/>
        <v>1000</v>
      </c>
      <c r="I28" s="137">
        <f t="shared" si="10"/>
        <v>1000</v>
      </c>
      <c r="J28" s="137">
        <f t="shared" si="10"/>
        <v>1000</v>
      </c>
      <c r="K28" s="137">
        <f t="shared" si="10"/>
        <v>1000</v>
      </c>
      <c r="L28" s="137">
        <f t="shared" si="10"/>
        <v>1000</v>
      </c>
      <c r="M28" s="137">
        <f t="shared" si="10"/>
        <v>1000</v>
      </c>
      <c r="N28" s="137">
        <f t="shared" si="10"/>
        <v>1000</v>
      </c>
    </row>
    <row r="29">
      <c r="B29" s="144" t="s">
        <v>1007</v>
      </c>
      <c r="C29" s="137">
        <f t="shared" ref="C29:N29" si="11">75*8</f>
        <v>600</v>
      </c>
      <c r="D29" s="137">
        <f t="shared" si="11"/>
        <v>600</v>
      </c>
      <c r="E29" s="137">
        <f t="shared" si="11"/>
        <v>600</v>
      </c>
      <c r="F29" s="137">
        <f t="shared" si="11"/>
        <v>600</v>
      </c>
      <c r="G29" s="137">
        <f t="shared" si="11"/>
        <v>600</v>
      </c>
      <c r="H29" s="137">
        <f t="shared" si="11"/>
        <v>600</v>
      </c>
      <c r="I29" s="137">
        <f t="shared" si="11"/>
        <v>600</v>
      </c>
      <c r="J29" s="137">
        <f t="shared" si="11"/>
        <v>600</v>
      </c>
      <c r="K29" s="137">
        <f t="shared" si="11"/>
        <v>600</v>
      </c>
      <c r="L29" s="137">
        <f t="shared" si="11"/>
        <v>600</v>
      </c>
      <c r="M29" s="137">
        <f t="shared" si="11"/>
        <v>600</v>
      </c>
      <c r="N29" s="137">
        <f t="shared" si="11"/>
        <v>600</v>
      </c>
    </row>
    <row r="30">
      <c r="A30" s="144"/>
      <c r="B30" s="144" t="s">
        <v>223</v>
      </c>
      <c r="C30" s="137">
        <v>0.0</v>
      </c>
      <c r="D30" s="137">
        <v>0.0</v>
      </c>
      <c r="E30" s="137">
        <v>0.0</v>
      </c>
      <c r="F30" s="137">
        <v>0.0</v>
      </c>
      <c r="G30" s="137">
        <v>0.0</v>
      </c>
      <c r="H30" s="137">
        <v>0.0</v>
      </c>
      <c r="I30" s="137">
        <v>0.0</v>
      </c>
      <c r="J30" s="137">
        <v>0.0</v>
      </c>
      <c r="K30" s="137">
        <v>0.0</v>
      </c>
      <c r="L30" s="137">
        <v>0.0</v>
      </c>
      <c r="M30" s="137">
        <v>0.0</v>
      </c>
      <c r="N30" s="137">
        <v>0.0</v>
      </c>
    </row>
    <row r="31">
      <c r="A31" s="144"/>
      <c r="B31" s="144" t="s">
        <v>569</v>
      </c>
      <c r="C31" s="137">
        <f t="shared" ref="C31:N31" si="12">10+5+20+60+35.68</f>
        <v>130.68</v>
      </c>
      <c r="D31" s="137">
        <f t="shared" si="12"/>
        <v>130.68</v>
      </c>
      <c r="E31" s="137">
        <f t="shared" si="12"/>
        <v>130.68</v>
      </c>
      <c r="F31" s="137">
        <f t="shared" si="12"/>
        <v>130.68</v>
      </c>
      <c r="G31" s="137">
        <f t="shared" si="12"/>
        <v>130.68</v>
      </c>
      <c r="H31" s="137">
        <f t="shared" si="12"/>
        <v>130.68</v>
      </c>
      <c r="I31" s="137">
        <f t="shared" si="12"/>
        <v>130.68</v>
      </c>
      <c r="J31" s="137">
        <f t="shared" si="12"/>
        <v>130.68</v>
      </c>
      <c r="K31" s="137">
        <f t="shared" si="12"/>
        <v>130.68</v>
      </c>
      <c r="L31" s="137">
        <f t="shared" si="12"/>
        <v>130.68</v>
      </c>
      <c r="M31" s="137">
        <f t="shared" si="12"/>
        <v>130.68</v>
      </c>
      <c r="N31" s="137">
        <f t="shared" si="12"/>
        <v>130.68</v>
      </c>
    </row>
    <row r="32">
      <c r="A32" s="144"/>
      <c r="B32" s="144" t="s">
        <v>225</v>
      </c>
      <c r="C32" s="137">
        <f t="shared" ref="C32:K32" si="13">2000/3</f>
        <v>666.6666667</v>
      </c>
      <c r="D32" s="137">
        <f t="shared" si="13"/>
        <v>666.6666667</v>
      </c>
      <c r="E32" s="137">
        <f t="shared" si="13"/>
        <v>666.6666667</v>
      </c>
      <c r="F32" s="137">
        <f t="shared" si="13"/>
        <v>666.6666667</v>
      </c>
      <c r="G32" s="137">
        <f t="shared" si="13"/>
        <v>666.6666667</v>
      </c>
      <c r="H32" s="137">
        <f t="shared" si="13"/>
        <v>666.6666667</v>
      </c>
      <c r="I32" s="137">
        <f t="shared" si="13"/>
        <v>666.6666667</v>
      </c>
      <c r="J32" s="137">
        <f t="shared" si="13"/>
        <v>666.6666667</v>
      </c>
      <c r="K32" s="137">
        <f t="shared" si="13"/>
        <v>666.6666667</v>
      </c>
      <c r="L32" s="137">
        <f t="shared" ref="L32:N32" si="14">3000/3</f>
        <v>1000</v>
      </c>
      <c r="M32" s="137">
        <f t="shared" si="14"/>
        <v>1000</v>
      </c>
      <c r="N32" s="137">
        <f t="shared" si="14"/>
        <v>1000</v>
      </c>
    </row>
    <row r="33">
      <c r="A33" s="1121" t="s">
        <v>209</v>
      </c>
      <c r="B33" s="144" t="s">
        <v>1008</v>
      </c>
      <c r="C33" s="137">
        <f>90+266</f>
        <v>356</v>
      </c>
      <c r="D33" s="137">
        <v>0.0</v>
      </c>
      <c r="E33" s="137">
        <v>0.0</v>
      </c>
      <c r="F33" s="137">
        <v>0.0</v>
      </c>
      <c r="G33" s="137">
        <v>0.0</v>
      </c>
      <c r="H33" s="137">
        <v>0.0</v>
      </c>
      <c r="I33" s="137">
        <v>0.0</v>
      </c>
      <c r="J33" s="137">
        <v>0.0</v>
      </c>
      <c r="K33" s="137">
        <v>0.0</v>
      </c>
      <c r="L33" s="137">
        <v>0.0</v>
      </c>
      <c r="M33" s="137">
        <v>0.0</v>
      </c>
      <c r="N33" s="137">
        <v>0.0</v>
      </c>
    </row>
    <row r="34" ht="15.75" customHeight="1">
      <c r="B34" s="144" t="s">
        <v>227</v>
      </c>
      <c r="C34" s="137">
        <v>0.0</v>
      </c>
      <c r="D34" s="137">
        <f t="shared" ref="D34:N34" si="15">12*1</f>
        <v>12</v>
      </c>
      <c r="E34" s="137">
        <f t="shared" si="15"/>
        <v>12</v>
      </c>
      <c r="F34" s="137">
        <f t="shared" si="15"/>
        <v>12</v>
      </c>
      <c r="G34" s="137">
        <f t="shared" si="15"/>
        <v>12</v>
      </c>
      <c r="H34" s="137">
        <f t="shared" si="15"/>
        <v>12</v>
      </c>
      <c r="I34" s="137">
        <f t="shared" si="15"/>
        <v>12</v>
      </c>
      <c r="J34" s="137">
        <f t="shared" si="15"/>
        <v>12</v>
      </c>
      <c r="K34" s="137">
        <f t="shared" si="15"/>
        <v>12</v>
      </c>
      <c r="L34" s="137">
        <f t="shared" si="15"/>
        <v>12</v>
      </c>
      <c r="M34" s="137">
        <f t="shared" si="15"/>
        <v>12</v>
      </c>
      <c r="N34" s="137">
        <f t="shared" si="15"/>
        <v>12</v>
      </c>
    </row>
    <row r="35">
      <c r="B35" s="144" t="s">
        <v>29</v>
      </c>
      <c r="C35" s="137">
        <v>100.0</v>
      </c>
      <c r="D35" s="137">
        <v>100.0</v>
      </c>
      <c r="E35" s="137">
        <v>100.0</v>
      </c>
      <c r="F35" s="137">
        <v>100.0</v>
      </c>
      <c r="G35" s="137">
        <v>100.0</v>
      </c>
      <c r="H35" s="137">
        <v>100.0</v>
      </c>
      <c r="I35" s="137">
        <v>100.0</v>
      </c>
      <c r="J35" s="137">
        <v>100.0</v>
      </c>
      <c r="K35" s="137">
        <v>100.0</v>
      </c>
      <c r="L35" s="137">
        <v>100.0</v>
      </c>
      <c r="M35" s="137">
        <v>100.0</v>
      </c>
      <c r="N35" s="137">
        <v>100.0</v>
      </c>
    </row>
    <row r="36">
      <c r="A36" s="1122" t="s">
        <v>228</v>
      </c>
      <c r="B36" s="144" t="s">
        <v>229</v>
      </c>
      <c r="C36" s="137">
        <v>0.0</v>
      </c>
      <c r="D36" s="137">
        <v>0.0</v>
      </c>
      <c r="E36" s="137">
        <v>0.0</v>
      </c>
      <c r="F36" s="137">
        <v>0.0</v>
      </c>
      <c r="G36" s="137">
        <v>0.0</v>
      </c>
      <c r="H36" s="137">
        <v>0.0</v>
      </c>
      <c r="I36" s="137">
        <v>0.0</v>
      </c>
      <c r="J36" s="137">
        <v>0.0</v>
      </c>
      <c r="K36" s="137">
        <v>0.0</v>
      </c>
      <c r="L36" s="137">
        <v>0.0</v>
      </c>
      <c r="M36" s="137">
        <v>0.0</v>
      </c>
      <c r="N36" s="137">
        <v>0.0</v>
      </c>
    </row>
    <row r="37">
      <c r="A37" s="144"/>
      <c r="B37" s="144" t="s">
        <v>30</v>
      </c>
      <c r="C37" s="137">
        <v>0.0</v>
      </c>
      <c r="D37" s="137">
        <v>0.0</v>
      </c>
      <c r="E37" s="137">
        <v>0.0</v>
      </c>
      <c r="F37" s="137">
        <v>0.0</v>
      </c>
      <c r="G37" s="137">
        <v>0.0</v>
      </c>
      <c r="H37" s="137">
        <v>0.0</v>
      </c>
      <c r="I37" s="137">
        <v>0.0</v>
      </c>
      <c r="J37" s="137">
        <v>0.0</v>
      </c>
      <c r="K37" s="137">
        <v>0.0</v>
      </c>
      <c r="L37" s="137">
        <v>0.0</v>
      </c>
      <c r="M37" s="137">
        <v>0.0</v>
      </c>
      <c r="N37" s="137">
        <v>0.0</v>
      </c>
    </row>
    <row r="38">
      <c r="B38" s="144" t="s">
        <v>230</v>
      </c>
      <c r="C38" s="137">
        <v>100.0</v>
      </c>
      <c r="D38" s="137">
        <v>100.0</v>
      </c>
      <c r="E38" s="137">
        <v>100.0</v>
      </c>
      <c r="F38" s="137">
        <v>100.0</v>
      </c>
      <c r="G38" s="137">
        <v>100.0</v>
      </c>
      <c r="H38" s="137">
        <v>100.0</v>
      </c>
      <c r="I38" s="137">
        <v>100.0</v>
      </c>
      <c r="J38" s="137">
        <v>100.0</v>
      </c>
      <c r="K38" s="137">
        <v>100.0</v>
      </c>
      <c r="L38" s="137">
        <v>100.0</v>
      </c>
      <c r="M38" s="137">
        <v>100.0</v>
      </c>
      <c r="N38" s="137">
        <v>100.0</v>
      </c>
    </row>
    <row r="39">
      <c r="A39" s="144"/>
      <c r="B39" s="144" t="s">
        <v>231</v>
      </c>
      <c r="C39" s="137">
        <v>150.0</v>
      </c>
      <c r="D39" s="137">
        <v>150.0</v>
      </c>
      <c r="E39" s="137">
        <v>150.0</v>
      </c>
      <c r="F39" s="137">
        <v>150.0</v>
      </c>
      <c r="G39" s="137">
        <v>150.0</v>
      </c>
      <c r="H39" s="137">
        <v>150.0</v>
      </c>
      <c r="I39" s="137">
        <v>150.0</v>
      </c>
      <c r="J39" s="137">
        <v>150.0</v>
      </c>
      <c r="K39" s="137">
        <v>150.0</v>
      </c>
      <c r="L39" s="137">
        <v>150.0</v>
      </c>
      <c r="M39" s="137">
        <v>150.0</v>
      </c>
      <c r="N39" s="137">
        <v>150.0</v>
      </c>
    </row>
    <row r="40">
      <c r="A40" s="1121" t="s">
        <v>232</v>
      </c>
      <c r="B40" s="144" t="s">
        <v>1009</v>
      </c>
      <c r="C40" s="137">
        <v>50.0</v>
      </c>
      <c r="D40" s="137">
        <v>50.0</v>
      </c>
      <c r="E40" s="137">
        <v>50.0</v>
      </c>
      <c r="F40" s="137">
        <v>50.0</v>
      </c>
      <c r="G40" s="137">
        <v>50.0</v>
      </c>
      <c r="H40" s="137">
        <v>50.0</v>
      </c>
      <c r="I40" s="137">
        <v>50.0</v>
      </c>
      <c r="J40" s="137">
        <v>50.0</v>
      </c>
      <c r="K40" s="137">
        <v>50.0</v>
      </c>
      <c r="L40" s="137">
        <v>50.0</v>
      </c>
      <c r="M40" s="137">
        <v>50.0</v>
      </c>
      <c r="N40" s="137">
        <v>50.0</v>
      </c>
    </row>
    <row r="41">
      <c r="A41" s="144"/>
      <c r="B41" s="144" t="s">
        <v>234</v>
      </c>
      <c r="C41" s="137">
        <v>500.0</v>
      </c>
      <c r="D41" s="137">
        <v>500.0</v>
      </c>
      <c r="E41" s="137">
        <v>500.0</v>
      </c>
      <c r="F41" s="137">
        <v>500.0</v>
      </c>
      <c r="G41" s="137">
        <v>500.0</v>
      </c>
      <c r="H41" s="137">
        <v>500.0</v>
      </c>
      <c r="I41" s="137">
        <v>500.0</v>
      </c>
      <c r="J41" s="137">
        <v>500.0</v>
      </c>
      <c r="K41" s="137">
        <v>500.0</v>
      </c>
      <c r="L41" s="137">
        <v>500.0</v>
      </c>
      <c r="M41" s="137">
        <v>500.0</v>
      </c>
      <c r="N41" s="137">
        <v>500.0</v>
      </c>
    </row>
    <row r="42">
      <c r="A42" s="209"/>
      <c r="B42" s="209"/>
      <c r="C42" s="212">
        <f t="shared" ref="C42:N42" si="16">sum(C28:C41)/C12</f>
        <v>0.247544664</v>
      </c>
      <c r="D42" s="212">
        <f t="shared" si="16"/>
        <v>0.2193314923</v>
      </c>
      <c r="E42" s="212">
        <f t="shared" si="16"/>
        <v>0.2141787117</v>
      </c>
      <c r="F42" s="212">
        <f t="shared" si="16"/>
        <v>0.2087832453</v>
      </c>
      <c r="G42" s="212">
        <f t="shared" si="16"/>
        <v>0.2031537404</v>
      </c>
      <c r="H42" s="212">
        <f t="shared" si="16"/>
        <v>0.197301821</v>
      </c>
      <c r="I42" s="212">
        <f t="shared" si="16"/>
        <v>0.1912421396</v>
      </c>
      <c r="J42" s="212">
        <f t="shared" si="16"/>
        <v>0.1849923535</v>
      </c>
      <c r="K42" s="212">
        <f t="shared" si="16"/>
        <v>0.1785730178</v>
      </c>
      <c r="L42" s="212">
        <f t="shared" si="16"/>
        <v>0.1893328052</v>
      </c>
      <c r="M42" s="212">
        <f t="shared" si="16"/>
        <v>0.1819731044</v>
      </c>
      <c r="N42" s="212">
        <f t="shared" si="16"/>
        <v>0.1745111901</v>
      </c>
    </row>
    <row r="43">
      <c r="A43" s="235" t="s">
        <v>236</v>
      </c>
      <c r="B43" s="235"/>
      <c r="C43" s="1123">
        <f t="shared" ref="C43:N43" si="17">sum(C16:C25)+SUM(C28:C41)</f>
        <v>9364.821667</v>
      </c>
      <c r="D43" s="1123">
        <f t="shared" si="17"/>
        <v>9020.821667</v>
      </c>
      <c r="E43" s="1123">
        <f t="shared" si="17"/>
        <v>9020.821667</v>
      </c>
      <c r="F43" s="1123">
        <f t="shared" si="17"/>
        <v>9020.821667</v>
      </c>
      <c r="G43" s="1123">
        <f t="shared" si="17"/>
        <v>9020.821667</v>
      </c>
      <c r="H43" s="1123">
        <f t="shared" si="17"/>
        <v>9020.821667</v>
      </c>
      <c r="I43" s="1123">
        <f t="shared" si="17"/>
        <v>9020.821667</v>
      </c>
      <c r="J43" s="1123">
        <f t="shared" si="17"/>
        <v>9020.821667</v>
      </c>
      <c r="K43" s="1123">
        <f t="shared" si="17"/>
        <v>9020.821667</v>
      </c>
      <c r="L43" s="1123">
        <f t="shared" si="17"/>
        <v>9354.155</v>
      </c>
      <c r="M43" s="1123">
        <f t="shared" si="17"/>
        <v>9354.155</v>
      </c>
      <c r="N43" s="1123">
        <f t="shared" si="17"/>
        <v>9354.155</v>
      </c>
    </row>
    <row r="44">
      <c r="A44" s="183"/>
      <c r="B44" s="183"/>
      <c r="C44" s="216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</row>
    <row r="45">
      <c r="A45" s="187" t="s">
        <v>1010</v>
      </c>
      <c r="B45" s="187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</row>
    <row r="46">
      <c r="A46" s="136" t="s">
        <v>1011</v>
      </c>
      <c r="B46" s="136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</row>
    <row r="47">
      <c r="A47" s="144"/>
      <c r="B47" s="144" t="s">
        <v>1069</v>
      </c>
      <c r="C47" s="194">
        <f t="shared" ref="C47:N47" si="18">C12*0.1</f>
        <v>1475.833333</v>
      </c>
      <c r="D47" s="194">
        <f t="shared" si="18"/>
        <v>1508.833333</v>
      </c>
      <c r="E47" s="194">
        <f t="shared" si="18"/>
        <v>1545.133333</v>
      </c>
      <c r="F47" s="194">
        <f t="shared" si="18"/>
        <v>1585.063333</v>
      </c>
      <c r="G47" s="194">
        <f t="shared" si="18"/>
        <v>1628.986333</v>
      </c>
      <c r="H47" s="194">
        <f t="shared" si="18"/>
        <v>1677.301633</v>
      </c>
      <c r="I47" s="194">
        <f t="shared" si="18"/>
        <v>1730.448463</v>
      </c>
      <c r="J47" s="194">
        <f t="shared" si="18"/>
        <v>1788.909976</v>
      </c>
      <c r="K47" s="194">
        <f t="shared" si="18"/>
        <v>1853.217641</v>
      </c>
      <c r="L47" s="194">
        <f t="shared" si="18"/>
        <v>1923.956071</v>
      </c>
      <c r="M47" s="194">
        <f t="shared" si="18"/>
        <v>2001.768345</v>
      </c>
      <c r="N47" s="194">
        <f t="shared" si="18"/>
        <v>2087.361846</v>
      </c>
    </row>
    <row r="48">
      <c r="A48" s="136" t="s">
        <v>1013</v>
      </c>
      <c r="B48" s="136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</row>
    <row r="49">
      <c r="A49" s="1125"/>
      <c r="B49" s="220" t="s">
        <v>1014</v>
      </c>
      <c r="C49" s="137">
        <f t="shared" ref="C49:N49" si="19">C12*0.015</f>
        <v>221.375</v>
      </c>
      <c r="D49" s="137">
        <f t="shared" si="19"/>
        <v>226.325</v>
      </c>
      <c r="E49" s="137">
        <f t="shared" si="19"/>
        <v>231.77</v>
      </c>
      <c r="F49" s="137">
        <f t="shared" si="19"/>
        <v>237.7595</v>
      </c>
      <c r="G49" s="137">
        <f t="shared" si="19"/>
        <v>244.34795</v>
      </c>
      <c r="H49" s="137">
        <f t="shared" si="19"/>
        <v>251.595245</v>
      </c>
      <c r="I49" s="137">
        <f t="shared" si="19"/>
        <v>259.5672695</v>
      </c>
      <c r="J49" s="137">
        <f t="shared" si="19"/>
        <v>268.3364965</v>
      </c>
      <c r="K49" s="137">
        <f t="shared" si="19"/>
        <v>277.9826461</v>
      </c>
      <c r="L49" s="137">
        <f t="shared" si="19"/>
        <v>288.5934107</v>
      </c>
      <c r="M49" s="137">
        <f t="shared" si="19"/>
        <v>300.2652518</v>
      </c>
      <c r="N49" s="137">
        <f t="shared" si="19"/>
        <v>313.104277</v>
      </c>
    </row>
    <row r="50">
      <c r="A50" s="1125"/>
      <c r="B50" s="1126" t="s">
        <v>1015</v>
      </c>
      <c r="C50" s="137">
        <f t="shared" ref="C50:N50" si="20">C12*0</f>
        <v>0</v>
      </c>
      <c r="D50" s="137">
        <f t="shared" si="20"/>
        <v>0</v>
      </c>
      <c r="E50" s="137">
        <f t="shared" si="20"/>
        <v>0</v>
      </c>
      <c r="F50" s="137">
        <f t="shared" si="20"/>
        <v>0</v>
      </c>
      <c r="G50" s="137">
        <f t="shared" si="20"/>
        <v>0</v>
      </c>
      <c r="H50" s="137">
        <f t="shared" si="20"/>
        <v>0</v>
      </c>
      <c r="I50" s="137">
        <f t="shared" si="20"/>
        <v>0</v>
      </c>
      <c r="J50" s="137">
        <f t="shared" si="20"/>
        <v>0</v>
      </c>
      <c r="K50" s="137">
        <f t="shared" si="20"/>
        <v>0</v>
      </c>
      <c r="L50" s="137">
        <f t="shared" si="20"/>
        <v>0</v>
      </c>
      <c r="M50" s="137">
        <f t="shared" si="20"/>
        <v>0</v>
      </c>
      <c r="N50" s="137">
        <f t="shared" si="20"/>
        <v>0</v>
      </c>
    </row>
    <row r="51">
      <c r="A51" s="136" t="s">
        <v>380</v>
      </c>
      <c r="B51" s="136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</row>
    <row r="52">
      <c r="A52" s="1125"/>
      <c r="B52" s="1127" t="s">
        <v>1016</v>
      </c>
      <c r="C52" s="137">
        <f t="shared" ref="C52:N52" si="21">C12*0</f>
        <v>0</v>
      </c>
      <c r="D52" s="137">
        <f t="shared" si="21"/>
        <v>0</v>
      </c>
      <c r="E52" s="137">
        <f t="shared" si="21"/>
        <v>0</v>
      </c>
      <c r="F52" s="137">
        <f t="shared" si="21"/>
        <v>0</v>
      </c>
      <c r="G52" s="137">
        <f t="shared" si="21"/>
        <v>0</v>
      </c>
      <c r="H52" s="137">
        <f t="shared" si="21"/>
        <v>0</v>
      </c>
      <c r="I52" s="137">
        <f t="shared" si="21"/>
        <v>0</v>
      </c>
      <c r="J52" s="137">
        <f t="shared" si="21"/>
        <v>0</v>
      </c>
      <c r="K52" s="137">
        <f t="shared" si="21"/>
        <v>0</v>
      </c>
      <c r="L52" s="137">
        <f t="shared" si="21"/>
        <v>0</v>
      </c>
      <c r="M52" s="137">
        <f t="shared" si="21"/>
        <v>0</v>
      </c>
      <c r="N52" s="137">
        <f t="shared" si="21"/>
        <v>0</v>
      </c>
    </row>
    <row r="53">
      <c r="A53" s="1125"/>
      <c r="B53" s="1127" t="s">
        <v>1017</v>
      </c>
      <c r="C53" s="137">
        <f t="shared" ref="C53:N53" si="22">C12*0.02</f>
        <v>295.1666667</v>
      </c>
      <c r="D53" s="137">
        <f t="shared" si="22"/>
        <v>301.7666667</v>
      </c>
      <c r="E53" s="137">
        <f t="shared" si="22"/>
        <v>309.0266667</v>
      </c>
      <c r="F53" s="137">
        <f t="shared" si="22"/>
        <v>317.0126667</v>
      </c>
      <c r="G53" s="137">
        <f t="shared" si="22"/>
        <v>325.7972667</v>
      </c>
      <c r="H53" s="137">
        <f t="shared" si="22"/>
        <v>335.4603267</v>
      </c>
      <c r="I53" s="137">
        <f t="shared" si="22"/>
        <v>346.0896927</v>
      </c>
      <c r="J53" s="137">
        <f t="shared" si="22"/>
        <v>357.7819953</v>
      </c>
      <c r="K53" s="137">
        <f t="shared" si="22"/>
        <v>370.6435281</v>
      </c>
      <c r="L53" s="137">
        <f t="shared" si="22"/>
        <v>384.7912143</v>
      </c>
      <c r="M53" s="137">
        <f t="shared" si="22"/>
        <v>400.353669</v>
      </c>
      <c r="N53" s="137">
        <f t="shared" si="22"/>
        <v>417.4723693</v>
      </c>
    </row>
    <row r="54">
      <c r="A54" s="1125"/>
      <c r="B54" s="223" t="s">
        <v>1070</v>
      </c>
      <c r="C54" s="137">
        <f t="shared" ref="C54:N54" si="23">C12*0.02</f>
        <v>295.1666667</v>
      </c>
      <c r="D54" s="137">
        <f t="shared" si="23"/>
        <v>301.7666667</v>
      </c>
      <c r="E54" s="137">
        <f t="shared" si="23"/>
        <v>309.0266667</v>
      </c>
      <c r="F54" s="137">
        <f t="shared" si="23"/>
        <v>317.0126667</v>
      </c>
      <c r="G54" s="137">
        <f t="shared" si="23"/>
        <v>325.7972667</v>
      </c>
      <c r="H54" s="137">
        <f t="shared" si="23"/>
        <v>335.4603267</v>
      </c>
      <c r="I54" s="137">
        <f t="shared" si="23"/>
        <v>346.0896927</v>
      </c>
      <c r="J54" s="137">
        <f t="shared" si="23"/>
        <v>357.7819953</v>
      </c>
      <c r="K54" s="137">
        <f t="shared" si="23"/>
        <v>370.6435281</v>
      </c>
      <c r="L54" s="137">
        <f t="shared" si="23"/>
        <v>384.7912143</v>
      </c>
      <c r="M54" s="137">
        <f t="shared" si="23"/>
        <v>400.353669</v>
      </c>
      <c r="N54" s="137">
        <f t="shared" si="23"/>
        <v>417.4723693</v>
      </c>
    </row>
    <row r="55">
      <c r="A55" s="1125"/>
      <c r="B55" s="1127" t="s">
        <v>1019</v>
      </c>
      <c r="C55" s="137">
        <f t="shared" ref="C55:N55" si="24">C12*0.02</f>
        <v>295.1666667</v>
      </c>
      <c r="D55" s="137">
        <f t="shared" si="24"/>
        <v>301.7666667</v>
      </c>
      <c r="E55" s="137">
        <f t="shared" si="24"/>
        <v>309.0266667</v>
      </c>
      <c r="F55" s="137">
        <f t="shared" si="24"/>
        <v>317.0126667</v>
      </c>
      <c r="G55" s="137">
        <f t="shared" si="24"/>
        <v>325.7972667</v>
      </c>
      <c r="H55" s="137">
        <f t="shared" si="24"/>
        <v>335.4603267</v>
      </c>
      <c r="I55" s="137">
        <f t="shared" si="24"/>
        <v>346.0896927</v>
      </c>
      <c r="J55" s="137">
        <f t="shared" si="24"/>
        <v>357.7819953</v>
      </c>
      <c r="K55" s="137">
        <f t="shared" si="24"/>
        <v>370.6435281</v>
      </c>
      <c r="L55" s="137">
        <f t="shared" si="24"/>
        <v>384.7912143</v>
      </c>
      <c r="M55" s="137">
        <f t="shared" si="24"/>
        <v>400.353669</v>
      </c>
      <c r="N55" s="137">
        <f t="shared" si="24"/>
        <v>417.4723693</v>
      </c>
    </row>
    <row r="56">
      <c r="A56" s="1128"/>
      <c r="B56" s="1209" t="s">
        <v>1071</v>
      </c>
      <c r="C56" s="222">
        <f t="shared" ref="C56:N56" si="25">C11</f>
        <v>1041.666667</v>
      </c>
      <c r="D56" s="222">
        <f t="shared" si="25"/>
        <v>1041.666667</v>
      </c>
      <c r="E56" s="222">
        <f t="shared" si="25"/>
        <v>1041.666667</v>
      </c>
      <c r="F56" s="222">
        <f t="shared" si="25"/>
        <v>1041.666667</v>
      </c>
      <c r="G56" s="222">
        <f t="shared" si="25"/>
        <v>1041.666667</v>
      </c>
      <c r="H56" s="222">
        <f t="shared" si="25"/>
        <v>1041.666667</v>
      </c>
      <c r="I56" s="222">
        <f t="shared" si="25"/>
        <v>1041.666667</v>
      </c>
      <c r="J56" s="222">
        <f t="shared" si="25"/>
        <v>1041.666667</v>
      </c>
      <c r="K56" s="222">
        <f t="shared" si="25"/>
        <v>1041.666667</v>
      </c>
      <c r="L56" s="222">
        <f t="shared" si="25"/>
        <v>1041.666667</v>
      </c>
      <c r="M56" s="222">
        <f t="shared" si="25"/>
        <v>1041.666667</v>
      </c>
      <c r="N56" s="222">
        <f t="shared" si="25"/>
        <v>1041.666667</v>
      </c>
    </row>
    <row r="57">
      <c r="A57" s="176" t="s">
        <v>733</v>
      </c>
      <c r="B57" s="176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</row>
    <row r="58">
      <c r="A58" s="137"/>
      <c r="B58" s="137" t="s">
        <v>1072</v>
      </c>
      <c r="C58" s="137">
        <f t="shared" ref="C58:N58" si="26">C12*0.01</f>
        <v>147.5833333</v>
      </c>
      <c r="D58" s="137">
        <f t="shared" si="26"/>
        <v>150.8833333</v>
      </c>
      <c r="E58" s="137">
        <f t="shared" si="26"/>
        <v>154.5133333</v>
      </c>
      <c r="F58" s="137">
        <f t="shared" si="26"/>
        <v>158.5063333</v>
      </c>
      <c r="G58" s="137">
        <f t="shared" si="26"/>
        <v>162.8986333</v>
      </c>
      <c r="H58" s="137">
        <f t="shared" si="26"/>
        <v>167.7301633</v>
      </c>
      <c r="I58" s="137">
        <f t="shared" si="26"/>
        <v>173.0448463</v>
      </c>
      <c r="J58" s="137">
        <f t="shared" si="26"/>
        <v>178.8909976</v>
      </c>
      <c r="K58" s="137">
        <f t="shared" si="26"/>
        <v>185.3217641</v>
      </c>
      <c r="L58" s="137">
        <f t="shared" si="26"/>
        <v>192.3956071</v>
      </c>
      <c r="M58" s="137">
        <f t="shared" si="26"/>
        <v>200.1768345</v>
      </c>
      <c r="N58" s="137">
        <f t="shared" si="26"/>
        <v>208.7361846</v>
      </c>
    </row>
    <row r="59">
      <c r="A59" s="702"/>
      <c r="B59" s="702"/>
      <c r="C59" s="704">
        <f t="shared" ref="C59:N59" si="27">sum(C47:C55)/C12</f>
        <v>0.175</v>
      </c>
      <c r="D59" s="704">
        <f t="shared" si="27"/>
        <v>0.175</v>
      </c>
      <c r="E59" s="704">
        <f t="shared" si="27"/>
        <v>0.175</v>
      </c>
      <c r="F59" s="704">
        <f t="shared" si="27"/>
        <v>0.175</v>
      </c>
      <c r="G59" s="704">
        <f t="shared" si="27"/>
        <v>0.175</v>
      </c>
      <c r="H59" s="704">
        <f t="shared" si="27"/>
        <v>0.175</v>
      </c>
      <c r="I59" s="704">
        <f t="shared" si="27"/>
        <v>0.175</v>
      </c>
      <c r="J59" s="704">
        <f t="shared" si="27"/>
        <v>0.175</v>
      </c>
      <c r="K59" s="704">
        <f t="shared" si="27"/>
        <v>0.175</v>
      </c>
      <c r="L59" s="704">
        <f t="shared" si="27"/>
        <v>0.175</v>
      </c>
      <c r="M59" s="704">
        <f t="shared" si="27"/>
        <v>0.175</v>
      </c>
      <c r="N59" s="704">
        <f t="shared" si="27"/>
        <v>0.175</v>
      </c>
    </row>
    <row r="60">
      <c r="A60" s="235" t="s">
        <v>252</v>
      </c>
      <c r="B60" s="235"/>
      <c r="C60" s="236">
        <f t="shared" ref="C60:N60" si="28">sum(C47:C55)+C58</f>
        <v>2730.291667</v>
      </c>
      <c r="D60" s="236">
        <f t="shared" si="28"/>
        <v>2791.341667</v>
      </c>
      <c r="E60" s="236">
        <f t="shared" si="28"/>
        <v>2858.496667</v>
      </c>
      <c r="F60" s="236">
        <f t="shared" si="28"/>
        <v>2932.367167</v>
      </c>
      <c r="G60" s="236">
        <f t="shared" si="28"/>
        <v>3013.624717</v>
      </c>
      <c r="H60" s="236">
        <f t="shared" si="28"/>
        <v>3103.008022</v>
      </c>
      <c r="I60" s="236">
        <f t="shared" si="28"/>
        <v>3201.329657</v>
      </c>
      <c r="J60" s="236">
        <f t="shared" si="28"/>
        <v>3309.483456</v>
      </c>
      <c r="K60" s="236">
        <f t="shared" si="28"/>
        <v>3428.452635</v>
      </c>
      <c r="L60" s="236">
        <f t="shared" si="28"/>
        <v>3559.318732</v>
      </c>
      <c r="M60" s="236">
        <f t="shared" si="28"/>
        <v>3703.271439</v>
      </c>
      <c r="N60" s="236">
        <f t="shared" si="28"/>
        <v>3861.619416</v>
      </c>
    </row>
    <row r="61">
      <c r="A61" s="241"/>
      <c r="B61" s="241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</row>
    <row r="62">
      <c r="A62" s="1130"/>
      <c r="B62" s="1130"/>
      <c r="C62" s="247"/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7"/>
    </row>
    <row r="63">
      <c r="A63" s="708" t="s">
        <v>253</v>
      </c>
      <c r="B63" s="708"/>
      <c r="C63" s="709">
        <f t="shared" ref="C63:N63" si="29">C12-C11-C43-C60</f>
        <v>1621.553333</v>
      </c>
      <c r="D63" s="709">
        <f t="shared" si="29"/>
        <v>2234.503333</v>
      </c>
      <c r="E63" s="709">
        <f t="shared" si="29"/>
        <v>2530.348333</v>
      </c>
      <c r="F63" s="709">
        <f t="shared" si="29"/>
        <v>2855.777833</v>
      </c>
      <c r="G63" s="709">
        <f t="shared" si="29"/>
        <v>3213.750283</v>
      </c>
      <c r="H63" s="709">
        <f t="shared" si="29"/>
        <v>3607.519978</v>
      </c>
      <c r="I63" s="709">
        <f t="shared" si="29"/>
        <v>4040.666643</v>
      </c>
      <c r="J63" s="709">
        <f t="shared" si="29"/>
        <v>4517.127974</v>
      </c>
      <c r="K63" s="709">
        <f t="shared" si="29"/>
        <v>5041.235438</v>
      </c>
      <c r="L63" s="709">
        <f t="shared" si="29"/>
        <v>5284.420315</v>
      </c>
      <c r="M63" s="709">
        <f t="shared" si="29"/>
        <v>5918.590346</v>
      </c>
      <c r="N63" s="709">
        <f t="shared" si="29"/>
        <v>6616.177381</v>
      </c>
    </row>
    <row r="64">
      <c r="A64" s="252"/>
      <c r="B64" s="252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</row>
    <row r="65">
      <c r="A65" s="1205" t="s">
        <v>1063</v>
      </c>
      <c r="B65" s="13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</row>
    <row r="66">
      <c r="A66" s="1210">
        <f>sum(C9:N9)</f>
        <v>356921.4188</v>
      </c>
      <c r="B66" s="183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</row>
    <row r="67">
      <c r="A67" s="1205" t="s">
        <v>1064</v>
      </c>
      <c r="B67" s="179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</row>
    <row r="68">
      <c r="A68" s="1210">
        <f>sum(C12:N12)</f>
        <v>208068.1364</v>
      </c>
      <c r="B68" s="179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</row>
    <row r="69">
      <c r="A69" s="1205" t="s">
        <v>964</v>
      </c>
      <c r="B69" s="137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</row>
    <row r="70">
      <c r="A70" s="1211">
        <f>sum(C60:N60)-sum(C47:N47)</f>
        <v>17685.7916</v>
      </c>
      <c r="B70" s="179"/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</row>
    <row r="71">
      <c r="A71" s="1205" t="s">
        <v>1065</v>
      </c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</row>
    <row r="72">
      <c r="A72" s="1186">
        <f>sum(C49:N50)</f>
        <v>3121.022046</v>
      </c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</row>
    <row r="73">
      <c r="A73" s="1207" t="s">
        <v>1066</v>
      </c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</row>
    <row r="74">
      <c r="A74" s="1210">
        <f>sum(C47:N47)</f>
        <v>20806.81364</v>
      </c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</row>
    <row r="75">
      <c r="A75" s="177"/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</row>
    <row r="76">
      <c r="A76" s="177"/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</row>
    <row r="77">
      <c r="A77" s="177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</row>
    <row r="78">
      <c r="A78" s="177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</row>
    <row r="79">
      <c r="A79" s="177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</row>
    <row r="80">
      <c r="A80" s="177"/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</row>
    <row r="81">
      <c r="A81" s="177"/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</row>
    <row r="82">
      <c r="A82" s="177"/>
      <c r="B82" s="177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7"/>
      <c r="N82" s="177"/>
    </row>
    <row r="83">
      <c r="A83" s="177"/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</row>
    <row r="84">
      <c r="A84" s="177"/>
      <c r="B84" s="177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</row>
    <row r="85">
      <c r="A85" s="177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</row>
    <row r="86">
      <c r="A86" s="177"/>
      <c r="B86" s="177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</row>
    <row r="87">
      <c r="A87" s="177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</row>
    <row r="88">
      <c r="A88" s="177"/>
      <c r="B88" s="177"/>
      <c r="C88" s="177"/>
      <c r="D88" s="177"/>
      <c r="E88" s="177"/>
      <c r="F88" s="177"/>
      <c r="G88" s="177"/>
      <c r="H88" s="177"/>
      <c r="I88" s="177"/>
      <c r="J88" s="177"/>
      <c r="K88" s="177"/>
      <c r="L88" s="177"/>
      <c r="M88" s="177"/>
      <c r="N88" s="177"/>
    </row>
    <row r="89">
      <c r="A89" s="177"/>
      <c r="B89" s="177"/>
      <c r="C89" s="177"/>
      <c r="D89" s="177"/>
      <c r="E89" s="177"/>
      <c r="F89" s="177"/>
      <c r="G89" s="177"/>
      <c r="H89" s="177"/>
      <c r="I89" s="177"/>
      <c r="J89" s="177"/>
      <c r="K89" s="177"/>
      <c r="L89" s="177"/>
      <c r="M89" s="177"/>
      <c r="N89" s="177"/>
    </row>
    <row r="90">
      <c r="A90" s="177"/>
      <c r="B90" s="177"/>
      <c r="C90" s="177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</row>
    <row r="91">
      <c r="A91" s="177"/>
      <c r="B91" s="177"/>
      <c r="C91" s="177"/>
      <c r="D91" s="177"/>
      <c r="E91" s="177"/>
      <c r="F91" s="177"/>
      <c r="G91" s="177"/>
      <c r="H91" s="177"/>
      <c r="I91" s="177"/>
      <c r="J91" s="177"/>
      <c r="K91" s="177"/>
      <c r="L91" s="177"/>
      <c r="M91" s="177"/>
      <c r="N91" s="177"/>
    </row>
    <row r="92">
      <c r="A92" s="177"/>
      <c r="B92" s="177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7"/>
      <c r="N92" s="177"/>
    </row>
    <row r="93">
      <c r="A93" s="177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</row>
    <row r="94">
      <c r="A94" s="177"/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</row>
    <row r="95">
      <c r="A95" s="177"/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</row>
    <row r="96">
      <c r="A96" s="177"/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</row>
    <row r="97">
      <c r="A97" s="177"/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</row>
    <row r="98">
      <c r="A98" s="177"/>
      <c r="B98" s="177"/>
      <c r="C98" s="177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</row>
    <row r="99">
      <c r="A99" s="177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</row>
    <row r="100">
      <c r="A100" s="177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</row>
    <row r="101">
      <c r="A101" s="177"/>
      <c r="B101" s="17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</row>
    <row r="102">
      <c r="A102" s="177"/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</row>
    <row r="103">
      <c r="A103" s="177"/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</row>
    <row r="104">
      <c r="A104" s="177"/>
      <c r="B104" s="177"/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</row>
    <row r="105">
      <c r="A105" s="177"/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</row>
    <row r="106">
      <c r="A106" s="177"/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</row>
    <row r="107">
      <c r="A107" s="177"/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</row>
    <row r="108">
      <c r="A108" s="177"/>
      <c r="B108" s="17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7"/>
      <c r="N108" s="177"/>
    </row>
    <row r="109">
      <c r="A109" s="177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</row>
    <row r="110">
      <c r="A110" s="177"/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</row>
    <row r="111">
      <c r="A111" s="177"/>
      <c r="B111" s="17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</row>
    <row r="112">
      <c r="A112" s="177"/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</row>
    <row r="113">
      <c r="A113" s="177"/>
      <c r="B113" s="17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</row>
    <row r="114">
      <c r="A114" s="177"/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177"/>
      <c r="N114" s="177"/>
    </row>
    <row r="115">
      <c r="A115" s="177"/>
      <c r="B115" s="177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</row>
    <row r="116">
      <c r="A116" s="177"/>
      <c r="B116" s="17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177"/>
    </row>
    <row r="117">
      <c r="A117" s="177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</row>
    <row r="118">
      <c r="A118" s="177"/>
      <c r="B118" s="177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  <c r="N118" s="177"/>
    </row>
    <row r="119">
      <c r="A119" s="177"/>
      <c r="B119" s="177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7"/>
    </row>
    <row r="120">
      <c r="A120" s="177"/>
      <c r="B120" s="177"/>
      <c r="C120" s="177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/>
    </row>
    <row r="121">
      <c r="A121" s="177"/>
      <c r="B121" s="177"/>
      <c r="C121" s="177"/>
      <c r="D121" s="177"/>
      <c r="E121" s="177"/>
      <c r="F121" s="177"/>
      <c r="G121" s="177"/>
      <c r="H121" s="177"/>
      <c r="I121" s="177"/>
      <c r="J121" s="177"/>
      <c r="K121" s="177"/>
      <c r="L121" s="177"/>
      <c r="M121" s="177"/>
      <c r="N121" s="177"/>
    </row>
    <row r="122">
      <c r="A122" s="177"/>
      <c r="B122" s="177"/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</row>
    <row r="123">
      <c r="A123" s="177"/>
      <c r="B123" s="177"/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</row>
    <row r="124">
      <c r="A124" s="177"/>
      <c r="B124" s="177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</row>
    <row r="125">
      <c r="A125" s="177"/>
      <c r="B125" s="177"/>
      <c r="C125" s="177"/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</row>
    <row r="126">
      <c r="A126" s="177"/>
      <c r="B126" s="177"/>
      <c r="C126" s="177"/>
      <c r="D126" s="177"/>
      <c r="E126" s="177"/>
      <c r="F126" s="177"/>
      <c r="G126" s="177"/>
      <c r="H126" s="177"/>
      <c r="I126" s="177"/>
      <c r="J126" s="177"/>
      <c r="K126" s="177"/>
      <c r="L126" s="177"/>
      <c r="M126" s="177"/>
      <c r="N126" s="177"/>
    </row>
    <row r="127">
      <c r="A127" s="177"/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</row>
    <row r="128">
      <c r="A128" s="177"/>
      <c r="B128" s="177"/>
      <c r="C128" s="177"/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</row>
    <row r="129">
      <c r="A129" s="177"/>
      <c r="B129" s="177"/>
      <c r="C129" s="177"/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</row>
    <row r="130">
      <c r="A130" s="177"/>
      <c r="B130" s="177"/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</row>
    <row r="131">
      <c r="A131" s="177"/>
      <c r="B131" s="177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</row>
    <row r="132">
      <c r="A132" s="177"/>
      <c r="B132" s="177"/>
      <c r="C132" s="177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</row>
    <row r="133">
      <c r="A133" s="177"/>
      <c r="B133" s="177"/>
      <c r="C133" s="177"/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</row>
    <row r="134">
      <c r="A134" s="177"/>
      <c r="B134" s="177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</row>
    <row r="135">
      <c r="A135" s="177"/>
      <c r="B135" s="177"/>
      <c r="C135" s="177"/>
      <c r="D135" s="177"/>
      <c r="E135" s="177"/>
      <c r="F135" s="177"/>
      <c r="G135" s="177"/>
      <c r="H135" s="177"/>
      <c r="I135" s="177"/>
      <c r="J135" s="177"/>
      <c r="K135" s="177"/>
      <c r="L135" s="177"/>
      <c r="M135" s="177"/>
      <c r="N135" s="177"/>
    </row>
    <row r="136">
      <c r="A136" s="177"/>
      <c r="B136" s="177"/>
      <c r="C136" s="177"/>
      <c r="D136" s="177"/>
      <c r="E136" s="177"/>
      <c r="F136" s="177"/>
      <c r="G136" s="177"/>
      <c r="H136" s="177"/>
      <c r="I136" s="177"/>
      <c r="J136" s="177"/>
      <c r="K136" s="177"/>
      <c r="L136" s="177"/>
      <c r="M136" s="177"/>
      <c r="N136" s="177"/>
    </row>
    <row r="137">
      <c r="A137" s="177"/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</row>
    <row r="138">
      <c r="A138" s="177"/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</row>
    <row r="139">
      <c r="A139" s="177"/>
      <c r="B139" s="177"/>
      <c r="C139" s="177"/>
      <c r="D139" s="177"/>
      <c r="E139" s="177"/>
      <c r="F139" s="177"/>
      <c r="G139" s="177"/>
      <c r="H139" s="177"/>
      <c r="I139" s="177"/>
      <c r="J139" s="177"/>
      <c r="K139" s="177"/>
      <c r="L139" s="177"/>
      <c r="M139" s="177"/>
      <c r="N139" s="177"/>
    </row>
    <row r="140">
      <c r="A140" s="177"/>
      <c r="B140" s="177"/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</row>
    <row r="141">
      <c r="A141" s="177"/>
      <c r="B141" s="177"/>
      <c r="C141" s="177"/>
      <c r="D141" s="177"/>
      <c r="E141" s="177"/>
      <c r="F141" s="177"/>
      <c r="G141" s="177"/>
      <c r="H141" s="177"/>
      <c r="I141" s="177"/>
      <c r="J141" s="177"/>
      <c r="K141" s="177"/>
      <c r="L141" s="177"/>
      <c r="M141" s="177"/>
      <c r="N141" s="177"/>
    </row>
    <row r="142">
      <c r="A142" s="177"/>
      <c r="B142" s="177"/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  <c r="N142" s="177"/>
    </row>
    <row r="143">
      <c r="A143" s="177"/>
      <c r="B143" s="177"/>
      <c r="C143" s="177"/>
      <c r="D143" s="177"/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</row>
    <row r="144">
      <c r="A144" s="177"/>
      <c r="B144" s="177"/>
      <c r="C144" s="177"/>
      <c r="D144" s="177"/>
      <c r="E144" s="177"/>
      <c r="F144" s="177"/>
      <c r="G144" s="177"/>
      <c r="H144" s="177"/>
      <c r="I144" s="177"/>
      <c r="J144" s="177"/>
      <c r="K144" s="177"/>
      <c r="L144" s="177"/>
      <c r="M144" s="177"/>
      <c r="N144" s="177"/>
    </row>
    <row r="145">
      <c r="A145" s="177"/>
      <c r="B145" s="177"/>
      <c r="C145" s="177"/>
      <c r="D145" s="177"/>
      <c r="E145" s="177"/>
      <c r="F145" s="177"/>
      <c r="G145" s="177"/>
      <c r="H145" s="177"/>
      <c r="I145" s="177"/>
      <c r="J145" s="177"/>
      <c r="K145" s="177"/>
      <c r="L145" s="177"/>
      <c r="M145" s="177"/>
      <c r="N145" s="177"/>
    </row>
    <row r="146">
      <c r="A146" s="177"/>
      <c r="B146" s="177"/>
      <c r="C146" s="177"/>
      <c r="D146" s="177"/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</row>
    <row r="147">
      <c r="A147" s="177"/>
      <c r="B147" s="177"/>
      <c r="C147" s="177"/>
      <c r="D147" s="177"/>
      <c r="E147" s="177"/>
      <c r="F147" s="177"/>
      <c r="G147" s="177"/>
      <c r="H147" s="177"/>
      <c r="I147" s="177"/>
      <c r="J147" s="177"/>
      <c r="K147" s="177"/>
      <c r="L147" s="177"/>
      <c r="M147" s="177"/>
      <c r="N147" s="177"/>
    </row>
    <row r="148">
      <c r="A148" s="177"/>
      <c r="B148" s="177"/>
      <c r="C148" s="177"/>
      <c r="D148" s="177"/>
      <c r="E148" s="177"/>
      <c r="F148" s="177"/>
      <c r="G148" s="177"/>
      <c r="H148" s="177"/>
      <c r="I148" s="177"/>
      <c r="J148" s="177"/>
      <c r="K148" s="177"/>
      <c r="L148" s="177"/>
      <c r="M148" s="177"/>
      <c r="N148" s="177"/>
    </row>
    <row r="149">
      <c r="A149" s="177"/>
      <c r="B149" s="177"/>
      <c r="C149" s="177"/>
      <c r="D149" s="177"/>
      <c r="E149" s="177"/>
      <c r="F149" s="177"/>
      <c r="G149" s="177"/>
      <c r="H149" s="177"/>
      <c r="I149" s="177"/>
      <c r="J149" s="177"/>
      <c r="K149" s="177"/>
      <c r="L149" s="177"/>
      <c r="M149" s="177"/>
      <c r="N149" s="177"/>
    </row>
    <row r="150">
      <c r="A150" s="177"/>
      <c r="B150" s="177"/>
      <c r="C150" s="177"/>
      <c r="D150" s="177"/>
      <c r="E150" s="177"/>
      <c r="F150" s="177"/>
      <c r="G150" s="177"/>
      <c r="H150" s="177"/>
      <c r="I150" s="177"/>
      <c r="J150" s="177"/>
      <c r="K150" s="177"/>
      <c r="L150" s="177"/>
      <c r="M150" s="177"/>
      <c r="N150" s="177"/>
    </row>
    <row r="151">
      <c r="A151" s="177"/>
      <c r="B151" s="177"/>
      <c r="C151" s="177"/>
      <c r="D151" s="177"/>
      <c r="E151" s="177"/>
      <c r="F151" s="177"/>
      <c r="G151" s="177"/>
      <c r="H151" s="177"/>
      <c r="I151" s="177"/>
      <c r="J151" s="177"/>
      <c r="K151" s="177"/>
      <c r="L151" s="177"/>
      <c r="M151" s="177"/>
      <c r="N151" s="177"/>
    </row>
    <row r="152">
      <c r="A152" s="177"/>
      <c r="B152" s="177"/>
      <c r="C152" s="177"/>
      <c r="D152" s="177"/>
      <c r="E152" s="177"/>
      <c r="F152" s="177"/>
      <c r="G152" s="177"/>
      <c r="H152" s="177"/>
      <c r="I152" s="177"/>
      <c r="J152" s="177"/>
      <c r="K152" s="177"/>
      <c r="L152" s="177"/>
      <c r="M152" s="177"/>
      <c r="N152" s="177"/>
    </row>
    <row r="153">
      <c r="A153" s="177"/>
      <c r="B153" s="177"/>
      <c r="C153" s="177"/>
      <c r="D153" s="177"/>
      <c r="E153" s="177"/>
      <c r="F153" s="177"/>
      <c r="G153" s="177"/>
      <c r="H153" s="177"/>
      <c r="I153" s="177"/>
      <c r="J153" s="177"/>
      <c r="K153" s="177"/>
      <c r="L153" s="177"/>
      <c r="M153" s="177"/>
      <c r="N153" s="177"/>
    </row>
    <row r="154">
      <c r="A154" s="177"/>
      <c r="B154" s="177"/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  <c r="N154" s="177"/>
    </row>
    <row r="155">
      <c r="A155" s="177"/>
      <c r="B155" s="177"/>
      <c r="C155" s="177"/>
      <c r="D155" s="177"/>
      <c r="E155" s="177"/>
      <c r="F155" s="177"/>
      <c r="G155" s="177"/>
      <c r="H155" s="177"/>
      <c r="I155" s="177"/>
      <c r="J155" s="177"/>
      <c r="K155" s="177"/>
      <c r="L155" s="177"/>
      <c r="M155" s="177"/>
      <c r="N155" s="177"/>
    </row>
    <row r="156">
      <c r="A156" s="177"/>
      <c r="B156" s="177"/>
      <c r="C156" s="177"/>
      <c r="D156" s="177"/>
      <c r="E156" s="177"/>
      <c r="F156" s="177"/>
      <c r="G156" s="177"/>
      <c r="H156" s="177"/>
      <c r="I156" s="177"/>
      <c r="J156" s="177"/>
      <c r="K156" s="177"/>
      <c r="L156" s="177"/>
      <c r="M156" s="177"/>
      <c r="N156" s="177"/>
    </row>
    <row r="157">
      <c r="A157" s="177"/>
      <c r="B157" s="177"/>
      <c r="C157" s="177"/>
      <c r="D157" s="177"/>
      <c r="E157" s="177"/>
      <c r="F157" s="177"/>
      <c r="G157" s="177"/>
      <c r="H157" s="177"/>
      <c r="I157" s="177"/>
      <c r="J157" s="177"/>
      <c r="K157" s="177"/>
      <c r="L157" s="177"/>
      <c r="M157" s="177"/>
      <c r="N157" s="177"/>
    </row>
    <row r="158">
      <c r="A158" s="177"/>
      <c r="B158" s="177"/>
      <c r="C158" s="177"/>
      <c r="D158" s="177"/>
      <c r="E158" s="177"/>
      <c r="F158" s="177"/>
      <c r="G158" s="177"/>
      <c r="H158" s="177"/>
      <c r="I158" s="177"/>
      <c r="J158" s="177"/>
      <c r="K158" s="177"/>
      <c r="L158" s="177"/>
      <c r="M158" s="177"/>
      <c r="N158" s="177"/>
    </row>
    <row r="159">
      <c r="A159" s="177"/>
      <c r="B159" s="177"/>
      <c r="C159" s="177"/>
      <c r="D159" s="177"/>
      <c r="E159" s="177"/>
      <c r="F159" s="177"/>
      <c r="G159" s="177"/>
      <c r="H159" s="177"/>
      <c r="I159" s="177"/>
      <c r="J159" s="177"/>
      <c r="K159" s="177"/>
      <c r="L159" s="177"/>
      <c r="M159" s="177"/>
      <c r="N159" s="177"/>
    </row>
    <row r="160">
      <c r="A160" s="177"/>
      <c r="B160" s="177"/>
      <c r="C160" s="177"/>
      <c r="D160" s="177"/>
      <c r="E160" s="177"/>
      <c r="F160" s="177"/>
      <c r="G160" s="177"/>
      <c r="H160" s="177"/>
      <c r="I160" s="177"/>
      <c r="J160" s="177"/>
      <c r="K160" s="177"/>
      <c r="L160" s="177"/>
      <c r="M160" s="177"/>
      <c r="N160" s="177"/>
    </row>
    <row r="161">
      <c r="A161" s="177"/>
      <c r="B161" s="177"/>
      <c r="C161" s="177"/>
      <c r="D161" s="177"/>
      <c r="E161" s="177"/>
      <c r="F161" s="177"/>
      <c r="G161" s="177"/>
      <c r="H161" s="177"/>
      <c r="I161" s="177"/>
      <c r="J161" s="177"/>
      <c r="K161" s="177"/>
      <c r="L161" s="177"/>
      <c r="M161" s="177"/>
      <c r="N161" s="177"/>
    </row>
    <row r="162">
      <c r="A162" s="177"/>
      <c r="B162" s="177"/>
      <c r="C162" s="177"/>
      <c r="D162" s="177"/>
      <c r="E162" s="177"/>
      <c r="F162" s="177"/>
      <c r="G162" s="177"/>
      <c r="H162" s="177"/>
      <c r="I162" s="177"/>
      <c r="J162" s="177"/>
      <c r="K162" s="177"/>
      <c r="L162" s="177"/>
      <c r="M162" s="177"/>
      <c r="N162" s="177"/>
    </row>
    <row r="163">
      <c r="A163" s="177"/>
      <c r="B163" s="177"/>
      <c r="C163" s="177"/>
      <c r="D163" s="177"/>
      <c r="E163" s="177"/>
      <c r="F163" s="177"/>
      <c r="G163" s="177"/>
      <c r="H163" s="177"/>
      <c r="I163" s="177"/>
      <c r="J163" s="177"/>
      <c r="K163" s="177"/>
      <c r="L163" s="177"/>
      <c r="M163" s="177"/>
      <c r="N163" s="177"/>
    </row>
    <row r="164">
      <c r="A164" s="177"/>
      <c r="B164" s="177"/>
      <c r="C164" s="177"/>
      <c r="D164" s="177"/>
      <c r="E164" s="177"/>
      <c r="F164" s="177"/>
      <c r="G164" s="177"/>
      <c r="H164" s="177"/>
      <c r="I164" s="177"/>
      <c r="J164" s="177"/>
      <c r="K164" s="177"/>
      <c r="L164" s="177"/>
      <c r="M164" s="177"/>
      <c r="N164" s="177"/>
    </row>
    <row r="165">
      <c r="A165" s="177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</row>
    <row r="166">
      <c r="A166" s="177"/>
      <c r="B166" s="177"/>
      <c r="C166" s="177"/>
      <c r="D166" s="177"/>
      <c r="E166" s="177"/>
      <c r="F166" s="177"/>
      <c r="G166" s="177"/>
      <c r="H166" s="177"/>
      <c r="I166" s="177"/>
      <c r="J166" s="177"/>
      <c r="K166" s="177"/>
      <c r="L166" s="177"/>
      <c r="M166" s="177"/>
      <c r="N166" s="177"/>
    </row>
    <row r="167">
      <c r="A167" s="177"/>
      <c r="B167" s="177"/>
      <c r="C167" s="177"/>
      <c r="D167" s="177"/>
      <c r="E167" s="177"/>
      <c r="F167" s="177"/>
      <c r="G167" s="177"/>
      <c r="H167" s="177"/>
      <c r="I167" s="177"/>
      <c r="J167" s="177"/>
      <c r="K167" s="177"/>
      <c r="L167" s="177"/>
      <c r="M167" s="177"/>
      <c r="N167" s="177"/>
    </row>
    <row r="168">
      <c r="A168" s="177"/>
      <c r="B168" s="177"/>
      <c r="C168" s="177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7"/>
    </row>
    <row r="169">
      <c r="A169" s="177"/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  <c r="L169" s="177"/>
      <c r="M169" s="177"/>
      <c r="N169" s="177"/>
    </row>
    <row r="170">
      <c r="A170" s="177"/>
      <c r="B170" s="177"/>
      <c r="C170" s="177"/>
      <c r="D170" s="177"/>
      <c r="E170" s="177"/>
      <c r="F170" s="177"/>
      <c r="G170" s="177"/>
      <c r="H170" s="177"/>
      <c r="I170" s="177"/>
      <c r="J170" s="177"/>
      <c r="K170" s="177"/>
      <c r="L170" s="177"/>
      <c r="M170" s="177"/>
      <c r="N170" s="177"/>
    </row>
    <row r="171">
      <c r="A171" s="177"/>
      <c r="B171" s="177"/>
      <c r="C171" s="177"/>
      <c r="D171" s="177"/>
      <c r="E171" s="177"/>
      <c r="F171" s="177"/>
      <c r="G171" s="177"/>
      <c r="H171" s="177"/>
      <c r="I171" s="177"/>
      <c r="J171" s="177"/>
      <c r="K171" s="177"/>
      <c r="L171" s="177"/>
      <c r="M171" s="177"/>
      <c r="N171" s="177"/>
    </row>
    <row r="172">
      <c r="A172" s="177"/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  <c r="L172" s="177"/>
      <c r="M172" s="177"/>
      <c r="N172" s="177"/>
    </row>
    <row r="173">
      <c r="A173" s="177"/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  <c r="L173" s="177"/>
      <c r="M173" s="177"/>
      <c r="N173" s="177"/>
    </row>
    <row r="174">
      <c r="A174" s="177"/>
      <c r="B174" s="177"/>
      <c r="C174" s="177"/>
      <c r="D174" s="177"/>
      <c r="E174" s="177"/>
      <c r="F174" s="177"/>
      <c r="G174" s="177"/>
      <c r="H174" s="177"/>
      <c r="I174" s="177"/>
      <c r="J174" s="177"/>
      <c r="K174" s="177"/>
      <c r="L174" s="177"/>
      <c r="M174" s="177"/>
      <c r="N174" s="177"/>
    </row>
    <row r="175">
      <c r="A175" s="177"/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  <c r="L175" s="177"/>
      <c r="M175" s="177"/>
      <c r="N175" s="177"/>
    </row>
    <row r="176">
      <c r="A176" s="177"/>
      <c r="B176" s="177"/>
      <c r="C176" s="177"/>
      <c r="D176" s="177"/>
      <c r="E176" s="177"/>
      <c r="F176" s="177"/>
      <c r="G176" s="177"/>
      <c r="H176" s="177"/>
      <c r="I176" s="177"/>
      <c r="J176" s="177"/>
      <c r="K176" s="177"/>
      <c r="L176" s="177"/>
      <c r="M176" s="177"/>
      <c r="N176" s="177"/>
    </row>
    <row r="177">
      <c r="A177" s="177"/>
      <c r="B177" s="177"/>
      <c r="C177" s="177"/>
      <c r="D177" s="177"/>
      <c r="E177" s="177"/>
      <c r="F177" s="177"/>
      <c r="G177" s="177"/>
      <c r="H177" s="177"/>
      <c r="I177" s="177"/>
      <c r="J177" s="177"/>
      <c r="K177" s="177"/>
      <c r="L177" s="177"/>
      <c r="M177" s="177"/>
      <c r="N177" s="177"/>
    </row>
    <row r="178">
      <c r="A178" s="177"/>
      <c r="B178" s="177"/>
      <c r="C178" s="177"/>
      <c r="D178" s="177"/>
      <c r="E178" s="177"/>
      <c r="F178" s="177"/>
      <c r="G178" s="177"/>
      <c r="H178" s="177"/>
      <c r="I178" s="177"/>
      <c r="J178" s="177"/>
      <c r="K178" s="177"/>
      <c r="L178" s="177"/>
      <c r="M178" s="177"/>
      <c r="N178" s="177"/>
    </row>
    <row r="179">
      <c r="A179" s="177"/>
      <c r="B179" s="177"/>
      <c r="C179" s="177"/>
      <c r="D179" s="177"/>
      <c r="E179" s="177"/>
      <c r="F179" s="177"/>
      <c r="G179" s="177"/>
      <c r="H179" s="177"/>
      <c r="I179" s="177"/>
      <c r="J179" s="177"/>
      <c r="K179" s="177"/>
      <c r="L179" s="177"/>
      <c r="M179" s="177"/>
      <c r="N179" s="177"/>
    </row>
    <row r="180">
      <c r="A180" s="177"/>
      <c r="B180" s="177"/>
      <c r="C180" s="177"/>
      <c r="D180" s="177"/>
      <c r="E180" s="177"/>
      <c r="F180" s="177"/>
      <c r="G180" s="177"/>
      <c r="H180" s="177"/>
      <c r="I180" s="177"/>
      <c r="J180" s="177"/>
      <c r="K180" s="177"/>
      <c r="L180" s="177"/>
      <c r="M180" s="177"/>
      <c r="N180" s="177"/>
    </row>
    <row r="181">
      <c r="A181" s="177"/>
      <c r="B181" s="177"/>
      <c r="C181" s="177"/>
      <c r="D181" s="177"/>
      <c r="E181" s="177"/>
      <c r="F181" s="177"/>
      <c r="G181" s="177"/>
      <c r="H181" s="177"/>
      <c r="I181" s="177"/>
      <c r="J181" s="177"/>
      <c r="K181" s="177"/>
      <c r="L181" s="177"/>
      <c r="M181" s="177"/>
      <c r="N181" s="177"/>
    </row>
    <row r="182">
      <c r="A182" s="177"/>
      <c r="B182" s="177"/>
      <c r="C182" s="177"/>
      <c r="D182" s="177"/>
      <c r="E182" s="177"/>
      <c r="F182" s="177"/>
      <c r="G182" s="177"/>
      <c r="H182" s="177"/>
      <c r="I182" s="177"/>
      <c r="J182" s="177"/>
      <c r="K182" s="177"/>
      <c r="L182" s="177"/>
      <c r="M182" s="177"/>
      <c r="N182" s="177"/>
    </row>
    <row r="183">
      <c r="A183" s="177"/>
      <c r="B183" s="177"/>
      <c r="C183" s="177"/>
      <c r="D183" s="177"/>
      <c r="E183" s="177"/>
      <c r="F183" s="177"/>
      <c r="G183" s="177"/>
      <c r="H183" s="177"/>
      <c r="I183" s="177"/>
      <c r="J183" s="177"/>
      <c r="K183" s="177"/>
      <c r="L183" s="177"/>
      <c r="M183" s="177"/>
      <c r="N183" s="177"/>
    </row>
    <row r="184">
      <c r="A184" s="177"/>
      <c r="B184" s="177"/>
      <c r="C184" s="177"/>
      <c r="D184" s="177"/>
      <c r="E184" s="177"/>
      <c r="F184" s="177"/>
      <c r="G184" s="177"/>
      <c r="H184" s="177"/>
      <c r="I184" s="177"/>
      <c r="J184" s="177"/>
      <c r="K184" s="177"/>
      <c r="L184" s="177"/>
      <c r="M184" s="177"/>
      <c r="N184" s="177"/>
    </row>
    <row r="185">
      <c r="A185" s="177"/>
      <c r="B185" s="177"/>
      <c r="C185" s="177"/>
      <c r="D185" s="177"/>
      <c r="E185" s="177"/>
      <c r="F185" s="177"/>
      <c r="G185" s="177"/>
      <c r="H185" s="177"/>
      <c r="I185" s="177"/>
      <c r="J185" s="177"/>
      <c r="K185" s="177"/>
      <c r="L185" s="177"/>
      <c r="M185" s="177"/>
      <c r="N185" s="177"/>
    </row>
    <row r="186">
      <c r="A186" s="177"/>
      <c r="B186" s="177"/>
      <c r="C186" s="177"/>
      <c r="D186" s="177"/>
      <c r="E186" s="177"/>
      <c r="F186" s="177"/>
      <c r="G186" s="177"/>
      <c r="H186" s="177"/>
      <c r="I186" s="177"/>
      <c r="J186" s="177"/>
      <c r="K186" s="177"/>
      <c r="L186" s="177"/>
      <c r="M186" s="177"/>
      <c r="N186" s="177"/>
    </row>
    <row r="187">
      <c r="A187" s="177"/>
      <c r="B187" s="177"/>
      <c r="C187" s="177"/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</row>
    <row r="188">
      <c r="A188" s="177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</row>
    <row r="189">
      <c r="A189" s="177"/>
      <c r="B189" s="177"/>
      <c r="C189" s="177"/>
      <c r="D189" s="177"/>
      <c r="E189" s="177"/>
      <c r="F189" s="177"/>
      <c r="G189" s="177"/>
      <c r="H189" s="177"/>
      <c r="I189" s="177"/>
      <c r="J189" s="177"/>
      <c r="K189" s="177"/>
      <c r="L189" s="177"/>
      <c r="M189" s="177"/>
      <c r="N189" s="177"/>
    </row>
    <row r="190">
      <c r="A190" s="177"/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</row>
    <row r="191">
      <c r="A191" s="177"/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</row>
    <row r="192">
      <c r="A192" s="177"/>
      <c r="B192" s="177"/>
      <c r="C192" s="177"/>
      <c r="D192" s="177"/>
      <c r="E192" s="177"/>
      <c r="F192" s="177"/>
      <c r="G192" s="177"/>
      <c r="H192" s="177"/>
      <c r="I192" s="177"/>
      <c r="J192" s="177"/>
      <c r="K192" s="177"/>
      <c r="L192" s="177"/>
      <c r="M192" s="177"/>
      <c r="N192" s="177"/>
    </row>
    <row r="193">
      <c r="A193" s="177"/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  <c r="N193" s="177"/>
    </row>
    <row r="194">
      <c r="A194" s="177"/>
      <c r="B194" s="177"/>
      <c r="C194" s="177"/>
      <c r="D194" s="177"/>
      <c r="E194" s="177"/>
      <c r="F194" s="177"/>
      <c r="G194" s="177"/>
      <c r="H194" s="177"/>
      <c r="I194" s="177"/>
      <c r="J194" s="177"/>
      <c r="K194" s="177"/>
      <c r="L194" s="177"/>
      <c r="M194" s="177"/>
      <c r="N194" s="177"/>
    </row>
    <row r="195">
      <c r="A195" s="177"/>
      <c r="B195" s="177"/>
      <c r="C195" s="177"/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</row>
    <row r="196">
      <c r="A196" s="177"/>
      <c r="B196" s="177"/>
      <c r="C196" s="177"/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</row>
    <row r="197">
      <c r="A197" s="177"/>
      <c r="B197" s="177"/>
      <c r="C197" s="177"/>
      <c r="D197" s="177"/>
      <c r="E197" s="177"/>
      <c r="F197" s="177"/>
      <c r="G197" s="177"/>
      <c r="H197" s="177"/>
      <c r="I197" s="177"/>
      <c r="J197" s="177"/>
      <c r="K197" s="177"/>
      <c r="L197" s="177"/>
      <c r="M197" s="177"/>
      <c r="N197" s="177"/>
    </row>
    <row r="198">
      <c r="A198" s="177"/>
      <c r="B198" s="177"/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</row>
    <row r="199">
      <c r="A199" s="177"/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</row>
    <row r="200">
      <c r="A200" s="177"/>
      <c r="B200" s="177"/>
      <c r="C200" s="177"/>
      <c r="D200" s="177"/>
      <c r="E200" s="177"/>
      <c r="F200" s="177"/>
      <c r="G200" s="177"/>
      <c r="H200" s="177"/>
      <c r="I200" s="177"/>
      <c r="J200" s="177"/>
      <c r="K200" s="177"/>
      <c r="L200" s="177"/>
      <c r="M200" s="177"/>
      <c r="N200" s="177"/>
    </row>
    <row r="201">
      <c r="A201" s="177"/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</row>
    <row r="202">
      <c r="A202" s="177"/>
      <c r="B202" s="177"/>
      <c r="C202" s="177"/>
      <c r="D202" s="177"/>
      <c r="E202" s="177"/>
      <c r="F202" s="177"/>
      <c r="G202" s="177"/>
      <c r="H202" s="177"/>
      <c r="I202" s="177"/>
      <c r="J202" s="177"/>
      <c r="K202" s="177"/>
      <c r="L202" s="177"/>
      <c r="M202" s="177"/>
      <c r="N202" s="177"/>
    </row>
    <row r="203">
      <c r="A203" s="177"/>
      <c r="B203" s="177"/>
      <c r="C203" s="177"/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</row>
    <row r="204">
      <c r="A204" s="177"/>
      <c r="B204" s="177"/>
      <c r="C204" s="177"/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</row>
    <row r="205">
      <c r="A205" s="177"/>
      <c r="B205" s="177"/>
      <c r="C205" s="177"/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</row>
    <row r="206">
      <c r="A206" s="177"/>
      <c r="B206" s="177"/>
      <c r="C206" s="177"/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</row>
    <row r="207">
      <c r="A207" s="177"/>
      <c r="B207" s="177"/>
      <c r="C207" s="177"/>
      <c r="D207" s="177"/>
      <c r="E207" s="177"/>
      <c r="F207" s="177"/>
      <c r="G207" s="177"/>
      <c r="H207" s="177"/>
      <c r="I207" s="177"/>
      <c r="J207" s="177"/>
      <c r="K207" s="177"/>
      <c r="L207" s="177"/>
      <c r="M207" s="177"/>
      <c r="N207" s="177"/>
    </row>
    <row r="208">
      <c r="A208" s="177"/>
      <c r="B208" s="177"/>
      <c r="C208" s="177"/>
      <c r="D208" s="177"/>
      <c r="E208" s="177"/>
      <c r="F208" s="177"/>
      <c r="G208" s="177"/>
      <c r="H208" s="177"/>
      <c r="I208" s="177"/>
      <c r="J208" s="177"/>
      <c r="K208" s="177"/>
      <c r="L208" s="177"/>
      <c r="M208" s="177"/>
      <c r="N208" s="177"/>
    </row>
    <row r="209">
      <c r="A209" s="177"/>
      <c r="B209" s="177"/>
      <c r="C209" s="177"/>
      <c r="D209" s="177"/>
      <c r="E209" s="177"/>
      <c r="F209" s="177"/>
      <c r="G209" s="177"/>
      <c r="H209" s="177"/>
      <c r="I209" s="177"/>
      <c r="J209" s="177"/>
      <c r="K209" s="177"/>
      <c r="L209" s="177"/>
      <c r="M209" s="177"/>
      <c r="N209" s="177"/>
    </row>
    <row r="210">
      <c r="A210" s="177"/>
      <c r="B210" s="177"/>
      <c r="C210" s="177"/>
      <c r="D210" s="177"/>
      <c r="E210" s="177"/>
      <c r="F210" s="177"/>
      <c r="G210" s="177"/>
      <c r="H210" s="177"/>
      <c r="I210" s="177"/>
      <c r="J210" s="177"/>
      <c r="K210" s="177"/>
      <c r="L210" s="177"/>
      <c r="M210" s="177"/>
      <c r="N210" s="177"/>
    </row>
    <row r="211">
      <c r="A211" s="177"/>
      <c r="B211" s="177"/>
      <c r="C211" s="177"/>
      <c r="D211" s="177"/>
      <c r="E211" s="177"/>
      <c r="F211" s="177"/>
      <c r="G211" s="177"/>
      <c r="H211" s="177"/>
      <c r="I211" s="177"/>
      <c r="J211" s="177"/>
      <c r="K211" s="177"/>
      <c r="L211" s="177"/>
      <c r="M211" s="177"/>
      <c r="N211" s="177"/>
    </row>
    <row r="212">
      <c r="A212" s="177"/>
      <c r="B212" s="177"/>
      <c r="C212" s="177"/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  <c r="N212" s="177"/>
    </row>
    <row r="213">
      <c r="A213" s="177"/>
      <c r="B213" s="177"/>
      <c r="C213" s="177"/>
      <c r="D213" s="177"/>
      <c r="E213" s="177"/>
      <c r="F213" s="177"/>
      <c r="G213" s="177"/>
      <c r="H213" s="177"/>
      <c r="I213" s="177"/>
      <c r="J213" s="177"/>
      <c r="K213" s="177"/>
      <c r="L213" s="177"/>
      <c r="M213" s="177"/>
      <c r="N213" s="177"/>
    </row>
    <row r="214">
      <c r="A214" s="177"/>
      <c r="B214" s="177"/>
      <c r="C214" s="177"/>
      <c r="D214" s="177"/>
      <c r="E214" s="177"/>
      <c r="F214" s="177"/>
      <c r="G214" s="177"/>
      <c r="H214" s="177"/>
      <c r="I214" s="177"/>
      <c r="J214" s="177"/>
      <c r="K214" s="177"/>
      <c r="L214" s="177"/>
      <c r="M214" s="177"/>
      <c r="N214" s="177"/>
    </row>
    <row r="215">
      <c r="A215" s="177"/>
      <c r="B215" s="177"/>
      <c r="C215" s="177"/>
      <c r="D215" s="177"/>
      <c r="E215" s="177"/>
      <c r="F215" s="177"/>
      <c r="G215" s="177"/>
      <c r="H215" s="177"/>
      <c r="I215" s="177"/>
      <c r="J215" s="177"/>
      <c r="K215" s="177"/>
      <c r="L215" s="177"/>
      <c r="M215" s="177"/>
      <c r="N215" s="177"/>
    </row>
    <row r="216">
      <c r="A216" s="177"/>
      <c r="B216" s="177"/>
      <c r="C216" s="177"/>
      <c r="D216" s="177"/>
      <c r="E216" s="177"/>
      <c r="F216" s="177"/>
      <c r="G216" s="177"/>
      <c r="H216" s="177"/>
      <c r="I216" s="177"/>
      <c r="J216" s="177"/>
      <c r="K216" s="177"/>
      <c r="L216" s="177"/>
      <c r="M216" s="177"/>
      <c r="N216" s="177"/>
    </row>
    <row r="217">
      <c r="A217" s="177"/>
      <c r="B217" s="177"/>
      <c r="C217" s="177"/>
      <c r="D217" s="177"/>
      <c r="E217" s="177"/>
      <c r="F217" s="177"/>
      <c r="G217" s="177"/>
      <c r="H217" s="177"/>
      <c r="I217" s="177"/>
      <c r="J217" s="177"/>
      <c r="K217" s="177"/>
      <c r="L217" s="177"/>
      <c r="M217" s="177"/>
      <c r="N217" s="177"/>
    </row>
    <row r="218">
      <c r="A218" s="177"/>
      <c r="B218" s="177"/>
      <c r="C218" s="177"/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</row>
    <row r="219">
      <c r="A219" s="177"/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</row>
    <row r="220">
      <c r="A220" s="177"/>
      <c r="B220" s="177"/>
      <c r="C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</row>
    <row r="221">
      <c r="A221" s="177"/>
      <c r="B221" s="177"/>
      <c r="C221" s="177"/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</row>
    <row r="222">
      <c r="A222" s="177"/>
      <c r="B222" s="177"/>
      <c r="C222" s="177"/>
      <c r="D222" s="177"/>
      <c r="E222" s="177"/>
      <c r="F222" s="177"/>
      <c r="G222" s="177"/>
      <c r="H222" s="177"/>
      <c r="I222" s="177"/>
      <c r="J222" s="177"/>
      <c r="K222" s="177"/>
      <c r="L222" s="177"/>
      <c r="M222" s="177"/>
      <c r="N222" s="177"/>
    </row>
    <row r="223">
      <c r="A223" s="177"/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</row>
    <row r="224">
      <c r="A224" s="177"/>
      <c r="B224" s="177"/>
      <c r="C224" s="177"/>
      <c r="D224" s="177"/>
      <c r="E224" s="177"/>
      <c r="F224" s="177"/>
      <c r="G224" s="177"/>
      <c r="H224" s="177"/>
      <c r="I224" s="177"/>
      <c r="J224" s="177"/>
      <c r="K224" s="177"/>
      <c r="L224" s="177"/>
      <c r="M224" s="177"/>
      <c r="N224" s="177"/>
    </row>
    <row r="225">
      <c r="A225" s="177"/>
      <c r="B225" s="177"/>
      <c r="C225" s="177"/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</row>
    <row r="226">
      <c r="A226" s="177"/>
      <c r="B226" s="177"/>
      <c r="C226" s="177"/>
      <c r="D226" s="177"/>
      <c r="E226" s="177"/>
      <c r="F226" s="177"/>
      <c r="G226" s="177"/>
      <c r="H226" s="177"/>
      <c r="I226" s="177"/>
      <c r="J226" s="177"/>
      <c r="K226" s="177"/>
      <c r="L226" s="177"/>
      <c r="M226" s="177"/>
      <c r="N226" s="177"/>
    </row>
    <row r="227">
      <c r="A227" s="177"/>
      <c r="B227" s="177"/>
      <c r="C227" s="177"/>
      <c r="D227" s="177"/>
      <c r="E227" s="177"/>
      <c r="F227" s="177"/>
      <c r="G227" s="177"/>
      <c r="H227" s="177"/>
      <c r="I227" s="177"/>
      <c r="J227" s="177"/>
      <c r="K227" s="177"/>
      <c r="L227" s="177"/>
      <c r="M227" s="177"/>
      <c r="N227" s="177"/>
    </row>
    <row r="228">
      <c r="A228" s="177"/>
      <c r="B228" s="177"/>
      <c r="C228" s="177"/>
      <c r="D228" s="177"/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</row>
    <row r="229">
      <c r="A229" s="177"/>
      <c r="B229" s="177"/>
      <c r="C229" s="177"/>
      <c r="D229" s="177"/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</row>
    <row r="230">
      <c r="A230" s="177"/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</row>
    <row r="231">
      <c r="A231" s="177"/>
      <c r="B231" s="177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</row>
    <row r="232">
      <c r="A232" s="177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</row>
    <row r="233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</row>
    <row r="234">
      <c r="A234" s="177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</row>
    <row r="235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</row>
    <row r="236">
      <c r="A236" s="177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</row>
    <row r="237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</row>
    <row r="238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</row>
    <row r="239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</row>
    <row r="240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</row>
    <row r="24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</row>
    <row r="242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</row>
    <row r="243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</row>
    <row r="244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</row>
    <row r="245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</row>
    <row r="246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</row>
    <row r="247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</row>
    <row r="248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</row>
    <row r="249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</row>
    <row r="250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</row>
    <row r="25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</row>
    <row r="252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</row>
    <row r="253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</row>
    <row r="254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</row>
    <row r="255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</row>
    <row r="256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</row>
    <row r="257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</row>
    <row r="258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</row>
    <row r="259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</row>
    <row r="260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</row>
    <row r="26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</row>
    <row r="262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</row>
    <row r="263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</row>
    <row r="264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</row>
    <row r="265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</row>
    <row r="266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</row>
    <row r="267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</row>
    <row r="268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</row>
    <row r="269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</row>
    <row r="270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</row>
    <row r="27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</row>
    <row r="272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</row>
    <row r="273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</row>
    <row r="274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</row>
    <row r="275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</row>
    <row r="276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</row>
    <row r="277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</row>
    <row r="278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</row>
    <row r="279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</row>
    <row r="280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</row>
    <row r="28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</row>
    <row r="282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</row>
    <row r="283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</row>
    <row r="284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</row>
    <row r="285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</row>
    <row r="286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</row>
    <row r="287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</row>
    <row r="288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</row>
    <row r="289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</row>
    <row r="290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</row>
    <row r="29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</row>
    <row r="292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</row>
    <row r="293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</row>
    <row r="294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</row>
    <row r="295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</row>
    <row r="296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</row>
    <row r="297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</row>
    <row r="298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</row>
    <row r="299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</row>
    <row r="300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</row>
    <row r="30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</row>
    <row r="302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</row>
    <row r="303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</row>
    <row r="304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</row>
    <row r="305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</row>
    <row r="306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</row>
    <row r="307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</row>
    <row r="308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</row>
    <row r="309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</row>
    <row r="310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</row>
    <row r="31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</row>
    <row r="312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</row>
    <row r="313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</row>
    <row r="314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</row>
    <row r="315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</row>
    <row r="316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</row>
    <row r="317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</row>
    <row r="318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</row>
    <row r="319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</row>
    <row r="320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</row>
    <row r="32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</row>
    <row r="322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</row>
    <row r="323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</row>
    <row r="324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</row>
    <row r="325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</row>
    <row r="326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</row>
    <row r="327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</row>
    <row r="328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</row>
    <row r="329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</row>
    <row r="330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</row>
    <row r="33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</row>
    <row r="332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</row>
    <row r="333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</row>
    <row r="334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</row>
    <row r="335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</row>
    <row r="336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</row>
    <row r="337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</row>
    <row r="338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</row>
    <row r="339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</row>
    <row r="340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</row>
    <row r="34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</row>
    <row r="342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</row>
    <row r="343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</row>
    <row r="344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</row>
    <row r="345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</row>
    <row r="346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</row>
    <row r="347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</row>
    <row r="348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</row>
    <row r="349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</row>
    <row r="350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</row>
    <row r="35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</row>
    <row r="352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</row>
    <row r="353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</row>
    <row r="354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</row>
    <row r="355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</row>
    <row r="356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</row>
    <row r="357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</row>
    <row r="358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</row>
    <row r="359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</row>
    <row r="360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</row>
    <row r="36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</row>
    <row r="362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</row>
    <row r="363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</row>
    <row r="364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</row>
    <row r="365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</row>
    <row r="366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</row>
    <row r="367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</row>
    <row r="368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</row>
    <row r="369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</row>
    <row r="370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</row>
    <row r="37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</row>
    <row r="372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</row>
    <row r="373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</row>
    <row r="374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</row>
    <row r="375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</row>
    <row r="376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</row>
    <row r="377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</row>
    <row r="378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</row>
    <row r="379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</row>
    <row r="380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</row>
    <row r="38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</row>
    <row r="382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</row>
    <row r="383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</row>
    <row r="384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</row>
    <row r="385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</row>
    <row r="386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</row>
    <row r="387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</row>
    <row r="388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</row>
    <row r="389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</row>
    <row r="390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</row>
    <row r="39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</row>
    <row r="392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</row>
    <row r="393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</row>
    <row r="394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</row>
    <row r="395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</row>
    <row r="396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</row>
    <row r="397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</row>
    <row r="398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</row>
    <row r="399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</row>
    <row r="400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</row>
    <row r="40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</row>
    <row r="402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</row>
    <row r="403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</row>
    <row r="404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</row>
    <row r="405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</row>
    <row r="406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</row>
    <row r="407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</row>
    <row r="408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</row>
    <row r="409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</row>
    <row r="410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</row>
    <row r="41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</row>
    <row r="412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</row>
    <row r="413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</row>
    <row r="414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</row>
    <row r="415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</row>
    <row r="416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</row>
    <row r="417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</row>
    <row r="418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</row>
    <row r="419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</row>
    <row r="420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</row>
    <row r="42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</row>
    <row r="422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</row>
    <row r="423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</row>
    <row r="424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</row>
    <row r="425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</row>
    <row r="426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</row>
    <row r="427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</row>
    <row r="428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</row>
    <row r="429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</row>
    <row r="430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</row>
    <row r="43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</row>
    <row r="432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</row>
    <row r="433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</row>
    <row r="434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</row>
    <row r="435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</row>
    <row r="436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</row>
    <row r="437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</row>
    <row r="438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</row>
    <row r="439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</row>
    <row r="440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</row>
    <row r="44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</row>
    <row r="442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</row>
    <row r="443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</row>
    <row r="444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</row>
    <row r="445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</row>
    <row r="446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</row>
    <row r="447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</row>
    <row r="448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</row>
    <row r="449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</row>
    <row r="450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</row>
    <row r="45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</row>
    <row r="452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</row>
    <row r="453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</row>
    <row r="454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</row>
    <row r="455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</row>
    <row r="456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</row>
    <row r="457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</row>
    <row r="458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</row>
    <row r="459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</row>
    <row r="460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</row>
    <row r="46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</row>
    <row r="462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</row>
    <row r="463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</row>
    <row r="464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</row>
    <row r="465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</row>
    <row r="466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</row>
    <row r="467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</row>
    <row r="468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</row>
    <row r="469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</row>
    <row r="470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</row>
    <row r="47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</row>
    <row r="472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</row>
    <row r="473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</row>
    <row r="474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</row>
    <row r="475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</row>
    <row r="476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</row>
    <row r="477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</row>
    <row r="478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</row>
    <row r="479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</row>
    <row r="480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</row>
    <row r="48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</row>
    <row r="482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</row>
    <row r="483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</row>
    <row r="484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</row>
    <row r="485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</row>
    <row r="486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</row>
    <row r="487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</row>
    <row r="488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</row>
    <row r="489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</row>
    <row r="490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</row>
    <row r="49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</row>
    <row r="492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</row>
    <row r="493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</row>
    <row r="494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</row>
    <row r="495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</row>
    <row r="496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</row>
    <row r="497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</row>
    <row r="498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</row>
    <row r="499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</row>
    <row r="500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</row>
    <row r="50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</row>
    <row r="502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</row>
    <row r="503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</row>
    <row r="504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</row>
    <row r="505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</row>
    <row r="506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</row>
    <row r="507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</row>
    <row r="508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</row>
    <row r="509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</row>
    <row r="510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</row>
    <row r="51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</row>
    <row r="512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</row>
    <row r="513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</row>
    <row r="514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</row>
    <row r="515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</row>
    <row r="516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</row>
    <row r="517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</row>
    <row r="518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</row>
    <row r="519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</row>
    <row r="520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</row>
    <row r="52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</row>
    <row r="522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</row>
    <row r="523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</row>
    <row r="524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</row>
    <row r="525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</row>
    <row r="526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</row>
    <row r="527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</row>
    <row r="528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</row>
    <row r="529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</row>
    <row r="530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</row>
    <row r="53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</row>
    <row r="532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</row>
    <row r="533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</row>
    <row r="534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</row>
    <row r="535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</row>
    <row r="536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</row>
    <row r="537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</row>
    <row r="538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</row>
    <row r="539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</row>
    <row r="540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</row>
    <row r="54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</row>
    <row r="542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</row>
    <row r="543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</row>
    <row r="544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</row>
    <row r="545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</row>
    <row r="546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</row>
    <row r="547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</row>
    <row r="548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</row>
    <row r="549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</row>
    <row r="550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</row>
    <row r="55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</row>
    <row r="552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</row>
    <row r="553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</row>
    <row r="554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</row>
    <row r="555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</row>
    <row r="556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</row>
    <row r="557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</row>
    <row r="558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</row>
    <row r="559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</row>
    <row r="560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</row>
    <row r="56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</row>
    <row r="562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</row>
    <row r="563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</row>
    <row r="564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</row>
    <row r="565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</row>
    <row r="566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</row>
    <row r="567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</row>
    <row r="568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</row>
    <row r="569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</row>
    <row r="570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</row>
    <row r="57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</row>
    <row r="572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</row>
    <row r="573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</row>
    <row r="574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</row>
    <row r="575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</row>
    <row r="576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</row>
    <row r="577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</row>
    <row r="578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</row>
    <row r="579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</row>
    <row r="580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</row>
    <row r="58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</row>
    <row r="582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</row>
    <row r="583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</row>
    <row r="584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</row>
    <row r="585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</row>
    <row r="586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</row>
    <row r="587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</row>
    <row r="588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</row>
    <row r="589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</row>
    <row r="590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</row>
    <row r="59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</row>
    <row r="592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</row>
    <row r="593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</row>
    <row r="594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</row>
    <row r="595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</row>
    <row r="596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</row>
    <row r="597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</row>
    <row r="598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</row>
    <row r="599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</row>
    <row r="600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</row>
    <row r="60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</row>
    <row r="602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</row>
    <row r="603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</row>
    <row r="604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</row>
    <row r="605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</row>
    <row r="606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</row>
    <row r="607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</row>
    <row r="608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</row>
    <row r="609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</row>
    <row r="610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</row>
    <row r="61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</row>
    <row r="612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</row>
    <row r="613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</row>
    <row r="614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</row>
    <row r="615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</row>
    <row r="616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</row>
    <row r="617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</row>
    <row r="618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</row>
    <row r="619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</row>
    <row r="620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</row>
    <row r="62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</row>
    <row r="622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</row>
    <row r="623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</row>
    <row r="624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</row>
    <row r="625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</row>
    <row r="626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</row>
    <row r="627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</row>
    <row r="628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</row>
    <row r="629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</row>
    <row r="630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</row>
    <row r="63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</row>
    <row r="632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</row>
    <row r="633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</row>
    <row r="634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</row>
    <row r="635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</row>
    <row r="636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</row>
    <row r="637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</row>
    <row r="638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</row>
    <row r="639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</row>
    <row r="640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</row>
    <row r="64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</row>
    <row r="642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</row>
    <row r="643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</row>
    <row r="644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</row>
    <row r="645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</row>
    <row r="646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</row>
    <row r="647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</row>
    <row r="648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</row>
    <row r="649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</row>
    <row r="650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</row>
    <row r="65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</row>
    <row r="652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</row>
    <row r="653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</row>
    <row r="654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</row>
    <row r="655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</row>
    <row r="656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</row>
    <row r="657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</row>
    <row r="658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</row>
    <row r="659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</row>
    <row r="660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</row>
    <row r="66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</row>
    <row r="662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</row>
    <row r="663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</row>
    <row r="664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</row>
    <row r="665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</row>
    <row r="666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</row>
    <row r="667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</row>
    <row r="668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</row>
    <row r="669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</row>
    <row r="670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</row>
    <row r="67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</row>
    <row r="672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</row>
    <row r="673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</row>
    <row r="674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</row>
    <row r="675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</row>
    <row r="676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</row>
    <row r="677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</row>
    <row r="678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</row>
    <row r="679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</row>
    <row r="680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</row>
    <row r="68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</row>
    <row r="682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</row>
    <row r="683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</row>
    <row r="684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</row>
    <row r="685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</row>
    <row r="686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</row>
    <row r="687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</row>
    <row r="688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</row>
    <row r="689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</row>
    <row r="690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</row>
    <row r="69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</row>
    <row r="692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</row>
    <row r="693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</row>
    <row r="694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</row>
    <row r="695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</row>
    <row r="696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</row>
    <row r="697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</row>
    <row r="698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</row>
    <row r="699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</row>
    <row r="700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</row>
    <row r="70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</row>
    <row r="702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</row>
    <row r="703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</row>
    <row r="704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</row>
    <row r="705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</row>
    <row r="706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</row>
    <row r="707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</row>
    <row r="708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</row>
    <row r="709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</row>
    <row r="710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</row>
    <row r="71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</row>
    <row r="712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</row>
    <row r="713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</row>
    <row r="714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</row>
    <row r="715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</row>
    <row r="716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</row>
    <row r="717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</row>
    <row r="718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</row>
    <row r="719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</row>
    <row r="720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</row>
    <row r="72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</row>
    <row r="722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</row>
    <row r="723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</row>
    <row r="724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</row>
    <row r="725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</row>
    <row r="726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</row>
    <row r="727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</row>
    <row r="728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</row>
    <row r="729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</row>
    <row r="730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</row>
    <row r="73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</row>
    <row r="732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</row>
    <row r="733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</row>
    <row r="734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</row>
    <row r="735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</row>
    <row r="736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</row>
    <row r="737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</row>
    <row r="738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</row>
    <row r="739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</row>
    <row r="740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</row>
    <row r="74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</row>
    <row r="742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</row>
    <row r="743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</row>
    <row r="744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</row>
    <row r="745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</row>
    <row r="746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</row>
    <row r="747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</row>
    <row r="748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</row>
    <row r="749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</row>
    <row r="750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</row>
    <row r="75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</row>
    <row r="752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</row>
    <row r="753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</row>
    <row r="754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</row>
    <row r="755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</row>
    <row r="756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</row>
    <row r="757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</row>
    <row r="758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</row>
    <row r="759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</row>
    <row r="760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</row>
    <row r="76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</row>
    <row r="762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</row>
    <row r="763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</row>
    <row r="764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</row>
    <row r="765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</row>
    <row r="766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</row>
    <row r="767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</row>
    <row r="768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</row>
    <row r="769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</row>
    <row r="770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</row>
    <row r="77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</row>
    <row r="772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</row>
    <row r="773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</row>
    <row r="774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</row>
    <row r="775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</row>
    <row r="776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</row>
    <row r="777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</row>
    <row r="778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</row>
    <row r="779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</row>
    <row r="780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</row>
    <row r="78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</row>
    <row r="782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</row>
    <row r="783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</row>
    <row r="784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</row>
    <row r="785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</row>
    <row r="786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</row>
    <row r="787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</row>
    <row r="788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</row>
    <row r="789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</row>
    <row r="790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</row>
    <row r="79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</row>
    <row r="792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</row>
    <row r="793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</row>
    <row r="794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</row>
    <row r="795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</row>
    <row r="796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</row>
    <row r="797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</row>
    <row r="798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</row>
    <row r="799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</row>
    <row r="800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</row>
    <row r="80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</row>
    <row r="802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</row>
    <row r="803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</row>
    <row r="804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</row>
    <row r="805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</row>
    <row r="806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</row>
    <row r="807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</row>
    <row r="808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</row>
    <row r="809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</row>
    <row r="810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</row>
    <row r="81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</row>
    <row r="812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</row>
    <row r="813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</row>
    <row r="814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</row>
    <row r="815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</row>
    <row r="816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</row>
    <row r="817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</row>
    <row r="818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</row>
    <row r="819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</row>
    <row r="820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</row>
    <row r="82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</row>
    <row r="822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</row>
    <row r="823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</row>
    <row r="824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</row>
    <row r="825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</row>
    <row r="826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</row>
    <row r="827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</row>
    <row r="828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</row>
    <row r="829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</row>
    <row r="830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</row>
    <row r="83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</row>
    <row r="832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</row>
    <row r="833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</row>
    <row r="834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</row>
    <row r="835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</row>
    <row r="836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</row>
    <row r="837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</row>
    <row r="838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</row>
    <row r="839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</row>
    <row r="840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</row>
    <row r="84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</row>
    <row r="842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</row>
    <row r="843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</row>
    <row r="844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</row>
    <row r="845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</row>
    <row r="846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</row>
    <row r="847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</row>
    <row r="848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</row>
    <row r="849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</row>
    <row r="850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</row>
    <row r="85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</row>
    <row r="852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</row>
    <row r="853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</row>
    <row r="854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</row>
    <row r="855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</row>
    <row r="856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</row>
    <row r="857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</row>
    <row r="858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</row>
    <row r="859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</row>
    <row r="860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</row>
    <row r="86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</row>
    <row r="862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</row>
    <row r="863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</row>
    <row r="864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</row>
    <row r="865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</row>
    <row r="866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</row>
    <row r="867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</row>
    <row r="868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</row>
    <row r="869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</row>
    <row r="870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</row>
    <row r="87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</row>
    <row r="872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</row>
    <row r="873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</row>
    <row r="874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</row>
    <row r="875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</row>
    <row r="876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</row>
    <row r="877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</row>
    <row r="878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</row>
    <row r="879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</row>
    <row r="880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</row>
    <row r="88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</row>
    <row r="882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</row>
    <row r="883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</row>
    <row r="884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</row>
    <row r="885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</row>
    <row r="886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</row>
    <row r="887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</row>
    <row r="888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</row>
    <row r="889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</row>
    <row r="890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</row>
    <row r="89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</row>
    <row r="892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</row>
    <row r="893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</row>
    <row r="894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</row>
    <row r="895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</row>
    <row r="896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</row>
    <row r="897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</row>
    <row r="898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</row>
    <row r="899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</row>
    <row r="900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</row>
    <row r="90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</row>
    <row r="902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</row>
    <row r="903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</row>
    <row r="904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</row>
    <row r="905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</row>
    <row r="906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</row>
    <row r="907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</row>
    <row r="908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</row>
    <row r="909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</row>
    <row r="910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</row>
    <row r="91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</row>
    <row r="912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</row>
    <row r="913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</row>
    <row r="914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</row>
    <row r="915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</row>
    <row r="916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</row>
    <row r="917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</row>
    <row r="918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</row>
    <row r="919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</row>
    <row r="920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</row>
    <row r="92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</row>
    <row r="922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</row>
    <row r="923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</row>
    <row r="924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</row>
    <row r="925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</row>
    <row r="926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</row>
    <row r="927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</row>
    <row r="928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</row>
    <row r="929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</row>
    <row r="930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</row>
    <row r="93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</row>
    <row r="932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</row>
    <row r="933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</row>
    <row r="934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</row>
    <row r="935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</row>
    <row r="936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</row>
    <row r="937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</row>
    <row r="938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</row>
    <row r="939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</row>
    <row r="940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</row>
    <row r="94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</row>
    <row r="942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</row>
    <row r="943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</row>
    <row r="944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</row>
    <row r="945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</row>
    <row r="946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</row>
    <row r="947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</row>
    <row r="948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</row>
    <row r="949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</row>
    <row r="950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</row>
    <row r="95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</row>
    <row r="952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</row>
    <row r="953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</row>
    <row r="954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</row>
    <row r="955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</row>
    <row r="956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</row>
    <row r="957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</row>
    <row r="958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</row>
    <row r="959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</row>
    <row r="960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</row>
    <row r="96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</row>
    <row r="962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</row>
    <row r="963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</row>
    <row r="964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</row>
    <row r="965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</row>
    <row r="966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</row>
    <row r="967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</row>
    <row r="968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</row>
    <row r="969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</row>
    <row r="970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</row>
    <row r="97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</row>
    <row r="972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</row>
    <row r="973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</row>
    <row r="974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</row>
    <row r="975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</row>
    <row r="976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</row>
    <row r="977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</row>
    <row r="978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</row>
    <row r="979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</row>
    <row r="980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</row>
    <row r="98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</row>
    <row r="982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</row>
    <row r="983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</row>
    <row r="984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</row>
    <row r="985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</row>
    <row r="986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</row>
    <row r="987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</row>
    <row r="988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</row>
    <row r="989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</row>
    <row r="990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</row>
    <row r="99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</row>
    <row r="992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</row>
    <row r="993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</row>
    <row r="994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</row>
    <row r="995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</row>
    <row r="996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</row>
    <row r="997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</row>
    <row r="998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</row>
    <row r="999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</row>
    <row r="1000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177"/>
      <c r="N1000" s="177"/>
    </row>
    <row r="1001">
      <c r="A1001" s="177"/>
      <c r="B1001" s="177"/>
      <c r="C1001" s="177"/>
      <c r="D1001" s="177"/>
      <c r="E1001" s="177"/>
      <c r="F1001" s="177"/>
      <c r="G1001" s="177"/>
      <c r="H1001" s="177"/>
      <c r="I1001" s="177"/>
      <c r="J1001" s="177"/>
      <c r="K1001" s="177"/>
      <c r="L1001" s="177"/>
      <c r="M1001" s="177"/>
      <c r="N1001" s="177"/>
    </row>
    <row r="1002">
      <c r="A1002" s="177"/>
      <c r="B1002" s="177"/>
      <c r="C1002" s="177"/>
      <c r="D1002" s="177"/>
      <c r="E1002" s="177"/>
      <c r="F1002" s="177"/>
      <c r="G1002" s="177"/>
      <c r="H1002" s="177"/>
      <c r="I1002" s="177"/>
      <c r="J1002" s="177"/>
      <c r="K1002" s="177"/>
      <c r="L1002" s="177"/>
      <c r="M1002" s="177"/>
      <c r="N1002" s="177"/>
    </row>
    <row r="1003">
      <c r="A1003" s="177"/>
      <c r="B1003" s="177"/>
      <c r="C1003" s="177"/>
      <c r="D1003" s="177"/>
      <c r="E1003" s="177"/>
      <c r="F1003" s="177"/>
      <c r="G1003" s="177"/>
      <c r="H1003" s="177"/>
      <c r="I1003" s="177"/>
      <c r="J1003" s="177"/>
      <c r="K1003" s="177"/>
      <c r="L1003" s="177"/>
      <c r="M1003" s="177"/>
      <c r="N1003" s="177"/>
    </row>
    <row r="1004">
      <c r="A1004" s="177"/>
      <c r="B1004" s="177"/>
      <c r="C1004" s="177"/>
      <c r="D1004" s="177"/>
      <c r="E1004" s="177"/>
      <c r="F1004" s="177"/>
      <c r="G1004" s="177"/>
      <c r="H1004" s="177"/>
      <c r="I1004" s="177"/>
      <c r="J1004" s="177"/>
      <c r="K1004" s="177"/>
      <c r="L1004" s="177"/>
      <c r="M1004" s="177"/>
      <c r="N1004" s="177"/>
    </row>
    <row r="1005">
      <c r="A1005" s="177"/>
      <c r="B1005" s="177"/>
      <c r="C1005" s="177"/>
      <c r="D1005" s="177"/>
      <c r="E1005" s="177"/>
      <c r="F1005" s="177"/>
      <c r="G1005" s="177"/>
      <c r="H1005" s="177"/>
      <c r="I1005" s="177"/>
      <c r="J1005" s="177"/>
      <c r="K1005" s="177"/>
      <c r="L1005" s="177"/>
      <c r="M1005" s="177"/>
      <c r="N1005" s="177"/>
    </row>
    <row r="1006">
      <c r="A1006" s="177"/>
      <c r="B1006" s="177"/>
      <c r="C1006" s="177"/>
      <c r="D1006" s="177"/>
      <c r="E1006" s="177"/>
      <c r="F1006" s="177"/>
      <c r="G1006" s="177"/>
      <c r="H1006" s="177"/>
      <c r="I1006" s="177"/>
      <c r="J1006" s="177"/>
      <c r="K1006" s="177"/>
      <c r="L1006" s="177"/>
      <c r="M1006" s="177"/>
      <c r="N1006" s="177"/>
    </row>
    <row r="1007">
      <c r="A1007" s="177"/>
      <c r="B1007" s="177"/>
      <c r="C1007" s="177"/>
      <c r="D1007" s="177"/>
      <c r="E1007" s="177"/>
      <c r="F1007" s="177"/>
      <c r="G1007" s="177"/>
      <c r="H1007" s="177"/>
      <c r="I1007" s="177"/>
      <c r="J1007" s="177"/>
      <c r="K1007" s="177"/>
      <c r="L1007" s="177"/>
      <c r="M1007" s="177"/>
      <c r="N1007" s="177"/>
    </row>
  </sheetData>
  <conditionalFormatting sqref="C63:N63">
    <cfRule type="cellIs" dxfId="0" priority="1" operator="greaterThan">
      <formula>0</formula>
    </cfRule>
  </conditionalFormatting>
  <conditionalFormatting sqref="C63:N63">
    <cfRule type="cellIs" dxfId="1" priority="2" operator="lessThan">
      <formula>0</formula>
    </cfRule>
  </conditionalFormatting>
  <conditionalFormatting sqref="C26:N26">
    <cfRule type="cellIs" dxfId="2" priority="3" operator="lessThanOrEqual">
      <formula>"50%"</formula>
    </cfRule>
  </conditionalFormatting>
  <conditionalFormatting sqref="C26:N26">
    <cfRule type="cellIs" dxfId="3" priority="4" operator="greaterThanOrEqual">
      <formula>"50%"</formula>
    </cfRule>
  </conditionalFormatting>
  <conditionalFormatting sqref="C42:N42">
    <cfRule type="cellIs" dxfId="2" priority="5" operator="lessThanOrEqual">
      <formula>"30%"</formula>
    </cfRule>
  </conditionalFormatting>
  <conditionalFormatting sqref="C42:N42">
    <cfRule type="cellIs" dxfId="3" priority="6" operator="greaterThanOrEqual">
      <formula>"30%"</formula>
    </cfRule>
  </conditionalFormatting>
  <conditionalFormatting sqref="C59:N59">
    <cfRule type="cellIs" dxfId="3" priority="7" operator="greaterThan">
      <formula>"20%"</formula>
    </cfRule>
  </conditionalFormatting>
  <conditionalFormatting sqref="C59:N59">
    <cfRule type="cellIs" dxfId="20" priority="8" operator="lessThanOrEqual">
      <formula>"20%"</formula>
    </cfRule>
  </conditionalFormatting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5.25"/>
    <col customWidth="1" min="2" max="2" width="29.88"/>
    <col customWidth="1" min="3" max="3" width="13.88"/>
    <col customWidth="1" min="4" max="4" width="14.13"/>
    <col customWidth="1" min="5" max="5" width="19.13"/>
    <col customWidth="1" min="6" max="6" width="15.88"/>
    <col customWidth="1" min="7" max="7" width="18.25"/>
    <col customWidth="1" min="8" max="8" width="12.13"/>
    <col customWidth="1" min="9" max="26" width="9.38"/>
  </cols>
  <sheetData>
    <row r="1" ht="12.75" customHeight="1">
      <c r="A1" s="317"/>
      <c r="B1" s="318" t="s">
        <v>735</v>
      </c>
      <c r="C1" s="317"/>
      <c r="D1" s="317"/>
      <c r="E1" s="317"/>
      <c r="F1" s="317"/>
      <c r="G1" s="317"/>
      <c r="H1" s="321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</row>
    <row r="2" ht="12.75" customHeight="1">
      <c r="A2" s="322"/>
      <c r="B2" s="322"/>
      <c r="C2" s="323"/>
      <c r="D2" s="324"/>
      <c r="E2" s="323"/>
      <c r="F2" s="324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T2" s="322"/>
      <c r="U2" s="322"/>
      <c r="V2" s="322"/>
      <c r="W2" s="322"/>
      <c r="X2" s="322"/>
      <c r="Y2" s="322"/>
      <c r="Z2" s="322"/>
    </row>
    <row r="3" ht="12.75" customHeight="1">
      <c r="A3" s="323"/>
      <c r="B3" s="325" t="s">
        <v>736</v>
      </c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</row>
    <row r="4" ht="12.75" customHeight="1">
      <c r="A4" s="323"/>
      <c r="B4" s="323" t="s">
        <v>297</v>
      </c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</row>
    <row r="5" ht="12.75" customHeight="1">
      <c r="A5" s="323"/>
      <c r="B5" s="323" t="s">
        <v>298</v>
      </c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</row>
    <row r="6" ht="12.75" customHeight="1">
      <c r="A6" s="322"/>
      <c r="B6" s="322"/>
      <c r="C6" s="323"/>
      <c r="D6" s="324"/>
      <c r="E6" s="323"/>
      <c r="F6" s="324"/>
      <c r="G6" s="322"/>
      <c r="H6" s="322"/>
      <c r="I6" s="322"/>
      <c r="J6" s="322"/>
      <c r="K6" s="322"/>
      <c r="L6" s="322"/>
      <c r="M6" s="322"/>
      <c r="N6" s="322"/>
      <c r="O6" s="322"/>
      <c r="P6" s="322"/>
      <c r="Q6" s="322"/>
      <c r="R6" s="322"/>
      <c r="S6" s="322"/>
      <c r="T6" s="322"/>
      <c r="U6" s="322"/>
      <c r="V6" s="322"/>
      <c r="W6" s="322"/>
      <c r="X6" s="322"/>
      <c r="Y6" s="322"/>
      <c r="Z6" s="322"/>
    </row>
    <row r="7" ht="12.75" customHeight="1">
      <c r="A7" s="326"/>
      <c r="B7" s="327" t="s">
        <v>299</v>
      </c>
      <c r="C7" s="328" t="s">
        <v>300</v>
      </c>
      <c r="D7" s="329" t="s">
        <v>301</v>
      </c>
      <c r="E7" s="328" t="s">
        <v>302</v>
      </c>
      <c r="F7" s="329" t="s">
        <v>303</v>
      </c>
      <c r="G7" s="330" t="s">
        <v>304</v>
      </c>
      <c r="H7" s="326"/>
      <c r="I7" s="335"/>
      <c r="J7" s="332"/>
      <c r="K7" s="333"/>
      <c r="L7" s="334"/>
      <c r="M7" s="335"/>
      <c r="N7" s="326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</row>
    <row r="8" ht="12.75" customHeight="1">
      <c r="A8" s="336">
        <v>1.0</v>
      </c>
      <c r="B8" s="984" t="s">
        <v>66</v>
      </c>
      <c r="C8" s="351">
        <v>4058.74</v>
      </c>
      <c r="D8" s="955" t="s">
        <v>738</v>
      </c>
      <c r="E8" s="340">
        <v>100.0</v>
      </c>
      <c r="F8" s="324">
        <f t="shared" ref="F8:F21" si="1">IF(C8&gt;0,C8/SUM($C$8:$C$21), "")</f>
        <v>0.0898825893</v>
      </c>
      <c r="G8" s="951" t="s">
        <v>306</v>
      </c>
      <c r="H8" s="322"/>
      <c r="I8" s="343"/>
      <c r="J8" s="954"/>
      <c r="K8" s="339"/>
      <c r="L8" s="340"/>
      <c r="M8" s="351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22"/>
    </row>
    <row r="9" ht="12.75" customHeight="1">
      <c r="A9" s="336">
        <v>2.0</v>
      </c>
      <c r="B9" s="360" t="s">
        <v>1074</v>
      </c>
      <c r="C9" s="351">
        <v>5000.0</v>
      </c>
      <c r="D9" s="339">
        <v>0.24</v>
      </c>
      <c r="E9" s="340">
        <v>350.0</v>
      </c>
      <c r="F9" s="324">
        <f t="shared" si="1"/>
        <v>0.1107272076</v>
      </c>
      <c r="G9" s="951"/>
      <c r="H9" s="322"/>
      <c r="I9" s="343"/>
      <c r="J9" s="361"/>
      <c r="K9" s="362"/>
      <c r="L9" s="340"/>
      <c r="M9" s="343"/>
      <c r="N9" s="322"/>
      <c r="O9" s="322"/>
      <c r="P9" s="322"/>
      <c r="Q9" s="322"/>
      <c r="R9" s="322"/>
      <c r="S9" s="322"/>
      <c r="T9" s="322"/>
      <c r="U9" s="322"/>
      <c r="V9" s="322"/>
      <c r="W9" s="322"/>
      <c r="X9" s="322"/>
      <c r="Y9" s="322"/>
      <c r="Z9" s="322"/>
    </row>
    <row r="10" ht="12.75" customHeight="1">
      <c r="A10" s="336">
        <v>3.0</v>
      </c>
      <c r="B10" s="360" t="s">
        <v>313</v>
      </c>
      <c r="C10" s="351">
        <f>4439-164</f>
        <v>4275</v>
      </c>
      <c r="D10" s="339">
        <v>0.15</v>
      </c>
      <c r="E10" s="340">
        <v>165.0</v>
      </c>
      <c r="F10" s="324">
        <f t="shared" si="1"/>
        <v>0.09467176248</v>
      </c>
      <c r="G10" s="951" t="s">
        <v>306</v>
      </c>
      <c r="H10" s="322"/>
      <c r="I10" s="343"/>
      <c r="J10" s="361"/>
      <c r="K10" s="362"/>
      <c r="L10" s="340"/>
      <c r="M10" s="343"/>
      <c r="N10" s="322"/>
      <c r="O10" s="322"/>
      <c r="P10" s="322"/>
      <c r="Q10" s="322"/>
      <c r="R10" s="322"/>
      <c r="S10" s="322"/>
      <c r="T10" s="322"/>
      <c r="U10" s="322"/>
      <c r="V10" s="322"/>
      <c r="W10" s="322"/>
      <c r="X10" s="322"/>
      <c r="Y10" s="322"/>
      <c r="Z10" s="322"/>
    </row>
    <row r="11" ht="12.75" customHeight="1">
      <c r="A11" s="336">
        <v>4.0</v>
      </c>
      <c r="B11" s="983" t="s">
        <v>60</v>
      </c>
      <c r="C11" s="351">
        <f>7002.65-109-109-109-109-109</f>
        <v>6457.65</v>
      </c>
      <c r="D11" s="956">
        <v>0.044</v>
      </c>
      <c r="E11" s="340">
        <v>109.0</v>
      </c>
      <c r="F11" s="324">
        <f t="shared" si="1"/>
        <v>0.1430075104</v>
      </c>
      <c r="G11" s="951" t="s">
        <v>306</v>
      </c>
      <c r="H11" s="322"/>
      <c r="I11" s="343"/>
      <c r="J11" s="352"/>
      <c r="K11" s="345"/>
      <c r="L11" s="346"/>
      <c r="M11" s="347"/>
      <c r="N11" s="322"/>
      <c r="O11" s="322"/>
      <c r="P11" s="322"/>
      <c r="Q11" s="322"/>
      <c r="R11" s="322"/>
      <c r="S11" s="322"/>
      <c r="T11" s="322"/>
      <c r="U11" s="322"/>
      <c r="V11" s="322"/>
      <c r="W11" s="322"/>
      <c r="X11" s="322"/>
      <c r="Y11" s="322"/>
      <c r="Z11" s="322"/>
    </row>
    <row r="12" ht="12.75" customHeight="1">
      <c r="A12" s="336">
        <v>5.0</v>
      </c>
      <c r="B12" s="349" t="s">
        <v>740</v>
      </c>
      <c r="C12" s="351">
        <f>13800-200-200-200-200-200-200-200-200-200-200-200-200-200</f>
        <v>11200</v>
      </c>
      <c r="D12" s="956">
        <v>5.0E-4</v>
      </c>
      <c r="E12" s="363">
        <v>200.0</v>
      </c>
      <c r="F12" s="324">
        <f t="shared" si="1"/>
        <v>0.248028945</v>
      </c>
      <c r="G12" s="951" t="s">
        <v>306</v>
      </c>
      <c r="H12" s="322"/>
      <c r="I12" s="351"/>
      <c r="J12" s="352"/>
      <c r="K12" s="345"/>
      <c r="L12" s="346"/>
      <c r="M12" s="347"/>
      <c r="N12" s="322"/>
      <c r="O12" s="322"/>
      <c r="P12" s="322"/>
      <c r="Q12" s="322"/>
      <c r="R12" s="322"/>
      <c r="S12" s="322"/>
      <c r="T12" s="322"/>
      <c r="U12" s="322"/>
      <c r="V12" s="322"/>
      <c r="W12" s="322"/>
      <c r="X12" s="322"/>
      <c r="Y12" s="322"/>
      <c r="Z12" s="322"/>
    </row>
    <row r="13" ht="12.75" customHeight="1">
      <c r="A13" s="336">
        <v>6.0</v>
      </c>
      <c r="B13" s="349" t="s">
        <v>307</v>
      </c>
      <c r="C13" s="351">
        <f>2500+6950+750+300+100-100+411-500-500+1903.63-400-400-400-400-400-50+200+100</f>
        <v>10064.63</v>
      </c>
      <c r="D13" s="956">
        <v>0.0</v>
      </c>
      <c r="E13" s="363">
        <v>400.0</v>
      </c>
      <c r="F13" s="324">
        <f t="shared" si="1"/>
        <v>0.222885675</v>
      </c>
      <c r="G13" s="951" t="s">
        <v>306</v>
      </c>
      <c r="H13" s="322"/>
      <c r="I13" s="351"/>
      <c r="J13" s="352"/>
      <c r="K13" s="345"/>
      <c r="L13" s="346"/>
      <c r="M13" s="347"/>
      <c r="N13" s="322"/>
      <c r="O13" s="322"/>
      <c r="P13" s="322"/>
      <c r="Q13" s="322"/>
      <c r="R13" s="322"/>
      <c r="S13" s="322"/>
      <c r="T13" s="322"/>
      <c r="U13" s="322"/>
      <c r="V13" s="322"/>
      <c r="W13" s="322"/>
      <c r="X13" s="322"/>
      <c r="Y13" s="322"/>
      <c r="Z13" s="322"/>
    </row>
    <row r="14" ht="12.75" customHeight="1">
      <c r="A14" s="336">
        <v>7.0</v>
      </c>
      <c r="B14" s="348" t="s">
        <v>321</v>
      </c>
      <c r="C14" s="351">
        <f>1500-400</f>
        <v>1100</v>
      </c>
      <c r="D14" s="339">
        <v>0.0</v>
      </c>
      <c r="E14" s="340">
        <v>35.0</v>
      </c>
      <c r="F14" s="324">
        <f t="shared" si="1"/>
        <v>0.02435998567</v>
      </c>
      <c r="G14" s="951" t="s">
        <v>306</v>
      </c>
      <c r="H14" s="322"/>
      <c r="I14" s="343"/>
      <c r="J14" s="361"/>
      <c r="K14" s="362"/>
      <c r="L14" s="340"/>
      <c r="M14" s="343"/>
      <c r="N14" s="322"/>
      <c r="O14" s="322"/>
      <c r="P14" s="322"/>
      <c r="Q14" s="322"/>
      <c r="R14" s="322"/>
      <c r="S14" s="322"/>
      <c r="T14" s="322"/>
      <c r="U14" s="322"/>
      <c r="V14" s="322"/>
      <c r="W14" s="322"/>
      <c r="X14" s="322"/>
      <c r="Y14" s="322"/>
      <c r="Z14" s="322"/>
    </row>
    <row r="15" ht="12.75" customHeight="1">
      <c r="A15" s="336">
        <v>8.0</v>
      </c>
      <c r="B15" s="349" t="s">
        <v>739</v>
      </c>
      <c r="C15" s="351">
        <v>3000.0</v>
      </c>
      <c r="D15" s="956">
        <v>5.0E-4</v>
      </c>
      <c r="E15" s="340">
        <v>0.0</v>
      </c>
      <c r="F15" s="324">
        <f t="shared" si="1"/>
        <v>0.06643632455</v>
      </c>
      <c r="G15" s="951" t="s">
        <v>306</v>
      </c>
      <c r="H15" s="322"/>
      <c r="I15" s="351"/>
      <c r="J15" s="352"/>
      <c r="K15" s="345"/>
      <c r="L15" s="346"/>
      <c r="M15" s="347"/>
      <c r="N15" s="322"/>
      <c r="O15" s="322"/>
      <c r="P15" s="322"/>
      <c r="Q15" s="322"/>
      <c r="R15" s="322"/>
      <c r="S15" s="322"/>
      <c r="T15" s="322"/>
      <c r="U15" s="322"/>
      <c r="V15" s="322"/>
      <c r="W15" s="322"/>
      <c r="X15" s="322"/>
      <c r="Y15" s="322"/>
      <c r="Z15" s="322"/>
    </row>
    <row r="16" ht="12.75" customHeight="1">
      <c r="A16" s="336"/>
      <c r="B16" s="348" t="s">
        <v>315</v>
      </c>
      <c r="C16" s="351"/>
      <c r="D16" s="339"/>
      <c r="E16" s="340"/>
      <c r="F16" s="324" t="str">
        <f t="shared" si="1"/>
        <v/>
      </c>
      <c r="G16" s="951" t="s">
        <v>1075</v>
      </c>
      <c r="H16" s="322"/>
      <c r="I16" s="343"/>
      <c r="J16" s="361"/>
      <c r="K16" s="362"/>
      <c r="L16" s="340"/>
      <c r="M16" s="343"/>
      <c r="N16" s="322"/>
      <c r="O16" s="322"/>
      <c r="P16" s="322"/>
      <c r="Q16" s="322"/>
      <c r="R16" s="322"/>
      <c r="S16" s="322"/>
      <c r="T16" s="322"/>
      <c r="U16" s="322"/>
      <c r="V16" s="322"/>
      <c r="W16" s="322"/>
      <c r="X16" s="322"/>
      <c r="Y16" s="322"/>
      <c r="Z16" s="322"/>
    </row>
    <row r="17" ht="12.75" customHeight="1">
      <c r="A17" s="348"/>
      <c r="B17" s="360" t="s">
        <v>317</v>
      </c>
      <c r="C17" s="351"/>
      <c r="D17" s="339"/>
      <c r="E17" s="340"/>
      <c r="F17" s="324" t="str">
        <f t="shared" si="1"/>
        <v/>
      </c>
      <c r="G17" s="951" t="s">
        <v>306</v>
      </c>
      <c r="H17" s="1212"/>
      <c r="I17" s="343"/>
      <c r="J17" s="361"/>
      <c r="K17" s="362"/>
      <c r="L17" s="340"/>
      <c r="M17" s="343"/>
      <c r="N17" s="1212"/>
      <c r="O17" s="1212"/>
      <c r="P17" s="1212"/>
      <c r="Q17" s="1212"/>
      <c r="R17" s="1212"/>
      <c r="S17" s="1212"/>
      <c r="T17" s="1212"/>
      <c r="U17" s="1212"/>
      <c r="V17" s="1212"/>
      <c r="W17" s="1212"/>
      <c r="X17" s="1212"/>
      <c r="Y17" s="1212"/>
      <c r="Z17" s="1212"/>
    </row>
    <row r="18" ht="12.75" customHeight="1">
      <c r="A18" s="336"/>
      <c r="B18" s="984" t="s">
        <v>319</v>
      </c>
      <c r="C18" s="351"/>
      <c r="D18" s="339"/>
      <c r="E18" s="340"/>
      <c r="F18" s="324" t="str">
        <f t="shared" si="1"/>
        <v/>
      </c>
      <c r="G18" s="951" t="s">
        <v>306</v>
      </c>
      <c r="H18" s="322"/>
      <c r="I18" s="351"/>
      <c r="J18" s="954"/>
      <c r="K18" s="955"/>
      <c r="L18" s="340"/>
      <c r="M18" s="351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22"/>
    </row>
    <row r="19" ht="12.75" customHeight="1">
      <c r="A19" s="348"/>
      <c r="B19" s="348" t="s">
        <v>314</v>
      </c>
      <c r="C19" s="351"/>
      <c r="D19" s="339"/>
      <c r="E19" s="340"/>
      <c r="F19" s="324" t="str">
        <f t="shared" si="1"/>
        <v/>
      </c>
      <c r="G19" s="951" t="s">
        <v>1075</v>
      </c>
      <c r="H19" s="1212"/>
      <c r="I19" s="343"/>
      <c r="J19" s="361"/>
      <c r="K19" s="362"/>
      <c r="L19" s="340"/>
      <c r="M19" s="343"/>
      <c r="N19" s="1212"/>
      <c r="O19" s="1212"/>
      <c r="P19" s="1212"/>
      <c r="Q19" s="1212"/>
      <c r="R19" s="1212"/>
      <c r="S19" s="1212"/>
      <c r="T19" s="1212"/>
      <c r="U19" s="1212"/>
      <c r="V19" s="1212"/>
      <c r="W19" s="1212"/>
      <c r="X19" s="1212"/>
      <c r="Y19" s="1212"/>
      <c r="Z19" s="1212"/>
    </row>
    <row r="20" ht="12.75" customHeight="1">
      <c r="A20" s="336"/>
      <c r="B20" s="348" t="s">
        <v>316</v>
      </c>
      <c r="C20" s="351"/>
      <c r="D20" s="339"/>
      <c r="E20" s="340"/>
      <c r="F20" s="324" t="str">
        <f t="shared" si="1"/>
        <v/>
      </c>
      <c r="G20" s="951" t="s">
        <v>1075</v>
      </c>
      <c r="H20" s="322"/>
      <c r="I20" s="343"/>
      <c r="J20" s="361"/>
      <c r="K20" s="362"/>
      <c r="L20" s="340"/>
      <c r="M20" s="343"/>
      <c r="N20" s="322"/>
      <c r="O20" s="322"/>
      <c r="P20" s="322"/>
      <c r="Q20" s="322"/>
      <c r="R20" s="322"/>
      <c r="S20" s="322"/>
      <c r="T20" s="322"/>
      <c r="U20" s="322"/>
      <c r="V20" s="322"/>
      <c r="W20" s="322"/>
      <c r="X20" s="322"/>
      <c r="Y20" s="322"/>
      <c r="Z20" s="322"/>
    </row>
    <row r="21" ht="12.75" customHeight="1">
      <c r="A21" s="322"/>
      <c r="B21" s="354" t="s">
        <v>58</v>
      </c>
      <c r="C21" s="351"/>
      <c r="D21" s="339"/>
      <c r="E21" s="340"/>
      <c r="F21" s="324" t="str">
        <f t="shared" si="1"/>
        <v/>
      </c>
      <c r="G21" s="951" t="s">
        <v>1075</v>
      </c>
      <c r="H21" s="322"/>
      <c r="I21" s="351"/>
      <c r="J21" s="954"/>
      <c r="K21" s="955"/>
      <c r="L21" s="340"/>
      <c r="M21" s="351"/>
      <c r="N21" s="322"/>
      <c r="O21" s="322"/>
      <c r="P21" s="322"/>
      <c r="Q21" s="322"/>
      <c r="R21" s="322"/>
      <c r="S21" s="322"/>
      <c r="T21" s="322"/>
      <c r="U21" s="322"/>
      <c r="V21" s="322"/>
      <c r="W21" s="322"/>
      <c r="X21" s="322"/>
      <c r="Y21" s="322"/>
      <c r="Z21" s="322"/>
    </row>
    <row r="22" ht="12.75" customHeight="1">
      <c r="A22" s="322"/>
      <c r="B22" s="322" t="s">
        <v>322</v>
      </c>
      <c r="C22" s="323">
        <f>SUBTOTAL(109,'DEBT Scenario (Prosper)'!$C$8:$C$21)</f>
        <v>45156.02</v>
      </c>
      <c r="D22" s="324">
        <f>SUMPRODUCT('DEBT Scenario (Prosper)'!$C$8:$C$21,'DEBT Scenario (Prosper)'!$D$8:$D$21)/SUM('DEBT Scenario (Prosper)'!$C$8:$C$21)</f>
        <v>0.04722485728</v>
      </c>
      <c r="E22" s="323">
        <f>SUBTOTAL(109,'DEBT Scenario (Prosper)'!$E$8:$E$21)</f>
        <v>1359</v>
      </c>
      <c r="F22" s="324">
        <f>SUBTOTAL(109,'DEBT Scenario (Prosper)'!$F$8:$F$21)</f>
        <v>1</v>
      </c>
      <c r="G22" s="322"/>
      <c r="H22" s="322"/>
      <c r="I22" s="347"/>
      <c r="J22" s="352"/>
      <c r="K22" s="345"/>
      <c r="L22" s="346"/>
      <c r="M22" s="347"/>
      <c r="N22" s="322"/>
      <c r="O22" s="322"/>
      <c r="P22" s="322"/>
      <c r="Q22" s="322"/>
      <c r="R22" s="322"/>
      <c r="S22" s="322"/>
      <c r="T22" s="322"/>
      <c r="U22" s="322"/>
      <c r="V22" s="322"/>
      <c r="W22" s="322"/>
      <c r="X22" s="322"/>
      <c r="Y22" s="322"/>
      <c r="Z22" s="322"/>
    </row>
    <row r="23" ht="24.0" customHeight="1">
      <c r="A23" s="322"/>
      <c r="B23" s="322"/>
      <c r="C23" s="323"/>
      <c r="D23" s="324"/>
      <c r="E23" s="323"/>
      <c r="F23" s="324"/>
      <c r="G23" s="322"/>
      <c r="H23" s="322"/>
      <c r="I23" s="347"/>
      <c r="J23" s="361"/>
      <c r="K23" s="339"/>
      <c r="L23" s="340"/>
      <c r="M23" s="351"/>
      <c r="N23" s="322"/>
      <c r="O23" s="322"/>
      <c r="P23" s="322"/>
      <c r="Q23" s="322"/>
      <c r="R23" s="322"/>
      <c r="S23" s="322"/>
      <c r="T23" s="322"/>
      <c r="U23" s="322"/>
      <c r="V23" s="322"/>
      <c r="W23" s="322"/>
      <c r="X23" s="322"/>
      <c r="Y23" s="322"/>
      <c r="Z23" s="322"/>
    </row>
    <row r="24" ht="12.75" customHeight="1">
      <c r="A24" s="323"/>
      <c r="B24" s="325" t="s">
        <v>323</v>
      </c>
      <c r="C24" s="323"/>
      <c r="D24" s="323"/>
      <c r="E24" s="323"/>
      <c r="F24" s="323"/>
      <c r="G24" s="323"/>
      <c r="H24" s="323"/>
      <c r="I24" s="351"/>
      <c r="J24" s="323"/>
      <c r="K24" s="323"/>
      <c r="L24" s="323"/>
      <c r="M24" s="323"/>
      <c r="N24" s="323"/>
      <c r="O24" s="323"/>
      <c r="P24" s="323"/>
      <c r="Q24" s="323"/>
      <c r="R24" s="323"/>
      <c r="S24" s="323"/>
      <c r="T24" s="323"/>
      <c r="U24" s="323"/>
      <c r="V24" s="323"/>
      <c r="W24" s="323"/>
      <c r="X24" s="323"/>
      <c r="Y24" s="323"/>
      <c r="Z24" s="323"/>
    </row>
    <row r="25" ht="12.75" customHeight="1">
      <c r="A25" s="323"/>
      <c r="B25" s="323" t="s">
        <v>324</v>
      </c>
      <c r="C25" s="323"/>
      <c r="D25" s="323"/>
      <c r="E25" s="323"/>
      <c r="F25" s="323"/>
      <c r="G25" s="323"/>
      <c r="H25" s="323"/>
      <c r="I25" s="323"/>
      <c r="J25" s="323"/>
      <c r="K25" s="323"/>
      <c r="L25" s="323"/>
      <c r="M25" s="323"/>
      <c r="N25" s="323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</row>
    <row r="26" ht="12.75" customHeight="1">
      <c r="A26" s="323"/>
      <c r="B26" s="323" t="s">
        <v>325</v>
      </c>
      <c r="C26" s="323"/>
      <c r="D26" s="323"/>
      <c r="E26" s="323"/>
      <c r="F26" s="324"/>
      <c r="G26" s="323"/>
      <c r="H26" s="324"/>
      <c r="I26" s="323"/>
      <c r="J26" s="323"/>
      <c r="K26" s="323"/>
      <c r="L26" s="323"/>
      <c r="M26" s="323"/>
      <c r="N26" s="323"/>
      <c r="O26" s="323"/>
      <c r="P26" s="323"/>
      <c r="Q26" s="323"/>
      <c r="R26" s="323"/>
      <c r="S26" s="323"/>
      <c r="T26" s="323"/>
      <c r="U26" s="323"/>
      <c r="V26" s="323"/>
      <c r="W26" s="323"/>
      <c r="X26" s="323"/>
      <c r="Y26" s="323"/>
      <c r="Z26" s="323"/>
    </row>
    <row r="27" ht="12.75" customHeight="1">
      <c r="A27" s="322"/>
      <c r="B27" s="322"/>
      <c r="C27" s="323"/>
      <c r="D27" s="324"/>
      <c r="E27" s="323"/>
      <c r="F27" s="324"/>
      <c r="G27" s="324"/>
      <c r="H27" s="322"/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Y27" s="322"/>
      <c r="Z27" s="322"/>
    </row>
    <row r="28" ht="12.75" customHeight="1">
      <c r="A28" s="322"/>
      <c r="B28" s="396" t="s">
        <v>326</v>
      </c>
      <c r="C28" s="397" t="s">
        <v>327</v>
      </c>
      <c r="D28" s="324"/>
      <c r="E28" s="323"/>
      <c r="F28" s="324"/>
      <c r="G28" s="414"/>
      <c r="H28" s="322"/>
      <c r="I28" s="322"/>
      <c r="J28" s="322"/>
      <c r="K28" s="322"/>
      <c r="L28" s="322"/>
      <c r="M28" s="322"/>
      <c r="N28" s="322"/>
      <c r="O28" s="322"/>
      <c r="P28" s="322"/>
      <c r="Q28" s="322"/>
      <c r="R28" s="322"/>
      <c r="S28" s="322"/>
      <c r="T28" s="322"/>
      <c r="U28" s="322"/>
      <c r="V28" s="322"/>
      <c r="W28" s="322"/>
      <c r="X28" s="322"/>
      <c r="Y28" s="322"/>
      <c r="Z28" s="322"/>
    </row>
    <row r="29" ht="12.75" customHeight="1">
      <c r="A29" s="322"/>
      <c r="B29" s="322" t="s">
        <v>328</v>
      </c>
      <c r="C29" s="398">
        <v>1800.0</v>
      </c>
      <c r="D29" s="324"/>
      <c r="E29" s="323"/>
      <c r="F29" s="324"/>
      <c r="G29" s="324"/>
      <c r="H29" s="322"/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Y29" s="322"/>
      <c r="Z29" s="322"/>
    </row>
    <row r="30" ht="24.0" customHeight="1">
      <c r="A30" s="322"/>
      <c r="B30" s="322"/>
      <c r="C30" s="323"/>
      <c r="D30" s="324"/>
      <c r="E30" s="323"/>
      <c r="F30" s="324" t="str">
        <f>IF(C34&gt;0, C34/SUM($C$8:$C$34), "")</f>
        <v/>
      </c>
      <c r="G30" s="322">
        <f>sum(2500,3500,3516,994,1000)</f>
        <v>11510</v>
      </c>
      <c r="H30" s="336">
        <f>sum(3500,9500)</f>
        <v>13000</v>
      </c>
      <c r="I30" s="336">
        <v>12500.0</v>
      </c>
      <c r="J30" s="322"/>
      <c r="K30" s="322"/>
      <c r="L30" s="322"/>
      <c r="M30" s="322"/>
      <c r="N30" s="322"/>
      <c r="O30" s="322"/>
      <c r="P30" s="322"/>
      <c r="Q30" s="322"/>
      <c r="R30" s="322"/>
      <c r="S30" s="322"/>
      <c r="T30" s="322"/>
      <c r="U30" s="322"/>
      <c r="V30" s="322"/>
      <c r="W30" s="322"/>
      <c r="X30" s="322"/>
      <c r="Y30" s="322"/>
      <c r="Z30" s="322"/>
    </row>
    <row r="31" ht="12.75" customHeight="1">
      <c r="A31" s="323"/>
      <c r="B31" s="325" t="s">
        <v>330</v>
      </c>
      <c r="C31" s="323"/>
      <c r="D31" s="323"/>
      <c r="E31" s="323"/>
      <c r="F31" s="323"/>
      <c r="G31" s="390"/>
      <c r="H31" s="390">
        <v>9500.0</v>
      </c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V31" s="323"/>
      <c r="W31" s="323"/>
      <c r="X31" s="323"/>
      <c r="Y31" s="323"/>
      <c r="Z31" s="323"/>
    </row>
    <row r="32" ht="12.75" customHeight="1">
      <c r="A32" s="323"/>
      <c r="B32" s="323" t="s">
        <v>331</v>
      </c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</row>
    <row r="33" ht="12.75" customHeight="1">
      <c r="A33" s="323"/>
      <c r="B33" s="323" t="s">
        <v>332</v>
      </c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</row>
    <row r="34" ht="12.75" customHeight="1">
      <c r="A34" s="322"/>
      <c r="B34" s="322"/>
      <c r="C34" s="323"/>
      <c r="D34" s="324"/>
      <c r="E34" s="323"/>
      <c r="F34" s="324"/>
      <c r="G34" s="336"/>
      <c r="H34" s="322"/>
      <c r="I34" s="322"/>
      <c r="J34" s="322"/>
      <c r="K34" s="322"/>
      <c r="L34" s="322"/>
      <c r="M34" s="322"/>
      <c r="N34" s="322"/>
      <c r="O34" s="322"/>
      <c r="P34" s="322"/>
      <c r="Q34" s="322"/>
      <c r="R34" s="322"/>
      <c r="S34" s="322"/>
      <c r="T34" s="322"/>
      <c r="U34" s="322"/>
      <c r="V34" s="322"/>
      <c r="W34" s="322"/>
      <c r="X34" s="322"/>
      <c r="Y34" s="322"/>
      <c r="Z34" s="322"/>
    </row>
    <row r="35" ht="12.75" customHeight="1">
      <c r="A35" s="381"/>
      <c r="B35" s="401" t="s">
        <v>326</v>
      </c>
      <c r="C35" s="397" t="s">
        <v>327</v>
      </c>
      <c r="D35" s="383"/>
      <c r="E35" s="382"/>
      <c r="F35" s="383"/>
      <c r="G35" s="1213"/>
      <c r="H35" s="397"/>
      <c r="I35" s="381"/>
      <c r="J35" s="381"/>
      <c r="K35" s="381"/>
      <c r="L35" s="381"/>
      <c r="M35" s="381"/>
      <c r="N35" s="381"/>
      <c r="O35" s="381"/>
      <c r="P35" s="381"/>
      <c r="Q35" s="381"/>
      <c r="R35" s="381"/>
      <c r="S35" s="381"/>
      <c r="T35" s="381"/>
      <c r="U35" s="381"/>
      <c r="V35" s="381"/>
      <c r="W35" s="381"/>
      <c r="X35" s="381"/>
      <c r="Y35" s="381"/>
      <c r="Z35" s="381"/>
    </row>
    <row r="36" ht="12.75" customHeight="1">
      <c r="A36" s="381"/>
      <c r="B36" s="381" t="s">
        <v>333</v>
      </c>
      <c r="C36" s="382">
        <f>'DEBT Scenario (Prosper)'!$C$22</f>
        <v>45156.02</v>
      </c>
      <c r="D36" s="383"/>
      <c r="E36" s="382"/>
      <c r="F36" s="383"/>
      <c r="G36" s="409"/>
      <c r="H36" s="1214"/>
      <c r="I36" s="381"/>
      <c r="J36" s="381"/>
      <c r="K36" s="381"/>
      <c r="L36" s="381"/>
      <c r="M36" s="381"/>
      <c r="N36" s="381"/>
      <c r="O36" s="381"/>
      <c r="P36" s="381"/>
      <c r="Q36" s="381"/>
      <c r="R36" s="381"/>
      <c r="S36" s="381"/>
      <c r="T36" s="381"/>
      <c r="U36" s="381"/>
      <c r="V36" s="381"/>
      <c r="W36" s="381"/>
      <c r="X36" s="381"/>
      <c r="Y36" s="381"/>
      <c r="Z36" s="381"/>
    </row>
    <row r="37" ht="12.75" customHeight="1">
      <c r="A37" s="381"/>
      <c r="B37" s="381" t="s">
        <v>339</v>
      </c>
      <c r="C37" s="383">
        <f>'DEBT Scenario (Prosper)'!$D$22</f>
        <v>0.04722485728</v>
      </c>
      <c r="D37" s="383"/>
      <c r="E37" s="382"/>
      <c r="F37" s="383"/>
      <c r="G37" s="409"/>
      <c r="H37" s="410"/>
      <c r="I37" s="381"/>
      <c r="J37" s="381"/>
      <c r="K37" s="381"/>
      <c r="L37" s="381"/>
      <c r="M37" s="381"/>
      <c r="N37" s="381"/>
      <c r="O37" s="381"/>
      <c r="P37" s="381"/>
      <c r="Q37" s="381"/>
      <c r="R37" s="381"/>
      <c r="S37" s="381"/>
      <c r="T37" s="381"/>
      <c r="U37" s="381"/>
      <c r="V37" s="381"/>
      <c r="W37" s="381"/>
      <c r="X37" s="381"/>
      <c r="Y37" s="381"/>
      <c r="Z37" s="381"/>
    </row>
    <row r="38" ht="12.75" customHeight="1">
      <c r="A38" s="322"/>
      <c r="B38" s="381" t="s">
        <v>341</v>
      </c>
      <c r="C38" s="382">
        <f>C36*C37/12</f>
        <v>177.7072167</v>
      </c>
      <c r="D38" s="383"/>
      <c r="E38" s="382"/>
      <c r="F38" s="383"/>
      <c r="G38" s="409"/>
      <c r="H38" s="411"/>
      <c r="I38" s="322"/>
      <c r="J38" s="322"/>
      <c r="K38" s="322"/>
      <c r="L38" s="322"/>
      <c r="M38" s="322"/>
      <c r="N38" s="322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</row>
    <row r="39" ht="12.75" customHeight="1">
      <c r="A39" s="322"/>
      <c r="B39" s="381"/>
      <c r="C39" s="382"/>
      <c r="D39" s="324"/>
      <c r="E39" s="323"/>
      <c r="F39" s="324"/>
      <c r="G39" s="322"/>
      <c r="H39" s="322"/>
      <c r="I39" s="322"/>
      <c r="J39" s="322"/>
      <c r="K39" s="412" t="s">
        <v>1076</v>
      </c>
      <c r="L39" s="413" t="s">
        <v>1077</v>
      </c>
      <c r="M39" s="322"/>
      <c r="N39" s="322"/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2"/>
      <c r="Z39" s="322"/>
    </row>
    <row r="40" ht="12.75" customHeight="1">
      <c r="A40" s="322"/>
      <c r="B40" s="381" t="s">
        <v>342</v>
      </c>
      <c r="C40" s="382">
        <f>'DEBT Scenario (Prosper)'!$E$22</f>
        <v>1359</v>
      </c>
      <c r="D40" s="324"/>
      <c r="E40" s="323"/>
      <c r="F40" s="324"/>
      <c r="G40" s="336" t="s">
        <v>1074</v>
      </c>
      <c r="H40" s="414">
        <v>0.24</v>
      </c>
      <c r="I40" s="415" t="s">
        <v>1078</v>
      </c>
      <c r="J40" s="416">
        <v>10000.0</v>
      </c>
      <c r="K40" s="416">
        <f t="shared" ref="K40:K41" si="2">J40*H40</f>
        <v>2400</v>
      </c>
      <c r="L40" s="1215">
        <f>K43-K40</f>
        <v>45.92075</v>
      </c>
      <c r="M40" s="322"/>
      <c r="N40" s="322"/>
      <c r="O40" s="322"/>
      <c r="P40" s="322"/>
      <c r="Q40" s="322"/>
      <c r="R40" s="322"/>
      <c r="S40" s="322"/>
      <c r="T40" s="322"/>
      <c r="U40" s="322"/>
      <c r="V40" s="322"/>
      <c r="W40" s="322"/>
      <c r="X40" s="322"/>
      <c r="Y40" s="322"/>
      <c r="Z40" s="322"/>
    </row>
    <row r="41" ht="12.75" customHeight="1">
      <c r="A41" s="322"/>
      <c r="B41" s="381" t="s">
        <v>343</v>
      </c>
      <c r="C41" s="382">
        <f>'DEBT Scenario (Prosper)'!$C$29</f>
        <v>1800</v>
      </c>
      <c r="D41" s="324"/>
      <c r="E41" s="323"/>
      <c r="F41" s="324"/>
      <c r="G41" s="336" t="s">
        <v>714</v>
      </c>
      <c r="H41" s="417">
        <v>0.1</v>
      </c>
      <c r="I41" s="415" t="s">
        <v>1078</v>
      </c>
      <c r="J41" s="416">
        <v>10000.0</v>
      </c>
      <c r="K41" s="1216">
        <f t="shared" si="2"/>
        <v>1000</v>
      </c>
      <c r="L41" s="1216">
        <f>K40-K41</f>
        <v>1400</v>
      </c>
      <c r="M41" s="322"/>
      <c r="N41" s="322"/>
      <c r="O41" s="322"/>
      <c r="P41" s="322"/>
      <c r="Q41" s="322"/>
      <c r="R41" s="322"/>
      <c r="S41" s="322"/>
      <c r="T41" s="322"/>
      <c r="U41" s="322"/>
      <c r="V41" s="322"/>
      <c r="W41" s="322"/>
      <c r="X41" s="322"/>
      <c r="Y41" s="322"/>
      <c r="Z41" s="322"/>
    </row>
    <row r="42" ht="12.75" customHeight="1">
      <c r="A42" s="322"/>
      <c r="B42" s="381"/>
      <c r="C42" s="382"/>
      <c r="D42" s="324"/>
      <c r="E42" s="323"/>
      <c r="F42" s="324"/>
      <c r="G42" s="322"/>
      <c r="H42" s="322"/>
      <c r="I42" s="415"/>
      <c r="J42" s="322"/>
      <c r="K42" s="322"/>
      <c r="L42" s="322"/>
      <c r="M42" s="322"/>
      <c r="N42" s="322"/>
      <c r="O42" s="322"/>
      <c r="P42" s="322"/>
      <c r="Q42" s="322"/>
      <c r="R42" s="322"/>
      <c r="S42" s="322"/>
      <c r="T42" s="322"/>
      <c r="U42" s="322"/>
      <c r="V42" s="322"/>
      <c r="W42" s="322"/>
      <c r="X42" s="322"/>
      <c r="Y42" s="322"/>
      <c r="Z42" s="322"/>
    </row>
    <row r="43" ht="12.75" customHeight="1">
      <c r="A43" s="322"/>
      <c r="B43" s="381" t="s">
        <v>344</v>
      </c>
      <c r="C43" s="382">
        <f>C41-C40</f>
        <v>441</v>
      </c>
      <c r="D43" s="324"/>
      <c r="E43" s="323"/>
      <c r="F43" s="324"/>
      <c r="G43" s="336" t="s">
        <v>698</v>
      </c>
      <c r="H43" s="414">
        <v>0.245</v>
      </c>
      <c r="I43" s="415" t="s">
        <v>1078</v>
      </c>
      <c r="J43" s="418">
        <v>9983.35</v>
      </c>
      <c r="K43" s="1215">
        <f>J43*H43</f>
        <v>2445.92075</v>
      </c>
      <c r="L43" s="322"/>
      <c r="M43" s="322"/>
      <c r="N43" s="322"/>
      <c r="O43" s="322"/>
      <c r="P43" s="322"/>
      <c r="Q43" s="322"/>
      <c r="R43" s="322"/>
      <c r="S43" s="322"/>
      <c r="T43" s="322"/>
      <c r="U43" s="322"/>
      <c r="V43" s="322"/>
      <c r="W43" s="322"/>
      <c r="X43" s="322"/>
      <c r="Y43" s="322"/>
      <c r="Z43" s="322"/>
    </row>
    <row r="44" ht="12.75" customHeight="1">
      <c r="A44" s="322"/>
      <c r="B44" s="322"/>
      <c r="C44" s="323"/>
      <c r="D44" s="324"/>
      <c r="E44" s="323"/>
      <c r="F44" s="324"/>
      <c r="G44" s="322"/>
      <c r="H44" s="322"/>
      <c r="I44" s="322"/>
      <c r="J44" s="322"/>
      <c r="K44" s="322"/>
      <c r="L44" s="322"/>
      <c r="M44" s="322"/>
      <c r="N44" s="322"/>
      <c r="O44" s="322"/>
      <c r="P44" s="322"/>
      <c r="Q44" s="322"/>
      <c r="R44" s="322"/>
      <c r="S44" s="322"/>
      <c r="T44" s="322"/>
      <c r="U44" s="322"/>
      <c r="V44" s="322"/>
      <c r="W44" s="322"/>
      <c r="X44" s="322"/>
      <c r="Y44" s="322"/>
      <c r="Z44" s="322"/>
    </row>
    <row r="45" ht="12.75" customHeight="1">
      <c r="A45" s="322"/>
      <c r="B45" s="322"/>
      <c r="C45" s="323"/>
      <c r="D45" s="324"/>
      <c r="E45" s="323"/>
      <c r="F45" s="324"/>
      <c r="G45" s="322"/>
      <c r="H45" s="322"/>
      <c r="I45" s="322"/>
      <c r="J45" s="322"/>
      <c r="K45" s="322"/>
      <c r="L45" s="322"/>
      <c r="M45" s="322"/>
      <c r="N45" s="322"/>
      <c r="O45" s="322"/>
      <c r="P45" s="322"/>
      <c r="Q45" s="322"/>
      <c r="R45" s="322"/>
      <c r="S45" s="322"/>
      <c r="T45" s="322"/>
      <c r="U45" s="322"/>
      <c r="V45" s="322"/>
      <c r="W45" s="322"/>
      <c r="X45" s="322"/>
      <c r="Y45" s="322"/>
      <c r="Z45" s="322"/>
    </row>
    <row r="46" ht="12.75" customHeight="1">
      <c r="A46" s="322"/>
      <c r="B46" s="322"/>
      <c r="C46" s="419"/>
      <c r="D46" s="324"/>
      <c r="E46" s="323"/>
      <c r="F46" s="324"/>
      <c r="G46" s="322"/>
      <c r="H46" s="409" t="s">
        <v>994</v>
      </c>
      <c r="I46" s="322"/>
      <c r="J46" s="322"/>
      <c r="K46" s="322"/>
      <c r="L46" s="322"/>
      <c r="M46" s="322"/>
      <c r="N46" s="322"/>
      <c r="O46" s="322"/>
      <c r="P46" s="322"/>
      <c r="Q46" s="322"/>
      <c r="R46" s="322"/>
      <c r="S46" s="322"/>
      <c r="T46" s="322"/>
      <c r="U46" s="322"/>
      <c r="V46" s="322"/>
      <c r="W46" s="322"/>
      <c r="X46" s="322"/>
      <c r="Y46" s="322"/>
      <c r="Z46" s="322"/>
    </row>
    <row r="47" ht="12.75" customHeight="1">
      <c r="A47" s="322"/>
      <c r="B47" s="325" t="s">
        <v>345</v>
      </c>
      <c r="C47" s="323"/>
      <c r="D47" s="323"/>
      <c r="E47" s="323"/>
      <c r="F47" s="323"/>
      <c r="G47" s="323"/>
      <c r="H47" s="395" t="s">
        <v>1079</v>
      </c>
      <c r="N47" s="322"/>
      <c r="O47" s="322"/>
      <c r="P47" s="322"/>
      <c r="Q47" s="322"/>
      <c r="R47" s="322"/>
      <c r="S47" s="322"/>
      <c r="T47" s="322"/>
      <c r="U47" s="322"/>
      <c r="V47" s="322"/>
      <c r="W47" s="322"/>
      <c r="X47" s="322"/>
      <c r="Y47" s="322"/>
      <c r="Z47" s="322"/>
    </row>
    <row r="48" ht="12.75" customHeight="1">
      <c r="A48" s="322"/>
      <c r="B48" s="323" t="s">
        <v>346</v>
      </c>
      <c r="C48" s="323"/>
      <c r="D48" s="323"/>
      <c r="E48" s="323"/>
      <c r="F48" s="323"/>
      <c r="G48" s="323"/>
      <c r="N48" s="322"/>
      <c r="O48" s="322"/>
      <c r="P48" s="322"/>
      <c r="Q48" s="322"/>
      <c r="R48" s="322"/>
      <c r="S48" s="322"/>
      <c r="T48" s="322"/>
      <c r="U48" s="322"/>
      <c r="V48" s="322"/>
      <c r="W48" s="322"/>
      <c r="X48" s="322"/>
      <c r="Y48" s="322"/>
      <c r="Z48" s="322"/>
    </row>
    <row r="49" ht="12.75" customHeight="1">
      <c r="A49" s="322"/>
      <c r="E49" s="323"/>
      <c r="F49" s="324"/>
      <c r="G49" s="322"/>
      <c r="N49" s="322"/>
      <c r="O49" s="322"/>
      <c r="P49" s="322"/>
      <c r="Q49" s="322"/>
      <c r="R49" s="322"/>
      <c r="S49" s="322"/>
      <c r="T49" s="322"/>
      <c r="U49" s="322"/>
      <c r="V49" s="322"/>
      <c r="W49" s="322"/>
      <c r="X49" s="322"/>
      <c r="Y49" s="322"/>
      <c r="Z49" s="322"/>
    </row>
    <row r="50" ht="12.75" customHeight="1">
      <c r="A50" s="322"/>
      <c r="B50" s="381" t="s">
        <v>347</v>
      </c>
      <c r="E50" s="323"/>
      <c r="F50" s="324"/>
      <c r="G50" s="322"/>
      <c r="N50" s="322"/>
      <c r="O50" s="322"/>
      <c r="P50" s="322"/>
      <c r="Q50" s="322"/>
      <c r="R50" s="322"/>
      <c r="S50" s="322"/>
      <c r="T50" s="322"/>
      <c r="U50" s="322"/>
      <c r="V50" s="322"/>
      <c r="W50" s="322"/>
      <c r="X50" s="322"/>
      <c r="Y50" s="322"/>
      <c r="Z50" s="322"/>
    </row>
    <row r="51" ht="12.75" customHeight="1">
      <c r="A51" s="322"/>
      <c r="E51" s="323"/>
      <c r="F51" s="324"/>
      <c r="G51" s="322"/>
      <c r="N51" s="322"/>
      <c r="O51" s="322"/>
      <c r="P51" s="322"/>
      <c r="Q51" s="322"/>
      <c r="R51" s="322"/>
      <c r="S51" s="322"/>
      <c r="T51" s="322"/>
      <c r="U51" s="322"/>
      <c r="V51" s="322"/>
      <c r="W51" s="322"/>
      <c r="X51" s="322"/>
      <c r="Y51" s="322"/>
      <c r="Z51" s="322"/>
    </row>
    <row r="52" ht="12.75" customHeight="1">
      <c r="A52" s="322"/>
      <c r="B52" s="326" t="s">
        <v>299</v>
      </c>
      <c r="C52" s="397" t="s">
        <v>300</v>
      </c>
      <c r="D52" s="420" t="s">
        <v>301</v>
      </c>
      <c r="E52" s="397" t="s">
        <v>302</v>
      </c>
      <c r="F52" s="397" t="s">
        <v>348</v>
      </c>
      <c r="G52" s="322"/>
      <c r="N52" s="322"/>
      <c r="O52" s="322"/>
      <c r="P52" s="322"/>
      <c r="Q52" s="322"/>
      <c r="R52" s="322"/>
      <c r="S52" s="322"/>
      <c r="T52" s="322"/>
      <c r="U52" s="322"/>
      <c r="V52" s="322"/>
      <c r="W52" s="322"/>
      <c r="X52" s="322"/>
      <c r="Y52" s="322"/>
      <c r="Z52" s="322"/>
    </row>
    <row r="53" ht="12.75" customHeight="1">
      <c r="A53" s="322"/>
      <c r="B53" s="326" t="str">
        <f t="array" ref="B53">INDEX('DEBT Scenario (Prosper)'!$B$8:$E$21, MATCH(MAX('DEBT Scenario (Prosper)'!$D$8:$D$21),'DEBT Scenario (Prosper)'!$D$8:$D$21, 0), 1)</f>
        <v>Prosper</v>
      </c>
      <c r="C53" s="397">
        <f t="array" ref="C53">INDEX('DEBT Scenario (Prosper)'!$B$8:$E$21, MATCH(MAX('DEBT Scenario (Prosper)'!$D$8:$D$21),'DEBT Scenario (Prosper)'!$D$8:$D$21, 0), 2)</f>
        <v>5000</v>
      </c>
      <c r="D53" s="420">
        <f t="array" ref="D53">INDEX('DEBT Scenario (Prosper)'!$B$8:$E$21, MATCH(MAX('DEBT Scenario (Prosper)'!$D$8:$D$21),'DEBT Scenario (Prosper)'!$D$8:$D$21, 0), 3)</f>
        <v>0.24</v>
      </c>
      <c r="E53" s="397">
        <f t="array" ref="E53">INDEX('DEBT Scenario (Prosper)'!$B$8:$E$21, MATCH(MAX('DEBT Scenario (Prosper)'!$D$8:$D$21),'DEBT Scenario (Prosper)'!$D$8:$D$21, 0), 4)</f>
        <v>350</v>
      </c>
      <c r="F53" s="397">
        <f t="array" ref="F53">INDEX('DEBT Scenario (Prosper)'!$B$8:$E$21,MATCH(MAX('DEBT Scenario (Prosper)'!$D$8:$D$21),'DEBT Scenario (Prosper)'!$D$8:$D$21,0),4)+$C$43</f>
        <v>791</v>
      </c>
      <c r="G53" s="322"/>
      <c r="N53" s="322"/>
      <c r="O53" s="322"/>
      <c r="P53" s="322"/>
      <c r="Q53" s="322"/>
      <c r="R53" s="322"/>
      <c r="S53" s="322"/>
      <c r="T53" s="322"/>
      <c r="U53" s="322"/>
      <c r="V53" s="322"/>
      <c r="W53" s="322"/>
      <c r="X53" s="322"/>
      <c r="Y53" s="322"/>
      <c r="Z53" s="322"/>
    </row>
    <row r="54" ht="12.75" customHeight="1">
      <c r="A54" s="322"/>
      <c r="B54" s="326"/>
      <c r="C54" s="397"/>
      <c r="D54" s="420"/>
      <c r="E54" s="397"/>
      <c r="F54" s="397"/>
      <c r="G54" s="322"/>
      <c r="N54" s="322"/>
      <c r="O54" s="322"/>
      <c r="P54" s="322"/>
      <c r="Q54" s="322"/>
      <c r="R54" s="322"/>
      <c r="S54" s="322"/>
      <c r="T54" s="322"/>
      <c r="U54" s="322"/>
      <c r="V54" s="322"/>
      <c r="W54" s="322"/>
      <c r="X54" s="322"/>
      <c r="Y54" s="322"/>
      <c r="Z54" s="322"/>
    </row>
    <row r="55" ht="12.75" customHeight="1">
      <c r="A55" s="322"/>
      <c r="B55" s="381" t="s">
        <v>349</v>
      </c>
      <c r="C55" s="422"/>
      <c r="D55" s="422"/>
      <c r="E55" s="397"/>
      <c r="F55" s="420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2"/>
      <c r="Y55" s="322"/>
      <c r="Z55" s="322"/>
    </row>
    <row r="56" ht="12.75" customHeight="1">
      <c r="A56" s="322"/>
      <c r="C56" s="422"/>
      <c r="D56" s="422"/>
      <c r="E56" s="397"/>
      <c r="F56" s="420"/>
      <c r="G56" s="322"/>
      <c r="H56" s="322"/>
      <c r="I56" s="322"/>
      <c r="J56" s="322"/>
      <c r="K56" s="322"/>
      <c r="L56" s="322"/>
      <c r="M56" s="322"/>
      <c r="N56" s="322"/>
      <c r="O56" s="322"/>
      <c r="P56" s="322"/>
      <c r="Q56" s="322"/>
      <c r="R56" s="322"/>
      <c r="S56" s="322"/>
      <c r="T56" s="322"/>
      <c r="U56" s="322"/>
      <c r="V56" s="322"/>
      <c r="W56" s="322"/>
      <c r="X56" s="322"/>
      <c r="Y56" s="322"/>
      <c r="Z56" s="322"/>
    </row>
    <row r="57" ht="12.75" customHeight="1">
      <c r="A57" s="322"/>
      <c r="B57" s="326" t="s">
        <v>299</v>
      </c>
      <c r="C57" s="397" t="s">
        <v>300</v>
      </c>
      <c r="D57" s="420" t="s">
        <v>301</v>
      </c>
      <c r="E57" s="397" t="s">
        <v>302</v>
      </c>
      <c r="F57" s="397" t="s">
        <v>348</v>
      </c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</row>
    <row r="58" ht="12.75" customHeight="1">
      <c r="A58" s="322"/>
      <c r="B58" s="326" t="str">
        <f t="array" ref="B58">INDEX('DEBT Scenario (Prosper)'!$B$8:$E$21, MATCH(MIN('DEBT Scenario (Prosper)'!$C$8:$C$21),'DEBT Scenario (Prosper)'!$C$8:$C$21, 0), 1)</f>
        <v>Chase Freedom</v>
      </c>
      <c r="C58" s="397">
        <f t="array" ref="C58">INDEX('DEBT Scenario (Prosper)'!$B$8:$E$21, MATCH(MIN('DEBT Scenario (Prosper)'!$C$8:$C$21),'DEBT Scenario (Prosper)'!$C$8:$C$21, 0), 2)</f>
        <v>1100</v>
      </c>
      <c r="D58" s="420">
        <f t="array" ref="D58">INDEX('DEBT Scenario (Prosper)'!$B$8:$E$21, MATCH(MIN('DEBT Scenario (Prosper)'!$C$8:$C$21),'DEBT Scenario (Prosper)'!$C$8:$C$21, 0), 3)</f>
        <v>0</v>
      </c>
      <c r="E58" s="397">
        <f t="array" ref="E58">INDEX('DEBT Scenario (Prosper)'!$B$8:$E$21, MATCH(MIN('DEBT Scenario (Prosper)'!$C$8:$C$21),'DEBT Scenario (Prosper)'!$C$8:$C$21, 0), 4)</f>
        <v>35</v>
      </c>
      <c r="F58" s="397">
        <f t="array" ref="F58">INDEX('DEBT Scenario (Prosper)'!$B$8:$E$21, MATCH(MIN('DEBT Scenario (Prosper)'!$C$8:$C$21),'DEBT Scenario (Prosper)'!$C$8:$C$21, 0), 4) + $C$43</f>
        <v>476</v>
      </c>
      <c r="G58" s="322"/>
      <c r="H58" s="322"/>
      <c r="I58" s="322"/>
      <c r="J58" s="322"/>
      <c r="K58" s="322"/>
      <c r="L58" s="322"/>
      <c r="M58" s="322"/>
      <c r="N58" s="322"/>
      <c r="O58" s="322"/>
      <c r="P58" s="322"/>
      <c r="Q58" s="322"/>
      <c r="R58" s="322"/>
      <c r="S58" s="322"/>
      <c r="T58" s="322"/>
      <c r="U58" s="322"/>
      <c r="V58" s="322"/>
      <c r="W58" s="322"/>
      <c r="X58" s="322"/>
      <c r="Y58" s="322"/>
      <c r="Z58" s="322"/>
    </row>
    <row r="59" ht="12.75" customHeight="1">
      <c r="A59" s="322"/>
      <c r="B59" s="322"/>
      <c r="C59" s="323"/>
      <c r="D59" s="324"/>
      <c r="E59" s="323"/>
      <c r="F59" s="324"/>
      <c r="G59" s="322"/>
      <c r="H59" s="322"/>
      <c r="I59" s="322"/>
      <c r="J59" s="322"/>
      <c r="K59" s="322"/>
      <c r="L59" s="322"/>
      <c r="M59" s="322"/>
      <c r="N59" s="322"/>
      <c r="O59" s="322"/>
      <c r="P59" s="322"/>
      <c r="Q59" s="322"/>
      <c r="R59" s="322"/>
      <c r="S59" s="322"/>
      <c r="T59" s="322"/>
      <c r="U59" s="322"/>
      <c r="V59" s="322"/>
      <c r="W59" s="322"/>
      <c r="X59" s="322"/>
      <c r="Y59" s="322"/>
      <c r="Z59" s="322"/>
    </row>
    <row r="60" ht="12.75" customHeight="1">
      <c r="A60" s="322"/>
      <c r="B60" s="322"/>
      <c r="C60" s="323"/>
      <c r="D60" s="324"/>
      <c r="E60" s="323"/>
      <c r="F60" s="324"/>
      <c r="G60" s="322"/>
      <c r="H60" s="322"/>
      <c r="I60" s="322"/>
      <c r="J60" s="322"/>
      <c r="K60" s="322"/>
      <c r="L60" s="322"/>
      <c r="M60" s="322"/>
      <c r="N60" s="322"/>
      <c r="O60" s="322"/>
      <c r="P60" s="322"/>
      <c r="Q60" s="322"/>
      <c r="R60" s="322"/>
      <c r="S60" s="322"/>
      <c r="T60" s="322"/>
      <c r="U60" s="322"/>
      <c r="V60" s="322"/>
      <c r="W60" s="322"/>
      <c r="X60" s="322"/>
      <c r="Y60" s="322"/>
      <c r="Z60" s="322"/>
    </row>
    <row r="61" ht="12.75" customHeight="1">
      <c r="A61" s="322"/>
      <c r="B61" s="322"/>
      <c r="C61" s="323"/>
      <c r="D61" s="324"/>
      <c r="E61" s="323"/>
      <c r="F61" s="324"/>
      <c r="G61" s="322"/>
      <c r="H61" s="322"/>
      <c r="I61" s="322"/>
      <c r="J61" s="322"/>
      <c r="K61" s="322"/>
      <c r="L61" s="322"/>
      <c r="M61" s="322"/>
      <c r="N61" s="322"/>
      <c r="O61" s="322"/>
      <c r="P61" s="322"/>
      <c r="Q61" s="322"/>
      <c r="R61" s="322"/>
      <c r="S61" s="322"/>
      <c r="T61" s="322"/>
      <c r="U61" s="322"/>
      <c r="V61" s="322"/>
      <c r="W61" s="322"/>
      <c r="X61" s="322"/>
      <c r="Y61" s="322"/>
      <c r="Z61" s="322"/>
    </row>
    <row r="62" ht="12.75" customHeight="1">
      <c r="A62" s="322"/>
      <c r="H62" s="322"/>
      <c r="I62" s="322"/>
      <c r="J62" s="322"/>
      <c r="K62" s="322"/>
      <c r="L62" s="322"/>
      <c r="M62" s="322"/>
      <c r="N62" s="322"/>
      <c r="O62" s="322"/>
      <c r="P62" s="322"/>
      <c r="Q62" s="322"/>
      <c r="R62" s="322"/>
      <c r="S62" s="322"/>
      <c r="T62" s="322"/>
      <c r="U62" s="322"/>
      <c r="V62" s="322"/>
      <c r="W62" s="322"/>
      <c r="X62" s="322"/>
      <c r="Y62" s="322"/>
      <c r="Z62" s="322"/>
    </row>
    <row r="63" ht="12.75" customHeight="1">
      <c r="A63" s="322"/>
      <c r="H63" s="322"/>
      <c r="I63" s="322"/>
      <c r="J63" s="322"/>
      <c r="K63" s="322"/>
      <c r="L63" s="322"/>
      <c r="M63" s="322"/>
      <c r="N63" s="322"/>
      <c r="O63" s="322"/>
      <c r="P63" s="322"/>
      <c r="Q63" s="322"/>
      <c r="R63" s="322"/>
      <c r="S63" s="322"/>
      <c r="T63" s="322"/>
      <c r="U63" s="322"/>
      <c r="V63" s="322"/>
      <c r="W63" s="322"/>
      <c r="X63" s="322"/>
      <c r="Y63" s="322"/>
      <c r="Z63" s="322"/>
    </row>
    <row r="64" ht="12.75" customHeight="1">
      <c r="A64" s="322"/>
      <c r="H64" s="322"/>
      <c r="I64" s="322"/>
      <c r="J64" s="322"/>
      <c r="K64" s="322"/>
      <c r="L64" s="322"/>
      <c r="M64" s="322"/>
      <c r="N64" s="322"/>
      <c r="O64" s="322"/>
      <c r="P64" s="322"/>
      <c r="Q64" s="322"/>
      <c r="R64" s="322"/>
      <c r="S64" s="322"/>
      <c r="T64" s="322"/>
      <c r="U64" s="322"/>
      <c r="V64" s="322"/>
      <c r="W64" s="322"/>
      <c r="X64" s="322"/>
      <c r="Y64" s="322"/>
      <c r="Z64" s="322"/>
    </row>
    <row r="65" ht="12.75" customHeight="1">
      <c r="A65" s="322"/>
      <c r="H65" s="322"/>
      <c r="I65" s="322"/>
      <c r="J65" s="322"/>
      <c r="K65" s="322"/>
      <c r="L65" s="322"/>
      <c r="M65" s="322"/>
      <c r="N65" s="322"/>
      <c r="O65" s="322"/>
      <c r="P65" s="322"/>
      <c r="Q65" s="322"/>
      <c r="R65" s="322"/>
      <c r="S65" s="322"/>
      <c r="T65" s="322"/>
      <c r="U65" s="322"/>
      <c r="V65" s="322"/>
      <c r="W65" s="322"/>
      <c r="X65" s="322"/>
      <c r="Y65" s="322"/>
      <c r="Z65" s="322"/>
    </row>
    <row r="66" ht="12.75" customHeight="1">
      <c r="A66" s="322"/>
      <c r="H66" s="322"/>
      <c r="I66" s="322"/>
      <c r="J66" s="322"/>
      <c r="K66" s="322"/>
      <c r="L66" s="322"/>
      <c r="M66" s="322"/>
      <c r="N66" s="322"/>
      <c r="O66" s="322"/>
      <c r="P66" s="322"/>
      <c r="Q66" s="322"/>
      <c r="R66" s="322"/>
      <c r="S66" s="322"/>
      <c r="T66" s="322"/>
      <c r="U66" s="322"/>
      <c r="V66" s="322"/>
      <c r="W66" s="322"/>
      <c r="X66" s="322"/>
      <c r="Y66" s="322"/>
      <c r="Z66" s="322"/>
    </row>
    <row r="67" ht="12.75" customHeight="1">
      <c r="A67" s="322"/>
      <c r="H67" s="322"/>
      <c r="I67" s="322"/>
      <c r="J67" s="322"/>
      <c r="K67" s="322"/>
      <c r="L67" s="322"/>
      <c r="M67" s="322"/>
      <c r="N67" s="322"/>
      <c r="O67" s="322"/>
      <c r="P67" s="322"/>
      <c r="Q67" s="322"/>
      <c r="R67" s="322"/>
      <c r="S67" s="322"/>
      <c r="T67" s="322"/>
      <c r="U67" s="322"/>
      <c r="V67" s="322"/>
      <c r="W67" s="322"/>
      <c r="X67" s="322"/>
      <c r="Y67" s="322"/>
      <c r="Z67" s="322"/>
    </row>
    <row r="68" ht="12.75" customHeight="1">
      <c r="A68" s="322"/>
      <c r="H68" s="322"/>
      <c r="I68" s="322"/>
      <c r="J68" s="322"/>
      <c r="K68" s="322"/>
      <c r="L68" s="322"/>
      <c r="M68" s="322"/>
      <c r="N68" s="322"/>
      <c r="O68" s="322"/>
      <c r="P68" s="322"/>
      <c r="Q68" s="322"/>
      <c r="R68" s="322"/>
      <c r="S68" s="322"/>
      <c r="T68" s="322"/>
      <c r="U68" s="322"/>
      <c r="V68" s="322"/>
      <c r="W68" s="322"/>
      <c r="X68" s="322"/>
      <c r="Y68" s="322"/>
      <c r="Z68" s="322"/>
    </row>
    <row r="69" ht="12.75" customHeight="1">
      <c r="A69" s="322"/>
      <c r="H69" s="322"/>
      <c r="I69" s="322"/>
      <c r="J69" s="322"/>
      <c r="K69" s="322"/>
      <c r="L69" s="322"/>
      <c r="M69" s="322"/>
      <c r="N69" s="322"/>
      <c r="O69" s="322"/>
      <c r="P69" s="322"/>
      <c r="Q69" s="322"/>
      <c r="R69" s="322"/>
      <c r="S69" s="322"/>
      <c r="T69" s="322"/>
      <c r="U69" s="322"/>
      <c r="V69" s="322"/>
      <c r="W69" s="322"/>
      <c r="X69" s="322"/>
      <c r="Y69" s="322"/>
      <c r="Z69" s="322"/>
    </row>
    <row r="70" ht="12.75" customHeight="1">
      <c r="A70" s="322"/>
      <c r="H70" s="322"/>
      <c r="I70" s="322"/>
      <c r="J70" s="322"/>
      <c r="K70" s="322"/>
      <c r="L70" s="322"/>
      <c r="M70" s="322"/>
      <c r="N70" s="322"/>
      <c r="O70" s="322"/>
      <c r="P70" s="322"/>
      <c r="Q70" s="322"/>
      <c r="R70" s="322"/>
      <c r="S70" s="322"/>
      <c r="T70" s="322"/>
      <c r="U70" s="322"/>
      <c r="V70" s="322"/>
      <c r="W70" s="322"/>
      <c r="X70" s="322"/>
      <c r="Y70" s="322"/>
      <c r="Z70" s="322"/>
    </row>
    <row r="71" ht="12.75" customHeight="1">
      <c r="A71" s="322"/>
      <c r="H71" s="322"/>
      <c r="I71" s="322"/>
      <c r="J71" s="322"/>
      <c r="K71" s="322"/>
      <c r="L71" s="322"/>
      <c r="M71" s="322"/>
      <c r="N71" s="322"/>
      <c r="O71" s="322"/>
      <c r="P71" s="322"/>
      <c r="Q71" s="322"/>
      <c r="R71" s="322"/>
      <c r="S71" s="322"/>
      <c r="T71" s="322"/>
      <c r="U71" s="322"/>
      <c r="V71" s="322"/>
      <c r="W71" s="322"/>
      <c r="X71" s="322"/>
      <c r="Y71" s="322"/>
      <c r="Z71" s="322"/>
    </row>
    <row r="72" ht="12.75" customHeight="1">
      <c r="A72" s="322"/>
      <c r="H72" s="322"/>
      <c r="I72" s="322"/>
      <c r="J72" s="322"/>
      <c r="K72" s="322"/>
      <c r="L72" s="322"/>
      <c r="M72" s="322"/>
      <c r="N72" s="322"/>
      <c r="O72" s="322"/>
      <c r="P72" s="322"/>
      <c r="Q72" s="322"/>
      <c r="R72" s="322"/>
      <c r="S72" s="322"/>
      <c r="T72" s="322"/>
      <c r="U72" s="322"/>
      <c r="V72" s="322"/>
      <c r="W72" s="322"/>
      <c r="X72" s="322"/>
      <c r="Y72" s="322"/>
      <c r="Z72" s="322"/>
    </row>
    <row r="73" ht="12.75" customHeight="1">
      <c r="A73" s="323"/>
      <c r="H73" s="323"/>
      <c r="I73" s="323"/>
      <c r="J73" s="323"/>
      <c r="K73" s="323"/>
      <c r="L73" s="323"/>
      <c r="M73" s="323"/>
      <c r="N73" s="323"/>
      <c r="O73" s="323"/>
      <c r="P73" s="323"/>
      <c r="Q73" s="323"/>
      <c r="R73" s="323"/>
      <c r="S73" s="323"/>
      <c r="T73" s="323"/>
      <c r="U73" s="323"/>
      <c r="V73" s="323"/>
      <c r="W73" s="323"/>
      <c r="X73" s="323"/>
      <c r="Y73" s="323"/>
      <c r="Z73" s="323"/>
    </row>
    <row r="74" ht="12.75" customHeight="1">
      <c r="A74" s="323"/>
      <c r="H74" s="323"/>
      <c r="I74" s="323"/>
      <c r="J74" s="323"/>
      <c r="K74" s="323"/>
      <c r="L74" s="323"/>
      <c r="M74" s="323"/>
      <c r="N74" s="323"/>
      <c r="O74" s="323"/>
      <c r="P74" s="323"/>
      <c r="Q74" s="323"/>
      <c r="R74" s="323"/>
      <c r="S74" s="323"/>
      <c r="T74" s="323"/>
      <c r="U74" s="323"/>
      <c r="V74" s="323"/>
      <c r="W74" s="323"/>
      <c r="X74" s="323"/>
      <c r="Y74" s="323"/>
      <c r="Z74" s="323"/>
    </row>
    <row r="75" ht="12.75" customHeight="1">
      <c r="A75" s="322"/>
      <c r="H75" s="322"/>
      <c r="I75" s="322"/>
      <c r="J75" s="322"/>
      <c r="K75" s="322"/>
      <c r="L75" s="322"/>
      <c r="M75" s="322"/>
      <c r="N75" s="322"/>
      <c r="O75" s="322"/>
      <c r="P75" s="322"/>
      <c r="Q75" s="322"/>
      <c r="R75" s="322"/>
      <c r="S75" s="322"/>
      <c r="T75" s="322"/>
      <c r="U75" s="322"/>
      <c r="V75" s="322"/>
      <c r="W75" s="322"/>
      <c r="X75" s="322"/>
      <c r="Y75" s="322"/>
      <c r="Z75" s="322"/>
    </row>
    <row r="76" ht="12.75" customHeight="1">
      <c r="A76" s="322"/>
      <c r="H76" s="322"/>
      <c r="I76" s="322"/>
      <c r="J76" s="322"/>
      <c r="K76" s="322"/>
      <c r="L76" s="322"/>
      <c r="M76" s="322"/>
      <c r="N76" s="322"/>
      <c r="O76" s="322"/>
      <c r="P76" s="322"/>
      <c r="Q76" s="322"/>
      <c r="R76" s="322"/>
      <c r="S76" s="322"/>
      <c r="T76" s="322"/>
      <c r="U76" s="322"/>
      <c r="V76" s="322"/>
      <c r="W76" s="322"/>
      <c r="X76" s="322"/>
      <c r="Y76" s="322"/>
      <c r="Z76" s="322"/>
    </row>
    <row r="77" ht="4.5" customHeight="1">
      <c r="A77" s="322"/>
      <c r="H77" s="322"/>
      <c r="I77" s="322"/>
      <c r="J77" s="322"/>
      <c r="K77" s="322"/>
      <c r="L77" s="322"/>
      <c r="M77" s="322"/>
      <c r="N77" s="322"/>
      <c r="O77" s="322"/>
      <c r="P77" s="322"/>
      <c r="Q77" s="322"/>
      <c r="R77" s="322"/>
      <c r="S77" s="322"/>
      <c r="T77" s="322"/>
      <c r="U77" s="322"/>
      <c r="V77" s="322"/>
      <c r="W77" s="322"/>
      <c r="X77" s="322"/>
      <c r="Y77" s="322"/>
      <c r="Z77" s="322"/>
    </row>
    <row r="78" ht="12.75" customHeight="1">
      <c r="A78" s="322"/>
      <c r="H78" s="322"/>
      <c r="I78" s="322"/>
      <c r="J78" s="322"/>
      <c r="K78" s="322"/>
      <c r="L78" s="322"/>
      <c r="M78" s="322"/>
      <c r="N78" s="322"/>
      <c r="O78" s="322"/>
      <c r="P78" s="322"/>
      <c r="Q78" s="322"/>
      <c r="R78" s="322"/>
      <c r="S78" s="322"/>
      <c r="T78" s="322"/>
      <c r="U78" s="322"/>
      <c r="V78" s="322"/>
      <c r="W78" s="322"/>
      <c r="X78" s="322"/>
      <c r="Y78" s="322"/>
      <c r="Z78" s="322"/>
    </row>
    <row r="79" ht="12.75" customHeight="1">
      <c r="A79" s="322"/>
      <c r="H79" s="322"/>
      <c r="I79" s="322"/>
      <c r="J79" s="322"/>
      <c r="K79" s="322"/>
      <c r="L79" s="322"/>
      <c r="M79" s="322"/>
      <c r="N79" s="322"/>
      <c r="O79" s="322"/>
      <c r="P79" s="322"/>
      <c r="Q79" s="322"/>
      <c r="R79" s="322"/>
      <c r="S79" s="322"/>
      <c r="T79" s="322"/>
      <c r="U79" s="322"/>
      <c r="V79" s="322"/>
      <c r="W79" s="322"/>
      <c r="X79" s="322"/>
      <c r="Y79" s="322"/>
      <c r="Z79" s="322"/>
    </row>
    <row r="80" ht="12.75" customHeight="1">
      <c r="A80" s="322"/>
      <c r="H80" s="322"/>
      <c r="I80" s="322"/>
      <c r="J80" s="322"/>
      <c r="K80" s="322"/>
      <c r="L80" s="322"/>
      <c r="M80" s="322"/>
      <c r="N80" s="322"/>
      <c r="O80" s="322"/>
      <c r="P80" s="322"/>
      <c r="Q80" s="322"/>
      <c r="R80" s="322"/>
      <c r="S80" s="322"/>
      <c r="T80" s="322"/>
      <c r="U80" s="322"/>
      <c r="V80" s="322"/>
      <c r="W80" s="322"/>
      <c r="X80" s="322"/>
      <c r="Y80" s="322"/>
      <c r="Z80" s="322"/>
    </row>
    <row r="81" ht="12.75" customHeight="1">
      <c r="A81" s="322"/>
      <c r="H81" s="322"/>
      <c r="I81" s="322"/>
      <c r="J81" s="322"/>
      <c r="K81" s="322"/>
      <c r="L81" s="322"/>
      <c r="M81" s="322"/>
      <c r="N81" s="322"/>
      <c r="O81" s="322"/>
      <c r="P81" s="322"/>
      <c r="Q81" s="322"/>
      <c r="R81" s="322"/>
      <c r="S81" s="322"/>
      <c r="T81" s="322"/>
      <c r="U81" s="322"/>
      <c r="V81" s="322"/>
      <c r="W81" s="322"/>
      <c r="X81" s="322"/>
      <c r="Y81" s="322"/>
      <c r="Z81" s="322"/>
    </row>
    <row r="82" ht="4.5" customHeight="1">
      <c r="A82" s="322"/>
      <c r="H82" s="322"/>
      <c r="I82" s="322"/>
      <c r="J82" s="322"/>
      <c r="K82" s="322"/>
      <c r="L82" s="322"/>
      <c r="M82" s="322"/>
      <c r="N82" s="322"/>
      <c r="O82" s="322"/>
      <c r="P82" s="322"/>
      <c r="Q82" s="322"/>
      <c r="R82" s="322"/>
      <c r="S82" s="322"/>
      <c r="T82" s="322"/>
      <c r="U82" s="322"/>
      <c r="V82" s="322"/>
      <c r="W82" s="322"/>
      <c r="X82" s="322"/>
      <c r="Y82" s="322"/>
      <c r="Z82" s="322"/>
    </row>
    <row r="83" ht="12.75" customHeight="1">
      <c r="A83" s="322"/>
      <c r="H83" s="322"/>
      <c r="I83" s="322"/>
      <c r="J83" s="322"/>
      <c r="K83" s="322"/>
      <c r="L83" s="322"/>
      <c r="M83" s="322"/>
      <c r="N83" s="322"/>
      <c r="O83" s="322"/>
      <c r="P83" s="322"/>
      <c r="Q83" s="322"/>
      <c r="R83" s="322"/>
      <c r="S83" s="322"/>
      <c r="T83" s="322"/>
      <c r="U83" s="322"/>
      <c r="V83" s="322"/>
      <c r="W83" s="322"/>
      <c r="X83" s="322"/>
      <c r="Y83" s="322"/>
      <c r="Z83" s="322"/>
    </row>
    <row r="84" ht="12.75" customHeight="1">
      <c r="A84" s="322"/>
      <c r="H84" s="322"/>
      <c r="I84" s="322"/>
      <c r="J84" s="322"/>
      <c r="K84" s="322"/>
      <c r="L84" s="322"/>
      <c r="M84" s="322"/>
      <c r="N84" s="322"/>
      <c r="O84" s="322"/>
      <c r="P84" s="322"/>
      <c r="Q84" s="322"/>
      <c r="R84" s="322"/>
      <c r="S84" s="322"/>
      <c r="T84" s="322"/>
      <c r="U84" s="322"/>
      <c r="V84" s="322"/>
      <c r="W84" s="322"/>
      <c r="X84" s="322"/>
      <c r="Y84" s="322"/>
      <c r="Z84" s="322"/>
    </row>
    <row r="85" ht="12.75" customHeight="1">
      <c r="A85" s="322"/>
      <c r="H85" s="322"/>
      <c r="I85" s="322"/>
      <c r="J85" s="322"/>
      <c r="K85" s="322"/>
      <c r="L85" s="322"/>
      <c r="M85" s="322"/>
      <c r="N85" s="322"/>
      <c r="O85" s="322"/>
      <c r="P85" s="322"/>
      <c r="Q85" s="322"/>
      <c r="R85" s="322"/>
      <c r="S85" s="322"/>
      <c r="T85" s="322"/>
      <c r="U85" s="322"/>
      <c r="V85" s="322"/>
      <c r="W85" s="322"/>
      <c r="X85" s="322"/>
      <c r="Y85" s="322"/>
      <c r="Z85" s="322"/>
    </row>
    <row r="86" ht="12.75" customHeight="1">
      <c r="A86" s="322"/>
      <c r="H86" s="322"/>
      <c r="I86" s="322"/>
      <c r="J86" s="322"/>
      <c r="K86" s="322"/>
      <c r="L86" s="322"/>
      <c r="M86" s="322"/>
      <c r="N86" s="322"/>
      <c r="O86" s="322"/>
      <c r="P86" s="322"/>
      <c r="Q86" s="322"/>
      <c r="R86" s="322"/>
      <c r="S86" s="322"/>
      <c r="T86" s="322"/>
      <c r="U86" s="322"/>
      <c r="V86" s="322"/>
      <c r="W86" s="322"/>
      <c r="X86" s="322"/>
      <c r="Y86" s="322"/>
      <c r="Z86" s="322"/>
    </row>
    <row r="87" ht="12.75" customHeight="1">
      <c r="A87" s="322"/>
      <c r="B87" s="322"/>
      <c r="C87" s="323"/>
      <c r="D87" s="324"/>
      <c r="E87" s="323"/>
      <c r="F87" s="324"/>
      <c r="G87" s="322"/>
      <c r="H87" s="322"/>
      <c r="I87" s="322"/>
      <c r="J87" s="322"/>
      <c r="K87" s="322"/>
      <c r="L87" s="322"/>
      <c r="M87" s="322"/>
      <c r="N87" s="322"/>
      <c r="O87" s="322"/>
      <c r="P87" s="322"/>
      <c r="Q87" s="322"/>
      <c r="R87" s="322"/>
      <c r="S87" s="322"/>
      <c r="T87" s="322"/>
      <c r="U87" s="322"/>
      <c r="V87" s="322"/>
      <c r="W87" s="322"/>
      <c r="X87" s="322"/>
      <c r="Y87" s="322"/>
      <c r="Z87" s="322"/>
    </row>
    <row r="88" ht="12.75" customHeight="1">
      <c r="A88" s="322"/>
      <c r="B88" s="322"/>
      <c r="C88" s="323"/>
      <c r="D88" s="324"/>
      <c r="E88" s="323"/>
      <c r="F88" s="324"/>
      <c r="G88" s="322"/>
      <c r="H88" s="322"/>
      <c r="I88" s="322"/>
      <c r="J88" s="322"/>
      <c r="K88" s="322"/>
      <c r="L88" s="322"/>
      <c r="M88" s="322"/>
      <c r="N88" s="322"/>
      <c r="O88" s="322"/>
      <c r="P88" s="322"/>
      <c r="Q88" s="322"/>
      <c r="R88" s="322"/>
      <c r="S88" s="322"/>
      <c r="T88" s="322"/>
      <c r="U88" s="322"/>
      <c r="V88" s="322"/>
      <c r="W88" s="322"/>
      <c r="X88" s="322"/>
      <c r="Y88" s="322"/>
      <c r="Z88" s="322"/>
    </row>
    <row r="89" ht="12.75" customHeight="1">
      <c r="A89" s="322"/>
      <c r="B89" s="322"/>
      <c r="C89" s="323"/>
      <c r="D89" s="324"/>
      <c r="E89" s="323"/>
      <c r="F89" s="324"/>
      <c r="G89" s="322"/>
      <c r="H89" s="322"/>
      <c r="I89" s="322"/>
      <c r="J89" s="322"/>
      <c r="K89" s="322"/>
      <c r="L89" s="322"/>
      <c r="M89" s="322"/>
      <c r="N89" s="322"/>
      <c r="O89" s="322"/>
      <c r="P89" s="322"/>
      <c r="Q89" s="322"/>
      <c r="R89" s="322"/>
      <c r="S89" s="322"/>
      <c r="T89" s="322"/>
      <c r="U89" s="322"/>
      <c r="V89" s="322"/>
      <c r="W89" s="322"/>
      <c r="X89" s="322"/>
      <c r="Y89" s="322"/>
      <c r="Z89" s="322"/>
    </row>
    <row r="90" ht="12.75" customHeight="1">
      <c r="A90" s="322"/>
      <c r="B90" s="322"/>
      <c r="C90" s="323"/>
      <c r="D90" s="324"/>
      <c r="E90" s="323"/>
      <c r="F90" s="324"/>
      <c r="G90" s="322"/>
      <c r="H90" s="322"/>
      <c r="I90" s="322"/>
      <c r="J90" s="322"/>
      <c r="K90" s="322"/>
      <c r="L90" s="322"/>
      <c r="M90" s="322"/>
      <c r="N90" s="322"/>
      <c r="O90" s="322"/>
      <c r="P90" s="322"/>
      <c r="Q90" s="322"/>
      <c r="R90" s="322"/>
      <c r="S90" s="322"/>
      <c r="T90" s="322"/>
      <c r="U90" s="322"/>
      <c r="V90" s="322"/>
      <c r="W90" s="322"/>
      <c r="X90" s="322"/>
      <c r="Y90" s="322"/>
      <c r="Z90" s="322"/>
    </row>
    <row r="91" ht="12.75" customHeight="1">
      <c r="A91" s="322"/>
      <c r="B91" s="322"/>
      <c r="C91" s="323"/>
      <c r="D91" s="324"/>
      <c r="E91" s="323"/>
      <c r="F91" s="324"/>
      <c r="G91" s="322"/>
      <c r="H91" s="322"/>
      <c r="I91" s="322"/>
      <c r="J91" s="322"/>
      <c r="K91" s="322"/>
      <c r="L91" s="322"/>
      <c r="M91" s="322"/>
      <c r="N91" s="322"/>
      <c r="O91" s="322"/>
      <c r="P91" s="322"/>
      <c r="Q91" s="322"/>
      <c r="R91" s="322"/>
      <c r="S91" s="322"/>
      <c r="T91" s="322"/>
      <c r="U91" s="322"/>
      <c r="V91" s="322"/>
      <c r="W91" s="322"/>
      <c r="X91" s="322"/>
      <c r="Y91" s="322"/>
      <c r="Z91" s="322"/>
    </row>
    <row r="92" ht="12.75" customHeight="1">
      <c r="A92" s="322"/>
      <c r="B92" s="322"/>
      <c r="C92" s="323"/>
      <c r="D92" s="324"/>
      <c r="E92" s="323"/>
      <c r="F92" s="324"/>
      <c r="G92" s="322"/>
      <c r="H92" s="322"/>
      <c r="I92" s="322"/>
      <c r="J92" s="322"/>
      <c r="K92" s="322"/>
      <c r="L92" s="322"/>
      <c r="M92" s="322"/>
      <c r="N92" s="322"/>
      <c r="O92" s="322"/>
      <c r="P92" s="322"/>
      <c r="Q92" s="322"/>
      <c r="R92" s="322"/>
      <c r="S92" s="322"/>
      <c r="T92" s="322"/>
      <c r="U92" s="322"/>
      <c r="V92" s="322"/>
      <c r="W92" s="322"/>
      <c r="X92" s="322"/>
      <c r="Y92" s="322"/>
      <c r="Z92" s="322"/>
    </row>
    <row r="93" ht="12.75" customHeight="1">
      <c r="A93" s="322"/>
      <c r="B93" s="322"/>
      <c r="C93" s="323"/>
      <c r="D93" s="324"/>
      <c r="E93" s="323"/>
      <c r="F93" s="324"/>
      <c r="G93" s="322"/>
      <c r="H93" s="322"/>
      <c r="I93" s="322"/>
      <c r="J93" s="322"/>
      <c r="K93" s="322"/>
      <c r="L93" s="322"/>
      <c r="M93" s="322"/>
      <c r="N93" s="322"/>
      <c r="O93" s="322"/>
      <c r="P93" s="322"/>
      <c r="Q93" s="322"/>
      <c r="R93" s="322"/>
      <c r="S93" s="322"/>
      <c r="T93" s="322"/>
      <c r="U93" s="322"/>
      <c r="V93" s="322"/>
      <c r="W93" s="322"/>
      <c r="X93" s="322"/>
      <c r="Y93" s="322"/>
      <c r="Z93" s="322"/>
    </row>
    <row r="94" ht="12.75" customHeight="1">
      <c r="A94" s="322"/>
      <c r="B94" s="322"/>
      <c r="C94" s="323"/>
      <c r="D94" s="324"/>
      <c r="E94" s="323"/>
      <c r="F94" s="324"/>
      <c r="G94" s="322"/>
      <c r="H94" s="322"/>
      <c r="I94" s="322"/>
      <c r="J94" s="322"/>
      <c r="K94" s="322"/>
      <c r="L94" s="322"/>
      <c r="M94" s="322"/>
      <c r="N94" s="322"/>
      <c r="O94" s="322"/>
      <c r="P94" s="322"/>
      <c r="Q94" s="322"/>
      <c r="R94" s="322"/>
      <c r="S94" s="322"/>
      <c r="T94" s="322"/>
      <c r="U94" s="322"/>
      <c r="V94" s="322"/>
      <c r="W94" s="322"/>
      <c r="X94" s="322"/>
      <c r="Y94" s="322"/>
      <c r="Z94" s="322"/>
    </row>
    <row r="95" ht="12.75" customHeight="1">
      <c r="A95" s="322"/>
      <c r="B95" s="322"/>
      <c r="C95" s="323"/>
      <c r="D95" s="324"/>
      <c r="E95" s="323"/>
      <c r="F95" s="324"/>
      <c r="G95" s="322"/>
      <c r="H95" s="322"/>
      <c r="I95" s="322"/>
      <c r="J95" s="322"/>
      <c r="K95" s="322"/>
      <c r="L95" s="322"/>
      <c r="M95" s="322"/>
      <c r="N95" s="322"/>
      <c r="O95" s="322"/>
      <c r="P95" s="322"/>
      <c r="Q95" s="322"/>
      <c r="R95" s="322"/>
      <c r="S95" s="322"/>
      <c r="T95" s="322"/>
      <c r="U95" s="322"/>
      <c r="V95" s="322"/>
      <c r="W95" s="322"/>
      <c r="X95" s="322"/>
      <c r="Y95" s="322"/>
      <c r="Z95" s="322"/>
    </row>
    <row r="96" ht="12.75" customHeight="1">
      <c r="A96" s="322"/>
      <c r="B96" s="322"/>
      <c r="C96" s="323"/>
      <c r="D96" s="324"/>
      <c r="E96" s="323"/>
      <c r="F96" s="324"/>
      <c r="G96" s="322"/>
      <c r="H96" s="322"/>
      <c r="I96" s="322"/>
      <c r="J96" s="322"/>
      <c r="K96" s="322"/>
      <c r="L96" s="322"/>
      <c r="M96" s="322"/>
      <c r="N96" s="322"/>
      <c r="O96" s="322"/>
      <c r="P96" s="322"/>
      <c r="Q96" s="322"/>
      <c r="R96" s="322"/>
      <c r="S96" s="322"/>
      <c r="T96" s="322"/>
      <c r="U96" s="322"/>
      <c r="V96" s="322"/>
      <c r="W96" s="322"/>
      <c r="X96" s="322"/>
      <c r="Y96" s="322"/>
      <c r="Z96" s="322"/>
    </row>
    <row r="97" ht="12.75" customHeight="1">
      <c r="A97" s="322"/>
      <c r="B97" s="322"/>
      <c r="C97" s="323"/>
      <c r="D97" s="324"/>
      <c r="E97" s="323"/>
      <c r="F97" s="324"/>
      <c r="G97" s="322"/>
      <c r="H97" s="322"/>
      <c r="I97" s="322"/>
      <c r="J97" s="322"/>
      <c r="K97" s="322"/>
      <c r="L97" s="322"/>
      <c r="M97" s="322"/>
      <c r="N97" s="322"/>
      <c r="O97" s="322"/>
      <c r="P97" s="322"/>
      <c r="Q97" s="322"/>
      <c r="R97" s="322"/>
      <c r="S97" s="322"/>
      <c r="T97" s="322"/>
      <c r="U97" s="322"/>
      <c r="V97" s="322"/>
      <c r="W97" s="322"/>
      <c r="X97" s="322"/>
      <c r="Y97" s="322"/>
      <c r="Z97" s="322"/>
    </row>
    <row r="98" ht="12.75" customHeight="1">
      <c r="A98" s="322"/>
      <c r="B98" s="322"/>
      <c r="C98" s="323"/>
      <c r="D98" s="324"/>
      <c r="E98" s="323"/>
      <c r="F98" s="324"/>
      <c r="G98" s="322"/>
      <c r="H98" s="322"/>
      <c r="I98" s="322"/>
      <c r="J98" s="322"/>
      <c r="K98" s="322"/>
      <c r="L98" s="322"/>
      <c r="M98" s="322"/>
      <c r="N98" s="322"/>
      <c r="O98" s="322"/>
      <c r="P98" s="322"/>
      <c r="Q98" s="322"/>
      <c r="R98" s="322"/>
      <c r="S98" s="322"/>
      <c r="T98" s="322"/>
      <c r="U98" s="322"/>
      <c r="V98" s="322"/>
      <c r="W98" s="322"/>
      <c r="X98" s="322"/>
      <c r="Y98" s="322"/>
      <c r="Z98" s="322"/>
    </row>
    <row r="99" ht="12.75" customHeight="1">
      <c r="A99" s="322"/>
      <c r="B99" s="322"/>
      <c r="C99" s="323"/>
      <c r="D99" s="324"/>
      <c r="E99" s="323"/>
      <c r="F99" s="324"/>
      <c r="G99" s="322"/>
      <c r="H99" s="322"/>
      <c r="I99" s="322"/>
      <c r="J99" s="322"/>
      <c r="K99" s="322"/>
      <c r="L99" s="322"/>
      <c r="M99" s="322"/>
      <c r="N99" s="322"/>
      <c r="O99" s="322"/>
      <c r="P99" s="322"/>
      <c r="Q99" s="322"/>
      <c r="R99" s="322"/>
      <c r="S99" s="322"/>
      <c r="T99" s="322"/>
      <c r="U99" s="322"/>
      <c r="V99" s="322"/>
      <c r="W99" s="322"/>
      <c r="X99" s="322"/>
      <c r="Y99" s="322"/>
      <c r="Z99" s="322"/>
    </row>
    <row r="100" ht="12.75" customHeight="1">
      <c r="A100" s="322"/>
      <c r="B100" s="322"/>
      <c r="C100" s="323"/>
      <c r="D100" s="324"/>
      <c r="E100" s="323"/>
      <c r="F100" s="324"/>
      <c r="G100" s="322"/>
      <c r="H100" s="322"/>
      <c r="I100" s="322"/>
      <c r="J100" s="322"/>
      <c r="K100" s="322"/>
      <c r="L100" s="322"/>
      <c r="M100" s="322"/>
      <c r="N100" s="322"/>
      <c r="O100" s="322"/>
      <c r="P100" s="322"/>
      <c r="Q100" s="322"/>
      <c r="R100" s="322"/>
      <c r="S100" s="322"/>
      <c r="T100" s="322"/>
      <c r="U100" s="322"/>
      <c r="V100" s="322"/>
      <c r="W100" s="322"/>
      <c r="X100" s="322"/>
      <c r="Y100" s="322"/>
      <c r="Z100" s="322"/>
    </row>
    <row r="101" ht="12.75" customHeight="1">
      <c r="A101" s="322"/>
      <c r="B101" s="322"/>
      <c r="C101" s="397"/>
      <c r="D101" s="384" t="s">
        <v>76</v>
      </c>
      <c r="E101" s="1217"/>
      <c r="G101" s="322"/>
      <c r="H101" s="322"/>
      <c r="I101" s="322"/>
      <c r="J101" s="322"/>
      <c r="K101" s="322"/>
      <c r="L101" s="322"/>
      <c r="M101" s="322"/>
      <c r="N101" s="322"/>
      <c r="O101" s="322"/>
      <c r="P101" s="322"/>
      <c r="Q101" s="322"/>
      <c r="R101" s="322"/>
      <c r="S101" s="322"/>
      <c r="T101" s="322"/>
      <c r="U101" s="322"/>
      <c r="V101" s="322"/>
      <c r="W101" s="322"/>
      <c r="X101" s="322"/>
      <c r="Y101" s="322"/>
      <c r="Z101" s="322"/>
    </row>
    <row r="102" ht="12.75" customHeight="1">
      <c r="A102" s="322"/>
      <c r="B102" s="322"/>
      <c r="C102" s="1218">
        <v>43756.0</v>
      </c>
      <c r="D102" s="340">
        <v>55000.0</v>
      </c>
      <c r="E102" s="1219"/>
      <c r="G102" s="322"/>
      <c r="H102" s="322"/>
      <c r="I102" s="322"/>
      <c r="J102" s="322"/>
      <c r="K102" s="322"/>
      <c r="L102" s="322"/>
      <c r="M102" s="322"/>
      <c r="N102" s="322"/>
      <c r="O102" s="322"/>
      <c r="P102" s="322"/>
      <c r="Q102" s="322"/>
      <c r="R102" s="322"/>
      <c r="S102" s="322"/>
      <c r="T102" s="322"/>
      <c r="U102" s="322"/>
      <c r="V102" s="322"/>
      <c r="W102" s="322"/>
      <c r="X102" s="322"/>
      <c r="Y102" s="322"/>
      <c r="Z102" s="322"/>
    </row>
    <row r="103" ht="12.75" customHeight="1">
      <c r="A103" s="322"/>
      <c r="B103" s="322"/>
      <c r="C103" s="1218">
        <v>43787.0</v>
      </c>
      <c r="D103" s="584">
        <v>60000.0</v>
      </c>
      <c r="E103" s="1219"/>
      <c r="G103" s="322"/>
      <c r="H103" s="322"/>
      <c r="I103" s="322"/>
      <c r="J103" s="322"/>
      <c r="K103" s="322"/>
      <c r="L103" s="322"/>
      <c r="M103" s="322"/>
      <c r="N103" s="322"/>
      <c r="O103" s="322"/>
      <c r="P103" s="322"/>
      <c r="Q103" s="322"/>
      <c r="R103" s="322"/>
      <c r="S103" s="322"/>
      <c r="T103" s="322"/>
      <c r="U103" s="322"/>
      <c r="V103" s="322"/>
      <c r="W103" s="322"/>
      <c r="X103" s="322"/>
      <c r="Y103" s="322"/>
      <c r="Z103" s="322"/>
    </row>
    <row r="104" ht="12.75" customHeight="1">
      <c r="A104" s="322"/>
      <c r="B104" s="322"/>
      <c r="C104" s="1218">
        <v>43817.0</v>
      </c>
      <c r="D104" s="584">
        <f t="shared" ref="D104:D109" si="3">D103-3000</f>
        <v>57000</v>
      </c>
      <c r="E104" s="1219"/>
      <c r="G104" s="322"/>
      <c r="H104" s="322"/>
      <c r="I104" s="322"/>
      <c r="J104" s="322"/>
      <c r="K104" s="322"/>
      <c r="L104" s="322"/>
      <c r="M104" s="322"/>
      <c r="N104" s="322"/>
      <c r="O104" s="322"/>
      <c r="P104" s="322"/>
      <c r="Q104" s="322"/>
      <c r="R104" s="322"/>
      <c r="S104" s="322"/>
      <c r="T104" s="322"/>
      <c r="U104" s="322"/>
      <c r="V104" s="322"/>
      <c r="W104" s="322"/>
      <c r="X104" s="322"/>
      <c r="Y104" s="322"/>
      <c r="Z104" s="322"/>
    </row>
    <row r="105" ht="12.75" customHeight="1">
      <c r="A105" s="322"/>
      <c r="B105" s="322"/>
      <c r="C105" s="1220">
        <v>43484.0</v>
      </c>
      <c r="D105" s="584">
        <f t="shared" si="3"/>
        <v>54000</v>
      </c>
      <c r="E105" s="1219"/>
      <c r="G105" s="322"/>
      <c r="H105" s="322"/>
      <c r="I105" s="322"/>
      <c r="J105" s="322"/>
      <c r="K105" s="322"/>
      <c r="L105" s="322"/>
      <c r="M105" s="322"/>
      <c r="N105" s="322"/>
      <c r="O105" s="322"/>
      <c r="P105" s="322"/>
      <c r="Q105" s="322"/>
      <c r="R105" s="322"/>
      <c r="S105" s="322"/>
      <c r="T105" s="322"/>
      <c r="U105" s="322"/>
      <c r="V105" s="322"/>
      <c r="W105" s="322"/>
      <c r="X105" s="322"/>
      <c r="Y105" s="322"/>
      <c r="Z105" s="322"/>
    </row>
    <row r="106" ht="12.75" customHeight="1">
      <c r="A106" s="322"/>
      <c r="B106" s="322"/>
      <c r="C106" s="1221">
        <v>43515.0</v>
      </c>
      <c r="D106" s="584">
        <f t="shared" si="3"/>
        <v>51000</v>
      </c>
      <c r="E106" s="1219"/>
      <c r="G106" s="322"/>
      <c r="H106" s="322"/>
      <c r="I106" s="322"/>
      <c r="J106" s="322"/>
      <c r="K106" s="322"/>
      <c r="L106" s="322"/>
      <c r="M106" s="322"/>
      <c r="N106" s="322"/>
      <c r="O106" s="322"/>
      <c r="P106" s="322"/>
      <c r="Q106" s="322"/>
      <c r="R106" s="322"/>
      <c r="S106" s="322"/>
      <c r="T106" s="322"/>
      <c r="U106" s="322"/>
      <c r="V106" s="322"/>
      <c r="W106" s="322"/>
      <c r="X106" s="322"/>
      <c r="Y106" s="322"/>
      <c r="Z106" s="322"/>
    </row>
    <row r="107" ht="12.75" customHeight="1">
      <c r="A107" s="322"/>
      <c r="B107" s="322"/>
      <c r="C107" s="1220">
        <v>43543.0</v>
      </c>
      <c r="D107" s="584">
        <f t="shared" si="3"/>
        <v>48000</v>
      </c>
      <c r="E107" s="1219"/>
      <c r="G107" s="322"/>
      <c r="H107" s="322"/>
      <c r="I107" s="322"/>
      <c r="J107" s="322"/>
      <c r="K107" s="322"/>
      <c r="L107" s="322"/>
      <c r="M107" s="322"/>
      <c r="N107" s="322"/>
      <c r="O107" s="322"/>
      <c r="P107" s="322"/>
      <c r="Q107" s="322"/>
      <c r="R107" s="322"/>
      <c r="S107" s="322"/>
      <c r="T107" s="322"/>
      <c r="U107" s="322"/>
      <c r="V107" s="322"/>
      <c r="W107" s="322"/>
      <c r="X107" s="322"/>
      <c r="Y107" s="322"/>
      <c r="Z107" s="322"/>
    </row>
    <row r="108" ht="12.75" customHeight="1">
      <c r="A108" s="322"/>
      <c r="B108" s="322"/>
      <c r="C108" s="1221">
        <v>43574.0</v>
      </c>
      <c r="D108" s="584">
        <f t="shared" si="3"/>
        <v>45000</v>
      </c>
      <c r="E108" s="1219"/>
      <c r="G108" s="322"/>
      <c r="H108" s="322"/>
      <c r="I108" s="322"/>
      <c r="J108" s="322"/>
      <c r="K108" s="322"/>
      <c r="L108" s="322"/>
      <c r="M108" s="322"/>
      <c r="N108" s="322"/>
      <c r="O108" s="322"/>
      <c r="P108" s="322"/>
      <c r="Q108" s="322"/>
      <c r="R108" s="322"/>
      <c r="S108" s="322"/>
      <c r="T108" s="322"/>
      <c r="U108" s="322"/>
      <c r="V108" s="322"/>
      <c r="W108" s="322"/>
      <c r="X108" s="322"/>
      <c r="Y108" s="322"/>
      <c r="Z108" s="322"/>
    </row>
    <row r="109" ht="12.75" customHeight="1">
      <c r="A109" s="322"/>
      <c r="B109" s="322"/>
      <c r="C109" s="1220">
        <v>43604.0</v>
      </c>
      <c r="D109" s="584">
        <f t="shared" si="3"/>
        <v>42000</v>
      </c>
      <c r="E109" s="1219"/>
      <c r="G109" s="322"/>
      <c r="H109" s="322"/>
      <c r="I109" s="322"/>
      <c r="J109" s="322"/>
      <c r="K109" s="322"/>
      <c r="L109" s="322"/>
      <c r="M109" s="322"/>
      <c r="N109" s="322"/>
      <c r="O109" s="322"/>
      <c r="P109" s="322"/>
      <c r="Q109" s="322"/>
      <c r="R109" s="322"/>
      <c r="S109" s="322"/>
      <c r="T109" s="322"/>
      <c r="U109" s="322"/>
      <c r="V109" s="322"/>
      <c r="W109" s="322"/>
      <c r="X109" s="322"/>
      <c r="Y109" s="322"/>
      <c r="Z109" s="322"/>
    </row>
    <row r="110" ht="12.75" customHeight="1">
      <c r="A110" s="322"/>
      <c r="B110" s="322"/>
      <c r="C110" s="1221">
        <v>43635.0</v>
      </c>
      <c r="D110" s="584">
        <f>D109</f>
        <v>42000</v>
      </c>
      <c r="E110" s="1219"/>
      <c r="G110" s="322"/>
      <c r="H110" s="322"/>
      <c r="I110" s="322"/>
      <c r="J110" s="322"/>
      <c r="K110" s="322"/>
      <c r="L110" s="322"/>
      <c r="M110" s="322"/>
      <c r="N110" s="322"/>
      <c r="O110" s="322"/>
      <c r="P110" s="322"/>
      <c r="Q110" s="322"/>
      <c r="R110" s="322"/>
      <c r="S110" s="322"/>
      <c r="T110" s="322"/>
      <c r="U110" s="322"/>
      <c r="V110" s="322"/>
      <c r="W110" s="322"/>
      <c r="X110" s="322"/>
      <c r="Y110" s="322"/>
      <c r="Z110" s="322"/>
    </row>
    <row r="111" ht="12.75" customHeight="1">
      <c r="A111" s="322"/>
      <c r="B111" s="322"/>
      <c r="C111" s="1220">
        <v>43665.0</v>
      </c>
      <c r="D111" s="584">
        <v>43781.0</v>
      </c>
      <c r="E111" s="1219"/>
      <c r="G111" s="322"/>
      <c r="H111" s="322"/>
      <c r="I111" s="322"/>
      <c r="J111" s="322"/>
      <c r="K111" s="322"/>
      <c r="L111" s="322"/>
      <c r="M111" s="322"/>
      <c r="N111" s="322"/>
      <c r="O111" s="322"/>
      <c r="P111" s="322"/>
      <c r="Q111" s="322"/>
      <c r="R111" s="322"/>
      <c r="S111" s="322"/>
      <c r="T111" s="322"/>
      <c r="U111" s="322"/>
      <c r="V111" s="322"/>
      <c r="W111" s="322"/>
      <c r="X111" s="322"/>
      <c r="Y111" s="322"/>
      <c r="Z111" s="322"/>
    </row>
    <row r="112" ht="12.75" customHeight="1">
      <c r="A112" s="322"/>
      <c r="B112" s="322"/>
      <c r="C112" s="1221">
        <v>43696.0</v>
      </c>
      <c r="D112" s="584">
        <f>D111-BUDGET!J48</f>
        <v>40581</v>
      </c>
      <c r="E112" s="1219"/>
      <c r="G112" s="322"/>
      <c r="H112" s="322"/>
      <c r="I112" s="322"/>
      <c r="J112" s="322"/>
      <c r="K112" s="322"/>
      <c r="L112" s="322"/>
      <c r="M112" s="322"/>
      <c r="N112" s="322"/>
      <c r="O112" s="322"/>
      <c r="P112" s="322"/>
      <c r="Q112" s="322"/>
      <c r="R112" s="322"/>
      <c r="S112" s="322"/>
      <c r="T112" s="322"/>
      <c r="U112" s="322"/>
      <c r="V112" s="322"/>
      <c r="W112" s="322"/>
      <c r="X112" s="322"/>
      <c r="Y112" s="322"/>
      <c r="Z112" s="322"/>
    </row>
    <row r="113" ht="12.75" customHeight="1">
      <c r="A113" s="322"/>
      <c r="B113" s="322"/>
      <c r="C113" s="1220">
        <v>43727.0</v>
      </c>
      <c r="D113" s="584">
        <f>D112-BUDGET!K48</f>
        <v>39581</v>
      </c>
      <c r="E113" s="1219"/>
      <c r="G113" s="322"/>
      <c r="H113" s="322"/>
      <c r="I113" s="322"/>
      <c r="J113" s="322"/>
      <c r="K113" s="322"/>
      <c r="L113" s="322"/>
      <c r="M113" s="322"/>
      <c r="N113" s="322"/>
      <c r="O113" s="322"/>
      <c r="P113" s="322"/>
      <c r="Q113" s="322"/>
      <c r="R113" s="322"/>
      <c r="S113" s="322"/>
      <c r="T113" s="322"/>
      <c r="U113" s="322"/>
      <c r="V113" s="322"/>
      <c r="W113" s="322"/>
      <c r="X113" s="322"/>
      <c r="Y113" s="322"/>
      <c r="Z113" s="322"/>
    </row>
    <row r="114" ht="12.75" customHeight="1">
      <c r="A114" s="322"/>
      <c r="B114" s="322"/>
      <c r="C114" s="1221">
        <v>43757.0</v>
      </c>
      <c r="D114" s="584">
        <f>D113-BUDGET!L48</f>
        <v>38581</v>
      </c>
      <c r="E114" s="1219"/>
      <c r="G114" s="322"/>
      <c r="H114" s="322"/>
      <c r="I114" s="322"/>
      <c r="J114" s="322"/>
      <c r="K114" s="322"/>
      <c r="L114" s="322"/>
      <c r="M114" s="322"/>
      <c r="N114" s="322"/>
      <c r="O114" s="322"/>
      <c r="P114" s="322"/>
      <c r="Q114" s="322"/>
      <c r="R114" s="322"/>
      <c r="S114" s="322"/>
      <c r="T114" s="322"/>
      <c r="U114" s="322"/>
      <c r="V114" s="322"/>
      <c r="W114" s="322"/>
      <c r="X114" s="322"/>
      <c r="Y114" s="322"/>
      <c r="Z114" s="322"/>
    </row>
    <row r="115" ht="12.75" customHeight="1">
      <c r="A115" s="322"/>
      <c r="B115" s="322"/>
      <c r="C115" s="1218">
        <v>43788.0</v>
      </c>
      <c r="D115" s="584">
        <v>47747.0</v>
      </c>
      <c r="E115" s="1219"/>
      <c r="G115" s="322"/>
      <c r="H115" s="322"/>
      <c r="I115" s="322"/>
      <c r="J115" s="322"/>
      <c r="K115" s="322"/>
      <c r="L115" s="322"/>
      <c r="M115" s="322"/>
      <c r="N115" s="322"/>
      <c r="O115" s="322"/>
      <c r="P115" s="322"/>
      <c r="Q115" s="322"/>
      <c r="R115" s="322"/>
      <c r="S115" s="322"/>
      <c r="T115" s="322"/>
      <c r="U115" s="322"/>
      <c r="V115" s="322"/>
      <c r="W115" s="322"/>
      <c r="X115" s="322"/>
      <c r="Y115" s="322"/>
      <c r="Z115" s="322"/>
    </row>
    <row r="116" ht="12.75" customHeight="1">
      <c r="A116" s="322"/>
      <c r="B116" s="322"/>
      <c r="C116" s="1218">
        <v>43818.0</v>
      </c>
      <c r="D116" s="584">
        <f>48980-BUDGET!N48</f>
        <v>47247.5</v>
      </c>
      <c r="E116" s="1219"/>
      <c r="G116" s="322"/>
      <c r="H116" s="322"/>
      <c r="I116" s="322"/>
      <c r="J116" s="322"/>
      <c r="K116" s="322"/>
      <c r="L116" s="322"/>
      <c r="M116" s="322"/>
      <c r="N116" s="322"/>
      <c r="O116" s="322"/>
      <c r="P116" s="322"/>
      <c r="Q116" s="322"/>
      <c r="R116" s="322"/>
      <c r="S116" s="322"/>
      <c r="T116" s="322"/>
      <c r="U116" s="322"/>
      <c r="V116" s="322"/>
      <c r="W116" s="322"/>
      <c r="X116" s="322"/>
      <c r="Y116" s="322"/>
      <c r="Z116" s="322"/>
    </row>
    <row r="117" ht="12.75" customHeight="1">
      <c r="A117" s="322"/>
      <c r="B117" s="322"/>
      <c r="C117" s="1218">
        <v>43485.0</v>
      </c>
      <c r="D117" s="584">
        <f>D116-BUDGET!O48</f>
        <v>44727.5</v>
      </c>
      <c r="E117" s="1219"/>
      <c r="G117" s="322"/>
      <c r="H117" s="322"/>
      <c r="I117" s="322"/>
      <c r="J117" s="322"/>
      <c r="K117" s="322"/>
      <c r="L117" s="322"/>
      <c r="M117" s="322"/>
      <c r="N117" s="322"/>
      <c r="O117" s="322"/>
      <c r="P117" s="322"/>
      <c r="Q117" s="322"/>
      <c r="R117" s="322"/>
      <c r="S117" s="322"/>
      <c r="T117" s="322"/>
      <c r="U117" s="322"/>
      <c r="V117" s="322"/>
      <c r="W117" s="322"/>
      <c r="X117" s="322"/>
      <c r="Y117" s="322"/>
      <c r="Z117" s="322"/>
    </row>
    <row r="118" ht="12.75" customHeight="1">
      <c r="A118" s="322"/>
      <c r="B118" s="322"/>
      <c r="C118" s="1218">
        <v>43516.0</v>
      </c>
      <c r="D118" s="584">
        <f>D117-BUDGET!P48</f>
        <v>38771.5</v>
      </c>
      <c r="E118" s="1219"/>
      <c r="G118" s="322"/>
      <c r="H118" s="322"/>
      <c r="I118" s="322"/>
      <c r="J118" s="322"/>
      <c r="K118" s="322"/>
      <c r="L118" s="322"/>
      <c r="M118" s="322"/>
      <c r="N118" s="322"/>
      <c r="O118" s="322"/>
      <c r="P118" s="322"/>
      <c r="Q118" s="322"/>
      <c r="R118" s="322"/>
      <c r="S118" s="322"/>
      <c r="T118" s="322"/>
      <c r="U118" s="322"/>
      <c r="V118" s="322"/>
      <c r="W118" s="322"/>
      <c r="X118" s="322"/>
      <c r="Y118" s="322"/>
      <c r="Z118" s="322"/>
    </row>
    <row r="119" ht="12.75" customHeight="1">
      <c r="A119" s="322"/>
      <c r="B119" s="322"/>
      <c r="C119" s="1218">
        <v>43544.0</v>
      </c>
      <c r="D119" s="584">
        <f>D118-BUDGET!Q48</f>
        <v>36763.5</v>
      </c>
      <c r="E119" s="1219"/>
      <c r="G119" s="322"/>
      <c r="H119" s="322"/>
      <c r="I119" s="322"/>
      <c r="J119" s="322"/>
      <c r="K119" s="322"/>
      <c r="L119" s="322"/>
      <c r="M119" s="322"/>
      <c r="N119" s="322"/>
      <c r="O119" s="322"/>
      <c r="P119" s="322"/>
      <c r="Q119" s="322"/>
      <c r="R119" s="322"/>
      <c r="S119" s="322"/>
      <c r="T119" s="322"/>
      <c r="U119" s="322"/>
      <c r="V119" s="322"/>
      <c r="W119" s="322"/>
      <c r="X119" s="322"/>
      <c r="Y119" s="322"/>
      <c r="Z119" s="322"/>
    </row>
    <row r="120" ht="12.75" customHeight="1">
      <c r="A120" s="322"/>
      <c r="B120" s="322"/>
      <c r="C120" s="1218">
        <v>43575.0</v>
      </c>
      <c r="D120" s="584">
        <f>D119-BUDGET!R48</f>
        <v>34100.5</v>
      </c>
      <c r="E120" s="1219"/>
      <c r="G120" s="322"/>
      <c r="H120" s="322"/>
      <c r="I120" s="322"/>
      <c r="J120" s="322"/>
      <c r="K120" s="322"/>
      <c r="L120" s="322"/>
      <c r="M120" s="322"/>
      <c r="N120" s="322"/>
      <c r="O120" s="322"/>
      <c r="P120" s="322"/>
      <c r="Q120" s="322"/>
      <c r="R120" s="322"/>
      <c r="S120" s="322"/>
      <c r="T120" s="322"/>
      <c r="U120" s="322"/>
      <c r="V120" s="322"/>
      <c r="W120" s="322"/>
      <c r="X120" s="322"/>
      <c r="Y120" s="322"/>
      <c r="Z120" s="322"/>
    </row>
    <row r="121" ht="12.75" customHeight="1">
      <c r="A121" s="322"/>
      <c r="B121" s="322"/>
      <c r="C121" s="1218">
        <v>43605.0</v>
      </c>
      <c r="D121" s="584">
        <f>D120-BUDGET!S48</f>
        <v>28500.5</v>
      </c>
      <c r="E121" s="1219"/>
      <c r="G121" s="322"/>
      <c r="H121" s="322"/>
      <c r="I121" s="322"/>
      <c r="J121" s="322"/>
      <c r="K121" s="322"/>
      <c r="L121" s="322"/>
      <c r="M121" s="322"/>
      <c r="N121" s="322"/>
      <c r="O121" s="322"/>
      <c r="P121" s="322"/>
      <c r="Q121" s="322"/>
      <c r="R121" s="322"/>
      <c r="S121" s="322"/>
      <c r="T121" s="322"/>
      <c r="U121" s="322"/>
      <c r="V121" s="322"/>
      <c r="W121" s="322"/>
      <c r="X121" s="322"/>
      <c r="Y121" s="322"/>
      <c r="Z121" s="322"/>
    </row>
    <row r="122" ht="12.75" customHeight="1">
      <c r="A122" s="322"/>
      <c r="B122" s="322"/>
      <c r="C122" s="1218">
        <v>43636.0</v>
      </c>
      <c r="D122" s="584">
        <f>D121-BUDGET!T48</f>
        <v>26886.125</v>
      </c>
      <c r="E122" s="1219"/>
      <c r="G122" s="322"/>
      <c r="H122" s="322"/>
      <c r="I122" s="322"/>
      <c r="J122" s="322"/>
      <c r="K122" s="322"/>
      <c r="L122" s="322"/>
      <c r="M122" s="322"/>
      <c r="N122" s="322"/>
      <c r="O122" s="322"/>
      <c r="P122" s="322"/>
      <c r="Q122" s="322"/>
      <c r="R122" s="322"/>
      <c r="S122" s="322"/>
      <c r="T122" s="322"/>
      <c r="U122" s="322"/>
      <c r="V122" s="322"/>
      <c r="W122" s="322"/>
      <c r="X122" s="322"/>
      <c r="Y122" s="322"/>
      <c r="Z122" s="322"/>
    </row>
    <row r="123" ht="12.75" customHeight="1">
      <c r="A123" s="322"/>
      <c r="B123" s="322"/>
      <c r="C123" s="1218">
        <v>43666.0</v>
      </c>
      <c r="D123" s="584">
        <f>D122-BUDGET!T48</f>
        <v>25271.75</v>
      </c>
      <c r="E123" s="1219"/>
      <c r="G123" s="322"/>
      <c r="H123" s="322"/>
      <c r="I123" s="322"/>
      <c r="J123" s="322"/>
      <c r="K123" s="322"/>
      <c r="L123" s="322"/>
      <c r="M123" s="322"/>
      <c r="N123" s="322"/>
      <c r="O123" s="322"/>
      <c r="P123" s="322"/>
      <c r="Q123" s="322"/>
      <c r="R123" s="322"/>
      <c r="S123" s="322"/>
      <c r="T123" s="322"/>
      <c r="U123" s="322"/>
      <c r="V123" s="322"/>
      <c r="W123" s="322"/>
      <c r="X123" s="322"/>
      <c r="Y123" s="322"/>
      <c r="Z123" s="322"/>
    </row>
    <row r="124" ht="12.75" customHeight="1">
      <c r="A124" s="322"/>
      <c r="B124" s="322"/>
      <c r="C124" s="1218">
        <v>43697.0</v>
      </c>
      <c r="D124" s="584">
        <f>D123-BUDGET!V48</f>
        <v>21874.75</v>
      </c>
      <c r="E124" s="1219"/>
      <c r="G124" s="322"/>
      <c r="H124" s="322"/>
      <c r="I124" s="322"/>
      <c r="J124" s="322"/>
      <c r="K124" s="322"/>
      <c r="L124" s="322"/>
      <c r="M124" s="322"/>
      <c r="N124" s="322"/>
      <c r="O124" s="322"/>
      <c r="P124" s="322"/>
      <c r="Q124" s="322"/>
      <c r="R124" s="322"/>
      <c r="S124" s="322"/>
      <c r="T124" s="322"/>
      <c r="U124" s="322"/>
      <c r="V124" s="322"/>
      <c r="W124" s="322"/>
      <c r="X124" s="322"/>
      <c r="Y124" s="322"/>
      <c r="Z124" s="322"/>
    </row>
    <row r="125" ht="12.75" customHeight="1">
      <c r="A125" s="322"/>
      <c r="B125" s="322"/>
      <c r="C125" s="1218">
        <v>43728.0</v>
      </c>
      <c r="D125" s="584">
        <f>D124-BUDGET!W48</f>
        <v>19937.5</v>
      </c>
      <c r="F125" s="420"/>
      <c r="G125" s="322"/>
      <c r="H125" s="322"/>
      <c r="I125" s="322"/>
      <c r="J125" s="322"/>
      <c r="K125" s="322"/>
      <c r="L125" s="322"/>
      <c r="M125" s="322"/>
      <c r="N125" s="322"/>
      <c r="O125" s="322"/>
      <c r="P125" s="322"/>
      <c r="Q125" s="322"/>
      <c r="R125" s="322"/>
      <c r="S125" s="322"/>
      <c r="T125" s="322"/>
      <c r="U125" s="322"/>
      <c r="V125" s="322"/>
      <c r="W125" s="322"/>
      <c r="X125" s="322"/>
      <c r="Y125" s="322"/>
      <c r="Z125" s="322"/>
    </row>
    <row r="126" ht="12.75" customHeight="1">
      <c r="A126" s="322"/>
      <c r="B126" s="322"/>
      <c r="C126" s="1218">
        <v>43758.0</v>
      </c>
      <c r="D126" s="584">
        <f>D125-AVERAGE(BUDGET!O48:Z48)</f>
        <v>17347.94167</v>
      </c>
      <c r="E126" s="323"/>
      <c r="F126" s="324"/>
      <c r="G126" s="322"/>
      <c r="H126" s="322"/>
      <c r="I126" s="322"/>
      <c r="J126" s="322"/>
      <c r="K126" s="322"/>
      <c r="L126" s="322"/>
      <c r="M126" s="322"/>
      <c r="N126" s="322"/>
      <c r="O126" s="322"/>
      <c r="P126" s="322"/>
      <c r="Q126" s="322"/>
      <c r="R126" s="322"/>
      <c r="S126" s="322"/>
      <c r="T126" s="322"/>
      <c r="U126" s="322"/>
      <c r="V126" s="322"/>
      <c r="W126" s="322"/>
      <c r="X126" s="322"/>
      <c r="Y126" s="322"/>
      <c r="Z126" s="322"/>
    </row>
    <row r="127" ht="12.75" customHeight="1">
      <c r="A127" s="322"/>
      <c r="B127" s="322"/>
      <c r="C127" s="1218">
        <v>44155.0</v>
      </c>
      <c r="D127" s="584">
        <f>D126-AVERAGE(BUDGET!O48:Z48)</f>
        <v>14758.38333</v>
      </c>
      <c r="E127" s="323"/>
      <c r="F127" s="324"/>
      <c r="G127" s="322"/>
      <c r="H127" s="322"/>
      <c r="I127" s="322"/>
      <c r="J127" s="322"/>
      <c r="K127" s="322"/>
      <c r="L127" s="322"/>
      <c r="M127" s="322"/>
      <c r="N127" s="322"/>
      <c r="O127" s="322"/>
      <c r="P127" s="322"/>
      <c r="Q127" s="322"/>
      <c r="R127" s="322"/>
      <c r="S127" s="322"/>
      <c r="T127" s="322"/>
      <c r="U127" s="322"/>
      <c r="V127" s="322"/>
      <c r="W127" s="322"/>
      <c r="X127" s="322"/>
      <c r="Y127" s="322"/>
      <c r="Z127" s="322"/>
    </row>
    <row r="128" ht="12.75" customHeight="1">
      <c r="A128" s="322"/>
      <c r="B128" s="322"/>
      <c r="C128" s="1218">
        <v>44185.0</v>
      </c>
      <c r="D128" s="584">
        <f>D127-AVERAGE(BUDGET!O48:Z48)</f>
        <v>12168.825</v>
      </c>
      <c r="E128" s="323"/>
      <c r="F128" s="324"/>
      <c r="G128" s="322"/>
      <c r="H128" s="322"/>
      <c r="I128" s="322"/>
      <c r="J128" s="322"/>
      <c r="K128" s="322"/>
      <c r="L128" s="322"/>
      <c r="M128" s="322"/>
      <c r="N128" s="322"/>
      <c r="O128" s="322"/>
      <c r="P128" s="322"/>
      <c r="Q128" s="322"/>
      <c r="R128" s="322"/>
      <c r="S128" s="322"/>
      <c r="T128" s="322"/>
      <c r="U128" s="322"/>
      <c r="V128" s="322"/>
      <c r="W128" s="322"/>
      <c r="X128" s="322"/>
      <c r="Y128" s="322"/>
      <c r="Z128" s="322"/>
    </row>
    <row r="129" ht="12.75" customHeight="1">
      <c r="A129" s="322"/>
      <c r="B129" s="322"/>
      <c r="C129" s="1218">
        <v>43851.0</v>
      </c>
      <c r="D129" s="584">
        <f>D128-AVERAGE(BUDGET!O48:Z48)</f>
        <v>9579.266667</v>
      </c>
      <c r="E129" s="323"/>
      <c r="F129" s="324"/>
      <c r="G129" s="322"/>
      <c r="H129" s="322"/>
      <c r="I129" s="322"/>
      <c r="J129" s="322"/>
      <c r="K129" s="322"/>
      <c r="L129" s="322"/>
      <c r="M129" s="322"/>
      <c r="N129" s="322"/>
      <c r="O129" s="322"/>
      <c r="P129" s="322"/>
      <c r="Q129" s="322"/>
      <c r="R129" s="322"/>
      <c r="S129" s="322"/>
      <c r="T129" s="322"/>
      <c r="U129" s="322"/>
      <c r="V129" s="322"/>
      <c r="W129" s="322"/>
      <c r="X129" s="322"/>
      <c r="Y129" s="322"/>
      <c r="Z129" s="322"/>
    </row>
    <row r="130" ht="12.75" customHeight="1">
      <c r="A130" s="322"/>
      <c r="B130" s="322"/>
      <c r="C130" s="1218"/>
      <c r="D130" s="584"/>
      <c r="E130" s="323"/>
      <c r="F130" s="324"/>
      <c r="G130" s="322"/>
      <c r="H130" s="322"/>
      <c r="I130" s="322"/>
      <c r="J130" s="322"/>
      <c r="K130" s="322"/>
      <c r="L130" s="322"/>
      <c r="M130" s="322"/>
      <c r="N130" s="322"/>
      <c r="O130" s="322"/>
      <c r="P130" s="322"/>
      <c r="Q130" s="322"/>
      <c r="R130" s="322"/>
      <c r="S130" s="322"/>
      <c r="T130" s="322"/>
      <c r="U130" s="322"/>
      <c r="V130" s="322"/>
      <c r="W130" s="322"/>
      <c r="X130" s="322"/>
      <c r="Y130" s="322"/>
      <c r="Z130" s="322"/>
    </row>
    <row r="131" ht="12.75" customHeight="1">
      <c r="A131" s="322"/>
      <c r="B131" s="322"/>
      <c r="C131" s="1218"/>
      <c r="D131" s="584"/>
      <c r="E131" s="323"/>
      <c r="F131" s="324"/>
      <c r="G131" s="322"/>
      <c r="H131" s="322"/>
      <c r="I131" s="322"/>
      <c r="J131" s="322"/>
      <c r="K131" s="322"/>
      <c r="L131" s="322"/>
      <c r="M131" s="322"/>
      <c r="N131" s="322"/>
      <c r="O131" s="322"/>
      <c r="P131" s="322"/>
      <c r="Q131" s="322"/>
      <c r="R131" s="322"/>
      <c r="S131" s="322"/>
      <c r="T131" s="322"/>
      <c r="U131" s="322"/>
      <c r="V131" s="322"/>
      <c r="W131" s="322"/>
      <c r="X131" s="322"/>
      <c r="Y131" s="322"/>
      <c r="Z131" s="322"/>
    </row>
    <row r="132" ht="12.75" customHeight="1">
      <c r="A132" s="322"/>
      <c r="B132" s="322"/>
      <c r="C132" s="1218"/>
      <c r="D132" s="584"/>
      <c r="E132" s="323"/>
      <c r="F132" s="324"/>
      <c r="G132" s="322"/>
      <c r="H132" s="322"/>
      <c r="I132" s="322"/>
      <c r="J132" s="322"/>
      <c r="K132" s="322"/>
      <c r="L132" s="322"/>
      <c r="M132" s="322"/>
      <c r="N132" s="322"/>
      <c r="O132" s="322"/>
      <c r="P132" s="322"/>
      <c r="Q132" s="322"/>
      <c r="R132" s="322"/>
      <c r="S132" s="322"/>
      <c r="T132" s="322"/>
      <c r="U132" s="322"/>
      <c r="V132" s="322"/>
      <c r="W132" s="322"/>
      <c r="X132" s="322"/>
      <c r="Y132" s="322"/>
      <c r="Z132" s="322"/>
    </row>
    <row r="133" ht="12.75" customHeight="1">
      <c r="A133" s="322"/>
      <c r="B133" s="322"/>
      <c r="C133" s="323"/>
      <c r="D133" s="324"/>
      <c r="E133" s="323"/>
      <c r="F133" s="324"/>
      <c r="G133" s="322"/>
      <c r="H133" s="322"/>
      <c r="I133" s="322"/>
      <c r="J133" s="322"/>
      <c r="K133" s="322"/>
      <c r="L133" s="322"/>
      <c r="M133" s="322"/>
      <c r="N133" s="322"/>
      <c r="O133" s="322"/>
      <c r="P133" s="322"/>
      <c r="Q133" s="322"/>
      <c r="R133" s="322"/>
      <c r="S133" s="322"/>
      <c r="T133" s="322"/>
      <c r="U133" s="322"/>
      <c r="V133" s="322"/>
      <c r="W133" s="322"/>
      <c r="X133" s="322"/>
      <c r="Y133" s="322"/>
      <c r="Z133" s="322"/>
    </row>
    <row r="134" ht="12.75" customHeight="1">
      <c r="A134" s="322"/>
      <c r="B134" s="322"/>
      <c r="C134" s="323"/>
      <c r="D134" s="324"/>
      <c r="E134" s="323"/>
      <c r="F134" s="324"/>
      <c r="G134" s="322"/>
      <c r="H134" s="322"/>
      <c r="I134" s="322"/>
      <c r="J134" s="322"/>
      <c r="K134" s="322"/>
      <c r="L134" s="322"/>
      <c r="M134" s="322"/>
      <c r="N134" s="322"/>
      <c r="O134" s="322"/>
      <c r="P134" s="322"/>
      <c r="Q134" s="322"/>
      <c r="R134" s="322"/>
      <c r="S134" s="322"/>
      <c r="T134" s="322"/>
      <c r="U134" s="322"/>
      <c r="V134" s="322"/>
      <c r="W134" s="322"/>
      <c r="X134" s="322"/>
      <c r="Y134" s="322"/>
      <c r="Z134" s="322"/>
    </row>
    <row r="135" ht="12.75" customHeight="1">
      <c r="A135" s="322"/>
      <c r="B135" s="322"/>
      <c r="C135" s="323"/>
      <c r="D135" s="324"/>
      <c r="E135" s="323"/>
      <c r="F135" s="324"/>
      <c r="G135" s="322"/>
      <c r="H135" s="322"/>
      <c r="I135" s="322"/>
      <c r="J135" s="322"/>
      <c r="K135" s="322"/>
      <c r="L135" s="322"/>
      <c r="M135" s="322"/>
      <c r="N135" s="322"/>
      <c r="O135" s="322"/>
      <c r="P135" s="322"/>
      <c r="Q135" s="322"/>
      <c r="R135" s="322"/>
      <c r="S135" s="322"/>
      <c r="T135" s="322"/>
      <c r="U135" s="322"/>
      <c r="V135" s="322"/>
      <c r="W135" s="322"/>
      <c r="X135" s="322"/>
      <c r="Y135" s="322"/>
      <c r="Z135" s="322"/>
    </row>
    <row r="136" ht="12.75" customHeight="1">
      <c r="A136" s="322"/>
      <c r="B136" s="322"/>
      <c r="C136" s="323"/>
      <c r="D136" s="324"/>
      <c r="E136" s="323"/>
      <c r="F136" s="324"/>
      <c r="G136" s="322"/>
      <c r="H136" s="322"/>
      <c r="I136" s="322"/>
      <c r="J136" s="322"/>
      <c r="K136" s="322"/>
      <c r="L136" s="322"/>
      <c r="M136" s="322"/>
      <c r="N136" s="322"/>
      <c r="O136" s="322"/>
      <c r="P136" s="322"/>
      <c r="Q136" s="322"/>
      <c r="R136" s="322"/>
      <c r="S136" s="322"/>
      <c r="T136" s="322"/>
      <c r="U136" s="322"/>
      <c r="V136" s="322"/>
      <c r="W136" s="322"/>
      <c r="X136" s="322"/>
      <c r="Y136" s="322"/>
      <c r="Z136" s="322"/>
    </row>
    <row r="137" ht="12.75" customHeight="1">
      <c r="A137" s="322"/>
      <c r="B137" s="322"/>
      <c r="C137" s="323"/>
      <c r="D137" s="324"/>
      <c r="E137" s="323"/>
      <c r="F137" s="324"/>
      <c r="G137" s="322"/>
      <c r="H137" s="322"/>
      <c r="I137" s="322"/>
      <c r="J137" s="322"/>
      <c r="K137" s="322"/>
      <c r="L137" s="322"/>
      <c r="M137" s="322"/>
      <c r="N137" s="322"/>
      <c r="O137" s="322"/>
      <c r="P137" s="322"/>
      <c r="Q137" s="322"/>
      <c r="R137" s="322"/>
      <c r="S137" s="322"/>
      <c r="T137" s="322"/>
      <c r="U137" s="322"/>
      <c r="V137" s="322"/>
      <c r="W137" s="322"/>
      <c r="X137" s="322"/>
      <c r="Y137" s="322"/>
      <c r="Z137" s="322"/>
    </row>
    <row r="138" ht="12.75" customHeight="1">
      <c r="A138" s="322"/>
      <c r="B138" s="322"/>
      <c r="C138" s="323"/>
      <c r="D138" s="324"/>
      <c r="E138" s="323"/>
      <c r="F138" s="324"/>
      <c r="G138" s="322"/>
      <c r="H138" s="322"/>
      <c r="I138" s="322"/>
      <c r="J138" s="322"/>
      <c r="K138" s="322"/>
      <c r="L138" s="322"/>
      <c r="M138" s="322"/>
      <c r="N138" s="322"/>
      <c r="O138" s="322"/>
      <c r="P138" s="322"/>
      <c r="Q138" s="322"/>
      <c r="R138" s="322"/>
      <c r="S138" s="322"/>
      <c r="T138" s="322"/>
      <c r="U138" s="322"/>
      <c r="V138" s="322"/>
      <c r="W138" s="322"/>
      <c r="X138" s="322"/>
      <c r="Y138" s="322"/>
      <c r="Z138" s="322"/>
    </row>
    <row r="139" ht="12.75" customHeight="1">
      <c r="A139" s="322"/>
      <c r="B139" s="322"/>
      <c r="C139" s="323"/>
      <c r="D139" s="324"/>
      <c r="E139" s="323"/>
      <c r="F139" s="324"/>
      <c r="G139" s="322"/>
      <c r="H139" s="322"/>
      <c r="I139" s="322"/>
      <c r="J139" s="322"/>
      <c r="K139" s="322"/>
      <c r="L139" s="322"/>
      <c r="M139" s="322"/>
      <c r="N139" s="322"/>
      <c r="O139" s="322"/>
      <c r="P139" s="322"/>
      <c r="Q139" s="322"/>
      <c r="R139" s="322"/>
      <c r="S139" s="322"/>
      <c r="T139" s="322"/>
      <c r="U139" s="322"/>
      <c r="V139" s="322"/>
      <c r="W139" s="322"/>
      <c r="X139" s="322"/>
      <c r="Y139" s="322"/>
      <c r="Z139" s="322"/>
    </row>
    <row r="140" ht="12.75" customHeight="1">
      <c r="A140" s="322"/>
      <c r="B140" s="322"/>
      <c r="C140" s="323"/>
      <c r="D140" s="324"/>
      <c r="E140" s="323"/>
      <c r="F140" s="324"/>
      <c r="G140" s="322"/>
      <c r="H140" s="322"/>
      <c r="I140" s="322"/>
      <c r="J140" s="322"/>
      <c r="K140" s="322"/>
      <c r="L140" s="322"/>
      <c r="M140" s="322"/>
      <c r="N140" s="322"/>
      <c r="O140" s="322"/>
      <c r="P140" s="322"/>
      <c r="Q140" s="322"/>
      <c r="R140" s="322"/>
      <c r="S140" s="322"/>
      <c r="T140" s="322"/>
      <c r="U140" s="322"/>
      <c r="V140" s="322"/>
      <c r="W140" s="322"/>
      <c r="X140" s="322"/>
      <c r="Y140" s="322"/>
      <c r="Z140" s="322"/>
    </row>
    <row r="141" ht="12.75" customHeight="1">
      <c r="A141" s="322"/>
      <c r="B141" s="322"/>
      <c r="C141" s="323"/>
      <c r="D141" s="324"/>
      <c r="E141" s="323"/>
      <c r="F141" s="324"/>
      <c r="G141" s="322"/>
      <c r="H141" s="322"/>
      <c r="I141" s="322"/>
      <c r="J141" s="322"/>
      <c r="K141" s="322"/>
      <c r="L141" s="322"/>
      <c r="M141" s="322"/>
      <c r="N141" s="322"/>
      <c r="O141" s="322"/>
      <c r="P141" s="322"/>
      <c r="Q141" s="322"/>
      <c r="R141" s="322"/>
      <c r="S141" s="322"/>
      <c r="T141" s="322"/>
      <c r="U141" s="322"/>
      <c r="V141" s="322"/>
      <c r="W141" s="322"/>
      <c r="X141" s="322"/>
      <c r="Y141" s="322"/>
      <c r="Z141" s="322"/>
    </row>
    <row r="142" ht="12.75" customHeight="1">
      <c r="A142" s="322"/>
      <c r="B142" s="322"/>
      <c r="C142" s="323"/>
      <c r="D142" s="324"/>
      <c r="E142" s="323"/>
      <c r="F142" s="324"/>
      <c r="G142" s="322"/>
      <c r="H142" s="322"/>
      <c r="I142" s="322"/>
      <c r="J142" s="322"/>
      <c r="K142" s="322"/>
      <c r="L142" s="322"/>
      <c r="M142" s="322"/>
      <c r="N142" s="322"/>
      <c r="O142" s="322"/>
      <c r="P142" s="322"/>
      <c r="Q142" s="322"/>
      <c r="R142" s="322"/>
      <c r="S142" s="322"/>
      <c r="T142" s="322"/>
      <c r="U142" s="322"/>
      <c r="V142" s="322"/>
      <c r="W142" s="322"/>
      <c r="X142" s="322"/>
      <c r="Y142" s="322"/>
      <c r="Z142" s="322"/>
    </row>
    <row r="143" ht="12.75" customHeight="1">
      <c r="A143" s="322"/>
      <c r="B143" s="322"/>
      <c r="C143" s="323"/>
      <c r="D143" s="324"/>
      <c r="E143" s="323"/>
      <c r="F143" s="324"/>
      <c r="G143" s="322"/>
      <c r="H143" s="322"/>
      <c r="I143" s="322"/>
      <c r="J143" s="322"/>
      <c r="K143" s="322"/>
      <c r="L143" s="322"/>
      <c r="M143" s="322"/>
      <c r="N143" s="322"/>
      <c r="O143" s="322"/>
      <c r="P143" s="322"/>
      <c r="Q143" s="322"/>
      <c r="R143" s="322"/>
      <c r="S143" s="322"/>
      <c r="T143" s="322"/>
      <c r="U143" s="322"/>
      <c r="V143" s="322"/>
      <c r="W143" s="322"/>
      <c r="X143" s="322"/>
      <c r="Y143" s="322"/>
      <c r="Z143" s="322"/>
    </row>
    <row r="144" ht="12.75" customHeight="1">
      <c r="A144" s="322"/>
      <c r="B144" s="322"/>
      <c r="C144" s="323"/>
      <c r="D144" s="324"/>
      <c r="E144" s="323"/>
      <c r="F144" s="324"/>
      <c r="G144" s="322"/>
      <c r="H144" s="322"/>
      <c r="I144" s="322"/>
      <c r="J144" s="322"/>
      <c r="K144" s="322"/>
      <c r="L144" s="322"/>
      <c r="M144" s="322"/>
      <c r="N144" s="322"/>
      <c r="O144" s="322"/>
      <c r="P144" s="322"/>
      <c r="Q144" s="322"/>
      <c r="R144" s="322"/>
      <c r="S144" s="322"/>
      <c r="T144" s="322"/>
      <c r="U144" s="322"/>
      <c r="V144" s="322"/>
      <c r="W144" s="322"/>
      <c r="X144" s="322"/>
      <c r="Y144" s="322"/>
      <c r="Z144" s="322"/>
    </row>
    <row r="145" ht="12.75" customHeight="1">
      <c r="A145" s="322"/>
      <c r="B145" s="322"/>
      <c r="C145" s="323"/>
      <c r="D145" s="324"/>
      <c r="E145" s="323"/>
      <c r="F145" s="324"/>
      <c r="G145" s="322"/>
      <c r="H145" s="322"/>
      <c r="I145" s="322"/>
      <c r="J145" s="322"/>
      <c r="K145" s="322"/>
      <c r="L145" s="322"/>
      <c r="M145" s="322"/>
      <c r="N145" s="322"/>
      <c r="O145" s="322"/>
      <c r="P145" s="322"/>
      <c r="Q145" s="322"/>
      <c r="R145" s="322"/>
      <c r="S145" s="322"/>
      <c r="T145" s="322"/>
      <c r="U145" s="322"/>
      <c r="V145" s="322"/>
      <c r="W145" s="322"/>
      <c r="X145" s="322"/>
      <c r="Y145" s="322"/>
      <c r="Z145" s="322"/>
    </row>
    <row r="146" ht="12.75" customHeight="1">
      <c r="A146" s="322"/>
      <c r="B146" s="322"/>
      <c r="C146" s="323"/>
      <c r="D146" s="324"/>
      <c r="E146" s="323"/>
      <c r="F146" s="324"/>
      <c r="G146" s="322"/>
      <c r="H146" s="322"/>
      <c r="I146" s="322"/>
      <c r="J146" s="322"/>
      <c r="K146" s="322"/>
      <c r="L146" s="322"/>
      <c r="M146" s="322"/>
      <c r="N146" s="322"/>
      <c r="O146" s="322"/>
      <c r="P146" s="322"/>
      <c r="Q146" s="322"/>
      <c r="R146" s="322"/>
      <c r="S146" s="322"/>
      <c r="T146" s="322"/>
      <c r="U146" s="322"/>
      <c r="V146" s="322"/>
      <c r="W146" s="322"/>
      <c r="X146" s="322"/>
      <c r="Y146" s="322"/>
      <c r="Z146" s="322"/>
    </row>
    <row r="147" ht="12.75" customHeight="1">
      <c r="A147" s="322"/>
      <c r="B147" s="322"/>
      <c r="C147" s="323"/>
      <c r="D147" s="324"/>
      <c r="E147" s="323"/>
      <c r="F147" s="324"/>
      <c r="G147" s="322"/>
      <c r="H147" s="322"/>
      <c r="I147" s="322"/>
      <c r="J147" s="322"/>
      <c r="K147" s="322"/>
      <c r="L147" s="322"/>
      <c r="M147" s="322"/>
      <c r="N147" s="322"/>
      <c r="O147" s="322"/>
      <c r="P147" s="322"/>
      <c r="Q147" s="322"/>
      <c r="R147" s="322"/>
      <c r="S147" s="322"/>
      <c r="T147" s="322"/>
      <c r="U147" s="322"/>
      <c r="V147" s="322"/>
      <c r="W147" s="322"/>
      <c r="X147" s="322"/>
      <c r="Y147" s="322"/>
      <c r="Z147" s="322"/>
    </row>
    <row r="148" ht="12.75" customHeight="1">
      <c r="A148" s="322"/>
      <c r="B148" s="322"/>
      <c r="C148" s="323"/>
      <c r="D148" s="324"/>
      <c r="E148" s="323"/>
      <c r="F148" s="324"/>
      <c r="G148" s="322"/>
      <c r="H148" s="322"/>
      <c r="I148" s="322"/>
      <c r="J148" s="322"/>
      <c r="K148" s="322"/>
      <c r="L148" s="322"/>
      <c r="M148" s="322"/>
      <c r="N148" s="322"/>
      <c r="O148" s="322"/>
      <c r="P148" s="322"/>
      <c r="Q148" s="322"/>
      <c r="R148" s="322"/>
      <c r="S148" s="322"/>
      <c r="T148" s="322"/>
      <c r="U148" s="322"/>
      <c r="V148" s="322"/>
      <c r="W148" s="322"/>
      <c r="X148" s="322"/>
      <c r="Y148" s="322"/>
      <c r="Z148" s="322"/>
    </row>
    <row r="149" ht="12.75" customHeight="1">
      <c r="A149" s="322"/>
      <c r="B149" s="322"/>
      <c r="C149" s="323"/>
      <c r="D149" s="324"/>
      <c r="E149" s="323"/>
      <c r="F149" s="324"/>
      <c r="G149" s="322"/>
      <c r="H149" s="322"/>
      <c r="I149" s="322"/>
      <c r="J149" s="322"/>
      <c r="K149" s="322"/>
      <c r="L149" s="322"/>
      <c r="M149" s="322"/>
      <c r="N149" s="322"/>
      <c r="O149" s="322"/>
      <c r="P149" s="322"/>
      <c r="Q149" s="322"/>
      <c r="R149" s="322"/>
      <c r="S149" s="322"/>
      <c r="T149" s="322"/>
      <c r="U149" s="322"/>
      <c r="V149" s="322"/>
      <c r="W149" s="322"/>
      <c r="X149" s="322"/>
      <c r="Y149" s="322"/>
      <c r="Z149" s="322"/>
    </row>
    <row r="150" ht="12.75" customHeight="1">
      <c r="A150" s="322"/>
      <c r="B150" s="322"/>
      <c r="C150" s="323"/>
      <c r="D150" s="324"/>
      <c r="E150" s="323"/>
      <c r="F150" s="324"/>
      <c r="G150" s="322"/>
      <c r="H150" s="322"/>
      <c r="I150" s="322"/>
      <c r="J150" s="322"/>
      <c r="K150" s="322"/>
      <c r="L150" s="322"/>
      <c r="M150" s="322"/>
      <c r="N150" s="322"/>
      <c r="O150" s="322"/>
      <c r="P150" s="322"/>
      <c r="Q150" s="322"/>
      <c r="R150" s="322"/>
      <c r="S150" s="322"/>
      <c r="T150" s="322"/>
      <c r="U150" s="322"/>
      <c r="V150" s="322"/>
      <c r="W150" s="322"/>
      <c r="X150" s="322"/>
      <c r="Y150" s="322"/>
      <c r="Z150" s="322"/>
    </row>
    <row r="151" ht="12.75" customHeight="1">
      <c r="A151" s="322"/>
      <c r="B151" s="322"/>
      <c r="C151" s="323"/>
      <c r="D151" s="324"/>
      <c r="E151" s="323"/>
      <c r="F151" s="324"/>
      <c r="G151" s="322"/>
      <c r="H151" s="322"/>
      <c r="I151" s="322"/>
      <c r="J151" s="322"/>
      <c r="K151" s="322"/>
      <c r="L151" s="322"/>
      <c r="M151" s="322"/>
      <c r="N151" s="322"/>
      <c r="O151" s="322"/>
      <c r="P151" s="322"/>
      <c r="Q151" s="322"/>
      <c r="R151" s="322"/>
      <c r="S151" s="322"/>
      <c r="T151" s="322"/>
      <c r="U151" s="322"/>
      <c r="V151" s="322"/>
      <c r="W151" s="322"/>
      <c r="X151" s="322"/>
      <c r="Y151" s="322"/>
      <c r="Z151" s="322"/>
    </row>
    <row r="152" ht="12.75" customHeight="1">
      <c r="A152" s="322"/>
      <c r="B152" s="322"/>
      <c r="C152" s="323"/>
      <c r="D152" s="324"/>
      <c r="E152" s="323"/>
      <c r="F152" s="324"/>
      <c r="G152" s="322"/>
      <c r="H152" s="322"/>
      <c r="I152" s="322"/>
      <c r="J152" s="322"/>
      <c r="K152" s="322"/>
      <c r="L152" s="322"/>
      <c r="M152" s="322"/>
      <c r="N152" s="322"/>
      <c r="O152" s="322"/>
      <c r="P152" s="322"/>
      <c r="Q152" s="322"/>
      <c r="R152" s="322"/>
      <c r="S152" s="322"/>
      <c r="T152" s="322"/>
      <c r="U152" s="322"/>
      <c r="V152" s="322"/>
      <c r="W152" s="322"/>
      <c r="X152" s="322"/>
      <c r="Y152" s="322"/>
      <c r="Z152" s="322"/>
    </row>
    <row r="153" ht="12.75" customHeight="1">
      <c r="A153" s="322"/>
      <c r="B153" s="322"/>
      <c r="C153" s="323"/>
      <c r="D153" s="324"/>
      <c r="E153" s="323"/>
      <c r="F153" s="324"/>
      <c r="G153" s="322"/>
      <c r="H153" s="322"/>
      <c r="I153" s="322"/>
      <c r="J153" s="322"/>
      <c r="K153" s="322"/>
      <c r="L153" s="322"/>
      <c r="M153" s="322"/>
      <c r="N153" s="322"/>
      <c r="O153" s="322"/>
      <c r="P153" s="322"/>
      <c r="Q153" s="322"/>
      <c r="R153" s="322"/>
      <c r="S153" s="322"/>
      <c r="T153" s="322"/>
      <c r="U153" s="322"/>
      <c r="V153" s="322"/>
      <c r="W153" s="322"/>
      <c r="X153" s="322"/>
      <c r="Y153" s="322"/>
      <c r="Z153" s="322"/>
    </row>
    <row r="154" ht="12.75" customHeight="1">
      <c r="A154" s="322"/>
      <c r="B154" s="322"/>
      <c r="C154" s="323"/>
      <c r="D154" s="324"/>
      <c r="E154" s="323"/>
      <c r="F154" s="324"/>
      <c r="G154" s="322"/>
      <c r="H154" s="322"/>
      <c r="I154" s="322"/>
      <c r="J154" s="322"/>
      <c r="K154" s="322"/>
      <c r="L154" s="322"/>
      <c r="M154" s="322"/>
      <c r="N154" s="322"/>
      <c r="O154" s="322"/>
      <c r="P154" s="322"/>
      <c r="Q154" s="322"/>
      <c r="R154" s="322"/>
      <c r="S154" s="322"/>
      <c r="T154" s="322"/>
      <c r="U154" s="322"/>
      <c r="V154" s="322"/>
      <c r="W154" s="322"/>
      <c r="X154" s="322"/>
      <c r="Y154" s="322"/>
      <c r="Z154" s="322"/>
    </row>
    <row r="155" ht="12.75" customHeight="1">
      <c r="A155" s="322"/>
      <c r="B155" s="322"/>
      <c r="C155" s="323"/>
      <c r="D155" s="324"/>
      <c r="E155" s="323"/>
      <c r="F155" s="324"/>
      <c r="G155" s="322"/>
      <c r="H155" s="322"/>
      <c r="I155" s="322"/>
      <c r="J155" s="322"/>
      <c r="K155" s="322"/>
      <c r="L155" s="322"/>
      <c r="M155" s="322"/>
      <c r="N155" s="322"/>
      <c r="O155" s="322"/>
      <c r="P155" s="322"/>
      <c r="Q155" s="322"/>
      <c r="R155" s="322"/>
      <c r="S155" s="322"/>
      <c r="T155" s="322"/>
      <c r="U155" s="322"/>
      <c r="V155" s="322"/>
      <c r="W155" s="322"/>
      <c r="X155" s="322"/>
      <c r="Y155" s="322"/>
      <c r="Z155" s="322"/>
    </row>
    <row r="156" ht="12.75" customHeight="1">
      <c r="A156" s="322"/>
      <c r="B156" s="322"/>
      <c r="C156" s="323"/>
      <c r="D156" s="324"/>
      <c r="E156" s="323"/>
      <c r="F156" s="324"/>
      <c r="G156" s="322"/>
      <c r="H156" s="322"/>
      <c r="I156" s="322"/>
      <c r="J156" s="322"/>
      <c r="K156" s="322"/>
      <c r="L156" s="322"/>
      <c r="M156" s="322"/>
      <c r="N156" s="322"/>
      <c r="O156" s="322"/>
      <c r="P156" s="322"/>
      <c r="Q156" s="322"/>
      <c r="R156" s="322"/>
      <c r="S156" s="322"/>
      <c r="T156" s="322"/>
      <c r="U156" s="322"/>
      <c r="V156" s="322"/>
      <c r="W156" s="322"/>
      <c r="X156" s="322"/>
      <c r="Y156" s="322"/>
      <c r="Z156" s="322"/>
    </row>
    <row r="157" ht="12.75" customHeight="1">
      <c r="A157" s="322"/>
      <c r="B157" s="322"/>
      <c r="C157" s="323"/>
      <c r="D157" s="324"/>
      <c r="E157" s="323"/>
      <c r="F157" s="324"/>
      <c r="G157" s="322"/>
      <c r="H157" s="322"/>
      <c r="I157" s="322"/>
      <c r="J157" s="322"/>
      <c r="K157" s="322"/>
      <c r="L157" s="322"/>
      <c r="M157" s="322"/>
      <c r="N157" s="322"/>
      <c r="O157" s="322"/>
      <c r="P157" s="322"/>
      <c r="Q157" s="322"/>
      <c r="R157" s="322"/>
      <c r="S157" s="322"/>
      <c r="T157" s="322"/>
      <c r="U157" s="322"/>
      <c r="V157" s="322"/>
      <c r="W157" s="322"/>
      <c r="X157" s="322"/>
      <c r="Y157" s="322"/>
      <c r="Z157" s="322"/>
    </row>
    <row r="158" ht="12.75" customHeight="1">
      <c r="A158" s="322"/>
      <c r="B158" s="322"/>
      <c r="C158" s="323"/>
      <c r="D158" s="324"/>
      <c r="E158" s="323"/>
      <c r="F158" s="324"/>
      <c r="G158" s="322"/>
      <c r="H158" s="322"/>
      <c r="I158" s="322"/>
      <c r="J158" s="322"/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</row>
    <row r="159" ht="12.75" customHeight="1">
      <c r="A159" s="322"/>
      <c r="B159" s="322"/>
      <c r="C159" s="323"/>
      <c r="D159" s="324"/>
      <c r="E159" s="323"/>
      <c r="F159" s="324"/>
      <c r="G159" s="322"/>
      <c r="H159" s="322"/>
      <c r="I159" s="322"/>
      <c r="J159" s="322"/>
      <c r="K159" s="322"/>
      <c r="L159" s="322"/>
      <c r="M159" s="322"/>
      <c r="N159" s="322"/>
      <c r="O159" s="322"/>
      <c r="P159" s="322"/>
      <c r="Q159" s="322"/>
      <c r="R159" s="322"/>
      <c r="S159" s="322"/>
      <c r="T159" s="322"/>
      <c r="U159" s="322"/>
      <c r="V159" s="322"/>
      <c r="W159" s="322"/>
      <c r="X159" s="322"/>
      <c r="Y159" s="322"/>
      <c r="Z159" s="322"/>
    </row>
    <row r="160" ht="12.75" customHeight="1">
      <c r="A160" s="322"/>
      <c r="B160" s="322"/>
      <c r="C160" s="323"/>
      <c r="D160" s="324"/>
      <c r="E160" s="323"/>
      <c r="F160" s="324"/>
      <c r="G160" s="322"/>
      <c r="H160" s="322"/>
      <c r="I160" s="322"/>
      <c r="J160" s="322"/>
      <c r="K160" s="322"/>
      <c r="L160" s="322"/>
      <c r="M160" s="322"/>
      <c r="N160" s="322"/>
      <c r="O160" s="322"/>
      <c r="P160" s="322"/>
      <c r="Q160" s="322"/>
      <c r="R160" s="322"/>
      <c r="S160" s="322"/>
      <c r="T160" s="322"/>
      <c r="U160" s="322"/>
      <c r="V160" s="322"/>
      <c r="W160" s="322"/>
      <c r="X160" s="322"/>
      <c r="Y160" s="322"/>
      <c r="Z160" s="322"/>
    </row>
    <row r="161" ht="12.75" customHeight="1">
      <c r="A161" s="322"/>
      <c r="B161" s="322"/>
      <c r="C161" s="323"/>
      <c r="D161" s="324"/>
      <c r="E161" s="323"/>
      <c r="F161" s="324"/>
      <c r="G161" s="322"/>
      <c r="H161" s="322"/>
      <c r="I161" s="322"/>
      <c r="J161" s="322"/>
      <c r="K161" s="322"/>
      <c r="L161" s="322"/>
      <c r="M161" s="322"/>
      <c r="N161" s="322"/>
      <c r="O161" s="322"/>
      <c r="P161" s="322"/>
      <c r="Q161" s="322"/>
      <c r="R161" s="322"/>
      <c r="S161" s="322"/>
      <c r="T161" s="322"/>
      <c r="U161" s="322"/>
      <c r="V161" s="322"/>
      <c r="W161" s="322"/>
      <c r="X161" s="322"/>
      <c r="Y161" s="322"/>
      <c r="Z161" s="322"/>
    </row>
    <row r="162" ht="12.75" customHeight="1">
      <c r="A162" s="322"/>
      <c r="B162" s="322"/>
      <c r="C162" s="323"/>
      <c r="D162" s="324"/>
      <c r="E162" s="323"/>
      <c r="F162" s="324"/>
      <c r="G162" s="322"/>
      <c r="H162" s="322"/>
      <c r="I162" s="322"/>
      <c r="J162" s="322"/>
      <c r="K162" s="322"/>
      <c r="L162" s="322"/>
      <c r="M162" s="322"/>
      <c r="N162" s="322"/>
      <c r="O162" s="322"/>
      <c r="P162" s="322"/>
      <c r="Q162" s="322"/>
      <c r="R162" s="322"/>
      <c r="S162" s="322"/>
      <c r="T162" s="322"/>
      <c r="U162" s="322"/>
      <c r="V162" s="322"/>
      <c r="W162" s="322"/>
      <c r="X162" s="322"/>
      <c r="Y162" s="322"/>
      <c r="Z162" s="322"/>
    </row>
    <row r="163" ht="12.75" customHeight="1">
      <c r="A163" s="322"/>
      <c r="B163" s="322"/>
      <c r="C163" s="323"/>
      <c r="D163" s="324"/>
      <c r="E163" s="323"/>
      <c r="F163" s="324"/>
      <c r="G163" s="322"/>
      <c r="H163" s="322"/>
      <c r="I163" s="322"/>
      <c r="J163" s="322"/>
      <c r="K163" s="322"/>
      <c r="L163" s="322"/>
      <c r="M163" s="322"/>
      <c r="N163" s="322"/>
      <c r="O163" s="322"/>
      <c r="P163" s="322"/>
      <c r="Q163" s="322"/>
      <c r="R163" s="322"/>
      <c r="S163" s="322"/>
      <c r="T163" s="322"/>
      <c r="U163" s="322"/>
      <c r="V163" s="322"/>
      <c r="W163" s="322"/>
      <c r="X163" s="322"/>
      <c r="Y163" s="322"/>
      <c r="Z163" s="322"/>
    </row>
    <row r="164" ht="12.75" customHeight="1">
      <c r="A164" s="322"/>
      <c r="B164" s="322"/>
      <c r="C164" s="323"/>
      <c r="D164" s="324"/>
      <c r="E164" s="323"/>
      <c r="F164" s="324"/>
      <c r="G164" s="322"/>
      <c r="H164" s="322"/>
      <c r="I164" s="322"/>
      <c r="J164" s="322"/>
      <c r="K164" s="322"/>
      <c r="L164" s="322"/>
      <c r="M164" s="322"/>
      <c r="N164" s="322"/>
      <c r="O164" s="322"/>
      <c r="P164" s="322"/>
      <c r="Q164" s="322"/>
      <c r="R164" s="322"/>
      <c r="S164" s="322"/>
      <c r="T164" s="322"/>
      <c r="U164" s="322"/>
      <c r="V164" s="322"/>
      <c r="W164" s="322"/>
      <c r="X164" s="322"/>
      <c r="Y164" s="322"/>
      <c r="Z164" s="322"/>
    </row>
    <row r="165" ht="12.75" customHeight="1">
      <c r="A165" s="322"/>
      <c r="B165" s="322"/>
      <c r="C165" s="323"/>
      <c r="D165" s="324"/>
      <c r="E165" s="323"/>
      <c r="F165" s="324"/>
      <c r="G165" s="322"/>
      <c r="H165" s="322"/>
      <c r="I165" s="322"/>
      <c r="J165" s="322"/>
      <c r="K165" s="32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</row>
    <row r="166" ht="12.75" customHeight="1">
      <c r="A166" s="322"/>
      <c r="B166" s="322"/>
      <c r="C166" s="323"/>
      <c r="D166" s="324"/>
      <c r="E166" s="323"/>
      <c r="F166" s="324"/>
      <c r="G166" s="322"/>
      <c r="H166" s="322"/>
      <c r="I166" s="322"/>
      <c r="J166" s="322"/>
      <c r="K166" s="322"/>
      <c r="L166" s="322"/>
      <c r="M166" s="322"/>
      <c r="N166" s="322"/>
      <c r="O166" s="322"/>
      <c r="P166" s="322"/>
      <c r="Q166" s="322"/>
      <c r="R166" s="322"/>
      <c r="S166" s="322"/>
      <c r="T166" s="322"/>
      <c r="U166" s="322"/>
      <c r="V166" s="322"/>
      <c r="W166" s="322"/>
      <c r="X166" s="322"/>
      <c r="Y166" s="322"/>
      <c r="Z166" s="322"/>
    </row>
    <row r="167" ht="12.75" customHeight="1">
      <c r="A167" s="322"/>
      <c r="B167" s="322"/>
      <c r="C167" s="323"/>
      <c r="D167" s="324"/>
      <c r="E167" s="323"/>
      <c r="F167" s="324"/>
      <c r="G167" s="322"/>
      <c r="H167" s="322"/>
      <c r="I167" s="322"/>
      <c r="J167" s="322"/>
      <c r="K167" s="322"/>
      <c r="L167" s="322"/>
      <c r="M167" s="322"/>
      <c r="N167" s="322"/>
      <c r="O167" s="322"/>
      <c r="P167" s="322"/>
      <c r="Q167" s="322"/>
      <c r="R167" s="322"/>
      <c r="S167" s="322"/>
      <c r="T167" s="322"/>
      <c r="U167" s="322"/>
      <c r="V167" s="322"/>
      <c r="W167" s="322"/>
      <c r="X167" s="322"/>
      <c r="Y167" s="322"/>
      <c r="Z167" s="322"/>
    </row>
    <row r="168" ht="12.75" customHeight="1">
      <c r="A168" s="322"/>
      <c r="B168" s="322"/>
      <c r="C168" s="323"/>
      <c r="D168" s="324"/>
      <c r="E168" s="323"/>
      <c r="F168" s="324"/>
      <c r="G168" s="322"/>
      <c r="H168" s="322"/>
      <c r="I168" s="322"/>
      <c r="J168" s="322"/>
      <c r="K168" s="322"/>
      <c r="L168" s="322"/>
      <c r="M168" s="322"/>
      <c r="N168" s="322"/>
      <c r="O168" s="322"/>
      <c r="P168" s="322"/>
      <c r="Q168" s="322"/>
      <c r="R168" s="322"/>
      <c r="S168" s="322"/>
      <c r="T168" s="322"/>
      <c r="U168" s="322"/>
      <c r="V168" s="322"/>
      <c r="W168" s="322"/>
      <c r="X168" s="322"/>
      <c r="Y168" s="322"/>
      <c r="Z168" s="322"/>
    </row>
    <row r="169" ht="12.75" customHeight="1">
      <c r="A169" s="322"/>
      <c r="B169" s="322"/>
      <c r="C169" s="323"/>
      <c r="D169" s="324"/>
      <c r="E169" s="323"/>
      <c r="F169" s="324"/>
      <c r="G169" s="322"/>
      <c r="H169" s="322"/>
      <c r="I169" s="322"/>
      <c r="J169" s="322"/>
      <c r="K169" s="322"/>
      <c r="L169" s="322"/>
      <c r="M169" s="322"/>
      <c r="N169" s="322"/>
      <c r="O169" s="322"/>
      <c r="P169" s="322"/>
      <c r="Q169" s="322"/>
      <c r="R169" s="322"/>
      <c r="S169" s="322"/>
      <c r="T169" s="322"/>
      <c r="U169" s="322"/>
      <c r="V169" s="322"/>
      <c r="W169" s="322"/>
      <c r="X169" s="322"/>
      <c r="Y169" s="322"/>
      <c r="Z169" s="322"/>
    </row>
    <row r="170" ht="12.75" customHeight="1">
      <c r="A170" s="322"/>
      <c r="B170" s="322"/>
      <c r="C170" s="323"/>
      <c r="D170" s="324"/>
      <c r="E170" s="323"/>
      <c r="F170" s="324"/>
      <c r="G170" s="322"/>
      <c r="H170" s="322"/>
      <c r="I170" s="322"/>
      <c r="J170" s="322"/>
      <c r="K170" s="322"/>
      <c r="L170" s="322"/>
      <c r="M170" s="322"/>
      <c r="N170" s="322"/>
      <c r="O170" s="322"/>
      <c r="P170" s="322"/>
      <c r="Q170" s="322"/>
      <c r="R170" s="322"/>
      <c r="S170" s="322"/>
      <c r="T170" s="322"/>
      <c r="U170" s="322"/>
      <c r="V170" s="322"/>
      <c r="W170" s="322"/>
      <c r="X170" s="322"/>
      <c r="Y170" s="322"/>
      <c r="Z170" s="322"/>
    </row>
    <row r="171" ht="12.75" customHeight="1">
      <c r="A171" s="322"/>
      <c r="B171" s="322"/>
      <c r="C171" s="323"/>
      <c r="D171" s="324"/>
      <c r="E171" s="323"/>
      <c r="F171" s="324"/>
      <c r="G171" s="322"/>
      <c r="H171" s="322"/>
      <c r="I171" s="322"/>
      <c r="J171" s="322"/>
      <c r="K171" s="322"/>
      <c r="L171" s="322"/>
      <c r="M171" s="322"/>
      <c r="N171" s="322"/>
      <c r="O171" s="322"/>
      <c r="P171" s="322"/>
      <c r="Q171" s="322"/>
      <c r="R171" s="322"/>
      <c r="S171" s="322"/>
      <c r="T171" s="322"/>
      <c r="U171" s="322"/>
      <c r="V171" s="322"/>
      <c r="W171" s="322"/>
      <c r="X171" s="322"/>
      <c r="Y171" s="322"/>
      <c r="Z171" s="322"/>
    </row>
    <row r="172" ht="12.75" customHeight="1">
      <c r="A172" s="322"/>
      <c r="B172" s="322"/>
      <c r="C172" s="323"/>
      <c r="D172" s="324"/>
      <c r="E172" s="323"/>
      <c r="F172" s="324"/>
      <c r="G172" s="322"/>
      <c r="H172" s="322"/>
      <c r="I172" s="322"/>
      <c r="J172" s="322"/>
      <c r="K172" s="322"/>
      <c r="L172" s="322"/>
      <c r="M172" s="322"/>
      <c r="N172" s="322"/>
      <c r="O172" s="322"/>
      <c r="P172" s="322"/>
      <c r="Q172" s="322"/>
      <c r="R172" s="322"/>
      <c r="S172" s="322"/>
      <c r="T172" s="322"/>
      <c r="U172" s="322"/>
      <c r="V172" s="322"/>
      <c r="W172" s="322"/>
      <c r="X172" s="322"/>
      <c r="Y172" s="322"/>
      <c r="Z172" s="322"/>
    </row>
    <row r="173" ht="12.75" customHeight="1">
      <c r="A173" s="322"/>
      <c r="B173" s="322"/>
      <c r="C173" s="323"/>
      <c r="D173" s="324"/>
      <c r="E173" s="323"/>
      <c r="F173" s="324"/>
      <c r="G173" s="322"/>
      <c r="H173" s="322"/>
      <c r="I173" s="322"/>
      <c r="J173" s="322"/>
      <c r="K173" s="322"/>
      <c r="L173" s="322"/>
      <c r="M173" s="322"/>
      <c r="N173" s="322"/>
      <c r="O173" s="322"/>
      <c r="P173" s="322"/>
      <c r="Q173" s="322"/>
      <c r="R173" s="322"/>
      <c r="S173" s="322"/>
      <c r="T173" s="322"/>
      <c r="U173" s="322"/>
      <c r="V173" s="322"/>
      <c r="W173" s="322"/>
      <c r="X173" s="322"/>
      <c r="Y173" s="322"/>
      <c r="Z173" s="322"/>
    </row>
    <row r="174" ht="12.75" customHeight="1">
      <c r="A174" s="322"/>
      <c r="B174" s="322"/>
      <c r="C174" s="323"/>
      <c r="D174" s="324"/>
      <c r="E174" s="323"/>
      <c r="F174" s="324"/>
      <c r="G174" s="322"/>
      <c r="H174" s="322"/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  <c r="Z174" s="322"/>
    </row>
    <row r="175" ht="12.75" customHeight="1">
      <c r="A175" s="322"/>
      <c r="B175" s="322"/>
      <c r="C175" s="323"/>
      <c r="D175" s="324"/>
      <c r="E175" s="323"/>
      <c r="F175" s="324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  <c r="Z175" s="322"/>
    </row>
    <row r="176" ht="12.75" customHeight="1">
      <c r="A176" s="322"/>
      <c r="B176" s="322"/>
      <c r="C176" s="323"/>
      <c r="D176" s="324"/>
      <c r="E176" s="323"/>
      <c r="F176" s="324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  <c r="Z176" s="322"/>
    </row>
    <row r="177" ht="12.75" customHeight="1">
      <c r="A177" s="322"/>
      <c r="B177" s="322"/>
      <c r="C177" s="323"/>
      <c r="D177" s="324"/>
      <c r="E177" s="323"/>
      <c r="F177" s="324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</row>
    <row r="178" ht="12.75" customHeight="1">
      <c r="A178" s="322"/>
      <c r="B178" s="322"/>
      <c r="C178" s="323"/>
      <c r="D178" s="324"/>
      <c r="E178" s="323"/>
      <c r="F178" s="324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  <c r="Z178" s="322"/>
    </row>
    <row r="179" ht="12.75" customHeight="1">
      <c r="A179" s="322"/>
      <c r="B179" s="322"/>
      <c r="C179" s="323"/>
      <c r="D179" s="324"/>
      <c r="E179" s="323"/>
      <c r="F179" s="324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  <c r="Z179" s="322"/>
    </row>
    <row r="180" ht="12.75" customHeight="1">
      <c r="A180" s="322"/>
      <c r="B180" s="322"/>
      <c r="C180" s="323"/>
      <c r="D180" s="324"/>
      <c r="E180" s="323"/>
      <c r="F180" s="324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  <c r="Z180" s="322"/>
    </row>
    <row r="181" ht="12.75" customHeight="1">
      <c r="A181" s="322"/>
      <c r="B181" s="322"/>
      <c r="C181" s="323"/>
      <c r="D181" s="324"/>
      <c r="E181" s="323"/>
      <c r="F181" s="324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  <c r="Z181" s="322"/>
    </row>
    <row r="182" ht="12.75" customHeight="1">
      <c r="A182" s="322"/>
      <c r="B182" s="322"/>
      <c r="C182" s="323"/>
      <c r="D182" s="324"/>
      <c r="E182" s="323"/>
      <c r="F182" s="324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  <c r="Z182" s="322"/>
    </row>
    <row r="183" ht="12.75" customHeight="1">
      <c r="A183" s="322"/>
      <c r="B183" s="322"/>
      <c r="C183" s="323"/>
      <c r="D183" s="324"/>
      <c r="E183" s="323"/>
      <c r="F183" s="324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  <c r="Z183" s="322"/>
    </row>
    <row r="184" ht="12.75" customHeight="1">
      <c r="A184" s="322"/>
      <c r="B184" s="322"/>
      <c r="C184" s="323"/>
      <c r="D184" s="324"/>
      <c r="E184" s="323"/>
      <c r="F184" s="324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  <c r="Z184" s="322"/>
    </row>
    <row r="185" ht="12.75" customHeight="1">
      <c r="A185" s="322"/>
      <c r="B185" s="322"/>
      <c r="C185" s="323"/>
      <c r="D185" s="324"/>
      <c r="E185" s="323"/>
      <c r="F185" s="324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  <c r="Z185" s="322"/>
    </row>
    <row r="186" ht="12.75" customHeight="1">
      <c r="A186" s="322"/>
      <c r="B186" s="322"/>
      <c r="C186" s="323"/>
      <c r="D186" s="324"/>
      <c r="E186" s="323"/>
      <c r="F186" s="324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  <c r="Z186" s="322"/>
    </row>
    <row r="187" ht="12.75" customHeight="1">
      <c r="A187" s="322"/>
      <c r="B187" s="322"/>
      <c r="C187" s="323"/>
      <c r="D187" s="324"/>
      <c r="E187" s="323"/>
      <c r="F187" s="324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  <c r="Z187" s="322"/>
    </row>
    <row r="188" ht="12.75" customHeight="1">
      <c r="A188" s="322"/>
      <c r="B188" s="322"/>
      <c r="C188" s="323"/>
      <c r="D188" s="324"/>
      <c r="E188" s="323"/>
      <c r="F188" s="324"/>
      <c r="G188" s="322"/>
      <c r="H188" s="322"/>
      <c r="I188" s="322"/>
      <c r="J188" s="322"/>
      <c r="K188" s="32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  <c r="Z188" s="322"/>
    </row>
    <row r="189" ht="12.75" customHeight="1">
      <c r="A189" s="322"/>
      <c r="B189" s="322"/>
      <c r="C189" s="323"/>
      <c r="D189" s="324"/>
      <c r="E189" s="323"/>
      <c r="F189" s="324"/>
      <c r="G189" s="322"/>
      <c r="H189" s="322"/>
      <c r="I189" s="322"/>
      <c r="J189" s="322"/>
      <c r="K189" s="322"/>
      <c r="L189" s="322"/>
      <c r="M189" s="322"/>
      <c r="N189" s="322"/>
      <c r="O189" s="322"/>
      <c r="P189" s="322"/>
      <c r="Q189" s="322"/>
      <c r="R189" s="322"/>
      <c r="S189" s="322"/>
      <c r="T189" s="322"/>
      <c r="U189" s="322"/>
      <c r="V189" s="322"/>
      <c r="W189" s="322"/>
      <c r="X189" s="322"/>
      <c r="Y189" s="322"/>
      <c r="Z189" s="322"/>
    </row>
    <row r="190" ht="12.75" customHeight="1">
      <c r="A190" s="322"/>
      <c r="B190" s="322"/>
      <c r="C190" s="323"/>
      <c r="D190" s="324"/>
      <c r="E190" s="323"/>
      <c r="F190" s="324"/>
      <c r="G190" s="322"/>
      <c r="H190" s="322"/>
      <c r="I190" s="322"/>
      <c r="J190" s="322"/>
      <c r="K190" s="322"/>
      <c r="L190" s="322"/>
      <c r="M190" s="322"/>
      <c r="N190" s="322"/>
      <c r="O190" s="322"/>
      <c r="P190" s="322"/>
      <c r="Q190" s="322"/>
      <c r="R190" s="322"/>
      <c r="S190" s="322"/>
      <c r="T190" s="322"/>
      <c r="U190" s="322"/>
      <c r="V190" s="322"/>
      <c r="W190" s="322"/>
      <c r="X190" s="322"/>
      <c r="Y190" s="322"/>
      <c r="Z190" s="322"/>
    </row>
    <row r="191" ht="12.75" customHeight="1">
      <c r="A191" s="322"/>
      <c r="B191" s="322"/>
      <c r="C191" s="323"/>
      <c r="D191" s="324"/>
      <c r="E191" s="323"/>
      <c r="F191" s="324"/>
      <c r="G191" s="322"/>
      <c r="H191" s="322"/>
      <c r="I191" s="322"/>
      <c r="J191" s="322"/>
      <c r="K191" s="322"/>
      <c r="L191" s="322"/>
      <c r="M191" s="322"/>
      <c r="N191" s="322"/>
      <c r="O191" s="322"/>
      <c r="P191" s="322"/>
      <c r="Q191" s="322"/>
      <c r="R191" s="322"/>
      <c r="S191" s="322"/>
      <c r="T191" s="322"/>
      <c r="U191" s="322"/>
      <c r="V191" s="322"/>
      <c r="W191" s="322"/>
      <c r="X191" s="322"/>
      <c r="Y191" s="322"/>
      <c r="Z191" s="322"/>
    </row>
    <row r="192" ht="12.75" customHeight="1">
      <c r="A192" s="322"/>
      <c r="B192" s="322"/>
      <c r="C192" s="323"/>
      <c r="D192" s="324"/>
      <c r="E192" s="323"/>
      <c r="F192" s="324"/>
      <c r="G192" s="322"/>
      <c r="H192" s="322"/>
      <c r="I192" s="322"/>
      <c r="J192" s="322"/>
      <c r="K192" s="322"/>
      <c r="L192" s="322"/>
      <c r="M192" s="322"/>
      <c r="N192" s="322"/>
      <c r="O192" s="322"/>
      <c r="P192" s="322"/>
      <c r="Q192" s="322"/>
      <c r="R192" s="322"/>
      <c r="S192" s="322"/>
      <c r="T192" s="322"/>
      <c r="U192" s="322"/>
      <c r="V192" s="322"/>
      <c r="W192" s="322"/>
      <c r="X192" s="322"/>
      <c r="Y192" s="322"/>
      <c r="Z192" s="322"/>
    </row>
    <row r="193" ht="12.75" customHeight="1">
      <c r="A193" s="322"/>
      <c r="B193" s="322"/>
      <c r="C193" s="323"/>
      <c r="D193" s="324"/>
      <c r="E193" s="323"/>
      <c r="F193" s="324"/>
      <c r="G193" s="322"/>
      <c r="H193" s="322"/>
      <c r="I193" s="322"/>
      <c r="J193" s="322"/>
      <c r="K193" s="322"/>
      <c r="L193" s="322"/>
      <c r="M193" s="322"/>
      <c r="N193" s="322"/>
      <c r="O193" s="322"/>
      <c r="P193" s="322"/>
      <c r="Q193" s="322"/>
      <c r="R193" s="322"/>
      <c r="S193" s="322"/>
      <c r="T193" s="322"/>
      <c r="U193" s="322"/>
      <c r="V193" s="322"/>
      <c r="W193" s="322"/>
      <c r="X193" s="322"/>
      <c r="Y193" s="322"/>
      <c r="Z193" s="322"/>
    </row>
    <row r="194" ht="12.75" customHeight="1">
      <c r="A194" s="322"/>
      <c r="B194" s="322"/>
      <c r="C194" s="323"/>
      <c r="D194" s="324"/>
      <c r="E194" s="323"/>
      <c r="F194" s="324"/>
      <c r="G194" s="322"/>
      <c r="H194" s="322"/>
      <c r="I194" s="322"/>
      <c r="J194" s="322"/>
      <c r="K194" s="322"/>
      <c r="L194" s="322"/>
      <c r="M194" s="322"/>
      <c r="N194" s="322"/>
      <c r="O194" s="322"/>
      <c r="P194" s="322"/>
      <c r="Q194" s="322"/>
      <c r="R194" s="322"/>
      <c r="S194" s="322"/>
      <c r="T194" s="322"/>
      <c r="U194" s="322"/>
      <c r="V194" s="322"/>
      <c r="W194" s="322"/>
      <c r="X194" s="322"/>
      <c r="Y194" s="322"/>
      <c r="Z194" s="322"/>
    </row>
    <row r="195" ht="12.75" customHeight="1">
      <c r="A195" s="322"/>
      <c r="B195" s="322"/>
      <c r="C195" s="323"/>
      <c r="D195" s="324"/>
      <c r="E195" s="323"/>
      <c r="F195" s="324"/>
      <c r="G195" s="322"/>
      <c r="H195" s="322"/>
      <c r="I195" s="322"/>
      <c r="J195" s="322"/>
      <c r="K195" s="322"/>
      <c r="L195" s="322"/>
      <c r="M195" s="322"/>
      <c r="N195" s="322"/>
      <c r="O195" s="322"/>
      <c r="P195" s="322"/>
      <c r="Q195" s="322"/>
      <c r="R195" s="322"/>
      <c r="S195" s="322"/>
      <c r="T195" s="322"/>
      <c r="U195" s="322"/>
      <c r="V195" s="322"/>
      <c r="W195" s="322"/>
      <c r="X195" s="322"/>
      <c r="Y195" s="322"/>
      <c r="Z195" s="322"/>
    </row>
    <row r="196" ht="12.75" customHeight="1">
      <c r="A196" s="322"/>
      <c r="B196" s="322"/>
      <c r="C196" s="323"/>
      <c r="D196" s="324"/>
      <c r="E196" s="323"/>
      <c r="F196" s="324"/>
      <c r="G196" s="322"/>
      <c r="H196" s="322"/>
      <c r="I196" s="322"/>
      <c r="J196" s="322"/>
      <c r="K196" s="322"/>
      <c r="L196" s="322"/>
      <c r="M196" s="322"/>
      <c r="N196" s="322"/>
      <c r="O196" s="322"/>
      <c r="P196" s="322"/>
      <c r="Q196" s="322"/>
      <c r="R196" s="322"/>
      <c r="S196" s="322"/>
      <c r="T196" s="322"/>
      <c r="U196" s="322"/>
      <c r="V196" s="322"/>
      <c r="W196" s="322"/>
      <c r="X196" s="322"/>
      <c r="Y196" s="322"/>
      <c r="Z196" s="322"/>
    </row>
    <row r="197" ht="12.75" customHeight="1">
      <c r="A197" s="322"/>
      <c r="B197" s="322"/>
      <c r="C197" s="323"/>
      <c r="D197" s="324"/>
      <c r="E197" s="323"/>
      <c r="F197" s="324"/>
      <c r="G197" s="322"/>
      <c r="H197" s="322"/>
      <c r="I197" s="322"/>
      <c r="J197" s="322"/>
      <c r="K197" s="322"/>
      <c r="L197" s="322"/>
      <c r="M197" s="322"/>
      <c r="N197" s="322"/>
      <c r="O197" s="322"/>
      <c r="P197" s="322"/>
      <c r="Q197" s="322"/>
      <c r="R197" s="322"/>
      <c r="S197" s="322"/>
      <c r="T197" s="322"/>
      <c r="U197" s="322"/>
      <c r="V197" s="322"/>
      <c r="W197" s="322"/>
      <c r="X197" s="322"/>
      <c r="Y197" s="322"/>
      <c r="Z197" s="322"/>
    </row>
    <row r="198" ht="12.75" customHeight="1">
      <c r="A198" s="322"/>
      <c r="B198" s="322"/>
      <c r="C198" s="323"/>
      <c r="D198" s="324"/>
      <c r="E198" s="323"/>
      <c r="F198" s="324"/>
      <c r="G198" s="322"/>
      <c r="H198" s="322"/>
      <c r="I198" s="322"/>
      <c r="J198" s="322"/>
      <c r="K198" s="322"/>
      <c r="L198" s="322"/>
      <c r="M198" s="322"/>
      <c r="N198" s="322"/>
      <c r="O198" s="322"/>
      <c r="P198" s="322"/>
      <c r="Q198" s="322"/>
      <c r="R198" s="322"/>
      <c r="S198" s="322"/>
      <c r="T198" s="322"/>
      <c r="U198" s="322"/>
      <c r="V198" s="322"/>
      <c r="W198" s="322"/>
      <c r="X198" s="322"/>
      <c r="Y198" s="322"/>
      <c r="Z198" s="322"/>
    </row>
    <row r="199" ht="12.75" customHeight="1">
      <c r="A199" s="322"/>
      <c r="B199" s="322"/>
      <c r="C199" s="323"/>
      <c r="D199" s="324"/>
      <c r="E199" s="323"/>
      <c r="F199" s="324"/>
      <c r="G199" s="322"/>
      <c r="H199" s="322"/>
      <c r="I199" s="322"/>
      <c r="J199" s="322"/>
      <c r="K199" s="322"/>
      <c r="L199" s="322"/>
      <c r="M199" s="322"/>
      <c r="N199" s="322"/>
      <c r="O199" s="322"/>
      <c r="P199" s="322"/>
      <c r="Q199" s="322"/>
      <c r="R199" s="322"/>
      <c r="S199" s="322"/>
      <c r="T199" s="322"/>
      <c r="U199" s="322"/>
      <c r="V199" s="322"/>
      <c r="W199" s="322"/>
      <c r="X199" s="322"/>
      <c r="Y199" s="322"/>
      <c r="Z199" s="322"/>
    </row>
    <row r="200" ht="12.75" customHeight="1">
      <c r="A200" s="322"/>
      <c r="B200" s="322"/>
      <c r="C200" s="323"/>
      <c r="D200" s="324"/>
      <c r="E200" s="323"/>
      <c r="F200" s="324"/>
      <c r="G200" s="322"/>
      <c r="H200" s="322"/>
      <c r="I200" s="322"/>
      <c r="J200" s="322"/>
      <c r="K200" s="322"/>
      <c r="L200" s="322"/>
      <c r="M200" s="322"/>
      <c r="N200" s="322"/>
      <c r="O200" s="322"/>
      <c r="P200" s="322"/>
      <c r="Q200" s="322"/>
      <c r="R200" s="322"/>
      <c r="S200" s="322"/>
      <c r="T200" s="322"/>
      <c r="U200" s="322"/>
      <c r="V200" s="322"/>
      <c r="W200" s="322"/>
      <c r="X200" s="322"/>
      <c r="Y200" s="322"/>
      <c r="Z200" s="322"/>
    </row>
    <row r="201" ht="12.75" customHeight="1">
      <c r="A201" s="322"/>
      <c r="B201" s="322"/>
      <c r="C201" s="323"/>
      <c r="D201" s="324"/>
      <c r="E201" s="323"/>
      <c r="F201" s="324"/>
      <c r="G201" s="322"/>
      <c r="H201" s="322"/>
      <c r="I201" s="322"/>
      <c r="J201" s="322"/>
      <c r="K201" s="322"/>
      <c r="L201" s="322"/>
      <c r="M201" s="322"/>
      <c r="N201" s="322"/>
      <c r="O201" s="322"/>
      <c r="P201" s="322"/>
      <c r="Q201" s="322"/>
      <c r="R201" s="322"/>
      <c r="S201" s="322"/>
      <c r="T201" s="322"/>
      <c r="U201" s="322"/>
      <c r="V201" s="322"/>
      <c r="W201" s="322"/>
      <c r="X201" s="322"/>
      <c r="Y201" s="322"/>
      <c r="Z201" s="322"/>
    </row>
    <row r="202" ht="12.75" customHeight="1">
      <c r="A202" s="322"/>
      <c r="B202" s="322"/>
      <c r="C202" s="323"/>
      <c r="D202" s="324"/>
      <c r="E202" s="323"/>
      <c r="F202" s="324"/>
      <c r="G202" s="322"/>
      <c r="H202" s="322"/>
      <c r="I202" s="322"/>
      <c r="J202" s="322"/>
      <c r="K202" s="322"/>
      <c r="L202" s="322"/>
      <c r="M202" s="322"/>
      <c r="N202" s="322"/>
      <c r="O202" s="322"/>
      <c r="P202" s="322"/>
      <c r="Q202" s="322"/>
      <c r="R202" s="322"/>
      <c r="S202" s="322"/>
      <c r="T202" s="322"/>
      <c r="U202" s="322"/>
      <c r="V202" s="322"/>
      <c r="W202" s="322"/>
      <c r="X202" s="322"/>
      <c r="Y202" s="322"/>
      <c r="Z202" s="322"/>
    </row>
    <row r="203" ht="12.75" customHeight="1">
      <c r="A203" s="322"/>
      <c r="B203" s="322"/>
      <c r="C203" s="323"/>
      <c r="D203" s="324"/>
      <c r="E203" s="323"/>
      <c r="F203" s="324"/>
      <c r="G203" s="322"/>
      <c r="H203" s="322"/>
      <c r="I203" s="322"/>
      <c r="J203" s="322"/>
      <c r="K203" s="322"/>
      <c r="L203" s="322"/>
      <c r="M203" s="322"/>
      <c r="N203" s="322"/>
      <c r="O203" s="322"/>
      <c r="P203" s="322"/>
      <c r="Q203" s="322"/>
      <c r="R203" s="322"/>
      <c r="S203" s="322"/>
      <c r="T203" s="322"/>
      <c r="U203" s="322"/>
      <c r="V203" s="322"/>
      <c r="W203" s="322"/>
      <c r="X203" s="322"/>
      <c r="Y203" s="322"/>
      <c r="Z203" s="322"/>
    </row>
    <row r="204" ht="12.75" customHeight="1">
      <c r="A204" s="322"/>
      <c r="B204" s="322"/>
      <c r="C204" s="323"/>
      <c r="D204" s="324"/>
      <c r="E204" s="323"/>
      <c r="F204" s="324"/>
      <c r="G204" s="322"/>
      <c r="H204" s="322"/>
      <c r="I204" s="322"/>
      <c r="J204" s="322"/>
      <c r="K204" s="322"/>
      <c r="L204" s="322"/>
      <c r="M204" s="322"/>
      <c r="N204" s="322"/>
      <c r="O204" s="322"/>
      <c r="P204" s="322"/>
      <c r="Q204" s="322"/>
      <c r="R204" s="322"/>
      <c r="S204" s="322"/>
      <c r="T204" s="322"/>
      <c r="U204" s="322"/>
      <c r="V204" s="322"/>
      <c r="W204" s="322"/>
      <c r="X204" s="322"/>
      <c r="Y204" s="322"/>
      <c r="Z204" s="322"/>
    </row>
    <row r="205" ht="12.75" customHeight="1">
      <c r="A205" s="322"/>
      <c r="B205" s="322"/>
      <c r="C205" s="323"/>
      <c r="D205" s="324"/>
      <c r="E205" s="323"/>
      <c r="F205" s="324"/>
      <c r="G205" s="322"/>
      <c r="H205" s="322"/>
      <c r="I205" s="322"/>
      <c r="J205" s="322"/>
      <c r="K205" s="322"/>
      <c r="L205" s="322"/>
      <c r="M205" s="322"/>
      <c r="N205" s="322"/>
      <c r="O205" s="322"/>
      <c r="P205" s="322"/>
      <c r="Q205" s="322"/>
      <c r="R205" s="322"/>
      <c r="S205" s="322"/>
      <c r="T205" s="322"/>
      <c r="U205" s="322"/>
      <c r="V205" s="322"/>
      <c r="W205" s="322"/>
      <c r="X205" s="322"/>
      <c r="Y205" s="322"/>
      <c r="Z205" s="322"/>
    </row>
    <row r="206" ht="12.75" customHeight="1">
      <c r="A206" s="322"/>
      <c r="B206" s="322"/>
      <c r="C206" s="323"/>
      <c r="D206" s="324"/>
      <c r="E206" s="323"/>
      <c r="F206" s="324"/>
      <c r="G206" s="322"/>
      <c r="H206" s="322"/>
      <c r="I206" s="322"/>
      <c r="J206" s="322"/>
      <c r="K206" s="322"/>
      <c r="L206" s="322"/>
      <c r="M206" s="322"/>
      <c r="N206" s="322"/>
      <c r="O206" s="322"/>
      <c r="P206" s="322"/>
      <c r="Q206" s="322"/>
      <c r="R206" s="322"/>
      <c r="S206" s="322"/>
      <c r="T206" s="322"/>
      <c r="U206" s="322"/>
      <c r="V206" s="322"/>
      <c r="W206" s="322"/>
      <c r="X206" s="322"/>
      <c r="Y206" s="322"/>
      <c r="Z206" s="322"/>
    </row>
    <row r="207" ht="12.75" customHeight="1">
      <c r="A207" s="322"/>
      <c r="B207" s="322"/>
      <c r="C207" s="323"/>
      <c r="D207" s="324"/>
      <c r="E207" s="323"/>
      <c r="F207" s="324"/>
      <c r="G207" s="322"/>
      <c r="H207" s="322"/>
      <c r="I207" s="322"/>
      <c r="J207" s="322"/>
      <c r="K207" s="322"/>
      <c r="L207" s="322"/>
      <c r="M207" s="322"/>
      <c r="N207" s="322"/>
      <c r="O207" s="322"/>
      <c r="P207" s="322"/>
      <c r="Q207" s="322"/>
      <c r="R207" s="322"/>
      <c r="S207" s="322"/>
      <c r="T207" s="322"/>
      <c r="U207" s="322"/>
      <c r="V207" s="322"/>
      <c r="W207" s="322"/>
      <c r="X207" s="322"/>
      <c r="Y207" s="322"/>
      <c r="Z207" s="322"/>
    </row>
    <row r="208" ht="12.75" customHeight="1">
      <c r="A208" s="322"/>
      <c r="B208" s="322"/>
      <c r="C208" s="323"/>
      <c r="D208" s="324"/>
      <c r="E208" s="323"/>
      <c r="F208" s="324"/>
      <c r="G208" s="322"/>
      <c r="H208" s="322"/>
      <c r="I208" s="322"/>
      <c r="J208" s="322"/>
      <c r="K208" s="322"/>
      <c r="L208" s="322"/>
      <c r="M208" s="322"/>
      <c r="N208" s="322"/>
      <c r="O208" s="322"/>
      <c r="P208" s="322"/>
      <c r="Q208" s="322"/>
      <c r="R208" s="322"/>
      <c r="S208" s="322"/>
      <c r="T208" s="322"/>
      <c r="U208" s="322"/>
      <c r="V208" s="322"/>
      <c r="W208" s="322"/>
      <c r="X208" s="322"/>
      <c r="Y208" s="322"/>
      <c r="Z208" s="322"/>
    </row>
    <row r="209" ht="12.75" customHeight="1">
      <c r="A209" s="322"/>
      <c r="B209" s="322"/>
      <c r="C209" s="323"/>
      <c r="D209" s="324"/>
      <c r="E209" s="323"/>
      <c r="F209" s="324"/>
      <c r="G209" s="322"/>
      <c r="H209" s="322"/>
      <c r="I209" s="322"/>
      <c r="J209" s="322"/>
      <c r="K209" s="322"/>
      <c r="L209" s="322"/>
      <c r="M209" s="322"/>
      <c r="N209" s="322"/>
      <c r="O209" s="322"/>
      <c r="P209" s="322"/>
      <c r="Q209" s="322"/>
      <c r="R209" s="322"/>
      <c r="S209" s="322"/>
      <c r="T209" s="322"/>
      <c r="U209" s="322"/>
      <c r="V209" s="322"/>
      <c r="W209" s="322"/>
      <c r="X209" s="322"/>
      <c r="Y209" s="322"/>
      <c r="Z209" s="322"/>
    </row>
    <row r="210" ht="12.75" customHeight="1">
      <c r="A210" s="322"/>
      <c r="B210" s="322"/>
      <c r="C210" s="323"/>
      <c r="D210" s="324"/>
      <c r="E210" s="323"/>
      <c r="F210" s="324"/>
      <c r="G210" s="322"/>
      <c r="H210" s="322"/>
      <c r="I210" s="322"/>
      <c r="J210" s="322"/>
      <c r="K210" s="322"/>
      <c r="L210" s="322"/>
      <c r="M210" s="322"/>
      <c r="N210" s="322"/>
      <c r="O210" s="322"/>
      <c r="P210" s="322"/>
      <c r="Q210" s="322"/>
      <c r="R210" s="322"/>
      <c r="S210" s="322"/>
      <c r="T210" s="322"/>
      <c r="U210" s="322"/>
      <c r="V210" s="322"/>
      <c r="W210" s="322"/>
      <c r="X210" s="322"/>
      <c r="Y210" s="322"/>
      <c r="Z210" s="322"/>
    </row>
    <row r="211" ht="12.75" customHeight="1">
      <c r="A211" s="322"/>
      <c r="B211" s="322"/>
      <c r="C211" s="323"/>
      <c r="D211" s="324"/>
      <c r="E211" s="323"/>
      <c r="F211" s="324"/>
      <c r="G211" s="322"/>
      <c r="H211" s="322"/>
      <c r="I211" s="322"/>
      <c r="J211" s="322"/>
      <c r="K211" s="322"/>
      <c r="L211" s="322"/>
      <c r="M211" s="322"/>
      <c r="N211" s="322"/>
      <c r="O211" s="322"/>
      <c r="P211" s="322"/>
      <c r="Q211" s="322"/>
      <c r="R211" s="322"/>
      <c r="S211" s="322"/>
      <c r="T211" s="322"/>
      <c r="U211" s="322"/>
      <c r="V211" s="322"/>
      <c r="W211" s="322"/>
      <c r="X211" s="322"/>
      <c r="Y211" s="322"/>
      <c r="Z211" s="322"/>
    </row>
    <row r="212" ht="12.75" customHeight="1">
      <c r="A212" s="322"/>
      <c r="B212" s="322"/>
      <c r="C212" s="323"/>
      <c r="D212" s="324"/>
      <c r="E212" s="323"/>
      <c r="F212" s="324"/>
      <c r="G212" s="322"/>
      <c r="H212" s="322"/>
      <c r="I212" s="322"/>
      <c r="J212" s="322"/>
      <c r="K212" s="322"/>
      <c r="L212" s="322"/>
      <c r="M212" s="322"/>
      <c r="N212" s="322"/>
      <c r="O212" s="322"/>
      <c r="P212" s="322"/>
      <c r="Q212" s="322"/>
      <c r="R212" s="322"/>
      <c r="S212" s="322"/>
      <c r="T212" s="322"/>
      <c r="U212" s="322"/>
      <c r="V212" s="322"/>
      <c r="W212" s="322"/>
      <c r="X212" s="322"/>
      <c r="Y212" s="322"/>
      <c r="Z212" s="322"/>
    </row>
    <row r="213" ht="12.75" customHeight="1">
      <c r="A213" s="322"/>
      <c r="B213" s="322"/>
      <c r="C213" s="323"/>
      <c r="D213" s="324"/>
      <c r="E213" s="323"/>
      <c r="F213" s="324"/>
      <c r="G213" s="322"/>
      <c r="H213" s="322"/>
      <c r="I213" s="322"/>
      <c r="J213" s="322"/>
      <c r="K213" s="322"/>
      <c r="L213" s="322"/>
      <c r="M213" s="322"/>
      <c r="N213" s="322"/>
      <c r="O213" s="322"/>
      <c r="P213" s="322"/>
      <c r="Q213" s="322"/>
      <c r="R213" s="322"/>
      <c r="S213" s="322"/>
      <c r="T213" s="322"/>
      <c r="U213" s="322"/>
      <c r="V213" s="322"/>
      <c r="W213" s="322"/>
      <c r="X213" s="322"/>
      <c r="Y213" s="322"/>
      <c r="Z213" s="322"/>
    </row>
    <row r="214" ht="12.75" customHeight="1">
      <c r="A214" s="322"/>
      <c r="B214" s="322"/>
      <c r="C214" s="323"/>
      <c r="D214" s="324"/>
      <c r="E214" s="323"/>
      <c r="F214" s="324"/>
      <c r="G214" s="322"/>
      <c r="H214" s="322"/>
      <c r="I214" s="322"/>
      <c r="J214" s="322"/>
      <c r="K214" s="322"/>
      <c r="L214" s="322"/>
      <c r="M214" s="322"/>
      <c r="N214" s="322"/>
      <c r="O214" s="322"/>
      <c r="P214" s="322"/>
      <c r="Q214" s="322"/>
      <c r="R214" s="322"/>
      <c r="S214" s="322"/>
      <c r="T214" s="322"/>
      <c r="U214" s="322"/>
      <c r="V214" s="322"/>
      <c r="W214" s="322"/>
      <c r="X214" s="322"/>
      <c r="Y214" s="322"/>
      <c r="Z214" s="322"/>
    </row>
    <row r="215" ht="12.75" customHeight="1">
      <c r="A215" s="322"/>
      <c r="B215" s="322"/>
      <c r="C215" s="323"/>
      <c r="D215" s="324"/>
      <c r="E215" s="323"/>
      <c r="F215" s="324"/>
      <c r="G215" s="322"/>
      <c r="H215" s="322"/>
      <c r="I215" s="322"/>
      <c r="J215" s="322"/>
      <c r="K215" s="322"/>
      <c r="L215" s="322"/>
      <c r="M215" s="322"/>
      <c r="N215" s="322"/>
      <c r="O215" s="322"/>
      <c r="P215" s="322"/>
      <c r="Q215" s="322"/>
      <c r="R215" s="322"/>
      <c r="S215" s="322"/>
      <c r="T215" s="322"/>
      <c r="U215" s="322"/>
      <c r="V215" s="322"/>
      <c r="W215" s="322"/>
      <c r="X215" s="322"/>
      <c r="Y215" s="322"/>
      <c r="Z215" s="322"/>
    </row>
    <row r="216" ht="12.75" customHeight="1">
      <c r="A216" s="322"/>
      <c r="B216" s="322"/>
      <c r="C216" s="323"/>
      <c r="D216" s="324"/>
      <c r="E216" s="323"/>
      <c r="F216" s="324"/>
      <c r="G216" s="322"/>
      <c r="H216" s="322"/>
      <c r="I216" s="322"/>
      <c r="J216" s="322"/>
      <c r="K216" s="322"/>
      <c r="L216" s="322"/>
      <c r="M216" s="322"/>
      <c r="N216" s="322"/>
      <c r="O216" s="322"/>
      <c r="P216" s="322"/>
      <c r="Q216" s="322"/>
      <c r="R216" s="322"/>
      <c r="S216" s="322"/>
      <c r="T216" s="322"/>
      <c r="U216" s="322"/>
      <c r="V216" s="322"/>
      <c r="W216" s="322"/>
      <c r="X216" s="322"/>
      <c r="Y216" s="322"/>
      <c r="Z216" s="322"/>
    </row>
    <row r="217" ht="12.75" customHeight="1">
      <c r="A217" s="322"/>
      <c r="B217" s="322"/>
      <c r="C217" s="323"/>
      <c r="D217" s="324"/>
      <c r="E217" s="323"/>
      <c r="F217" s="324"/>
      <c r="G217" s="322"/>
      <c r="H217" s="322"/>
      <c r="I217" s="322"/>
      <c r="J217" s="322"/>
      <c r="K217" s="322"/>
      <c r="L217" s="322"/>
      <c r="M217" s="322"/>
      <c r="N217" s="322"/>
      <c r="O217" s="322"/>
      <c r="P217" s="322"/>
      <c r="Q217" s="322"/>
      <c r="R217" s="322"/>
      <c r="S217" s="322"/>
      <c r="T217" s="322"/>
      <c r="U217" s="322"/>
      <c r="V217" s="322"/>
      <c r="W217" s="322"/>
      <c r="X217" s="322"/>
      <c r="Y217" s="322"/>
      <c r="Z217" s="322"/>
    </row>
    <row r="218" ht="12.75" customHeight="1">
      <c r="A218" s="322"/>
      <c r="B218" s="322"/>
      <c r="C218" s="323"/>
      <c r="D218" s="324"/>
      <c r="E218" s="323"/>
      <c r="F218" s="324"/>
      <c r="G218" s="322"/>
      <c r="H218" s="322"/>
      <c r="I218" s="322"/>
      <c r="J218" s="322"/>
      <c r="K218" s="322"/>
      <c r="L218" s="322"/>
      <c r="M218" s="322"/>
      <c r="N218" s="322"/>
      <c r="O218" s="322"/>
      <c r="P218" s="322"/>
      <c r="Q218" s="322"/>
      <c r="R218" s="322"/>
      <c r="S218" s="322"/>
      <c r="T218" s="322"/>
      <c r="U218" s="322"/>
      <c r="V218" s="322"/>
      <c r="W218" s="322"/>
      <c r="X218" s="322"/>
      <c r="Y218" s="322"/>
      <c r="Z218" s="322"/>
    </row>
    <row r="219" ht="12.75" customHeight="1">
      <c r="A219" s="322"/>
      <c r="B219" s="322"/>
      <c r="C219" s="323"/>
      <c r="D219" s="324"/>
      <c r="E219" s="323"/>
      <c r="F219" s="324"/>
      <c r="G219" s="322"/>
      <c r="H219" s="322"/>
      <c r="I219" s="322"/>
      <c r="J219" s="322"/>
      <c r="K219" s="322"/>
      <c r="L219" s="322"/>
      <c r="M219" s="322"/>
      <c r="N219" s="322"/>
      <c r="O219" s="322"/>
      <c r="P219" s="322"/>
      <c r="Q219" s="322"/>
      <c r="R219" s="322"/>
      <c r="S219" s="322"/>
      <c r="T219" s="322"/>
      <c r="U219" s="322"/>
      <c r="V219" s="322"/>
      <c r="W219" s="322"/>
      <c r="X219" s="322"/>
      <c r="Y219" s="322"/>
      <c r="Z219" s="322"/>
    </row>
    <row r="220" ht="12.75" customHeight="1">
      <c r="A220" s="322"/>
      <c r="B220" s="322"/>
      <c r="C220" s="323"/>
      <c r="D220" s="324"/>
      <c r="E220" s="323"/>
      <c r="F220" s="324"/>
      <c r="G220" s="322"/>
      <c r="H220" s="322"/>
      <c r="I220" s="322"/>
      <c r="J220" s="322"/>
      <c r="K220" s="322"/>
      <c r="L220" s="322"/>
      <c r="M220" s="322"/>
      <c r="N220" s="322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</row>
    <row r="221" ht="12.75" customHeight="1">
      <c r="A221" s="322"/>
      <c r="B221" s="322"/>
      <c r="C221" s="323"/>
      <c r="D221" s="324"/>
      <c r="E221" s="323"/>
      <c r="F221" s="324"/>
      <c r="G221" s="322"/>
      <c r="H221" s="322"/>
      <c r="I221" s="322"/>
      <c r="J221" s="322"/>
      <c r="K221" s="322"/>
      <c r="L221" s="322"/>
      <c r="M221" s="322"/>
      <c r="N221" s="322"/>
      <c r="O221" s="322"/>
      <c r="P221" s="322"/>
      <c r="Q221" s="322"/>
      <c r="R221" s="322"/>
      <c r="S221" s="322"/>
      <c r="T221" s="322"/>
      <c r="U221" s="322"/>
      <c r="V221" s="322"/>
      <c r="W221" s="322"/>
      <c r="X221" s="322"/>
      <c r="Y221" s="322"/>
      <c r="Z221" s="322"/>
    </row>
    <row r="222" ht="12.75" customHeight="1">
      <c r="A222" s="322"/>
      <c r="B222" s="322"/>
      <c r="C222" s="323"/>
      <c r="D222" s="324"/>
      <c r="E222" s="323"/>
      <c r="F222" s="324"/>
      <c r="G222" s="322"/>
      <c r="H222" s="322"/>
      <c r="I222" s="322"/>
      <c r="J222" s="322"/>
      <c r="K222" s="322"/>
      <c r="L222" s="322"/>
      <c r="M222" s="322"/>
      <c r="N222" s="322"/>
      <c r="O222" s="322"/>
      <c r="P222" s="322"/>
      <c r="Q222" s="322"/>
      <c r="R222" s="322"/>
      <c r="S222" s="322"/>
      <c r="T222" s="322"/>
      <c r="U222" s="322"/>
      <c r="V222" s="322"/>
      <c r="W222" s="322"/>
      <c r="X222" s="322"/>
      <c r="Y222" s="322"/>
      <c r="Z222" s="322"/>
    </row>
    <row r="223" ht="12.75" customHeight="1">
      <c r="A223" s="322"/>
      <c r="B223" s="322"/>
      <c r="C223" s="323"/>
      <c r="D223" s="324"/>
      <c r="E223" s="323"/>
      <c r="F223" s="324"/>
      <c r="G223" s="322"/>
      <c r="H223" s="322"/>
      <c r="I223" s="322"/>
      <c r="J223" s="322"/>
      <c r="K223" s="322"/>
      <c r="L223" s="322"/>
      <c r="M223" s="322"/>
      <c r="N223" s="322"/>
      <c r="O223" s="322"/>
      <c r="P223" s="322"/>
      <c r="Q223" s="322"/>
      <c r="R223" s="322"/>
      <c r="S223" s="322"/>
      <c r="T223" s="322"/>
      <c r="U223" s="322"/>
      <c r="V223" s="322"/>
      <c r="W223" s="322"/>
      <c r="X223" s="322"/>
      <c r="Y223" s="322"/>
      <c r="Z223" s="322"/>
    </row>
    <row r="224" ht="12.75" customHeight="1">
      <c r="A224" s="322"/>
      <c r="B224" s="322"/>
      <c r="C224" s="323"/>
      <c r="D224" s="324"/>
      <c r="E224" s="323"/>
      <c r="F224" s="324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</row>
    <row r="225" ht="12.75" customHeight="1">
      <c r="A225" s="322"/>
      <c r="B225" s="322"/>
      <c r="C225" s="323"/>
      <c r="D225" s="324"/>
      <c r="E225" s="323"/>
      <c r="F225" s="324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</row>
    <row r="226" ht="12.75" customHeight="1">
      <c r="A226" s="322"/>
      <c r="B226" s="322"/>
      <c r="C226" s="323"/>
      <c r="D226" s="324"/>
      <c r="E226" s="323"/>
      <c r="F226" s="324"/>
      <c r="G226" s="322"/>
      <c r="H226" s="322"/>
      <c r="I226" s="322"/>
      <c r="J226" s="322"/>
      <c r="K226" s="322"/>
      <c r="L226" s="322"/>
      <c r="M226" s="322"/>
      <c r="N226" s="322"/>
      <c r="O226" s="322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</row>
    <row r="227" ht="12.75" customHeight="1">
      <c r="A227" s="322"/>
      <c r="B227" s="322"/>
      <c r="C227" s="323"/>
      <c r="D227" s="324"/>
      <c r="E227" s="323"/>
      <c r="F227" s="324"/>
      <c r="G227" s="322"/>
      <c r="H227" s="322"/>
      <c r="I227" s="322"/>
      <c r="J227" s="322"/>
      <c r="K227" s="322"/>
      <c r="L227" s="322"/>
      <c r="M227" s="322"/>
      <c r="N227" s="322"/>
      <c r="O227" s="322"/>
      <c r="P227" s="322"/>
      <c r="Q227" s="322"/>
      <c r="R227" s="322"/>
      <c r="S227" s="322"/>
      <c r="T227" s="322"/>
      <c r="U227" s="322"/>
      <c r="V227" s="322"/>
      <c r="W227" s="322"/>
      <c r="X227" s="322"/>
      <c r="Y227" s="322"/>
      <c r="Z227" s="322"/>
    </row>
    <row r="228" ht="12.75" customHeight="1">
      <c r="A228" s="322"/>
      <c r="B228" s="322"/>
      <c r="C228" s="323"/>
      <c r="D228" s="324"/>
      <c r="E228" s="323"/>
      <c r="F228" s="324"/>
      <c r="G228" s="322"/>
      <c r="H228" s="322"/>
      <c r="I228" s="322"/>
      <c r="J228" s="322"/>
      <c r="K228" s="322"/>
      <c r="L228" s="322"/>
      <c r="M228" s="322"/>
      <c r="N228" s="322"/>
      <c r="O228" s="322"/>
      <c r="P228" s="322"/>
      <c r="Q228" s="322"/>
      <c r="R228" s="322"/>
      <c r="S228" s="322"/>
      <c r="T228" s="322"/>
      <c r="U228" s="322"/>
      <c r="V228" s="322"/>
      <c r="W228" s="322"/>
      <c r="X228" s="322"/>
      <c r="Y228" s="322"/>
      <c r="Z228" s="322"/>
    </row>
    <row r="229" ht="12.75" customHeight="1">
      <c r="A229" s="322"/>
      <c r="B229" s="322"/>
      <c r="C229" s="323"/>
      <c r="D229" s="324"/>
      <c r="E229" s="323"/>
      <c r="F229" s="324"/>
      <c r="G229" s="322"/>
      <c r="H229" s="322"/>
      <c r="I229" s="322"/>
      <c r="J229" s="322"/>
      <c r="K229" s="322"/>
      <c r="L229" s="322"/>
      <c r="M229" s="322"/>
      <c r="N229" s="322"/>
      <c r="O229" s="322"/>
      <c r="P229" s="322"/>
      <c r="Q229" s="322"/>
      <c r="R229" s="322"/>
      <c r="S229" s="322"/>
      <c r="T229" s="322"/>
      <c r="U229" s="322"/>
      <c r="V229" s="322"/>
      <c r="W229" s="322"/>
      <c r="X229" s="322"/>
      <c r="Y229" s="322"/>
      <c r="Z229" s="322"/>
    </row>
    <row r="230" ht="12.75" customHeight="1">
      <c r="A230" s="322"/>
      <c r="B230" s="322"/>
      <c r="C230" s="323"/>
      <c r="D230" s="324"/>
      <c r="E230" s="323"/>
      <c r="F230" s="324"/>
      <c r="G230" s="322"/>
      <c r="H230" s="322"/>
      <c r="I230" s="322"/>
      <c r="J230" s="322"/>
      <c r="K230" s="322"/>
      <c r="L230" s="322"/>
      <c r="M230" s="322"/>
      <c r="N230" s="322"/>
      <c r="O230" s="322"/>
      <c r="P230" s="322"/>
      <c r="Q230" s="322"/>
      <c r="R230" s="322"/>
      <c r="S230" s="322"/>
      <c r="T230" s="322"/>
      <c r="U230" s="322"/>
      <c r="V230" s="322"/>
      <c r="W230" s="322"/>
      <c r="X230" s="322"/>
      <c r="Y230" s="322"/>
      <c r="Z230" s="322"/>
    </row>
    <row r="231" ht="12.75" customHeight="1">
      <c r="A231" s="322"/>
      <c r="B231" s="322"/>
      <c r="C231" s="323"/>
      <c r="D231" s="324"/>
      <c r="E231" s="323"/>
      <c r="F231" s="324"/>
      <c r="G231" s="322"/>
      <c r="H231" s="322"/>
      <c r="I231" s="322"/>
      <c r="J231" s="322"/>
      <c r="K231" s="322"/>
      <c r="L231" s="322"/>
      <c r="M231" s="322"/>
      <c r="N231" s="322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</row>
    <row r="232" ht="12.75" customHeight="1">
      <c r="A232" s="322"/>
      <c r="B232" s="322"/>
      <c r="C232" s="323"/>
      <c r="D232" s="324"/>
      <c r="E232" s="323"/>
      <c r="F232" s="324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</row>
    <row r="233" ht="12.75" customHeight="1">
      <c r="A233" s="322"/>
      <c r="B233" s="322"/>
      <c r="C233" s="323"/>
      <c r="D233" s="324"/>
      <c r="E233" s="323"/>
      <c r="F233" s="324"/>
      <c r="G233" s="322"/>
      <c r="H233" s="322"/>
      <c r="I233" s="322"/>
      <c r="J233" s="322"/>
      <c r="K233" s="322"/>
      <c r="L233" s="322"/>
      <c r="M233" s="322"/>
      <c r="N233" s="322"/>
      <c r="O233" s="322"/>
      <c r="P233" s="322"/>
      <c r="Q233" s="322"/>
      <c r="R233" s="322"/>
      <c r="S233" s="322"/>
      <c r="T233" s="322"/>
      <c r="U233" s="322"/>
      <c r="V233" s="322"/>
      <c r="W233" s="322"/>
      <c r="X233" s="322"/>
      <c r="Y233" s="322"/>
      <c r="Z233" s="322"/>
    </row>
    <row r="234" ht="12.75" customHeight="1">
      <c r="A234" s="322"/>
      <c r="B234" s="322"/>
      <c r="C234" s="323"/>
      <c r="D234" s="324"/>
      <c r="E234" s="323"/>
      <c r="F234" s="324"/>
      <c r="G234" s="322"/>
      <c r="H234" s="322"/>
      <c r="I234" s="322"/>
      <c r="J234" s="322"/>
      <c r="K234" s="322"/>
      <c r="L234" s="322"/>
      <c r="M234" s="322"/>
      <c r="N234" s="322"/>
      <c r="O234" s="322"/>
      <c r="P234" s="322"/>
      <c r="Q234" s="322"/>
      <c r="R234" s="322"/>
      <c r="S234" s="322"/>
      <c r="T234" s="322"/>
      <c r="U234" s="322"/>
      <c r="V234" s="322"/>
      <c r="W234" s="322"/>
      <c r="X234" s="322"/>
      <c r="Y234" s="322"/>
      <c r="Z234" s="322"/>
    </row>
    <row r="235" ht="12.75" customHeight="1">
      <c r="A235" s="322"/>
      <c r="B235" s="322"/>
      <c r="C235" s="323"/>
      <c r="D235" s="324"/>
      <c r="E235" s="323"/>
      <c r="F235" s="324"/>
      <c r="G235" s="322"/>
      <c r="H235" s="322"/>
      <c r="I235" s="322"/>
      <c r="J235" s="322"/>
      <c r="K235" s="322"/>
      <c r="L235" s="322"/>
      <c r="M235" s="322"/>
      <c r="N235" s="322"/>
      <c r="O235" s="322"/>
      <c r="P235" s="322"/>
      <c r="Q235" s="322"/>
      <c r="R235" s="322"/>
      <c r="S235" s="322"/>
      <c r="T235" s="322"/>
      <c r="U235" s="322"/>
      <c r="V235" s="322"/>
      <c r="W235" s="322"/>
      <c r="X235" s="322"/>
      <c r="Y235" s="322"/>
      <c r="Z235" s="322"/>
    </row>
    <row r="236" ht="12.75" customHeight="1">
      <c r="A236" s="322"/>
      <c r="B236" s="322"/>
      <c r="C236" s="323"/>
      <c r="D236" s="324"/>
      <c r="E236" s="323"/>
      <c r="F236" s="324"/>
      <c r="G236" s="322"/>
      <c r="H236" s="322"/>
      <c r="I236" s="322"/>
      <c r="J236" s="322"/>
      <c r="K236" s="322"/>
      <c r="L236" s="322"/>
      <c r="M236" s="322"/>
      <c r="N236" s="322"/>
      <c r="O236" s="322"/>
      <c r="P236" s="322"/>
      <c r="Q236" s="322"/>
      <c r="R236" s="322"/>
      <c r="S236" s="322"/>
      <c r="T236" s="322"/>
      <c r="U236" s="322"/>
      <c r="V236" s="322"/>
      <c r="W236" s="322"/>
      <c r="X236" s="322"/>
      <c r="Y236" s="322"/>
      <c r="Z236" s="322"/>
    </row>
    <row r="237" ht="12.75" customHeight="1">
      <c r="A237" s="322"/>
      <c r="B237" s="322"/>
      <c r="C237" s="323"/>
      <c r="D237" s="324"/>
      <c r="E237" s="323"/>
      <c r="F237" s="324"/>
      <c r="G237" s="322"/>
      <c r="H237" s="322"/>
      <c r="I237" s="322"/>
      <c r="J237" s="322"/>
      <c r="K237" s="322"/>
      <c r="L237" s="322"/>
      <c r="M237" s="322"/>
      <c r="N237" s="322"/>
      <c r="O237" s="322"/>
      <c r="P237" s="322"/>
      <c r="Q237" s="322"/>
      <c r="R237" s="322"/>
      <c r="S237" s="322"/>
      <c r="T237" s="322"/>
      <c r="U237" s="322"/>
      <c r="V237" s="322"/>
      <c r="W237" s="322"/>
      <c r="X237" s="322"/>
      <c r="Y237" s="322"/>
      <c r="Z237" s="322"/>
    </row>
    <row r="238" ht="12.75" customHeight="1">
      <c r="A238" s="322"/>
      <c r="B238" s="322"/>
      <c r="C238" s="323"/>
      <c r="D238" s="324"/>
      <c r="E238" s="323"/>
      <c r="F238" s="324"/>
      <c r="G238" s="322"/>
      <c r="H238" s="322"/>
      <c r="I238" s="322"/>
      <c r="J238" s="322"/>
      <c r="K238" s="322"/>
      <c r="L238" s="322"/>
      <c r="M238" s="322"/>
      <c r="N238" s="322"/>
      <c r="O238" s="322"/>
      <c r="P238" s="322"/>
      <c r="Q238" s="322"/>
      <c r="R238" s="322"/>
      <c r="S238" s="322"/>
      <c r="T238" s="322"/>
      <c r="U238" s="322"/>
      <c r="V238" s="322"/>
      <c r="W238" s="322"/>
      <c r="X238" s="322"/>
      <c r="Y238" s="322"/>
      <c r="Z238" s="322"/>
    </row>
    <row r="239" ht="12.75" customHeight="1">
      <c r="A239" s="322"/>
      <c r="B239" s="322"/>
      <c r="C239" s="323"/>
      <c r="D239" s="324"/>
      <c r="E239" s="323"/>
      <c r="F239" s="324"/>
      <c r="G239" s="322"/>
      <c r="H239" s="322"/>
      <c r="I239" s="322"/>
      <c r="J239" s="322"/>
      <c r="K239" s="322"/>
      <c r="L239" s="322"/>
      <c r="M239" s="322"/>
      <c r="N239" s="322"/>
      <c r="O239" s="322"/>
      <c r="P239" s="322"/>
      <c r="Q239" s="322"/>
      <c r="R239" s="322"/>
      <c r="S239" s="322"/>
      <c r="T239" s="322"/>
      <c r="U239" s="322"/>
      <c r="V239" s="322"/>
      <c r="W239" s="322"/>
      <c r="X239" s="322"/>
      <c r="Y239" s="322"/>
      <c r="Z239" s="322"/>
    </row>
    <row r="240" ht="12.75" customHeight="1">
      <c r="A240" s="322"/>
      <c r="B240" s="322"/>
      <c r="C240" s="323"/>
      <c r="D240" s="324"/>
      <c r="E240" s="323"/>
      <c r="F240" s="324"/>
      <c r="G240" s="322"/>
      <c r="H240" s="322"/>
      <c r="I240" s="322"/>
      <c r="J240" s="322"/>
      <c r="K240" s="322"/>
      <c r="L240" s="322"/>
      <c r="M240" s="322"/>
      <c r="N240" s="322"/>
      <c r="O240" s="322"/>
      <c r="P240" s="322"/>
      <c r="Q240" s="322"/>
      <c r="R240" s="322"/>
      <c r="S240" s="322"/>
      <c r="T240" s="322"/>
      <c r="U240" s="322"/>
      <c r="V240" s="322"/>
      <c r="W240" s="322"/>
      <c r="X240" s="322"/>
      <c r="Y240" s="322"/>
      <c r="Z240" s="322"/>
    </row>
    <row r="241" ht="12.75" customHeight="1">
      <c r="A241" s="322"/>
      <c r="B241" s="322"/>
      <c r="C241" s="323"/>
      <c r="D241" s="324"/>
      <c r="E241" s="323"/>
      <c r="F241" s="324"/>
      <c r="G241" s="322"/>
      <c r="H241" s="322"/>
      <c r="I241" s="322"/>
      <c r="J241" s="322"/>
      <c r="K241" s="322"/>
      <c r="L241" s="322"/>
      <c r="M241" s="322"/>
      <c r="N241" s="322"/>
      <c r="O241" s="322"/>
      <c r="P241" s="322"/>
      <c r="Q241" s="322"/>
      <c r="R241" s="322"/>
      <c r="S241" s="322"/>
      <c r="T241" s="322"/>
      <c r="U241" s="322"/>
      <c r="V241" s="322"/>
      <c r="W241" s="322"/>
      <c r="X241" s="322"/>
      <c r="Y241" s="322"/>
      <c r="Z241" s="322"/>
    </row>
    <row r="242" ht="12.75" customHeight="1">
      <c r="A242" s="322"/>
      <c r="B242" s="322"/>
      <c r="C242" s="323"/>
      <c r="D242" s="324"/>
      <c r="E242" s="323"/>
      <c r="F242" s="324"/>
      <c r="G242" s="322"/>
      <c r="H242" s="322"/>
      <c r="I242" s="322"/>
      <c r="J242" s="322"/>
      <c r="K242" s="322"/>
      <c r="L242" s="322"/>
      <c r="M242" s="322"/>
      <c r="N242" s="322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</row>
    <row r="243" ht="12.75" customHeight="1">
      <c r="A243" s="322"/>
      <c r="B243" s="322"/>
      <c r="C243" s="323"/>
      <c r="D243" s="324"/>
      <c r="E243" s="323"/>
      <c r="F243" s="324"/>
      <c r="G243" s="322"/>
      <c r="H243" s="322"/>
      <c r="I243" s="322"/>
      <c r="J243" s="322"/>
      <c r="K243" s="322"/>
      <c r="L243" s="322"/>
      <c r="M243" s="322"/>
      <c r="N243" s="322"/>
      <c r="O243" s="322"/>
      <c r="P243" s="322"/>
      <c r="Q243" s="322"/>
      <c r="R243" s="322"/>
      <c r="S243" s="322"/>
      <c r="T243" s="322"/>
      <c r="U243" s="322"/>
      <c r="V243" s="322"/>
      <c r="W243" s="322"/>
      <c r="X243" s="322"/>
      <c r="Y243" s="322"/>
      <c r="Z243" s="322"/>
    </row>
    <row r="244" ht="12.75" customHeight="1">
      <c r="A244" s="322"/>
      <c r="B244" s="322"/>
      <c r="C244" s="323"/>
      <c r="D244" s="324"/>
      <c r="E244" s="323"/>
      <c r="F244" s="324"/>
      <c r="G244" s="322"/>
      <c r="H244" s="322"/>
      <c r="I244" s="322"/>
      <c r="J244" s="322"/>
      <c r="K244" s="322"/>
      <c r="L244" s="322"/>
      <c r="M244" s="322"/>
      <c r="N244" s="322"/>
      <c r="O244" s="322"/>
      <c r="P244" s="322"/>
      <c r="Q244" s="322"/>
      <c r="R244" s="322"/>
      <c r="S244" s="322"/>
      <c r="T244" s="322"/>
      <c r="U244" s="322"/>
      <c r="V244" s="322"/>
      <c r="W244" s="322"/>
      <c r="X244" s="322"/>
      <c r="Y244" s="322"/>
      <c r="Z244" s="322"/>
    </row>
    <row r="245" ht="12.75" customHeight="1">
      <c r="A245" s="322"/>
      <c r="B245" s="322"/>
      <c r="C245" s="323"/>
      <c r="D245" s="324"/>
      <c r="E245" s="323"/>
      <c r="F245" s="324"/>
      <c r="G245" s="322"/>
      <c r="H245" s="322"/>
      <c r="I245" s="322"/>
      <c r="J245" s="322"/>
      <c r="K245" s="322"/>
      <c r="L245" s="322"/>
      <c r="M245" s="322"/>
      <c r="N245" s="322"/>
      <c r="O245" s="322"/>
      <c r="P245" s="322"/>
      <c r="Q245" s="322"/>
      <c r="R245" s="322"/>
      <c r="S245" s="322"/>
      <c r="T245" s="322"/>
      <c r="U245" s="322"/>
      <c r="V245" s="322"/>
      <c r="W245" s="322"/>
      <c r="X245" s="322"/>
      <c r="Y245" s="322"/>
      <c r="Z245" s="322"/>
    </row>
    <row r="246" ht="12.75" customHeight="1">
      <c r="A246" s="322"/>
      <c r="B246" s="322"/>
      <c r="C246" s="323"/>
      <c r="D246" s="324"/>
      <c r="E246" s="323"/>
      <c r="F246" s="324"/>
      <c r="G246" s="322"/>
      <c r="H246" s="322"/>
      <c r="I246" s="322"/>
      <c r="J246" s="322"/>
      <c r="K246" s="322"/>
      <c r="L246" s="322"/>
      <c r="M246" s="322"/>
      <c r="N246" s="322"/>
      <c r="O246" s="322"/>
      <c r="P246" s="322"/>
      <c r="Q246" s="322"/>
      <c r="R246" s="322"/>
      <c r="S246" s="322"/>
      <c r="T246" s="322"/>
      <c r="U246" s="322"/>
      <c r="V246" s="322"/>
      <c r="W246" s="322"/>
      <c r="X246" s="322"/>
      <c r="Y246" s="322"/>
      <c r="Z246" s="322"/>
    </row>
    <row r="247" ht="12.75" customHeight="1">
      <c r="A247" s="322"/>
      <c r="B247" s="322"/>
      <c r="C247" s="323"/>
      <c r="D247" s="324"/>
      <c r="E247" s="323"/>
      <c r="F247" s="324"/>
      <c r="G247" s="322"/>
      <c r="H247" s="322"/>
      <c r="I247" s="322"/>
      <c r="J247" s="322"/>
      <c r="K247" s="322"/>
      <c r="L247" s="322"/>
      <c r="M247" s="322"/>
      <c r="N247" s="322"/>
      <c r="O247" s="322"/>
      <c r="P247" s="322"/>
      <c r="Q247" s="322"/>
      <c r="R247" s="322"/>
      <c r="S247" s="322"/>
      <c r="T247" s="322"/>
      <c r="U247" s="322"/>
      <c r="V247" s="322"/>
      <c r="W247" s="322"/>
      <c r="X247" s="322"/>
      <c r="Y247" s="322"/>
      <c r="Z247" s="322"/>
    </row>
    <row r="248" ht="12.75" customHeight="1">
      <c r="A248" s="322"/>
      <c r="B248" s="322"/>
      <c r="C248" s="323"/>
      <c r="D248" s="324"/>
      <c r="E248" s="323"/>
      <c r="F248" s="324"/>
      <c r="G248" s="322"/>
      <c r="H248" s="322"/>
      <c r="I248" s="322"/>
      <c r="J248" s="322"/>
      <c r="K248" s="322"/>
      <c r="L248" s="322"/>
      <c r="M248" s="322"/>
      <c r="N248" s="322"/>
      <c r="O248" s="322"/>
      <c r="P248" s="322"/>
      <c r="Q248" s="322"/>
      <c r="R248" s="322"/>
      <c r="S248" s="322"/>
      <c r="T248" s="322"/>
      <c r="U248" s="322"/>
      <c r="V248" s="322"/>
      <c r="W248" s="322"/>
      <c r="X248" s="322"/>
      <c r="Y248" s="322"/>
      <c r="Z248" s="322"/>
    </row>
    <row r="249" ht="12.75" customHeight="1">
      <c r="A249" s="322"/>
      <c r="B249" s="322"/>
      <c r="C249" s="323"/>
      <c r="D249" s="324"/>
      <c r="E249" s="323"/>
      <c r="F249" s="324"/>
      <c r="G249" s="322"/>
      <c r="H249" s="322"/>
      <c r="I249" s="322"/>
      <c r="J249" s="322"/>
      <c r="K249" s="322"/>
      <c r="L249" s="322"/>
      <c r="M249" s="322"/>
      <c r="N249" s="322"/>
      <c r="O249" s="322"/>
      <c r="P249" s="322"/>
      <c r="Q249" s="322"/>
      <c r="R249" s="322"/>
      <c r="S249" s="322"/>
      <c r="T249" s="322"/>
      <c r="U249" s="322"/>
      <c r="V249" s="322"/>
      <c r="W249" s="322"/>
      <c r="X249" s="322"/>
      <c r="Y249" s="322"/>
      <c r="Z249" s="322"/>
    </row>
    <row r="250" ht="12.75" customHeight="1">
      <c r="A250" s="322"/>
      <c r="B250" s="322"/>
      <c r="C250" s="323"/>
      <c r="D250" s="324"/>
      <c r="E250" s="323"/>
      <c r="F250" s="324"/>
      <c r="G250" s="322"/>
      <c r="H250" s="322"/>
      <c r="I250" s="322"/>
      <c r="J250" s="322"/>
      <c r="K250" s="322"/>
      <c r="L250" s="322"/>
      <c r="M250" s="322"/>
      <c r="N250" s="322"/>
      <c r="O250" s="322"/>
      <c r="P250" s="322"/>
      <c r="Q250" s="322"/>
      <c r="R250" s="322"/>
      <c r="S250" s="322"/>
      <c r="T250" s="322"/>
      <c r="U250" s="322"/>
      <c r="V250" s="322"/>
      <c r="W250" s="322"/>
      <c r="X250" s="322"/>
      <c r="Y250" s="322"/>
      <c r="Z250" s="322"/>
    </row>
    <row r="251" ht="12.75" customHeight="1">
      <c r="A251" s="322"/>
      <c r="B251" s="322"/>
      <c r="C251" s="323"/>
      <c r="D251" s="324"/>
      <c r="E251" s="323"/>
      <c r="F251" s="324"/>
      <c r="G251" s="322"/>
      <c r="H251" s="322"/>
      <c r="I251" s="322"/>
      <c r="J251" s="322"/>
      <c r="K251" s="322"/>
      <c r="L251" s="322"/>
      <c r="M251" s="322"/>
      <c r="N251" s="322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</row>
    <row r="252" ht="12.75" customHeight="1">
      <c r="A252" s="322"/>
      <c r="B252" s="322"/>
      <c r="C252" s="323"/>
      <c r="D252" s="324"/>
      <c r="E252" s="323"/>
      <c r="F252" s="324"/>
      <c r="G252" s="322"/>
      <c r="H252" s="322"/>
      <c r="I252" s="322"/>
      <c r="J252" s="322"/>
      <c r="K252" s="322"/>
      <c r="L252" s="322"/>
      <c r="M252" s="322"/>
      <c r="N252" s="322"/>
      <c r="O252" s="322"/>
      <c r="P252" s="322"/>
      <c r="Q252" s="322"/>
      <c r="R252" s="322"/>
      <c r="S252" s="322"/>
      <c r="T252" s="322"/>
      <c r="U252" s="322"/>
      <c r="V252" s="322"/>
      <c r="W252" s="322"/>
      <c r="X252" s="322"/>
      <c r="Y252" s="322"/>
      <c r="Z252" s="322"/>
    </row>
    <row r="253" ht="12.75" customHeight="1">
      <c r="A253" s="322"/>
      <c r="B253" s="322"/>
      <c r="C253" s="323"/>
      <c r="D253" s="324"/>
      <c r="E253" s="323"/>
      <c r="F253" s="324"/>
      <c r="G253" s="322"/>
      <c r="H253" s="322"/>
      <c r="I253" s="322"/>
      <c r="J253" s="322"/>
      <c r="K253" s="322"/>
      <c r="L253" s="322"/>
      <c r="M253" s="322"/>
      <c r="N253" s="322"/>
      <c r="O253" s="322"/>
      <c r="P253" s="322"/>
      <c r="Q253" s="322"/>
      <c r="R253" s="322"/>
      <c r="S253" s="322"/>
      <c r="T253" s="322"/>
      <c r="U253" s="322"/>
      <c r="V253" s="322"/>
      <c r="W253" s="322"/>
      <c r="X253" s="322"/>
      <c r="Y253" s="322"/>
      <c r="Z253" s="322"/>
    </row>
    <row r="254" ht="12.75" customHeight="1">
      <c r="A254" s="322"/>
      <c r="B254" s="322"/>
      <c r="C254" s="323"/>
      <c r="D254" s="324"/>
      <c r="E254" s="323"/>
      <c r="F254" s="324"/>
      <c r="G254" s="322"/>
      <c r="H254" s="322"/>
      <c r="I254" s="322"/>
      <c r="J254" s="322"/>
      <c r="K254" s="322"/>
      <c r="L254" s="322"/>
      <c r="M254" s="322"/>
      <c r="N254" s="322"/>
      <c r="O254" s="322"/>
      <c r="P254" s="322"/>
      <c r="Q254" s="322"/>
      <c r="R254" s="322"/>
      <c r="S254" s="322"/>
      <c r="T254" s="322"/>
      <c r="U254" s="322"/>
      <c r="V254" s="322"/>
      <c r="W254" s="322"/>
      <c r="X254" s="322"/>
      <c r="Y254" s="322"/>
      <c r="Z254" s="322"/>
    </row>
    <row r="255" ht="12.75" customHeight="1">
      <c r="A255" s="322"/>
      <c r="B255" s="322"/>
      <c r="C255" s="323"/>
      <c r="D255" s="324"/>
      <c r="E255" s="323"/>
      <c r="F255" s="324"/>
      <c r="G255" s="322"/>
      <c r="H255" s="322"/>
      <c r="I255" s="322"/>
      <c r="J255" s="322"/>
      <c r="K255" s="322"/>
      <c r="L255" s="322"/>
      <c r="M255" s="322"/>
      <c r="N255" s="322"/>
      <c r="O255" s="322"/>
      <c r="P255" s="322"/>
      <c r="Q255" s="322"/>
      <c r="R255" s="322"/>
      <c r="S255" s="322"/>
      <c r="T255" s="322"/>
      <c r="U255" s="322"/>
      <c r="V255" s="322"/>
      <c r="W255" s="322"/>
      <c r="X255" s="322"/>
      <c r="Y255" s="322"/>
      <c r="Z255" s="322"/>
    </row>
    <row r="256" ht="12.75" customHeight="1">
      <c r="A256" s="322"/>
      <c r="B256" s="322"/>
      <c r="C256" s="323"/>
      <c r="D256" s="324"/>
      <c r="E256" s="323"/>
      <c r="F256" s="324"/>
      <c r="G256" s="322"/>
      <c r="H256" s="322"/>
      <c r="I256" s="322"/>
      <c r="J256" s="322"/>
      <c r="K256" s="322"/>
      <c r="L256" s="322"/>
      <c r="M256" s="322"/>
      <c r="N256" s="322"/>
      <c r="O256" s="322"/>
      <c r="P256" s="322"/>
      <c r="Q256" s="322"/>
      <c r="R256" s="322"/>
      <c r="S256" s="322"/>
      <c r="T256" s="322"/>
      <c r="U256" s="322"/>
      <c r="V256" s="322"/>
      <c r="W256" s="322"/>
      <c r="X256" s="322"/>
      <c r="Y256" s="322"/>
      <c r="Z256" s="322"/>
    </row>
    <row r="257" ht="12.75" customHeight="1">
      <c r="A257" s="322"/>
      <c r="B257" s="322"/>
      <c r="C257" s="323"/>
      <c r="D257" s="324"/>
      <c r="E257" s="323"/>
      <c r="F257" s="324"/>
      <c r="G257" s="322"/>
      <c r="H257" s="322"/>
      <c r="I257" s="322"/>
      <c r="J257" s="322"/>
      <c r="K257" s="322"/>
      <c r="L257" s="322"/>
      <c r="M257" s="322"/>
      <c r="N257" s="322"/>
      <c r="O257" s="322"/>
      <c r="P257" s="322"/>
      <c r="Q257" s="322"/>
      <c r="R257" s="322"/>
      <c r="S257" s="322"/>
      <c r="T257" s="322"/>
      <c r="U257" s="322"/>
      <c r="V257" s="322"/>
      <c r="W257" s="322"/>
      <c r="X257" s="322"/>
      <c r="Y257" s="322"/>
      <c r="Z257" s="322"/>
    </row>
    <row r="258" ht="12.75" customHeight="1">
      <c r="A258" s="322"/>
      <c r="B258" s="322"/>
      <c r="C258" s="323"/>
      <c r="D258" s="324"/>
      <c r="E258" s="323"/>
      <c r="F258" s="324"/>
      <c r="G258" s="322"/>
      <c r="H258" s="322"/>
      <c r="I258" s="322"/>
      <c r="J258" s="322"/>
      <c r="K258" s="322"/>
      <c r="L258" s="322"/>
      <c r="M258" s="322"/>
      <c r="N258" s="322"/>
      <c r="O258" s="322"/>
      <c r="P258" s="322"/>
      <c r="Q258" s="322"/>
      <c r="R258" s="322"/>
      <c r="S258" s="322"/>
      <c r="T258" s="322"/>
      <c r="U258" s="322"/>
      <c r="V258" s="322"/>
      <c r="W258" s="322"/>
      <c r="X258" s="322"/>
      <c r="Y258" s="322"/>
      <c r="Z258" s="322"/>
    </row>
    <row r="259" ht="12.75" customHeight="1">
      <c r="A259" s="322"/>
      <c r="B259" s="322"/>
      <c r="C259" s="323"/>
      <c r="D259" s="324"/>
      <c r="E259" s="323"/>
      <c r="F259" s="324"/>
      <c r="G259" s="322"/>
      <c r="H259" s="322"/>
      <c r="I259" s="322"/>
      <c r="J259" s="322"/>
      <c r="K259" s="322"/>
      <c r="L259" s="322"/>
      <c r="M259" s="322"/>
      <c r="N259" s="322"/>
      <c r="O259" s="322"/>
      <c r="P259" s="322"/>
      <c r="Q259" s="322"/>
      <c r="R259" s="322"/>
      <c r="S259" s="322"/>
      <c r="T259" s="322"/>
      <c r="U259" s="322"/>
      <c r="V259" s="322"/>
      <c r="W259" s="322"/>
      <c r="X259" s="322"/>
      <c r="Y259" s="322"/>
      <c r="Z259" s="322"/>
    </row>
    <row r="260" ht="12.75" customHeight="1">
      <c r="A260" s="322"/>
      <c r="B260" s="322"/>
      <c r="C260" s="323"/>
      <c r="D260" s="324"/>
      <c r="E260" s="323"/>
      <c r="F260" s="324"/>
      <c r="G260" s="322"/>
      <c r="H260" s="322"/>
      <c r="I260" s="322"/>
      <c r="J260" s="322"/>
      <c r="K260" s="322"/>
      <c r="L260" s="322"/>
      <c r="M260" s="322"/>
      <c r="N260" s="322"/>
      <c r="O260" s="322"/>
      <c r="P260" s="322"/>
      <c r="Q260" s="322"/>
      <c r="R260" s="322"/>
      <c r="S260" s="322"/>
      <c r="T260" s="322"/>
      <c r="U260" s="322"/>
      <c r="V260" s="322"/>
      <c r="W260" s="322"/>
      <c r="X260" s="322"/>
      <c r="Y260" s="322"/>
      <c r="Z260" s="322"/>
    </row>
    <row r="261" ht="12.75" customHeight="1">
      <c r="A261" s="322"/>
      <c r="B261" s="322"/>
      <c r="C261" s="323"/>
      <c r="D261" s="324"/>
      <c r="E261" s="323"/>
      <c r="F261" s="324"/>
      <c r="G261" s="322"/>
      <c r="H261" s="322"/>
      <c r="I261" s="322"/>
      <c r="J261" s="322"/>
      <c r="K261" s="322"/>
      <c r="L261" s="322"/>
      <c r="M261" s="322"/>
      <c r="N261" s="322"/>
      <c r="O261" s="322"/>
      <c r="P261" s="322"/>
      <c r="Q261" s="322"/>
      <c r="R261" s="322"/>
      <c r="S261" s="322"/>
      <c r="T261" s="322"/>
      <c r="U261" s="322"/>
      <c r="V261" s="322"/>
      <c r="W261" s="322"/>
      <c r="X261" s="322"/>
      <c r="Y261" s="322"/>
      <c r="Z261" s="322"/>
    </row>
    <row r="262" ht="12.75" customHeight="1">
      <c r="A262" s="322"/>
      <c r="B262" s="322"/>
      <c r="C262" s="323"/>
      <c r="D262" s="324"/>
      <c r="E262" s="323"/>
      <c r="F262" s="324"/>
      <c r="G262" s="322"/>
      <c r="H262" s="322"/>
      <c r="I262" s="322"/>
      <c r="J262" s="322"/>
      <c r="K262" s="322"/>
      <c r="L262" s="322"/>
      <c r="M262" s="322"/>
      <c r="N262" s="322"/>
      <c r="O262" s="322"/>
      <c r="P262" s="322"/>
      <c r="Q262" s="322"/>
      <c r="R262" s="322"/>
      <c r="S262" s="322"/>
      <c r="T262" s="322"/>
      <c r="U262" s="322"/>
      <c r="V262" s="322"/>
      <c r="W262" s="322"/>
      <c r="X262" s="322"/>
      <c r="Y262" s="322"/>
      <c r="Z262" s="322"/>
    </row>
    <row r="263" ht="12.75" customHeight="1">
      <c r="A263" s="322"/>
      <c r="B263" s="322"/>
      <c r="C263" s="323"/>
      <c r="D263" s="324"/>
      <c r="E263" s="323"/>
      <c r="F263" s="324"/>
      <c r="G263" s="322"/>
      <c r="H263" s="322"/>
      <c r="I263" s="322"/>
      <c r="J263" s="322"/>
      <c r="K263" s="322"/>
      <c r="L263" s="322"/>
      <c r="M263" s="322"/>
      <c r="N263" s="322"/>
      <c r="O263" s="322"/>
      <c r="P263" s="322"/>
      <c r="Q263" s="322"/>
      <c r="R263" s="322"/>
      <c r="S263" s="322"/>
      <c r="T263" s="322"/>
      <c r="U263" s="322"/>
      <c r="V263" s="322"/>
      <c r="W263" s="322"/>
      <c r="X263" s="322"/>
      <c r="Y263" s="322"/>
      <c r="Z263" s="322"/>
    </row>
    <row r="264" ht="12.75" customHeight="1">
      <c r="A264" s="322"/>
      <c r="B264" s="322"/>
      <c r="C264" s="323"/>
      <c r="D264" s="324"/>
      <c r="E264" s="323"/>
      <c r="F264" s="324"/>
      <c r="G264" s="322"/>
      <c r="H264" s="322"/>
      <c r="I264" s="322"/>
      <c r="J264" s="322"/>
      <c r="K264" s="322"/>
      <c r="L264" s="322"/>
      <c r="M264" s="322"/>
      <c r="N264" s="322"/>
      <c r="O264" s="322"/>
      <c r="P264" s="322"/>
      <c r="Q264" s="322"/>
      <c r="R264" s="322"/>
      <c r="S264" s="322"/>
      <c r="T264" s="322"/>
      <c r="U264" s="322"/>
      <c r="V264" s="322"/>
      <c r="W264" s="322"/>
      <c r="X264" s="322"/>
      <c r="Y264" s="322"/>
      <c r="Z264" s="322"/>
    </row>
    <row r="265" ht="12.75" customHeight="1">
      <c r="A265" s="322"/>
      <c r="B265" s="322"/>
      <c r="C265" s="323"/>
      <c r="D265" s="324"/>
      <c r="E265" s="323"/>
      <c r="F265" s="324"/>
      <c r="G265" s="322"/>
      <c r="H265" s="322"/>
      <c r="I265" s="322"/>
      <c r="J265" s="322"/>
      <c r="K265" s="322"/>
      <c r="L265" s="322"/>
      <c r="M265" s="322"/>
      <c r="N265" s="322"/>
      <c r="O265" s="322"/>
      <c r="P265" s="322"/>
      <c r="Q265" s="322"/>
      <c r="R265" s="322"/>
      <c r="S265" s="322"/>
      <c r="T265" s="322"/>
      <c r="U265" s="322"/>
      <c r="V265" s="322"/>
      <c r="W265" s="322"/>
      <c r="X265" s="322"/>
      <c r="Y265" s="322"/>
      <c r="Z265" s="322"/>
    </row>
    <row r="266" ht="12.75" customHeight="1">
      <c r="A266" s="322"/>
      <c r="B266" s="322"/>
      <c r="C266" s="323"/>
      <c r="D266" s="324"/>
      <c r="E266" s="323"/>
      <c r="F266" s="324"/>
      <c r="G266" s="322"/>
      <c r="H266" s="322"/>
      <c r="I266" s="322"/>
      <c r="J266" s="322"/>
      <c r="K266" s="322"/>
      <c r="L266" s="322"/>
      <c r="M266" s="322"/>
      <c r="N266" s="322"/>
      <c r="O266" s="322"/>
      <c r="P266" s="322"/>
      <c r="Q266" s="322"/>
      <c r="R266" s="322"/>
      <c r="S266" s="322"/>
      <c r="T266" s="322"/>
      <c r="U266" s="322"/>
      <c r="V266" s="322"/>
      <c r="W266" s="322"/>
      <c r="X266" s="322"/>
      <c r="Y266" s="322"/>
      <c r="Z266" s="322"/>
    </row>
    <row r="267" ht="12.75" customHeight="1">
      <c r="A267" s="322"/>
      <c r="B267" s="322"/>
      <c r="C267" s="323"/>
      <c r="D267" s="324"/>
      <c r="E267" s="323"/>
      <c r="F267" s="324"/>
      <c r="G267" s="322"/>
      <c r="H267" s="322"/>
      <c r="I267" s="322"/>
      <c r="J267" s="322"/>
      <c r="K267" s="322"/>
      <c r="L267" s="322"/>
      <c r="M267" s="322"/>
      <c r="N267" s="322"/>
      <c r="O267" s="322"/>
      <c r="P267" s="322"/>
      <c r="Q267" s="322"/>
      <c r="R267" s="322"/>
      <c r="S267" s="322"/>
      <c r="T267" s="322"/>
      <c r="U267" s="322"/>
      <c r="V267" s="322"/>
      <c r="W267" s="322"/>
      <c r="X267" s="322"/>
      <c r="Y267" s="322"/>
      <c r="Z267" s="322"/>
    </row>
    <row r="268" ht="12.75" customHeight="1">
      <c r="A268" s="322"/>
      <c r="B268" s="322"/>
      <c r="C268" s="323"/>
      <c r="D268" s="324"/>
      <c r="E268" s="323"/>
      <c r="F268" s="324"/>
      <c r="G268" s="322"/>
      <c r="H268" s="322"/>
      <c r="I268" s="322"/>
      <c r="J268" s="322"/>
      <c r="K268" s="322"/>
      <c r="L268" s="322"/>
      <c r="M268" s="322"/>
      <c r="N268" s="322"/>
      <c r="O268" s="322"/>
      <c r="P268" s="322"/>
      <c r="Q268" s="322"/>
      <c r="R268" s="322"/>
      <c r="S268" s="322"/>
      <c r="T268" s="322"/>
      <c r="U268" s="322"/>
      <c r="V268" s="322"/>
      <c r="W268" s="322"/>
      <c r="X268" s="322"/>
      <c r="Y268" s="322"/>
      <c r="Z268" s="322"/>
    </row>
    <row r="269" ht="12.75" customHeight="1">
      <c r="A269" s="322"/>
      <c r="B269" s="322"/>
      <c r="C269" s="323"/>
      <c r="D269" s="324"/>
      <c r="E269" s="323"/>
      <c r="F269" s="324"/>
      <c r="G269" s="322"/>
      <c r="H269" s="322"/>
      <c r="I269" s="322"/>
      <c r="J269" s="322"/>
      <c r="K269" s="322"/>
      <c r="L269" s="322"/>
      <c r="M269" s="322"/>
      <c r="N269" s="322"/>
      <c r="O269" s="322"/>
      <c r="P269" s="322"/>
      <c r="Q269" s="322"/>
      <c r="R269" s="322"/>
      <c r="S269" s="322"/>
      <c r="T269" s="322"/>
      <c r="U269" s="322"/>
      <c r="V269" s="322"/>
      <c r="W269" s="322"/>
      <c r="X269" s="322"/>
      <c r="Y269" s="322"/>
      <c r="Z269" s="322"/>
    </row>
    <row r="270" ht="12.75" customHeight="1">
      <c r="A270" s="322"/>
      <c r="B270" s="322"/>
      <c r="C270" s="323"/>
      <c r="D270" s="324"/>
      <c r="E270" s="323"/>
      <c r="F270" s="324"/>
      <c r="G270" s="322"/>
      <c r="H270" s="322"/>
      <c r="I270" s="322"/>
      <c r="J270" s="322"/>
      <c r="K270" s="322"/>
      <c r="L270" s="322"/>
      <c r="M270" s="322"/>
      <c r="N270" s="322"/>
      <c r="O270" s="322"/>
      <c r="P270" s="322"/>
      <c r="Q270" s="322"/>
      <c r="R270" s="322"/>
      <c r="S270" s="322"/>
      <c r="T270" s="322"/>
      <c r="U270" s="322"/>
      <c r="V270" s="322"/>
      <c r="W270" s="322"/>
      <c r="X270" s="322"/>
      <c r="Y270" s="322"/>
      <c r="Z270" s="322"/>
    </row>
    <row r="271" ht="12.75" customHeight="1">
      <c r="A271" s="322"/>
      <c r="B271" s="322"/>
      <c r="C271" s="323"/>
      <c r="D271" s="324"/>
      <c r="E271" s="323"/>
      <c r="F271" s="324"/>
      <c r="G271" s="322"/>
      <c r="H271" s="322"/>
      <c r="I271" s="322"/>
      <c r="J271" s="322"/>
      <c r="K271" s="322"/>
      <c r="L271" s="322"/>
      <c r="M271" s="322"/>
      <c r="N271" s="322"/>
      <c r="O271" s="322"/>
      <c r="P271" s="322"/>
      <c r="Q271" s="322"/>
      <c r="R271" s="322"/>
      <c r="S271" s="322"/>
      <c r="T271" s="322"/>
      <c r="U271" s="322"/>
      <c r="V271" s="322"/>
      <c r="W271" s="322"/>
      <c r="X271" s="322"/>
      <c r="Y271" s="322"/>
      <c r="Z271" s="322"/>
    </row>
    <row r="272" ht="12.75" customHeight="1">
      <c r="A272" s="322"/>
      <c r="B272" s="322"/>
      <c r="C272" s="323"/>
      <c r="D272" s="324"/>
      <c r="E272" s="323"/>
      <c r="F272" s="324"/>
      <c r="G272" s="322"/>
      <c r="H272" s="322"/>
      <c r="I272" s="322"/>
      <c r="J272" s="322"/>
      <c r="K272" s="322"/>
      <c r="L272" s="322"/>
      <c r="M272" s="322"/>
      <c r="N272" s="322"/>
      <c r="O272" s="322"/>
      <c r="P272" s="322"/>
      <c r="Q272" s="322"/>
      <c r="R272" s="322"/>
      <c r="S272" s="322"/>
      <c r="T272" s="322"/>
      <c r="U272" s="322"/>
      <c r="V272" s="322"/>
      <c r="W272" s="322"/>
      <c r="X272" s="322"/>
      <c r="Y272" s="322"/>
      <c r="Z272" s="322"/>
    </row>
    <row r="273" ht="12.75" customHeight="1">
      <c r="A273" s="322"/>
      <c r="B273" s="322"/>
      <c r="C273" s="323"/>
      <c r="D273" s="324"/>
      <c r="E273" s="323"/>
      <c r="F273" s="324"/>
      <c r="G273" s="322"/>
      <c r="H273" s="322"/>
      <c r="I273" s="322"/>
      <c r="J273" s="322"/>
      <c r="K273" s="322"/>
      <c r="L273" s="322"/>
      <c r="M273" s="322"/>
      <c r="N273" s="322"/>
      <c r="O273" s="322"/>
      <c r="P273" s="322"/>
      <c r="Q273" s="322"/>
      <c r="R273" s="322"/>
      <c r="S273" s="322"/>
      <c r="T273" s="322"/>
      <c r="U273" s="322"/>
      <c r="V273" s="322"/>
      <c r="W273" s="322"/>
      <c r="X273" s="322"/>
      <c r="Y273" s="322"/>
      <c r="Z273" s="322"/>
    </row>
    <row r="274" ht="12.75" customHeight="1">
      <c r="A274" s="322"/>
      <c r="B274" s="322"/>
      <c r="C274" s="323"/>
      <c r="D274" s="324"/>
      <c r="E274" s="323"/>
      <c r="F274" s="324"/>
      <c r="G274" s="322"/>
      <c r="H274" s="322"/>
      <c r="I274" s="322"/>
      <c r="J274" s="322"/>
      <c r="K274" s="322"/>
      <c r="L274" s="322"/>
      <c r="M274" s="322"/>
      <c r="N274" s="322"/>
      <c r="O274" s="322"/>
      <c r="P274" s="322"/>
      <c r="Q274" s="322"/>
      <c r="R274" s="322"/>
      <c r="S274" s="322"/>
      <c r="T274" s="322"/>
      <c r="U274" s="322"/>
      <c r="V274" s="322"/>
      <c r="W274" s="322"/>
      <c r="X274" s="322"/>
      <c r="Y274" s="322"/>
      <c r="Z274" s="322"/>
    </row>
    <row r="275" ht="12.75" customHeight="1">
      <c r="A275" s="322"/>
      <c r="B275" s="322"/>
      <c r="C275" s="323"/>
      <c r="D275" s="324"/>
      <c r="E275" s="323"/>
      <c r="F275" s="324"/>
      <c r="G275" s="322"/>
      <c r="H275" s="322"/>
      <c r="I275" s="322"/>
      <c r="J275" s="322"/>
      <c r="K275" s="322"/>
      <c r="L275" s="322"/>
      <c r="M275" s="322"/>
      <c r="N275" s="322"/>
      <c r="O275" s="322"/>
      <c r="P275" s="322"/>
      <c r="Q275" s="322"/>
      <c r="R275" s="322"/>
      <c r="S275" s="322"/>
      <c r="T275" s="322"/>
      <c r="U275" s="322"/>
      <c r="V275" s="322"/>
      <c r="W275" s="322"/>
      <c r="X275" s="322"/>
      <c r="Y275" s="322"/>
      <c r="Z275" s="322"/>
    </row>
    <row r="276" ht="12.75" customHeight="1">
      <c r="A276" s="322"/>
      <c r="B276" s="322"/>
      <c r="C276" s="323"/>
      <c r="D276" s="324"/>
      <c r="E276" s="323"/>
      <c r="F276" s="324"/>
      <c r="G276" s="322"/>
      <c r="H276" s="322"/>
      <c r="I276" s="322"/>
      <c r="J276" s="322"/>
      <c r="K276" s="322"/>
      <c r="L276" s="322"/>
      <c r="M276" s="322"/>
      <c r="N276" s="322"/>
      <c r="O276" s="322"/>
      <c r="P276" s="322"/>
      <c r="Q276" s="322"/>
      <c r="R276" s="322"/>
      <c r="S276" s="322"/>
      <c r="T276" s="322"/>
      <c r="U276" s="322"/>
      <c r="V276" s="322"/>
      <c r="W276" s="322"/>
      <c r="X276" s="322"/>
      <c r="Y276" s="322"/>
      <c r="Z276" s="322"/>
    </row>
    <row r="277" ht="12.75" customHeight="1">
      <c r="A277" s="322"/>
      <c r="B277" s="322"/>
      <c r="C277" s="323"/>
      <c r="D277" s="324"/>
      <c r="E277" s="323"/>
      <c r="F277" s="324"/>
      <c r="G277" s="322"/>
      <c r="H277" s="322"/>
      <c r="I277" s="322"/>
      <c r="J277" s="322"/>
      <c r="K277" s="322"/>
      <c r="L277" s="322"/>
      <c r="M277" s="322"/>
      <c r="N277" s="322"/>
      <c r="O277" s="322"/>
      <c r="P277" s="322"/>
      <c r="Q277" s="322"/>
      <c r="R277" s="322"/>
      <c r="S277" s="322"/>
      <c r="T277" s="322"/>
      <c r="U277" s="322"/>
      <c r="V277" s="322"/>
      <c r="W277" s="322"/>
      <c r="X277" s="322"/>
      <c r="Y277" s="322"/>
      <c r="Z277" s="322"/>
    </row>
    <row r="278" ht="12.75" customHeight="1">
      <c r="A278" s="322"/>
      <c r="B278" s="322"/>
      <c r="C278" s="323"/>
      <c r="D278" s="324"/>
      <c r="E278" s="323"/>
      <c r="F278" s="324"/>
      <c r="G278" s="322"/>
      <c r="H278" s="322"/>
      <c r="I278" s="322"/>
      <c r="J278" s="322"/>
      <c r="K278" s="322"/>
      <c r="L278" s="322"/>
      <c r="M278" s="322"/>
      <c r="N278" s="322"/>
      <c r="O278" s="322"/>
      <c r="P278" s="322"/>
      <c r="Q278" s="322"/>
      <c r="R278" s="322"/>
      <c r="S278" s="322"/>
      <c r="T278" s="322"/>
      <c r="U278" s="322"/>
      <c r="V278" s="322"/>
      <c r="W278" s="322"/>
      <c r="X278" s="322"/>
      <c r="Y278" s="322"/>
      <c r="Z278" s="322"/>
    </row>
    <row r="279" ht="12.75" customHeight="1">
      <c r="A279" s="322"/>
      <c r="B279" s="322"/>
      <c r="C279" s="323"/>
      <c r="D279" s="324"/>
      <c r="E279" s="323"/>
      <c r="F279" s="324"/>
      <c r="G279" s="322"/>
      <c r="H279" s="322"/>
      <c r="I279" s="322"/>
      <c r="J279" s="322"/>
      <c r="K279" s="322"/>
      <c r="L279" s="322"/>
      <c r="M279" s="322"/>
      <c r="N279" s="322"/>
      <c r="O279" s="322"/>
      <c r="P279" s="322"/>
      <c r="Q279" s="322"/>
      <c r="R279" s="322"/>
      <c r="S279" s="322"/>
      <c r="T279" s="322"/>
      <c r="U279" s="322"/>
      <c r="V279" s="322"/>
      <c r="W279" s="322"/>
      <c r="X279" s="322"/>
      <c r="Y279" s="322"/>
      <c r="Z279" s="322"/>
    </row>
    <row r="280" ht="12.75" customHeight="1">
      <c r="A280" s="322"/>
      <c r="B280" s="322"/>
      <c r="C280" s="323"/>
      <c r="D280" s="324"/>
      <c r="E280" s="323"/>
      <c r="F280" s="324"/>
      <c r="G280" s="322"/>
      <c r="H280" s="322"/>
      <c r="I280" s="322"/>
      <c r="J280" s="322"/>
      <c r="K280" s="322"/>
      <c r="L280" s="322"/>
      <c r="M280" s="322"/>
      <c r="N280" s="322"/>
      <c r="O280" s="322"/>
      <c r="P280" s="322"/>
      <c r="Q280" s="322"/>
      <c r="R280" s="322"/>
      <c r="S280" s="322"/>
      <c r="T280" s="322"/>
      <c r="U280" s="322"/>
      <c r="V280" s="322"/>
      <c r="W280" s="322"/>
      <c r="X280" s="322"/>
      <c r="Y280" s="322"/>
      <c r="Z280" s="322"/>
    </row>
    <row r="281" ht="12.75" customHeight="1">
      <c r="A281" s="322"/>
      <c r="B281" s="322"/>
      <c r="C281" s="323"/>
      <c r="D281" s="324"/>
      <c r="E281" s="323"/>
      <c r="F281" s="324"/>
      <c r="G281" s="322"/>
      <c r="H281" s="322"/>
      <c r="I281" s="322"/>
      <c r="J281" s="322"/>
      <c r="K281" s="322"/>
      <c r="L281" s="322"/>
      <c r="M281" s="322"/>
      <c r="N281" s="322"/>
      <c r="O281" s="322"/>
      <c r="P281" s="322"/>
      <c r="Q281" s="322"/>
      <c r="R281" s="322"/>
      <c r="S281" s="322"/>
      <c r="T281" s="322"/>
      <c r="U281" s="322"/>
      <c r="V281" s="322"/>
      <c r="W281" s="322"/>
      <c r="X281" s="322"/>
      <c r="Y281" s="322"/>
      <c r="Z281" s="322"/>
    </row>
    <row r="282" ht="12.75" customHeight="1">
      <c r="A282" s="322"/>
      <c r="B282" s="322"/>
      <c r="C282" s="323"/>
      <c r="D282" s="324"/>
      <c r="E282" s="323"/>
      <c r="F282" s="324"/>
      <c r="G282" s="322"/>
      <c r="H282" s="322"/>
      <c r="I282" s="322"/>
      <c r="J282" s="322"/>
      <c r="K282" s="322"/>
      <c r="L282" s="322"/>
      <c r="M282" s="322"/>
      <c r="N282" s="322"/>
      <c r="O282" s="322"/>
      <c r="P282" s="322"/>
      <c r="Q282" s="322"/>
      <c r="R282" s="322"/>
      <c r="S282" s="322"/>
      <c r="T282" s="322"/>
      <c r="U282" s="322"/>
      <c r="V282" s="322"/>
      <c r="W282" s="322"/>
      <c r="X282" s="322"/>
      <c r="Y282" s="322"/>
      <c r="Z282" s="322"/>
    </row>
    <row r="283" ht="12.75" customHeight="1">
      <c r="A283" s="322"/>
      <c r="B283" s="322"/>
      <c r="C283" s="323"/>
      <c r="D283" s="324"/>
      <c r="E283" s="323"/>
      <c r="F283" s="324"/>
      <c r="G283" s="322"/>
      <c r="H283" s="322"/>
      <c r="I283" s="322"/>
      <c r="J283" s="322"/>
      <c r="K283" s="322"/>
      <c r="L283" s="322"/>
      <c r="M283" s="322"/>
      <c r="N283" s="322"/>
      <c r="O283" s="322"/>
      <c r="P283" s="322"/>
      <c r="Q283" s="322"/>
      <c r="R283" s="322"/>
      <c r="S283" s="322"/>
      <c r="T283" s="322"/>
      <c r="U283" s="322"/>
      <c r="V283" s="322"/>
      <c r="W283" s="322"/>
      <c r="X283" s="322"/>
      <c r="Y283" s="322"/>
      <c r="Z283" s="322"/>
    </row>
    <row r="284" ht="12.75" customHeight="1">
      <c r="A284" s="322"/>
      <c r="B284" s="322"/>
      <c r="C284" s="323"/>
      <c r="D284" s="324"/>
      <c r="E284" s="323"/>
      <c r="F284" s="324"/>
      <c r="G284" s="322"/>
      <c r="H284" s="322"/>
      <c r="I284" s="322"/>
      <c r="J284" s="322"/>
      <c r="K284" s="322"/>
      <c r="L284" s="322"/>
      <c r="M284" s="322"/>
      <c r="N284" s="322"/>
      <c r="O284" s="322"/>
      <c r="P284" s="322"/>
      <c r="Q284" s="322"/>
      <c r="R284" s="322"/>
      <c r="S284" s="322"/>
      <c r="T284" s="322"/>
      <c r="U284" s="322"/>
      <c r="V284" s="322"/>
      <c r="W284" s="322"/>
      <c r="X284" s="322"/>
      <c r="Y284" s="322"/>
      <c r="Z284" s="322"/>
    </row>
    <row r="285" ht="12.75" customHeight="1">
      <c r="A285" s="322"/>
      <c r="B285" s="322"/>
      <c r="C285" s="323"/>
      <c r="D285" s="324"/>
      <c r="E285" s="323"/>
      <c r="F285" s="324"/>
      <c r="G285" s="322"/>
      <c r="H285" s="322"/>
      <c r="I285" s="322"/>
      <c r="J285" s="322"/>
      <c r="K285" s="322"/>
      <c r="L285" s="322"/>
      <c r="M285" s="322"/>
      <c r="N285" s="322"/>
      <c r="O285" s="322"/>
      <c r="P285" s="322"/>
      <c r="Q285" s="322"/>
      <c r="R285" s="322"/>
      <c r="S285" s="322"/>
      <c r="T285" s="322"/>
      <c r="U285" s="322"/>
      <c r="V285" s="322"/>
      <c r="W285" s="322"/>
      <c r="X285" s="322"/>
      <c r="Y285" s="322"/>
      <c r="Z285" s="322"/>
    </row>
    <row r="286" ht="12.75" customHeight="1">
      <c r="A286" s="322"/>
      <c r="B286" s="322"/>
      <c r="C286" s="323"/>
      <c r="D286" s="324"/>
      <c r="E286" s="323"/>
      <c r="F286" s="324"/>
      <c r="G286" s="322"/>
      <c r="H286" s="322"/>
      <c r="I286" s="322"/>
      <c r="J286" s="322"/>
      <c r="K286" s="322"/>
      <c r="L286" s="322"/>
      <c r="M286" s="322"/>
      <c r="N286" s="322"/>
      <c r="O286" s="322"/>
      <c r="P286" s="322"/>
      <c r="Q286" s="322"/>
      <c r="R286" s="322"/>
      <c r="S286" s="322"/>
      <c r="T286" s="322"/>
      <c r="U286" s="322"/>
      <c r="V286" s="322"/>
      <c r="W286" s="322"/>
      <c r="X286" s="322"/>
      <c r="Y286" s="322"/>
      <c r="Z286" s="322"/>
    </row>
    <row r="287" ht="12.75" customHeight="1">
      <c r="A287" s="322"/>
      <c r="B287" s="322"/>
      <c r="C287" s="323"/>
      <c r="D287" s="324"/>
      <c r="E287" s="323"/>
      <c r="F287" s="324"/>
      <c r="G287" s="322"/>
      <c r="H287" s="322"/>
      <c r="I287" s="322"/>
      <c r="J287" s="322"/>
      <c r="K287" s="322"/>
      <c r="L287" s="322"/>
      <c r="M287" s="322"/>
      <c r="N287" s="322"/>
      <c r="O287" s="322"/>
      <c r="P287" s="322"/>
      <c r="Q287" s="322"/>
      <c r="R287" s="322"/>
      <c r="S287" s="322"/>
      <c r="T287" s="322"/>
      <c r="U287" s="322"/>
      <c r="V287" s="322"/>
      <c r="W287" s="322"/>
      <c r="X287" s="322"/>
      <c r="Y287" s="322"/>
      <c r="Z287" s="322"/>
    </row>
    <row r="288" ht="12.75" customHeight="1">
      <c r="A288" s="322"/>
      <c r="B288" s="322"/>
      <c r="C288" s="323"/>
      <c r="D288" s="324"/>
      <c r="E288" s="323"/>
      <c r="F288" s="324"/>
      <c r="G288" s="322"/>
      <c r="H288" s="322"/>
      <c r="I288" s="322"/>
      <c r="J288" s="322"/>
      <c r="K288" s="322"/>
      <c r="L288" s="322"/>
      <c r="M288" s="322"/>
      <c r="N288" s="322"/>
      <c r="O288" s="322"/>
      <c r="P288" s="322"/>
      <c r="Q288" s="322"/>
      <c r="R288" s="322"/>
      <c r="S288" s="322"/>
      <c r="T288" s="322"/>
      <c r="U288" s="322"/>
      <c r="V288" s="322"/>
      <c r="W288" s="322"/>
      <c r="X288" s="322"/>
      <c r="Y288" s="322"/>
      <c r="Z288" s="322"/>
    </row>
    <row r="289" ht="12.75" customHeight="1">
      <c r="A289" s="322"/>
      <c r="B289" s="322"/>
      <c r="C289" s="323"/>
      <c r="D289" s="324"/>
      <c r="E289" s="323"/>
      <c r="F289" s="324"/>
      <c r="G289" s="322"/>
      <c r="H289" s="322"/>
      <c r="I289" s="322"/>
      <c r="J289" s="322"/>
      <c r="K289" s="322"/>
      <c r="L289" s="322"/>
      <c r="M289" s="322"/>
      <c r="N289" s="322"/>
      <c r="O289" s="322"/>
      <c r="P289" s="322"/>
      <c r="Q289" s="322"/>
      <c r="R289" s="322"/>
      <c r="S289" s="322"/>
      <c r="T289" s="322"/>
      <c r="U289" s="322"/>
      <c r="V289" s="322"/>
      <c r="W289" s="322"/>
      <c r="X289" s="322"/>
      <c r="Y289" s="322"/>
      <c r="Z289" s="322"/>
    </row>
    <row r="290" ht="12.75" customHeight="1">
      <c r="A290" s="322"/>
      <c r="B290" s="322"/>
      <c r="C290" s="323"/>
      <c r="D290" s="324"/>
      <c r="E290" s="323"/>
      <c r="F290" s="324"/>
      <c r="G290" s="322"/>
      <c r="H290" s="322"/>
      <c r="I290" s="322"/>
      <c r="J290" s="322"/>
      <c r="K290" s="322"/>
      <c r="L290" s="322"/>
      <c r="M290" s="322"/>
      <c r="N290" s="322"/>
      <c r="O290" s="322"/>
      <c r="P290" s="322"/>
      <c r="Q290" s="322"/>
      <c r="R290" s="322"/>
      <c r="S290" s="322"/>
      <c r="T290" s="322"/>
      <c r="U290" s="322"/>
      <c r="V290" s="322"/>
      <c r="W290" s="322"/>
      <c r="X290" s="322"/>
      <c r="Y290" s="322"/>
      <c r="Z290" s="322"/>
    </row>
    <row r="291" ht="12.75" customHeight="1">
      <c r="A291" s="322"/>
      <c r="B291" s="322"/>
      <c r="C291" s="323"/>
      <c r="D291" s="324"/>
      <c r="E291" s="323"/>
      <c r="F291" s="324"/>
      <c r="G291" s="322"/>
      <c r="H291" s="322"/>
      <c r="I291" s="322"/>
      <c r="J291" s="322"/>
      <c r="K291" s="322"/>
      <c r="L291" s="322"/>
      <c r="M291" s="322"/>
      <c r="N291" s="322"/>
      <c r="O291" s="322"/>
      <c r="P291" s="322"/>
      <c r="Q291" s="322"/>
      <c r="R291" s="322"/>
      <c r="S291" s="322"/>
      <c r="T291" s="322"/>
      <c r="U291" s="322"/>
      <c r="V291" s="322"/>
      <c r="W291" s="322"/>
      <c r="X291" s="322"/>
      <c r="Y291" s="322"/>
      <c r="Z291" s="322"/>
    </row>
    <row r="292" ht="12.75" customHeight="1">
      <c r="A292" s="322"/>
      <c r="B292" s="322"/>
      <c r="C292" s="323"/>
      <c r="D292" s="324"/>
      <c r="E292" s="323"/>
      <c r="F292" s="324"/>
      <c r="G292" s="322"/>
      <c r="H292" s="322"/>
      <c r="I292" s="322"/>
      <c r="J292" s="322"/>
      <c r="K292" s="322"/>
      <c r="L292" s="322"/>
      <c r="M292" s="322"/>
      <c r="N292" s="322"/>
      <c r="O292" s="322"/>
      <c r="P292" s="322"/>
      <c r="Q292" s="322"/>
      <c r="R292" s="322"/>
      <c r="S292" s="322"/>
      <c r="T292" s="322"/>
      <c r="U292" s="322"/>
      <c r="V292" s="322"/>
      <c r="W292" s="322"/>
      <c r="X292" s="322"/>
      <c r="Y292" s="322"/>
      <c r="Z292" s="322"/>
    </row>
    <row r="293" ht="12.75" customHeight="1">
      <c r="A293" s="322"/>
      <c r="B293" s="322"/>
      <c r="C293" s="323"/>
      <c r="D293" s="324"/>
      <c r="E293" s="323"/>
      <c r="F293" s="324"/>
      <c r="G293" s="322"/>
      <c r="H293" s="322"/>
      <c r="I293" s="322"/>
      <c r="J293" s="322"/>
      <c r="K293" s="322"/>
      <c r="L293" s="322"/>
      <c r="M293" s="322"/>
      <c r="N293" s="322"/>
      <c r="O293" s="322"/>
      <c r="P293" s="322"/>
      <c r="Q293" s="322"/>
      <c r="R293" s="322"/>
      <c r="S293" s="322"/>
      <c r="T293" s="322"/>
      <c r="U293" s="322"/>
      <c r="V293" s="322"/>
      <c r="W293" s="322"/>
      <c r="X293" s="322"/>
      <c r="Y293" s="322"/>
      <c r="Z293" s="322"/>
    </row>
    <row r="294" ht="12.75" customHeight="1">
      <c r="A294" s="322"/>
      <c r="B294" s="322"/>
      <c r="C294" s="323"/>
      <c r="D294" s="324"/>
      <c r="E294" s="323"/>
      <c r="F294" s="324"/>
      <c r="G294" s="322"/>
      <c r="H294" s="322"/>
      <c r="I294" s="322"/>
      <c r="J294" s="322"/>
      <c r="K294" s="322"/>
      <c r="L294" s="322"/>
      <c r="M294" s="322"/>
      <c r="N294" s="322"/>
      <c r="O294" s="322"/>
      <c r="P294" s="322"/>
      <c r="Q294" s="322"/>
      <c r="R294" s="322"/>
      <c r="S294" s="322"/>
      <c r="T294" s="322"/>
      <c r="U294" s="322"/>
      <c r="V294" s="322"/>
      <c r="W294" s="322"/>
      <c r="X294" s="322"/>
      <c r="Y294" s="322"/>
      <c r="Z294" s="322"/>
    </row>
    <row r="295" ht="12.75" customHeight="1">
      <c r="A295" s="322"/>
      <c r="B295" s="322"/>
      <c r="C295" s="323"/>
      <c r="D295" s="324"/>
      <c r="E295" s="323"/>
      <c r="F295" s="324"/>
      <c r="G295" s="322"/>
      <c r="H295" s="322"/>
      <c r="I295" s="322"/>
      <c r="J295" s="322"/>
      <c r="K295" s="322"/>
      <c r="L295" s="322"/>
      <c r="M295" s="322"/>
      <c r="N295" s="322"/>
      <c r="O295" s="322"/>
      <c r="P295" s="322"/>
      <c r="Q295" s="322"/>
      <c r="R295" s="322"/>
      <c r="S295" s="322"/>
      <c r="T295" s="322"/>
      <c r="U295" s="322"/>
      <c r="V295" s="322"/>
      <c r="W295" s="322"/>
      <c r="X295" s="322"/>
      <c r="Y295" s="322"/>
      <c r="Z295" s="322"/>
    </row>
    <row r="296" ht="12.75" customHeight="1">
      <c r="A296" s="322"/>
      <c r="B296" s="322"/>
      <c r="C296" s="323"/>
      <c r="D296" s="324"/>
      <c r="E296" s="323"/>
      <c r="F296" s="324"/>
      <c r="G296" s="322"/>
      <c r="H296" s="322"/>
      <c r="I296" s="322"/>
      <c r="J296" s="322"/>
      <c r="K296" s="322"/>
      <c r="L296" s="322"/>
      <c r="M296" s="322"/>
      <c r="N296" s="322"/>
      <c r="O296" s="322"/>
      <c r="P296" s="322"/>
      <c r="Q296" s="322"/>
      <c r="R296" s="322"/>
      <c r="S296" s="322"/>
      <c r="T296" s="322"/>
      <c r="U296" s="322"/>
      <c r="V296" s="322"/>
      <c r="W296" s="322"/>
      <c r="X296" s="322"/>
      <c r="Y296" s="322"/>
      <c r="Z296" s="322"/>
    </row>
    <row r="297" ht="12.75" customHeight="1">
      <c r="A297" s="322"/>
      <c r="B297" s="322"/>
      <c r="C297" s="323"/>
      <c r="D297" s="324"/>
      <c r="E297" s="323"/>
      <c r="F297" s="324"/>
      <c r="G297" s="322"/>
      <c r="H297" s="322"/>
      <c r="I297" s="322"/>
      <c r="J297" s="322"/>
      <c r="K297" s="322"/>
      <c r="L297" s="322"/>
      <c r="M297" s="322"/>
      <c r="N297" s="322"/>
      <c r="O297" s="322"/>
      <c r="P297" s="322"/>
      <c r="Q297" s="322"/>
      <c r="R297" s="322"/>
      <c r="S297" s="322"/>
      <c r="T297" s="322"/>
      <c r="U297" s="322"/>
      <c r="V297" s="322"/>
      <c r="W297" s="322"/>
      <c r="X297" s="322"/>
      <c r="Y297" s="322"/>
      <c r="Z297" s="322"/>
    </row>
    <row r="298" ht="12.75" customHeight="1">
      <c r="A298" s="322"/>
      <c r="B298" s="322"/>
      <c r="C298" s="323"/>
      <c r="D298" s="324"/>
      <c r="E298" s="323"/>
      <c r="F298" s="324"/>
      <c r="G298" s="322"/>
      <c r="H298" s="322"/>
      <c r="I298" s="322"/>
      <c r="J298" s="322"/>
      <c r="K298" s="322"/>
      <c r="L298" s="322"/>
      <c r="M298" s="322"/>
      <c r="N298" s="322"/>
      <c r="O298" s="322"/>
      <c r="P298" s="322"/>
      <c r="Q298" s="322"/>
      <c r="R298" s="322"/>
      <c r="S298" s="322"/>
      <c r="T298" s="322"/>
      <c r="U298" s="322"/>
      <c r="V298" s="322"/>
      <c r="W298" s="322"/>
      <c r="X298" s="322"/>
      <c r="Y298" s="322"/>
      <c r="Z298" s="322"/>
    </row>
    <row r="299" ht="12.75" customHeight="1">
      <c r="A299" s="322"/>
      <c r="B299" s="322"/>
      <c r="C299" s="323"/>
      <c r="D299" s="324"/>
      <c r="E299" s="323"/>
      <c r="F299" s="324"/>
      <c r="G299" s="322"/>
      <c r="H299" s="322"/>
      <c r="I299" s="322"/>
      <c r="J299" s="322"/>
      <c r="K299" s="322"/>
      <c r="L299" s="322"/>
      <c r="M299" s="322"/>
      <c r="N299" s="322"/>
      <c r="O299" s="322"/>
      <c r="P299" s="322"/>
      <c r="Q299" s="322"/>
      <c r="R299" s="322"/>
      <c r="S299" s="322"/>
      <c r="T299" s="322"/>
      <c r="U299" s="322"/>
      <c r="V299" s="322"/>
      <c r="W299" s="322"/>
      <c r="X299" s="322"/>
      <c r="Y299" s="322"/>
      <c r="Z299" s="322"/>
    </row>
    <row r="300" ht="12.75" customHeight="1">
      <c r="A300" s="322"/>
      <c r="B300" s="322"/>
      <c r="C300" s="323"/>
      <c r="D300" s="324"/>
      <c r="E300" s="323"/>
      <c r="F300" s="324"/>
      <c r="G300" s="322"/>
      <c r="H300" s="322"/>
      <c r="I300" s="322"/>
      <c r="J300" s="322"/>
      <c r="K300" s="322"/>
      <c r="L300" s="322"/>
      <c r="M300" s="322"/>
      <c r="N300" s="322"/>
      <c r="O300" s="322"/>
      <c r="P300" s="322"/>
      <c r="Q300" s="322"/>
      <c r="R300" s="322"/>
      <c r="S300" s="322"/>
      <c r="T300" s="322"/>
      <c r="U300" s="322"/>
      <c r="V300" s="322"/>
      <c r="W300" s="322"/>
      <c r="X300" s="322"/>
      <c r="Y300" s="322"/>
      <c r="Z300" s="322"/>
    </row>
    <row r="301" ht="12.75" customHeight="1">
      <c r="A301" s="322"/>
      <c r="B301" s="322"/>
      <c r="C301" s="323"/>
      <c r="D301" s="324"/>
      <c r="E301" s="323"/>
      <c r="F301" s="324"/>
      <c r="G301" s="322"/>
      <c r="H301" s="322"/>
      <c r="I301" s="322"/>
      <c r="J301" s="322"/>
      <c r="K301" s="322"/>
      <c r="L301" s="322"/>
      <c r="M301" s="322"/>
      <c r="N301" s="322"/>
      <c r="O301" s="322"/>
      <c r="P301" s="322"/>
      <c r="Q301" s="322"/>
      <c r="R301" s="322"/>
      <c r="S301" s="322"/>
      <c r="T301" s="322"/>
      <c r="U301" s="322"/>
      <c r="V301" s="322"/>
      <c r="W301" s="322"/>
      <c r="X301" s="322"/>
      <c r="Y301" s="322"/>
      <c r="Z301" s="322"/>
    </row>
    <row r="302" ht="12.75" customHeight="1">
      <c r="A302" s="322"/>
      <c r="B302" s="322"/>
      <c r="C302" s="323"/>
      <c r="D302" s="324"/>
      <c r="E302" s="323"/>
      <c r="F302" s="324"/>
      <c r="G302" s="322"/>
      <c r="H302" s="322"/>
      <c r="I302" s="322"/>
      <c r="J302" s="322"/>
      <c r="K302" s="322"/>
      <c r="L302" s="322"/>
      <c r="M302" s="322"/>
      <c r="N302" s="322"/>
      <c r="O302" s="322"/>
      <c r="P302" s="322"/>
      <c r="Q302" s="322"/>
      <c r="R302" s="322"/>
      <c r="S302" s="322"/>
      <c r="T302" s="322"/>
      <c r="U302" s="322"/>
      <c r="V302" s="322"/>
      <c r="W302" s="322"/>
      <c r="X302" s="322"/>
      <c r="Y302" s="322"/>
      <c r="Z302" s="322"/>
    </row>
    <row r="303" ht="12.75" customHeight="1">
      <c r="A303" s="322"/>
      <c r="B303" s="322"/>
      <c r="C303" s="323"/>
      <c r="D303" s="324"/>
      <c r="E303" s="323"/>
      <c r="F303" s="324"/>
      <c r="G303" s="322"/>
      <c r="H303" s="322"/>
      <c r="I303" s="322"/>
      <c r="J303" s="322"/>
      <c r="K303" s="322"/>
      <c r="L303" s="322"/>
      <c r="M303" s="322"/>
      <c r="N303" s="322"/>
      <c r="O303" s="322"/>
      <c r="P303" s="322"/>
      <c r="Q303" s="322"/>
      <c r="R303" s="322"/>
      <c r="S303" s="322"/>
      <c r="T303" s="322"/>
      <c r="U303" s="322"/>
      <c r="V303" s="322"/>
      <c r="W303" s="322"/>
      <c r="X303" s="322"/>
      <c r="Y303" s="322"/>
      <c r="Z303" s="322"/>
    </row>
    <row r="304" ht="12.75" customHeight="1">
      <c r="A304" s="322"/>
      <c r="B304" s="322"/>
      <c r="C304" s="323"/>
      <c r="D304" s="324"/>
      <c r="E304" s="323"/>
      <c r="F304" s="324"/>
      <c r="G304" s="322"/>
      <c r="H304" s="322"/>
      <c r="I304" s="322"/>
      <c r="J304" s="322"/>
      <c r="K304" s="322"/>
      <c r="L304" s="322"/>
      <c r="M304" s="322"/>
      <c r="N304" s="322"/>
      <c r="O304" s="322"/>
      <c r="P304" s="322"/>
      <c r="Q304" s="322"/>
      <c r="R304" s="322"/>
      <c r="S304" s="322"/>
      <c r="T304" s="322"/>
      <c r="U304" s="322"/>
      <c r="V304" s="322"/>
      <c r="W304" s="322"/>
      <c r="X304" s="322"/>
      <c r="Y304" s="322"/>
      <c r="Z304" s="322"/>
    </row>
    <row r="305" ht="12.75" customHeight="1">
      <c r="A305" s="322"/>
      <c r="B305" s="322"/>
      <c r="C305" s="323"/>
      <c r="D305" s="324"/>
      <c r="E305" s="323"/>
      <c r="F305" s="324"/>
      <c r="G305" s="322"/>
      <c r="H305" s="322"/>
      <c r="I305" s="322"/>
      <c r="J305" s="322"/>
      <c r="K305" s="322"/>
      <c r="L305" s="322"/>
      <c r="M305" s="322"/>
      <c r="N305" s="322"/>
      <c r="O305" s="322"/>
      <c r="P305" s="322"/>
      <c r="Q305" s="322"/>
      <c r="R305" s="322"/>
      <c r="S305" s="322"/>
      <c r="T305" s="322"/>
      <c r="U305" s="322"/>
      <c r="V305" s="322"/>
      <c r="W305" s="322"/>
      <c r="X305" s="322"/>
      <c r="Y305" s="322"/>
      <c r="Z305" s="322"/>
    </row>
    <row r="306" ht="12.75" customHeight="1">
      <c r="A306" s="322"/>
      <c r="B306" s="322"/>
      <c r="C306" s="323"/>
      <c r="D306" s="324"/>
      <c r="E306" s="323"/>
      <c r="F306" s="324"/>
      <c r="G306" s="322"/>
      <c r="H306" s="322"/>
      <c r="I306" s="322"/>
      <c r="J306" s="322"/>
      <c r="K306" s="322"/>
      <c r="L306" s="322"/>
      <c r="M306" s="322"/>
      <c r="N306" s="322"/>
      <c r="O306" s="322"/>
      <c r="P306" s="322"/>
      <c r="Q306" s="322"/>
      <c r="R306" s="322"/>
      <c r="S306" s="322"/>
      <c r="T306" s="322"/>
      <c r="U306" s="322"/>
      <c r="V306" s="322"/>
      <c r="W306" s="322"/>
      <c r="X306" s="322"/>
      <c r="Y306" s="322"/>
      <c r="Z306" s="322"/>
    </row>
    <row r="307" ht="12.75" customHeight="1">
      <c r="A307" s="322"/>
      <c r="B307" s="322"/>
      <c r="C307" s="323"/>
      <c r="D307" s="324"/>
      <c r="E307" s="323"/>
      <c r="F307" s="324"/>
      <c r="G307" s="322"/>
      <c r="H307" s="322"/>
      <c r="I307" s="322"/>
      <c r="J307" s="322"/>
      <c r="K307" s="322"/>
      <c r="L307" s="322"/>
      <c r="M307" s="322"/>
      <c r="N307" s="322"/>
      <c r="O307" s="322"/>
      <c r="P307" s="322"/>
      <c r="Q307" s="322"/>
      <c r="R307" s="322"/>
      <c r="S307" s="322"/>
      <c r="T307" s="322"/>
      <c r="U307" s="322"/>
      <c r="V307" s="322"/>
      <c r="W307" s="322"/>
      <c r="X307" s="322"/>
      <c r="Y307" s="322"/>
      <c r="Z307" s="322"/>
    </row>
    <row r="308" ht="12.75" customHeight="1">
      <c r="A308" s="322"/>
      <c r="B308" s="322"/>
      <c r="C308" s="323"/>
      <c r="D308" s="324"/>
      <c r="E308" s="323"/>
      <c r="F308" s="324"/>
      <c r="G308" s="322"/>
      <c r="H308" s="322"/>
      <c r="I308" s="322"/>
      <c r="J308" s="322"/>
      <c r="K308" s="322"/>
      <c r="L308" s="322"/>
      <c r="M308" s="322"/>
      <c r="N308" s="322"/>
      <c r="O308" s="322"/>
      <c r="P308" s="322"/>
      <c r="Q308" s="322"/>
      <c r="R308" s="322"/>
      <c r="S308" s="322"/>
      <c r="T308" s="322"/>
      <c r="U308" s="322"/>
      <c r="V308" s="322"/>
      <c r="W308" s="322"/>
      <c r="X308" s="322"/>
      <c r="Y308" s="322"/>
      <c r="Z308" s="322"/>
    </row>
    <row r="309" ht="12.75" customHeight="1">
      <c r="A309" s="322"/>
      <c r="B309" s="322"/>
      <c r="C309" s="323"/>
      <c r="D309" s="324"/>
      <c r="E309" s="323"/>
      <c r="F309" s="324"/>
      <c r="G309" s="322"/>
      <c r="H309" s="322"/>
      <c r="I309" s="322"/>
      <c r="J309" s="322"/>
      <c r="K309" s="322"/>
      <c r="L309" s="322"/>
      <c r="M309" s="322"/>
      <c r="N309" s="322"/>
      <c r="O309" s="322"/>
      <c r="P309" s="322"/>
      <c r="Q309" s="322"/>
      <c r="R309" s="322"/>
      <c r="S309" s="322"/>
      <c r="T309" s="322"/>
      <c r="U309" s="322"/>
      <c r="V309" s="322"/>
      <c r="W309" s="322"/>
      <c r="X309" s="322"/>
      <c r="Y309" s="322"/>
      <c r="Z309" s="322"/>
    </row>
    <row r="310" ht="12.75" customHeight="1">
      <c r="A310" s="322"/>
      <c r="B310" s="322"/>
      <c r="C310" s="323"/>
      <c r="D310" s="324"/>
      <c r="E310" s="323"/>
      <c r="F310" s="324"/>
      <c r="G310" s="322"/>
      <c r="H310" s="322"/>
      <c r="I310" s="322"/>
      <c r="J310" s="322"/>
      <c r="K310" s="322"/>
      <c r="L310" s="322"/>
      <c r="M310" s="322"/>
      <c r="N310" s="322"/>
      <c r="O310" s="322"/>
      <c r="P310" s="322"/>
      <c r="Q310" s="322"/>
      <c r="R310" s="322"/>
      <c r="S310" s="322"/>
      <c r="T310" s="322"/>
      <c r="U310" s="322"/>
      <c r="V310" s="322"/>
      <c r="W310" s="322"/>
      <c r="X310" s="322"/>
      <c r="Y310" s="322"/>
      <c r="Z310" s="322"/>
    </row>
    <row r="311" ht="12.75" customHeight="1">
      <c r="A311" s="322"/>
      <c r="B311" s="322"/>
      <c r="C311" s="323"/>
      <c r="D311" s="324"/>
      <c r="E311" s="323"/>
      <c r="F311" s="324"/>
      <c r="G311" s="322"/>
      <c r="H311" s="322"/>
      <c r="I311" s="322"/>
      <c r="J311" s="322"/>
      <c r="K311" s="322"/>
      <c r="L311" s="322"/>
      <c r="M311" s="322"/>
      <c r="N311" s="322"/>
      <c r="O311" s="322"/>
      <c r="P311" s="322"/>
      <c r="Q311" s="322"/>
      <c r="R311" s="322"/>
      <c r="S311" s="322"/>
      <c r="T311" s="322"/>
      <c r="U311" s="322"/>
      <c r="V311" s="322"/>
      <c r="W311" s="322"/>
      <c r="X311" s="322"/>
      <c r="Y311" s="322"/>
      <c r="Z311" s="322"/>
    </row>
    <row r="312" ht="12.75" customHeight="1">
      <c r="A312" s="322"/>
      <c r="B312" s="322"/>
      <c r="C312" s="323"/>
      <c r="D312" s="324"/>
      <c r="E312" s="323"/>
      <c r="F312" s="324"/>
      <c r="G312" s="322"/>
      <c r="H312" s="322"/>
      <c r="I312" s="322"/>
      <c r="J312" s="322"/>
      <c r="K312" s="322"/>
      <c r="L312" s="322"/>
      <c r="M312" s="322"/>
      <c r="N312" s="322"/>
      <c r="O312" s="322"/>
      <c r="P312" s="322"/>
      <c r="Q312" s="322"/>
      <c r="R312" s="322"/>
      <c r="S312" s="322"/>
      <c r="T312" s="322"/>
      <c r="U312" s="322"/>
      <c r="V312" s="322"/>
      <c r="W312" s="322"/>
      <c r="X312" s="322"/>
      <c r="Y312" s="322"/>
      <c r="Z312" s="322"/>
    </row>
    <row r="313" ht="12.75" customHeight="1">
      <c r="A313" s="322"/>
      <c r="B313" s="322"/>
      <c r="C313" s="323"/>
      <c r="D313" s="324"/>
      <c r="E313" s="323"/>
      <c r="F313" s="324"/>
      <c r="G313" s="322"/>
      <c r="H313" s="322"/>
      <c r="I313" s="322"/>
      <c r="J313" s="322"/>
      <c r="K313" s="322"/>
      <c r="L313" s="322"/>
      <c r="M313" s="322"/>
      <c r="N313" s="322"/>
      <c r="O313" s="322"/>
      <c r="P313" s="322"/>
      <c r="Q313" s="322"/>
      <c r="R313" s="322"/>
      <c r="S313" s="322"/>
      <c r="T313" s="322"/>
      <c r="U313" s="322"/>
      <c r="V313" s="322"/>
      <c r="W313" s="322"/>
      <c r="X313" s="322"/>
      <c r="Y313" s="322"/>
      <c r="Z313" s="322"/>
    </row>
    <row r="314" ht="12.75" customHeight="1">
      <c r="A314" s="322"/>
      <c r="B314" s="322"/>
      <c r="C314" s="323"/>
      <c r="D314" s="324"/>
      <c r="E314" s="323"/>
      <c r="F314" s="324"/>
      <c r="G314" s="322"/>
      <c r="H314" s="322"/>
      <c r="I314" s="322"/>
      <c r="J314" s="322"/>
      <c r="K314" s="322"/>
      <c r="L314" s="322"/>
      <c r="M314" s="322"/>
      <c r="N314" s="322"/>
      <c r="O314" s="322"/>
      <c r="P314" s="322"/>
      <c r="Q314" s="322"/>
      <c r="R314" s="322"/>
      <c r="S314" s="322"/>
      <c r="T314" s="322"/>
      <c r="U314" s="322"/>
      <c r="V314" s="322"/>
      <c r="W314" s="322"/>
      <c r="X314" s="322"/>
      <c r="Y314" s="322"/>
      <c r="Z314" s="322"/>
    </row>
    <row r="315" ht="12.75" customHeight="1">
      <c r="A315" s="322"/>
      <c r="B315" s="322"/>
      <c r="C315" s="323"/>
      <c r="D315" s="324"/>
      <c r="E315" s="323"/>
      <c r="F315" s="324"/>
      <c r="G315" s="322"/>
      <c r="H315" s="322"/>
      <c r="I315" s="322"/>
      <c r="J315" s="322"/>
      <c r="K315" s="322"/>
      <c r="L315" s="322"/>
      <c r="M315" s="322"/>
      <c r="N315" s="322"/>
      <c r="O315" s="322"/>
      <c r="P315" s="322"/>
      <c r="Q315" s="322"/>
      <c r="R315" s="322"/>
      <c r="S315" s="322"/>
      <c r="T315" s="322"/>
      <c r="U315" s="322"/>
      <c r="V315" s="322"/>
      <c r="W315" s="322"/>
      <c r="X315" s="322"/>
      <c r="Y315" s="322"/>
      <c r="Z315" s="322"/>
    </row>
    <row r="316" ht="12.75" customHeight="1">
      <c r="A316" s="322"/>
      <c r="B316" s="322"/>
      <c r="C316" s="323"/>
      <c r="D316" s="324"/>
      <c r="E316" s="323"/>
      <c r="F316" s="324"/>
      <c r="G316" s="322"/>
      <c r="H316" s="322"/>
      <c r="I316" s="322"/>
      <c r="J316" s="322"/>
      <c r="K316" s="322"/>
      <c r="L316" s="322"/>
      <c r="M316" s="322"/>
      <c r="N316" s="322"/>
      <c r="O316" s="322"/>
      <c r="P316" s="322"/>
      <c r="Q316" s="322"/>
      <c r="R316" s="322"/>
      <c r="S316" s="322"/>
      <c r="T316" s="322"/>
      <c r="U316" s="322"/>
      <c r="V316" s="322"/>
      <c r="W316" s="322"/>
      <c r="X316" s="322"/>
      <c r="Y316" s="322"/>
      <c r="Z316" s="322"/>
    </row>
    <row r="317" ht="12.75" customHeight="1">
      <c r="A317" s="322"/>
      <c r="B317" s="322"/>
      <c r="C317" s="323"/>
      <c r="D317" s="324"/>
      <c r="E317" s="323"/>
      <c r="F317" s="324"/>
      <c r="G317" s="322"/>
      <c r="H317" s="322"/>
      <c r="I317" s="322"/>
      <c r="J317" s="322"/>
      <c r="K317" s="322"/>
      <c r="L317" s="322"/>
      <c r="M317" s="322"/>
      <c r="N317" s="322"/>
      <c r="O317" s="322"/>
      <c r="P317" s="322"/>
      <c r="Q317" s="322"/>
      <c r="R317" s="322"/>
      <c r="S317" s="322"/>
      <c r="T317" s="322"/>
      <c r="U317" s="322"/>
      <c r="V317" s="322"/>
      <c r="W317" s="322"/>
      <c r="X317" s="322"/>
      <c r="Y317" s="322"/>
      <c r="Z317" s="322"/>
    </row>
    <row r="318" ht="12.75" customHeight="1">
      <c r="A318" s="322"/>
      <c r="B318" s="322"/>
      <c r="C318" s="323"/>
      <c r="D318" s="324"/>
      <c r="E318" s="323"/>
      <c r="F318" s="324"/>
      <c r="G318" s="322"/>
      <c r="H318" s="322"/>
      <c r="I318" s="322"/>
      <c r="J318" s="322"/>
      <c r="K318" s="322"/>
      <c r="L318" s="322"/>
      <c r="M318" s="322"/>
      <c r="N318" s="322"/>
      <c r="O318" s="322"/>
      <c r="P318" s="322"/>
      <c r="Q318" s="322"/>
      <c r="R318" s="322"/>
      <c r="S318" s="322"/>
      <c r="T318" s="322"/>
      <c r="U318" s="322"/>
      <c r="V318" s="322"/>
      <c r="W318" s="322"/>
      <c r="X318" s="322"/>
      <c r="Y318" s="322"/>
      <c r="Z318" s="322"/>
    </row>
    <row r="319" ht="12.75" customHeight="1">
      <c r="A319" s="322"/>
      <c r="B319" s="322"/>
      <c r="C319" s="323"/>
      <c r="D319" s="324"/>
      <c r="E319" s="323"/>
      <c r="F319" s="324"/>
      <c r="G319" s="322"/>
      <c r="H319" s="322"/>
      <c r="I319" s="322"/>
      <c r="J319" s="322"/>
      <c r="K319" s="322"/>
      <c r="L319" s="322"/>
      <c r="M319" s="322"/>
      <c r="N319" s="322"/>
      <c r="O319" s="322"/>
      <c r="P319" s="322"/>
      <c r="Q319" s="322"/>
      <c r="R319" s="322"/>
      <c r="S319" s="322"/>
      <c r="T319" s="322"/>
      <c r="U319" s="322"/>
      <c r="V319" s="322"/>
      <c r="W319" s="322"/>
      <c r="X319" s="322"/>
      <c r="Y319" s="322"/>
      <c r="Z319" s="322"/>
    </row>
    <row r="320" ht="12.75" customHeight="1">
      <c r="A320" s="322"/>
      <c r="B320" s="322"/>
      <c r="C320" s="323"/>
      <c r="D320" s="324"/>
      <c r="E320" s="323"/>
      <c r="F320" s="324"/>
      <c r="G320" s="322"/>
      <c r="H320" s="322"/>
      <c r="I320" s="322"/>
      <c r="J320" s="322"/>
      <c r="K320" s="322"/>
      <c r="L320" s="322"/>
      <c r="M320" s="322"/>
      <c r="N320" s="322"/>
      <c r="O320" s="322"/>
      <c r="P320" s="322"/>
      <c r="Q320" s="322"/>
      <c r="R320" s="322"/>
      <c r="S320" s="322"/>
      <c r="T320" s="322"/>
      <c r="U320" s="322"/>
      <c r="V320" s="322"/>
      <c r="W320" s="322"/>
      <c r="X320" s="322"/>
      <c r="Y320" s="322"/>
      <c r="Z320" s="322"/>
    </row>
    <row r="321" ht="12.75" customHeight="1">
      <c r="A321" s="322"/>
      <c r="B321" s="322"/>
      <c r="C321" s="323"/>
      <c r="D321" s="324"/>
      <c r="E321" s="323"/>
      <c r="F321" s="324"/>
      <c r="G321" s="322"/>
      <c r="H321" s="322"/>
      <c r="I321" s="322"/>
      <c r="J321" s="322"/>
      <c r="K321" s="322"/>
      <c r="L321" s="322"/>
      <c r="M321" s="322"/>
      <c r="N321" s="322"/>
      <c r="O321" s="322"/>
      <c r="P321" s="322"/>
      <c r="Q321" s="322"/>
      <c r="R321" s="322"/>
      <c r="S321" s="322"/>
      <c r="T321" s="322"/>
      <c r="U321" s="322"/>
      <c r="V321" s="322"/>
      <c r="W321" s="322"/>
      <c r="X321" s="322"/>
      <c r="Y321" s="322"/>
      <c r="Z321" s="322"/>
    </row>
    <row r="322" ht="12.75" customHeight="1">
      <c r="A322" s="322"/>
      <c r="B322" s="322"/>
      <c r="C322" s="323"/>
      <c r="D322" s="324"/>
      <c r="E322" s="323"/>
      <c r="F322" s="324"/>
      <c r="G322" s="322"/>
      <c r="H322" s="322"/>
      <c r="I322" s="322"/>
      <c r="J322" s="322"/>
      <c r="K322" s="322"/>
      <c r="L322" s="322"/>
      <c r="M322" s="322"/>
      <c r="N322" s="322"/>
      <c r="O322" s="322"/>
      <c r="P322" s="322"/>
      <c r="Q322" s="322"/>
      <c r="R322" s="322"/>
      <c r="S322" s="322"/>
      <c r="T322" s="322"/>
      <c r="U322" s="322"/>
      <c r="V322" s="322"/>
      <c r="W322" s="322"/>
      <c r="X322" s="322"/>
      <c r="Y322" s="322"/>
      <c r="Z322" s="322"/>
    </row>
    <row r="323" ht="12.75" customHeight="1">
      <c r="A323" s="322"/>
      <c r="B323" s="322"/>
      <c r="C323" s="323"/>
      <c r="D323" s="324"/>
      <c r="E323" s="323"/>
      <c r="F323" s="324"/>
      <c r="G323" s="322"/>
      <c r="H323" s="322"/>
      <c r="I323" s="322"/>
      <c r="J323" s="322"/>
      <c r="K323" s="322"/>
      <c r="L323" s="322"/>
      <c r="M323" s="322"/>
      <c r="N323" s="322"/>
      <c r="O323" s="322"/>
      <c r="P323" s="322"/>
      <c r="Q323" s="322"/>
      <c r="R323" s="322"/>
      <c r="S323" s="322"/>
      <c r="T323" s="322"/>
      <c r="U323" s="322"/>
      <c r="V323" s="322"/>
      <c r="W323" s="322"/>
      <c r="X323" s="322"/>
      <c r="Y323" s="322"/>
      <c r="Z323" s="322"/>
    </row>
    <row r="324" ht="12.75" customHeight="1">
      <c r="A324" s="322"/>
      <c r="B324" s="322"/>
      <c r="C324" s="323"/>
      <c r="D324" s="324"/>
      <c r="E324" s="323"/>
      <c r="F324" s="324"/>
      <c r="G324" s="322"/>
      <c r="H324" s="322"/>
      <c r="I324" s="322"/>
      <c r="J324" s="322"/>
      <c r="K324" s="322"/>
      <c r="L324" s="322"/>
      <c r="M324" s="322"/>
      <c r="N324" s="322"/>
      <c r="O324" s="322"/>
      <c r="P324" s="322"/>
      <c r="Q324" s="322"/>
      <c r="R324" s="322"/>
      <c r="S324" s="322"/>
      <c r="T324" s="322"/>
      <c r="U324" s="322"/>
      <c r="V324" s="322"/>
      <c r="W324" s="322"/>
      <c r="X324" s="322"/>
      <c r="Y324" s="322"/>
      <c r="Z324" s="322"/>
    </row>
    <row r="325" ht="12.75" customHeight="1">
      <c r="A325" s="322"/>
      <c r="B325" s="322"/>
      <c r="C325" s="323"/>
      <c r="D325" s="324"/>
      <c r="E325" s="323"/>
      <c r="F325" s="324"/>
      <c r="G325" s="322"/>
      <c r="H325" s="322"/>
      <c r="I325" s="322"/>
      <c r="J325" s="322"/>
      <c r="K325" s="322"/>
      <c r="L325" s="322"/>
      <c r="M325" s="322"/>
      <c r="N325" s="322"/>
      <c r="O325" s="322"/>
      <c r="P325" s="322"/>
      <c r="Q325" s="322"/>
      <c r="R325" s="322"/>
      <c r="S325" s="322"/>
      <c r="T325" s="322"/>
      <c r="U325" s="322"/>
      <c r="V325" s="322"/>
      <c r="W325" s="322"/>
      <c r="X325" s="322"/>
      <c r="Y325" s="322"/>
      <c r="Z325" s="322"/>
    </row>
    <row r="326" ht="12.75" customHeight="1">
      <c r="A326" s="322"/>
      <c r="B326" s="322"/>
      <c r="C326" s="323"/>
      <c r="D326" s="324"/>
      <c r="E326" s="323"/>
      <c r="F326" s="324"/>
      <c r="G326" s="322"/>
      <c r="H326" s="322"/>
      <c r="I326" s="322"/>
      <c r="J326" s="322"/>
      <c r="K326" s="322"/>
      <c r="L326" s="322"/>
      <c r="M326" s="322"/>
      <c r="N326" s="322"/>
      <c r="O326" s="322"/>
      <c r="P326" s="322"/>
      <c r="Q326" s="322"/>
      <c r="R326" s="322"/>
      <c r="S326" s="322"/>
      <c r="T326" s="322"/>
      <c r="U326" s="322"/>
      <c r="V326" s="322"/>
      <c r="W326" s="322"/>
      <c r="X326" s="322"/>
      <c r="Y326" s="322"/>
      <c r="Z326" s="322"/>
    </row>
    <row r="327" ht="12.75" customHeight="1">
      <c r="A327" s="322"/>
      <c r="B327" s="322"/>
      <c r="C327" s="323"/>
      <c r="D327" s="324"/>
      <c r="E327" s="323"/>
      <c r="F327" s="324"/>
      <c r="G327" s="322"/>
      <c r="H327" s="322"/>
      <c r="I327" s="322"/>
      <c r="J327" s="322"/>
      <c r="K327" s="322"/>
      <c r="L327" s="322"/>
      <c r="M327" s="322"/>
      <c r="N327" s="322"/>
      <c r="O327" s="322"/>
      <c r="P327" s="322"/>
      <c r="Q327" s="322"/>
      <c r="R327" s="322"/>
      <c r="S327" s="322"/>
      <c r="T327" s="322"/>
      <c r="U327" s="322"/>
      <c r="V327" s="322"/>
      <c r="W327" s="322"/>
      <c r="X327" s="322"/>
      <c r="Y327" s="322"/>
      <c r="Z327" s="322"/>
    </row>
    <row r="328" ht="12.75" customHeight="1">
      <c r="A328" s="322"/>
      <c r="B328" s="322"/>
      <c r="C328" s="323"/>
      <c r="D328" s="324"/>
      <c r="E328" s="323"/>
      <c r="F328" s="324"/>
      <c r="G328" s="322"/>
      <c r="H328" s="322"/>
      <c r="I328" s="322"/>
      <c r="J328" s="322"/>
      <c r="K328" s="322"/>
      <c r="L328" s="322"/>
      <c r="M328" s="322"/>
      <c r="N328" s="322"/>
      <c r="O328" s="322"/>
      <c r="P328" s="322"/>
      <c r="Q328" s="322"/>
      <c r="R328" s="322"/>
      <c r="S328" s="322"/>
      <c r="T328" s="322"/>
      <c r="U328" s="322"/>
      <c r="V328" s="322"/>
      <c r="W328" s="322"/>
      <c r="X328" s="322"/>
      <c r="Y328" s="322"/>
      <c r="Z328" s="322"/>
    </row>
    <row r="329" ht="12.75" customHeight="1">
      <c r="A329" s="322"/>
      <c r="B329" s="322"/>
      <c r="C329" s="323"/>
      <c r="D329" s="324"/>
      <c r="E329" s="323"/>
      <c r="F329" s="324"/>
      <c r="G329" s="322"/>
      <c r="H329" s="322"/>
      <c r="I329" s="322"/>
      <c r="J329" s="322"/>
      <c r="K329" s="322"/>
      <c r="L329" s="322"/>
      <c r="M329" s="322"/>
      <c r="N329" s="322"/>
      <c r="O329" s="322"/>
      <c r="P329" s="322"/>
      <c r="Q329" s="322"/>
      <c r="R329" s="322"/>
      <c r="S329" s="322"/>
      <c r="T329" s="322"/>
      <c r="U329" s="322"/>
      <c r="V329" s="322"/>
      <c r="W329" s="322"/>
      <c r="X329" s="322"/>
      <c r="Y329" s="322"/>
      <c r="Z329" s="322"/>
    </row>
    <row r="330" ht="12.75" customHeight="1">
      <c r="A330" s="322"/>
      <c r="B330" s="322"/>
      <c r="C330" s="323"/>
      <c r="D330" s="324"/>
      <c r="E330" s="323"/>
      <c r="F330" s="324"/>
      <c r="G330" s="322"/>
      <c r="H330" s="322"/>
      <c r="I330" s="322"/>
      <c r="J330" s="322"/>
      <c r="K330" s="322"/>
      <c r="L330" s="322"/>
      <c r="M330" s="322"/>
      <c r="N330" s="322"/>
      <c r="O330" s="322"/>
      <c r="P330" s="322"/>
      <c r="Q330" s="322"/>
      <c r="R330" s="322"/>
      <c r="S330" s="322"/>
      <c r="T330" s="322"/>
      <c r="U330" s="322"/>
      <c r="V330" s="322"/>
      <c r="W330" s="322"/>
      <c r="X330" s="322"/>
      <c r="Y330" s="322"/>
      <c r="Z330" s="322"/>
    </row>
    <row r="331" ht="12.75" customHeight="1">
      <c r="A331" s="322"/>
      <c r="B331" s="322"/>
      <c r="C331" s="323"/>
      <c r="D331" s="324"/>
      <c r="E331" s="323"/>
      <c r="F331" s="324"/>
      <c r="G331" s="322"/>
      <c r="H331" s="322"/>
      <c r="I331" s="322"/>
      <c r="J331" s="322"/>
      <c r="K331" s="322"/>
      <c r="L331" s="322"/>
      <c r="M331" s="322"/>
      <c r="N331" s="322"/>
      <c r="O331" s="322"/>
      <c r="P331" s="322"/>
      <c r="Q331" s="322"/>
      <c r="R331" s="322"/>
      <c r="S331" s="322"/>
      <c r="T331" s="322"/>
      <c r="U331" s="322"/>
      <c r="V331" s="322"/>
      <c r="W331" s="322"/>
      <c r="X331" s="322"/>
      <c r="Y331" s="322"/>
      <c r="Z331" s="322"/>
    </row>
    <row r="332" ht="12.75" customHeight="1">
      <c r="A332" s="322"/>
      <c r="B332" s="322"/>
      <c r="C332" s="323"/>
      <c r="D332" s="324"/>
      <c r="E332" s="323"/>
      <c r="F332" s="324"/>
      <c r="G332" s="322"/>
      <c r="H332" s="322"/>
      <c r="I332" s="322"/>
      <c r="J332" s="322"/>
      <c r="K332" s="322"/>
      <c r="L332" s="322"/>
      <c r="M332" s="322"/>
      <c r="N332" s="322"/>
      <c r="O332" s="322"/>
      <c r="P332" s="322"/>
      <c r="Q332" s="322"/>
      <c r="R332" s="322"/>
      <c r="S332" s="322"/>
      <c r="T332" s="322"/>
      <c r="U332" s="322"/>
      <c r="V332" s="322"/>
      <c r="W332" s="322"/>
      <c r="X332" s="322"/>
      <c r="Y332" s="322"/>
      <c r="Z332" s="322"/>
    </row>
    <row r="333" ht="12.75" customHeight="1">
      <c r="A333" s="322"/>
      <c r="B333" s="322"/>
      <c r="C333" s="323"/>
      <c r="D333" s="324"/>
      <c r="E333" s="323"/>
      <c r="F333" s="324"/>
      <c r="G333" s="322"/>
      <c r="H333" s="322"/>
      <c r="I333" s="322"/>
      <c r="J333" s="322"/>
      <c r="K333" s="322"/>
      <c r="L333" s="322"/>
      <c r="M333" s="322"/>
      <c r="N333" s="322"/>
      <c r="O333" s="322"/>
      <c r="P333" s="322"/>
      <c r="Q333" s="322"/>
      <c r="R333" s="322"/>
      <c r="S333" s="322"/>
      <c r="T333" s="322"/>
      <c r="U333" s="322"/>
      <c r="V333" s="322"/>
      <c r="W333" s="322"/>
      <c r="X333" s="322"/>
      <c r="Y333" s="322"/>
      <c r="Z333" s="322"/>
    </row>
    <row r="334" ht="12.75" customHeight="1">
      <c r="A334" s="322"/>
      <c r="B334" s="322"/>
      <c r="C334" s="323"/>
      <c r="D334" s="324"/>
      <c r="E334" s="323"/>
      <c r="F334" s="324"/>
      <c r="G334" s="322"/>
      <c r="H334" s="322"/>
      <c r="I334" s="322"/>
      <c r="J334" s="322"/>
      <c r="K334" s="322"/>
      <c r="L334" s="322"/>
      <c r="M334" s="322"/>
      <c r="N334" s="322"/>
      <c r="O334" s="322"/>
      <c r="P334" s="322"/>
      <c r="Q334" s="322"/>
      <c r="R334" s="322"/>
      <c r="S334" s="322"/>
      <c r="T334" s="322"/>
      <c r="U334" s="322"/>
      <c r="V334" s="322"/>
      <c r="W334" s="322"/>
      <c r="X334" s="322"/>
      <c r="Y334" s="322"/>
      <c r="Z334" s="322"/>
    </row>
    <row r="335" ht="12.75" customHeight="1">
      <c r="A335" s="322"/>
      <c r="B335" s="322"/>
      <c r="C335" s="323"/>
      <c r="D335" s="324"/>
      <c r="E335" s="323"/>
      <c r="F335" s="324"/>
      <c r="G335" s="322"/>
      <c r="H335" s="322"/>
      <c r="I335" s="322"/>
      <c r="J335" s="322"/>
      <c r="K335" s="322"/>
      <c r="L335" s="322"/>
      <c r="M335" s="322"/>
      <c r="N335" s="322"/>
      <c r="O335" s="322"/>
      <c r="P335" s="322"/>
      <c r="Q335" s="322"/>
      <c r="R335" s="322"/>
      <c r="S335" s="322"/>
      <c r="T335" s="322"/>
      <c r="U335" s="322"/>
      <c r="V335" s="322"/>
      <c r="W335" s="322"/>
      <c r="X335" s="322"/>
      <c r="Y335" s="322"/>
      <c r="Z335" s="322"/>
    </row>
    <row r="336" ht="12.75" customHeight="1">
      <c r="A336" s="322"/>
      <c r="B336" s="322"/>
      <c r="C336" s="323"/>
      <c r="D336" s="324"/>
      <c r="E336" s="323"/>
      <c r="F336" s="324"/>
      <c r="G336" s="322"/>
      <c r="H336" s="322"/>
      <c r="I336" s="322"/>
      <c r="J336" s="322"/>
      <c r="K336" s="322"/>
      <c r="L336" s="322"/>
      <c r="M336" s="322"/>
      <c r="N336" s="322"/>
      <c r="O336" s="322"/>
      <c r="P336" s="322"/>
      <c r="Q336" s="322"/>
      <c r="R336" s="322"/>
      <c r="S336" s="322"/>
      <c r="T336" s="322"/>
      <c r="U336" s="322"/>
      <c r="V336" s="322"/>
      <c r="W336" s="322"/>
      <c r="X336" s="322"/>
      <c r="Y336" s="322"/>
      <c r="Z336" s="322"/>
    </row>
    <row r="337" ht="12.75" customHeight="1">
      <c r="A337" s="322"/>
      <c r="B337" s="322"/>
      <c r="C337" s="323"/>
      <c r="D337" s="324"/>
      <c r="E337" s="323"/>
      <c r="F337" s="324"/>
      <c r="G337" s="322"/>
      <c r="H337" s="322"/>
      <c r="I337" s="322"/>
      <c r="J337" s="322"/>
      <c r="K337" s="322"/>
      <c r="L337" s="322"/>
      <c r="M337" s="322"/>
      <c r="N337" s="322"/>
      <c r="O337" s="322"/>
      <c r="P337" s="322"/>
      <c r="Q337" s="322"/>
      <c r="R337" s="322"/>
      <c r="S337" s="322"/>
      <c r="T337" s="322"/>
      <c r="U337" s="322"/>
      <c r="V337" s="322"/>
      <c r="W337" s="322"/>
      <c r="X337" s="322"/>
      <c r="Y337" s="322"/>
      <c r="Z337" s="322"/>
    </row>
    <row r="338" ht="12.75" customHeight="1">
      <c r="A338" s="322"/>
      <c r="B338" s="322"/>
      <c r="C338" s="323"/>
      <c r="D338" s="324"/>
      <c r="E338" s="323"/>
      <c r="F338" s="324"/>
      <c r="G338" s="322"/>
      <c r="H338" s="322"/>
      <c r="I338" s="322"/>
      <c r="J338" s="322"/>
      <c r="K338" s="322"/>
      <c r="L338" s="322"/>
      <c r="M338" s="322"/>
      <c r="N338" s="322"/>
      <c r="O338" s="322"/>
      <c r="P338" s="322"/>
      <c r="Q338" s="322"/>
      <c r="R338" s="322"/>
      <c r="S338" s="322"/>
      <c r="T338" s="322"/>
      <c r="U338" s="322"/>
      <c r="V338" s="322"/>
      <c r="W338" s="322"/>
      <c r="X338" s="322"/>
      <c r="Y338" s="322"/>
      <c r="Z338" s="322"/>
    </row>
    <row r="339" ht="12.75" customHeight="1">
      <c r="A339" s="322"/>
      <c r="B339" s="322"/>
      <c r="C339" s="323"/>
      <c r="D339" s="324"/>
      <c r="E339" s="323"/>
      <c r="F339" s="324"/>
      <c r="G339" s="322"/>
      <c r="H339" s="322"/>
      <c r="I339" s="322"/>
      <c r="J339" s="322"/>
      <c r="K339" s="322"/>
      <c r="L339" s="322"/>
      <c r="M339" s="322"/>
      <c r="N339" s="322"/>
      <c r="O339" s="322"/>
      <c r="P339" s="322"/>
      <c r="Q339" s="322"/>
      <c r="R339" s="322"/>
      <c r="S339" s="322"/>
      <c r="T339" s="322"/>
      <c r="U339" s="322"/>
      <c r="V339" s="322"/>
      <c r="W339" s="322"/>
      <c r="X339" s="322"/>
      <c r="Y339" s="322"/>
      <c r="Z339" s="322"/>
    </row>
    <row r="340" ht="12.75" customHeight="1">
      <c r="A340" s="322"/>
      <c r="B340" s="322"/>
      <c r="C340" s="323"/>
      <c r="D340" s="324"/>
      <c r="E340" s="323"/>
      <c r="F340" s="324"/>
      <c r="G340" s="322"/>
      <c r="H340" s="322"/>
      <c r="I340" s="322"/>
      <c r="J340" s="322"/>
      <c r="K340" s="322"/>
      <c r="L340" s="322"/>
      <c r="M340" s="322"/>
      <c r="N340" s="322"/>
      <c r="O340" s="322"/>
      <c r="P340" s="322"/>
      <c r="Q340" s="322"/>
      <c r="R340" s="322"/>
      <c r="S340" s="322"/>
      <c r="T340" s="322"/>
      <c r="U340" s="322"/>
      <c r="V340" s="322"/>
      <c r="W340" s="322"/>
      <c r="X340" s="322"/>
      <c r="Y340" s="322"/>
      <c r="Z340" s="322"/>
    </row>
    <row r="341" ht="12.75" customHeight="1">
      <c r="A341" s="322"/>
      <c r="B341" s="322"/>
      <c r="C341" s="323"/>
      <c r="D341" s="324"/>
      <c r="E341" s="323"/>
      <c r="F341" s="324"/>
      <c r="G341" s="322"/>
      <c r="H341" s="322"/>
      <c r="I341" s="322"/>
      <c r="J341" s="322"/>
      <c r="K341" s="322"/>
      <c r="L341" s="322"/>
      <c r="M341" s="322"/>
      <c r="N341" s="322"/>
      <c r="O341" s="322"/>
      <c r="P341" s="322"/>
      <c r="Q341" s="322"/>
      <c r="R341" s="322"/>
      <c r="S341" s="322"/>
      <c r="T341" s="322"/>
      <c r="U341" s="322"/>
      <c r="V341" s="322"/>
      <c r="W341" s="322"/>
      <c r="X341" s="322"/>
      <c r="Y341" s="322"/>
      <c r="Z341" s="322"/>
    </row>
    <row r="342" ht="12.75" customHeight="1">
      <c r="A342" s="322"/>
      <c r="B342" s="322"/>
      <c r="C342" s="323"/>
      <c r="D342" s="324"/>
      <c r="E342" s="323"/>
      <c r="F342" s="324"/>
      <c r="G342" s="322"/>
      <c r="H342" s="322"/>
      <c r="I342" s="322"/>
      <c r="J342" s="322"/>
      <c r="K342" s="322"/>
      <c r="L342" s="322"/>
      <c r="M342" s="322"/>
      <c r="N342" s="322"/>
      <c r="O342" s="322"/>
      <c r="P342" s="322"/>
      <c r="Q342" s="322"/>
      <c r="R342" s="322"/>
      <c r="S342" s="322"/>
      <c r="T342" s="322"/>
      <c r="U342" s="322"/>
      <c r="V342" s="322"/>
      <c r="W342" s="322"/>
      <c r="X342" s="322"/>
      <c r="Y342" s="322"/>
      <c r="Z342" s="322"/>
    </row>
    <row r="343" ht="12.75" customHeight="1">
      <c r="A343" s="322"/>
      <c r="B343" s="322"/>
      <c r="C343" s="323"/>
      <c r="D343" s="324"/>
      <c r="E343" s="323"/>
      <c r="F343" s="324"/>
      <c r="G343" s="322"/>
      <c r="H343" s="322"/>
      <c r="I343" s="322"/>
      <c r="J343" s="322"/>
      <c r="K343" s="322"/>
      <c r="L343" s="322"/>
      <c r="M343" s="322"/>
      <c r="N343" s="322"/>
      <c r="O343" s="322"/>
      <c r="P343" s="322"/>
      <c r="Q343" s="322"/>
      <c r="R343" s="322"/>
      <c r="S343" s="322"/>
      <c r="T343" s="322"/>
      <c r="U343" s="322"/>
      <c r="V343" s="322"/>
      <c r="W343" s="322"/>
      <c r="X343" s="322"/>
      <c r="Y343" s="322"/>
      <c r="Z343" s="322"/>
    </row>
    <row r="344" ht="12.75" customHeight="1">
      <c r="A344" s="322"/>
      <c r="B344" s="322"/>
      <c r="C344" s="323"/>
      <c r="D344" s="324"/>
      <c r="E344" s="323"/>
      <c r="F344" s="324"/>
      <c r="G344" s="322"/>
      <c r="H344" s="322"/>
      <c r="I344" s="322"/>
      <c r="J344" s="322"/>
      <c r="K344" s="322"/>
      <c r="L344" s="322"/>
      <c r="M344" s="322"/>
      <c r="N344" s="322"/>
      <c r="O344" s="322"/>
      <c r="P344" s="322"/>
      <c r="Q344" s="322"/>
      <c r="R344" s="322"/>
      <c r="S344" s="322"/>
      <c r="T344" s="322"/>
      <c r="U344" s="322"/>
      <c r="V344" s="322"/>
      <c r="W344" s="322"/>
      <c r="X344" s="322"/>
      <c r="Y344" s="322"/>
      <c r="Z344" s="322"/>
    </row>
    <row r="345" ht="12.75" customHeight="1">
      <c r="A345" s="322"/>
      <c r="B345" s="322"/>
      <c r="C345" s="323"/>
      <c r="D345" s="324"/>
      <c r="E345" s="323"/>
      <c r="F345" s="324"/>
      <c r="G345" s="322"/>
      <c r="H345" s="322"/>
      <c r="I345" s="322"/>
      <c r="J345" s="322"/>
      <c r="K345" s="322"/>
      <c r="L345" s="322"/>
      <c r="M345" s="322"/>
      <c r="N345" s="322"/>
      <c r="O345" s="322"/>
      <c r="P345" s="322"/>
      <c r="Q345" s="322"/>
      <c r="R345" s="322"/>
      <c r="S345" s="322"/>
      <c r="T345" s="322"/>
      <c r="U345" s="322"/>
      <c r="V345" s="322"/>
      <c r="W345" s="322"/>
      <c r="X345" s="322"/>
      <c r="Y345" s="322"/>
      <c r="Z345" s="322"/>
    </row>
    <row r="346" ht="12.75" customHeight="1">
      <c r="A346" s="322"/>
      <c r="B346" s="322"/>
      <c r="C346" s="323"/>
      <c r="D346" s="324"/>
      <c r="E346" s="323"/>
      <c r="F346" s="324"/>
      <c r="G346" s="322"/>
      <c r="H346" s="322"/>
      <c r="I346" s="322"/>
      <c r="J346" s="322"/>
      <c r="K346" s="322"/>
      <c r="L346" s="322"/>
      <c r="M346" s="322"/>
      <c r="N346" s="322"/>
      <c r="O346" s="322"/>
      <c r="P346" s="322"/>
      <c r="Q346" s="322"/>
      <c r="R346" s="322"/>
      <c r="S346" s="322"/>
      <c r="T346" s="322"/>
      <c r="U346" s="322"/>
      <c r="V346" s="322"/>
      <c r="W346" s="322"/>
      <c r="X346" s="322"/>
      <c r="Y346" s="322"/>
      <c r="Z346" s="322"/>
    </row>
    <row r="347" ht="12.75" customHeight="1">
      <c r="A347" s="322"/>
      <c r="B347" s="322"/>
      <c r="C347" s="323"/>
      <c r="D347" s="324"/>
      <c r="E347" s="323"/>
      <c r="F347" s="324"/>
      <c r="G347" s="322"/>
      <c r="H347" s="322"/>
      <c r="I347" s="322"/>
      <c r="J347" s="322"/>
      <c r="K347" s="322"/>
      <c r="L347" s="322"/>
      <c r="M347" s="322"/>
      <c r="N347" s="322"/>
      <c r="O347" s="322"/>
      <c r="P347" s="322"/>
      <c r="Q347" s="322"/>
      <c r="R347" s="322"/>
      <c r="S347" s="322"/>
      <c r="T347" s="322"/>
      <c r="U347" s="322"/>
      <c r="V347" s="322"/>
      <c r="W347" s="322"/>
      <c r="X347" s="322"/>
      <c r="Y347" s="322"/>
      <c r="Z347" s="322"/>
    </row>
    <row r="348" ht="12.75" customHeight="1">
      <c r="A348" s="322"/>
      <c r="B348" s="322"/>
      <c r="C348" s="323"/>
      <c r="D348" s="324"/>
      <c r="E348" s="323"/>
      <c r="F348" s="324"/>
      <c r="G348" s="322"/>
      <c r="H348" s="322"/>
      <c r="I348" s="322"/>
      <c r="J348" s="322"/>
      <c r="K348" s="322"/>
      <c r="L348" s="322"/>
      <c r="M348" s="322"/>
      <c r="N348" s="322"/>
      <c r="O348" s="322"/>
      <c r="P348" s="322"/>
      <c r="Q348" s="322"/>
      <c r="R348" s="322"/>
      <c r="S348" s="322"/>
      <c r="T348" s="322"/>
      <c r="U348" s="322"/>
      <c r="V348" s="322"/>
      <c r="W348" s="322"/>
      <c r="X348" s="322"/>
      <c r="Y348" s="322"/>
      <c r="Z348" s="322"/>
    </row>
    <row r="349" ht="12.75" customHeight="1">
      <c r="A349" s="322"/>
      <c r="B349" s="322"/>
      <c r="C349" s="323"/>
      <c r="D349" s="324"/>
      <c r="E349" s="323"/>
      <c r="F349" s="324"/>
      <c r="G349" s="322"/>
      <c r="H349" s="322"/>
      <c r="I349" s="322"/>
      <c r="J349" s="322"/>
      <c r="K349" s="322"/>
      <c r="L349" s="322"/>
      <c r="M349" s="322"/>
      <c r="N349" s="322"/>
      <c r="O349" s="322"/>
      <c r="P349" s="322"/>
      <c r="Q349" s="322"/>
      <c r="R349" s="322"/>
      <c r="S349" s="322"/>
      <c r="T349" s="322"/>
      <c r="U349" s="322"/>
      <c r="V349" s="322"/>
      <c r="W349" s="322"/>
      <c r="X349" s="322"/>
      <c r="Y349" s="322"/>
      <c r="Z349" s="322"/>
    </row>
    <row r="350" ht="12.75" customHeight="1">
      <c r="A350" s="322"/>
      <c r="B350" s="322"/>
      <c r="C350" s="323"/>
      <c r="D350" s="324"/>
      <c r="E350" s="323"/>
      <c r="F350" s="324"/>
      <c r="G350" s="322"/>
      <c r="H350" s="322"/>
      <c r="I350" s="322"/>
      <c r="J350" s="322"/>
      <c r="K350" s="322"/>
      <c r="L350" s="322"/>
      <c r="M350" s="322"/>
      <c r="N350" s="322"/>
      <c r="O350" s="322"/>
      <c r="P350" s="322"/>
      <c r="Q350" s="322"/>
      <c r="R350" s="322"/>
      <c r="S350" s="322"/>
      <c r="T350" s="322"/>
      <c r="U350" s="322"/>
      <c r="V350" s="322"/>
      <c r="W350" s="322"/>
      <c r="X350" s="322"/>
      <c r="Y350" s="322"/>
      <c r="Z350" s="322"/>
    </row>
    <row r="351" ht="12.75" customHeight="1">
      <c r="A351" s="322"/>
      <c r="B351" s="322"/>
      <c r="C351" s="323"/>
      <c r="D351" s="324"/>
      <c r="E351" s="323"/>
      <c r="F351" s="324"/>
      <c r="G351" s="322"/>
      <c r="H351" s="322"/>
      <c r="I351" s="322"/>
      <c r="J351" s="322"/>
      <c r="K351" s="322"/>
      <c r="L351" s="322"/>
      <c r="M351" s="322"/>
      <c r="N351" s="322"/>
      <c r="O351" s="322"/>
      <c r="P351" s="322"/>
      <c r="Q351" s="322"/>
      <c r="R351" s="322"/>
      <c r="S351" s="322"/>
      <c r="T351" s="322"/>
      <c r="U351" s="322"/>
      <c r="V351" s="322"/>
      <c r="W351" s="322"/>
      <c r="X351" s="322"/>
      <c r="Y351" s="322"/>
      <c r="Z351" s="322"/>
    </row>
    <row r="352" ht="12.75" customHeight="1">
      <c r="A352" s="322"/>
      <c r="B352" s="322"/>
      <c r="C352" s="323"/>
      <c r="D352" s="324"/>
      <c r="E352" s="323"/>
      <c r="F352" s="324"/>
      <c r="G352" s="322"/>
      <c r="H352" s="322"/>
      <c r="I352" s="322"/>
      <c r="J352" s="322"/>
      <c r="K352" s="322"/>
      <c r="L352" s="322"/>
      <c r="M352" s="322"/>
      <c r="N352" s="322"/>
      <c r="O352" s="322"/>
      <c r="P352" s="322"/>
      <c r="Q352" s="322"/>
      <c r="R352" s="322"/>
      <c r="S352" s="322"/>
      <c r="T352" s="322"/>
      <c r="U352" s="322"/>
      <c r="V352" s="322"/>
      <c r="W352" s="322"/>
      <c r="X352" s="322"/>
      <c r="Y352" s="322"/>
      <c r="Z352" s="322"/>
    </row>
    <row r="353" ht="12.75" customHeight="1">
      <c r="A353" s="322"/>
      <c r="B353" s="322"/>
      <c r="C353" s="323"/>
      <c r="D353" s="324"/>
      <c r="E353" s="323"/>
      <c r="F353" s="324"/>
      <c r="G353" s="322"/>
      <c r="H353" s="322"/>
      <c r="I353" s="322"/>
      <c r="J353" s="322"/>
      <c r="K353" s="322"/>
      <c r="L353" s="322"/>
      <c r="M353" s="322"/>
      <c r="N353" s="322"/>
      <c r="O353" s="322"/>
      <c r="P353" s="322"/>
      <c r="Q353" s="322"/>
      <c r="R353" s="322"/>
      <c r="S353" s="322"/>
      <c r="T353" s="322"/>
      <c r="U353" s="322"/>
      <c r="V353" s="322"/>
      <c r="W353" s="322"/>
      <c r="X353" s="322"/>
      <c r="Y353" s="322"/>
      <c r="Z353" s="322"/>
    </row>
    <row r="354" ht="12.75" customHeight="1">
      <c r="A354" s="322"/>
      <c r="B354" s="322"/>
      <c r="C354" s="323"/>
      <c r="D354" s="324"/>
      <c r="E354" s="323"/>
      <c r="F354" s="324"/>
      <c r="G354" s="322"/>
      <c r="H354" s="322"/>
      <c r="I354" s="322"/>
      <c r="J354" s="322"/>
      <c r="K354" s="322"/>
      <c r="L354" s="322"/>
      <c r="M354" s="322"/>
      <c r="N354" s="322"/>
      <c r="O354" s="322"/>
      <c r="P354" s="322"/>
      <c r="Q354" s="322"/>
      <c r="R354" s="322"/>
      <c r="S354" s="322"/>
      <c r="T354" s="322"/>
      <c r="U354" s="322"/>
      <c r="V354" s="322"/>
      <c r="W354" s="322"/>
      <c r="X354" s="322"/>
      <c r="Y354" s="322"/>
      <c r="Z354" s="322"/>
    </row>
    <row r="355" ht="12.75" customHeight="1">
      <c r="A355" s="322"/>
      <c r="B355" s="322"/>
      <c r="C355" s="323"/>
      <c r="D355" s="324"/>
      <c r="E355" s="323"/>
      <c r="F355" s="324"/>
      <c r="G355" s="322"/>
      <c r="H355" s="322"/>
      <c r="I355" s="322"/>
      <c r="J355" s="322"/>
      <c r="K355" s="322"/>
      <c r="L355" s="322"/>
      <c r="M355" s="322"/>
      <c r="N355" s="322"/>
      <c r="O355" s="322"/>
      <c r="P355" s="322"/>
      <c r="Q355" s="322"/>
      <c r="R355" s="322"/>
      <c r="S355" s="322"/>
      <c r="T355" s="322"/>
      <c r="U355" s="322"/>
      <c r="V355" s="322"/>
      <c r="W355" s="322"/>
      <c r="X355" s="322"/>
      <c r="Y355" s="322"/>
      <c r="Z355" s="322"/>
    </row>
    <row r="356" ht="12.75" customHeight="1">
      <c r="A356" s="322"/>
      <c r="B356" s="322"/>
      <c r="C356" s="323"/>
      <c r="D356" s="324"/>
      <c r="E356" s="323"/>
      <c r="F356" s="324"/>
      <c r="G356" s="322"/>
      <c r="H356" s="322"/>
      <c r="I356" s="322"/>
      <c r="J356" s="322"/>
      <c r="K356" s="322"/>
      <c r="L356" s="322"/>
      <c r="M356" s="322"/>
      <c r="N356" s="322"/>
      <c r="O356" s="322"/>
      <c r="P356" s="322"/>
      <c r="Q356" s="322"/>
      <c r="R356" s="322"/>
      <c r="S356" s="322"/>
      <c r="T356" s="322"/>
      <c r="U356" s="322"/>
      <c r="V356" s="322"/>
      <c r="W356" s="322"/>
      <c r="X356" s="322"/>
      <c r="Y356" s="322"/>
      <c r="Z356" s="322"/>
    </row>
    <row r="357" ht="12.75" customHeight="1">
      <c r="A357" s="322"/>
      <c r="B357" s="322"/>
      <c r="C357" s="323"/>
      <c r="D357" s="324"/>
      <c r="E357" s="323"/>
      <c r="F357" s="324"/>
      <c r="G357" s="322"/>
      <c r="H357" s="322"/>
      <c r="I357" s="322"/>
      <c r="J357" s="322"/>
      <c r="K357" s="322"/>
      <c r="L357" s="322"/>
      <c r="M357" s="322"/>
      <c r="N357" s="322"/>
      <c r="O357" s="322"/>
      <c r="P357" s="322"/>
      <c r="Q357" s="322"/>
      <c r="R357" s="322"/>
      <c r="S357" s="322"/>
      <c r="T357" s="322"/>
      <c r="U357" s="322"/>
      <c r="V357" s="322"/>
      <c r="W357" s="322"/>
      <c r="X357" s="322"/>
      <c r="Y357" s="322"/>
      <c r="Z357" s="322"/>
    </row>
    <row r="358" ht="12.75" customHeight="1">
      <c r="A358" s="322"/>
      <c r="B358" s="322"/>
      <c r="C358" s="323"/>
      <c r="D358" s="324"/>
      <c r="E358" s="323"/>
      <c r="F358" s="324"/>
      <c r="G358" s="322"/>
      <c r="H358" s="322"/>
      <c r="I358" s="322"/>
      <c r="J358" s="322"/>
      <c r="K358" s="322"/>
      <c r="L358" s="322"/>
      <c r="M358" s="322"/>
      <c r="N358" s="322"/>
      <c r="O358" s="322"/>
      <c r="P358" s="322"/>
      <c r="Q358" s="322"/>
      <c r="R358" s="322"/>
      <c r="S358" s="322"/>
      <c r="T358" s="322"/>
      <c r="U358" s="322"/>
      <c r="V358" s="322"/>
      <c r="W358" s="322"/>
      <c r="X358" s="322"/>
      <c r="Y358" s="322"/>
      <c r="Z358" s="322"/>
    </row>
    <row r="359" ht="12.75" customHeight="1">
      <c r="A359" s="322"/>
      <c r="B359" s="322"/>
      <c r="C359" s="323"/>
      <c r="D359" s="324"/>
      <c r="E359" s="323"/>
      <c r="F359" s="324"/>
      <c r="G359" s="322"/>
      <c r="H359" s="322"/>
      <c r="I359" s="322"/>
      <c r="J359" s="322"/>
      <c r="K359" s="322"/>
      <c r="L359" s="322"/>
      <c r="M359" s="322"/>
      <c r="N359" s="322"/>
      <c r="O359" s="322"/>
      <c r="P359" s="322"/>
      <c r="Q359" s="322"/>
      <c r="R359" s="322"/>
      <c r="S359" s="322"/>
      <c r="T359" s="322"/>
      <c r="U359" s="322"/>
      <c r="V359" s="322"/>
      <c r="W359" s="322"/>
      <c r="X359" s="322"/>
      <c r="Y359" s="322"/>
      <c r="Z359" s="322"/>
    </row>
    <row r="360" ht="12.75" customHeight="1">
      <c r="A360" s="322"/>
      <c r="B360" s="322"/>
      <c r="C360" s="323"/>
      <c r="D360" s="324"/>
      <c r="E360" s="323"/>
      <c r="F360" s="324"/>
      <c r="G360" s="322"/>
      <c r="H360" s="322"/>
      <c r="I360" s="322"/>
      <c r="J360" s="322"/>
      <c r="K360" s="322"/>
      <c r="L360" s="322"/>
      <c r="M360" s="322"/>
      <c r="N360" s="322"/>
      <c r="O360" s="322"/>
      <c r="P360" s="322"/>
      <c r="Q360" s="322"/>
      <c r="R360" s="322"/>
      <c r="S360" s="322"/>
      <c r="T360" s="322"/>
      <c r="U360" s="322"/>
      <c r="V360" s="322"/>
      <c r="W360" s="322"/>
      <c r="X360" s="322"/>
      <c r="Y360" s="322"/>
      <c r="Z360" s="322"/>
    </row>
    <row r="361" ht="12.75" customHeight="1">
      <c r="A361" s="322"/>
      <c r="B361" s="322"/>
      <c r="C361" s="323"/>
      <c r="D361" s="324"/>
      <c r="E361" s="323"/>
      <c r="F361" s="324"/>
      <c r="G361" s="322"/>
      <c r="H361" s="322"/>
      <c r="I361" s="322"/>
      <c r="J361" s="322"/>
      <c r="K361" s="322"/>
      <c r="L361" s="322"/>
      <c r="M361" s="322"/>
      <c r="N361" s="322"/>
      <c r="O361" s="322"/>
      <c r="P361" s="322"/>
      <c r="Q361" s="322"/>
      <c r="R361" s="322"/>
      <c r="S361" s="322"/>
      <c r="T361" s="322"/>
      <c r="U361" s="322"/>
      <c r="V361" s="322"/>
      <c r="W361" s="322"/>
      <c r="X361" s="322"/>
      <c r="Y361" s="322"/>
      <c r="Z361" s="322"/>
    </row>
    <row r="362" ht="12.75" customHeight="1">
      <c r="A362" s="322"/>
      <c r="B362" s="322"/>
      <c r="C362" s="323"/>
      <c r="D362" s="324"/>
      <c r="E362" s="323"/>
      <c r="F362" s="324"/>
      <c r="G362" s="322"/>
      <c r="H362" s="322"/>
      <c r="I362" s="322"/>
      <c r="J362" s="322"/>
      <c r="K362" s="322"/>
      <c r="L362" s="322"/>
      <c r="M362" s="322"/>
      <c r="N362" s="322"/>
      <c r="O362" s="322"/>
      <c r="P362" s="322"/>
      <c r="Q362" s="322"/>
      <c r="R362" s="322"/>
      <c r="S362" s="322"/>
      <c r="T362" s="322"/>
      <c r="U362" s="322"/>
      <c r="V362" s="322"/>
      <c r="W362" s="322"/>
      <c r="X362" s="322"/>
      <c r="Y362" s="322"/>
      <c r="Z362" s="322"/>
    </row>
    <row r="363" ht="12.75" customHeight="1">
      <c r="A363" s="322"/>
      <c r="B363" s="322"/>
      <c r="C363" s="323"/>
      <c r="D363" s="324"/>
      <c r="E363" s="323"/>
      <c r="F363" s="324"/>
      <c r="G363" s="322"/>
      <c r="H363" s="322"/>
      <c r="I363" s="322"/>
      <c r="J363" s="322"/>
      <c r="K363" s="322"/>
      <c r="L363" s="322"/>
      <c r="M363" s="322"/>
      <c r="N363" s="322"/>
      <c r="O363" s="322"/>
      <c r="P363" s="322"/>
      <c r="Q363" s="322"/>
      <c r="R363" s="322"/>
      <c r="S363" s="322"/>
      <c r="T363" s="322"/>
      <c r="U363" s="322"/>
      <c r="V363" s="322"/>
      <c r="W363" s="322"/>
      <c r="X363" s="322"/>
      <c r="Y363" s="322"/>
      <c r="Z363" s="322"/>
    </row>
    <row r="364" ht="12.75" customHeight="1">
      <c r="A364" s="322"/>
      <c r="B364" s="322"/>
      <c r="C364" s="323"/>
      <c r="D364" s="324"/>
      <c r="E364" s="323"/>
      <c r="F364" s="324"/>
      <c r="G364" s="322"/>
      <c r="H364" s="322"/>
      <c r="I364" s="322"/>
      <c r="J364" s="322"/>
      <c r="K364" s="322"/>
      <c r="L364" s="322"/>
      <c r="M364" s="322"/>
      <c r="N364" s="322"/>
      <c r="O364" s="322"/>
      <c r="P364" s="322"/>
      <c r="Q364" s="322"/>
      <c r="R364" s="322"/>
      <c r="S364" s="322"/>
      <c r="T364" s="322"/>
      <c r="U364" s="322"/>
      <c r="V364" s="322"/>
      <c r="W364" s="322"/>
      <c r="X364" s="322"/>
      <c r="Y364" s="322"/>
      <c r="Z364" s="322"/>
    </row>
    <row r="365" ht="12.75" customHeight="1">
      <c r="A365" s="322"/>
      <c r="B365" s="322"/>
      <c r="C365" s="323"/>
      <c r="D365" s="324"/>
      <c r="E365" s="323"/>
      <c r="F365" s="324"/>
      <c r="G365" s="322"/>
      <c r="H365" s="322"/>
      <c r="I365" s="322"/>
      <c r="J365" s="322"/>
      <c r="K365" s="322"/>
      <c r="L365" s="322"/>
      <c r="M365" s="322"/>
      <c r="N365" s="322"/>
      <c r="O365" s="322"/>
      <c r="P365" s="322"/>
      <c r="Q365" s="322"/>
      <c r="R365" s="322"/>
      <c r="S365" s="322"/>
      <c r="T365" s="322"/>
      <c r="U365" s="322"/>
      <c r="V365" s="322"/>
      <c r="W365" s="322"/>
      <c r="X365" s="322"/>
      <c r="Y365" s="322"/>
      <c r="Z365" s="322"/>
    </row>
    <row r="366" ht="12.75" customHeight="1">
      <c r="A366" s="322"/>
      <c r="B366" s="322"/>
      <c r="C366" s="323"/>
      <c r="D366" s="324"/>
      <c r="E366" s="323"/>
      <c r="F366" s="324"/>
      <c r="G366" s="322"/>
      <c r="H366" s="322"/>
      <c r="I366" s="322"/>
      <c r="J366" s="322"/>
      <c r="K366" s="322"/>
      <c r="L366" s="322"/>
      <c r="M366" s="322"/>
      <c r="N366" s="322"/>
      <c r="O366" s="322"/>
      <c r="P366" s="322"/>
      <c r="Q366" s="322"/>
      <c r="R366" s="322"/>
      <c r="S366" s="322"/>
      <c r="T366" s="322"/>
      <c r="U366" s="322"/>
      <c r="V366" s="322"/>
      <c r="W366" s="322"/>
      <c r="X366" s="322"/>
      <c r="Y366" s="322"/>
      <c r="Z366" s="322"/>
    </row>
    <row r="367" ht="12.75" customHeight="1">
      <c r="A367" s="322"/>
      <c r="B367" s="322"/>
      <c r="C367" s="323"/>
      <c r="D367" s="324"/>
      <c r="E367" s="323"/>
      <c r="F367" s="324"/>
      <c r="G367" s="322"/>
      <c r="H367" s="322"/>
      <c r="I367" s="322"/>
      <c r="J367" s="322"/>
      <c r="K367" s="322"/>
      <c r="L367" s="322"/>
      <c r="M367" s="322"/>
      <c r="N367" s="322"/>
      <c r="O367" s="322"/>
      <c r="P367" s="322"/>
      <c r="Q367" s="322"/>
      <c r="R367" s="322"/>
      <c r="S367" s="322"/>
      <c r="T367" s="322"/>
      <c r="U367" s="322"/>
      <c r="V367" s="322"/>
      <c r="W367" s="322"/>
      <c r="X367" s="322"/>
      <c r="Y367" s="322"/>
      <c r="Z367" s="322"/>
    </row>
    <row r="368" ht="12.75" customHeight="1">
      <c r="A368" s="322"/>
      <c r="B368" s="322"/>
      <c r="C368" s="323"/>
      <c r="D368" s="324"/>
      <c r="E368" s="323"/>
      <c r="F368" s="324"/>
      <c r="G368" s="322"/>
      <c r="H368" s="322"/>
      <c r="I368" s="322"/>
      <c r="J368" s="322"/>
      <c r="K368" s="322"/>
      <c r="L368" s="322"/>
      <c r="M368" s="322"/>
      <c r="N368" s="322"/>
      <c r="O368" s="322"/>
      <c r="P368" s="322"/>
      <c r="Q368" s="322"/>
      <c r="R368" s="322"/>
      <c r="S368" s="322"/>
      <c r="T368" s="322"/>
      <c r="U368" s="322"/>
      <c r="V368" s="322"/>
      <c r="W368" s="322"/>
      <c r="X368" s="322"/>
      <c r="Y368" s="322"/>
      <c r="Z368" s="322"/>
    </row>
    <row r="369" ht="12.75" customHeight="1">
      <c r="A369" s="322"/>
      <c r="B369" s="322"/>
      <c r="C369" s="323"/>
      <c r="D369" s="324"/>
      <c r="E369" s="323"/>
      <c r="F369" s="324"/>
      <c r="G369" s="322"/>
      <c r="H369" s="322"/>
      <c r="I369" s="322"/>
      <c r="J369" s="322"/>
      <c r="K369" s="322"/>
      <c r="L369" s="322"/>
      <c r="M369" s="322"/>
      <c r="N369" s="322"/>
      <c r="O369" s="322"/>
      <c r="P369" s="322"/>
      <c r="Q369" s="322"/>
      <c r="R369" s="322"/>
      <c r="S369" s="322"/>
      <c r="T369" s="322"/>
      <c r="U369" s="322"/>
      <c r="V369" s="322"/>
      <c r="W369" s="322"/>
      <c r="X369" s="322"/>
      <c r="Y369" s="322"/>
      <c r="Z369" s="322"/>
    </row>
    <row r="370" ht="12.75" customHeight="1">
      <c r="A370" s="322"/>
      <c r="B370" s="322"/>
      <c r="C370" s="323"/>
      <c r="D370" s="324"/>
      <c r="E370" s="323"/>
      <c r="F370" s="324"/>
      <c r="G370" s="322"/>
      <c r="H370" s="322"/>
      <c r="I370" s="322"/>
      <c r="J370" s="322"/>
      <c r="K370" s="322"/>
      <c r="L370" s="322"/>
      <c r="M370" s="322"/>
      <c r="N370" s="322"/>
      <c r="O370" s="322"/>
      <c r="P370" s="322"/>
      <c r="Q370" s="322"/>
      <c r="R370" s="322"/>
      <c r="S370" s="322"/>
      <c r="T370" s="322"/>
      <c r="U370" s="322"/>
      <c r="V370" s="322"/>
      <c r="W370" s="322"/>
      <c r="X370" s="322"/>
      <c r="Y370" s="322"/>
      <c r="Z370" s="322"/>
    </row>
    <row r="371" ht="12.75" customHeight="1">
      <c r="A371" s="322"/>
      <c r="B371" s="322"/>
      <c r="C371" s="323"/>
      <c r="D371" s="324"/>
      <c r="E371" s="323"/>
      <c r="F371" s="324"/>
      <c r="G371" s="322"/>
      <c r="H371" s="322"/>
      <c r="I371" s="322"/>
      <c r="J371" s="322"/>
      <c r="K371" s="322"/>
      <c r="L371" s="322"/>
      <c r="M371" s="322"/>
      <c r="N371" s="322"/>
      <c r="O371" s="322"/>
      <c r="P371" s="322"/>
      <c r="Q371" s="322"/>
      <c r="R371" s="322"/>
      <c r="S371" s="322"/>
      <c r="T371" s="322"/>
      <c r="U371" s="322"/>
      <c r="V371" s="322"/>
      <c r="W371" s="322"/>
      <c r="X371" s="322"/>
      <c r="Y371" s="322"/>
      <c r="Z371" s="322"/>
    </row>
    <row r="372" ht="12.75" customHeight="1">
      <c r="A372" s="322"/>
      <c r="B372" s="322"/>
      <c r="C372" s="323"/>
      <c r="D372" s="324"/>
      <c r="E372" s="323"/>
      <c r="F372" s="324"/>
      <c r="G372" s="322"/>
      <c r="H372" s="322"/>
      <c r="I372" s="322"/>
      <c r="J372" s="322"/>
      <c r="K372" s="322"/>
      <c r="L372" s="322"/>
      <c r="M372" s="322"/>
      <c r="N372" s="322"/>
      <c r="O372" s="322"/>
      <c r="P372" s="322"/>
      <c r="Q372" s="322"/>
      <c r="R372" s="322"/>
      <c r="S372" s="322"/>
      <c r="T372" s="322"/>
      <c r="U372" s="322"/>
      <c r="V372" s="322"/>
      <c r="W372" s="322"/>
      <c r="X372" s="322"/>
      <c r="Y372" s="322"/>
      <c r="Z372" s="322"/>
    </row>
    <row r="373" ht="12.75" customHeight="1">
      <c r="A373" s="322"/>
      <c r="B373" s="322"/>
      <c r="C373" s="323"/>
      <c r="D373" s="324"/>
      <c r="E373" s="323"/>
      <c r="F373" s="324"/>
      <c r="G373" s="322"/>
      <c r="H373" s="322"/>
      <c r="I373" s="322"/>
      <c r="J373" s="322"/>
      <c r="K373" s="322"/>
      <c r="L373" s="322"/>
      <c r="M373" s="322"/>
      <c r="N373" s="322"/>
      <c r="O373" s="322"/>
      <c r="P373" s="322"/>
      <c r="Q373" s="322"/>
      <c r="R373" s="322"/>
      <c r="S373" s="322"/>
      <c r="T373" s="322"/>
      <c r="U373" s="322"/>
      <c r="V373" s="322"/>
      <c r="W373" s="322"/>
      <c r="X373" s="322"/>
      <c r="Y373" s="322"/>
      <c r="Z373" s="322"/>
    </row>
    <row r="374" ht="12.75" customHeight="1">
      <c r="A374" s="322"/>
      <c r="B374" s="322"/>
      <c r="C374" s="323"/>
      <c r="D374" s="324"/>
      <c r="E374" s="323"/>
      <c r="F374" s="324"/>
      <c r="G374" s="322"/>
      <c r="H374" s="322"/>
      <c r="I374" s="322"/>
      <c r="J374" s="322"/>
      <c r="K374" s="322"/>
      <c r="L374" s="322"/>
      <c r="M374" s="322"/>
      <c r="N374" s="322"/>
      <c r="O374" s="322"/>
      <c r="P374" s="322"/>
      <c r="Q374" s="322"/>
      <c r="R374" s="322"/>
      <c r="S374" s="322"/>
      <c r="T374" s="322"/>
      <c r="U374" s="322"/>
      <c r="V374" s="322"/>
      <c r="W374" s="322"/>
      <c r="X374" s="322"/>
      <c r="Y374" s="322"/>
      <c r="Z374" s="322"/>
    </row>
    <row r="375" ht="12.75" customHeight="1">
      <c r="A375" s="322"/>
      <c r="B375" s="322"/>
      <c r="C375" s="323"/>
      <c r="D375" s="324"/>
      <c r="E375" s="323"/>
      <c r="F375" s="324"/>
      <c r="G375" s="322"/>
      <c r="H375" s="322"/>
      <c r="I375" s="322"/>
      <c r="J375" s="322"/>
      <c r="K375" s="322"/>
      <c r="L375" s="322"/>
      <c r="M375" s="322"/>
      <c r="N375" s="322"/>
      <c r="O375" s="322"/>
      <c r="P375" s="322"/>
      <c r="Q375" s="322"/>
      <c r="R375" s="322"/>
      <c r="S375" s="322"/>
      <c r="T375" s="322"/>
      <c r="U375" s="322"/>
      <c r="V375" s="322"/>
      <c r="W375" s="322"/>
      <c r="X375" s="322"/>
      <c r="Y375" s="322"/>
      <c r="Z375" s="322"/>
    </row>
    <row r="376" ht="12.75" customHeight="1">
      <c r="A376" s="322"/>
      <c r="B376" s="322"/>
      <c r="C376" s="323"/>
      <c r="D376" s="324"/>
      <c r="E376" s="323"/>
      <c r="F376" s="324"/>
      <c r="G376" s="322"/>
      <c r="H376" s="322"/>
      <c r="I376" s="322"/>
      <c r="J376" s="322"/>
      <c r="K376" s="322"/>
      <c r="L376" s="322"/>
      <c r="M376" s="322"/>
      <c r="N376" s="322"/>
      <c r="O376" s="322"/>
      <c r="P376" s="322"/>
      <c r="Q376" s="322"/>
      <c r="R376" s="322"/>
      <c r="S376" s="322"/>
      <c r="T376" s="322"/>
      <c r="U376" s="322"/>
      <c r="V376" s="322"/>
      <c r="W376" s="322"/>
      <c r="X376" s="322"/>
      <c r="Y376" s="322"/>
      <c r="Z376" s="322"/>
    </row>
    <row r="377" ht="12.75" customHeight="1">
      <c r="A377" s="322"/>
      <c r="B377" s="322"/>
      <c r="C377" s="323"/>
      <c r="D377" s="324"/>
      <c r="E377" s="323"/>
      <c r="F377" s="324"/>
      <c r="G377" s="322"/>
      <c r="H377" s="322"/>
      <c r="I377" s="322"/>
      <c r="J377" s="322"/>
      <c r="K377" s="322"/>
      <c r="L377" s="322"/>
      <c r="M377" s="322"/>
      <c r="N377" s="322"/>
      <c r="O377" s="322"/>
      <c r="P377" s="322"/>
      <c r="Q377" s="322"/>
      <c r="R377" s="322"/>
      <c r="S377" s="322"/>
      <c r="T377" s="322"/>
      <c r="U377" s="322"/>
      <c r="V377" s="322"/>
      <c r="W377" s="322"/>
      <c r="X377" s="322"/>
      <c r="Y377" s="322"/>
      <c r="Z377" s="322"/>
    </row>
    <row r="378" ht="12.75" customHeight="1">
      <c r="A378" s="322"/>
      <c r="B378" s="322"/>
      <c r="C378" s="323"/>
      <c r="D378" s="324"/>
      <c r="E378" s="323"/>
      <c r="F378" s="324"/>
      <c r="G378" s="322"/>
      <c r="H378" s="322"/>
      <c r="I378" s="322"/>
      <c r="J378" s="322"/>
      <c r="K378" s="322"/>
      <c r="L378" s="322"/>
      <c r="M378" s="322"/>
      <c r="N378" s="322"/>
      <c r="O378" s="322"/>
      <c r="P378" s="322"/>
      <c r="Q378" s="322"/>
      <c r="R378" s="322"/>
      <c r="S378" s="322"/>
      <c r="T378" s="322"/>
      <c r="U378" s="322"/>
      <c r="V378" s="322"/>
      <c r="W378" s="322"/>
      <c r="X378" s="322"/>
      <c r="Y378" s="322"/>
      <c r="Z378" s="322"/>
    </row>
    <row r="379" ht="12.75" customHeight="1">
      <c r="A379" s="322"/>
      <c r="B379" s="322"/>
      <c r="C379" s="323"/>
      <c r="D379" s="324"/>
      <c r="E379" s="323"/>
      <c r="F379" s="324"/>
      <c r="G379" s="322"/>
      <c r="H379" s="322"/>
      <c r="I379" s="322"/>
      <c r="J379" s="322"/>
      <c r="K379" s="322"/>
      <c r="L379" s="322"/>
      <c r="M379" s="322"/>
      <c r="N379" s="322"/>
      <c r="O379" s="322"/>
      <c r="P379" s="322"/>
      <c r="Q379" s="322"/>
      <c r="R379" s="322"/>
      <c r="S379" s="322"/>
      <c r="T379" s="322"/>
      <c r="U379" s="322"/>
      <c r="V379" s="322"/>
      <c r="W379" s="322"/>
      <c r="X379" s="322"/>
      <c r="Y379" s="322"/>
      <c r="Z379" s="322"/>
    </row>
    <row r="380" ht="12.75" customHeight="1">
      <c r="A380" s="322"/>
      <c r="B380" s="322"/>
      <c r="C380" s="323"/>
      <c r="D380" s="324"/>
      <c r="E380" s="323"/>
      <c r="F380" s="324"/>
      <c r="G380" s="322"/>
      <c r="H380" s="322"/>
      <c r="I380" s="322"/>
      <c r="J380" s="322"/>
      <c r="K380" s="322"/>
      <c r="L380" s="322"/>
      <c r="M380" s="322"/>
      <c r="N380" s="322"/>
      <c r="O380" s="322"/>
      <c r="P380" s="322"/>
      <c r="Q380" s="322"/>
      <c r="R380" s="322"/>
      <c r="S380" s="322"/>
      <c r="T380" s="322"/>
      <c r="U380" s="322"/>
      <c r="V380" s="322"/>
      <c r="W380" s="322"/>
      <c r="X380" s="322"/>
      <c r="Y380" s="322"/>
      <c r="Z380" s="322"/>
    </row>
    <row r="381" ht="12.75" customHeight="1">
      <c r="A381" s="322"/>
      <c r="B381" s="322"/>
      <c r="C381" s="323"/>
      <c r="D381" s="324"/>
      <c r="E381" s="323"/>
      <c r="F381" s="324"/>
      <c r="G381" s="322"/>
      <c r="H381" s="322"/>
      <c r="I381" s="322"/>
      <c r="J381" s="322"/>
      <c r="K381" s="322"/>
      <c r="L381" s="322"/>
      <c r="M381" s="322"/>
      <c r="N381" s="322"/>
      <c r="O381" s="322"/>
      <c r="P381" s="322"/>
      <c r="Q381" s="322"/>
      <c r="R381" s="322"/>
      <c r="S381" s="322"/>
      <c r="T381" s="322"/>
      <c r="U381" s="322"/>
      <c r="V381" s="322"/>
      <c r="W381" s="322"/>
      <c r="X381" s="322"/>
      <c r="Y381" s="322"/>
      <c r="Z381" s="322"/>
    </row>
    <row r="382" ht="12.75" customHeight="1">
      <c r="A382" s="322"/>
      <c r="B382" s="322"/>
      <c r="C382" s="323"/>
      <c r="D382" s="324"/>
      <c r="E382" s="323"/>
      <c r="F382" s="324"/>
      <c r="G382" s="322"/>
      <c r="H382" s="322"/>
      <c r="I382" s="322"/>
      <c r="J382" s="322"/>
      <c r="K382" s="322"/>
      <c r="L382" s="322"/>
      <c r="M382" s="322"/>
      <c r="N382" s="322"/>
      <c r="O382" s="322"/>
      <c r="P382" s="322"/>
      <c r="Q382" s="322"/>
      <c r="R382" s="322"/>
      <c r="S382" s="322"/>
      <c r="T382" s="322"/>
      <c r="U382" s="322"/>
      <c r="V382" s="322"/>
      <c r="W382" s="322"/>
      <c r="X382" s="322"/>
      <c r="Y382" s="322"/>
      <c r="Z382" s="322"/>
    </row>
    <row r="383" ht="12.75" customHeight="1">
      <c r="A383" s="322"/>
      <c r="B383" s="322"/>
      <c r="C383" s="323"/>
      <c r="D383" s="324"/>
      <c r="E383" s="323"/>
      <c r="F383" s="324"/>
      <c r="G383" s="322"/>
      <c r="H383" s="322"/>
      <c r="I383" s="322"/>
      <c r="J383" s="322"/>
      <c r="K383" s="322"/>
      <c r="L383" s="322"/>
      <c r="M383" s="322"/>
      <c r="N383" s="322"/>
      <c r="O383" s="322"/>
      <c r="P383" s="322"/>
      <c r="Q383" s="322"/>
      <c r="R383" s="322"/>
      <c r="S383" s="322"/>
      <c r="T383" s="322"/>
      <c r="U383" s="322"/>
      <c r="V383" s="322"/>
      <c r="W383" s="322"/>
      <c r="X383" s="322"/>
      <c r="Y383" s="322"/>
      <c r="Z383" s="322"/>
    </row>
    <row r="384" ht="12.75" customHeight="1">
      <c r="A384" s="322"/>
      <c r="B384" s="322"/>
      <c r="C384" s="323"/>
      <c r="D384" s="324"/>
      <c r="E384" s="323"/>
      <c r="F384" s="324"/>
      <c r="G384" s="322"/>
      <c r="H384" s="322"/>
      <c r="I384" s="322"/>
      <c r="J384" s="322"/>
      <c r="K384" s="322"/>
      <c r="L384" s="322"/>
      <c r="M384" s="322"/>
      <c r="N384" s="322"/>
      <c r="O384" s="322"/>
      <c r="P384" s="322"/>
      <c r="Q384" s="322"/>
      <c r="R384" s="322"/>
      <c r="S384" s="322"/>
      <c r="T384" s="322"/>
      <c r="U384" s="322"/>
      <c r="V384" s="322"/>
      <c r="W384" s="322"/>
      <c r="X384" s="322"/>
      <c r="Y384" s="322"/>
      <c r="Z384" s="322"/>
    </row>
    <row r="385" ht="12.75" customHeight="1">
      <c r="A385" s="322"/>
      <c r="B385" s="322"/>
      <c r="C385" s="323"/>
      <c r="D385" s="324"/>
      <c r="E385" s="323"/>
      <c r="F385" s="324"/>
      <c r="G385" s="322"/>
      <c r="H385" s="322"/>
      <c r="I385" s="322"/>
      <c r="J385" s="322"/>
      <c r="K385" s="322"/>
      <c r="L385" s="322"/>
      <c r="M385" s="322"/>
      <c r="N385" s="322"/>
      <c r="O385" s="322"/>
      <c r="P385" s="322"/>
      <c r="Q385" s="322"/>
      <c r="R385" s="322"/>
      <c r="S385" s="322"/>
      <c r="T385" s="322"/>
      <c r="U385" s="322"/>
      <c r="V385" s="322"/>
      <c r="W385" s="322"/>
      <c r="X385" s="322"/>
      <c r="Y385" s="322"/>
      <c r="Z385" s="322"/>
    </row>
    <row r="386" ht="12.75" customHeight="1">
      <c r="A386" s="322"/>
      <c r="B386" s="322"/>
      <c r="C386" s="323"/>
      <c r="D386" s="324"/>
      <c r="E386" s="323"/>
      <c r="F386" s="324"/>
      <c r="G386" s="322"/>
      <c r="H386" s="322"/>
      <c r="I386" s="322"/>
      <c r="J386" s="322"/>
      <c r="K386" s="322"/>
      <c r="L386" s="322"/>
      <c r="M386" s="322"/>
      <c r="N386" s="322"/>
      <c r="O386" s="322"/>
      <c r="P386" s="322"/>
      <c r="Q386" s="322"/>
      <c r="R386" s="322"/>
      <c r="S386" s="322"/>
      <c r="T386" s="322"/>
      <c r="U386" s="322"/>
      <c r="V386" s="322"/>
      <c r="W386" s="322"/>
      <c r="X386" s="322"/>
      <c r="Y386" s="322"/>
      <c r="Z386" s="322"/>
    </row>
    <row r="387" ht="12.75" customHeight="1">
      <c r="A387" s="322"/>
      <c r="B387" s="322"/>
      <c r="C387" s="323"/>
      <c r="D387" s="324"/>
      <c r="E387" s="323"/>
      <c r="F387" s="324"/>
      <c r="G387" s="322"/>
      <c r="H387" s="322"/>
      <c r="I387" s="322"/>
      <c r="J387" s="322"/>
      <c r="K387" s="322"/>
      <c r="L387" s="322"/>
      <c r="M387" s="322"/>
      <c r="N387" s="322"/>
      <c r="O387" s="322"/>
      <c r="P387" s="322"/>
      <c r="Q387" s="322"/>
      <c r="R387" s="322"/>
      <c r="S387" s="322"/>
      <c r="T387" s="322"/>
      <c r="U387" s="322"/>
      <c r="V387" s="322"/>
      <c r="W387" s="322"/>
      <c r="X387" s="322"/>
      <c r="Y387" s="322"/>
      <c r="Z387" s="322"/>
    </row>
    <row r="388" ht="12.75" customHeight="1">
      <c r="A388" s="322"/>
      <c r="B388" s="322"/>
      <c r="C388" s="323"/>
      <c r="D388" s="324"/>
      <c r="E388" s="323"/>
      <c r="F388" s="324"/>
      <c r="G388" s="322"/>
      <c r="H388" s="322"/>
      <c r="I388" s="322"/>
      <c r="J388" s="322"/>
      <c r="K388" s="322"/>
      <c r="L388" s="322"/>
      <c r="M388" s="322"/>
      <c r="N388" s="322"/>
      <c r="O388" s="322"/>
      <c r="P388" s="322"/>
      <c r="Q388" s="322"/>
      <c r="R388" s="322"/>
      <c r="S388" s="322"/>
      <c r="T388" s="322"/>
      <c r="U388" s="322"/>
      <c r="V388" s="322"/>
      <c r="W388" s="322"/>
      <c r="X388" s="322"/>
      <c r="Y388" s="322"/>
      <c r="Z388" s="322"/>
    </row>
    <row r="389" ht="12.75" customHeight="1">
      <c r="A389" s="322"/>
      <c r="B389" s="322"/>
      <c r="C389" s="323"/>
      <c r="D389" s="324"/>
      <c r="E389" s="323"/>
      <c r="F389" s="324"/>
      <c r="G389" s="322"/>
      <c r="H389" s="322"/>
      <c r="I389" s="322"/>
      <c r="J389" s="322"/>
      <c r="K389" s="322"/>
      <c r="L389" s="322"/>
      <c r="M389" s="322"/>
      <c r="N389" s="322"/>
      <c r="O389" s="322"/>
      <c r="P389" s="322"/>
      <c r="Q389" s="322"/>
      <c r="R389" s="322"/>
      <c r="S389" s="322"/>
      <c r="T389" s="322"/>
      <c r="U389" s="322"/>
      <c r="V389" s="322"/>
      <c r="W389" s="322"/>
      <c r="X389" s="322"/>
      <c r="Y389" s="322"/>
      <c r="Z389" s="322"/>
    </row>
    <row r="390" ht="12.75" customHeight="1">
      <c r="A390" s="322"/>
      <c r="B390" s="322"/>
      <c r="C390" s="323"/>
      <c r="D390" s="324"/>
      <c r="E390" s="323"/>
      <c r="F390" s="324"/>
      <c r="G390" s="322"/>
      <c r="H390" s="322"/>
      <c r="I390" s="322"/>
      <c r="J390" s="322"/>
      <c r="K390" s="322"/>
      <c r="L390" s="322"/>
      <c r="M390" s="322"/>
      <c r="N390" s="322"/>
      <c r="O390" s="322"/>
      <c r="P390" s="322"/>
      <c r="Q390" s="322"/>
      <c r="R390" s="322"/>
      <c r="S390" s="322"/>
      <c r="T390" s="322"/>
      <c r="U390" s="322"/>
      <c r="V390" s="322"/>
      <c r="W390" s="322"/>
      <c r="X390" s="322"/>
      <c r="Y390" s="322"/>
      <c r="Z390" s="322"/>
    </row>
    <row r="391" ht="12.75" customHeight="1">
      <c r="A391" s="322"/>
      <c r="B391" s="322"/>
      <c r="C391" s="323"/>
      <c r="D391" s="324"/>
      <c r="E391" s="323"/>
      <c r="F391" s="324"/>
      <c r="G391" s="322"/>
      <c r="H391" s="322"/>
      <c r="I391" s="322"/>
      <c r="J391" s="322"/>
      <c r="K391" s="322"/>
      <c r="L391" s="322"/>
      <c r="M391" s="322"/>
      <c r="N391" s="322"/>
      <c r="O391" s="322"/>
      <c r="P391" s="322"/>
      <c r="Q391" s="322"/>
      <c r="R391" s="322"/>
      <c r="S391" s="322"/>
      <c r="T391" s="322"/>
      <c r="U391" s="322"/>
      <c r="V391" s="322"/>
      <c r="W391" s="322"/>
      <c r="X391" s="322"/>
      <c r="Y391" s="322"/>
      <c r="Z391" s="322"/>
    </row>
    <row r="392" ht="12.75" customHeight="1">
      <c r="A392" s="322"/>
      <c r="B392" s="322"/>
      <c r="C392" s="323"/>
      <c r="D392" s="324"/>
      <c r="E392" s="323"/>
      <c r="F392" s="324"/>
      <c r="G392" s="322"/>
      <c r="H392" s="322"/>
      <c r="I392" s="322"/>
      <c r="J392" s="322"/>
      <c r="K392" s="322"/>
      <c r="L392" s="322"/>
      <c r="M392" s="322"/>
      <c r="N392" s="322"/>
      <c r="O392" s="322"/>
      <c r="P392" s="322"/>
      <c r="Q392" s="322"/>
      <c r="R392" s="322"/>
      <c r="S392" s="322"/>
      <c r="T392" s="322"/>
      <c r="U392" s="322"/>
      <c r="V392" s="322"/>
      <c r="W392" s="322"/>
      <c r="X392" s="322"/>
      <c r="Y392" s="322"/>
      <c r="Z392" s="322"/>
    </row>
    <row r="393" ht="12.75" customHeight="1">
      <c r="A393" s="322"/>
      <c r="B393" s="322"/>
      <c r="C393" s="323"/>
      <c r="D393" s="324"/>
      <c r="E393" s="323"/>
      <c r="F393" s="324"/>
      <c r="G393" s="322"/>
      <c r="H393" s="322"/>
      <c r="I393" s="322"/>
      <c r="J393" s="322"/>
      <c r="K393" s="322"/>
      <c r="L393" s="322"/>
      <c r="M393" s="322"/>
      <c r="N393" s="322"/>
      <c r="O393" s="322"/>
      <c r="P393" s="322"/>
      <c r="Q393" s="322"/>
      <c r="R393" s="322"/>
      <c r="S393" s="322"/>
      <c r="T393" s="322"/>
      <c r="U393" s="322"/>
      <c r="V393" s="322"/>
      <c r="W393" s="322"/>
      <c r="X393" s="322"/>
      <c r="Y393" s="322"/>
      <c r="Z393" s="322"/>
    </row>
    <row r="394" ht="12.75" customHeight="1">
      <c r="A394" s="322"/>
      <c r="B394" s="322"/>
      <c r="C394" s="323"/>
      <c r="D394" s="324"/>
      <c r="E394" s="323"/>
      <c r="F394" s="324"/>
      <c r="G394" s="322"/>
      <c r="H394" s="322"/>
      <c r="I394" s="322"/>
      <c r="J394" s="322"/>
      <c r="K394" s="322"/>
      <c r="L394" s="322"/>
      <c r="M394" s="322"/>
      <c r="N394" s="322"/>
      <c r="O394" s="322"/>
      <c r="P394" s="322"/>
      <c r="Q394" s="322"/>
      <c r="R394" s="322"/>
      <c r="S394" s="322"/>
      <c r="T394" s="322"/>
      <c r="U394" s="322"/>
      <c r="V394" s="322"/>
      <c r="W394" s="322"/>
      <c r="X394" s="322"/>
      <c r="Y394" s="322"/>
      <c r="Z394" s="322"/>
    </row>
    <row r="395" ht="12.75" customHeight="1">
      <c r="A395" s="322"/>
      <c r="B395" s="322"/>
      <c r="C395" s="323"/>
      <c r="D395" s="324"/>
      <c r="E395" s="323"/>
      <c r="F395" s="324"/>
      <c r="G395" s="322"/>
      <c r="H395" s="322"/>
      <c r="I395" s="322"/>
      <c r="J395" s="322"/>
      <c r="K395" s="322"/>
      <c r="L395" s="322"/>
      <c r="M395" s="322"/>
      <c r="N395" s="322"/>
      <c r="O395" s="322"/>
      <c r="P395" s="322"/>
      <c r="Q395" s="322"/>
      <c r="R395" s="322"/>
      <c r="S395" s="322"/>
      <c r="T395" s="322"/>
      <c r="U395" s="322"/>
      <c r="V395" s="322"/>
      <c r="W395" s="322"/>
      <c r="X395" s="322"/>
      <c r="Y395" s="322"/>
      <c r="Z395" s="322"/>
    </row>
    <row r="396" ht="12.75" customHeight="1">
      <c r="A396" s="322"/>
      <c r="B396" s="322"/>
      <c r="C396" s="323"/>
      <c r="D396" s="324"/>
      <c r="E396" s="323"/>
      <c r="F396" s="324"/>
      <c r="G396" s="322"/>
      <c r="H396" s="322"/>
      <c r="I396" s="322"/>
      <c r="J396" s="322"/>
      <c r="K396" s="322"/>
      <c r="L396" s="322"/>
      <c r="M396" s="322"/>
      <c r="N396" s="322"/>
      <c r="O396" s="322"/>
      <c r="P396" s="322"/>
      <c r="Q396" s="322"/>
      <c r="R396" s="322"/>
      <c r="S396" s="322"/>
      <c r="T396" s="322"/>
      <c r="U396" s="322"/>
      <c r="V396" s="322"/>
      <c r="W396" s="322"/>
      <c r="X396" s="322"/>
      <c r="Y396" s="322"/>
      <c r="Z396" s="322"/>
    </row>
    <row r="397" ht="12.75" customHeight="1">
      <c r="A397" s="322"/>
      <c r="B397" s="322"/>
      <c r="C397" s="323"/>
      <c r="D397" s="324"/>
      <c r="E397" s="323"/>
      <c r="F397" s="324"/>
      <c r="G397" s="322"/>
      <c r="H397" s="322"/>
      <c r="I397" s="322"/>
      <c r="J397" s="322"/>
      <c r="K397" s="322"/>
      <c r="L397" s="322"/>
      <c r="M397" s="322"/>
      <c r="N397" s="322"/>
      <c r="O397" s="322"/>
      <c r="P397" s="322"/>
      <c r="Q397" s="322"/>
      <c r="R397" s="322"/>
      <c r="S397" s="322"/>
      <c r="T397" s="322"/>
      <c r="U397" s="322"/>
      <c r="V397" s="322"/>
      <c r="W397" s="322"/>
      <c r="X397" s="322"/>
      <c r="Y397" s="322"/>
      <c r="Z397" s="322"/>
    </row>
    <row r="398" ht="12.75" customHeight="1">
      <c r="A398" s="322"/>
      <c r="B398" s="322"/>
      <c r="C398" s="323"/>
      <c r="D398" s="324"/>
      <c r="E398" s="323"/>
      <c r="F398" s="324"/>
      <c r="G398" s="322"/>
      <c r="H398" s="322"/>
      <c r="I398" s="322"/>
      <c r="J398" s="322"/>
      <c r="K398" s="322"/>
      <c r="L398" s="322"/>
      <c r="M398" s="322"/>
      <c r="N398" s="322"/>
      <c r="O398" s="322"/>
      <c r="P398" s="322"/>
      <c r="Q398" s="322"/>
      <c r="R398" s="322"/>
      <c r="S398" s="322"/>
      <c r="T398" s="322"/>
      <c r="U398" s="322"/>
      <c r="V398" s="322"/>
      <c r="W398" s="322"/>
      <c r="X398" s="322"/>
      <c r="Y398" s="322"/>
      <c r="Z398" s="322"/>
    </row>
    <row r="399" ht="12.75" customHeight="1">
      <c r="A399" s="322"/>
      <c r="B399" s="322"/>
      <c r="C399" s="323"/>
      <c r="D399" s="324"/>
      <c r="E399" s="323"/>
      <c r="F399" s="324"/>
      <c r="G399" s="322"/>
      <c r="H399" s="322"/>
      <c r="I399" s="322"/>
      <c r="J399" s="322"/>
      <c r="K399" s="322"/>
      <c r="L399" s="322"/>
      <c r="M399" s="322"/>
      <c r="N399" s="322"/>
      <c r="O399" s="322"/>
      <c r="P399" s="322"/>
      <c r="Q399" s="322"/>
      <c r="R399" s="322"/>
      <c r="S399" s="322"/>
      <c r="T399" s="322"/>
      <c r="U399" s="322"/>
      <c r="V399" s="322"/>
      <c r="W399" s="322"/>
      <c r="X399" s="322"/>
      <c r="Y399" s="322"/>
      <c r="Z399" s="322"/>
    </row>
    <row r="400" ht="12.75" customHeight="1">
      <c r="A400" s="322"/>
      <c r="B400" s="322"/>
      <c r="C400" s="323"/>
      <c r="D400" s="324"/>
      <c r="E400" s="323"/>
      <c r="F400" s="324"/>
      <c r="G400" s="322"/>
      <c r="H400" s="322"/>
      <c r="I400" s="322"/>
      <c r="J400" s="322"/>
      <c r="K400" s="322"/>
      <c r="L400" s="322"/>
      <c r="M400" s="322"/>
      <c r="N400" s="322"/>
      <c r="O400" s="322"/>
      <c r="P400" s="322"/>
      <c r="Q400" s="322"/>
      <c r="R400" s="322"/>
      <c r="S400" s="322"/>
      <c r="T400" s="322"/>
      <c r="U400" s="322"/>
      <c r="V400" s="322"/>
      <c r="W400" s="322"/>
      <c r="X400" s="322"/>
      <c r="Y400" s="322"/>
      <c r="Z400" s="322"/>
    </row>
    <row r="401" ht="12.75" customHeight="1">
      <c r="A401" s="322"/>
      <c r="B401" s="322"/>
      <c r="C401" s="323"/>
      <c r="D401" s="324"/>
      <c r="E401" s="323"/>
      <c r="F401" s="324"/>
      <c r="G401" s="322"/>
      <c r="H401" s="322"/>
      <c r="I401" s="322"/>
      <c r="J401" s="322"/>
      <c r="K401" s="322"/>
      <c r="L401" s="322"/>
      <c r="M401" s="322"/>
      <c r="N401" s="322"/>
      <c r="O401" s="322"/>
      <c r="P401" s="322"/>
      <c r="Q401" s="322"/>
      <c r="R401" s="322"/>
      <c r="S401" s="322"/>
      <c r="T401" s="322"/>
      <c r="U401" s="322"/>
      <c r="V401" s="322"/>
      <c r="W401" s="322"/>
      <c r="X401" s="322"/>
      <c r="Y401" s="322"/>
      <c r="Z401" s="322"/>
    </row>
    <row r="402" ht="12.75" customHeight="1">
      <c r="A402" s="322"/>
      <c r="B402" s="322"/>
      <c r="C402" s="323"/>
      <c r="D402" s="324"/>
      <c r="E402" s="323"/>
      <c r="F402" s="324"/>
      <c r="G402" s="322"/>
      <c r="H402" s="322"/>
      <c r="I402" s="322"/>
      <c r="J402" s="322"/>
      <c r="K402" s="322"/>
      <c r="L402" s="322"/>
      <c r="M402" s="322"/>
      <c r="N402" s="322"/>
      <c r="O402" s="322"/>
      <c r="P402" s="322"/>
      <c r="Q402" s="322"/>
      <c r="R402" s="322"/>
      <c r="S402" s="322"/>
      <c r="T402" s="322"/>
      <c r="U402" s="322"/>
      <c r="V402" s="322"/>
      <c r="W402" s="322"/>
      <c r="X402" s="322"/>
      <c r="Y402" s="322"/>
      <c r="Z402" s="322"/>
    </row>
    <row r="403" ht="12.75" customHeight="1">
      <c r="A403" s="322"/>
      <c r="B403" s="322"/>
      <c r="C403" s="323"/>
      <c r="D403" s="324"/>
      <c r="E403" s="323"/>
      <c r="F403" s="324"/>
      <c r="G403" s="322"/>
      <c r="H403" s="322"/>
      <c r="I403" s="322"/>
      <c r="J403" s="322"/>
      <c r="K403" s="322"/>
      <c r="L403" s="322"/>
      <c r="M403" s="322"/>
      <c r="N403" s="322"/>
      <c r="O403" s="322"/>
      <c r="P403" s="322"/>
      <c r="Q403" s="322"/>
      <c r="R403" s="322"/>
      <c r="S403" s="322"/>
      <c r="T403" s="322"/>
      <c r="U403" s="322"/>
      <c r="V403" s="322"/>
      <c r="W403" s="322"/>
      <c r="X403" s="322"/>
      <c r="Y403" s="322"/>
      <c r="Z403" s="322"/>
    </row>
    <row r="404" ht="12.75" customHeight="1">
      <c r="A404" s="322"/>
      <c r="B404" s="322"/>
      <c r="C404" s="323"/>
      <c r="D404" s="324"/>
      <c r="E404" s="323"/>
      <c r="F404" s="324"/>
      <c r="G404" s="322"/>
      <c r="H404" s="322"/>
      <c r="I404" s="322"/>
      <c r="J404" s="322"/>
      <c r="K404" s="322"/>
      <c r="L404" s="322"/>
      <c r="M404" s="322"/>
      <c r="N404" s="322"/>
      <c r="O404" s="322"/>
      <c r="P404" s="322"/>
      <c r="Q404" s="322"/>
      <c r="R404" s="322"/>
      <c r="S404" s="322"/>
      <c r="T404" s="322"/>
      <c r="U404" s="322"/>
      <c r="V404" s="322"/>
      <c r="W404" s="322"/>
      <c r="X404" s="322"/>
      <c r="Y404" s="322"/>
      <c r="Z404" s="322"/>
    </row>
    <row r="405" ht="12.75" customHeight="1">
      <c r="A405" s="322"/>
      <c r="B405" s="322"/>
      <c r="C405" s="323"/>
      <c r="D405" s="324"/>
      <c r="E405" s="323"/>
      <c r="F405" s="324"/>
      <c r="G405" s="322"/>
      <c r="H405" s="322"/>
      <c r="I405" s="322"/>
      <c r="J405" s="322"/>
      <c r="K405" s="322"/>
      <c r="L405" s="322"/>
      <c r="M405" s="322"/>
      <c r="N405" s="322"/>
      <c r="O405" s="322"/>
      <c r="P405" s="322"/>
      <c r="Q405" s="322"/>
      <c r="R405" s="322"/>
      <c r="S405" s="322"/>
      <c r="T405" s="322"/>
      <c r="U405" s="322"/>
      <c r="V405" s="322"/>
      <c r="W405" s="322"/>
      <c r="X405" s="322"/>
      <c r="Y405" s="322"/>
      <c r="Z405" s="322"/>
    </row>
    <row r="406" ht="12.75" customHeight="1">
      <c r="A406" s="322"/>
      <c r="B406" s="322"/>
      <c r="C406" s="323"/>
      <c r="D406" s="324"/>
      <c r="E406" s="323"/>
      <c r="F406" s="324"/>
      <c r="G406" s="322"/>
      <c r="H406" s="322"/>
      <c r="I406" s="322"/>
      <c r="J406" s="322"/>
      <c r="K406" s="322"/>
      <c r="L406" s="322"/>
      <c r="M406" s="322"/>
      <c r="N406" s="322"/>
      <c r="O406" s="322"/>
      <c r="P406" s="322"/>
      <c r="Q406" s="322"/>
      <c r="R406" s="322"/>
      <c r="S406" s="322"/>
      <c r="T406" s="322"/>
      <c r="U406" s="322"/>
      <c r="V406" s="322"/>
      <c r="W406" s="322"/>
      <c r="X406" s="322"/>
      <c r="Y406" s="322"/>
      <c r="Z406" s="322"/>
    </row>
    <row r="407" ht="12.75" customHeight="1">
      <c r="A407" s="322"/>
      <c r="B407" s="322"/>
      <c r="C407" s="323"/>
      <c r="D407" s="324"/>
      <c r="E407" s="323"/>
      <c r="F407" s="324"/>
      <c r="G407" s="322"/>
      <c r="H407" s="322"/>
      <c r="I407" s="322"/>
      <c r="J407" s="322"/>
      <c r="K407" s="322"/>
      <c r="L407" s="322"/>
      <c r="M407" s="322"/>
      <c r="N407" s="322"/>
      <c r="O407" s="322"/>
      <c r="P407" s="322"/>
      <c r="Q407" s="322"/>
      <c r="R407" s="322"/>
      <c r="S407" s="322"/>
      <c r="T407" s="322"/>
      <c r="U407" s="322"/>
      <c r="V407" s="322"/>
      <c r="W407" s="322"/>
      <c r="X407" s="322"/>
      <c r="Y407" s="322"/>
      <c r="Z407" s="322"/>
    </row>
    <row r="408" ht="12.75" customHeight="1">
      <c r="A408" s="322"/>
      <c r="B408" s="322"/>
      <c r="C408" s="323"/>
      <c r="D408" s="324"/>
      <c r="E408" s="323"/>
      <c r="F408" s="324"/>
      <c r="G408" s="322"/>
      <c r="H408" s="322"/>
      <c r="I408" s="322"/>
      <c r="J408" s="322"/>
      <c r="K408" s="322"/>
      <c r="L408" s="322"/>
      <c r="M408" s="322"/>
      <c r="N408" s="322"/>
      <c r="O408" s="322"/>
      <c r="P408" s="322"/>
      <c r="Q408" s="322"/>
      <c r="R408" s="322"/>
      <c r="S408" s="322"/>
      <c r="T408" s="322"/>
      <c r="U408" s="322"/>
      <c r="V408" s="322"/>
      <c r="W408" s="322"/>
      <c r="X408" s="322"/>
      <c r="Y408" s="322"/>
      <c r="Z408" s="322"/>
    </row>
    <row r="409" ht="12.75" customHeight="1">
      <c r="A409" s="322"/>
      <c r="B409" s="322"/>
      <c r="C409" s="323"/>
      <c r="D409" s="324"/>
      <c r="E409" s="323"/>
      <c r="F409" s="324"/>
      <c r="G409" s="322"/>
      <c r="H409" s="322"/>
      <c r="I409" s="322"/>
      <c r="J409" s="322"/>
      <c r="K409" s="322"/>
      <c r="L409" s="322"/>
      <c r="M409" s="322"/>
      <c r="N409" s="322"/>
      <c r="O409" s="322"/>
      <c r="P409" s="322"/>
      <c r="Q409" s="322"/>
      <c r="R409" s="322"/>
      <c r="S409" s="322"/>
      <c r="T409" s="322"/>
      <c r="U409" s="322"/>
      <c r="V409" s="322"/>
      <c r="W409" s="322"/>
      <c r="X409" s="322"/>
      <c r="Y409" s="322"/>
      <c r="Z409" s="322"/>
    </row>
    <row r="410" ht="12.75" customHeight="1">
      <c r="A410" s="322"/>
      <c r="B410" s="322"/>
      <c r="C410" s="323"/>
      <c r="D410" s="324"/>
      <c r="E410" s="323"/>
      <c r="F410" s="324"/>
      <c r="G410" s="322"/>
      <c r="H410" s="322"/>
      <c r="I410" s="322"/>
      <c r="J410" s="322"/>
      <c r="K410" s="322"/>
      <c r="L410" s="322"/>
      <c r="M410" s="322"/>
      <c r="N410" s="322"/>
      <c r="O410" s="322"/>
      <c r="P410" s="322"/>
      <c r="Q410" s="322"/>
      <c r="R410" s="322"/>
      <c r="S410" s="322"/>
      <c r="T410" s="322"/>
      <c r="U410" s="322"/>
      <c r="V410" s="322"/>
      <c r="W410" s="322"/>
      <c r="X410" s="322"/>
      <c r="Y410" s="322"/>
      <c r="Z410" s="322"/>
    </row>
    <row r="411" ht="12.75" customHeight="1">
      <c r="A411" s="322"/>
      <c r="B411" s="322"/>
      <c r="C411" s="323"/>
      <c r="D411" s="324"/>
      <c r="E411" s="323"/>
      <c r="F411" s="324"/>
      <c r="G411" s="322"/>
      <c r="H411" s="322"/>
      <c r="I411" s="322"/>
      <c r="J411" s="322"/>
      <c r="K411" s="322"/>
      <c r="L411" s="322"/>
      <c r="M411" s="322"/>
      <c r="N411" s="322"/>
      <c r="O411" s="322"/>
      <c r="P411" s="322"/>
      <c r="Q411" s="322"/>
      <c r="R411" s="322"/>
      <c r="S411" s="322"/>
      <c r="T411" s="322"/>
      <c r="U411" s="322"/>
      <c r="V411" s="322"/>
      <c r="W411" s="322"/>
      <c r="X411" s="322"/>
      <c r="Y411" s="322"/>
      <c r="Z411" s="322"/>
    </row>
    <row r="412" ht="12.75" customHeight="1">
      <c r="A412" s="322"/>
      <c r="B412" s="322"/>
      <c r="C412" s="323"/>
      <c r="D412" s="324"/>
      <c r="E412" s="323"/>
      <c r="F412" s="324"/>
      <c r="G412" s="322"/>
      <c r="H412" s="322"/>
      <c r="I412" s="322"/>
      <c r="J412" s="322"/>
      <c r="K412" s="322"/>
      <c r="L412" s="322"/>
      <c r="M412" s="322"/>
      <c r="N412" s="322"/>
      <c r="O412" s="322"/>
      <c r="P412" s="322"/>
      <c r="Q412" s="322"/>
      <c r="R412" s="322"/>
      <c r="S412" s="322"/>
      <c r="T412" s="322"/>
      <c r="U412" s="322"/>
      <c r="V412" s="322"/>
      <c r="W412" s="322"/>
      <c r="X412" s="322"/>
      <c r="Y412" s="322"/>
      <c r="Z412" s="322"/>
    </row>
    <row r="413" ht="12.75" customHeight="1">
      <c r="A413" s="322"/>
      <c r="B413" s="322"/>
      <c r="C413" s="323"/>
      <c r="D413" s="324"/>
      <c r="E413" s="323"/>
      <c r="F413" s="324"/>
      <c r="G413" s="322"/>
      <c r="H413" s="322"/>
      <c r="I413" s="322"/>
      <c r="J413" s="322"/>
      <c r="K413" s="322"/>
      <c r="L413" s="322"/>
      <c r="M413" s="322"/>
      <c r="N413" s="322"/>
      <c r="O413" s="322"/>
      <c r="P413" s="322"/>
      <c r="Q413" s="322"/>
      <c r="R413" s="322"/>
      <c r="S413" s="322"/>
      <c r="T413" s="322"/>
      <c r="U413" s="322"/>
      <c r="V413" s="322"/>
      <c r="W413" s="322"/>
      <c r="X413" s="322"/>
      <c r="Y413" s="322"/>
      <c r="Z413" s="322"/>
    </row>
    <row r="414" ht="12.75" customHeight="1">
      <c r="A414" s="322"/>
      <c r="B414" s="322"/>
      <c r="C414" s="323"/>
      <c r="D414" s="324"/>
      <c r="E414" s="323"/>
      <c r="F414" s="324"/>
      <c r="G414" s="322"/>
      <c r="H414" s="322"/>
      <c r="I414" s="322"/>
      <c r="J414" s="322"/>
      <c r="K414" s="322"/>
      <c r="L414" s="322"/>
      <c r="M414" s="322"/>
      <c r="N414" s="322"/>
      <c r="O414" s="322"/>
      <c r="P414" s="322"/>
      <c r="Q414" s="322"/>
      <c r="R414" s="322"/>
      <c r="S414" s="322"/>
      <c r="T414" s="322"/>
      <c r="U414" s="322"/>
      <c r="V414" s="322"/>
      <c r="W414" s="322"/>
      <c r="X414" s="322"/>
      <c r="Y414" s="322"/>
      <c r="Z414" s="322"/>
    </row>
    <row r="415" ht="12.75" customHeight="1">
      <c r="A415" s="322"/>
      <c r="B415" s="322"/>
      <c r="C415" s="323"/>
      <c r="D415" s="324"/>
      <c r="E415" s="323"/>
      <c r="F415" s="324"/>
      <c r="G415" s="322"/>
      <c r="H415" s="322"/>
      <c r="I415" s="322"/>
      <c r="J415" s="322"/>
      <c r="K415" s="322"/>
      <c r="L415" s="322"/>
      <c r="M415" s="322"/>
      <c r="N415" s="322"/>
      <c r="O415" s="322"/>
      <c r="P415" s="322"/>
      <c r="Q415" s="322"/>
      <c r="R415" s="322"/>
      <c r="S415" s="322"/>
      <c r="T415" s="322"/>
      <c r="U415" s="322"/>
      <c r="V415" s="322"/>
      <c r="W415" s="322"/>
      <c r="X415" s="322"/>
      <c r="Y415" s="322"/>
      <c r="Z415" s="322"/>
    </row>
    <row r="416" ht="12.75" customHeight="1">
      <c r="A416" s="322"/>
      <c r="B416" s="322"/>
      <c r="C416" s="323"/>
      <c r="D416" s="324"/>
      <c r="E416" s="323"/>
      <c r="F416" s="324"/>
      <c r="G416" s="322"/>
      <c r="H416" s="322"/>
      <c r="I416" s="322"/>
      <c r="J416" s="322"/>
      <c r="K416" s="322"/>
      <c r="L416" s="322"/>
      <c r="M416" s="322"/>
      <c r="N416" s="322"/>
      <c r="O416" s="322"/>
      <c r="P416" s="322"/>
      <c r="Q416" s="322"/>
      <c r="R416" s="322"/>
      <c r="S416" s="322"/>
      <c r="T416" s="322"/>
      <c r="U416" s="322"/>
      <c r="V416" s="322"/>
      <c r="W416" s="322"/>
      <c r="X416" s="322"/>
      <c r="Y416" s="322"/>
      <c r="Z416" s="322"/>
    </row>
    <row r="417" ht="12.75" customHeight="1">
      <c r="A417" s="322"/>
      <c r="B417" s="322"/>
      <c r="C417" s="323"/>
      <c r="D417" s="324"/>
      <c r="E417" s="323"/>
      <c r="F417" s="324"/>
      <c r="G417" s="322"/>
      <c r="H417" s="322"/>
      <c r="I417" s="322"/>
      <c r="J417" s="322"/>
      <c r="K417" s="322"/>
      <c r="L417" s="322"/>
      <c r="M417" s="322"/>
      <c r="N417" s="322"/>
      <c r="O417" s="322"/>
      <c r="P417" s="322"/>
      <c r="Q417" s="322"/>
      <c r="R417" s="322"/>
      <c r="S417" s="322"/>
      <c r="T417" s="322"/>
      <c r="U417" s="322"/>
      <c r="V417" s="322"/>
      <c r="W417" s="322"/>
      <c r="X417" s="322"/>
      <c r="Y417" s="322"/>
      <c r="Z417" s="322"/>
    </row>
    <row r="418" ht="12.75" customHeight="1">
      <c r="A418" s="322"/>
      <c r="B418" s="322"/>
      <c r="C418" s="323"/>
      <c r="D418" s="324"/>
      <c r="E418" s="323"/>
      <c r="F418" s="324"/>
      <c r="G418" s="322"/>
      <c r="H418" s="322"/>
      <c r="I418" s="322"/>
      <c r="J418" s="322"/>
      <c r="K418" s="322"/>
      <c r="L418" s="322"/>
      <c r="M418" s="322"/>
      <c r="N418" s="322"/>
      <c r="O418" s="322"/>
      <c r="P418" s="322"/>
      <c r="Q418" s="322"/>
      <c r="R418" s="322"/>
      <c r="S418" s="322"/>
      <c r="T418" s="322"/>
      <c r="U418" s="322"/>
      <c r="V418" s="322"/>
      <c r="W418" s="322"/>
      <c r="X418" s="322"/>
      <c r="Y418" s="322"/>
      <c r="Z418" s="322"/>
    </row>
    <row r="419" ht="12.75" customHeight="1">
      <c r="A419" s="322"/>
      <c r="B419" s="322"/>
      <c r="C419" s="323"/>
      <c r="D419" s="324"/>
      <c r="E419" s="323"/>
      <c r="F419" s="324"/>
      <c r="G419" s="322"/>
      <c r="H419" s="322"/>
      <c r="I419" s="322"/>
      <c r="J419" s="322"/>
      <c r="K419" s="322"/>
      <c r="L419" s="322"/>
      <c r="M419" s="322"/>
      <c r="N419" s="322"/>
      <c r="O419" s="322"/>
      <c r="P419" s="322"/>
      <c r="Q419" s="322"/>
      <c r="R419" s="322"/>
      <c r="S419" s="322"/>
      <c r="T419" s="322"/>
      <c r="U419" s="322"/>
      <c r="V419" s="322"/>
      <c r="W419" s="322"/>
      <c r="X419" s="322"/>
      <c r="Y419" s="322"/>
      <c r="Z419" s="322"/>
    </row>
    <row r="420" ht="12.75" customHeight="1">
      <c r="A420" s="322"/>
      <c r="B420" s="322"/>
      <c r="C420" s="323"/>
      <c r="D420" s="324"/>
      <c r="E420" s="323"/>
      <c r="F420" s="324"/>
      <c r="G420" s="322"/>
      <c r="H420" s="322"/>
      <c r="I420" s="322"/>
      <c r="J420" s="322"/>
      <c r="K420" s="322"/>
      <c r="L420" s="322"/>
      <c r="M420" s="322"/>
      <c r="N420" s="322"/>
      <c r="O420" s="322"/>
      <c r="P420" s="322"/>
      <c r="Q420" s="322"/>
      <c r="R420" s="322"/>
      <c r="S420" s="322"/>
      <c r="T420" s="322"/>
      <c r="U420" s="322"/>
      <c r="V420" s="322"/>
      <c r="W420" s="322"/>
      <c r="X420" s="322"/>
      <c r="Y420" s="322"/>
      <c r="Z420" s="322"/>
    </row>
    <row r="421" ht="12.75" customHeight="1">
      <c r="A421" s="322"/>
      <c r="B421" s="322"/>
      <c r="C421" s="323"/>
      <c r="D421" s="324"/>
      <c r="E421" s="323"/>
      <c r="F421" s="324"/>
      <c r="G421" s="322"/>
      <c r="H421" s="322"/>
      <c r="I421" s="322"/>
      <c r="J421" s="322"/>
      <c r="K421" s="322"/>
      <c r="L421" s="322"/>
      <c r="M421" s="322"/>
      <c r="N421" s="322"/>
      <c r="O421" s="322"/>
      <c r="P421" s="322"/>
      <c r="Q421" s="322"/>
      <c r="R421" s="322"/>
      <c r="S421" s="322"/>
      <c r="T421" s="322"/>
      <c r="U421" s="322"/>
      <c r="V421" s="322"/>
      <c r="W421" s="322"/>
      <c r="X421" s="322"/>
      <c r="Y421" s="322"/>
      <c r="Z421" s="322"/>
    </row>
    <row r="422" ht="12.75" customHeight="1">
      <c r="A422" s="322"/>
      <c r="B422" s="322"/>
      <c r="C422" s="323"/>
      <c r="D422" s="324"/>
      <c r="E422" s="323"/>
      <c r="F422" s="324"/>
      <c r="G422" s="322"/>
      <c r="H422" s="322"/>
      <c r="I422" s="322"/>
      <c r="J422" s="322"/>
      <c r="K422" s="322"/>
      <c r="L422" s="322"/>
      <c r="M422" s="322"/>
      <c r="N422" s="322"/>
      <c r="O422" s="322"/>
      <c r="P422" s="322"/>
      <c r="Q422" s="322"/>
      <c r="R422" s="322"/>
      <c r="S422" s="322"/>
      <c r="T422" s="322"/>
      <c r="U422" s="322"/>
      <c r="V422" s="322"/>
      <c r="W422" s="322"/>
      <c r="X422" s="322"/>
      <c r="Y422" s="322"/>
      <c r="Z422" s="322"/>
    </row>
    <row r="423" ht="12.75" customHeight="1">
      <c r="A423" s="322"/>
      <c r="B423" s="322"/>
      <c r="C423" s="323"/>
      <c r="D423" s="324"/>
      <c r="E423" s="323"/>
      <c r="F423" s="324"/>
      <c r="G423" s="322"/>
      <c r="H423" s="322"/>
      <c r="I423" s="322"/>
      <c r="J423" s="322"/>
      <c r="K423" s="322"/>
      <c r="L423" s="322"/>
      <c r="M423" s="322"/>
      <c r="N423" s="322"/>
      <c r="O423" s="322"/>
      <c r="P423" s="322"/>
      <c r="Q423" s="322"/>
      <c r="R423" s="322"/>
      <c r="S423" s="322"/>
      <c r="T423" s="322"/>
      <c r="U423" s="322"/>
      <c r="V423" s="322"/>
      <c r="W423" s="322"/>
      <c r="X423" s="322"/>
      <c r="Y423" s="322"/>
      <c r="Z423" s="322"/>
    </row>
    <row r="424" ht="12.75" customHeight="1">
      <c r="A424" s="322"/>
      <c r="B424" s="322"/>
      <c r="C424" s="323"/>
      <c r="D424" s="324"/>
      <c r="E424" s="323"/>
      <c r="F424" s="324"/>
      <c r="G424" s="322"/>
      <c r="H424" s="322"/>
      <c r="I424" s="322"/>
      <c r="J424" s="322"/>
      <c r="K424" s="322"/>
      <c r="L424" s="322"/>
      <c r="M424" s="322"/>
      <c r="N424" s="322"/>
      <c r="O424" s="322"/>
      <c r="P424" s="322"/>
      <c r="Q424" s="322"/>
      <c r="R424" s="322"/>
      <c r="S424" s="322"/>
      <c r="T424" s="322"/>
      <c r="U424" s="322"/>
      <c r="V424" s="322"/>
      <c r="W424" s="322"/>
      <c r="X424" s="322"/>
      <c r="Y424" s="322"/>
      <c r="Z424" s="322"/>
    </row>
    <row r="425" ht="12.75" customHeight="1">
      <c r="A425" s="322"/>
      <c r="B425" s="322"/>
      <c r="C425" s="323"/>
      <c r="D425" s="324"/>
      <c r="E425" s="323"/>
      <c r="F425" s="324"/>
      <c r="G425" s="322"/>
      <c r="H425" s="322"/>
      <c r="I425" s="322"/>
      <c r="J425" s="322"/>
      <c r="K425" s="322"/>
      <c r="L425" s="322"/>
      <c r="M425" s="322"/>
      <c r="N425" s="322"/>
      <c r="O425" s="322"/>
      <c r="P425" s="322"/>
      <c r="Q425" s="322"/>
      <c r="R425" s="322"/>
      <c r="S425" s="322"/>
      <c r="T425" s="322"/>
      <c r="U425" s="322"/>
      <c r="V425" s="322"/>
      <c r="W425" s="322"/>
      <c r="X425" s="322"/>
      <c r="Y425" s="322"/>
      <c r="Z425" s="322"/>
    </row>
    <row r="426" ht="12.75" customHeight="1">
      <c r="A426" s="322"/>
      <c r="B426" s="322"/>
      <c r="C426" s="323"/>
      <c r="D426" s="324"/>
      <c r="E426" s="323"/>
      <c r="F426" s="324"/>
      <c r="G426" s="322"/>
      <c r="H426" s="322"/>
      <c r="I426" s="322"/>
      <c r="J426" s="322"/>
      <c r="K426" s="322"/>
      <c r="L426" s="322"/>
      <c r="M426" s="322"/>
      <c r="N426" s="322"/>
      <c r="O426" s="322"/>
      <c r="P426" s="322"/>
      <c r="Q426" s="322"/>
      <c r="R426" s="322"/>
      <c r="S426" s="322"/>
      <c r="T426" s="322"/>
      <c r="U426" s="322"/>
      <c r="V426" s="322"/>
      <c r="W426" s="322"/>
      <c r="X426" s="322"/>
      <c r="Y426" s="322"/>
      <c r="Z426" s="322"/>
    </row>
    <row r="427" ht="12.75" customHeight="1">
      <c r="A427" s="322"/>
      <c r="B427" s="322"/>
      <c r="C427" s="323"/>
      <c r="D427" s="324"/>
      <c r="E427" s="323"/>
      <c r="F427" s="324"/>
      <c r="G427" s="322"/>
      <c r="H427" s="322"/>
      <c r="I427" s="322"/>
      <c r="J427" s="322"/>
      <c r="K427" s="322"/>
      <c r="L427" s="322"/>
      <c r="M427" s="322"/>
      <c r="N427" s="322"/>
      <c r="O427" s="322"/>
      <c r="P427" s="322"/>
      <c r="Q427" s="322"/>
      <c r="R427" s="322"/>
      <c r="S427" s="322"/>
      <c r="T427" s="322"/>
      <c r="U427" s="322"/>
      <c r="V427" s="322"/>
      <c r="W427" s="322"/>
      <c r="X427" s="322"/>
      <c r="Y427" s="322"/>
      <c r="Z427" s="322"/>
    </row>
    <row r="428" ht="12.75" customHeight="1">
      <c r="A428" s="322"/>
      <c r="B428" s="322"/>
      <c r="C428" s="323"/>
      <c r="D428" s="324"/>
      <c r="E428" s="323"/>
      <c r="F428" s="324"/>
      <c r="G428" s="322"/>
      <c r="H428" s="322"/>
      <c r="I428" s="322"/>
      <c r="J428" s="322"/>
      <c r="K428" s="322"/>
      <c r="L428" s="322"/>
      <c r="M428" s="322"/>
      <c r="N428" s="322"/>
      <c r="O428" s="322"/>
      <c r="P428" s="322"/>
      <c r="Q428" s="322"/>
      <c r="R428" s="322"/>
      <c r="S428" s="322"/>
      <c r="T428" s="322"/>
      <c r="U428" s="322"/>
      <c r="V428" s="322"/>
      <c r="W428" s="322"/>
      <c r="X428" s="322"/>
      <c r="Y428" s="322"/>
      <c r="Z428" s="322"/>
    </row>
    <row r="429" ht="12.75" customHeight="1">
      <c r="A429" s="322"/>
      <c r="B429" s="322"/>
      <c r="C429" s="323"/>
      <c r="D429" s="324"/>
      <c r="E429" s="323"/>
      <c r="F429" s="324"/>
      <c r="G429" s="322"/>
      <c r="H429" s="322"/>
      <c r="I429" s="322"/>
      <c r="J429" s="322"/>
      <c r="K429" s="322"/>
      <c r="L429" s="322"/>
      <c r="M429" s="322"/>
      <c r="N429" s="322"/>
      <c r="O429" s="322"/>
      <c r="P429" s="322"/>
      <c r="Q429" s="322"/>
      <c r="R429" s="322"/>
      <c r="S429" s="322"/>
      <c r="T429" s="322"/>
      <c r="U429" s="322"/>
      <c r="V429" s="322"/>
      <c r="W429" s="322"/>
      <c r="X429" s="322"/>
      <c r="Y429" s="322"/>
      <c r="Z429" s="322"/>
    </row>
    <row r="430" ht="12.75" customHeight="1">
      <c r="A430" s="322"/>
      <c r="B430" s="322"/>
      <c r="C430" s="323"/>
      <c r="D430" s="324"/>
      <c r="E430" s="323"/>
      <c r="F430" s="324"/>
      <c r="G430" s="322"/>
      <c r="H430" s="322"/>
      <c r="I430" s="322"/>
      <c r="J430" s="322"/>
      <c r="K430" s="322"/>
      <c r="L430" s="322"/>
      <c r="M430" s="322"/>
      <c r="N430" s="322"/>
      <c r="O430" s="322"/>
      <c r="P430" s="322"/>
      <c r="Q430" s="322"/>
      <c r="R430" s="322"/>
      <c r="S430" s="322"/>
      <c r="T430" s="322"/>
      <c r="U430" s="322"/>
      <c r="V430" s="322"/>
      <c r="W430" s="322"/>
      <c r="X430" s="322"/>
      <c r="Y430" s="322"/>
      <c r="Z430" s="322"/>
    </row>
    <row r="431" ht="12.75" customHeight="1">
      <c r="A431" s="322"/>
      <c r="B431" s="322"/>
      <c r="C431" s="323"/>
      <c r="D431" s="324"/>
      <c r="E431" s="323"/>
      <c r="F431" s="324"/>
      <c r="G431" s="322"/>
      <c r="H431" s="322"/>
      <c r="I431" s="322"/>
      <c r="J431" s="322"/>
      <c r="K431" s="322"/>
      <c r="L431" s="322"/>
      <c r="M431" s="322"/>
      <c r="N431" s="322"/>
      <c r="O431" s="322"/>
      <c r="P431" s="322"/>
      <c r="Q431" s="322"/>
      <c r="R431" s="322"/>
      <c r="S431" s="322"/>
      <c r="T431" s="322"/>
      <c r="U431" s="322"/>
      <c r="V431" s="322"/>
      <c r="W431" s="322"/>
      <c r="X431" s="322"/>
      <c r="Y431" s="322"/>
      <c r="Z431" s="322"/>
    </row>
    <row r="432" ht="12.75" customHeight="1">
      <c r="A432" s="322"/>
      <c r="B432" s="322"/>
      <c r="C432" s="323"/>
      <c r="D432" s="324"/>
      <c r="E432" s="323"/>
      <c r="F432" s="324"/>
      <c r="G432" s="322"/>
      <c r="H432" s="322"/>
      <c r="I432" s="322"/>
      <c r="J432" s="322"/>
      <c r="K432" s="322"/>
      <c r="L432" s="322"/>
      <c r="M432" s="322"/>
      <c r="N432" s="322"/>
      <c r="O432" s="322"/>
      <c r="P432" s="322"/>
      <c r="Q432" s="322"/>
      <c r="R432" s="322"/>
      <c r="S432" s="322"/>
      <c r="T432" s="322"/>
      <c r="U432" s="322"/>
      <c r="V432" s="322"/>
      <c r="W432" s="322"/>
      <c r="X432" s="322"/>
      <c r="Y432" s="322"/>
      <c r="Z432" s="322"/>
    </row>
    <row r="433" ht="12.75" customHeight="1">
      <c r="A433" s="322"/>
      <c r="B433" s="322"/>
      <c r="C433" s="323"/>
      <c r="D433" s="324"/>
      <c r="E433" s="323"/>
      <c r="F433" s="324"/>
      <c r="G433" s="322"/>
      <c r="H433" s="322"/>
      <c r="I433" s="322"/>
      <c r="J433" s="322"/>
      <c r="K433" s="322"/>
      <c r="L433" s="322"/>
      <c r="M433" s="322"/>
      <c r="N433" s="322"/>
      <c r="O433" s="322"/>
      <c r="P433" s="322"/>
      <c r="Q433" s="322"/>
      <c r="R433" s="322"/>
      <c r="S433" s="322"/>
      <c r="T433" s="322"/>
      <c r="U433" s="322"/>
      <c r="V433" s="322"/>
      <c r="W433" s="322"/>
      <c r="X433" s="322"/>
      <c r="Y433" s="322"/>
      <c r="Z433" s="322"/>
    </row>
    <row r="434" ht="12.75" customHeight="1">
      <c r="A434" s="322"/>
      <c r="B434" s="322"/>
      <c r="C434" s="323"/>
      <c r="D434" s="324"/>
      <c r="E434" s="323"/>
      <c r="F434" s="324"/>
      <c r="G434" s="322"/>
      <c r="H434" s="322"/>
      <c r="I434" s="322"/>
      <c r="J434" s="322"/>
      <c r="K434" s="322"/>
      <c r="L434" s="322"/>
      <c r="M434" s="322"/>
      <c r="N434" s="322"/>
      <c r="O434" s="322"/>
      <c r="P434" s="322"/>
      <c r="Q434" s="322"/>
      <c r="R434" s="322"/>
      <c r="S434" s="322"/>
      <c r="T434" s="322"/>
      <c r="U434" s="322"/>
      <c r="V434" s="322"/>
      <c r="W434" s="322"/>
      <c r="X434" s="322"/>
      <c r="Y434" s="322"/>
      <c r="Z434" s="322"/>
    </row>
    <row r="435" ht="12.75" customHeight="1">
      <c r="A435" s="322"/>
      <c r="B435" s="322"/>
      <c r="C435" s="323"/>
      <c r="D435" s="324"/>
      <c r="E435" s="323"/>
      <c r="F435" s="324"/>
      <c r="G435" s="322"/>
      <c r="H435" s="322"/>
      <c r="I435" s="322"/>
      <c r="J435" s="322"/>
      <c r="K435" s="322"/>
      <c r="L435" s="322"/>
      <c r="M435" s="322"/>
      <c r="N435" s="322"/>
      <c r="O435" s="322"/>
      <c r="P435" s="322"/>
      <c r="Q435" s="322"/>
      <c r="R435" s="322"/>
      <c r="S435" s="322"/>
      <c r="T435" s="322"/>
      <c r="U435" s="322"/>
      <c r="V435" s="322"/>
      <c r="W435" s="322"/>
      <c r="X435" s="322"/>
      <c r="Y435" s="322"/>
      <c r="Z435" s="322"/>
    </row>
    <row r="436" ht="12.75" customHeight="1">
      <c r="A436" s="322"/>
      <c r="B436" s="322"/>
      <c r="C436" s="323"/>
      <c r="D436" s="324"/>
      <c r="E436" s="323"/>
      <c r="F436" s="324"/>
      <c r="G436" s="322"/>
      <c r="H436" s="322"/>
      <c r="I436" s="322"/>
      <c r="J436" s="322"/>
      <c r="K436" s="322"/>
      <c r="L436" s="322"/>
      <c r="M436" s="322"/>
      <c r="N436" s="322"/>
      <c r="O436" s="322"/>
      <c r="P436" s="322"/>
      <c r="Q436" s="322"/>
      <c r="R436" s="322"/>
      <c r="S436" s="322"/>
      <c r="T436" s="322"/>
      <c r="U436" s="322"/>
      <c r="V436" s="322"/>
      <c r="W436" s="322"/>
      <c r="X436" s="322"/>
      <c r="Y436" s="322"/>
      <c r="Z436" s="322"/>
    </row>
    <row r="437" ht="12.75" customHeight="1">
      <c r="A437" s="322"/>
      <c r="B437" s="322"/>
      <c r="C437" s="323"/>
      <c r="D437" s="324"/>
      <c r="E437" s="323"/>
      <c r="F437" s="324"/>
      <c r="G437" s="322"/>
      <c r="H437" s="322"/>
      <c r="I437" s="322"/>
      <c r="J437" s="322"/>
      <c r="K437" s="322"/>
      <c r="L437" s="322"/>
      <c r="M437" s="322"/>
      <c r="N437" s="322"/>
      <c r="O437" s="322"/>
      <c r="P437" s="322"/>
      <c r="Q437" s="322"/>
      <c r="R437" s="322"/>
      <c r="S437" s="322"/>
      <c r="T437" s="322"/>
      <c r="U437" s="322"/>
      <c r="V437" s="322"/>
      <c r="W437" s="322"/>
      <c r="X437" s="322"/>
      <c r="Y437" s="322"/>
      <c r="Z437" s="322"/>
    </row>
    <row r="438" ht="12.75" customHeight="1">
      <c r="A438" s="322"/>
      <c r="B438" s="322"/>
      <c r="C438" s="323"/>
      <c r="D438" s="324"/>
      <c r="E438" s="323"/>
      <c r="F438" s="324"/>
      <c r="G438" s="322"/>
      <c r="H438" s="322"/>
      <c r="I438" s="322"/>
      <c r="J438" s="322"/>
      <c r="K438" s="322"/>
      <c r="L438" s="322"/>
      <c r="M438" s="322"/>
      <c r="N438" s="322"/>
      <c r="O438" s="322"/>
      <c r="P438" s="322"/>
      <c r="Q438" s="322"/>
      <c r="R438" s="322"/>
      <c r="S438" s="322"/>
      <c r="T438" s="322"/>
      <c r="U438" s="322"/>
      <c r="V438" s="322"/>
      <c r="W438" s="322"/>
      <c r="X438" s="322"/>
      <c r="Y438" s="322"/>
      <c r="Z438" s="322"/>
    </row>
    <row r="439" ht="12.75" customHeight="1">
      <c r="A439" s="322"/>
      <c r="B439" s="322"/>
      <c r="C439" s="323"/>
      <c r="D439" s="324"/>
      <c r="E439" s="323"/>
      <c r="F439" s="324"/>
      <c r="G439" s="322"/>
      <c r="H439" s="322"/>
      <c r="I439" s="322"/>
      <c r="J439" s="322"/>
      <c r="K439" s="322"/>
      <c r="L439" s="322"/>
      <c r="M439" s="322"/>
      <c r="N439" s="322"/>
      <c r="O439" s="322"/>
      <c r="P439" s="322"/>
      <c r="Q439" s="322"/>
      <c r="R439" s="322"/>
      <c r="S439" s="322"/>
      <c r="T439" s="322"/>
      <c r="U439" s="322"/>
      <c r="V439" s="322"/>
      <c r="W439" s="322"/>
      <c r="X439" s="322"/>
      <c r="Y439" s="322"/>
      <c r="Z439" s="322"/>
    </row>
    <row r="440" ht="12.75" customHeight="1">
      <c r="A440" s="322"/>
      <c r="B440" s="322"/>
      <c r="C440" s="323"/>
      <c r="D440" s="324"/>
      <c r="E440" s="323"/>
      <c r="F440" s="324"/>
      <c r="G440" s="322"/>
      <c r="H440" s="322"/>
      <c r="I440" s="322"/>
      <c r="J440" s="322"/>
      <c r="K440" s="322"/>
      <c r="L440" s="322"/>
      <c r="M440" s="322"/>
      <c r="N440" s="322"/>
      <c r="O440" s="322"/>
      <c r="P440" s="322"/>
      <c r="Q440" s="322"/>
      <c r="R440" s="322"/>
      <c r="S440" s="322"/>
      <c r="T440" s="322"/>
      <c r="U440" s="322"/>
      <c r="V440" s="322"/>
      <c r="W440" s="322"/>
      <c r="X440" s="322"/>
      <c r="Y440" s="322"/>
      <c r="Z440" s="322"/>
    </row>
    <row r="441" ht="12.75" customHeight="1">
      <c r="A441" s="322"/>
      <c r="B441" s="322"/>
      <c r="C441" s="323"/>
      <c r="D441" s="324"/>
      <c r="E441" s="323"/>
      <c r="F441" s="324"/>
      <c r="G441" s="322"/>
      <c r="H441" s="322"/>
      <c r="I441" s="322"/>
      <c r="J441" s="322"/>
      <c r="K441" s="322"/>
      <c r="L441" s="322"/>
      <c r="M441" s="322"/>
      <c r="N441" s="322"/>
      <c r="O441" s="322"/>
      <c r="P441" s="322"/>
      <c r="Q441" s="322"/>
      <c r="R441" s="322"/>
      <c r="S441" s="322"/>
      <c r="T441" s="322"/>
      <c r="U441" s="322"/>
      <c r="V441" s="322"/>
      <c r="W441" s="322"/>
      <c r="X441" s="322"/>
      <c r="Y441" s="322"/>
      <c r="Z441" s="322"/>
    </row>
    <row r="442" ht="12.75" customHeight="1">
      <c r="A442" s="322"/>
      <c r="B442" s="322"/>
      <c r="C442" s="323"/>
      <c r="D442" s="324"/>
      <c r="E442" s="323"/>
      <c r="F442" s="324"/>
      <c r="G442" s="322"/>
      <c r="H442" s="322"/>
      <c r="I442" s="322"/>
      <c r="J442" s="322"/>
      <c r="K442" s="322"/>
      <c r="L442" s="322"/>
      <c r="M442" s="322"/>
      <c r="N442" s="322"/>
      <c r="O442" s="322"/>
      <c r="P442" s="322"/>
      <c r="Q442" s="322"/>
      <c r="R442" s="322"/>
      <c r="S442" s="322"/>
      <c r="T442" s="322"/>
      <c r="U442" s="322"/>
      <c r="V442" s="322"/>
      <c r="W442" s="322"/>
      <c r="X442" s="322"/>
      <c r="Y442" s="322"/>
      <c r="Z442" s="322"/>
    </row>
    <row r="443" ht="12.75" customHeight="1">
      <c r="A443" s="322"/>
      <c r="B443" s="322"/>
      <c r="C443" s="323"/>
      <c r="D443" s="324"/>
      <c r="E443" s="323"/>
      <c r="F443" s="324"/>
      <c r="G443" s="322"/>
      <c r="H443" s="322"/>
      <c r="I443" s="322"/>
      <c r="J443" s="322"/>
      <c r="K443" s="322"/>
      <c r="L443" s="322"/>
      <c r="M443" s="322"/>
      <c r="N443" s="322"/>
      <c r="O443" s="322"/>
      <c r="P443" s="322"/>
      <c r="Q443" s="322"/>
      <c r="R443" s="322"/>
      <c r="S443" s="322"/>
      <c r="T443" s="322"/>
      <c r="U443" s="322"/>
      <c r="V443" s="322"/>
      <c r="W443" s="322"/>
      <c r="X443" s="322"/>
      <c r="Y443" s="322"/>
      <c r="Z443" s="322"/>
    </row>
    <row r="444" ht="12.75" customHeight="1">
      <c r="A444" s="322"/>
      <c r="B444" s="322"/>
      <c r="C444" s="323"/>
      <c r="D444" s="324"/>
      <c r="E444" s="323"/>
      <c r="F444" s="324"/>
      <c r="G444" s="322"/>
      <c r="H444" s="322"/>
      <c r="I444" s="322"/>
      <c r="J444" s="322"/>
      <c r="K444" s="322"/>
      <c r="L444" s="322"/>
      <c r="M444" s="322"/>
      <c r="N444" s="322"/>
      <c r="O444" s="322"/>
      <c r="P444" s="322"/>
      <c r="Q444" s="322"/>
      <c r="R444" s="322"/>
      <c r="S444" s="322"/>
      <c r="T444" s="322"/>
      <c r="U444" s="322"/>
      <c r="V444" s="322"/>
      <c r="W444" s="322"/>
      <c r="X444" s="322"/>
      <c r="Y444" s="322"/>
      <c r="Z444" s="322"/>
    </row>
    <row r="445" ht="12.75" customHeight="1">
      <c r="A445" s="322"/>
      <c r="B445" s="322"/>
      <c r="C445" s="323"/>
      <c r="D445" s="324"/>
      <c r="E445" s="323"/>
      <c r="F445" s="324"/>
      <c r="G445" s="322"/>
      <c r="H445" s="322"/>
      <c r="I445" s="322"/>
      <c r="J445" s="322"/>
      <c r="K445" s="322"/>
      <c r="L445" s="322"/>
      <c r="M445" s="322"/>
      <c r="N445" s="322"/>
      <c r="O445" s="322"/>
      <c r="P445" s="322"/>
      <c r="Q445" s="322"/>
      <c r="R445" s="322"/>
      <c r="S445" s="322"/>
      <c r="T445" s="322"/>
      <c r="U445" s="322"/>
      <c r="V445" s="322"/>
      <c r="W445" s="322"/>
      <c r="X445" s="322"/>
      <c r="Y445" s="322"/>
      <c r="Z445" s="322"/>
    </row>
    <row r="446" ht="12.75" customHeight="1">
      <c r="A446" s="322"/>
      <c r="B446" s="322"/>
      <c r="C446" s="323"/>
      <c r="D446" s="324"/>
      <c r="E446" s="323"/>
      <c r="F446" s="324"/>
      <c r="G446" s="322"/>
      <c r="H446" s="322"/>
      <c r="I446" s="322"/>
      <c r="J446" s="322"/>
      <c r="K446" s="322"/>
      <c r="L446" s="322"/>
      <c r="M446" s="322"/>
      <c r="N446" s="322"/>
      <c r="O446" s="322"/>
      <c r="P446" s="322"/>
      <c r="Q446" s="322"/>
      <c r="R446" s="322"/>
      <c r="S446" s="322"/>
      <c r="T446" s="322"/>
      <c r="U446" s="322"/>
      <c r="V446" s="322"/>
      <c r="W446" s="322"/>
      <c r="X446" s="322"/>
      <c r="Y446" s="322"/>
      <c r="Z446" s="322"/>
    </row>
    <row r="447" ht="12.75" customHeight="1">
      <c r="A447" s="322"/>
      <c r="B447" s="322"/>
      <c r="C447" s="323"/>
      <c r="D447" s="324"/>
      <c r="E447" s="323"/>
      <c r="F447" s="324"/>
      <c r="G447" s="322"/>
      <c r="H447" s="322"/>
      <c r="I447" s="322"/>
      <c r="J447" s="322"/>
      <c r="K447" s="322"/>
      <c r="L447" s="322"/>
      <c r="M447" s="322"/>
      <c r="N447" s="322"/>
      <c r="O447" s="322"/>
      <c r="P447" s="322"/>
      <c r="Q447" s="322"/>
      <c r="R447" s="322"/>
      <c r="S447" s="322"/>
      <c r="T447" s="322"/>
      <c r="U447" s="322"/>
      <c r="V447" s="322"/>
      <c r="W447" s="322"/>
      <c r="X447" s="322"/>
      <c r="Y447" s="322"/>
      <c r="Z447" s="322"/>
    </row>
    <row r="448" ht="12.75" customHeight="1">
      <c r="A448" s="322"/>
      <c r="B448" s="322"/>
      <c r="C448" s="323"/>
      <c r="D448" s="324"/>
      <c r="E448" s="323"/>
      <c r="F448" s="324"/>
      <c r="G448" s="322"/>
      <c r="H448" s="322"/>
      <c r="I448" s="322"/>
      <c r="J448" s="322"/>
      <c r="K448" s="322"/>
      <c r="L448" s="322"/>
      <c r="M448" s="322"/>
      <c r="N448" s="322"/>
      <c r="O448" s="322"/>
      <c r="P448" s="322"/>
      <c r="Q448" s="322"/>
      <c r="R448" s="322"/>
      <c r="S448" s="322"/>
      <c r="T448" s="322"/>
      <c r="U448" s="322"/>
      <c r="V448" s="322"/>
      <c r="W448" s="322"/>
      <c r="X448" s="322"/>
      <c r="Y448" s="322"/>
      <c r="Z448" s="322"/>
    </row>
    <row r="449" ht="12.75" customHeight="1">
      <c r="A449" s="322"/>
      <c r="B449" s="322"/>
      <c r="C449" s="323"/>
      <c r="D449" s="324"/>
      <c r="E449" s="323"/>
      <c r="F449" s="324"/>
      <c r="G449" s="322"/>
      <c r="H449" s="322"/>
      <c r="I449" s="322"/>
      <c r="J449" s="322"/>
      <c r="K449" s="322"/>
      <c r="L449" s="322"/>
      <c r="M449" s="322"/>
      <c r="N449" s="322"/>
      <c r="O449" s="322"/>
      <c r="P449" s="322"/>
      <c r="Q449" s="322"/>
      <c r="R449" s="322"/>
      <c r="S449" s="322"/>
      <c r="T449" s="322"/>
      <c r="U449" s="322"/>
      <c r="V449" s="322"/>
      <c r="W449" s="322"/>
      <c r="X449" s="322"/>
      <c r="Y449" s="322"/>
      <c r="Z449" s="322"/>
    </row>
    <row r="450" ht="12.75" customHeight="1">
      <c r="A450" s="322"/>
      <c r="B450" s="322"/>
      <c r="C450" s="323"/>
      <c r="D450" s="324"/>
      <c r="E450" s="323"/>
      <c r="F450" s="324"/>
      <c r="G450" s="322"/>
      <c r="H450" s="322"/>
      <c r="I450" s="322"/>
      <c r="J450" s="322"/>
      <c r="K450" s="322"/>
      <c r="L450" s="322"/>
      <c r="M450" s="322"/>
      <c r="N450" s="322"/>
      <c r="O450" s="322"/>
      <c r="P450" s="322"/>
      <c r="Q450" s="322"/>
      <c r="R450" s="322"/>
      <c r="S450" s="322"/>
      <c r="T450" s="322"/>
      <c r="U450" s="322"/>
      <c r="V450" s="322"/>
      <c r="W450" s="322"/>
      <c r="X450" s="322"/>
      <c r="Y450" s="322"/>
      <c r="Z450" s="322"/>
    </row>
    <row r="451" ht="12.75" customHeight="1">
      <c r="A451" s="322"/>
      <c r="B451" s="322"/>
      <c r="C451" s="323"/>
      <c r="D451" s="324"/>
      <c r="E451" s="323"/>
      <c r="F451" s="324"/>
      <c r="G451" s="322"/>
      <c r="H451" s="322"/>
      <c r="I451" s="322"/>
      <c r="J451" s="322"/>
      <c r="K451" s="322"/>
      <c r="L451" s="322"/>
      <c r="M451" s="322"/>
      <c r="N451" s="322"/>
      <c r="O451" s="322"/>
      <c r="P451" s="322"/>
      <c r="Q451" s="322"/>
      <c r="R451" s="322"/>
      <c r="S451" s="322"/>
      <c r="T451" s="322"/>
      <c r="U451" s="322"/>
      <c r="V451" s="322"/>
      <c r="W451" s="322"/>
      <c r="X451" s="322"/>
      <c r="Y451" s="322"/>
      <c r="Z451" s="322"/>
    </row>
    <row r="452" ht="12.75" customHeight="1">
      <c r="A452" s="322"/>
      <c r="B452" s="322"/>
      <c r="C452" s="323"/>
      <c r="D452" s="324"/>
      <c r="E452" s="323"/>
      <c r="F452" s="324"/>
      <c r="G452" s="322"/>
      <c r="H452" s="322"/>
      <c r="I452" s="322"/>
      <c r="J452" s="322"/>
      <c r="K452" s="322"/>
      <c r="L452" s="322"/>
      <c r="M452" s="322"/>
      <c r="N452" s="322"/>
      <c r="O452" s="322"/>
      <c r="P452" s="322"/>
      <c r="Q452" s="322"/>
      <c r="R452" s="322"/>
      <c r="S452" s="322"/>
      <c r="T452" s="322"/>
      <c r="U452" s="322"/>
      <c r="V452" s="322"/>
      <c r="W452" s="322"/>
      <c r="X452" s="322"/>
      <c r="Y452" s="322"/>
      <c r="Z452" s="322"/>
    </row>
    <row r="453" ht="12.75" customHeight="1">
      <c r="A453" s="322"/>
      <c r="B453" s="322"/>
      <c r="C453" s="323"/>
      <c r="D453" s="324"/>
      <c r="E453" s="323"/>
      <c r="F453" s="324"/>
      <c r="G453" s="322"/>
      <c r="H453" s="322"/>
      <c r="I453" s="322"/>
      <c r="J453" s="322"/>
      <c r="K453" s="322"/>
      <c r="L453" s="322"/>
      <c r="M453" s="322"/>
      <c r="N453" s="322"/>
      <c r="O453" s="322"/>
      <c r="P453" s="322"/>
      <c r="Q453" s="322"/>
      <c r="R453" s="322"/>
      <c r="S453" s="322"/>
      <c r="T453" s="322"/>
      <c r="U453" s="322"/>
      <c r="V453" s="322"/>
      <c r="W453" s="322"/>
      <c r="X453" s="322"/>
      <c r="Y453" s="322"/>
      <c r="Z453" s="322"/>
    </row>
    <row r="454" ht="12.75" customHeight="1">
      <c r="A454" s="322"/>
      <c r="B454" s="322"/>
      <c r="C454" s="323"/>
      <c r="D454" s="324"/>
      <c r="E454" s="323"/>
      <c r="F454" s="324"/>
      <c r="G454" s="322"/>
      <c r="H454" s="322"/>
      <c r="I454" s="322"/>
      <c r="J454" s="322"/>
      <c r="K454" s="322"/>
      <c r="L454" s="322"/>
      <c r="M454" s="322"/>
      <c r="N454" s="322"/>
      <c r="O454" s="322"/>
      <c r="P454" s="322"/>
      <c r="Q454" s="322"/>
      <c r="R454" s="322"/>
      <c r="S454" s="322"/>
      <c r="T454" s="322"/>
      <c r="U454" s="322"/>
      <c r="V454" s="322"/>
      <c r="W454" s="322"/>
      <c r="X454" s="322"/>
      <c r="Y454" s="322"/>
      <c r="Z454" s="322"/>
    </row>
    <row r="455" ht="12.75" customHeight="1">
      <c r="A455" s="322"/>
      <c r="B455" s="322"/>
      <c r="C455" s="323"/>
      <c r="D455" s="324"/>
      <c r="E455" s="323"/>
      <c r="F455" s="324"/>
      <c r="G455" s="322"/>
      <c r="H455" s="322"/>
      <c r="I455" s="322"/>
      <c r="J455" s="322"/>
      <c r="K455" s="322"/>
      <c r="L455" s="322"/>
      <c r="M455" s="322"/>
      <c r="N455" s="322"/>
      <c r="O455" s="322"/>
      <c r="P455" s="322"/>
      <c r="Q455" s="322"/>
      <c r="R455" s="322"/>
      <c r="S455" s="322"/>
      <c r="T455" s="322"/>
      <c r="U455" s="322"/>
      <c r="V455" s="322"/>
      <c r="W455" s="322"/>
      <c r="X455" s="322"/>
      <c r="Y455" s="322"/>
      <c r="Z455" s="322"/>
    </row>
    <row r="456" ht="12.75" customHeight="1">
      <c r="A456" s="322"/>
      <c r="B456" s="322"/>
      <c r="C456" s="323"/>
      <c r="D456" s="324"/>
      <c r="E456" s="323"/>
      <c r="F456" s="324"/>
      <c r="G456" s="322"/>
      <c r="H456" s="322"/>
      <c r="I456" s="322"/>
      <c r="J456" s="322"/>
      <c r="K456" s="322"/>
      <c r="L456" s="322"/>
      <c r="M456" s="322"/>
      <c r="N456" s="322"/>
      <c r="O456" s="322"/>
      <c r="P456" s="322"/>
      <c r="Q456" s="322"/>
      <c r="R456" s="322"/>
      <c r="S456" s="322"/>
      <c r="T456" s="322"/>
      <c r="U456" s="322"/>
      <c r="V456" s="322"/>
      <c r="W456" s="322"/>
      <c r="X456" s="322"/>
      <c r="Y456" s="322"/>
      <c r="Z456" s="322"/>
    </row>
    <row r="457" ht="12.75" customHeight="1">
      <c r="A457" s="322"/>
      <c r="B457" s="322"/>
      <c r="C457" s="323"/>
      <c r="D457" s="324"/>
      <c r="E457" s="323"/>
      <c r="F457" s="324"/>
      <c r="G457" s="322"/>
      <c r="H457" s="322"/>
      <c r="I457" s="322"/>
      <c r="J457" s="322"/>
      <c r="K457" s="322"/>
      <c r="L457" s="322"/>
      <c r="M457" s="322"/>
      <c r="N457" s="322"/>
      <c r="O457" s="322"/>
      <c r="P457" s="322"/>
      <c r="Q457" s="322"/>
      <c r="R457" s="322"/>
      <c r="S457" s="322"/>
      <c r="T457" s="322"/>
      <c r="U457" s="322"/>
      <c r="V457" s="322"/>
      <c r="W457" s="322"/>
      <c r="X457" s="322"/>
      <c r="Y457" s="322"/>
      <c r="Z457" s="322"/>
    </row>
    <row r="458" ht="12.75" customHeight="1">
      <c r="A458" s="322"/>
      <c r="B458" s="322"/>
      <c r="C458" s="323"/>
      <c r="D458" s="324"/>
      <c r="E458" s="323"/>
      <c r="F458" s="324"/>
      <c r="G458" s="322"/>
      <c r="H458" s="322"/>
      <c r="I458" s="322"/>
      <c r="J458" s="322"/>
      <c r="K458" s="322"/>
      <c r="L458" s="322"/>
      <c r="M458" s="322"/>
      <c r="N458" s="322"/>
      <c r="O458" s="322"/>
      <c r="P458" s="322"/>
      <c r="Q458" s="322"/>
      <c r="R458" s="322"/>
      <c r="S458" s="322"/>
      <c r="T458" s="322"/>
      <c r="U458" s="322"/>
      <c r="V458" s="322"/>
      <c r="W458" s="322"/>
      <c r="X458" s="322"/>
      <c r="Y458" s="322"/>
      <c r="Z458" s="322"/>
    </row>
    <row r="459" ht="12.75" customHeight="1">
      <c r="A459" s="322"/>
      <c r="B459" s="322"/>
      <c r="C459" s="323"/>
      <c r="D459" s="324"/>
      <c r="E459" s="323"/>
      <c r="F459" s="324"/>
      <c r="G459" s="322"/>
      <c r="H459" s="322"/>
      <c r="I459" s="322"/>
      <c r="J459" s="322"/>
      <c r="K459" s="322"/>
      <c r="L459" s="322"/>
      <c r="M459" s="322"/>
      <c r="N459" s="322"/>
      <c r="O459" s="322"/>
      <c r="P459" s="322"/>
      <c r="Q459" s="322"/>
      <c r="R459" s="322"/>
      <c r="S459" s="322"/>
      <c r="T459" s="322"/>
      <c r="U459" s="322"/>
      <c r="V459" s="322"/>
      <c r="W459" s="322"/>
      <c r="X459" s="322"/>
      <c r="Y459" s="322"/>
      <c r="Z459" s="322"/>
    </row>
    <row r="460" ht="12.75" customHeight="1">
      <c r="A460" s="322"/>
      <c r="B460" s="322"/>
      <c r="C460" s="323"/>
      <c r="D460" s="324"/>
      <c r="E460" s="323"/>
      <c r="F460" s="324"/>
      <c r="G460" s="322"/>
      <c r="H460" s="322"/>
      <c r="I460" s="322"/>
      <c r="J460" s="322"/>
      <c r="K460" s="322"/>
      <c r="L460" s="322"/>
      <c r="M460" s="322"/>
      <c r="N460" s="322"/>
      <c r="O460" s="322"/>
      <c r="P460" s="322"/>
      <c r="Q460" s="322"/>
      <c r="R460" s="322"/>
      <c r="S460" s="322"/>
      <c r="T460" s="322"/>
      <c r="U460" s="322"/>
      <c r="V460" s="322"/>
      <c r="W460" s="322"/>
      <c r="X460" s="322"/>
      <c r="Y460" s="322"/>
      <c r="Z460" s="322"/>
    </row>
    <row r="461" ht="12.75" customHeight="1">
      <c r="A461" s="322"/>
      <c r="B461" s="322"/>
      <c r="C461" s="323"/>
      <c r="D461" s="324"/>
      <c r="E461" s="323"/>
      <c r="F461" s="324"/>
      <c r="G461" s="322"/>
      <c r="H461" s="322"/>
      <c r="I461" s="322"/>
      <c r="J461" s="322"/>
      <c r="K461" s="322"/>
      <c r="L461" s="322"/>
      <c r="M461" s="322"/>
      <c r="N461" s="322"/>
      <c r="O461" s="322"/>
      <c r="P461" s="322"/>
      <c r="Q461" s="322"/>
      <c r="R461" s="322"/>
      <c r="S461" s="322"/>
      <c r="T461" s="322"/>
      <c r="U461" s="322"/>
      <c r="V461" s="322"/>
      <c r="W461" s="322"/>
      <c r="X461" s="322"/>
      <c r="Y461" s="322"/>
      <c r="Z461" s="322"/>
    </row>
    <row r="462" ht="12.75" customHeight="1">
      <c r="A462" s="322"/>
      <c r="B462" s="322"/>
      <c r="C462" s="323"/>
      <c r="D462" s="324"/>
      <c r="E462" s="323"/>
      <c r="F462" s="324"/>
      <c r="G462" s="322"/>
      <c r="H462" s="322"/>
      <c r="I462" s="322"/>
      <c r="J462" s="322"/>
      <c r="K462" s="322"/>
      <c r="L462" s="322"/>
      <c r="M462" s="322"/>
      <c r="N462" s="322"/>
      <c r="O462" s="322"/>
      <c r="P462" s="322"/>
      <c r="Q462" s="322"/>
      <c r="R462" s="322"/>
      <c r="S462" s="322"/>
      <c r="T462" s="322"/>
      <c r="U462" s="322"/>
      <c r="V462" s="322"/>
      <c r="W462" s="322"/>
      <c r="X462" s="322"/>
      <c r="Y462" s="322"/>
      <c r="Z462" s="322"/>
    </row>
    <row r="463" ht="12.75" customHeight="1">
      <c r="A463" s="322"/>
      <c r="B463" s="322"/>
      <c r="C463" s="323"/>
      <c r="D463" s="324"/>
      <c r="E463" s="323"/>
      <c r="F463" s="324"/>
      <c r="G463" s="322"/>
      <c r="H463" s="322"/>
      <c r="I463" s="322"/>
      <c r="J463" s="322"/>
      <c r="K463" s="322"/>
      <c r="L463" s="322"/>
      <c r="M463" s="322"/>
      <c r="N463" s="322"/>
      <c r="O463" s="322"/>
      <c r="P463" s="322"/>
      <c r="Q463" s="322"/>
      <c r="R463" s="322"/>
      <c r="S463" s="322"/>
      <c r="T463" s="322"/>
      <c r="U463" s="322"/>
      <c r="V463" s="322"/>
      <c r="W463" s="322"/>
      <c r="X463" s="322"/>
      <c r="Y463" s="322"/>
      <c r="Z463" s="322"/>
    </row>
    <row r="464" ht="12.75" customHeight="1">
      <c r="A464" s="322"/>
      <c r="B464" s="322"/>
      <c r="C464" s="323"/>
      <c r="D464" s="324"/>
      <c r="E464" s="323"/>
      <c r="F464" s="324"/>
      <c r="G464" s="322"/>
      <c r="H464" s="322"/>
      <c r="I464" s="322"/>
      <c r="J464" s="322"/>
      <c r="K464" s="322"/>
      <c r="L464" s="322"/>
      <c r="M464" s="322"/>
      <c r="N464" s="322"/>
      <c r="O464" s="322"/>
      <c r="P464" s="322"/>
      <c r="Q464" s="322"/>
      <c r="R464" s="322"/>
      <c r="S464" s="322"/>
      <c r="T464" s="322"/>
      <c r="U464" s="322"/>
      <c r="V464" s="322"/>
      <c r="W464" s="322"/>
      <c r="X464" s="322"/>
      <c r="Y464" s="322"/>
      <c r="Z464" s="322"/>
    </row>
    <row r="465" ht="12.75" customHeight="1">
      <c r="A465" s="322"/>
      <c r="B465" s="322"/>
      <c r="C465" s="323"/>
      <c r="D465" s="324"/>
      <c r="E465" s="323"/>
      <c r="F465" s="324"/>
      <c r="G465" s="322"/>
      <c r="H465" s="322"/>
      <c r="I465" s="322"/>
      <c r="J465" s="322"/>
      <c r="K465" s="322"/>
      <c r="L465" s="322"/>
      <c r="M465" s="322"/>
      <c r="N465" s="322"/>
      <c r="O465" s="322"/>
      <c r="P465" s="322"/>
      <c r="Q465" s="322"/>
      <c r="R465" s="322"/>
      <c r="S465" s="322"/>
      <c r="T465" s="322"/>
      <c r="U465" s="322"/>
      <c r="V465" s="322"/>
      <c r="W465" s="322"/>
      <c r="X465" s="322"/>
      <c r="Y465" s="322"/>
      <c r="Z465" s="322"/>
    </row>
    <row r="466" ht="12.75" customHeight="1">
      <c r="A466" s="322"/>
      <c r="B466" s="322"/>
      <c r="C466" s="323"/>
      <c r="D466" s="324"/>
      <c r="E466" s="323"/>
      <c r="F466" s="324"/>
      <c r="G466" s="322"/>
      <c r="H466" s="322"/>
      <c r="I466" s="322"/>
      <c r="J466" s="322"/>
      <c r="K466" s="322"/>
      <c r="L466" s="322"/>
      <c r="M466" s="322"/>
      <c r="N466" s="322"/>
      <c r="O466" s="322"/>
      <c r="P466" s="322"/>
      <c r="Q466" s="322"/>
      <c r="R466" s="322"/>
      <c r="S466" s="322"/>
      <c r="T466" s="322"/>
      <c r="U466" s="322"/>
      <c r="V466" s="322"/>
      <c r="W466" s="322"/>
      <c r="X466" s="322"/>
      <c r="Y466" s="322"/>
      <c r="Z466" s="322"/>
    </row>
    <row r="467" ht="12.75" customHeight="1">
      <c r="A467" s="322"/>
      <c r="B467" s="322"/>
      <c r="C467" s="323"/>
      <c r="D467" s="324"/>
      <c r="E467" s="323"/>
      <c r="F467" s="324"/>
      <c r="G467" s="322"/>
      <c r="H467" s="322"/>
      <c r="I467" s="322"/>
      <c r="J467" s="322"/>
      <c r="K467" s="322"/>
      <c r="L467" s="322"/>
      <c r="M467" s="322"/>
      <c r="N467" s="322"/>
      <c r="O467" s="322"/>
      <c r="P467" s="322"/>
      <c r="Q467" s="322"/>
      <c r="R467" s="322"/>
      <c r="S467" s="322"/>
      <c r="T467" s="322"/>
      <c r="U467" s="322"/>
      <c r="V467" s="322"/>
      <c r="W467" s="322"/>
      <c r="X467" s="322"/>
      <c r="Y467" s="322"/>
      <c r="Z467" s="322"/>
    </row>
    <row r="468" ht="12.75" customHeight="1">
      <c r="A468" s="322"/>
      <c r="B468" s="322"/>
      <c r="C468" s="323"/>
      <c r="D468" s="324"/>
      <c r="E468" s="323"/>
      <c r="F468" s="324"/>
      <c r="G468" s="322"/>
      <c r="H468" s="322"/>
      <c r="I468" s="322"/>
      <c r="J468" s="322"/>
      <c r="K468" s="322"/>
      <c r="L468" s="322"/>
      <c r="M468" s="322"/>
      <c r="N468" s="322"/>
      <c r="O468" s="322"/>
      <c r="P468" s="322"/>
      <c r="Q468" s="322"/>
      <c r="R468" s="322"/>
      <c r="S468" s="322"/>
      <c r="T468" s="322"/>
      <c r="U468" s="322"/>
      <c r="V468" s="322"/>
      <c r="W468" s="322"/>
      <c r="X468" s="322"/>
      <c r="Y468" s="322"/>
      <c r="Z468" s="322"/>
    </row>
    <row r="469" ht="12.75" customHeight="1">
      <c r="A469" s="322"/>
      <c r="B469" s="322"/>
      <c r="C469" s="323"/>
      <c r="D469" s="324"/>
      <c r="E469" s="323"/>
      <c r="F469" s="324"/>
      <c r="G469" s="322"/>
      <c r="H469" s="322"/>
      <c r="I469" s="322"/>
      <c r="J469" s="322"/>
      <c r="K469" s="322"/>
      <c r="L469" s="322"/>
      <c r="M469" s="322"/>
      <c r="N469" s="322"/>
      <c r="O469" s="322"/>
      <c r="P469" s="322"/>
      <c r="Q469" s="322"/>
      <c r="R469" s="322"/>
      <c r="S469" s="322"/>
      <c r="T469" s="322"/>
      <c r="U469" s="322"/>
      <c r="V469" s="322"/>
      <c r="W469" s="322"/>
      <c r="X469" s="322"/>
      <c r="Y469" s="322"/>
      <c r="Z469" s="322"/>
    </row>
    <row r="470" ht="12.75" customHeight="1">
      <c r="A470" s="322"/>
      <c r="B470" s="322"/>
      <c r="C470" s="323"/>
      <c r="D470" s="324"/>
      <c r="E470" s="323"/>
      <c r="F470" s="324"/>
      <c r="G470" s="322"/>
      <c r="H470" s="322"/>
      <c r="I470" s="322"/>
      <c r="J470" s="322"/>
      <c r="K470" s="322"/>
      <c r="L470" s="322"/>
      <c r="M470" s="322"/>
      <c r="N470" s="322"/>
      <c r="O470" s="322"/>
      <c r="P470" s="322"/>
      <c r="Q470" s="322"/>
      <c r="R470" s="322"/>
      <c r="S470" s="322"/>
      <c r="T470" s="322"/>
      <c r="U470" s="322"/>
      <c r="V470" s="322"/>
      <c r="W470" s="322"/>
      <c r="X470" s="322"/>
      <c r="Y470" s="322"/>
      <c r="Z470" s="322"/>
    </row>
    <row r="471" ht="12.75" customHeight="1">
      <c r="A471" s="322"/>
      <c r="B471" s="322"/>
      <c r="C471" s="323"/>
      <c r="D471" s="324"/>
      <c r="E471" s="323"/>
      <c r="F471" s="324"/>
      <c r="G471" s="322"/>
      <c r="H471" s="322"/>
      <c r="I471" s="322"/>
      <c r="J471" s="322"/>
      <c r="K471" s="322"/>
      <c r="L471" s="322"/>
      <c r="M471" s="322"/>
      <c r="N471" s="322"/>
      <c r="O471" s="322"/>
      <c r="P471" s="322"/>
      <c r="Q471" s="322"/>
      <c r="R471" s="322"/>
      <c r="S471" s="322"/>
      <c r="T471" s="322"/>
      <c r="U471" s="322"/>
      <c r="V471" s="322"/>
      <c r="W471" s="322"/>
      <c r="X471" s="322"/>
      <c r="Y471" s="322"/>
      <c r="Z471" s="322"/>
    </row>
    <row r="472" ht="12.75" customHeight="1">
      <c r="A472" s="322"/>
      <c r="B472" s="322"/>
      <c r="C472" s="323"/>
      <c r="D472" s="324"/>
      <c r="E472" s="323"/>
      <c r="F472" s="324"/>
      <c r="G472" s="322"/>
      <c r="H472" s="322"/>
      <c r="I472" s="322"/>
      <c r="J472" s="322"/>
      <c r="K472" s="322"/>
      <c r="L472" s="322"/>
      <c r="M472" s="322"/>
      <c r="N472" s="322"/>
      <c r="O472" s="322"/>
      <c r="P472" s="322"/>
      <c r="Q472" s="322"/>
      <c r="R472" s="322"/>
      <c r="S472" s="322"/>
      <c r="T472" s="322"/>
      <c r="U472" s="322"/>
      <c r="V472" s="322"/>
      <c r="W472" s="322"/>
      <c r="X472" s="322"/>
      <c r="Y472" s="322"/>
      <c r="Z472" s="322"/>
    </row>
    <row r="473" ht="12.75" customHeight="1">
      <c r="A473" s="322"/>
      <c r="B473" s="322"/>
      <c r="C473" s="323"/>
      <c r="D473" s="324"/>
      <c r="E473" s="323"/>
      <c r="F473" s="324"/>
      <c r="G473" s="322"/>
      <c r="H473" s="322"/>
      <c r="I473" s="322"/>
      <c r="J473" s="322"/>
      <c r="K473" s="322"/>
      <c r="L473" s="322"/>
      <c r="M473" s="322"/>
      <c r="N473" s="322"/>
      <c r="O473" s="322"/>
      <c r="P473" s="322"/>
      <c r="Q473" s="322"/>
      <c r="R473" s="322"/>
      <c r="S473" s="322"/>
      <c r="T473" s="322"/>
      <c r="U473" s="322"/>
      <c r="V473" s="322"/>
      <c r="W473" s="322"/>
      <c r="X473" s="322"/>
      <c r="Y473" s="322"/>
      <c r="Z473" s="322"/>
    </row>
    <row r="474" ht="12.75" customHeight="1">
      <c r="A474" s="322"/>
      <c r="B474" s="322"/>
      <c r="C474" s="323"/>
      <c r="D474" s="324"/>
      <c r="E474" s="323"/>
      <c r="F474" s="324"/>
      <c r="G474" s="322"/>
      <c r="H474" s="322"/>
      <c r="I474" s="322"/>
      <c r="J474" s="322"/>
      <c r="K474" s="322"/>
      <c r="L474" s="322"/>
      <c r="M474" s="322"/>
      <c r="N474" s="322"/>
      <c r="O474" s="322"/>
      <c r="P474" s="322"/>
      <c r="Q474" s="322"/>
      <c r="R474" s="322"/>
      <c r="S474" s="322"/>
      <c r="T474" s="322"/>
      <c r="U474" s="322"/>
      <c r="V474" s="322"/>
      <c r="W474" s="322"/>
      <c r="X474" s="322"/>
      <c r="Y474" s="322"/>
      <c r="Z474" s="322"/>
    </row>
    <row r="475" ht="12.75" customHeight="1">
      <c r="A475" s="322"/>
      <c r="B475" s="322"/>
      <c r="C475" s="323"/>
      <c r="D475" s="324"/>
      <c r="E475" s="323"/>
      <c r="F475" s="324"/>
      <c r="G475" s="322"/>
      <c r="H475" s="322"/>
      <c r="I475" s="322"/>
      <c r="J475" s="322"/>
      <c r="K475" s="322"/>
      <c r="L475" s="322"/>
      <c r="M475" s="322"/>
      <c r="N475" s="322"/>
      <c r="O475" s="322"/>
      <c r="P475" s="322"/>
      <c r="Q475" s="322"/>
      <c r="R475" s="322"/>
      <c r="S475" s="322"/>
      <c r="T475" s="322"/>
      <c r="U475" s="322"/>
      <c r="V475" s="322"/>
      <c r="W475" s="322"/>
      <c r="X475" s="322"/>
      <c r="Y475" s="322"/>
      <c r="Z475" s="322"/>
    </row>
    <row r="476" ht="12.75" customHeight="1">
      <c r="A476" s="322"/>
      <c r="B476" s="322"/>
      <c r="C476" s="323"/>
      <c r="D476" s="324"/>
      <c r="E476" s="323"/>
      <c r="F476" s="324"/>
      <c r="G476" s="322"/>
      <c r="H476" s="322"/>
      <c r="I476" s="322"/>
      <c r="J476" s="322"/>
      <c r="K476" s="322"/>
      <c r="L476" s="322"/>
      <c r="M476" s="322"/>
      <c r="N476" s="322"/>
      <c r="O476" s="322"/>
      <c r="P476" s="322"/>
      <c r="Q476" s="322"/>
      <c r="R476" s="322"/>
      <c r="S476" s="322"/>
      <c r="T476" s="322"/>
      <c r="U476" s="322"/>
      <c r="V476" s="322"/>
      <c r="W476" s="322"/>
      <c r="X476" s="322"/>
      <c r="Y476" s="322"/>
      <c r="Z476" s="322"/>
    </row>
    <row r="477" ht="12.75" customHeight="1">
      <c r="A477" s="322"/>
      <c r="B477" s="322"/>
      <c r="C477" s="323"/>
      <c r="D477" s="324"/>
      <c r="E477" s="323"/>
      <c r="F477" s="324"/>
      <c r="G477" s="322"/>
      <c r="H477" s="322"/>
      <c r="I477" s="322"/>
      <c r="J477" s="322"/>
      <c r="K477" s="322"/>
      <c r="L477" s="322"/>
      <c r="M477" s="322"/>
      <c r="N477" s="322"/>
      <c r="O477" s="322"/>
      <c r="P477" s="322"/>
      <c r="Q477" s="322"/>
      <c r="R477" s="322"/>
      <c r="S477" s="322"/>
      <c r="T477" s="322"/>
      <c r="U477" s="322"/>
      <c r="V477" s="322"/>
      <c r="W477" s="322"/>
      <c r="X477" s="322"/>
      <c r="Y477" s="322"/>
      <c r="Z477" s="322"/>
    </row>
    <row r="478" ht="12.75" customHeight="1">
      <c r="A478" s="322"/>
      <c r="B478" s="322"/>
      <c r="C478" s="323"/>
      <c r="D478" s="324"/>
      <c r="E478" s="323"/>
      <c r="F478" s="324"/>
      <c r="G478" s="322"/>
      <c r="H478" s="322"/>
      <c r="I478" s="322"/>
      <c r="J478" s="322"/>
      <c r="K478" s="322"/>
      <c r="L478" s="322"/>
      <c r="M478" s="322"/>
      <c r="N478" s="322"/>
      <c r="O478" s="322"/>
      <c r="P478" s="322"/>
      <c r="Q478" s="322"/>
      <c r="R478" s="322"/>
      <c r="S478" s="322"/>
      <c r="T478" s="322"/>
      <c r="U478" s="322"/>
      <c r="V478" s="322"/>
      <c r="W478" s="322"/>
      <c r="X478" s="322"/>
      <c r="Y478" s="322"/>
      <c r="Z478" s="322"/>
    </row>
    <row r="479" ht="12.75" customHeight="1">
      <c r="A479" s="322"/>
      <c r="B479" s="322"/>
      <c r="C479" s="323"/>
      <c r="D479" s="324"/>
      <c r="E479" s="323"/>
      <c r="F479" s="324"/>
      <c r="G479" s="322"/>
      <c r="H479" s="322"/>
      <c r="I479" s="322"/>
      <c r="J479" s="322"/>
      <c r="K479" s="322"/>
      <c r="L479" s="322"/>
      <c r="M479" s="322"/>
      <c r="N479" s="322"/>
      <c r="O479" s="322"/>
      <c r="P479" s="322"/>
      <c r="Q479" s="322"/>
      <c r="R479" s="322"/>
      <c r="S479" s="322"/>
      <c r="T479" s="322"/>
      <c r="U479" s="322"/>
      <c r="V479" s="322"/>
      <c r="W479" s="322"/>
      <c r="X479" s="322"/>
      <c r="Y479" s="322"/>
      <c r="Z479" s="322"/>
    </row>
    <row r="480" ht="12.75" customHeight="1">
      <c r="A480" s="322"/>
      <c r="B480" s="322"/>
      <c r="C480" s="323"/>
      <c r="D480" s="324"/>
      <c r="E480" s="323"/>
      <c r="F480" s="324"/>
      <c r="G480" s="322"/>
      <c r="H480" s="322"/>
      <c r="I480" s="322"/>
      <c r="J480" s="322"/>
      <c r="K480" s="322"/>
      <c r="L480" s="322"/>
      <c r="M480" s="322"/>
      <c r="N480" s="322"/>
      <c r="O480" s="322"/>
      <c r="P480" s="322"/>
      <c r="Q480" s="322"/>
      <c r="R480" s="322"/>
      <c r="S480" s="322"/>
      <c r="T480" s="322"/>
      <c r="U480" s="322"/>
      <c r="V480" s="322"/>
      <c r="W480" s="322"/>
      <c r="X480" s="322"/>
      <c r="Y480" s="322"/>
      <c r="Z480" s="322"/>
    </row>
    <row r="481" ht="12.75" customHeight="1">
      <c r="A481" s="322"/>
      <c r="B481" s="322"/>
      <c r="C481" s="323"/>
      <c r="D481" s="324"/>
      <c r="E481" s="323"/>
      <c r="F481" s="324"/>
      <c r="G481" s="322"/>
      <c r="H481" s="322"/>
      <c r="I481" s="322"/>
      <c r="J481" s="322"/>
      <c r="K481" s="322"/>
      <c r="L481" s="322"/>
      <c r="M481" s="322"/>
      <c r="N481" s="322"/>
      <c r="O481" s="322"/>
      <c r="P481" s="322"/>
      <c r="Q481" s="322"/>
      <c r="R481" s="322"/>
      <c r="S481" s="322"/>
      <c r="T481" s="322"/>
      <c r="U481" s="322"/>
      <c r="V481" s="322"/>
      <c r="W481" s="322"/>
      <c r="X481" s="322"/>
      <c r="Y481" s="322"/>
      <c r="Z481" s="322"/>
    </row>
    <row r="482" ht="12.75" customHeight="1">
      <c r="A482" s="322"/>
      <c r="B482" s="322"/>
      <c r="C482" s="323"/>
      <c r="D482" s="324"/>
      <c r="E482" s="323"/>
      <c r="F482" s="324"/>
      <c r="G482" s="322"/>
      <c r="H482" s="322"/>
      <c r="I482" s="322"/>
      <c r="J482" s="322"/>
      <c r="K482" s="322"/>
      <c r="L482" s="322"/>
      <c r="M482" s="322"/>
      <c r="N482" s="322"/>
      <c r="O482" s="322"/>
      <c r="P482" s="322"/>
      <c r="Q482" s="322"/>
      <c r="R482" s="322"/>
      <c r="S482" s="322"/>
      <c r="T482" s="322"/>
      <c r="U482" s="322"/>
      <c r="V482" s="322"/>
      <c r="W482" s="322"/>
      <c r="X482" s="322"/>
      <c r="Y482" s="322"/>
      <c r="Z482" s="322"/>
    </row>
    <row r="483" ht="12.75" customHeight="1">
      <c r="A483" s="322"/>
      <c r="B483" s="322"/>
      <c r="C483" s="323"/>
      <c r="D483" s="324"/>
      <c r="E483" s="323"/>
      <c r="F483" s="324"/>
      <c r="G483" s="322"/>
      <c r="H483" s="322"/>
      <c r="I483" s="322"/>
      <c r="J483" s="322"/>
      <c r="K483" s="322"/>
      <c r="L483" s="322"/>
      <c r="M483" s="322"/>
      <c r="N483" s="322"/>
      <c r="O483" s="322"/>
      <c r="P483" s="322"/>
      <c r="Q483" s="322"/>
      <c r="R483" s="322"/>
      <c r="S483" s="322"/>
      <c r="T483" s="322"/>
      <c r="U483" s="322"/>
      <c r="V483" s="322"/>
      <c r="W483" s="322"/>
      <c r="X483" s="322"/>
      <c r="Y483" s="322"/>
      <c r="Z483" s="322"/>
    </row>
    <row r="484" ht="12.75" customHeight="1">
      <c r="A484" s="322"/>
      <c r="B484" s="322"/>
      <c r="C484" s="323"/>
      <c r="D484" s="324"/>
      <c r="E484" s="323"/>
      <c r="F484" s="324"/>
      <c r="G484" s="322"/>
      <c r="H484" s="322"/>
      <c r="I484" s="322"/>
      <c r="J484" s="322"/>
      <c r="K484" s="322"/>
      <c r="L484" s="322"/>
      <c r="M484" s="322"/>
      <c r="N484" s="322"/>
      <c r="O484" s="322"/>
      <c r="P484" s="322"/>
      <c r="Q484" s="322"/>
      <c r="R484" s="322"/>
      <c r="S484" s="322"/>
      <c r="T484" s="322"/>
      <c r="U484" s="322"/>
      <c r="V484" s="322"/>
      <c r="W484" s="322"/>
      <c r="X484" s="322"/>
      <c r="Y484" s="322"/>
      <c r="Z484" s="322"/>
    </row>
    <row r="485" ht="12.75" customHeight="1">
      <c r="A485" s="322"/>
      <c r="B485" s="322"/>
      <c r="C485" s="323"/>
      <c r="D485" s="324"/>
      <c r="E485" s="323"/>
      <c r="F485" s="324"/>
      <c r="G485" s="322"/>
      <c r="H485" s="322"/>
      <c r="I485" s="322"/>
      <c r="J485" s="322"/>
      <c r="K485" s="322"/>
      <c r="L485" s="322"/>
      <c r="M485" s="322"/>
      <c r="N485" s="322"/>
      <c r="O485" s="322"/>
      <c r="P485" s="322"/>
      <c r="Q485" s="322"/>
      <c r="R485" s="322"/>
      <c r="S485" s="322"/>
      <c r="T485" s="322"/>
      <c r="U485" s="322"/>
      <c r="V485" s="322"/>
      <c r="W485" s="322"/>
      <c r="X485" s="322"/>
      <c r="Y485" s="322"/>
      <c r="Z485" s="322"/>
    </row>
    <row r="486" ht="12.75" customHeight="1">
      <c r="A486" s="322"/>
      <c r="B486" s="322"/>
      <c r="C486" s="323"/>
      <c r="D486" s="324"/>
      <c r="E486" s="323"/>
      <c r="F486" s="324"/>
      <c r="G486" s="322"/>
      <c r="H486" s="322"/>
      <c r="I486" s="322"/>
      <c r="J486" s="322"/>
      <c r="K486" s="322"/>
      <c r="L486" s="322"/>
      <c r="M486" s="322"/>
      <c r="N486" s="322"/>
      <c r="O486" s="322"/>
      <c r="P486" s="322"/>
      <c r="Q486" s="322"/>
      <c r="R486" s="322"/>
      <c r="S486" s="322"/>
      <c r="T486" s="322"/>
      <c r="U486" s="322"/>
      <c r="V486" s="322"/>
      <c r="W486" s="322"/>
      <c r="X486" s="322"/>
      <c r="Y486" s="322"/>
      <c r="Z486" s="322"/>
    </row>
    <row r="487" ht="12.75" customHeight="1">
      <c r="A487" s="322"/>
      <c r="B487" s="322"/>
      <c r="C487" s="323"/>
      <c r="D487" s="324"/>
      <c r="E487" s="323"/>
      <c r="F487" s="324"/>
      <c r="G487" s="322"/>
      <c r="H487" s="322"/>
      <c r="I487" s="322"/>
      <c r="J487" s="322"/>
      <c r="K487" s="322"/>
      <c r="L487" s="322"/>
      <c r="M487" s="322"/>
      <c r="N487" s="322"/>
      <c r="O487" s="322"/>
      <c r="P487" s="322"/>
      <c r="Q487" s="322"/>
      <c r="R487" s="322"/>
      <c r="S487" s="322"/>
      <c r="T487" s="322"/>
      <c r="U487" s="322"/>
      <c r="V487" s="322"/>
      <c r="W487" s="322"/>
      <c r="X487" s="322"/>
      <c r="Y487" s="322"/>
      <c r="Z487" s="322"/>
    </row>
    <row r="488" ht="12.75" customHeight="1">
      <c r="A488" s="322"/>
      <c r="B488" s="322"/>
      <c r="C488" s="323"/>
      <c r="D488" s="324"/>
      <c r="E488" s="323"/>
      <c r="F488" s="324"/>
      <c r="G488" s="322"/>
      <c r="H488" s="322"/>
      <c r="I488" s="322"/>
      <c r="J488" s="322"/>
      <c r="K488" s="322"/>
      <c r="L488" s="322"/>
      <c r="M488" s="322"/>
      <c r="N488" s="322"/>
      <c r="O488" s="322"/>
      <c r="P488" s="322"/>
      <c r="Q488" s="322"/>
      <c r="R488" s="322"/>
      <c r="S488" s="322"/>
      <c r="T488" s="322"/>
      <c r="U488" s="322"/>
      <c r="V488" s="322"/>
      <c r="W488" s="322"/>
      <c r="X488" s="322"/>
      <c r="Y488" s="322"/>
      <c r="Z488" s="322"/>
    </row>
    <row r="489" ht="12.75" customHeight="1">
      <c r="A489" s="322"/>
      <c r="B489" s="322"/>
      <c r="C489" s="323"/>
      <c r="D489" s="324"/>
      <c r="E489" s="323"/>
      <c r="F489" s="324"/>
      <c r="G489" s="322"/>
      <c r="H489" s="322"/>
      <c r="I489" s="322"/>
      <c r="J489" s="322"/>
      <c r="K489" s="322"/>
      <c r="L489" s="322"/>
      <c r="M489" s="322"/>
      <c r="N489" s="322"/>
      <c r="O489" s="322"/>
      <c r="P489" s="322"/>
      <c r="Q489" s="322"/>
      <c r="R489" s="322"/>
      <c r="S489" s="322"/>
      <c r="T489" s="322"/>
      <c r="U489" s="322"/>
      <c r="V489" s="322"/>
      <c r="W489" s="322"/>
      <c r="X489" s="322"/>
      <c r="Y489" s="322"/>
      <c r="Z489" s="322"/>
    </row>
    <row r="490" ht="12.75" customHeight="1">
      <c r="A490" s="322"/>
      <c r="B490" s="322"/>
      <c r="C490" s="323"/>
      <c r="D490" s="324"/>
      <c r="E490" s="323"/>
      <c r="F490" s="324"/>
      <c r="G490" s="322"/>
      <c r="H490" s="322"/>
      <c r="I490" s="322"/>
      <c r="J490" s="322"/>
      <c r="K490" s="322"/>
      <c r="L490" s="322"/>
      <c r="M490" s="322"/>
      <c r="N490" s="322"/>
      <c r="O490" s="322"/>
      <c r="P490" s="322"/>
      <c r="Q490" s="322"/>
      <c r="R490" s="322"/>
      <c r="S490" s="322"/>
      <c r="T490" s="322"/>
      <c r="U490" s="322"/>
      <c r="V490" s="322"/>
      <c r="W490" s="322"/>
      <c r="X490" s="322"/>
      <c r="Y490" s="322"/>
      <c r="Z490" s="322"/>
    </row>
    <row r="491" ht="12.75" customHeight="1">
      <c r="A491" s="322"/>
      <c r="B491" s="322"/>
      <c r="C491" s="323"/>
      <c r="D491" s="324"/>
      <c r="E491" s="323"/>
      <c r="F491" s="324"/>
      <c r="G491" s="322"/>
      <c r="H491" s="322"/>
      <c r="I491" s="322"/>
      <c r="J491" s="322"/>
      <c r="K491" s="322"/>
      <c r="L491" s="322"/>
      <c r="M491" s="322"/>
      <c r="N491" s="322"/>
      <c r="O491" s="322"/>
      <c r="P491" s="322"/>
      <c r="Q491" s="322"/>
      <c r="R491" s="322"/>
      <c r="S491" s="322"/>
      <c r="T491" s="322"/>
      <c r="U491" s="322"/>
      <c r="V491" s="322"/>
      <c r="W491" s="322"/>
      <c r="X491" s="322"/>
      <c r="Y491" s="322"/>
      <c r="Z491" s="322"/>
    </row>
    <row r="492" ht="12.75" customHeight="1">
      <c r="A492" s="322"/>
      <c r="B492" s="322"/>
      <c r="C492" s="323"/>
      <c r="D492" s="324"/>
      <c r="E492" s="323"/>
      <c r="F492" s="324"/>
      <c r="G492" s="322"/>
      <c r="H492" s="322"/>
      <c r="I492" s="322"/>
      <c r="J492" s="322"/>
      <c r="K492" s="322"/>
      <c r="L492" s="322"/>
      <c r="M492" s="322"/>
      <c r="N492" s="322"/>
      <c r="O492" s="322"/>
      <c r="P492" s="322"/>
      <c r="Q492" s="322"/>
      <c r="R492" s="322"/>
      <c r="S492" s="322"/>
      <c r="T492" s="322"/>
      <c r="U492" s="322"/>
      <c r="V492" s="322"/>
      <c r="W492" s="322"/>
      <c r="X492" s="322"/>
      <c r="Y492" s="322"/>
      <c r="Z492" s="322"/>
    </row>
    <row r="493" ht="12.75" customHeight="1">
      <c r="A493" s="322"/>
      <c r="B493" s="322"/>
      <c r="C493" s="323"/>
      <c r="D493" s="324"/>
      <c r="E493" s="323"/>
      <c r="F493" s="324"/>
      <c r="G493" s="322"/>
      <c r="H493" s="322"/>
      <c r="I493" s="322"/>
      <c r="J493" s="322"/>
      <c r="K493" s="322"/>
      <c r="L493" s="322"/>
      <c r="M493" s="322"/>
      <c r="N493" s="322"/>
      <c r="O493" s="322"/>
      <c r="P493" s="322"/>
      <c r="Q493" s="322"/>
      <c r="R493" s="322"/>
      <c r="S493" s="322"/>
      <c r="T493" s="322"/>
      <c r="U493" s="322"/>
      <c r="V493" s="322"/>
      <c r="W493" s="322"/>
      <c r="X493" s="322"/>
      <c r="Y493" s="322"/>
      <c r="Z493" s="322"/>
    </row>
    <row r="494" ht="12.75" customHeight="1">
      <c r="A494" s="322"/>
      <c r="B494" s="322"/>
      <c r="C494" s="323"/>
      <c r="D494" s="324"/>
      <c r="E494" s="323"/>
      <c r="F494" s="324"/>
      <c r="G494" s="322"/>
      <c r="H494" s="322"/>
      <c r="I494" s="322"/>
      <c r="J494" s="322"/>
      <c r="K494" s="322"/>
      <c r="L494" s="322"/>
      <c r="M494" s="322"/>
      <c r="N494" s="322"/>
      <c r="O494" s="322"/>
      <c r="P494" s="322"/>
      <c r="Q494" s="322"/>
      <c r="R494" s="322"/>
      <c r="S494" s="322"/>
      <c r="T494" s="322"/>
      <c r="U494" s="322"/>
      <c r="V494" s="322"/>
      <c r="W494" s="322"/>
      <c r="X494" s="322"/>
      <c r="Y494" s="322"/>
      <c r="Z494" s="322"/>
    </row>
    <row r="495" ht="12.75" customHeight="1">
      <c r="A495" s="322"/>
      <c r="B495" s="322"/>
      <c r="C495" s="323"/>
      <c r="D495" s="324"/>
      <c r="E495" s="323"/>
      <c r="F495" s="324"/>
      <c r="G495" s="322"/>
      <c r="H495" s="322"/>
      <c r="I495" s="322"/>
      <c r="J495" s="322"/>
      <c r="K495" s="322"/>
      <c r="L495" s="322"/>
      <c r="M495" s="322"/>
      <c r="N495" s="322"/>
      <c r="O495" s="322"/>
      <c r="P495" s="322"/>
      <c r="Q495" s="322"/>
      <c r="R495" s="322"/>
      <c r="S495" s="322"/>
      <c r="T495" s="322"/>
      <c r="U495" s="322"/>
      <c r="V495" s="322"/>
      <c r="W495" s="322"/>
      <c r="X495" s="322"/>
      <c r="Y495" s="322"/>
      <c r="Z495" s="322"/>
    </row>
    <row r="496" ht="12.75" customHeight="1">
      <c r="A496" s="322"/>
      <c r="B496" s="322"/>
      <c r="C496" s="323"/>
      <c r="D496" s="324"/>
      <c r="E496" s="323"/>
      <c r="F496" s="324"/>
      <c r="G496" s="322"/>
      <c r="H496" s="322"/>
      <c r="I496" s="322"/>
      <c r="J496" s="322"/>
      <c r="K496" s="322"/>
      <c r="L496" s="322"/>
      <c r="M496" s="322"/>
      <c r="N496" s="322"/>
      <c r="O496" s="322"/>
      <c r="P496" s="322"/>
      <c r="Q496" s="322"/>
      <c r="R496" s="322"/>
      <c r="S496" s="322"/>
      <c r="T496" s="322"/>
      <c r="U496" s="322"/>
      <c r="V496" s="322"/>
      <c r="W496" s="322"/>
      <c r="X496" s="322"/>
      <c r="Y496" s="322"/>
      <c r="Z496" s="322"/>
    </row>
    <row r="497" ht="12.75" customHeight="1">
      <c r="A497" s="322"/>
      <c r="B497" s="322"/>
      <c r="C497" s="323"/>
      <c r="D497" s="324"/>
      <c r="E497" s="323"/>
      <c r="F497" s="324"/>
      <c r="G497" s="322"/>
      <c r="H497" s="322"/>
      <c r="I497" s="322"/>
      <c r="J497" s="322"/>
      <c r="K497" s="322"/>
      <c r="L497" s="322"/>
      <c r="M497" s="322"/>
      <c r="N497" s="322"/>
      <c r="O497" s="322"/>
      <c r="P497" s="322"/>
      <c r="Q497" s="322"/>
      <c r="R497" s="322"/>
      <c r="S497" s="322"/>
      <c r="T497" s="322"/>
      <c r="U497" s="322"/>
      <c r="V497" s="322"/>
      <c r="W497" s="322"/>
      <c r="X497" s="322"/>
      <c r="Y497" s="322"/>
      <c r="Z497" s="322"/>
    </row>
    <row r="498" ht="12.75" customHeight="1">
      <c r="A498" s="322"/>
      <c r="B498" s="322"/>
      <c r="C498" s="323"/>
      <c r="D498" s="324"/>
      <c r="E498" s="323"/>
      <c r="F498" s="324"/>
      <c r="G498" s="322"/>
      <c r="H498" s="322"/>
      <c r="I498" s="322"/>
      <c r="J498" s="322"/>
      <c r="K498" s="322"/>
      <c r="L498" s="322"/>
      <c r="M498" s="322"/>
      <c r="N498" s="322"/>
      <c r="O498" s="322"/>
      <c r="P498" s="322"/>
      <c r="Q498" s="322"/>
      <c r="R498" s="322"/>
      <c r="S498" s="322"/>
      <c r="T498" s="322"/>
      <c r="U498" s="322"/>
      <c r="V498" s="322"/>
      <c r="W498" s="322"/>
      <c r="X498" s="322"/>
      <c r="Y498" s="322"/>
      <c r="Z498" s="322"/>
    </row>
    <row r="499" ht="12.75" customHeight="1">
      <c r="A499" s="322"/>
      <c r="B499" s="322"/>
      <c r="C499" s="323"/>
      <c r="D499" s="324"/>
      <c r="E499" s="323"/>
      <c r="F499" s="324"/>
      <c r="G499" s="322"/>
      <c r="H499" s="322"/>
      <c r="I499" s="322"/>
      <c r="J499" s="322"/>
      <c r="K499" s="322"/>
      <c r="L499" s="322"/>
      <c r="M499" s="322"/>
      <c r="N499" s="322"/>
      <c r="O499" s="322"/>
      <c r="P499" s="322"/>
      <c r="Q499" s="322"/>
      <c r="R499" s="322"/>
      <c r="S499" s="322"/>
      <c r="T499" s="322"/>
      <c r="U499" s="322"/>
      <c r="V499" s="322"/>
      <c r="W499" s="322"/>
      <c r="X499" s="322"/>
      <c r="Y499" s="322"/>
      <c r="Z499" s="322"/>
    </row>
    <row r="500" ht="12.75" customHeight="1">
      <c r="A500" s="322"/>
      <c r="B500" s="322"/>
      <c r="C500" s="323"/>
      <c r="D500" s="324"/>
      <c r="E500" s="323"/>
      <c r="F500" s="324"/>
      <c r="G500" s="322"/>
      <c r="H500" s="322"/>
      <c r="I500" s="322"/>
      <c r="J500" s="322"/>
      <c r="K500" s="322"/>
      <c r="L500" s="322"/>
      <c r="M500" s="322"/>
      <c r="N500" s="322"/>
      <c r="O500" s="322"/>
      <c r="P500" s="322"/>
      <c r="Q500" s="322"/>
      <c r="R500" s="322"/>
      <c r="S500" s="322"/>
      <c r="T500" s="322"/>
      <c r="U500" s="322"/>
      <c r="V500" s="322"/>
      <c r="W500" s="322"/>
      <c r="X500" s="322"/>
      <c r="Y500" s="322"/>
      <c r="Z500" s="322"/>
    </row>
    <row r="501" ht="12.75" customHeight="1">
      <c r="A501" s="322"/>
      <c r="B501" s="322"/>
      <c r="C501" s="323"/>
      <c r="D501" s="324"/>
      <c r="E501" s="323"/>
      <c r="F501" s="324"/>
      <c r="G501" s="322"/>
      <c r="H501" s="322"/>
      <c r="I501" s="322"/>
      <c r="J501" s="322"/>
      <c r="K501" s="322"/>
      <c r="L501" s="322"/>
      <c r="M501" s="322"/>
      <c r="N501" s="322"/>
      <c r="O501" s="322"/>
      <c r="P501" s="322"/>
      <c r="Q501" s="322"/>
      <c r="R501" s="322"/>
      <c r="S501" s="322"/>
      <c r="T501" s="322"/>
      <c r="U501" s="322"/>
      <c r="V501" s="322"/>
      <c r="W501" s="322"/>
      <c r="X501" s="322"/>
      <c r="Y501" s="322"/>
      <c r="Z501" s="322"/>
    </row>
    <row r="502" ht="12.75" customHeight="1">
      <c r="A502" s="322"/>
      <c r="B502" s="322"/>
      <c r="C502" s="323"/>
      <c r="D502" s="324"/>
      <c r="E502" s="323"/>
      <c r="F502" s="324"/>
      <c r="G502" s="322"/>
      <c r="H502" s="322"/>
      <c r="I502" s="322"/>
      <c r="J502" s="322"/>
      <c r="K502" s="322"/>
      <c r="L502" s="322"/>
      <c r="M502" s="322"/>
      <c r="N502" s="322"/>
      <c r="O502" s="322"/>
      <c r="P502" s="322"/>
      <c r="Q502" s="322"/>
      <c r="R502" s="322"/>
      <c r="S502" s="322"/>
      <c r="T502" s="322"/>
      <c r="U502" s="322"/>
      <c r="V502" s="322"/>
      <c r="W502" s="322"/>
      <c r="X502" s="322"/>
      <c r="Y502" s="322"/>
      <c r="Z502" s="322"/>
    </row>
    <row r="503" ht="12.75" customHeight="1">
      <c r="A503" s="322"/>
      <c r="B503" s="322"/>
      <c r="C503" s="323"/>
      <c r="D503" s="324"/>
      <c r="E503" s="323"/>
      <c r="F503" s="324"/>
      <c r="G503" s="322"/>
      <c r="H503" s="322"/>
      <c r="I503" s="322"/>
      <c r="J503" s="322"/>
      <c r="K503" s="322"/>
      <c r="L503" s="322"/>
      <c r="M503" s="322"/>
      <c r="N503" s="322"/>
      <c r="O503" s="322"/>
      <c r="P503" s="322"/>
      <c r="Q503" s="322"/>
      <c r="R503" s="322"/>
      <c r="S503" s="322"/>
      <c r="T503" s="322"/>
      <c r="U503" s="322"/>
      <c r="V503" s="322"/>
      <c r="W503" s="322"/>
      <c r="X503" s="322"/>
      <c r="Y503" s="322"/>
      <c r="Z503" s="322"/>
    </row>
    <row r="504" ht="12.75" customHeight="1">
      <c r="A504" s="322"/>
      <c r="B504" s="322"/>
      <c r="C504" s="323"/>
      <c r="D504" s="324"/>
      <c r="E504" s="323"/>
      <c r="F504" s="324"/>
      <c r="G504" s="322"/>
      <c r="H504" s="322"/>
      <c r="I504" s="322"/>
      <c r="J504" s="322"/>
      <c r="K504" s="322"/>
      <c r="L504" s="322"/>
      <c r="M504" s="322"/>
      <c r="N504" s="322"/>
      <c r="O504" s="322"/>
      <c r="P504" s="322"/>
      <c r="Q504" s="322"/>
      <c r="R504" s="322"/>
      <c r="S504" s="322"/>
      <c r="T504" s="322"/>
      <c r="U504" s="322"/>
      <c r="V504" s="322"/>
      <c r="W504" s="322"/>
      <c r="X504" s="322"/>
      <c r="Y504" s="322"/>
      <c r="Z504" s="322"/>
    </row>
    <row r="505" ht="12.75" customHeight="1">
      <c r="A505" s="322"/>
      <c r="B505" s="322"/>
      <c r="C505" s="323"/>
      <c r="D505" s="324"/>
      <c r="E505" s="323"/>
      <c r="F505" s="324"/>
      <c r="G505" s="322"/>
      <c r="H505" s="322"/>
      <c r="I505" s="322"/>
      <c r="J505" s="322"/>
      <c r="K505" s="322"/>
      <c r="L505" s="322"/>
      <c r="M505" s="322"/>
      <c r="N505" s="322"/>
      <c r="O505" s="322"/>
      <c r="P505" s="322"/>
      <c r="Q505" s="322"/>
      <c r="R505" s="322"/>
      <c r="S505" s="322"/>
      <c r="T505" s="322"/>
      <c r="U505" s="322"/>
      <c r="V505" s="322"/>
      <c r="W505" s="322"/>
      <c r="X505" s="322"/>
      <c r="Y505" s="322"/>
      <c r="Z505" s="322"/>
    </row>
    <row r="506" ht="12.75" customHeight="1">
      <c r="A506" s="322"/>
      <c r="B506" s="322"/>
      <c r="C506" s="323"/>
      <c r="D506" s="324"/>
      <c r="E506" s="323"/>
      <c r="F506" s="324"/>
      <c r="G506" s="322"/>
      <c r="H506" s="322"/>
      <c r="I506" s="322"/>
      <c r="J506" s="322"/>
      <c r="K506" s="322"/>
      <c r="L506" s="322"/>
      <c r="M506" s="322"/>
      <c r="N506" s="322"/>
      <c r="O506" s="322"/>
      <c r="P506" s="322"/>
      <c r="Q506" s="322"/>
      <c r="R506" s="322"/>
      <c r="S506" s="322"/>
      <c r="T506" s="322"/>
      <c r="U506" s="322"/>
      <c r="V506" s="322"/>
      <c r="W506" s="322"/>
      <c r="X506" s="322"/>
      <c r="Y506" s="322"/>
      <c r="Z506" s="322"/>
    </row>
    <row r="507" ht="12.75" customHeight="1">
      <c r="A507" s="322"/>
      <c r="B507" s="322"/>
      <c r="C507" s="323"/>
      <c r="D507" s="324"/>
      <c r="E507" s="323"/>
      <c r="F507" s="324"/>
      <c r="G507" s="322"/>
      <c r="H507" s="322"/>
      <c r="I507" s="322"/>
      <c r="J507" s="322"/>
      <c r="K507" s="322"/>
      <c r="L507" s="322"/>
      <c r="M507" s="322"/>
      <c r="N507" s="322"/>
      <c r="O507" s="322"/>
      <c r="P507" s="322"/>
      <c r="Q507" s="322"/>
      <c r="R507" s="322"/>
      <c r="S507" s="322"/>
      <c r="T507" s="322"/>
      <c r="U507" s="322"/>
      <c r="V507" s="322"/>
      <c r="W507" s="322"/>
      <c r="X507" s="322"/>
      <c r="Y507" s="322"/>
      <c r="Z507" s="322"/>
    </row>
    <row r="508" ht="12.75" customHeight="1">
      <c r="A508" s="322"/>
      <c r="B508" s="322"/>
      <c r="C508" s="323"/>
      <c r="D508" s="324"/>
      <c r="E508" s="323"/>
      <c r="F508" s="324"/>
      <c r="G508" s="322"/>
      <c r="H508" s="322"/>
      <c r="I508" s="322"/>
      <c r="J508" s="322"/>
      <c r="K508" s="322"/>
      <c r="L508" s="322"/>
      <c r="M508" s="322"/>
      <c r="N508" s="322"/>
      <c r="O508" s="322"/>
      <c r="P508" s="322"/>
      <c r="Q508" s="322"/>
      <c r="R508" s="322"/>
      <c r="S508" s="322"/>
      <c r="T508" s="322"/>
      <c r="U508" s="322"/>
      <c r="V508" s="322"/>
      <c r="W508" s="322"/>
      <c r="X508" s="322"/>
      <c r="Y508" s="322"/>
      <c r="Z508" s="322"/>
    </row>
    <row r="509" ht="12.75" customHeight="1">
      <c r="A509" s="322"/>
      <c r="B509" s="322"/>
      <c r="C509" s="323"/>
      <c r="D509" s="324"/>
      <c r="E509" s="323"/>
      <c r="F509" s="324"/>
      <c r="G509" s="322"/>
      <c r="H509" s="322"/>
      <c r="I509" s="322"/>
      <c r="J509" s="322"/>
      <c r="K509" s="322"/>
      <c r="L509" s="322"/>
      <c r="M509" s="322"/>
      <c r="N509" s="322"/>
      <c r="O509" s="322"/>
      <c r="P509" s="322"/>
      <c r="Q509" s="322"/>
      <c r="R509" s="322"/>
      <c r="S509" s="322"/>
      <c r="T509" s="322"/>
      <c r="U509" s="322"/>
      <c r="V509" s="322"/>
      <c r="W509" s="322"/>
      <c r="X509" s="322"/>
      <c r="Y509" s="322"/>
      <c r="Z509" s="322"/>
    </row>
    <row r="510" ht="12.75" customHeight="1">
      <c r="A510" s="322"/>
      <c r="B510" s="322"/>
      <c r="C510" s="323"/>
      <c r="D510" s="324"/>
      <c r="E510" s="323"/>
      <c r="F510" s="324"/>
      <c r="G510" s="322"/>
      <c r="H510" s="322"/>
      <c r="I510" s="322"/>
      <c r="J510" s="322"/>
      <c r="K510" s="322"/>
      <c r="L510" s="322"/>
      <c r="M510" s="322"/>
      <c r="N510" s="322"/>
      <c r="O510" s="322"/>
      <c r="P510" s="322"/>
      <c r="Q510" s="322"/>
      <c r="R510" s="322"/>
      <c r="S510" s="322"/>
      <c r="T510" s="322"/>
      <c r="U510" s="322"/>
      <c r="V510" s="322"/>
      <c r="W510" s="322"/>
      <c r="X510" s="322"/>
      <c r="Y510" s="322"/>
      <c r="Z510" s="322"/>
    </row>
    <row r="511" ht="12.75" customHeight="1">
      <c r="A511" s="322"/>
      <c r="B511" s="322"/>
      <c r="C511" s="323"/>
      <c r="D511" s="324"/>
      <c r="E511" s="323"/>
      <c r="F511" s="324"/>
      <c r="G511" s="322"/>
      <c r="H511" s="322"/>
      <c r="I511" s="322"/>
      <c r="J511" s="322"/>
      <c r="K511" s="322"/>
      <c r="L511" s="322"/>
      <c r="M511" s="322"/>
      <c r="N511" s="322"/>
      <c r="O511" s="322"/>
      <c r="P511" s="322"/>
      <c r="Q511" s="322"/>
      <c r="R511" s="322"/>
      <c r="S511" s="322"/>
      <c r="T511" s="322"/>
      <c r="U511" s="322"/>
      <c r="V511" s="322"/>
      <c r="W511" s="322"/>
      <c r="X511" s="322"/>
      <c r="Y511" s="322"/>
      <c r="Z511" s="322"/>
    </row>
    <row r="512" ht="12.75" customHeight="1">
      <c r="A512" s="322"/>
      <c r="B512" s="322"/>
      <c r="C512" s="323"/>
      <c r="D512" s="324"/>
      <c r="E512" s="323"/>
      <c r="F512" s="324"/>
      <c r="G512" s="322"/>
      <c r="H512" s="322"/>
      <c r="I512" s="322"/>
      <c r="J512" s="322"/>
      <c r="K512" s="322"/>
      <c r="L512" s="322"/>
      <c r="M512" s="322"/>
      <c r="N512" s="322"/>
      <c r="O512" s="322"/>
      <c r="P512" s="322"/>
      <c r="Q512" s="322"/>
      <c r="R512" s="322"/>
      <c r="S512" s="322"/>
      <c r="T512" s="322"/>
      <c r="U512" s="322"/>
      <c r="V512" s="322"/>
      <c r="W512" s="322"/>
      <c r="X512" s="322"/>
      <c r="Y512" s="322"/>
      <c r="Z512" s="322"/>
    </row>
    <row r="513" ht="12.75" customHeight="1">
      <c r="A513" s="322"/>
      <c r="B513" s="322"/>
      <c r="C513" s="323"/>
      <c r="D513" s="324"/>
      <c r="E513" s="323"/>
      <c r="F513" s="324"/>
      <c r="G513" s="322"/>
      <c r="H513" s="322"/>
      <c r="I513" s="322"/>
      <c r="J513" s="322"/>
      <c r="K513" s="322"/>
      <c r="L513" s="322"/>
      <c r="M513" s="322"/>
      <c r="N513" s="322"/>
      <c r="O513" s="322"/>
      <c r="P513" s="322"/>
      <c r="Q513" s="322"/>
      <c r="R513" s="322"/>
      <c r="S513" s="322"/>
      <c r="T513" s="322"/>
      <c r="U513" s="322"/>
      <c r="V513" s="322"/>
      <c r="W513" s="322"/>
      <c r="X513" s="322"/>
      <c r="Y513" s="322"/>
      <c r="Z513" s="322"/>
    </row>
    <row r="514" ht="12.75" customHeight="1">
      <c r="A514" s="322"/>
      <c r="B514" s="322"/>
      <c r="C514" s="323"/>
      <c r="D514" s="324"/>
      <c r="E514" s="323"/>
      <c r="F514" s="324"/>
      <c r="G514" s="322"/>
      <c r="H514" s="322"/>
      <c r="I514" s="322"/>
      <c r="J514" s="322"/>
      <c r="K514" s="322"/>
      <c r="L514" s="322"/>
      <c r="M514" s="322"/>
      <c r="N514" s="322"/>
      <c r="O514" s="322"/>
      <c r="P514" s="322"/>
      <c r="Q514" s="322"/>
      <c r="R514" s="322"/>
      <c r="S514" s="322"/>
      <c r="T514" s="322"/>
      <c r="U514" s="322"/>
      <c r="V514" s="322"/>
      <c r="W514" s="322"/>
      <c r="X514" s="322"/>
      <c r="Y514" s="322"/>
      <c r="Z514" s="322"/>
    </row>
    <row r="515" ht="12.75" customHeight="1">
      <c r="A515" s="322"/>
      <c r="B515" s="322"/>
      <c r="C515" s="323"/>
      <c r="D515" s="324"/>
      <c r="E515" s="323"/>
      <c r="F515" s="324"/>
      <c r="G515" s="322"/>
      <c r="H515" s="322"/>
      <c r="I515" s="322"/>
      <c r="J515" s="322"/>
      <c r="K515" s="322"/>
      <c r="L515" s="322"/>
      <c r="M515" s="322"/>
      <c r="N515" s="322"/>
      <c r="O515" s="322"/>
      <c r="P515" s="322"/>
      <c r="Q515" s="322"/>
      <c r="R515" s="322"/>
      <c r="S515" s="322"/>
      <c r="T515" s="322"/>
      <c r="U515" s="322"/>
      <c r="V515" s="322"/>
      <c r="W515" s="322"/>
      <c r="X515" s="322"/>
      <c r="Y515" s="322"/>
      <c r="Z515" s="322"/>
    </row>
    <row r="516" ht="12.75" customHeight="1">
      <c r="A516" s="322"/>
      <c r="B516" s="322"/>
      <c r="C516" s="323"/>
      <c r="D516" s="324"/>
      <c r="E516" s="323"/>
      <c r="F516" s="324"/>
      <c r="G516" s="322"/>
      <c r="H516" s="322"/>
      <c r="I516" s="322"/>
      <c r="J516" s="322"/>
      <c r="K516" s="322"/>
      <c r="L516" s="322"/>
      <c r="M516" s="322"/>
      <c r="N516" s="322"/>
      <c r="O516" s="322"/>
      <c r="P516" s="322"/>
      <c r="Q516" s="322"/>
      <c r="R516" s="322"/>
      <c r="S516" s="322"/>
      <c r="T516" s="322"/>
      <c r="U516" s="322"/>
      <c r="V516" s="322"/>
      <c r="W516" s="322"/>
      <c r="X516" s="322"/>
      <c r="Y516" s="322"/>
      <c r="Z516" s="322"/>
    </row>
    <row r="517" ht="12.75" customHeight="1">
      <c r="A517" s="322"/>
      <c r="B517" s="322"/>
      <c r="C517" s="323"/>
      <c r="D517" s="324"/>
      <c r="E517" s="323"/>
      <c r="F517" s="324"/>
      <c r="G517" s="322"/>
      <c r="H517" s="322"/>
      <c r="I517" s="322"/>
      <c r="J517" s="322"/>
      <c r="K517" s="322"/>
      <c r="L517" s="322"/>
      <c r="M517" s="322"/>
      <c r="N517" s="322"/>
      <c r="O517" s="322"/>
      <c r="P517" s="322"/>
      <c r="Q517" s="322"/>
      <c r="R517" s="322"/>
      <c r="S517" s="322"/>
      <c r="T517" s="322"/>
      <c r="U517" s="322"/>
      <c r="V517" s="322"/>
      <c r="W517" s="322"/>
      <c r="X517" s="322"/>
      <c r="Y517" s="322"/>
      <c r="Z517" s="322"/>
    </row>
    <row r="518" ht="12.75" customHeight="1">
      <c r="A518" s="322"/>
      <c r="B518" s="322"/>
      <c r="C518" s="323"/>
      <c r="D518" s="324"/>
      <c r="E518" s="323"/>
      <c r="F518" s="324"/>
      <c r="G518" s="322"/>
      <c r="H518" s="322"/>
      <c r="I518" s="322"/>
      <c r="J518" s="322"/>
      <c r="K518" s="322"/>
      <c r="L518" s="322"/>
      <c r="M518" s="322"/>
      <c r="N518" s="322"/>
      <c r="O518" s="322"/>
      <c r="P518" s="322"/>
      <c r="Q518" s="322"/>
      <c r="R518" s="322"/>
      <c r="S518" s="322"/>
      <c r="T518" s="322"/>
      <c r="U518" s="322"/>
      <c r="V518" s="322"/>
      <c r="W518" s="322"/>
      <c r="X518" s="322"/>
      <c r="Y518" s="322"/>
      <c r="Z518" s="322"/>
    </row>
    <row r="519" ht="12.75" customHeight="1">
      <c r="A519" s="322"/>
      <c r="B519" s="322"/>
      <c r="C519" s="323"/>
      <c r="D519" s="324"/>
      <c r="E519" s="323"/>
      <c r="F519" s="324"/>
      <c r="G519" s="322"/>
      <c r="H519" s="322"/>
      <c r="I519" s="322"/>
      <c r="J519" s="322"/>
      <c r="K519" s="322"/>
      <c r="L519" s="322"/>
      <c r="M519" s="322"/>
      <c r="N519" s="322"/>
      <c r="O519" s="322"/>
      <c r="P519" s="322"/>
      <c r="Q519" s="322"/>
      <c r="R519" s="322"/>
      <c r="S519" s="322"/>
      <c r="T519" s="322"/>
      <c r="U519" s="322"/>
      <c r="V519" s="322"/>
      <c r="W519" s="322"/>
      <c r="X519" s="322"/>
      <c r="Y519" s="322"/>
      <c r="Z519" s="322"/>
    </row>
    <row r="520" ht="12.75" customHeight="1">
      <c r="A520" s="322"/>
      <c r="B520" s="322"/>
      <c r="C520" s="323"/>
      <c r="D520" s="324"/>
      <c r="E520" s="323"/>
      <c r="F520" s="324"/>
      <c r="G520" s="322"/>
      <c r="H520" s="322"/>
      <c r="I520" s="322"/>
      <c r="J520" s="322"/>
      <c r="K520" s="322"/>
      <c r="L520" s="322"/>
      <c r="M520" s="322"/>
      <c r="N520" s="322"/>
      <c r="O520" s="322"/>
      <c r="P520" s="322"/>
      <c r="Q520" s="322"/>
      <c r="R520" s="322"/>
      <c r="S520" s="322"/>
      <c r="T520" s="322"/>
      <c r="U520" s="322"/>
      <c r="V520" s="322"/>
      <c r="W520" s="322"/>
      <c r="X520" s="322"/>
      <c r="Y520" s="322"/>
      <c r="Z520" s="322"/>
    </row>
    <row r="521" ht="12.75" customHeight="1">
      <c r="A521" s="322"/>
      <c r="B521" s="322"/>
      <c r="C521" s="323"/>
      <c r="D521" s="324"/>
      <c r="E521" s="323"/>
      <c r="F521" s="324"/>
      <c r="G521" s="322"/>
      <c r="H521" s="322"/>
      <c r="I521" s="322"/>
      <c r="J521" s="322"/>
      <c r="K521" s="322"/>
      <c r="L521" s="322"/>
      <c r="M521" s="322"/>
      <c r="N521" s="322"/>
      <c r="O521" s="322"/>
      <c r="P521" s="322"/>
      <c r="Q521" s="322"/>
      <c r="R521" s="322"/>
      <c r="S521" s="322"/>
      <c r="T521" s="322"/>
      <c r="U521" s="322"/>
      <c r="V521" s="322"/>
      <c r="W521" s="322"/>
      <c r="X521" s="322"/>
      <c r="Y521" s="322"/>
      <c r="Z521" s="322"/>
    </row>
    <row r="522" ht="12.75" customHeight="1">
      <c r="A522" s="322"/>
      <c r="B522" s="322"/>
      <c r="C522" s="323"/>
      <c r="D522" s="324"/>
      <c r="E522" s="323"/>
      <c r="F522" s="324"/>
      <c r="G522" s="322"/>
      <c r="H522" s="322"/>
      <c r="I522" s="322"/>
      <c r="J522" s="322"/>
      <c r="K522" s="322"/>
      <c r="L522" s="322"/>
      <c r="M522" s="322"/>
      <c r="N522" s="322"/>
      <c r="O522" s="322"/>
      <c r="P522" s="322"/>
      <c r="Q522" s="322"/>
      <c r="R522" s="322"/>
      <c r="S522" s="322"/>
      <c r="T522" s="322"/>
      <c r="U522" s="322"/>
      <c r="V522" s="322"/>
      <c r="W522" s="322"/>
      <c r="X522" s="322"/>
      <c r="Y522" s="322"/>
      <c r="Z522" s="322"/>
    </row>
    <row r="523" ht="12.75" customHeight="1">
      <c r="A523" s="322"/>
      <c r="B523" s="322"/>
      <c r="C523" s="323"/>
      <c r="D523" s="324"/>
      <c r="E523" s="323"/>
      <c r="F523" s="324"/>
      <c r="G523" s="322"/>
      <c r="H523" s="322"/>
      <c r="I523" s="322"/>
      <c r="J523" s="322"/>
      <c r="K523" s="322"/>
      <c r="L523" s="322"/>
      <c r="M523" s="322"/>
      <c r="N523" s="322"/>
      <c r="O523" s="322"/>
      <c r="P523" s="322"/>
      <c r="Q523" s="322"/>
      <c r="R523" s="322"/>
      <c r="S523" s="322"/>
      <c r="T523" s="322"/>
      <c r="U523" s="322"/>
      <c r="V523" s="322"/>
      <c r="W523" s="322"/>
      <c r="X523" s="322"/>
      <c r="Y523" s="322"/>
      <c r="Z523" s="322"/>
    </row>
    <row r="524" ht="12.75" customHeight="1">
      <c r="A524" s="322"/>
      <c r="B524" s="322"/>
      <c r="C524" s="323"/>
      <c r="D524" s="324"/>
      <c r="E524" s="323"/>
      <c r="F524" s="324"/>
      <c r="G524" s="322"/>
      <c r="H524" s="322"/>
      <c r="I524" s="322"/>
      <c r="J524" s="322"/>
      <c r="K524" s="322"/>
      <c r="L524" s="322"/>
      <c r="M524" s="322"/>
      <c r="N524" s="322"/>
      <c r="O524" s="322"/>
      <c r="P524" s="322"/>
      <c r="Q524" s="322"/>
      <c r="R524" s="322"/>
      <c r="S524" s="322"/>
      <c r="T524" s="322"/>
      <c r="U524" s="322"/>
      <c r="V524" s="322"/>
      <c r="W524" s="322"/>
      <c r="X524" s="322"/>
      <c r="Y524" s="322"/>
      <c r="Z524" s="322"/>
    </row>
    <row r="525" ht="12.75" customHeight="1">
      <c r="A525" s="322"/>
      <c r="B525" s="322"/>
      <c r="C525" s="323"/>
      <c r="D525" s="324"/>
      <c r="E525" s="323"/>
      <c r="F525" s="324"/>
      <c r="G525" s="322"/>
      <c r="H525" s="322"/>
      <c r="I525" s="322"/>
      <c r="J525" s="322"/>
      <c r="K525" s="322"/>
      <c r="L525" s="322"/>
      <c r="M525" s="322"/>
      <c r="N525" s="322"/>
      <c r="O525" s="322"/>
      <c r="P525" s="322"/>
      <c r="Q525" s="322"/>
      <c r="R525" s="322"/>
      <c r="S525" s="322"/>
      <c r="T525" s="322"/>
      <c r="U525" s="322"/>
      <c r="V525" s="322"/>
      <c r="W525" s="322"/>
      <c r="X525" s="322"/>
      <c r="Y525" s="322"/>
      <c r="Z525" s="322"/>
    </row>
    <row r="526" ht="12.75" customHeight="1">
      <c r="A526" s="322"/>
      <c r="B526" s="322"/>
      <c r="C526" s="323"/>
      <c r="D526" s="324"/>
      <c r="E526" s="323"/>
      <c r="F526" s="324"/>
      <c r="G526" s="322"/>
      <c r="H526" s="322"/>
      <c r="I526" s="322"/>
      <c r="J526" s="322"/>
      <c r="K526" s="322"/>
      <c r="L526" s="322"/>
      <c r="M526" s="322"/>
      <c r="N526" s="322"/>
      <c r="O526" s="322"/>
      <c r="P526" s="322"/>
      <c r="Q526" s="322"/>
      <c r="R526" s="322"/>
      <c r="S526" s="322"/>
      <c r="T526" s="322"/>
      <c r="U526" s="322"/>
      <c r="V526" s="322"/>
      <c r="W526" s="322"/>
      <c r="X526" s="322"/>
      <c r="Y526" s="322"/>
      <c r="Z526" s="322"/>
    </row>
    <row r="527" ht="12.75" customHeight="1">
      <c r="A527" s="322"/>
      <c r="B527" s="322"/>
      <c r="C527" s="323"/>
      <c r="D527" s="324"/>
      <c r="E527" s="323"/>
      <c r="F527" s="324"/>
      <c r="G527" s="322"/>
      <c r="H527" s="322"/>
      <c r="I527" s="322"/>
      <c r="J527" s="322"/>
      <c r="K527" s="322"/>
      <c r="L527" s="322"/>
      <c r="M527" s="322"/>
      <c r="N527" s="322"/>
      <c r="O527" s="322"/>
      <c r="P527" s="322"/>
      <c r="Q527" s="322"/>
      <c r="R527" s="322"/>
      <c r="S527" s="322"/>
      <c r="T527" s="322"/>
      <c r="U527" s="322"/>
      <c r="V527" s="322"/>
      <c r="W527" s="322"/>
      <c r="X527" s="322"/>
      <c r="Y527" s="322"/>
      <c r="Z527" s="322"/>
    </row>
    <row r="528" ht="12.75" customHeight="1">
      <c r="A528" s="322"/>
      <c r="B528" s="322"/>
      <c r="C528" s="323"/>
      <c r="D528" s="324"/>
      <c r="E528" s="323"/>
      <c r="F528" s="324"/>
      <c r="G528" s="322"/>
      <c r="H528" s="322"/>
      <c r="I528" s="322"/>
      <c r="J528" s="322"/>
      <c r="K528" s="322"/>
      <c r="L528" s="322"/>
      <c r="M528" s="322"/>
      <c r="N528" s="322"/>
      <c r="O528" s="322"/>
      <c r="P528" s="322"/>
      <c r="Q528" s="322"/>
      <c r="R528" s="322"/>
      <c r="S528" s="322"/>
      <c r="T528" s="322"/>
      <c r="U528" s="322"/>
      <c r="V528" s="322"/>
      <c r="W528" s="322"/>
      <c r="X528" s="322"/>
      <c r="Y528" s="322"/>
      <c r="Z528" s="322"/>
    </row>
    <row r="529" ht="12.75" customHeight="1">
      <c r="A529" s="322"/>
      <c r="B529" s="322"/>
      <c r="C529" s="323"/>
      <c r="D529" s="324"/>
      <c r="E529" s="323"/>
      <c r="F529" s="324"/>
      <c r="G529" s="322"/>
      <c r="H529" s="322"/>
      <c r="I529" s="322"/>
      <c r="J529" s="322"/>
      <c r="K529" s="322"/>
      <c r="L529" s="322"/>
      <c r="M529" s="322"/>
      <c r="N529" s="322"/>
      <c r="O529" s="322"/>
      <c r="P529" s="322"/>
      <c r="Q529" s="322"/>
      <c r="R529" s="322"/>
      <c r="S529" s="322"/>
      <c r="T529" s="322"/>
      <c r="U529" s="322"/>
      <c r="V529" s="322"/>
      <c r="W529" s="322"/>
      <c r="X529" s="322"/>
      <c r="Y529" s="322"/>
      <c r="Z529" s="322"/>
    </row>
    <row r="530" ht="12.75" customHeight="1">
      <c r="A530" s="322"/>
      <c r="B530" s="322"/>
      <c r="C530" s="323"/>
      <c r="D530" s="324"/>
      <c r="E530" s="323"/>
      <c r="F530" s="324"/>
      <c r="G530" s="322"/>
      <c r="H530" s="322"/>
      <c r="I530" s="322"/>
      <c r="J530" s="322"/>
      <c r="K530" s="322"/>
      <c r="L530" s="322"/>
      <c r="M530" s="322"/>
      <c r="N530" s="322"/>
      <c r="O530" s="322"/>
      <c r="P530" s="322"/>
      <c r="Q530" s="322"/>
      <c r="R530" s="322"/>
      <c r="S530" s="322"/>
      <c r="T530" s="322"/>
      <c r="U530" s="322"/>
      <c r="V530" s="322"/>
      <c r="W530" s="322"/>
      <c r="X530" s="322"/>
      <c r="Y530" s="322"/>
      <c r="Z530" s="322"/>
    </row>
    <row r="531" ht="12.75" customHeight="1">
      <c r="A531" s="322"/>
      <c r="B531" s="322"/>
      <c r="C531" s="323"/>
      <c r="D531" s="324"/>
      <c r="E531" s="323"/>
      <c r="F531" s="324"/>
      <c r="G531" s="322"/>
      <c r="H531" s="322"/>
      <c r="I531" s="322"/>
      <c r="J531" s="322"/>
      <c r="K531" s="322"/>
      <c r="L531" s="322"/>
      <c r="M531" s="322"/>
      <c r="N531" s="322"/>
      <c r="O531" s="322"/>
      <c r="P531" s="322"/>
      <c r="Q531" s="322"/>
      <c r="R531" s="322"/>
      <c r="S531" s="322"/>
      <c r="T531" s="322"/>
      <c r="U531" s="322"/>
      <c r="V531" s="322"/>
      <c r="W531" s="322"/>
      <c r="X531" s="322"/>
      <c r="Y531" s="322"/>
      <c r="Z531" s="322"/>
    </row>
    <row r="532" ht="12.75" customHeight="1">
      <c r="A532" s="322"/>
      <c r="B532" s="322"/>
      <c r="C532" s="323"/>
      <c r="D532" s="324"/>
      <c r="E532" s="323"/>
      <c r="F532" s="324"/>
      <c r="G532" s="322"/>
      <c r="H532" s="322"/>
      <c r="I532" s="322"/>
      <c r="J532" s="322"/>
      <c r="K532" s="322"/>
      <c r="L532" s="322"/>
      <c r="M532" s="322"/>
      <c r="N532" s="322"/>
      <c r="O532" s="322"/>
      <c r="P532" s="322"/>
      <c r="Q532" s="322"/>
      <c r="R532" s="322"/>
      <c r="S532" s="322"/>
      <c r="T532" s="322"/>
      <c r="U532" s="322"/>
      <c r="V532" s="322"/>
      <c r="W532" s="322"/>
      <c r="X532" s="322"/>
      <c r="Y532" s="322"/>
      <c r="Z532" s="322"/>
    </row>
    <row r="533" ht="12.75" customHeight="1">
      <c r="A533" s="322"/>
      <c r="B533" s="322"/>
      <c r="C533" s="323"/>
      <c r="D533" s="324"/>
      <c r="E533" s="323"/>
      <c r="F533" s="324"/>
      <c r="G533" s="322"/>
      <c r="H533" s="322"/>
      <c r="I533" s="322"/>
      <c r="J533" s="322"/>
      <c r="K533" s="322"/>
      <c r="L533" s="322"/>
      <c r="M533" s="322"/>
      <c r="N533" s="322"/>
      <c r="O533" s="322"/>
      <c r="P533" s="322"/>
      <c r="Q533" s="322"/>
      <c r="R533" s="322"/>
      <c r="S533" s="322"/>
      <c r="T533" s="322"/>
      <c r="U533" s="322"/>
      <c r="V533" s="322"/>
      <c r="W533" s="322"/>
      <c r="X533" s="322"/>
      <c r="Y533" s="322"/>
      <c r="Z533" s="322"/>
    </row>
    <row r="534" ht="12.75" customHeight="1">
      <c r="A534" s="322"/>
      <c r="B534" s="322"/>
      <c r="C534" s="323"/>
      <c r="D534" s="324"/>
      <c r="E534" s="323"/>
      <c r="F534" s="324"/>
      <c r="G534" s="322"/>
      <c r="H534" s="322"/>
      <c r="I534" s="322"/>
      <c r="J534" s="322"/>
      <c r="K534" s="322"/>
      <c r="L534" s="322"/>
      <c r="M534" s="322"/>
      <c r="N534" s="322"/>
      <c r="O534" s="322"/>
      <c r="P534" s="322"/>
      <c r="Q534" s="322"/>
      <c r="R534" s="322"/>
      <c r="S534" s="322"/>
      <c r="T534" s="322"/>
      <c r="U534" s="322"/>
      <c r="V534" s="322"/>
      <c r="W534" s="322"/>
      <c r="X534" s="322"/>
      <c r="Y534" s="322"/>
      <c r="Z534" s="322"/>
    </row>
    <row r="535" ht="12.75" customHeight="1">
      <c r="A535" s="322"/>
      <c r="B535" s="322"/>
      <c r="C535" s="323"/>
      <c r="D535" s="324"/>
      <c r="E535" s="323"/>
      <c r="F535" s="324"/>
      <c r="G535" s="322"/>
      <c r="H535" s="322"/>
      <c r="I535" s="322"/>
      <c r="J535" s="322"/>
      <c r="K535" s="322"/>
      <c r="L535" s="322"/>
      <c r="M535" s="322"/>
      <c r="N535" s="322"/>
      <c r="O535" s="322"/>
      <c r="P535" s="322"/>
      <c r="Q535" s="322"/>
      <c r="R535" s="322"/>
      <c r="S535" s="322"/>
      <c r="T535" s="322"/>
      <c r="U535" s="322"/>
      <c r="V535" s="322"/>
      <c r="W535" s="322"/>
      <c r="X535" s="322"/>
      <c r="Y535" s="322"/>
      <c r="Z535" s="322"/>
    </row>
    <row r="536" ht="12.75" customHeight="1">
      <c r="A536" s="322"/>
      <c r="B536" s="322"/>
      <c r="C536" s="323"/>
      <c r="D536" s="324"/>
      <c r="E536" s="323"/>
      <c r="F536" s="324"/>
      <c r="G536" s="322"/>
      <c r="H536" s="322"/>
      <c r="I536" s="322"/>
      <c r="J536" s="322"/>
      <c r="K536" s="322"/>
      <c r="L536" s="322"/>
      <c r="M536" s="322"/>
      <c r="N536" s="322"/>
      <c r="O536" s="322"/>
      <c r="P536" s="322"/>
      <c r="Q536" s="322"/>
      <c r="R536" s="322"/>
      <c r="S536" s="322"/>
      <c r="T536" s="322"/>
      <c r="U536" s="322"/>
      <c r="V536" s="322"/>
      <c r="W536" s="322"/>
      <c r="X536" s="322"/>
      <c r="Y536" s="322"/>
      <c r="Z536" s="322"/>
    </row>
    <row r="537" ht="12.75" customHeight="1">
      <c r="A537" s="322"/>
      <c r="B537" s="322"/>
      <c r="C537" s="323"/>
      <c r="D537" s="324"/>
      <c r="E537" s="323"/>
      <c r="F537" s="324"/>
      <c r="G537" s="322"/>
      <c r="H537" s="322"/>
      <c r="I537" s="322"/>
      <c r="J537" s="322"/>
      <c r="K537" s="322"/>
      <c r="L537" s="322"/>
      <c r="M537" s="322"/>
      <c r="N537" s="322"/>
      <c r="O537" s="322"/>
      <c r="P537" s="322"/>
      <c r="Q537" s="322"/>
      <c r="R537" s="322"/>
      <c r="S537" s="322"/>
      <c r="T537" s="322"/>
      <c r="U537" s="322"/>
      <c r="V537" s="322"/>
      <c r="W537" s="322"/>
      <c r="X537" s="322"/>
      <c r="Y537" s="322"/>
      <c r="Z537" s="322"/>
    </row>
    <row r="538" ht="12.75" customHeight="1">
      <c r="A538" s="322"/>
      <c r="B538" s="322"/>
      <c r="C538" s="323"/>
      <c r="D538" s="324"/>
      <c r="E538" s="323"/>
      <c r="F538" s="324"/>
      <c r="G538" s="322"/>
      <c r="H538" s="322"/>
      <c r="I538" s="322"/>
      <c r="J538" s="322"/>
      <c r="K538" s="322"/>
      <c r="L538" s="322"/>
      <c r="M538" s="322"/>
      <c r="N538" s="322"/>
      <c r="O538" s="322"/>
      <c r="P538" s="322"/>
      <c r="Q538" s="322"/>
      <c r="R538" s="322"/>
      <c r="S538" s="322"/>
      <c r="T538" s="322"/>
      <c r="U538" s="322"/>
      <c r="V538" s="322"/>
      <c r="W538" s="322"/>
      <c r="X538" s="322"/>
      <c r="Y538" s="322"/>
      <c r="Z538" s="322"/>
    </row>
    <row r="539" ht="12.75" customHeight="1">
      <c r="A539" s="322"/>
      <c r="B539" s="322"/>
      <c r="C539" s="323"/>
      <c r="D539" s="324"/>
      <c r="E539" s="323"/>
      <c r="F539" s="324"/>
      <c r="G539" s="322"/>
      <c r="H539" s="322"/>
      <c r="I539" s="322"/>
      <c r="J539" s="322"/>
      <c r="K539" s="322"/>
      <c r="L539" s="322"/>
      <c r="M539" s="322"/>
      <c r="N539" s="322"/>
      <c r="O539" s="322"/>
      <c r="P539" s="322"/>
      <c r="Q539" s="322"/>
      <c r="R539" s="322"/>
      <c r="S539" s="322"/>
      <c r="T539" s="322"/>
      <c r="U539" s="322"/>
      <c r="V539" s="322"/>
      <c r="W539" s="322"/>
      <c r="X539" s="322"/>
      <c r="Y539" s="322"/>
      <c r="Z539" s="322"/>
    </row>
    <row r="540" ht="12.75" customHeight="1">
      <c r="A540" s="322"/>
      <c r="B540" s="322"/>
      <c r="C540" s="323"/>
      <c r="D540" s="324"/>
      <c r="E540" s="323"/>
      <c r="F540" s="324"/>
      <c r="G540" s="322"/>
      <c r="H540" s="322"/>
      <c r="I540" s="322"/>
      <c r="J540" s="322"/>
      <c r="K540" s="322"/>
      <c r="L540" s="322"/>
      <c r="M540" s="322"/>
      <c r="N540" s="322"/>
      <c r="O540" s="322"/>
      <c r="P540" s="322"/>
      <c r="Q540" s="322"/>
      <c r="R540" s="322"/>
      <c r="S540" s="322"/>
      <c r="T540" s="322"/>
      <c r="U540" s="322"/>
      <c r="V540" s="322"/>
      <c r="W540" s="322"/>
      <c r="X540" s="322"/>
      <c r="Y540" s="322"/>
      <c r="Z540" s="322"/>
    </row>
    <row r="541" ht="12.75" customHeight="1">
      <c r="A541" s="322"/>
      <c r="B541" s="322"/>
      <c r="C541" s="323"/>
      <c r="D541" s="324"/>
      <c r="E541" s="323"/>
      <c r="F541" s="324"/>
      <c r="G541" s="322"/>
      <c r="H541" s="322"/>
      <c r="I541" s="322"/>
      <c r="J541" s="322"/>
      <c r="K541" s="322"/>
      <c r="L541" s="322"/>
      <c r="M541" s="322"/>
      <c r="N541" s="322"/>
      <c r="O541" s="322"/>
      <c r="P541" s="322"/>
      <c r="Q541" s="322"/>
      <c r="R541" s="322"/>
      <c r="S541" s="322"/>
      <c r="T541" s="322"/>
      <c r="U541" s="322"/>
      <c r="V541" s="322"/>
      <c r="W541" s="322"/>
      <c r="X541" s="322"/>
      <c r="Y541" s="322"/>
      <c r="Z541" s="322"/>
    </row>
    <row r="542" ht="12.75" customHeight="1">
      <c r="A542" s="322"/>
      <c r="B542" s="322"/>
      <c r="C542" s="323"/>
      <c r="D542" s="324"/>
      <c r="E542" s="323"/>
      <c r="F542" s="324"/>
      <c r="G542" s="322"/>
      <c r="H542" s="322"/>
      <c r="I542" s="322"/>
      <c r="J542" s="322"/>
      <c r="K542" s="322"/>
      <c r="L542" s="322"/>
      <c r="M542" s="322"/>
      <c r="N542" s="322"/>
      <c r="O542" s="322"/>
      <c r="P542" s="322"/>
      <c r="Q542" s="322"/>
      <c r="R542" s="322"/>
      <c r="S542" s="322"/>
      <c r="T542" s="322"/>
      <c r="U542" s="322"/>
      <c r="V542" s="322"/>
      <c r="W542" s="322"/>
      <c r="X542" s="322"/>
      <c r="Y542" s="322"/>
      <c r="Z542" s="322"/>
    </row>
    <row r="543" ht="12.75" customHeight="1">
      <c r="A543" s="322"/>
      <c r="B543" s="322"/>
      <c r="C543" s="323"/>
      <c r="D543" s="324"/>
      <c r="E543" s="323"/>
      <c r="F543" s="324"/>
      <c r="G543" s="322"/>
      <c r="H543" s="322"/>
      <c r="I543" s="322"/>
      <c r="J543" s="322"/>
      <c r="K543" s="322"/>
      <c r="L543" s="322"/>
      <c r="M543" s="322"/>
      <c r="N543" s="322"/>
      <c r="O543" s="322"/>
      <c r="P543" s="322"/>
      <c r="Q543" s="322"/>
      <c r="R543" s="322"/>
      <c r="S543" s="322"/>
      <c r="T543" s="322"/>
      <c r="U543" s="322"/>
      <c r="V543" s="322"/>
      <c r="W543" s="322"/>
      <c r="X543" s="322"/>
      <c r="Y543" s="322"/>
      <c r="Z543" s="322"/>
    </row>
    <row r="544" ht="12.75" customHeight="1">
      <c r="A544" s="322"/>
      <c r="B544" s="322"/>
      <c r="C544" s="323"/>
      <c r="D544" s="324"/>
      <c r="E544" s="323"/>
      <c r="F544" s="324"/>
      <c r="G544" s="322"/>
      <c r="H544" s="322"/>
      <c r="I544" s="322"/>
      <c r="J544" s="322"/>
      <c r="K544" s="322"/>
      <c r="L544" s="322"/>
      <c r="M544" s="322"/>
      <c r="N544" s="322"/>
      <c r="O544" s="322"/>
      <c r="P544" s="322"/>
      <c r="Q544" s="322"/>
      <c r="R544" s="322"/>
      <c r="S544" s="322"/>
      <c r="T544" s="322"/>
      <c r="U544" s="322"/>
      <c r="V544" s="322"/>
      <c r="W544" s="322"/>
      <c r="X544" s="322"/>
      <c r="Y544" s="322"/>
      <c r="Z544" s="322"/>
    </row>
    <row r="545" ht="12.75" customHeight="1">
      <c r="A545" s="322"/>
      <c r="B545" s="322"/>
      <c r="C545" s="323"/>
      <c r="D545" s="324"/>
      <c r="E545" s="323"/>
      <c r="F545" s="324"/>
      <c r="G545" s="322"/>
      <c r="H545" s="322"/>
      <c r="I545" s="322"/>
      <c r="J545" s="322"/>
      <c r="K545" s="322"/>
      <c r="L545" s="322"/>
      <c r="M545" s="322"/>
      <c r="N545" s="322"/>
      <c r="O545" s="322"/>
      <c r="P545" s="322"/>
      <c r="Q545" s="322"/>
      <c r="R545" s="322"/>
      <c r="S545" s="322"/>
      <c r="T545" s="322"/>
      <c r="U545" s="322"/>
      <c r="V545" s="322"/>
      <c r="W545" s="322"/>
      <c r="X545" s="322"/>
      <c r="Y545" s="322"/>
      <c r="Z545" s="322"/>
    </row>
    <row r="546" ht="12.75" customHeight="1">
      <c r="A546" s="322"/>
      <c r="B546" s="322"/>
      <c r="C546" s="323"/>
      <c r="D546" s="324"/>
      <c r="E546" s="323"/>
      <c r="F546" s="324"/>
      <c r="G546" s="322"/>
      <c r="H546" s="322"/>
      <c r="I546" s="322"/>
      <c r="J546" s="322"/>
      <c r="K546" s="322"/>
      <c r="L546" s="322"/>
      <c r="M546" s="322"/>
      <c r="N546" s="322"/>
      <c r="O546" s="322"/>
      <c r="P546" s="322"/>
      <c r="Q546" s="322"/>
      <c r="R546" s="322"/>
      <c r="S546" s="322"/>
      <c r="T546" s="322"/>
      <c r="U546" s="322"/>
      <c r="V546" s="322"/>
      <c r="W546" s="322"/>
      <c r="X546" s="322"/>
      <c r="Y546" s="322"/>
      <c r="Z546" s="322"/>
    </row>
    <row r="547" ht="12.75" customHeight="1">
      <c r="A547" s="322"/>
      <c r="B547" s="322"/>
      <c r="C547" s="323"/>
      <c r="D547" s="324"/>
      <c r="E547" s="323"/>
      <c r="F547" s="324"/>
      <c r="G547" s="322"/>
      <c r="H547" s="322"/>
      <c r="I547" s="322"/>
      <c r="J547" s="322"/>
      <c r="K547" s="322"/>
      <c r="L547" s="322"/>
      <c r="M547" s="322"/>
      <c r="N547" s="322"/>
      <c r="O547" s="322"/>
      <c r="P547" s="322"/>
      <c r="Q547" s="322"/>
      <c r="R547" s="322"/>
      <c r="S547" s="322"/>
      <c r="T547" s="322"/>
      <c r="U547" s="322"/>
      <c r="V547" s="322"/>
      <c r="W547" s="322"/>
      <c r="X547" s="322"/>
      <c r="Y547" s="322"/>
      <c r="Z547" s="322"/>
    </row>
    <row r="548" ht="12.75" customHeight="1">
      <c r="A548" s="322"/>
      <c r="B548" s="322"/>
      <c r="C548" s="323"/>
      <c r="D548" s="324"/>
      <c r="E548" s="323"/>
      <c r="F548" s="324"/>
      <c r="G548" s="322"/>
      <c r="H548" s="322"/>
      <c r="I548" s="322"/>
      <c r="J548" s="322"/>
      <c r="K548" s="322"/>
      <c r="L548" s="322"/>
      <c r="M548" s="322"/>
      <c r="N548" s="322"/>
      <c r="O548" s="322"/>
      <c r="P548" s="322"/>
      <c r="Q548" s="322"/>
      <c r="R548" s="322"/>
      <c r="S548" s="322"/>
      <c r="T548" s="322"/>
      <c r="U548" s="322"/>
      <c r="V548" s="322"/>
      <c r="W548" s="322"/>
      <c r="X548" s="322"/>
      <c r="Y548" s="322"/>
      <c r="Z548" s="322"/>
    </row>
    <row r="549" ht="12.75" customHeight="1">
      <c r="A549" s="322"/>
      <c r="B549" s="322"/>
      <c r="C549" s="323"/>
      <c r="D549" s="324"/>
      <c r="E549" s="323"/>
      <c r="F549" s="324"/>
      <c r="G549" s="322"/>
      <c r="H549" s="322"/>
      <c r="I549" s="322"/>
      <c r="J549" s="322"/>
      <c r="K549" s="322"/>
      <c r="L549" s="322"/>
      <c r="M549" s="322"/>
      <c r="N549" s="322"/>
      <c r="O549" s="322"/>
      <c r="P549" s="322"/>
      <c r="Q549" s="322"/>
      <c r="R549" s="322"/>
      <c r="S549" s="322"/>
      <c r="T549" s="322"/>
      <c r="U549" s="322"/>
      <c r="V549" s="322"/>
      <c r="W549" s="322"/>
      <c r="X549" s="322"/>
      <c r="Y549" s="322"/>
      <c r="Z549" s="322"/>
    </row>
    <row r="550" ht="12.75" customHeight="1">
      <c r="A550" s="322"/>
      <c r="B550" s="322"/>
      <c r="C550" s="323"/>
      <c r="D550" s="324"/>
      <c r="E550" s="323"/>
      <c r="F550" s="324"/>
      <c r="G550" s="322"/>
      <c r="H550" s="322"/>
      <c r="I550" s="322"/>
      <c r="J550" s="322"/>
      <c r="K550" s="322"/>
      <c r="L550" s="322"/>
      <c r="M550" s="322"/>
      <c r="N550" s="322"/>
      <c r="O550" s="322"/>
      <c r="P550" s="322"/>
      <c r="Q550" s="322"/>
      <c r="R550" s="322"/>
      <c r="S550" s="322"/>
      <c r="T550" s="322"/>
      <c r="U550" s="322"/>
      <c r="V550" s="322"/>
      <c r="W550" s="322"/>
      <c r="X550" s="322"/>
      <c r="Y550" s="322"/>
      <c r="Z550" s="322"/>
    </row>
    <row r="551" ht="12.75" customHeight="1">
      <c r="A551" s="322"/>
      <c r="B551" s="322"/>
      <c r="C551" s="323"/>
      <c r="D551" s="324"/>
      <c r="E551" s="323"/>
      <c r="F551" s="324"/>
      <c r="G551" s="322"/>
      <c r="H551" s="322"/>
      <c r="I551" s="322"/>
      <c r="J551" s="322"/>
      <c r="K551" s="322"/>
      <c r="L551" s="322"/>
      <c r="M551" s="322"/>
      <c r="N551" s="322"/>
      <c r="O551" s="322"/>
      <c r="P551" s="322"/>
      <c r="Q551" s="322"/>
      <c r="R551" s="322"/>
      <c r="S551" s="322"/>
      <c r="T551" s="322"/>
      <c r="U551" s="322"/>
      <c r="V551" s="322"/>
      <c r="W551" s="322"/>
      <c r="X551" s="322"/>
      <c r="Y551" s="322"/>
      <c r="Z551" s="322"/>
    </row>
    <row r="552" ht="12.75" customHeight="1">
      <c r="A552" s="322"/>
      <c r="B552" s="322"/>
      <c r="C552" s="323"/>
      <c r="D552" s="324"/>
      <c r="E552" s="323"/>
      <c r="F552" s="324"/>
      <c r="G552" s="322"/>
      <c r="H552" s="322"/>
      <c r="I552" s="322"/>
      <c r="J552" s="322"/>
      <c r="K552" s="322"/>
      <c r="L552" s="322"/>
      <c r="M552" s="322"/>
      <c r="N552" s="322"/>
      <c r="O552" s="322"/>
      <c r="P552" s="322"/>
      <c r="Q552" s="322"/>
      <c r="R552" s="322"/>
      <c r="S552" s="322"/>
      <c r="T552" s="322"/>
      <c r="U552" s="322"/>
      <c r="V552" s="322"/>
      <c r="W552" s="322"/>
      <c r="X552" s="322"/>
      <c r="Y552" s="322"/>
      <c r="Z552" s="322"/>
    </row>
    <row r="553" ht="12.75" customHeight="1">
      <c r="A553" s="322"/>
      <c r="B553" s="322"/>
      <c r="C553" s="323"/>
      <c r="D553" s="324"/>
      <c r="E553" s="323"/>
      <c r="F553" s="324"/>
      <c r="G553" s="322"/>
      <c r="H553" s="322"/>
      <c r="I553" s="322"/>
      <c r="J553" s="322"/>
      <c r="K553" s="322"/>
      <c r="L553" s="322"/>
      <c r="M553" s="322"/>
      <c r="N553" s="322"/>
      <c r="O553" s="322"/>
      <c r="P553" s="322"/>
      <c r="Q553" s="322"/>
      <c r="R553" s="322"/>
      <c r="S553" s="322"/>
      <c r="T553" s="322"/>
      <c r="U553" s="322"/>
      <c r="V553" s="322"/>
      <c r="W553" s="322"/>
      <c r="X553" s="322"/>
      <c r="Y553" s="322"/>
      <c r="Z553" s="322"/>
    </row>
    <row r="554" ht="12.75" customHeight="1">
      <c r="A554" s="322"/>
      <c r="B554" s="322"/>
      <c r="C554" s="323"/>
      <c r="D554" s="324"/>
      <c r="E554" s="323"/>
      <c r="F554" s="324"/>
      <c r="G554" s="322"/>
      <c r="H554" s="322"/>
      <c r="I554" s="322"/>
      <c r="J554" s="322"/>
      <c r="K554" s="322"/>
      <c r="L554" s="322"/>
      <c r="M554" s="322"/>
      <c r="N554" s="322"/>
      <c r="O554" s="322"/>
      <c r="P554" s="322"/>
      <c r="Q554" s="322"/>
      <c r="R554" s="322"/>
      <c r="S554" s="322"/>
      <c r="T554" s="322"/>
      <c r="U554" s="322"/>
      <c r="V554" s="322"/>
      <c r="W554" s="322"/>
      <c r="X554" s="322"/>
      <c r="Y554" s="322"/>
      <c r="Z554" s="322"/>
    </row>
    <row r="555" ht="12.75" customHeight="1">
      <c r="A555" s="322"/>
      <c r="B555" s="322"/>
      <c r="C555" s="323"/>
      <c r="D555" s="324"/>
      <c r="E555" s="323"/>
      <c r="F555" s="324"/>
      <c r="G555" s="322"/>
      <c r="H555" s="322"/>
      <c r="I555" s="322"/>
      <c r="J555" s="322"/>
      <c r="K555" s="322"/>
      <c r="L555" s="322"/>
      <c r="M555" s="322"/>
      <c r="N555" s="322"/>
      <c r="O555" s="322"/>
      <c r="P555" s="322"/>
      <c r="Q555" s="322"/>
      <c r="R555" s="322"/>
      <c r="S555" s="322"/>
      <c r="T555" s="322"/>
      <c r="U555" s="322"/>
      <c r="V555" s="322"/>
      <c r="W555" s="322"/>
      <c r="X555" s="322"/>
      <c r="Y555" s="322"/>
      <c r="Z555" s="322"/>
    </row>
    <row r="556" ht="12.75" customHeight="1">
      <c r="A556" s="322"/>
      <c r="B556" s="322"/>
      <c r="C556" s="323"/>
      <c r="D556" s="324"/>
      <c r="E556" s="323"/>
      <c r="F556" s="324"/>
      <c r="G556" s="322"/>
      <c r="H556" s="322"/>
      <c r="I556" s="322"/>
      <c r="J556" s="322"/>
      <c r="K556" s="322"/>
      <c r="L556" s="322"/>
      <c r="M556" s="322"/>
      <c r="N556" s="322"/>
      <c r="O556" s="322"/>
      <c r="P556" s="322"/>
      <c r="Q556" s="322"/>
      <c r="R556" s="322"/>
      <c r="S556" s="322"/>
      <c r="T556" s="322"/>
      <c r="U556" s="322"/>
      <c r="V556" s="322"/>
      <c r="W556" s="322"/>
      <c r="X556" s="322"/>
      <c r="Y556" s="322"/>
      <c r="Z556" s="322"/>
    </row>
    <row r="557" ht="12.75" customHeight="1">
      <c r="A557" s="322"/>
      <c r="B557" s="322"/>
      <c r="C557" s="323"/>
      <c r="D557" s="324"/>
      <c r="E557" s="323"/>
      <c r="F557" s="324"/>
      <c r="G557" s="322"/>
      <c r="H557" s="322"/>
      <c r="I557" s="322"/>
      <c r="J557" s="322"/>
      <c r="K557" s="322"/>
      <c r="L557" s="322"/>
      <c r="M557" s="322"/>
      <c r="N557" s="322"/>
      <c r="O557" s="322"/>
      <c r="P557" s="322"/>
      <c r="Q557" s="322"/>
      <c r="R557" s="322"/>
      <c r="S557" s="322"/>
      <c r="T557" s="322"/>
      <c r="U557" s="322"/>
      <c r="V557" s="322"/>
      <c r="W557" s="322"/>
      <c r="X557" s="322"/>
      <c r="Y557" s="322"/>
      <c r="Z557" s="322"/>
    </row>
    <row r="558" ht="12.75" customHeight="1">
      <c r="A558" s="322"/>
      <c r="B558" s="322"/>
      <c r="C558" s="323"/>
      <c r="D558" s="324"/>
      <c r="E558" s="323"/>
      <c r="F558" s="324"/>
      <c r="G558" s="322"/>
      <c r="H558" s="322"/>
      <c r="I558" s="322"/>
      <c r="J558" s="322"/>
      <c r="K558" s="322"/>
      <c r="L558" s="322"/>
      <c r="M558" s="322"/>
      <c r="N558" s="322"/>
      <c r="O558" s="322"/>
      <c r="P558" s="322"/>
      <c r="Q558" s="322"/>
      <c r="R558" s="322"/>
      <c r="S558" s="322"/>
      <c r="T558" s="322"/>
      <c r="U558" s="322"/>
      <c r="V558" s="322"/>
      <c r="W558" s="322"/>
      <c r="X558" s="322"/>
      <c r="Y558" s="322"/>
      <c r="Z558" s="322"/>
    </row>
    <row r="559" ht="12.75" customHeight="1">
      <c r="A559" s="322"/>
      <c r="B559" s="322"/>
      <c r="C559" s="323"/>
      <c r="D559" s="324"/>
      <c r="E559" s="323"/>
      <c r="F559" s="324"/>
      <c r="G559" s="322"/>
      <c r="H559" s="322"/>
      <c r="I559" s="322"/>
      <c r="J559" s="322"/>
      <c r="K559" s="322"/>
      <c r="L559" s="322"/>
      <c r="M559" s="322"/>
      <c r="N559" s="322"/>
      <c r="O559" s="322"/>
      <c r="P559" s="322"/>
      <c r="Q559" s="322"/>
      <c r="R559" s="322"/>
      <c r="S559" s="322"/>
      <c r="T559" s="322"/>
      <c r="U559" s="322"/>
      <c r="V559" s="322"/>
      <c r="W559" s="322"/>
      <c r="X559" s="322"/>
      <c r="Y559" s="322"/>
      <c r="Z559" s="322"/>
    </row>
    <row r="560" ht="12.75" customHeight="1">
      <c r="A560" s="322"/>
      <c r="B560" s="322"/>
      <c r="C560" s="323"/>
      <c r="D560" s="324"/>
      <c r="E560" s="323"/>
      <c r="F560" s="324"/>
      <c r="G560" s="322"/>
      <c r="H560" s="322"/>
      <c r="I560" s="322"/>
      <c r="J560" s="322"/>
      <c r="K560" s="322"/>
      <c r="L560" s="322"/>
      <c r="M560" s="322"/>
      <c r="N560" s="322"/>
      <c r="O560" s="322"/>
      <c r="P560" s="322"/>
      <c r="Q560" s="322"/>
      <c r="R560" s="322"/>
      <c r="S560" s="322"/>
      <c r="T560" s="322"/>
      <c r="U560" s="322"/>
      <c r="V560" s="322"/>
      <c r="W560" s="322"/>
      <c r="X560" s="322"/>
      <c r="Y560" s="322"/>
      <c r="Z560" s="322"/>
    </row>
    <row r="561" ht="12.75" customHeight="1">
      <c r="A561" s="322"/>
      <c r="B561" s="322"/>
      <c r="C561" s="323"/>
      <c r="D561" s="324"/>
      <c r="E561" s="323"/>
      <c r="F561" s="324"/>
      <c r="G561" s="322"/>
      <c r="H561" s="322"/>
      <c r="I561" s="322"/>
      <c r="J561" s="322"/>
      <c r="K561" s="322"/>
      <c r="L561" s="322"/>
      <c r="M561" s="322"/>
      <c r="N561" s="322"/>
      <c r="O561" s="322"/>
      <c r="P561" s="322"/>
      <c r="Q561" s="322"/>
      <c r="R561" s="322"/>
      <c r="S561" s="322"/>
      <c r="T561" s="322"/>
      <c r="U561" s="322"/>
      <c r="V561" s="322"/>
      <c r="W561" s="322"/>
      <c r="X561" s="322"/>
      <c r="Y561" s="322"/>
      <c r="Z561" s="322"/>
    </row>
    <row r="562" ht="12.75" customHeight="1">
      <c r="A562" s="322"/>
      <c r="B562" s="322"/>
      <c r="C562" s="323"/>
      <c r="D562" s="324"/>
      <c r="E562" s="323"/>
      <c r="F562" s="324"/>
      <c r="G562" s="322"/>
      <c r="H562" s="322"/>
      <c r="I562" s="322"/>
      <c r="J562" s="322"/>
      <c r="K562" s="322"/>
      <c r="L562" s="322"/>
      <c r="M562" s="322"/>
      <c r="N562" s="322"/>
      <c r="O562" s="322"/>
      <c r="P562" s="322"/>
      <c r="Q562" s="322"/>
      <c r="R562" s="322"/>
      <c r="S562" s="322"/>
      <c r="T562" s="322"/>
      <c r="U562" s="322"/>
      <c r="V562" s="322"/>
      <c r="W562" s="322"/>
      <c r="X562" s="322"/>
      <c r="Y562" s="322"/>
      <c r="Z562" s="322"/>
    </row>
    <row r="563" ht="12.75" customHeight="1">
      <c r="A563" s="322"/>
      <c r="B563" s="322"/>
      <c r="C563" s="323"/>
      <c r="D563" s="324"/>
      <c r="E563" s="323"/>
      <c r="F563" s="324"/>
      <c r="G563" s="322"/>
      <c r="H563" s="322"/>
      <c r="I563" s="322"/>
      <c r="J563" s="322"/>
      <c r="K563" s="322"/>
      <c r="L563" s="322"/>
      <c r="M563" s="322"/>
      <c r="N563" s="322"/>
      <c r="O563" s="322"/>
      <c r="P563" s="322"/>
      <c r="Q563" s="322"/>
      <c r="R563" s="322"/>
      <c r="S563" s="322"/>
      <c r="T563" s="322"/>
      <c r="U563" s="322"/>
      <c r="V563" s="322"/>
      <c r="W563" s="322"/>
      <c r="X563" s="322"/>
      <c r="Y563" s="322"/>
      <c r="Z563" s="322"/>
    </row>
    <row r="564" ht="12.75" customHeight="1">
      <c r="A564" s="322"/>
      <c r="B564" s="322"/>
      <c r="C564" s="323"/>
      <c r="D564" s="324"/>
      <c r="E564" s="323"/>
      <c r="F564" s="324"/>
      <c r="G564" s="322"/>
      <c r="H564" s="322"/>
      <c r="I564" s="322"/>
      <c r="J564" s="322"/>
      <c r="K564" s="322"/>
      <c r="L564" s="322"/>
      <c r="M564" s="322"/>
      <c r="N564" s="322"/>
      <c r="O564" s="322"/>
      <c r="P564" s="322"/>
      <c r="Q564" s="322"/>
      <c r="R564" s="322"/>
      <c r="S564" s="322"/>
      <c r="T564" s="322"/>
      <c r="U564" s="322"/>
      <c r="V564" s="322"/>
      <c r="W564" s="322"/>
      <c r="X564" s="322"/>
      <c r="Y564" s="322"/>
      <c r="Z564" s="322"/>
    </row>
    <row r="565" ht="12.75" customHeight="1">
      <c r="A565" s="322"/>
      <c r="B565" s="322"/>
      <c r="C565" s="323"/>
      <c r="D565" s="324"/>
      <c r="E565" s="323"/>
      <c r="F565" s="324"/>
      <c r="G565" s="322"/>
      <c r="H565" s="322"/>
      <c r="I565" s="322"/>
      <c r="J565" s="322"/>
      <c r="K565" s="322"/>
      <c r="L565" s="322"/>
      <c r="M565" s="322"/>
      <c r="N565" s="322"/>
      <c r="O565" s="322"/>
      <c r="P565" s="322"/>
      <c r="Q565" s="322"/>
      <c r="R565" s="322"/>
      <c r="S565" s="322"/>
      <c r="T565" s="322"/>
      <c r="U565" s="322"/>
      <c r="V565" s="322"/>
      <c r="W565" s="322"/>
      <c r="X565" s="322"/>
      <c r="Y565" s="322"/>
      <c r="Z565" s="322"/>
    </row>
    <row r="566" ht="12.75" customHeight="1">
      <c r="A566" s="322"/>
      <c r="B566" s="322"/>
      <c r="C566" s="323"/>
      <c r="D566" s="324"/>
      <c r="E566" s="323"/>
      <c r="F566" s="324"/>
      <c r="G566" s="322"/>
      <c r="H566" s="322"/>
      <c r="I566" s="322"/>
      <c r="J566" s="322"/>
      <c r="K566" s="322"/>
      <c r="L566" s="322"/>
      <c r="M566" s="322"/>
      <c r="N566" s="322"/>
      <c r="O566" s="322"/>
      <c r="P566" s="322"/>
      <c r="Q566" s="322"/>
      <c r="R566" s="322"/>
      <c r="S566" s="322"/>
      <c r="T566" s="322"/>
      <c r="U566" s="322"/>
      <c r="V566" s="322"/>
      <c r="W566" s="322"/>
      <c r="X566" s="322"/>
      <c r="Y566" s="322"/>
      <c r="Z566" s="322"/>
    </row>
    <row r="567" ht="12.75" customHeight="1">
      <c r="A567" s="322"/>
      <c r="B567" s="322"/>
      <c r="C567" s="323"/>
      <c r="D567" s="324"/>
      <c r="E567" s="323"/>
      <c r="F567" s="324"/>
      <c r="G567" s="322"/>
      <c r="H567" s="322"/>
      <c r="I567" s="322"/>
      <c r="J567" s="322"/>
      <c r="K567" s="322"/>
      <c r="L567" s="322"/>
      <c r="M567" s="322"/>
      <c r="N567" s="322"/>
      <c r="O567" s="322"/>
      <c r="P567" s="322"/>
      <c r="Q567" s="322"/>
      <c r="R567" s="322"/>
      <c r="S567" s="322"/>
      <c r="T567" s="322"/>
      <c r="U567" s="322"/>
      <c r="V567" s="322"/>
      <c r="W567" s="322"/>
      <c r="X567" s="322"/>
      <c r="Y567" s="322"/>
      <c r="Z567" s="322"/>
    </row>
    <row r="568" ht="12.75" customHeight="1">
      <c r="A568" s="322"/>
      <c r="B568" s="322"/>
      <c r="C568" s="323"/>
      <c r="D568" s="324"/>
      <c r="E568" s="323"/>
      <c r="F568" s="324"/>
      <c r="G568" s="322"/>
      <c r="H568" s="322"/>
      <c r="I568" s="322"/>
      <c r="J568" s="322"/>
      <c r="K568" s="322"/>
      <c r="L568" s="322"/>
      <c r="M568" s="322"/>
      <c r="N568" s="322"/>
      <c r="O568" s="322"/>
      <c r="P568" s="322"/>
      <c r="Q568" s="322"/>
      <c r="R568" s="322"/>
      <c r="S568" s="322"/>
      <c r="T568" s="322"/>
      <c r="U568" s="322"/>
      <c r="V568" s="322"/>
      <c r="W568" s="322"/>
      <c r="X568" s="322"/>
      <c r="Y568" s="322"/>
      <c r="Z568" s="322"/>
    </row>
    <row r="569" ht="12.75" customHeight="1">
      <c r="A569" s="322"/>
      <c r="B569" s="322"/>
      <c r="C569" s="323"/>
      <c r="D569" s="324"/>
      <c r="E569" s="323"/>
      <c r="F569" s="324"/>
      <c r="G569" s="322"/>
      <c r="H569" s="322"/>
      <c r="I569" s="322"/>
      <c r="J569" s="322"/>
      <c r="K569" s="322"/>
      <c r="L569" s="322"/>
      <c r="M569" s="322"/>
      <c r="N569" s="322"/>
      <c r="O569" s="322"/>
      <c r="P569" s="322"/>
      <c r="Q569" s="322"/>
      <c r="R569" s="322"/>
      <c r="S569" s="322"/>
      <c r="T569" s="322"/>
      <c r="U569" s="322"/>
      <c r="V569" s="322"/>
      <c r="W569" s="322"/>
      <c r="X569" s="322"/>
      <c r="Y569" s="322"/>
      <c r="Z569" s="322"/>
    </row>
    <row r="570" ht="12.75" customHeight="1">
      <c r="A570" s="322"/>
      <c r="B570" s="322"/>
      <c r="C570" s="323"/>
      <c r="D570" s="324"/>
      <c r="E570" s="323"/>
      <c r="F570" s="324"/>
      <c r="G570" s="322"/>
      <c r="H570" s="322"/>
      <c r="I570" s="322"/>
      <c r="J570" s="322"/>
      <c r="K570" s="322"/>
      <c r="L570" s="322"/>
      <c r="M570" s="322"/>
      <c r="N570" s="322"/>
      <c r="O570" s="322"/>
      <c r="P570" s="322"/>
      <c r="Q570" s="322"/>
      <c r="R570" s="322"/>
      <c r="S570" s="322"/>
      <c r="T570" s="322"/>
      <c r="U570" s="322"/>
      <c r="V570" s="322"/>
      <c r="W570" s="322"/>
      <c r="X570" s="322"/>
      <c r="Y570" s="322"/>
      <c r="Z570" s="322"/>
    </row>
    <row r="571" ht="12.75" customHeight="1">
      <c r="A571" s="322"/>
      <c r="B571" s="322"/>
      <c r="C571" s="323"/>
      <c r="D571" s="324"/>
      <c r="E571" s="323"/>
      <c r="F571" s="324"/>
      <c r="G571" s="322"/>
      <c r="H571" s="322"/>
      <c r="I571" s="322"/>
      <c r="J571" s="322"/>
      <c r="K571" s="322"/>
      <c r="L571" s="322"/>
      <c r="M571" s="322"/>
      <c r="N571" s="322"/>
      <c r="O571" s="322"/>
      <c r="P571" s="322"/>
      <c r="Q571" s="322"/>
      <c r="R571" s="322"/>
      <c r="S571" s="322"/>
      <c r="T571" s="322"/>
      <c r="U571" s="322"/>
      <c r="V571" s="322"/>
      <c r="W571" s="322"/>
      <c r="X571" s="322"/>
      <c r="Y571" s="322"/>
      <c r="Z571" s="322"/>
    </row>
    <row r="572" ht="12.75" customHeight="1">
      <c r="A572" s="322"/>
      <c r="B572" s="322"/>
      <c r="C572" s="323"/>
      <c r="D572" s="324"/>
      <c r="E572" s="323"/>
      <c r="F572" s="324"/>
      <c r="G572" s="322"/>
      <c r="H572" s="322"/>
      <c r="I572" s="322"/>
      <c r="J572" s="322"/>
      <c r="K572" s="322"/>
      <c r="L572" s="322"/>
      <c r="M572" s="322"/>
      <c r="N572" s="322"/>
      <c r="O572" s="322"/>
      <c r="P572" s="322"/>
      <c r="Q572" s="322"/>
      <c r="R572" s="322"/>
      <c r="S572" s="322"/>
      <c r="T572" s="322"/>
      <c r="U572" s="322"/>
      <c r="V572" s="322"/>
      <c r="W572" s="322"/>
      <c r="X572" s="322"/>
      <c r="Y572" s="322"/>
      <c r="Z572" s="322"/>
    </row>
    <row r="573" ht="12.75" customHeight="1">
      <c r="A573" s="322"/>
      <c r="B573" s="322"/>
      <c r="C573" s="323"/>
      <c r="D573" s="324"/>
      <c r="E573" s="323"/>
      <c r="F573" s="324"/>
      <c r="G573" s="322"/>
      <c r="H573" s="322"/>
      <c r="I573" s="322"/>
      <c r="J573" s="322"/>
      <c r="K573" s="322"/>
      <c r="L573" s="322"/>
      <c r="M573" s="322"/>
      <c r="N573" s="322"/>
      <c r="O573" s="322"/>
      <c r="P573" s="322"/>
      <c r="Q573" s="322"/>
      <c r="R573" s="322"/>
      <c r="S573" s="322"/>
      <c r="T573" s="322"/>
      <c r="U573" s="322"/>
      <c r="V573" s="322"/>
      <c r="W573" s="322"/>
      <c r="X573" s="322"/>
      <c r="Y573" s="322"/>
      <c r="Z573" s="322"/>
    </row>
    <row r="574" ht="12.75" customHeight="1">
      <c r="A574" s="322"/>
      <c r="B574" s="322"/>
      <c r="C574" s="323"/>
      <c r="D574" s="324"/>
      <c r="E574" s="323"/>
      <c r="F574" s="324"/>
      <c r="G574" s="322"/>
      <c r="H574" s="322"/>
      <c r="I574" s="322"/>
      <c r="J574" s="322"/>
      <c r="K574" s="322"/>
      <c r="L574" s="322"/>
      <c r="M574" s="322"/>
      <c r="N574" s="322"/>
      <c r="O574" s="322"/>
      <c r="P574" s="322"/>
      <c r="Q574" s="322"/>
      <c r="R574" s="322"/>
      <c r="S574" s="322"/>
      <c r="T574" s="322"/>
      <c r="U574" s="322"/>
      <c r="V574" s="322"/>
      <c r="W574" s="322"/>
      <c r="X574" s="322"/>
      <c r="Y574" s="322"/>
      <c r="Z574" s="322"/>
    </row>
    <row r="575" ht="12.75" customHeight="1">
      <c r="A575" s="322"/>
      <c r="B575" s="322"/>
      <c r="C575" s="323"/>
      <c r="D575" s="324"/>
      <c r="E575" s="323"/>
      <c r="F575" s="324"/>
      <c r="G575" s="322"/>
      <c r="H575" s="322"/>
      <c r="I575" s="322"/>
      <c r="J575" s="322"/>
      <c r="K575" s="322"/>
      <c r="L575" s="322"/>
      <c r="M575" s="322"/>
      <c r="N575" s="322"/>
      <c r="O575" s="322"/>
      <c r="P575" s="322"/>
      <c r="Q575" s="322"/>
      <c r="R575" s="322"/>
      <c r="S575" s="322"/>
      <c r="T575" s="322"/>
      <c r="U575" s="322"/>
      <c r="V575" s="322"/>
      <c r="W575" s="322"/>
      <c r="X575" s="322"/>
      <c r="Y575" s="322"/>
      <c r="Z575" s="322"/>
    </row>
    <row r="576" ht="12.75" customHeight="1">
      <c r="A576" s="322"/>
      <c r="B576" s="322"/>
      <c r="C576" s="323"/>
      <c r="D576" s="324"/>
      <c r="E576" s="323"/>
      <c r="F576" s="324"/>
      <c r="G576" s="322"/>
      <c r="H576" s="322"/>
      <c r="I576" s="322"/>
      <c r="J576" s="322"/>
      <c r="K576" s="322"/>
      <c r="L576" s="322"/>
      <c r="M576" s="322"/>
      <c r="N576" s="322"/>
      <c r="O576" s="322"/>
      <c r="P576" s="322"/>
      <c r="Q576" s="322"/>
      <c r="R576" s="322"/>
      <c r="S576" s="322"/>
      <c r="T576" s="322"/>
      <c r="U576" s="322"/>
      <c r="V576" s="322"/>
      <c r="W576" s="322"/>
      <c r="X576" s="322"/>
      <c r="Y576" s="322"/>
      <c r="Z576" s="322"/>
    </row>
    <row r="577" ht="12.75" customHeight="1">
      <c r="A577" s="322"/>
      <c r="B577" s="322"/>
      <c r="C577" s="323"/>
      <c r="D577" s="324"/>
      <c r="E577" s="323"/>
      <c r="F577" s="324"/>
      <c r="G577" s="322"/>
      <c r="H577" s="322"/>
      <c r="I577" s="322"/>
      <c r="J577" s="322"/>
      <c r="K577" s="322"/>
      <c r="L577" s="322"/>
      <c r="M577" s="322"/>
      <c r="N577" s="322"/>
      <c r="O577" s="322"/>
      <c r="P577" s="322"/>
      <c r="Q577" s="322"/>
      <c r="R577" s="322"/>
      <c r="S577" s="322"/>
      <c r="T577" s="322"/>
      <c r="U577" s="322"/>
      <c r="V577" s="322"/>
      <c r="W577" s="322"/>
      <c r="X577" s="322"/>
      <c r="Y577" s="322"/>
      <c r="Z577" s="322"/>
    </row>
    <row r="578" ht="12.75" customHeight="1">
      <c r="A578" s="322"/>
      <c r="B578" s="322"/>
      <c r="C578" s="323"/>
      <c r="D578" s="324"/>
      <c r="E578" s="323"/>
      <c r="F578" s="324"/>
      <c r="G578" s="322"/>
      <c r="H578" s="322"/>
      <c r="I578" s="322"/>
      <c r="J578" s="322"/>
      <c r="K578" s="322"/>
      <c r="L578" s="322"/>
      <c r="M578" s="322"/>
      <c r="N578" s="322"/>
      <c r="O578" s="322"/>
      <c r="P578" s="322"/>
      <c r="Q578" s="322"/>
      <c r="R578" s="322"/>
      <c r="S578" s="322"/>
      <c r="T578" s="322"/>
      <c r="U578" s="322"/>
      <c r="V578" s="322"/>
      <c r="W578" s="322"/>
      <c r="X578" s="322"/>
      <c r="Y578" s="322"/>
      <c r="Z578" s="322"/>
    </row>
    <row r="579" ht="12.75" customHeight="1">
      <c r="A579" s="322"/>
      <c r="B579" s="322"/>
      <c r="C579" s="323"/>
      <c r="D579" s="324"/>
      <c r="E579" s="323"/>
      <c r="F579" s="324"/>
      <c r="G579" s="322"/>
      <c r="H579" s="322"/>
      <c r="I579" s="322"/>
      <c r="J579" s="322"/>
      <c r="K579" s="322"/>
      <c r="L579" s="322"/>
      <c r="M579" s="322"/>
      <c r="N579" s="322"/>
      <c r="O579" s="322"/>
      <c r="P579" s="322"/>
      <c r="Q579" s="322"/>
      <c r="R579" s="322"/>
      <c r="S579" s="322"/>
      <c r="T579" s="322"/>
      <c r="U579" s="322"/>
      <c r="V579" s="322"/>
      <c r="W579" s="322"/>
      <c r="X579" s="322"/>
      <c r="Y579" s="322"/>
      <c r="Z579" s="322"/>
    </row>
    <row r="580" ht="12.75" customHeight="1">
      <c r="A580" s="322"/>
      <c r="B580" s="322"/>
      <c r="C580" s="323"/>
      <c r="D580" s="324"/>
      <c r="E580" s="323"/>
      <c r="F580" s="324"/>
      <c r="G580" s="322"/>
      <c r="H580" s="322"/>
      <c r="I580" s="322"/>
      <c r="J580" s="322"/>
      <c r="K580" s="322"/>
      <c r="L580" s="322"/>
      <c r="M580" s="322"/>
      <c r="N580" s="322"/>
      <c r="O580" s="322"/>
      <c r="P580" s="322"/>
      <c r="Q580" s="322"/>
      <c r="R580" s="322"/>
      <c r="S580" s="322"/>
      <c r="T580" s="322"/>
      <c r="U580" s="322"/>
      <c r="V580" s="322"/>
      <c r="W580" s="322"/>
      <c r="X580" s="322"/>
      <c r="Y580" s="322"/>
      <c r="Z580" s="322"/>
    </row>
    <row r="581" ht="12.75" customHeight="1">
      <c r="A581" s="322"/>
      <c r="B581" s="322"/>
      <c r="C581" s="323"/>
      <c r="D581" s="324"/>
      <c r="E581" s="323"/>
      <c r="F581" s="324"/>
      <c r="G581" s="322"/>
      <c r="H581" s="322"/>
      <c r="I581" s="322"/>
      <c r="J581" s="322"/>
      <c r="K581" s="322"/>
      <c r="L581" s="322"/>
      <c r="M581" s="322"/>
      <c r="N581" s="322"/>
      <c r="O581" s="322"/>
      <c r="P581" s="322"/>
      <c r="Q581" s="322"/>
      <c r="R581" s="322"/>
      <c r="S581" s="322"/>
      <c r="T581" s="322"/>
      <c r="U581" s="322"/>
      <c r="V581" s="322"/>
      <c r="W581" s="322"/>
      <c r="X581" s="322"/>
      <c r="Y581" s="322"/>
      <c r="Z581" s="322"/>
    </row>
    <row r="582" ht="12.75" customHeight="1">
      <c r="A582" s="322"/>
      <c r="B582" s="322"/>
      <c r="C582" s="323"/>
      <c r="D582" s="324"/>
      <c r="E582" s="323"/>
      <c r="F582" s="324"/>
      <c r="G582" s="322"/>
      <c r="H582" s="322"/>
      <c r="I582" s="322"/>
      <c r="J582" s="322"/>
      <c r="K582" s="322"/>
      <c r="L582" s="322"/>
      <c r="M582" s="322"/>
      <c r="N582" s="322"/>
      <c r="O582" s="322"/>
      <c r="P582" s="322"/>
      <c r="Q582" s="322"/>
      <c r="R582" s="322"/>
      <c r="S582" s="322"/>
      <c r="T582" s="322"/>
      <c r="U582" s="322"/>
      <c r="V582" s="322"/>
      <c r="W582" s="322"/>
      <c r="X582" s="322"/>
      <c r="Y582" s="322"/>
      <c r="Z582" s="322"/>
    </row>
    <row r="583" ht="12.75" customHeight="1">
      <c r="A583" s="322"/>
      <c r="B583" s="322"/>
      <c r="C583" s="323"/>
      <c r="D583" s="324"/>
      <c r="E583" s="323"/>
      <c r="F583" s="324"/>
      <c r="G583" s="322"/>
      <c r="H583" s="322"/>
      <c r="I583" s="322"/>
      <c r="J583" s="322"/>
      <c r="K583" s="322"/>
      <c r="L583" s="322"/>
      <c r="M583" s="322"/>
      <c r="N583" s="322"/>
      <c r="O583" s="322"/>
      <c r="P583" s="322"/>
      <c r="Q583" s="322"/>
      <c r="R583" s="322"/>
      <c r="S583" s="322"/>
      <c r="T583" s="322"/>
      <c r="U583" s="322"/>
      <c r="V583" s="322"/>
      <c r="W583" s="322"/>
      <c r="X583" s="322"/>
      <c r="Y583" s="322"/>
      <c r="Z583" s="322"/>
    </row>
    <row r="584" ht="12.75" customHeight="1">
      <c r="A584" s="322"/>
      <c r="B584" s="322"/>
      <c r="C584" s="323"/>
      <c r="D584" s="324"/>
      <c r="E584" s="323"/>
      <c r="F584" s="324"/>
      <c r="G584" s="322"/>
      <c r="H584" s="322"/>
      <c r="I584" s="322"/>
      <c r="J584" s="322"/>
      <c r="K584" s="322"/>
      <c r="L584" s="322"/>
      <c r="M584" s="322"/>
      <c r="N584" s="322"/>
      <c r="O584" s="322"/>
      <c r="P584" s="322"/>
      <c r="Q584" s="322"/>
      <c r="R584" s="322"/>
      <c r="S584" s="322"/>
      <c r="T584" s="322"/>
      <c r="U584" s="322"/>
      <c r="V584" s="322"/>
      <c r="W584" s="322"/>
      <c r="X584" s="322"/>
      <c r="Y584" s="322"/>
      <c r="Z584" s="322"/>
    </row>
    <row r="585" ht="12.75" customHeight="1">
      <c r="A585" s="322"/>
      <c r="B585" s="322"/>
      <c r="C585" s="323"/>
      <c r="D585" s="324"/>
      <c r="E585" s="323"/>
      <c r="F585" s="324"/>
      <c r="G585" s="322"/>
      <c r="H585" s="322"/>
      <c r="I585" s="322"/>
      <c r="J585" s="322"/>
      <c r="K585" s="322"/>
      <c r="L585" s="322"/>
      <c r="M585" s="322"/>
      <c r="N585" s="322"/>
      <c r="O585" s="322"/>
      <c r="P585" s="322"/>
      <c r="Q585" s="322"/>
      <c r="R585" s="322"/>
      <c r="S585" s="322"/>
      <c r="T585" s="322"/>
      <c r="U585" s="322"/>
      <c r="V585" s="322"/>
      <c r="W585" s="322"/>
      <c r="X585" s="322"/>
      <c r="Y585" s="322"/>
      <c r="Z585" s="322"/>
    </row>
    <row r="586" ht="12.75" customHeight="1">
      <c r="A586" s="322"/>
      <c r="B586" s="322"/>
      <c r="C586" s="323"/>
      <c r="D586" s="324"/>
      <c r="E586" s="323"/>
      <c r="F586" s="324"/>
      <c r="G586" s="322"/>
      <c r="H586" s="322"/>
      <c r="I586" s="322"/>
      <c r="J586" s="322"/>
      <c r="K586" s="322"/>
      <c r="L586" s="322"/>
      <c r="M586" s="322"/>
      <c r="N586" s="322"/>
      <c r="O586" s="322"/>
      <c r="P586" s="322"/>
      <c r="Q586" s="322"/>
      <c r="R586" s="322"/>
      <c r="S586" s="322"/>
      <c r="T586" s="322"/>
      <c r="U586" s="322"/>
      <c r="V586" s="322"/>
      <c r="W586" s="322"/>
      <c r="X586" s="322"/>
      <c r="Y586" s="322"/>
      <c r="Z586" s="322"/>
    </row>
    <row r="587" ht="12.75" customHeight="1">
      <c r="A587" s="322"/>
      <c r="B587" s="322"/>
      <c r="C587" s="323"/>
      <c r="D587" s="324"/>
      <c r="E587" s="323"/>
      <c r="F587" s="324"/>
      <c r="G587" s="322"/>
      <c r="H587" s="322"/>
      <c r="I587" s="322"/>
      <c r="J587" s="322"/>
      <c r="K587" s="322"/>
      <c r="L587" s="322"/>
      <c r="M587" s="322"/>
      <c r="N587" s="322"/>
      <c r="O587" s="322"/>
      <c r="P587" s="322"/>
      <c r="Q587" s="322"/>
      <c r="R587" s="322"/>
      <c r="S587" s="322"/>
      <c r="T587" s="322"/>
      <c r="U587" s="322"/>
      <c r="V587" s="322"/>
      <c r="W587" s="322"/>
      <c r="X587" s="322"/>
      <c r="Y587" s="322"/>
      <c r="Z587" s="322"/>
    </row>
    <row r="588" ht="12.75" customHeight="1">
      <c r="A588" s="322"/>
      <c r="B588" s="322"/>
      <c r="C588" s="323"/>
      <c r="D588" s="324"/>
      <c r="E588" s="323"/>
      <c r="F588" s="324"/>
      <c r="G588" s="322"/>
      <c r="H588" s="322"/>
      <c r="I588" s="322"/>
      <c r="J588" s="322"/>
      <c r="K588" s="322"/>
      <c r="L588" s="322"/>
      <c r="M588" s="322"/>
      <c r="N588" s="322"/>
      <c r="O588" s="322"/>
      <c r="P588" s="322"/>
      <c r="Q588" s="322"/>
      <c r="R588" s="322"/>
      <c r="S588" s="322"/>
      <c r="T588" s="322"/>
      <c r="U588" s="322"/>
      <c r="V588" s="322"/>
      <c r="W588" s="322"/>
      <c r="X588" s="322"/>
      <c r="Y588" s="322"/>
      <c r="Z588" s="322"/>
    </row>
    <row r="589" ht="12.75" customHeight="1">
      <c r="A589" s="322"/>
      <c r="B589" s="322"/>
      <c r="C589" s="323"/>
      <c r="D589" s="324"/>
      <c r="E589" s="323"/>
      <c r="F589" s="324"/>
      <c r="G589" s="322"/>
      <c r="H589" s="322"/>
      <c r="I589" s="322"/>
      <c r="J589" s="322"/>
      <c r="K589" s="322"/>
      <c r="L589" s="322"/>
      <c r="M589" s="322"/>
      <c r="N589" s="322"/>
      <c r="O589" s="322"/>
      <c r="P589" s="322"/>
      <c r="Q589" s="322"/>
      <c r="R589" s="322"/>
      <c r="S589" s="322"/>
      <c r="T589" s="322"/>
      <c r="U589" s="322"/>
      <c r="V589" s="322"/>
      <c r="W589" s="322"/>
      <c r="X589" s="322"/>
      <c r="Y589" s="322"/>
      <c r="Z589" s="322"/>
    </row>
    <row r="590" ht="12.75" customHeight="1">
      <c r="A590" s="322"/>
      <c r="B590" s="322"/>
      <c r="C590" s="323"/>
      <c r="D590" s="324"/>
      <c r="E590" s="323"/>
      <c r="F590" s="324"/>
      <c r="G590" s="322"/>
      <c r="H590" s="322"/>
      <c r="I590" s="322"/>
      <c r="J590" s="322"/>
      <c r="K590" s="322"/>
      <c r="L590" s="322"/>
      <c r="M590" s="322"/>
      <c r="N590" s="322"/>
      <c r="O590" s="322"/>
      <c r="P590" s="322"/>
      <c r="Q590" s="322"/>
      <c r="R590" s="322"/>
      <c r="S590" s="322"/>
      <c r="T590" s="322"/>
      <c r="U590" s="322"/>
      <c r="V590" s="322"/>
      <c r="W590" s="322"/>
      <c r="X590" s="322"/>
      <c r="Y590" s="322"/>
      <c r="Z590" s="322"/>
    </row>
    <row r="591" ht="12.75" customHeight="1">
      <c r="A591" s="322"/>
      <c r="B591" s="322"/>
      <c r="C591" s="323"/>
      <c r="D591" s="324"/>
      <c r="E591" s="323"/>
      <c r="F591" s="324"/>
      <c r="G591" s="322"/>
      <c r="H591" s="322"/>
      <c r="I591" s="322"/>
      <c r="J591" s="322"/>
      <c r="K591" s="322"/>
      <c r="L591" s="322"/>
      <c r="M591" s="322"/>
      <c r="N591" s="322"/>
      <c r="O591" s="322"/>
      <c r="P591" s="322"/>
      <c r="Q591" s="322"/>
      <c r="R591" s="322"/>
      <c r="S591" s="322"/>
      <c r="T591" s="322"/>
      <c r="U591" s="322"/>
      <c r="V591" s="322"/>
      <c r="W591" s="322"/>
      <c r="X591" s="322"/>
      <c r="Y591" s="322"/>
      <c r="Z591" s="322"/>
    </row>
    <row r="592" ht="12.75" customHeight="1">
      <c r="A592" s="322"/>
      <c r="B592" s="322"/>
      <c r="C592" s="323"/>
      <c r="D592" s="324"/>
      <c r="E592" s="323"/>
      <c r="F592" s="324"/>
      <c r="G592" s="322"/>
      <c r="H592" s="322"/>
      <c r="I592" s="322"/>
      <c r="J592" s="322"/>
      <c r="K592" s="322"/>
      <c r="L592" s="322"/>
      <c r="M592" s="322"/>
      <c r="N592" s="322"/>
      <c r="O592" s="322"/>
      <c r="P592" s="322"/>
      <c r="Q592" s="322"/>
      <c r="R592" s="322"/>
      <c r="S592" s="322"/>
      <c r="T592" s="322"/>
      <c r="U592" s="322"/>
      <c r="V592" s="322"/>
      <c r="W592" s="322"/>
      <c r="X592" s="322"/>
      <c r="Y592" s="322"/>
      <c r="Z592" s="322"/>
    </row>
    <row r="593" ht="12.75" customHeight="1">
      <c r="A593" s="322"/>
      <c r="B593" s="322"/>
      <c r="C593" s="323"/>
      <c r="D593" s="324"/>
      <c r="E593" s="323"/>
      <c r="F593" s="324"/>
      <c r="G593" s="322"/>
      <c r="H593" s="322"/>
      <c r="I593" s="322"/>
      <c r="J593" s="322"/>
      <c r="K593" s="322"/>
      <c r="L593" s="322"/>
      <c r="M593" s="322"/>
      <c r="N593" s="322"/>
      <c r="O593" s="322"/>
      <c r="P593" s="322"/>
      <c r="Q593" s="322"/>
      <c r="R593" s="322"/>
      <c r="S593" s="322"/>
      <c r="T593" s="322"/>
      <c r="U593" s="322"/>
      <c r="V593" s="322"/>
      <c r="W593" s="322"/>
      <c r="X593" s="322"/>
      <c r="Y593" s="322"/>
      <c r="Z593" s="322"/>
    </row>
    <row r="594" ht="12.75" customHeight="1">
      <c r="A594" s="322"/>
      <c r="B594" s="322"/>
      <c r="C594" s="323"/>
      <c r="D594" s="324"/>
      <c r="E594" s="323"/>
      <c r="F594" s="324"/>
      <c r="G594" s="322"/>
      <c r="H594" s="322"/>
      <c r="I594" s="322"/>
      <c r="J594" s="322"/>
      <c r="K594" s="322"/>
      <c r="L594" s="322"/>
      <c r="M594" s="322"/>
      <c r="N594" s="322"/>
      <c r="O594" s="322"/>
      <c r="P594" s="322"/>
      <c r="Q594" s="322"/>
      <c r="R594" s="322"/>
      <c r="S594" s="322"/>
      <c r="T594" s="322"/>
      <c r="U594" s="322"/>
      <c r="V594" s="322"/>
      <c r="W594" s="322"/>
      <c r="X594" s="322"/>
      <c r="Y594" s="322"/>
      <c r="Z594" s="322"/>
    </row>
    <row r="595" ht="12.75" customHeight="1">
      <c r="A595" s="322"/>
      <c r="B595" s="322"/>
      <c r="C595" s="323"/>
      <c r="D595" s="324"/>
      <c r="E595" s="323"/>
      <c r="F595" s="324"/>
      <c r="G595" s="322"/>
      <c r="H595" s="322"/>
      <c r="I595" s="322"/>
      <c r="J595" s="322"/>
      <c r="K595" s="322"/>
      <c r="L595" s="322"/>
      <c r="M595" s="322"/>
      <c r="N595" s="322"/>
      <c r="O595" s="322"/>
      <c r="P595" s="322"/>
      <c r="Q595" s="322"/>
      <c r="R595" s="322"/>
      <c r="S595" s="322"/>
      <c r="T595" s="322"/>
      <c r="U595" s="322"/>
      <c r="V595" s="322"/>
      <c r="W595" s="322"/>
      <c r="X595" s="322"/>
      <c r="Y595" s="322"/>
      <c r="Z595" s="322"/>
    </row>
    <row r="596" ht="12.75" customHeight="1">
      <c r="A596" s="322"/>
      <c r="B596" s="322"/>
      <c r="C596" s="323"/>
      <c r="D596" s="324"/>
      <c r="E596" s="323"/>
      <c r="F596" s="324"/>
      <c r="G596" s="322"/>
      <c r="H596" s="322"/>
      <c r="I596" s="322"/>
      <c r="J596" s="322"/>
      <c r="K596" s="322"/>
      <c r="L596" s="322"/>
      <c r="M596" s="322"/>
      <c r="N596" s="322"/>
      <c r="O596" s="322"/>
      <c r="P596" s="322"/>
      <c r="Q596" s="322"/>
      <c r="R596" s="322"/>
      <c r="S596" s="322"/>
      <c r="T596" s="322"/>
      <c r="U596" s="322"/>
      <c r="V596" s="322"/>
      <c r="W596" s="322"/>
      <c r="X596" s="322"/>
      <c r="Y596" s="322"/>
      <c r="Z596" s="322"/>
    </row>
    <row r="597" ht="12.75" customHeight="1">
      <c r="A597" s="322"/>
      <c r="B597" s="322"/>
      <c r="C597" s="323"/>
      <c r="D597" s="324"/>
      <c r="E597" s="323"/>
      <c r="F597" s="324"/>
      <c r="G597" s="322"/>
      <c r="H597" s="322"/>
      <c r="I597" s="322"/>
      <c r="J597" s="322"/>
      <c r="K597" s="322"/>
      <c r="L597" s="322"/>
      <c r="M597" s="322"/>
      <c r="N597" s="322"/>
      <c r="O597" s="322"/>
      <c r="P597" s="322"/>
      <c r="Q597" s="322"/>
      <c r="R597" s="322"/>
      <c r="S597" s="322"/>
      <c r="T597" s="322"/>
      <c r="U597" s="322"/>
      <c r="V597" s="322"/>
      <c r="W597" s="322"/>
      <c r="X597" s="322"/>
      <c r="Y597" s="322"/>
      <c r="Z597" s="322"/>
    </row>
    <row r="598" ht="12.75" customHeight="1">
      <c r="A598" s="322"/>
      <c r="B598" s="322"/>
      <c r="C598" s="323"/>
      <c r="D598" s="324"/>
      <c r="E598" s="323"/>
      <c r="F598" s="324"/>
      <c r="G598" s="322"/>
      <c r="H598" s="322"/>
      <c r="I598" s="322"/>
      <c r="J598" s="322"/>
      <c r="K598" s="322"/>
      <c r="L598" s="322"/>
      <c r="M598" s="322"/>
      <c r="N598" s="322"/>
      <c r="O598" s="322"/>
      <c r="P598" s="322"/>
      <c r="Q598" s="322"/>
      <c r="R598" s="322"/>
      <c r="S598" s="322"/>
      <c r="T598" s="322"/>
      <c r="U598" s="322"/>
      <c r="V598" s="322"/>
      <c r="W598" s="322"/>
      <c r="X598" s="322"/>
      <c r="Y598" s="322"/>
      <c r="Z598" s="322"/>
    </row>
    <row r="599" ht="12.75" customHeight="1">
      <c r="A599" s="322"/>
      <c r="B599" s="322"/>
      <c r="C599" s="323"/>
      <c r="D599" s="324"/>
      <c r="E599" s="323"/>
      <c r="F599" s="324"/>
      <c r="G599" s="322"/>
      <c r="H599" s="322"/>
      <c r="I599" s="322"/>
      <c r="J599" s="322"/>
      <c r="K599" s="322"/>
      <c r="L599" s="322"/>
      <c r="M599" s="322"/>
      <c r="N599" s="322"/>
      <c r="O599" s="322"/>
      <c r="P599" s="322"/>
      <c r="Q599" s="322"/>
      <c r="R599" s="322"/>
      <c r="S599" s="322"/>
      <c r="T599" s="322"/>
      <c r="U599" s="322"/>
      <c r="V599" s="322"/>
      <c r="W599" s="322"/>
      <c r="X599" s="322"/>
      <c r="Y599" s="322"/>
      <c r="Z599" s="322"/>
    </row>
    <row r="600" ht="12.75" customHeight="1">
      <c r="A600" s="322"/>
      <c r="B600" s="322"/>
      <c r="C600" s="323"/>
      <c r="D600" s="324"/>
      <c r="E600" s="323"/>
      <c r="F600" s="324"/>
      <c r="G600" s="322"/>
      <c r="H600" s="322"/>
      <c r="I600" s="322"/>
      <c r="J600" s="322"/>
      <c r="K600" s="322"/>
      <c r="L600" s="322"/>
      <c r="M600" s="322"/>
      <c r="N600" s="322"/>
      <c r="O600" s="322"/>
      <c r="P600" s="322"/>
      <c r="Q600" s="322"/>
      <c r="R600" s="322"/>
      <c r="S600" s="322"/>
      <c r="T600" s="322"/>
      <c r="U600" s="322"/>
      <c r="V600" s="322"/>
      <c r="W600" s="322"/>
      <c r="X600" s="322"/>
      <c r="Y600" s="322"/>
      <c r="Z600" s="322"/>
    </row>
    <row r="601" ht="12.75" customHeight="1">
      <c r="A601" s="322"/>
      <c r="B601" s="322"/>
      <c r="C601" s="323"/>
      <c r="D601" s="324"/>
      <c r="E601" s="323"/>
      <c r="F601" s="324"/>
      <c r="G601" s="322"/>
      <c r="H601" s="322"/>
      <c r="I601" s="322"/>
      <c r="J601" s="322"/>
      <c r="K601" s="322"/>
      <c r="L601" s="322"/>
      <c r="M601" s="322"/>
      <c r="N601" s="322"/>
      <c r="O601" s="322"/>
      <c r="P601" s="322"/>
      <c r="Q601" s="322"/>
      <c r="R601" s="322"/>
      <c r="S601" s="322"/>
      <c r="T601" s="322"/>
      <c r="U601" s="322"/>
      <c r="V601" s="322"/>
      <c r="W601" s="322"/>
      <c r="X601" s="322"/>
      <c r="Y601" s="322"/>
      <c r="Z601" s="322"/>
    </row>
    <row r="602" ht="12.75" customHeight="1">
      <c r="A602" s="322"/>
      <c r="B602" s="322"/>
      <c r="C602" s="323"/>
      <c r="D602" s="324"/>
      <c r="E602" s="323"/>
      <c r="F602" s="324"/>
      <c r="G602" s="322"/>
      <c r="H602" s="322"/>
      <c r="I602" s="322"/>
      <c r="J602" s="322"/>
      <c r="K602" s="322"/>
      <c r="L602" s="322"/>
      <c r="M602" s="322"/>
      <c r="N602" s="322"/>
      <c r="O602" s="322"/>
      <c r="P602" s="322"/>
      <c r="Q602" s="322"/>
      <c r="R602" s="322"/>
      <c r="S602" s="322"/>
      <c r="T602" s="322"/>
      <c r="U602" s="322"/>
      <c r="V602" s="322"/>
      <c r="W602" s="322"/>
      <c r="X602" s="322"/>
      <c r="Y602" s="322"/>
      <c r="Z602" s="322"/>
    </row>
    <row r="603" ht="12.75" customHeight="1">
      <c r="A603" s="322"/>
      <c r="B603" s="322"/>
      <c r="C603" s="323"/>
      <c r="D603" s="324"/>
      <c r="E603" s="323"/>
      <c r="F603" s="324"/>
      <c r="G603" s="322"/>
      <c r="H603" s="322"/>
      <c r="I603" s="322"/>
      <c r="J603" s="322"/>
      <c r="K603" s="322"/>
      <c r="L603" s="322"/>
      <c r="M603" s="322"/>
      <c r="N603" s="322"/>
      <c r="O603" s="322"/>
      <c r="P603" s="322"/>
      <c r="Q603" s="322"/>
      <c r="R603" s="322"/>
      <c r="S603" s="322"/>
      <c r="T603" s="322"/>
      <c r="U603" s="322"/>
      <c r="V603" s="322"/>
      <c r="W603" s="322"/>
      <c r="X603" s="322"/>
      <c r="Y603" s="322"/>
      <c r="Z603" s="322"/>
    </row>
    <row r="604" ht="12.75" customHeight="1">
      <c r="A604" s="322"/>
      <c r="B604" s="322"/>
      <c r="C604" s="323"/>
      <c r="D604" s="324"/>
      <c r="E604" s="323"/>
      <c r="F604" s="324"/>
      <c r="G604" s="322"/>
      <c r="H604" s="322"/>
      <c r="I604" s="322"/>
      <c r="J604" s="322"/>
      <c r="K604" s="322"/>
      <c r="L604" s="322"/>
      <c r="M604" s="322"/>
      <c r="N604" s="322"/>
      <c r="O604" s="322"/>
      <c r="P604" s="322"/>
      <c r="Q604" s="322"/>
      <c r="R604" s="322"/>
      <c r="S604" s="322"/>
      <c r="T604" s="322"/>
      <c r="U604" s="322"/>
      <c r="V604" s="322"/>
      <c r="W604" s="322"/>
      <c r="X604" s="322"/>
      <c r="Y604" s="322"/>
      <c r="Z604" s="322"/>
    </row>
    <row r="605" ht="12.75" customHeight="1">
      <c r="A605" s="322"/>
      <c r="B605" s="322"/>
      <c r="C605" s="323"/>
      <c r="D605" s="324"/>
      <c r="E605" s="323"/>
      <c r="F605" s="324"/>
      <c r="G605" s="322"/>
      <c r="H605" s="322"/>
      <c r="I605" s="322"/>
      <c r="J605" s="322"/>
      <c r="K605" s="322"/>
      <c r="L605" s="322"/>
      <c r="M605" s="322"/>
      <c r="N605" s="322"/>
      <c r="O605" s="322"/>
      <c r="P605" s="322"/>
      <c r="Q605" s="322"/>
      <c r="R605" s="322"/>
      <c r="S605" s="322"/>
      <c r="T605" s="322"/>
      <c r="U605" s="322"/>
      <c r="V605" s="322"/>
      <c r="W605" s="322"/>
      <c r="X605" s="322"/>
      <c r="Y605" s="322"/>
      <c r="Z605" s="322"/>
    </row>
    <row r="606" ht="12.75" customHeight="1">
      <c r="A606" s="322"/>
      <c r="B606" s="322"/>
      <c r="C606" s="323"/>
      <c r="D606" s="324"/>
      <c r="E606" s="323"/>
      <c r="F606" s="324"/>
      <c r="G606" s="322"/>
      <c r="H606" s="322"/>
      <c r="I606" s="322"/>
      <c r="J606" s="322"/>
      <c r="K606" s="322"/>
      <c r="L606" s="322"/>
      <c r="M606" s="322"/>
      <c r="N606" s="322"/>
      <c r="O606" s="322"/>
      <c r="P606" s="322"/>
      <c r="Q606" s="322"/>
      <c r="R606" s="322"/>
      <c r="S606" s="322"/>
      <c r="T606" s="322"/>
      <c r="U606" s="322"/>
      <c r="V606" s="322"/>
      <c r="W606" s="322"/>
      <c r="X606" s="322"/>
      <c r="Y606" s="322"/>
      <c r="Z606" s="322"/>
    </row>
    <row r="607" ht="12.75" customHeight="1">
      <c r="A607" s="322"/>
      <c r="B607" s="322"/>
      <c r="C607" s="323"/>
      <c r="D607" s="324"/>
      <c r="E607" s="323"/>
      <c r="F607" s="324"/>
      <c r="G607" s="322"/>
      <c r="H607" s="322"/>
      <c r="I607" s="322"/>
      <c r="J607" s="322"/>
      <c r="K607" s="322"/>
      <c r="L607" s="322"/>
      <c r="M607" s="322"/>
      <c r="N607" s="322"/>
      <c r="O607" s="322"/>
      <c r="P607" s="322"/>
      <c r="Q607" s="322"/>
      <c r="R607" s="322"/>
      <c r="S607" s="322"/>
      <c r="T607" s="322"/>
      <c r="U607" s="322"/>
      <c r="V607" s="322"/>
      <c r="W607" s="322"/>
      <c r="X607" s="322"/>
      <c r="Y607" s="322"/>
      <c r="Z607" s="322"/>
    </row>
    <row r="608" ht="12.75" customHeight="1">
      <c r="A608" s="322"/>
      <c r="B608" s="322"/>
      <c r="C608" s="323"/>
      <c r="D608" s="324"/>
      <c r="E608" s="323"/>
      <c r="F608" s="324"/>
      <c r="G608" s="322"/>
      <c r="H608" s="322"/>
      <c r="I608" s="322"/>
      <c r="J608" s="322"/>
      <c r="K608" s="322"/>
      <c r="L608" s="322"/>
      <c r="M608" s="322"/>
      <c r="N608" s="322"/>
      <c r="O608" s="322"/>
      <c r="P608" s="322"/>
      <c r="Q608" s="322"/>
      <c r="R608" s="322"/>
      <c r="S608" s="322"/>
      <c r="T608" s="322"/>
      <c r="U608" s="322"/>
      <c r="V608" s="322"/>
      <c r="W608" s="322"/>
      <c r="X608" s="322"/>
      <c r="Y608" s="322"/>
      <c r="Z608" s="322"/>
    </row>
    <row r="609" ht="12.75" customHeight="1">
      <c r="A609" s="322"/>
      <c r="B609" s="322"/>
      <c r="C609" s="323"/>
      <c r="D609" s="324"/>
      <c r="E609" s="323"/>
      <c r="F609" s="324"/>
      <c r="G609" s="322"/>
      <c r="H609" s="322"/>
      <c r="I609" s="322"/>
      <c r="J609" s="322"/>
      <c r="K609" s="322"/>
      <c r="L609" s="322"/>
      <c r="M609" s="322"/>
      <c r="N609" s="322"/>
      <c r="O609" s="322"/>
      <c r="P609" s="322"/>
      <c r="Q609" s="322"/>
      <c r="R609" s="322"/>
      <c r="S609" s="322"/>
      <c r="T609" s="322"/>
      <c r="U609" s="322"/>
      <c r="V609" s="322"/>
      <c r="W609" s="322"/>
      <c r="X609" s="322"/>
      <c r="Y609" s="322"/>
      <c r="Z609" s="322"/>
    </row>
    <row r="610" ht="12.75" customHeight="1">
      <c r="A610" s="322"/>
      <c r="B610" s="322"/>
      <c r="C610" s="323"/>
      <c r="D610" s="324"/>
      <c r="E610" s="323"/>
      <c r="F610" s="324"/>
      <c r="G610" s="322"/>
      <c r="H610" s="322"/>
      <c r="I610" s="322"/>
      <c r="J610" s="322"/>
      <c r="K610" s="322"/>
      <c r="L610" s="322"/>
      <c r="M610" s="322"/>
      <c r="N610" s="322"/>
      <c r="O610" s="322"/>
      <c r="P610" s="322"/>
      <c r="Q610" s="322"/>
      <c r="R610" s="322"/>
      <c r="S610" s="322"/>
      <c r="T610" s="322"/>
      <c r="U610" s="322"/>
      <c r="V610" s="322"/>
      <c r="W610" s="322"/>
      <c r="X610" s="322"/>
      <c r="Y610" s="322"/>
      <c r="Z610" s="322"/>
    </row>
    <row r="611" ht="12.75" customHeight="1">
      <c r="A611" s="322"/>
      <c r="B611" s="322"/>
      <c r="C611" s="323"/>
      <c r="D611" s="324"/>
      <c r="E611" s="323"/>
      <c r="F611" s="324"/>
      <c r="G611" s="322"/>
      <c r="H611" s="322"/>
      <c r="I611" s="322"/>
      <c r="J611" s="322"/>
      <c r="K611" s="322"/>
      <c r="L611" s="322"/>
      <c r="M611" s="322"/>
      <c r="N611" s="322"/>
      <c r="O611" s="322"/>
      <c r="P611" s="322"/>
      <c r="Q611" s="322"/>
      <c r="R611" s="322"/>
      <c r="S611" s="322"/>
      <c r="T611" s="322"/>
      <c r="U611" s="322"/>
      <c r="V611" s="322"/>
      <c r="W611" s="322"/>
      <c r="X611" s="322"/>
      <c r="Y611" s="322"/>
      <c r="Z611" s="322"/>
    </row>
    <row r="612" ht="12.75" customHeight="1">
      <c r="A612" s="322"/>
      <c r="B612" s="322"/>
      <c r="C612" s="323"/>
      <c r="D612" s="324"/>
      <c r="E612" s="323"/>
      <c r="F612" s="324"/>
      <c r="G612" s="322"/>
      <c r="H612" s="322"/>
      <c r="I612" s="322"/>
      <c r="J612" s="322"/>
      <c r="K612" s="322"/>
      <c r="L612" s="322"/>
      <c r="M612" s="322"/>
      <c r="N612" s="322"/>
      <c r="O612" s="322"/>
      <c r="P612" s="322"/>
      <c r="Q612" s="322"/>
      <c r="R612" s="322"/>
      <c r="S612" s="322"/>
      <c r="T612" s="322"/>
      <c r="U612" s="322"/>
      <c r="V612" s="322"/>
      <c r="W612" s="322"/>
      <c r="X612" s="322"/>
      <c r="Y612" s="322"/>
      <c r="Z612" s="322"/>
    </row>
    <row r="613" ht="12.75" customHeight="1">
      <c r="A613" s="322"/>
      <c r="B613" s="322"/>
      <c r="C613" s="323"/>
      <c r="D613" s="324"/>
      <c r="E613" s="323"/>
      <c r="F613" s="324"/>
      <c r="G613" s="322"/>
      <c r="H613" s="322"/>
      <c r="I613" s="322"/>
      <c r="J613" s="322"/>
      <c r="K613" s="322"/>
      <c r="L613" s="322"/>
      <c r="M613" s="322"/>
      <c r="N613" s="322"/>
      <c r="O613" s="322"/>
      <c r="P613" s="322"/>
      <c r="Q613" s="322"/>
      <c r="R613" s="322"/>
      <c r="S613" s="322"/>
      <c r="T613" s="322"/>
      <c r="U613" s="322"/>
      <c r="V613" s="322"/>
      <c r="W613" s="322"/>
      <c r="X613" s="322"/>
      <c r="Y613" s="322"/>
      <c r="Z613" s="322"/>
    </row>
    <row r="614" ht="12.75" customHeight="1">
      <c r="A614" s="322"/>
      <c r="B614" s="322"/>
      <c r="C614" s="323"/>
      <c r="D614" s="324"/>
      <c r="E614" s="323"/>
      <c r="F614" s="324"/>
      <c r="G614" s="322"/>
      <c r="H614" s="322"/>
      <c r="I614" s="322"/>
      <c r="J614" s="322"/>
      <c r="K614" s="322"/>
      <c r="L614" s="322"/>
      <c r="M614" s="322"/>
      <c r="N614" s="322"/>
      <c r="O614" s="322"/>
      <c r="P614" s="322"/>
      <c r="Q614" s="322"/>
      <c r="R614" s="322"/>
      <c r="S614" s="322"/>
      <c r="T614" s="322"/>
      <c r="U614" s="322"/>
      <c r="V614" s="322"/>
      <c r="W614" s="322"/>
      <c r="X614" s="322"/>
      <c r="Y614" s="322"/>
      <c r="Z614" s="322"/>
    </row>
    <row r="615" ht="12.75" customHeight="1">
      <c r="A615" s="322"/>
      <c r="B615" s="322"/>
      <c r="C615" s="323"/>
      <c r="D615" s="324"/>
      <c r="E615" s="323"/>
      <c r="F615" s="324"/>
      <c r="G615" s="322"/>
      <c r="H615" s="322"/>
      <c r="I615" s="322"/>
      <c r="J615" s="322"/>
      <c r="K615" s="322"/>
      <c r="L615" s="322"/>
      <c r="M615" s="322"/>
      <c r="N615" s="322"/>
      <c r="O615" s="322"/>
      <c r="P615" s="322"/>
      <c r="Q615" s="322"/>
      <c r="R615" s="322"/>
      <c r="S615" s="322"/>
      <c r="T615" s="322"/>
      <c r="U615" s="322"/>
      <c r="V615" s="322"/>
      <c r="W615" s="322"/>
      <c r="X615" s="322"/>
      <c r="Y615" s="322"/>
      <c r="Z615" s="322"/>
    </row>
    <row r="616" ht="12.75" customHeight="1">
      <c r="A616" s="322"/>
      <c r="B616" s="322"/>
      <c r="C616" s="323"/>
      <c r="D616" s="324"/>
      <c r="E616" s="323"/>
      <c r="F616" s="324"/>
      <c r="G616" s="322"/>
      <c r="H616" s="322"/>
      <c r="I616" s="322"/>
      <c r="J616" s="322"/>
      <c r="K616" s="322"/>
      <c r="L616" s="322"/>
      <c r="M616" s="322"/>
      <c r="N616" s="322"/>
      <c r="O616" s="322"/>
      <c r="P616" s="322"/>
      <c r="Q616" s="322"/>
      <c r="R616" s="322"/>
      <c r="S616" s="322"/>
      <c r="T616" s="322"/>
      <c r="U616" s="322"/>
      <c r="V616" s="322"/>
      <c r="W616" s="322"/>
      <c r="X616" s="322"/>
      <c r="Y616" s="322"/>
      <c r="Z616" s="322"/>
    </row>
    <row r="617" ht="12.75" customHeight="1">
      <c r="A617" s="322"/>
      <c r="B617" s="322"/>
      <c r="C617" s="323"/>
      <c r="D617" s="324"/>
      <c r="E617" s="323"/>
      <c r="F617" s="324"/>
      <c r="G617" s="322"/>
      <c r="H617" s="322"/>
      <c r="I617" s="322"/>
      <c r="J617" s="322"/>
      <c r="K617" s="322"/>
      <c r="L617" s="322"/>
      <c r="M617" s="322"/>
      <c r="N617" s="322"/>
      <c r="O617" s="322"/>
      <c r="P617" s="322"/>
      <c r="Q617" s="322"/>
      <c r="R617" s="322"/>
      <c r="S617" s="322"/>
      <c r="T617" s="322"/>
      <c r="U617" s="322"/>
      <c r="V617" s="322"/>
      <c r="W617" s="322"/>
      <c r="X617" s="322"/>
      <c r="Y617" s="322"/>
      <c r="Z617" s="322"/>
    </row>
    <row r="618" ht="12.75" customHeight="1">
      <c r="A618" s="322"/>
      <c r="B618" s="322"/>
      <c r="C618" s="323"/>
      <c r="D618" s="324"/>
      <c r="E618" s="323"/>
      <c r="F618" s="324"/>
      <c r="G618" s="322"/>
      <c r="H618" s="322"/>
      <c r="I618" s="322"/>
      <c r="J618" s="322"/>
      <c r="K618" s="322"/>
      <c r="L618" s="322"/>
      <c r="M618" s="322"/>
      <c r="N618" s="322"/>
      <c r="O618" s="322"/>
      <c r="P618" s="322"/>
      <c r="Q618" s="322"/>
      <c r="R618" s="322"/>
      <c r="S618" s="322"/>
      <c r="T618" s="322"/>
      <c r="U618" s="322"/>
      <c r="V618" s="322"/>
      <c r="W618" s="322"/>
      <c r="X618" s="322"/>
      <c r="Y618" s="322"/>
      <c r="Z618" s="322"/>
    </row>
    <row r="619" ht="12.75" customHeight="1">
      <c r="A619" s="322"/>
      <c r="B619" s="322"/>
      <c r="C619" s="323"/>
      <c r="D619" s="324"/>
      <c r="E619" s="323"/>
      <c r="F619" s="324"/>
      <c r="G619" s="322"/>
      <c r="H619" s="322"/>
      <c r="I619" s="322"/>
      <c r="J619" s="322"/>
      <c r="K619" s="322"/>
      <c r="L619" s="322"/>
      <c r="M619" s="322"/>
      <c r="N619" s="322"/>
      <c r="O619" s="322"/>
      <c r="P619" s="322"/>
      <c r="Q619" s="322"/>
      <c r="R619" s="322"/>
      <c r="S619" s="322"/>
      <c r="T619" s="322"/>
      <c r="U619" s="322"/>
      <c r="V619" s="322"/>
      <c r="W619" s="322"/>
      <c r="X619" s="322"/>
      <c r="Y619" s="322"/>
      <c r="Z619" s="322"/>
    </row>
    <row r="620" ht="12.75" customHeight="1">
      <c r="A620" s="322"/>
      <c r="B620" s="322"/>
      <c r="C620" s="323"/>
      <c r="D620" s="324"/>
      <c r="E620" s="323"/>
      <c r="F620" s="324"/>
      <c r="G620" s="322"/>
      <c r="H620" s="322"/>
      <c r="I620" s="322"/>
      <c r="J620" s="322"/>
      <c r="K620" s="322"/>
      <c r="L620" s="322"/>
      <c r="M620" s="322"/>
      <c r="N620" s="322"/>
      <c r="O620" s="322"/>
      <c r="P620" s="322"/>
      <c r="Q620" s="322"/>
      <c r="R620" s="322"/>
      <c r="S620" s="322"/>
      <c r="T620" s="322"/>
      <c r="U620" s="322"/>
      <c r="V620" s="322"/>
      <c r="W620" s="322"/>
      <c r="X620" s="322"/>
      <c r="Y620" s="322"/>
      <c r="Z620" s="322"/>
    </row>
    <row r="621" ht="12.75" customHeight="1">
      <c r="A621" s="322"/>
      <c r="B621" s="322"/>
      <c r="C621" s="323"/>
      <c r="D621" s="324"/>
      <c r="E621" s="323"/>
      <c r="F621" s="324"/>
      <c r="G621" s="322"/>
      <c r="H621" s="322"/>
      <c r="I621" s="322"/>
      <c r="J621" s="322"/>
      <c r="K621" s="322"/>
      <c r="L621" s="322"/>
      <c r="M621" s="322"/>
      <c r="N621" s="322"/>
      <c r="O621" s="322"/>
      <c r="P621" s="322"/>
      <c r="Q621" s="322"/>
      <c r="R621" s="322"/>
      <c r="S621" s="322"/>
      <c r="T621" s="322"/>
      <c r="U621" s="322"/>
      <c r="V621" s="322"/>
      <c r="W621" s="322"/>
      <c r="X621" s="322"/>
      <c r="Y621" s="322"/>
      <c r="Z621" s="322"/>
    </row>
    <row r="622" ht="12.75" customHeight="1">
      <c r="A622" s="322"/>
      <c r="B622" s="322"/>
      <c r="C622" s="323"/>
      <c r="D622" s="324"/>
      <c r="E622" s="323"/>
      <c r="F622" s="324"/>
      <c r="G622" s="322"/>
      <c r="H622" s="322"/>
      <c r="I622" s="322"/>
      <c r="J622" s="322"/>
      <c r="K622" s="322"/>
      <c r="L622" s="322"/>
      <c r="M622" s="322"/>
      <c r="N622" s="322"/>
      <c r="O622" s="322"/>
      <c r="P622" s="322"/>
      <c r="Q622" s="322"/>
      <c r="R622" s="322"/>
      <c r="S622" s="322"/>
      <c r="T622" s="322"/>
      <c r="U622" s="322"/>
      <c r="V622" s="322"/>
      <c r="W622" s="322"/>
      <c r="X622" s="322"/>
      <c r="Y622" s="322"/>
      <c r="Z622" s="322"/>
    </row>
    <row r="623" ht="12.75" customHeight="1">
      <c r="A623" s="322"/>
      <c r="B623" s="322"/>
      <c r="C623" s="323"/>
      <c r="D623" s="324"/>
      <c r="E623" s="323"/>
      <c r="F623" s="324"/>
      <c r="G623" s="322"/>
      <c r="H623" s="322"/>
      <c r="I623" s="322"/>
      <c r="J623" s="322"/>
      <c r="K623" s="322"/>
      <c r="L623" s="322"/>
      <c r="M623" s="322"/>
      <c r="N623" s="322"/>
      <c r="O623" s="322"/>
      <c r="P623" s="322"/>
      <c r="Q623" s="322"/>
      <c r="R623" s="322"/>
      <c r="S623" s="322"/>
      <c r="T623" s="322"/>
      <c r="U623" s="322"/>
      <c r="V623" s="322"/>
      <c r="W623" s="322"/>
      <c r="X623" s="322"/>
      <c r="Y623" s="322"/>
      <c r="Z623" s="322"/>
    </row>
    <row r="624" ht="12.75" customHeight="1">
      <c r="A624" s="322"/>
      <c r="B624" s="322"/>
      <c r="C624" s="323"/>
      <c r="D624" s="324"/>
      <c r="E624" s="323"/>
      <c r="F624" s="324"/>
      <c r="G624" s="322"/>
      <c r="H624" s="322"/>
      <c r="I624" s="322"/>
      <c r="J624" s="322"/>
      <c r="K624" s="322"/>
      <c r="L624" s="322"/>
      <c r="M624" s="322"/>
      <c r="N624" s="322"/>
      <c r="O624" s="322"/>
      <c r="P624" s="322"/>
      <c r="Q624" s="322"/>
      <c r="R624" s="322"/>
      <c r="S624" s="322"/>
      <c r="T624" s="322"/>
      <c r="U624" s="322"/>
      <c r="V624" s="322"/>
      <c r="W624" s="322"/>
      <c r="X624" s="322"/>
      <c r="Y624" s="322"/>
      <c r="Z624" s="322"/>
    </row>
    <row r="625" ht="12.75" customHeight="1">
      <c r="A625" s="322"/>
      <c r="B625" s="322"/>
      <c r="C625" s="323"/>
      <c r="D625" s="324"/>
      <c r="E625" s="323"/>
      <c r="F625" s="324"/>
      <c r="G625" s="322"/>
      <c r="H625" s="322"/>
      <c r="I625" s="322"/>
      <c r="J625" s="322"/>
      <c r="K625" s="322"/>
      <c r="L625" s="322"/>
      <c r="M625" s="322"/>
      <c r="N625" s="322"/>
      <c r="O625" s="322"/>
      <c r="P625" s="322"/>
      <c r="Q625" s="322"/>
      <c r="R625" s="322"/>
      <c r="S625" s="322"/>
      <c r="T625" s="322"/>
      <c r="U625" s="322"/>
      <c r="V625" s="322"/>
      <c r="W625" s="322"/>
      <c r="X625" s="322"/>
      <c r="Y625" s="322"/>
      <c r="Z625" s="322"/>
    </row>
    <row r="626" ht="12.75" customHeight="1">
      <c r="A626" s="322"/>
      <c r="B626" s="322"/>
      <c r="C626" s="323"/>
      <c r="D626" s="324"/>
      <c r="E626" s="323"/>
      <c r="F626" s="324"/>
      <c r="G626" s="322"/>
      <c r="H626" s="322"/>
      <c r="I626" s="322"/>
      <c r="J626" s="322"/>
      <c r="K626" s="322"/>
      <c r="L626" s="322"/>
      <c r="M626" s="322"/>
      <c r="N626" s="322"/>
      <c r="O626" s="322"/>
      <c r="P626" s="322"/>
      <c r="Q626" s="322"/>
      <c r="R626" s="322"/>
      <c r="S626" s="322"/>
      <c r="T626" s="322"/>
      <c r="U626" s="322"/>
      <c r="V626" s="322"/>
      <c r="W626" s="322"/>
      <c r="X626" s="322"/>
      <c r="Y626" s="322"/>
      <c r="Z626" s="322"/>
    </row>
    <row r="627" ht="12.75" customHeight="1">
      <c r="A627" s="322"/>
      <c r="B627" s="322"/>
      <c r="C627" s="323"/>
      <c r="D627" s="324"/>
      <c r="E627" s="323"/>
      <c r="F627" s="324"/>
      <c r="G627" s="322"/>
      <c r="H627" s="322"/>
      <c r="I627" s="322"/>
      <c r="J627" s="322"/>
      <c r="K627" s="322"/>
      <c r="L627" s="322"/>
      <c r="M627" s="322"/>
      <c r="N627" s="322"/>
      <c r="O627" s="322"/>
      <c r="P627" s="322"/>
      <c r="Q627" s="322"/>
      <c r="R627" s="322"/>
      <c r="S627" s="322"/>
      <c r="T627" s="322"/>
      <c r="U627" s="322"/>
      <c r="V627" s="322"/>
      <c r="W627" s="322"/>
      <c r="X627" s="322"/>
      <c r="Y627" s="322"/>
      <c r="Z627" s="322"/>
    </row>
    <row r="628" ht="12.75" customHeight="1">
      <c r="A628" s="322"/>
      <c r="B628" s="322"/>
      <c r="C628" s="323"/>
      <c r="D628" s="324"/>
      <c r="E628" s="323"/>
      <c r="F628" s="324"/>
      <c r="G628" s="322"/>
      <c r="H628" s="322"/>
      <c r="I628" s="322"/>
      <c r="J628" s="322"/>
      <c r="K628" s="322"/>
      <c r="L628" s="322"/>
      <c r="M628" s="322"/>
      <c r="N628" s="322"/>
      <c r="O628" s="322"/>
      <c r="P628" s="322"/>
      <c r="Q628" s="322"/>
      <c r="R628" s="322"/>
      <c r="S628" s="322"/>
      <c r="T628" s="322"/>
      <c r="U628" s="322"/>
      <c r="V628" s="322"/>
      <c r="W628" s="322"/>
      <c r="X628" s="322"/>
      <c r="Y628" s="322"/>
      <c r="Z628" s="322"/>
    </row>
    <row r="629" ht="12.75" customHeight="1">
      <c r="A629" s="322"/>
      <c r="B629" s="322"/>
      <c r="C629" s="323"/>
      <c r="D629" s="324"/>
      <c r="E629" s="323"/>
      <c r="F629" s="324"/>
      <c r="G629" s="322"/>
      <c r="H629" s="322"/>
      <c r="I629" s="322"/>
      <c r="J629" s="322"/>
      <c r="K629" s="322"/>
      <c r="L629" s="322"/>
      <c r="M629" s="322"/>
      <c r="N629" s="322"/>
      <c r="O629" s="322"/>
      <c r="P629" s="322"/>
      <c r="Q629" s="322"/>
      <c r="R629" s="322"/>
      <c r="S629" s="322"/>
      <c r="T629" s="322"/>
      <c r="U629" s="322"/>
      <c r="V629" s="322"/>
      <c r="W629" s="322"/>
      <c r="X629" s="322"/>
      <c r="Y629" s="322"/>
      <c r="Z629" s="322"/>
    </row>
    <row r="630" ht="12.75" customHeight="1">
      <c r="A630" s="322"/>
      <c r="B630" s="322"/>
      <c r="C630" s="323"/>
      <c r="D630" s="324"/>
      <c r="E630" s="323"/>
      <c r="F630" s="324"/>
      <c r="G630" s="322"/>
      <c r="H630" s="322"/>
      <c r="I630" s="322"/>
      <c r="J630" s="322"/>
      <c r="K630" s="322"/>
      <c r="L630" s="322"/>
      <c r="M630" s="322"/>
      <c r="N630" s="322"/>
      <c r="O630" s="322"/>
      <c r="P630" s="322"/>
      <c r="Q630" s="322"/>
      <c r="R630" s="322"/>
      <c r="S630" s="322"/>
      <c r="T630" s="322"/>
      <c r="U630" s="322"/>
      <c r="V630" s="322"/>
      <c r="W630" s="322"/>
      <c r="X630" s="322"/>
      <c r="Y630" s="322"/>
      <c r="Z630" s="322"/>
    </row>
    <row r="631" ht="12.75" customHeight="1">
      <c r="A631" s="322"/>
      <c r="B631" s="322"/>
      <c r="C631" s="323"/>
      <c r="D631" s="324"/>
      <c r="E631" s="323"/>
      <c r="F631" s="324"/>
      <c r="G631" s="322"/>
      <c r="H631" s="322"/>
      <c r="I631" s="322"/>
      <c r="J631" s="322"/>
      <c r="K631" s="322"/>
      <c r="L631" s="322"/>
      <c r="M631" s="322"/>
      <c r="N631" s="322"/>
      <c r="O631" s="322"/>
      <c r="P631" s="322"/>
      <c r="Q631" s="322"/>
      <c r="R631" s="322"/>
      <c r="S631" s="322"/>
      <c r="T631" s="322"/>
      <c r="U631" s="322"/>
      <c r="V631" s="322"/>
      <c r="W631" s="322"/>
      <c r="X631" s="322"/>
      <c r="Y631" s="322"/>
      <c r="Z631" s="322"/>
    </row>
    <row r="632" ht="12.75" customHeight="1">
      <c r="A632" s="322"/>
      <c r="B632" s="322"/>
      <c r="C632" s="323"/>
      <c r="D632" s="324"/>
      <c r="E632" s="323"/>
      <c r="F632" s="324"/>
      <c r="G632" s="322"/>
      <c r="H632" s="322"/>
      <c r="I632" s="322"/>
      <c r="J632" s="322"/>
      <c r="K632" s="322"/>
      <c r="L632" s="322"/>
      <c r="M632" s="322"/>
      <c r="N632" s="322"/>
      <c r="O632" s="322"/>
      <c r="P632" s="322"/>
      <c r="Q632" s="322"/>
      <c r="R632" s="322"/>
      <c r="S632" s="322"/>
      <c r="T632" s="322"/>
      <c r="U632" s="322"/>
      <c r="V632" s="322"/>
      <c r="W632" s="322"/>
      <c r="X632" s="322"/>
      <c r="Y632" s="322"/>
      <c r="Z632" s="322"/>
    </row>
    <row r="633" ht="12.75" customHeight="1">
      <c r="A633" s="322"/>
      <c r="B633" s="322"/>
      <c r="C633" s="323"/>
      <c r="D633" s="324"/>
      <c r="E633" s="323"/>
      <c r="F633" s="324"/>
      <c r="G633" s="322"/>
      <c r="H633" s="322"/>
      <c r="I633" s="322"/>
      <c r="J633" s="322"/>
      <c r="K633" s="322"/>
      <c r="L633" s="322"/>
      <c r="M633" s="322"/>
      <c r="N633" s="322"/>
      <c r="O633" s="322"/>
      <c r="P633" s="322"/>
      <c r="Q633" s="322"/>
      <c r="R633" s="322"/>
      <c r="S633" s="322"/>
      <c r="T633" s="322"/>
      <c r="U633" s="322"/>
      <c r="V633" s="322"/>
      <c r="W633" s="322"/>
      <c r="X633" s="322"/>
      <c r="Y633" s="322"/>
      <c r="Z633" s="322"/>
    </row>
    <row r="634" ht="12.75" customHeight="1">
      <c r="A634" s="322"/>
      <c r="B634" s="322"/>
      <c r="C634" s="323"/>
      <c r="D634" s="324"/>
      <c r="E634" s="323"/>
      <c r="F634" s="324"/>
      <c r="G634" s="322"/>
      <c r="H634" s="322"/>
      <c r="I634" s="322"/>
      <c r="J634" s="322"/>
      <c r="K634" s="322"/>
      <c r="L634" s="322"/>
      <c r="M634" s="322"/>
      <c r="N634" s="322"/>
      <c r="O634" s="322"/>
      <c r="P634" s="322"/>
      <c r="Q634" s="322"/>
      <c r="R634" s="322"/>
      <c r="S634" s="322"/>
      <c r="T634" s="322"/>
      <c r="U634" s="322"/>
      <c r="V634" s="322"/>
      <c r="W634" s="322"/>
      <c r="X634" s="322"/>
      <c r="Y634" s="322"/>
      <c r="Z634" s="322"/>
    </row>
    <row r="635" ht="12.75" customHeight="1">
      <c r="A635" s="322"/>
      <c r="B635" s="322"/>
      <c r="C635" s="323"/>
      <c r="D635" s="324"/>
      <c r="E635" s="323"/>
      <c r="F635" s="324"/>
      <c r="G635" s="322"/>
      <c r="H635" s="322"/>
      <c r="I635" s="322"/>
      <c r="J635" s="322"/>
      <c r="K635" s="322"/>
      <c r="L635" s="322"/>
      <c r="M635" s="322"/>
      <c r="N635" s="322"/>
      <c r="O635" s="322"/>
      <c r="P635" s="322"/>
      <c r="Q635" s="322"/>
      <c r="R635" s="322"/>
      <c r="S635" s="322"/>
      <c r="T635" s="322"/>
      <c r="U635" s="322"/>
      <c r="V635" s="322"/>
      <c r="W635" s="322"/>
      <c r="X635" s="322"/>
      <c r="Y635" s="322"/>
      <c r="Z635" s="322"/>
    </row>
    <row r="636" ht="12.75" customHeight="1">
      <c r="A636" s="322"/>
      <c r="B636" s="322"/>
      <c r="C636" s="323"/>
      <c r="D636" s="324"/>
      <c r="E636" s="323"/>
      <c r="F636" s="324"/>
      <c r="G636" s="322"/>
      <c r="H636" s="322"/>
      <c r="I636" s="322"/>
      <c r="J636" s="322"/>
      <c r="K636" s="322"/>
      <c r="L636" s="322"/>
      <c r="M636" s="322"/>
      <c r="N636" s="322"/>
      <c r="O636" s="322"/>
      <c r="P636" s="322"/>
      <c r="Q636" s="322"/>
      <c r="R636" s="322"/>
      <c r="S636" s="322"/>
      <c r="T636" s="322"/>
      <c r="U636" s="322"/>
      <c r="V636" s="322"/>
      <c r="W636" s="322"/>
      <c r="X636" s="322"/>
      <c r="Y636" s="322"/>
      <c r="Z636" s="322"/>
    </row>
    <row r="637" ht="12.75" customHeight="1">
      <c r="A637" s="322"/>
      <c r="B637" s="322"/>
      <c r="C637" s="323"/>
      <c r="D637" s="324"/>
      <c r="E637" s="323"/>
      <c r="F637" s="324"/>
      <c r="G637" s="322"/>
      <c r="H637" s="322"/>
      <c r="I637" s="322"/>
      <c r="J637" s="322"/>
      <c r="K637" s="322"/>
      <c r="L637" s="322"/>
      <c r="M637" s="322"/>
      <c r="N637" s="322"/>
      <c r="O637" s="322"/>
      <c r="P637" s="322"/>
      <c r="Q637" s="322"/>
      <c r="R637" s="322"/>
      <c r="S637" s="322"/>
      <c r="T637" s="322"/>
      <c r="U637" s="322"/>
      <c r="V637" s="322"/>
      <c r="W637" s="322"/>
      <c r="X637" s="322"/>
      <c r="Y637" s="322"/>
      <c r="Z637" s="322"/>
    </row>
    <row r="638" ht="12.75" customHeight="1">
      <c r="A638" s="322"/>
      <c r="B638" s="322"/>
      <c r="C638" s="323"/>
      <c r="D638" s="324"/>
      <c r="E638" s="323"/>
      <c r="F638" s="324"/>
      <c r="G638" s="322"/>
      <c r="H638" s="322"/>
      <c r="I638" s="322"/>
      <c r="J638" s="322"/>
      <c r="K638" s="322"/>
      <c r="L638" s="322"/>
      <c r="M638" s="322"/>
      <c r="N638" s="322"/>
      <c r="O638" s="322"/>
      <c r="P638" s="322"/>
      <c r="Q638" s="322"/>
      <c r="R638" s="322"/>
      <c r="S638" s="322"/>
      <c r="T638" s="322"/>
      <c r="U638" s="322"/>
      <c r="V638" s="322"/>
      <c r="W638" s="322"/>
      <c r="X638" s="322"/>
      <c r="Y638" s="322"/>
      <c r="Z638" s="322"/>
    </row>
    <row r="639" ht="12.75" customHeight="1">
      <c r="A639" s="322"/>
      <c r="B639" s="322"/>
      <c r="C639" s="323"/>
      <c r="D639" s="324"/>
      <c r="E639" s="323"/>
      <c r="F639" s="324"/>
      <c r="G639" s="322"/>
      <c r="H639" s="322"/>
      <c r="I639" s="322"/>
      <c r="J639" s="322"/>
      <c r="K639" s="322"/>
      <c r="L639" s="322"/>
      <c r="M639" s="322"/>
      <c r="N639" s="322"/>
      <c r="O639" s="322"/>
      <c r="P639" s="322"/>
      <c r="Q639" s="322"/>
      <c r="R639" s="322"/>
      <c r="S639" s="322"/>
      <c r="T639" s="322"/>
      <c r="U639" s="322"/>
      <c r="V639" s="322"/>
      <c r="W639" s="322"/>
      <c r="X639" s="322"/>
      <c r="Y639" s="322"/>
      <c r="Z639" s="322"/>
    </row>
    <row r="640" ht="12.75" customHeight="1">
      <c r="A640" s="322"/>
      <c r="B640" s="322"/>
      <c r="C640" s="323"/>
      <c r="D640" s="324"/>
      <c r="E640" s="323"/>
      <c r="F640" s="324"/>
      <c r="G640" s="322"/>
      <c r="H640" s="322"/>
      <c r="I640" s="322"/>
      <c r="J640" s="322"/>
      <c r="K640" s="322"/>
      <c r="L640" s="322"/>
      <c r="M640" s="322"/>
      <c r="N640" s="322"/>
      <c r="O640" s="322"/>
      <c r="P640" s="322"/>
      <c r="Q640" s="322"/>
      <c r="R640" s="322"/>
      <c r="S640" s="322"/>
      <c r="T640" s="322"/>
      <c r="U640" s="322"/>
      <c r="V640" s="322"/>
      <c r="W640" s="322"/>
      <c r="X640" s="322"/>
      <c r="Y640" s="322"/>
      <c r="Z640" s="322"/>
    </row>
    <row r="641" ht="12.75" customHeight="1">
      <c r="A641" s="322"/>
      <c r="B641" s="322"/>
      <c r="C641" s="323"/>
      <c r="D641" s="324"/>
      <c r="E641" s="323"/>
      <c r="F641" s="324"/>
      <c r="G641" s="322"/>
      <c r="H641" s="322"/>
      <c r="I641" s="322"/>
      <c r="J641" s="322"/>
      <c r="K641" s="322"/>
      <c r="L641" s="322"/>
      <c r="M641" s="322"/>
      <c r="N641" s="322"/>
      <c r="O641" s="322"/>
      <c r="P641" s="322"/>
      <c r="Q641" s="322"/>
      <c r="R641" s="322"/>
      <c r="S641" s="322"/>
      <c r="T641" s="322"/>
      <c r="U641" s="322"/>
      <c r="V641" s="322"/>
      <c r="W641" s="322"/>
      <c r="X641" s="322"/>
      <c r="Y641" s="322"/>
      <c r="Z641" s="322"/>
    </row>
    <row r="642" ht="12.75" customHeight="1">
      <c r="A642" s="322"/>
      <c r="B642" s="322"/>
      <c r="C642" s="323"/>
      <c r="D642" s="324"/>
      <c r="E642" s="323"/>
      <c r="F642" s="324"/>
      <c r="G642" s="322"/>
      <c r="H642" s="322"/>
      <c r="I642" s="322"/>
      <c r="J642" s="322"/>
      <c r="K642" s="322"/>
      <c r="L642" s="322"/>
      <c r="M642" s="322"/>
      <c r="N642" s="322"/>
      <c r="O642" s="322"/>
      <c r="P642" s="322"/>
      <c r="Q642" s="322"/>
      <c r="R642" s="322"/>
      <c r="S642" s="322"/>
      <c r="T642" s="322"/>
      <c r="U642" s="322"/>
      <c r="V642" s="322"/>
      <c r="W642" s="322"/>
      <c r="X642" s="322"/>
      <c r="Y642" s="322"/>
      <c r="Z642" s="322"/>
    </row>
    <row r="643" ht="12.75" customHeight="1">
      <c r="A643" s="322"/>
      <c r="B643" s="322"/>
      <c r="C643" s="323"/>
      <c r="D643" s="324"/>
      <c r="E643" s="323"/>
      <c r="F643" s="324"/>
      <c r="G643" s="322"/>
      <c r="H643" s="322"/>
      <c r="I643" s="322"/>
      <c r="J643" s="322"/>
      <c r="K643" s="322"/>
      <c r="L643" s="322"/>
      <c r="M643" s="322"/>
      <c r="N643" s="322"/>
      <c r="O643" s="322"/>
      <c r="P643" s="322"/>
      <c r="Q643" s="322"/>
      <c r="R643" s="322"/>
      <c r="S643" s="322"/>
      <c r="T643" s="322"/>
      <c r="U643" s="322"/>
      <c r="V643" s="322"/>
      <c r="W643" s="322"/>
      <c r="X643" s="322"/>
      <c r="Y643" s="322"/>
      <c r="Z643" s="322"/>
    </row>
    <row r="644" ht="12.75" customHeight="1">
      <c r="A644" s="322"/>
      <c r="B644" s="322"/>
      <c r="C644" s="323"/>
      <c r="D644" s="324"/>
      <c r="E644" s="323"/>
      <c r="F644" s="324"/>
      <c r="G644" s="322"/>
      <c r="H644" s="322"/>
      <c r="I644" s="322"/>
      <c r="J644" s="322"/>
      <c r="K644" s="322"/>
      <c r="L644" s="322"/>
      <c r="M644" s="322"/>
      <c r="N644" s="322"/>
      <c r="O644" s="322"/>
      <c r="P644" s="322"/>
      <c r="Q644" s="322"/>
      <c r="R644" s="322"/>
      <c r="S644" s="322"/>
      <c r="T644" s="322"/>
      <c r="U644" s="322"/>
      <c r="V644" s="322"/>
      <c r="W644" s="322"/>
      <c r="X644" s="322"/>
      <c r="Y644" s="322"/>
      <c r="Z644" s="322"/>
    </row>
    <row r="645" ht="12.75" customHeight="1">
      <c r="A645" s="322"/>
      <c r="B645" s="322"/>
      <c r="C645" s="323"/>
      <c r="D645" s="324"/>
      <c r="E645" s="323"/>
      <c r="F645" s="324"/>
      <c r="G645" s="322"/>
      <c r="H645" s="322"/>
      <c r="I645" s="322"/>
      <c r="J645" s="322"/>
      <c r="K645" s="322"/>
      <c r="L645" s="322"/>
      <c r="M645" s="322"/>
      <c r="N645" s="322"/>
      <c r="O645" s="322"/>
      <c r="P645" s="322"/>
      <c r="Q645" s="322"/>
      <c r="R645" s="322"/>
      <c r="S645" s="322"/>
      <c r="T645" s="322"/>
      <c r="U645" s="322"/>
      <c r="V645" s="322"/>
      <c r="W645" s="322"/>
      <c r="X645" s="322"/>
      <c r="Y645" s="322"/>
      <c r="Z645" s="322"/>
    </row>
    <row r="646" ht="12.75" customHeight="1">
      <c r="A646" s="322"/>
      <c r="B646" s="322"/>
      <c r="C646" s="323"/>
      <c r="D646" s="324"/>
      <c r="E646" s="323"/>
      <c r="F646" s="324"/>
      <c r="G646" s="322"/>
      <c r="H646" s="322"/>
      <c r="I646" s="322"/>
      <c r="J646" s="322"/>
      <c r="K646" s="322"/>
      <c r="L646" s="322"/>
      <c r="M646" s="322"/>
      <c r="N646" s="322"/>
      <c r="O646" s="322"/>
      <c r="P646" s="322"/>
      <c r="Q646" s="322"/>
      <c r="R646" s="322"/>
      <c r="S646" s="322"/>
      <c r="T646" s="322"/>
      <c r="U646" s="322"/>
      <c r="V646" s="322"/>
      <c r="W646" s="322"/>
      <c r="X646" s="322"/>
      <c r="Y646" s="322"/>
      <c r="Z646" s="322"/>
    </row>
    <row r="647" ht="12.75" customHeight="1">
      <c r="A647" s="322"/>
      <c r="B647" s="322"/>
      <c r="C647" s="323"/>
      <c r="D647" s="324"/>
      <c r="E647" s="323"/>
      <c r="F647" s="324"/>
      <c r="G647" s="322"/>
      <c r="H647" s="322"/>
      <c r="I647" s="322"/>
      <c r="J647" s="322"/>
      <c r="K647" s="322"/>
      <c r="L647" s="322"/>
      <c r="M647" s="322"/>
      <c r="N647" s="322"/>
      <c r="O647" s="322"/>
      <c r="P647" s="322"/>
      <c r="Q647" s="322"/>
      <c r="R647" s="322"/>
      <c r="S647" s="322"/>
      <c r="T647" s="322"/>
      <c r="U647" s="322"/>
      <c r="V647" s="322"/>
      <c r="W647" s="322"/>
      <c r="X647" s="322"/>
      <c r="Y647" s="322"/>
      <c r="Z647" s="322"/>
    </row>
    <row r="648" ht="12.75" customHeight="1">
      <c r="A648" s="322"/>
      <c r="B648" s="322"/>
      <c r="C648" s="323"/>
      <c r="D648" s="324"/>
      <c r="E648" s="323"/>
      <c r="F648" s="324"/>
      <c r="G648" s="322"/>
      <c r="H648" s="322"/>
      <c r="I648" s="322"/>
      <c r="J648" s="322"/>
      <c r="K648" s="322"/>
      <c r="L648" s="322"/>
      <c r="M648" s="322"/>
      <c r="N648" s="322"/>
      <c r="O648" s="322"/>
      <c r="P648" s="322"/>
      <c r="Q648" s="322"/>
      <c r="R648" s="322"/>
      <c r="S648" s="322"/>
      <c r="T648" s="322"/>
      <c r="U648" s="322"/>
      <c r="V648" s="322"/>
      <c r="W648" s="322"/>
      <c r="X648" s="322"/>
      <c r="Y648" s="322"/>
      <c r="Z648" s="322"/>
    </row>
    <row r="649" ht="12.75" customHeight="1">
      <c r="A649" s="322"/>
      <c r="B649" s="322"/>
      <c r="C649" s="323"/>
      <c r="D649" s="324"/>
      <c r="E649" s="323"/>
      <c r="F649" s="324"/>
      <c r="G649" s="322"/>
      <c r="H649" s="322"/>
      <c r="I649" s="322"/>
      <c r="J649" s="322"/>
      <c r="K649" s="322"/>
      <c r="L649" s="322"/>
      <c r="M649" s="322"/>
      <c r="N649" s="322"/>
      <c r="O649" s="322"/>
      <c r="P649" s="322"/>
      <c r="Q649" s="322"/>
      <c r="R649" s="322"/>
      <c r="S649" s="322"/>
      <c r="T649" s="322"/>
      <c r="U649" s="322"/>
      <c r="V649" s="322"/>
      <c r="W649" s="322"/>
      <c r="X649" s="322"/>
      <c r="Y649" s="322"/>
      <c r="Z649" s="322"/>
    </row>
    <row r="650" ht="12.75" customHeight="1">
      <c r="A650" s="322"/>
      <c r="B650" s="322"/>
      <c r="C650" s="323"/>
      <c r="D650" s="324"/>
      <c r="E650" s="323"/>
      <c r="F650" s="324"/>
      <c r="G650" s="322"/>
      <c r="H650" s="322"/>
      <c r="I650" s="322"/>
      <c r="J650" s="322"/>
      <c r="K650" s="322"/>
      <c r="L650" s="322"/>
      <c r="M650" s="322"/>
      <c r="N650" s="322"/>
      <c r="O650" s="322"/>
      <c r="P650" s="322"/>
      <c r="Q650" s="322"/>
      <c r="R650" s="322"/>
      <c r="S650" s="322"/>
      <c r="T650" s="322"/>
      <c r="U650" s="322"/>
      <c r="V650" s="322"/>
      <c r="W650" s="322"/>
      <c r="X650" s="322"/>
      <c r="Y650" s="322"/>
      <c r="Z650" s="322"/>
    </row>
    <row r="651" ht="12.75" customHeight="1">
      <c r="A651" s="322"/>
      <c r="B651" s="322"/>
      <c r="C651" s="323"/>
      <c r="D651" s="324"/>
      <c r="E651" s="323"/>
      <c r="F651" s="324"/>
      <c r="G651" s="322"/>
      <c r="H651" s="322"/>
      <c r="I651" s="322"/>
      <c r="J651" s="322"/>
      <c r="K651" s="322"/>
      <c r="L651" s="322"/>
      <c r="M651" s="322"/>
      <c r="N651" s="322"/>
      <c r="O651" s="322"/>
      <c r="P651" s="322"/>
      <c r="Q651" s="322"/>
      <c r="R651" s="322"/>
      <c r="S651" s="322"/>
      <c r="T651" s="322"/>
      <c r="U651" s="322"/>
      <c r="V651" s="322"/>
      <c r="W651" s="322"/>
      <c r="X651" s="322"/>
      <c r="Y651" s="322"/>
      <c r="Z651" s="322"/>
    </row>
    <row r="652" ht="12.75" customHeight="1">
      <c r="A652" s="322"/>
      <c r="B652" s="322"/>
      <c r="C652" s="323"/>
      <c r="D652" s="324"/>
      <c r="E652" s="323"/>
      <c r="F652" s="324"/>
      <c r="G652" s="322"/>
      <c r="H652" s="322"/>
      <c r="I652" s="322"/>
      <c r="J652" s="322"/>
      <c r="K652" s="322"/>
      <c r="L652" s="322"/>
      <c r="M652" s="322"/>
      <c r="N652" s="322"/>
      <c r="O652" s="322"/>
      <c r="P652" s="322"/>
      <c r="Q652" s="322"/>
      <c r="R652" s="322"/>
      <c r="S652" s="322"/>
      <c r="T652" s="322"/>
      <c r="U652" s="322"/>
      <c r="V652" s="322"/>
      <c r="W652" s="322"/>
      <c r="X652" s="322"/>
      <c r="Y652" s="322"/>
      <c r="Z652" s="322"/>
    </row>
    <row r="653" ht="12.75" customHeight="1">
      <c r="A653" s="322"/>
      <c r="B653" s="322"/>
      <c r="C653" s="323"/>
      <c r="D653" s="324"/>
      <c r="E653" s="323"/>
      <c r="F653" s="324"/>
      <c r="G653" s="322"/>
      <c r="H653" s="322"/>
      <c r="I653" s="322"/>
      <c r="J653" s="322"/>
      <c r="K653" s="322"/>
      <c r="L653" s="322"/>
      <c r="M653" s="322"/>
      <c r="N653" s="322"/>
      <c r="O653" s="322"/>
      <c r="P653" s="322"/>
      <c r="Q653" s="322"/>
      <c r="R653" s="322"/>
      <c r="S653" s="322"/>
      <c r="T653" s="322"/>
      <c r="U653" s="322"/>
      <c r="V653" s="322"/>
      <c r="W653" s="322"/>
      <c r="X653" s="322"/>
      <c r="Y653" s="322"/>
      <c r="Z653" s="322"/>
    </row>
    <row r="654" ht="12.75" customHeight="1">
      <c r="A654" s="322"/>
      <c r="B654" s="322"/>
      <c r="C654" s="323"/>
      <c r="D654" s="324"/>
      <c r="E654" s="323"/>
      <c r="F654" s="324"/>
      <c r="G654" s="322"/>
      <c r="H654" s="322"/>
      <c r="I654" s="322"/>
      <c r="J654" s="322"/>
      <c r="K654" s="322"/>
      <c r="L654" s="322"/>
      <c r="M654" s="322"/>
      <c r="N654" s="322"/>
      <c r="O654" s="322"/>
      <c r="P654" s="322"/>
      <c r="Q654" s="322"/>
      <c r="R654" s="322"/>
      <c r="S654" s="322"/>
      <c r="T654" s="322"/>
      <c r="U654" s="322"/>
      <c r="V654" s="322"/>
      <c r="W654" s="322"/>
      <c r="X654" s="322"/>
      <c r="Y654" s="322"/>
      <c r="Z654" s="322"/>
    </row>
    <row r="655" ht="12.75" customHeight="1">
      <c r="A655" s="322"/>
      <c r="B655" s="322"/>
      <c r="C655" s="323"/>
      <c r="D655" s="324"/>
      <c r="E655" s="323"/>
      <c r="F655" s="324"/>
      <c r="G655" s="322"/>
      <c r="H655" s="322"/>
      <c r="I655" s="322"/>
      <c r="J655" s="322"/>
      <c r="K655" s="322"/>
      <c r="L655" s="322"/>
      <c r="M655" s="322"/>
      <c r="N655" s="322"/>
      <c r="O655" s="322"/>
      <c r="P655" s="322"/>
      <c r="Q655" s="322"/>
      <c r="R655" s="322"/>
      <c r="S655" s="322"/>
      <c r="T655" s="322"/>
      <c r="U655" s="322"/>
      <c r="V655" s="322"/>
      <c r="W655" s="322"/>
      <c r="X655" s="322"/>
      <c r="Y655" s="322"/>
      <c r="Z655" s="322"/>
    </row>
    <row r="656" ht="12.75" customHeight="1">
      <c r="A656" s="322"/>
      <c r="B656" s="322"/>
      <c r="C656" s="323"/>
      <c r="D656" s="324"/>
      <c r="E656" s="323"/>
      <c r="F656" s="324"/>
      <c r="G656" s="322"/>
      <c r="H656" s="322"/>
      <c r="I656" s="322"/>
      <c r="J656" s="322"/>
      <c r="K656" s="322"/>
      <c r="L656" s="322"/>
      <c r="M656" s="322"/>
      <c r="N656" s="322"/>
      <c r="O656" s="322"/>
      <c r="P656" s="322"/>
      <c r="Q656" s="322"/>
      <c r="R656" s="322"/>
      <c r="S656" s="322"/>
      <c r="T656" s="322"/>
      <c r="U656" s="322"/>
      <c r="V656" s="322"/>
      <c r="W656" s="322"/>
      <c r="X656" s="322"/>
      <c r="Y656" s="322"/>
      <c r="Z656" s="322"/>
    </row>
    <row r="657" ht="12.75" customHeight="1">
      <c r="A657" s="322"/>
      <c r="B657" s="322"/>
      <c r="C657" s="323"/>
      <c r="D657" s="324"/>
      <c r="E657" s="323"/>
      <c r="F657" s="324"/>
      <c r="G657" s="322"/>
      <c r="H657" s="322"/>
      <c r="I657" s="322"/>
      <c r="J657" s="322"/>
      <c r="K657" s="322"/>
      <c r="L657" s="322"/>
      <c r="M657" s="322"/>
      <c r="N657" s="322"/>
      <c r="O657" s="322"/>
      <c r="P657" s="322"/>
      <c r="Q657" s="322"/>
      <c r="R657" s="322"/>
      <c r="S657" s="322"/>
      <c r="T657" s="322"/>
      <c r="U657" s="322"/>
      <c r="V657" s="322"/>
      <c r="W657" s="322"/>
      <c r="X657" s="322"/>
      <c r="Y657" s="322"/>
      <c r="Z657" s="322"/>
    </row>
    <row r="658" ht="12.75" customHeight="1">
      <c r="A658" s="322"/>
      <c r="B658" s="322"/>
      <c r="C658" s="323"/>
      <c r="D658" s="324"/>
      <c r="E658" s="323"/>
      <c r="F658" s="324"/>
      <c r="G658" s="322"/>
      <c r="H658" s="322"/>
      <c r="I658" s="322"/>
      <c r="J658" s="322"/>
      <c r="K658" s="322"/>
      <c r="L658" s="322"/>
      <c r="M658" s="322"/>
      <c r="N658" s="322"/>
      <c r="O658" s="322"/>
      <c r="P658" s="322"/>
      <c r="Q658" s="322"/>
      <c r="R658" s="322"/>
      <c r="S658" s="322"/>
      <c r="T658" s="322"/>
      <c r="U658" s="322"/>
      <c r="V658" s="322"/>
      <c r="W658" s="322"/>
      <c r="X658" s="322"/>
      <c r="Y658" s="322"/>
      <c r="Z658" s="322"/>
    </row>
    <row r="659" ht="12.75" customHeight="1">
      <c r="A659" s="322"/>
      <c r="B659" s="322"/>
      <c r="C659" s="323"/>
      <c r="D659" s="324"/>
      <c r="E659" s="323"/>
      <c r="F659" s="324"/>
      <c r="G659" s="322"/>
      <c r="H659" s="322"/>
      <c r="I659" s="322"/>
      <c r="J659" s="322"/>
      <c r="K659" s="322"/>
      <c r="L659" s="322"/>
      <c r="M659" s="322"/>
      <c r="N659" s="322"/>
      <c r="O659" s="322"/>
      <c r="P659" s="322"/>
      <c r="Q659" s="322"/>
      <c r="R659" s="322"/>
      <c r="S659" s="322"/>
      <c r="T659" s="322"/>
      <c r="U659" s="322"/>
      <c r="V659" s="322"/>
      <c r="W659" s="322"/>
      <c r="X659" s="322"/>
      <c r="Y659" s="322"/>
      <c r="Z659" s="322"/>
    </row>
    <row r="660" ht="12.75" customHeight="1">
      <c r="A660" s="322"/>
      <c r="B660" s="322"/>
      <c r="C660" s="323"/>
      <c r="D660" s="324"/>
      <c r="E660" s="323"/>
      <c r="F660" s="324"/>
      <c r="G660" s="322"/>
      <c r="H660" s="322"/>
      <c r="I660" s="322"/>
      <c r="J660" s="322"/>
      <c r="K660" s="322"/>
      <c r="L660" s="322"/>
      <c r="M660" s="322"/>
      <c r="N660" s="322"/>
      <c r="O660" s="322"/>
      <c r="P660" s="322"/>
      <c r="Q660" s="322"/>
      <c r="R660" s="322"/>
      <c r="S660" s="322"/>
      <c r="T660" s="322"/>
      <c r="U660" s="322"/>
      <c r="V660" s="322"/>
      <c r="W660" s="322"/>
      <c r="X660" s="322"/>
      <c r="Y660" s="322"/>
      <c r="Z660" s="322"/>
    </row>
    <row r="661" ht="12.75" customHeight="1">
      <c r="A661" s="322"/>
      <c r="B661" s="322"/>
      <c r="C661" s="323"/>
      <c r="D661" s="324"/>
      <c r="E661" s="323"/>
      <c r="F661" s="324"/>
      <c r="G661" s="322"/>
      <c r="H661" s="322"/>
      <c r="I661" s="322"/>
      <c r="J661" s="322"/>
      <c r="K661" s="322"/>
      <c r="L661" s="322"/>
      <c r="M661" s="322"/>
      <c r="N661" s="322"/>
      <c r="O661" s="322"/>
      <c r="P661" s="322"/>
      <c r="Q661" s="322"/>
      <c r="R661" s="322"/>
      <c r="S661" s="322"/>
      <c r="T661" s="322"/>
      <c r="U661" s="322"/>
      <c r="V661" s="322"/>
      <c r="W661" s="322"/>
      <c r="X661" s="322"/>
      <c r="Y661" s="322"/>
      <c r="Z661" s="322"/>
    </row>
    <row r="662" ht="12.75" customHeight="1">
      <c r="A662" s="322"/>
      <c r="B662" s="322"/>
      <c r="C662" s="323"/>
      <c r="D662" s="324"/>
      <c r="E662" s="323"/>
      <c r="F662" s="324"/>
      <c r="G662" s="322"/>
      <c r="H662" s="322"/>
      <c r="I662" s="322"/>
      <c r="J662" s="322"/>
      <c r="K662" s="322"/>
      <c r="L662" s="322"/>
      <c r="M662" s="322"/>
      <c r="N662" s="322"/>
      <c r="O662" s="322"/>
      <c r="P662" s="322"/>
      <c r="Q662" s="322"/>
      <c r="R662" s="322"/>
      <c r="S662" s="322"/>
      <c r="T662" s="322"/>
      <c r="U662" s="322"/>
      <c r="V662" s="322"/>
      <c r="W662" s="322"/>
      <c r="X662" s="322"/>
      <c r="Y662" s="322"/>
      <c r="Z662" s="322"/>
    </row>
    <row r="663" ht="12.75" customHeight="1">
      <c r="A663" s="322"/>
      <c r="B663" s="322"/>
      <c r="C663" s="323"/>
      <c r="D663" s="324"/>
      <c r="E663" s="323"/>
      <c r="F663" s="324"/>
      <c r="G663" s="322"/>
      <c r="H663" s="322"/>
      <c r="I663" s="322"/>
      <c r="J663" s="322"/>
      <c r="K663" s="322"/>
      <c r="L663" s="322"/>
      <c r="M663" s="322"/>
      <c r="N663" s="322"/>
      <c r="O663" s="322"/>
      <c r="P663" s="322"/>
      <c r="Q663" s="322"/>
      <c r="R663" s="322"/>
      <c r="S663" s="322"/>
      <c r="T663" s="322"/>
      <c r="U663" s="322"/>
      <c r="V663" s="322"/>
      <c r="W663" s="322"/>
      <c r="X663" s="322"/>
      <c r="Y663" s="322"/>
      <c r="Z663" s="322"/>
    </row>
    <row r="664" ht="12.75" customHeight="1">
      <c r="A664" s="322"/>
      <c r="B664" s="322"/>
      <c r="C664" s="323"/>
      <c r="D664" s="324"/>
      <c r="E664" s="323"/>
      <c r="F664" s="324"/>
      <c r="G664" s="322"/>
      <c r="H664" s="322"/>
      <c r="I664" s="322"/>
      <c r="J664" s="322"/>
      <c r="K664" s="322"/>
      <c r="L664" s="322"/>
      <c r="M664" s="322"/>
      <c r="N664" s="322"/>
      <c r="O664" s="322"/>
      <c r="P664" s="322"/>
      <c r="Q664" s="322"/>
      <c r="R664" s="322"/>
      <c r="S664" s="322"/>
      <c r="T664" s="322"/>
      <c r="U664" s="322"/>
      <c r="V664" s="322"/>
      <c r="W664" s="322"/>
      <c r="X664" s="322"/>
      <c r="Y664" s="322"/>
      <c r="Z664" s="322"/>
    </row>
    <row r="665" ht="12.75" customHeight="1">
      <c r="A665" s="322"/>
      <c r="B665" s="322"/>
      <c r="C665" s="323"/>
      <c r="D665" s="324"/>
      <c r="E665" s="323"/>
      <c r="F665" s="324"/>
      <c r="G665" s="322"/>
      <c r="H665" s="322"/>
      <c r="I665" s="322"/>
      <c r="J665" s="322"/>
      <c r="K665" s="322"/>
      <c r="L665" s="322"/>
      <c r="M665" s="322"/>
      <c r="N665" s="322"/>
      <c r="O665" s="322"/>
      <c r="P665" s="322"/>
      <c r="Q665" s="322"/>
      <c r="R665" s="322"/>
      <c r="S665" s="322"/>
      <c r="T665" s="322"/>
      <c r="U665" s="322"/>
      <c r="V665" s="322"/>
      <c r="W665" s="322"/>
      <c r="X665" s="322"/>
      <c r="Y665" s="322"/>
      <c r="Z665" s="322"/>
    </row>
    <row r="666" ht="12.75" customHeight="1">
      <c r="A666" s="322"/>
      <c r="B666" s="322"/>
      <c r="C666" s="323"/>
      <c r="D666" s="324"/>
      <c r="E666" s="323"/>
      <c r="F666" s="324"/>
      <c r="G666" s="322"/>
      <c r="H666" s="322"/>
      <c r="I666" s="322"/>
      <c r="J666" s="322"/>
      <c r="K666" s="322"/>
      <c r="L666" s="322"/>
      <c r="M666" s="322"/>
      <c r="N666" s="322"/>
      <c r="O666" s="322"/>
      <c r="P666" s="322"/>
      <c r="Q666" s="322"/>
      <c r="R666" s="322"/>
      <c r="S666" s="322"/>
      <c r="T666" s="322"/>
      <c r="U666" s="322"/>
      <c r="V666" s="322"/>
      <c r="W666" s="322"/>
      <c r="X666" s="322"/>
      <c r="Y666" s="322"/>
      <c r="Z666" s="322"/>
    </row>
    <row r="667" ht="12.75" customHeight="1">
      <c r="A667" s="322"/>
      <c r="B667" s="322"/>
      <c r="C667" s="323"/>
      <c r="D667" s="324"/>
      <c r="E667" s="323"/>
      <c r="F667" s="324"/>
      <c r="G667" s="322"/>
      <c r="H667" s="322"/>
      <c r="I667" s="322"/>
      <c r="J667" s="322"/>
      <c r="K667" s="322"/>
      <c r="L667" s="322"/>
      <c r="M667" s="322"/>
      <c r="N667" s="322"/>
      <c r="O667" s="322"/>
      <c r="P667" s="322"/>
      <c r="Q667" s="322"/>
      <c r="R667" s="322"/>
      <c r="S667" s="322"/>
      <c r="T667" s="322"/>
      <c r="U667" s="322"/>
      <c r="V667" s="322"/>
      <c r="W667" s="322"/>
      <c r="X667" s="322"/>
      <c r="Y667" s="322"/>
      <c r="Z667" s="322"/>
    </row>
    <row r="668" ht="12.75" customHeight="1">
      <c r="A668" s="322"/>
      <c r="B668" s="322"/>
      <c r="C668" s="323"/>
      <c r="D668" s="324"/>
      <c r="E668" s="323"/>
      <c r="F668" s="324"/>
      <c r="G668" s="322"/>
      <c r="H668" s="322"/>
      <c r="I668" s="322"/>
      <c r="J668" s="322"/>
      <c r="K668" s="322"/>
      <c r="L668" s="322"/>
      <c r="M668" s="322"/>
      <c r="N668" s="322"/>
      <c r="O668" s="322"/>
      <c r="P668" s="322"/>
      <c r="Q668" s="322"/>
      <c r="R668" s="322"/>
      <c r="S668" s="322"/>
      <c r="T668" s="322"/>
      <c r="U668" s="322"/>
      <c r="V668" s="322"/>
      <c r="W668" s="322"/>
      <c r="X668" s="322"/>
      <c r="Y668" s="322"/>
      <c r="Z668" s="322"/>
    </row>
    <row r="669" ht="12.75" customHeight="1">
      <c r="A669" s="322"/>
      <c r="B669" s="322"/>
      <c r="C669" s="323"/>
      <c r="D669" s="324"/>
      <c r="E669" s="323"/>
      <c r="F669" s="324"/>
      <c r="G669" s="322"/>
      <c r="H669" s="322"/>
      <c r="I669" s="322"/>
      <c r="J669" s="322"/>
      <c r="K669" s="322"/>
      <c r="L669" s="322"/>
      <c r="M669" s="322"/>
      <c r="N669" s="322"/>
      <c r="O669" s="322"/>
      <c r="P669" s="322"/>
      <c r="Q669" s="322"/>
      <c r="R669" s="322"/>
      <c r="S669" s="322"/>
      <c r="T669" s="322"/>
      <c r="U669" s="322"/>
      <c r="V669" s="322"/>
      <c r="W669" s="322"/>
      <c r="X669" s="322"/>
      <c r="Y669" s="322"/>
      <c r="Z669" s="322"/>
    </row>
    <row r="670" ht="12.75" customHeight="1">
      <c r="A670" s="322"/>
      <c r="B670" s="322"/>
      <c r="C670" s="323"/>
      <c r="D670" s="324"/>
      <c r="E670" s="323"/>
      <c r="F670" s="324"/>
      <c r="G670" s="322"/>
      <c r="H670" s="322"/>
      <c r="I670" s="322"/>
      <c r="J670" s="322"/>
      <c r="K670" s="322"/>
      <c r="L670" s="322"/>
      <c r="M670" s="322"/>
      <c r="N670" s="322"/>
      <c r="O670" s="322"/>
      <c r="P670" s="322"/>
      <c r="Q670" s="322"/>
      <c r="R670" s="322"/>
      <c r="S670" s="322"/>
      <c r="T670" s="322"/>
      <c r="U670" s="322"/>
      <c r="V670" s="322"/>
      <c r="W670" s="322"/>
      <c r="X670" s="322"/>
      <c r="Y670" s="322"/>
      <c r="Z670" s="322"/>
    </row>
    <row r="671" ht="12.75" customHeight="1">
      <c r="A671" s="322"/>
      <c r="B671" s="322"/>
      <c r="C671" s="323"/>
      <c r="D671" s="324"/>
      <c r="E671" s="323"/>
      <c r="F671" s="324"/>
      <c r="G671" s="322"/>
      <c r="H671" s="322"/>
      <c r="I671" s="322"/>
      <c r="J671" s="322"/>
      <c r="K671" s="322"/>
      <c r="L671" s="322"/>
      <c r="M671" s="322"/>
      <c r="N671" s="322"/>
      <c r="O671" s="322"/>
      <c r="P671" s="322"/>
      <c r="Q671" s="322"/>
      <c r="R671" s="322"/>
      <c r="S671" s="322"/>
      <c r="T671" s="322"/>
      <c r="U671" s="322"/>
      <c r="V671" s="322"/>
      <c r="W671" s="322"/>
      <c r="X671" s="322"/>
      <c r="Y671" s="322"/>
      <c r="Z671" s="322"/>
    </row>
    <row r="672" ht="12.75" customHeight="1">
      <c r="A672" s="322"/>
      <c r="B672" s="322"/>
      <c r="C672" s="323"/>
      <c r="D672" s="324"/>
      <c r="E672" s="323"/>
      <c r="F672" s="324"/>
      <c r="G672" s="322"/>
      <c r="H672" s="322"/>
      <c r="I672" s="322"/>
      <c r="J672" s="322"/>
      <c r="K672" s="322"/>
      <c r="L672" s="322"/>
      <c r="M672" s="322"/>
      <c r="N672" s="322"/>
      <c r="O672" s="322"/>
      <c r="P672" s="322"/>
      <c r="Q672" s="322"/>
      <c r="R672" s="322"/>
      <c r="S672" s="322"/>
      <c r="T672" s="322"/>
      <c r="U672" s="322"/>
      <c r="V672" s="322"/>
      <c r="W672" s="322"/>
      <c r="X672" s="322"/>
      <c r="Y672" s="322"/>
      <c r="Z672" s="322"/>
    </row>
    <row r="673" ht="12.75" customHeight="1">
      <c r="A673" s="322"/>
      <c r="B673" s="322"/>
      <c r="C673" s="323"/>
      <c r="D673" s="324"/>
      <c r="E673" s="323"/>
      <c r="F673" s="324"/>
      <c r="G673" s="322"/>
      <c r="H673" s="322"/>
      <c r="I673" s="322"/>
      <c r="J673" s="322"/>
      <c r="K673" s="322"/>
      <c r="L673" s="322"/>
      <c r="M673" s="322"/>
      <c r="N673" s="322"/>
      <c r="O673" s="322"/>
      <c r="P673" s="322"/>
      <c r="Q673" s="322"/>
      <c r="R673" s="322"/>
      <c r="S673" s="322"/>
      <c r="T673" s="322"/>
      <c r="U673" s="322"/>
      <c r="V673" s="322"/>
      <c r="W673" s="322"/>
      <c r="X673" s="322"/>
      <c r="Y673" s="322"/>
      <c r="Z673" s="322"/>
    </row>
    <row r="674" ht="12.75" customHeight="1">
      <c r="A674" s="322"/>
      <c r="B674" s="322"/>
      <c r="C674" s="323"/>
      <c r="D674" s="324"/>
      <c r="E674" s="323"/>
      <c r="F674" s="324"/>
      <c r="G674" s="322"/>
      <c r="H674" s="322"/>
      <c r="I674" s="322"/>
      <c r="J674" s="322"/>
      <c r="K674" s="322"/>
      <c r="L674" s="322"/>
      <c r="M674" s="322"/>
      <c r="N674" s="322"/>
      <c r="O674" s="322"/>
      <c r="P674" s="322"/>
      <c r="Q674" s="322"/>
      <c r="R674" s="322"/>
      <c r="S674" s="322"/>
      <c r="T674" s="322"/>
      <c r="U674" s="322"/>
      <c r="V674" s="322"/>
      <c r="W674" s="322"/>
      <c r="X674" s="322"/>
      <c r="Y674" s="322"/>
      <c r="Z674" s="322"/>
    </row>
    <row r="675" ht="12.75" customHeight="1">
      <c r="A675" s="322"/>
      <c r="B675" s="322"/>
      <c r="C675" s="323"/>
      <c r="D675" s="324"/>
      <c r="E675" s="323"/>
      <c r="F675" s="324"/>
      <c r="G675" s="322"/>
      <c r="H675" s="322"/>
      <c r="I675" s="322"/>
      <c r="J675" s="322"/>
      <c r="K675" s="322"/>
      <c r="L675" s="322"/>
      <c r="M675" s="322"/>
      <c r="N675" s="322"/>
      <c r="O675" s="322"/>
      <c r="P675" s="322"/>
      <c r="Q675" s="322"/>
      <c r="R675" s="322"/>
      <c r="S675" s="322"/>
      <c r="T675" s="322"/>
      <c r="U675" s="322"/>
      <c r="V675" s="322"/>
      <c r="W675" s="322"/>
      <c r="X675" s="322"/>
      <c r="Y675" s="322"/>
      <c r="Z675" s="322"/>
    </row>
    <row r="676" ht="12.75" customHeight="1">
      <c r="A676" s="322"/>
      <c r="B676" s="322"/>
      <c r="C676" s="323"/>
      <c r="D676" s="324"/>
      <c r="E676" s="323"/>
      <c r="F676" s="324"/>
      <c r="G676" s="322"/>
      <c r="H676" s="322"/>
      <c r="I676" s="322"/>
      <c r="J676" s="322"/>
      <c r="K676" s="322"/>
      <c r="L676" s="322"/>
      <c r="M676" s="322"/>
      <c r="N676" s="322"/>
      <c r="O676" s="322"/>
      <c r="P676" s="322"/>
      <c r="Q676" s="322"/>
      <c r="R676" s="322"/>
      <c r="S676" s="322"/>
      <c r="T676" s="322"/>
      <c r="U676" s="322"/>
      <c r="V676" s="322"/>
      <c r="W676" s="322"/>
      <c r="X676" s="322"/>
      <c r="Y676" s="322"/>
      <c r="Z676" s="322"/>
    </row>
    <row r="677" ht="12.75" customHeight="1">
      <c r="A677" s="322"/>
      <c r="B677" s="322"/>
      <c r="C677" s="323"/>
      <c r="D677" s="324"/>
      <c r="E677" s="323"/>
      <c r="F677" s="324"/>
      <c r="G677" s="322"/>
      <c r="H677" s="322"/>
      <c r="I677" s="322"/>
      <c r="J677" s="322"/>
      <c r="K677" s="322"/>
      <c r="L677" s="322"/>
      <c r="M677" s="322"/>
      <c r="N677" s="322"/>
      <c r="O677" s="322"/>
      <c r="P677" s="322"/>
      <c r="Q677" s="322"/>
      <c r="R677" s="322"/>
      <c r="S677" s="322"/>
      <c r="T677" s="322"/>
      <c r="U677" s="322"/>
      <c r="V677" s="322"/>
      <c r="W677" s="322"/>
      <c r="X677" s="322"/>
      <c r="Y677" s="322"/>
      <c r="Z677" s="322"/>
    </row>
    <row r="678" ht="12.75" customHeight="1">
      <c r="A678" s="322"/>
      <c r="B678" s="322"/>
      <c r="C678" s="323"/>
      <c r="D678" s="324"/>
      <c r="E678" s="323"/>
      <c r="F678" s="324"/>
      <c r="G678" s="322"/>
      <c r="H678" s="322"/>
      <c r="I678" s="322"/>
      <c r="J678" s="322"/>
      <c r="K678" s="322"/>
      <c r="L678" s="322"/>
      <c r="M678" s="322"/>
      <c r="N678" s="322"/>
      <c r="O678" s="322"/>
      <c r="P678" s="322"/>
      <c r="Q678" s="322"/>
      <c r="R678" s="322"/>
      <c r="S678" s="322"/>
      <c r="T678" s="322"/>
      <c r="U678" s="322"/>
      <c r="V678" s="322"/>
      <c r="W678" s="322"/>
      <c r="X678" s="322"/>
      <c r="Y678" s="322"/>
      <c r="Z678" s="322"/>
    </row>
    <row r="679" ht="12.75" customHeight="1">
      <c r="A679" s="322"/>
      <c r="B679" s="322"/>
      <c r="C679" s="323"/>
      <c r="D679" s="324"/>
      <c r="E679" s="323"/>
      <c r="F679" s="324"/>
      <c r="G679" s="322"/>
      <c r="H679" s="322"/>
      <c r="I679" s="322"/>
      <c r="J679" s="322"/>
      <c r="K679" s="322"/>
      <c r="L679" s="322"/>
      <c r="M679" s="322"/>
      <c r="N679" s="322"/>
      <c r="O679" s="322"/>
      <c r="P679" s="322"/>
      <c r="Q679" s="322"/>
      <c r="R679" s="322"/>
      <c r="S679" s="322"/>
      <c r="T679" s="322"/>
      <c r="U679" s="322"/>
      <c r="V679" s="322"/>
      <c r="W679" s="322"/>
      <c r="X679" s="322"/>
      <c r="Y679" s="322"/>
      <c r="Z679" s="322"/>
    </row>
    <row r="680" ht="12.75" customHeight="1">
      <c r="A680" s="322"/>
      <c r="B680" s="322"/>
      <c r="C680" s="323"/>
      <c r="D680" s="324"/>
      <c r="E680" s="323"/>
      <c r="F680" s="324"/>
      <c r="G680" s="322"/>
      <c r="H680" s="322"/>
      <c r="I680" s="322"/>
      <c r="J680" s="322"/>
      <c r="K680" s="322"/>
      <c r="L680" s="322"/>
      <c r="M680" s="322"/>
      <c r="N680" s="322"/>
      <c r="O680" s="322"/>
      <c r="P680" s="322"/>
      <c r="Q680" s="322"/>
      <c r="R680" s="322"/>
      <c r="S680" s="322"/>
      <c r="T680" s="322"/>
      <c r="U680" s="322"/>
      <c r="V680" s="322"/>
      <c r="W680" s="322"/>
      <c r="X680" s="322"/>
      <c r="Y680" s="322"/>
      <c r="Z680" s="322"/>
    </row>
    <row r="681" ht="12.75" customHeight="1">
      <c r="A681" s="322"/>
      <c r="B681" s="322"/>
      <c r="C681" s="323"/>
      <c r="D681" s="324"/>
      <c r="E681" s="323"/>
      <c r="F681" s="324"/>
      <c r="G681" s="322"/>
      <c r="H681" s="322"/>
      <c r="I681" s="322"/>
      <c r="J681" s="322"/>
      <c r="K681" s="322"/>
      <c r="L681" s="322"/>
      <c r="M681" s="322"/>
      <c r="N681" s="322"/>
      <c r="O681" s="322"/>
      <c r="P681" s="322"/>
      <c r="Q681" s="322"/>
      <c r="R681" s="322"/>
      <c r="S681" s="322"/>
      <c r="T681" s="322"/>
      <c r="U681" s="322"/>
      <c r="V681" s="322"/>
      <c r="W681" s="322"/>
      <c r="X681" s="322"/>
      <c r="Y681" s="322"/>
      <c r="Z681" s="322"/>
    </row>
    <row r="682" ht="12.75" customHeight="1">
      <c r="A682" s="322"/>
      <c r="B682" s="322"/>
      <c r="C682" s="323"/>
      <c r="D682" s="324"/>
      <c r="E682" s="323"/>
      <c r="F682" s="324"/>
      <c r="G682" s="322"/>
      <c r="H682" s="322"/>
      <c r="I682" s="322"/>
      <c r="J682" s="322"/>
      <c r="K682" s="322"/>
      <c r="L682" s="322"/>
      <c r="M682" s="322"/>
      <c r="N682" s="322"/>
      <c r="O682" s="322"/>
      <c r="P682" s="322"/>
      <c r="Q682" s="322"/>
      <c r="R682" s="322"/>
      <c r="S682" s="322"/>
      <c r="T682" s="322"/>
      <c r="U682" s="322"/>
      <c r="V682" s="322"/>
      <c r="W682" s="322"/>
      <c r="X682" s="322"/>
      <c r="Y682" s="322"/>
      <c r="Z682" s="322"/>
    </row>
    <row r="683" ht="12.75" customHeight="1">
      <c r="A683" s="322"/>
      <c r="B683" s="322"/>
      <c r="C683" s="323"/>
      <c r="D683" s="324"/>
      <c r="E683" s="323"/>
      <c r="F683" s="324"/>
      <c r="G683" s="322"/>
      <c r="H683" s="322"/>
      <c r="I683" s="322"/>
      <c r="J683" s="322"/>
      <c r="K683" s="322"/>
      <c r="L683" s="322"/>
      <c r="M683" s="322"/>
      <c r="N683" s="322"/>
      <c r="O683" s="322"/>
      <c r="P683" s="322"/>
      <c r="Q683" s="322"/>
      <c r="R683" s="322"/>
      <c r="S683" s="322"/>
      <c r="T683" s="322"/>
      <c r="U683" s="322"/>
      <c r="V683" s="322"/>
      <c r="W683" s="322"/>
      <c r="X683" s="322"/>
      <c r="Y683" s="322"/>
      <c r="Z683" s="322"/>
    </row>
    <row r="684" ht="12.75" customHeight="1">
      <c r="A684" s="322"/>
      <c r="B684" s="322"/>
      <c r="C684" s="323"/>
      <c r="D684" s="324"/>
      <c r="E684" s="323"/>
      <c r="F684" s="324"/>
      <c r="G684" s="322"/>
      <c r="H684" s="322"/>
      <c r="I684" s="322"/>
      <c r="J684" s="322"/>
      <c r="K684" s="322"/>
      <c r="L684" s="322"/>
      <c r="M684" s="322"/>
      <c r="N684" s="322"/>
      <c r="O684" s="322"/>
      <c r="P684" s="322"/>
      <c r="Q684" s="322"/>
      <c r="R684" s="322"/>
      <c r="S684" s="322"/>
      <c r="T684" s="322"/>
      <c r="U684" s="322"/>
      <c r="V684" s="322"/>
      <c r="W684" s="322"/>
      <c r="X684" s="322"/>
      <c r="Y684" s="322"/>
      <c r="Z684" s="322"/>
    </row>
    <row r="685" ht="12.75" customHeight="1">
      <c r="A685" s="322"/>
      <c r="B685" s="322"/>
      <c r="C685" s="323"/>
      <c r="D685" s="324"/>
      <c r="E685" s="323"/>
      <c r="F685" s="324"/>
      <c r="G685" s="322"/>
      <c r="H685" s="322"/>
      <c r="I685" s="322"/>
      <c r="J685" s="322"/>
      <c r="K685" s="322"/>
      <c r="L685" s="322"/>
      <c r="M685" s="322"/>
      <c r="N685" s="322"/>
      <c r="O685" s="322"/>
      <c r="P685" s="322"/>
      <c r="Q685" s="322"/>
      <c r="R685" s="322"/>
      <c r="S685" s="322"/>
      <c r="T685" s="322"/>
      <c r="U685" s="322"/>
      <c r="V685" s="322"/>
      <c r="W685" s="322"/>
      <c r="X685" s="322"/>
      <c r="Y685" s="322"/>
      <c r="Z685" s="322"/>
    </row>
    <row r="686" ht="12.75" customHeight="1">
      <c r="A686" s="322"/>
      <c r="B686" s="322"/>
      <c r="C686" s="323"/>
      <c r="D686" s="324"/>
      <c r="E686" s="323"/>
      <c r="F686" s="324"/>
      <c r="G686" s="322"/>
      <c r="H686" s="322"/>
      <c r="I686" s="322"/>
      <c r="J686" s="322"/>
      <c r="K686" s="322"/>
      <c r="L686" s="322"/>
      <c r="M686" s="322"/>
      <c r="N686" s="322"/>
      <c r="O686" s="322"/>
      <c r="P686" s="322"/>
      <c r="Q686" s="322"/>
      <c r="R686" s="322"/>
      <c r="S686" s="322"/>
      <c r="T686" s="322"/>
      <c r="U686" s="322"/>
      <c r="V686" s="322"/>
      <c r="W686" s="322"/>
      <c r="X686" s="322"/>
      <c r="Y686" s="322"/>
      <c r="Z686" s="322"/>
    </row>
    <row r="687" ht="12.75" customHeight="1">
      <c r="A687" s="322"/>
      <c r="B687" s="322"/>
      <c r="C687" s="323"/>
      <c r="D687" s="324"/>
      <c r="E687" s="323"/>
      <c r="F687" s="324"/>
      <c r="G687" s="322"/>
      <c r="H687" s="322"/>
      <c r="I687" s="322"/>
      <c r="J687" s="322"/>
      <c r="K687" s="322"/>
      <c r="L687" s="322"/>
      <c r="M687" s="322"/>
      <c r="N687" s="322"/>
      <c r="O687" s="322"/>
      <c r="P687" s="322"/>
      <c r="Q687" s="322"/>
      <c r="R687" s="322"/>
      <c r="S687" s="322"/>
      <c r="T687" s="322"/>
      <c r="U687" s="322"/>
      <c r="V687" s="322"/>
      <c r="W687" s="322"/>
      <c r="X687" s="322"/>
      <c r="Y687" s="322"/>
      <c r="Z687" s="322"/>
    </row>
    <row r="688" ht="12.75" customHeight="1">
      <c r="A688" s="322"/>
      <c r="B688" s="322"/>
      <c r="C688" s="323"/>
      <c r="D688" s="324"/>
      <c r="E688" s="323"/>
      <c r="F688" s="324"/>
      <c r="G688" s="322"/>
      <c r="H688" s="322"/>
      <c r="I688" s="322"/>
      <c r="J688" s="322"/>
      <c r="K688" s="322"/>
      <c r="L688" s="322"/>
      <c r="M688" s="322"/>
      <c r="N688" s="322"/>
      <c r="O688" s="322"/>
      <c r="P688" s="322"/>
      <c r="Q688" s="322"/>
      <c r="R688" s="322"/>
      <c r="S688" s="322"/>
      <c r="T688" s="322"/>
      <c r="U688" s="322"/>
      <c r="V688" s="322"/>
      <c r="W688" s="322"/>
      <c r="X688" s="322"/>
      <c r="Y688" s="322"/>
      <c r="Z688" s="322"/>
    </row>
    <row r="689" ht="12.75" customHeight="1">
      <c r="A689" s="322"/>
      <c r="B689" s="322"/>
      <c r="C689" s="323"/>
      <c r="D689" s="324"/>
      <c r="E689" s="323"/>
      <c r="F689" s="324"/>
      <c r="G689" s="322"/>
      <c r="H689" s="322"/>
      <c r="I689" s="322"/>
      <c r="J689" s="322"/>
      <c r="K689" s="322"/>
      <c r="L689" s="322"/>
      <c r="M689" s="322"/>
      <c r="N689" s="322"/>
      <c r="O689" s="322"/>
      <c r="P689" s="322"/>
      <c r="Q689" s="322"/>
      <c r="R689" s="322"/>
      <c r="S689" s="322"/>
      <c r="T689" s="322"/>
      <c r="U689" s="322"/>
      <c r="V689" s="322"/>
      <c r="W689" s="322"/>
      <c r="X689" s="322"/>
      <c r="Y689" s="322"/>
      <c r="Z689" s="322"/>
    </row>
    <row r="690" ht="12.75" customHeight="1">
      <c r="A690" s="322"/>
      <c r="B690" s="322"/>
      <c r="C690" s="323"/>
      <c r="D690" s="324"/>
      <c r="E690" s="323"/>
      <c r="F690" s="324"/>
      <c r="G690" s="322"/>
      <c r="H690" s="322"/>
      <c r="I690" s="322"/>
      <c r="J690" s="322"/>
      <c r="K690" s="322"/>
      <c r="L690" s="322"/>
      <c r="M690" s="322"/>
      <c r="N690" s="322"/>
      <c r="O690" s="322"/>
      <c r="P690" s="322"/>
      <c r="Q690" s="322"/>
      <c r="R690" s="322"/>
      <c r="S690" s="322"/>
      <c r="T690" s="322"/>
      <c r="U690" s="322"/>
      <c r="V690" s="322"/>
      <c r="W690" s="322"/>
      <c r="X690" s="322"/>
      <c r="Y690" s="322"/>
      <c r="Z690" s="322"/>
    </row>
    <row r="691" ht="12.75" customHeight="1">
      <c r="A691" s="322"/>
      <c r="B691" s="322"/>
      <c r="C691" s="323"/>
      <c r="D691" s="324"/>
      <c r="E691" s="323"/>
      <c r="F691" s="324"/>
      <c r="G691" s="322"/>
      <c r="H691" s="322"/>
      <c r="I691" s="322"/>
      <c r="J691" s="322"/>
      <c r="K691" s="322"/>
      <c r="L691" s="322"/>
      <c r="M691" s="322"/>
      <c r="N691" s="322"/>
      <c r="O691" s="322"/>
      <c r="P691" s="322"/>
      <c r="Q691" s="322"/>
      <c r="R691" s="322"/>
      <c r="S691" s="322"/>
      <c r="T691" s="322"/>
      <c r="U691" s="322"/>
      <c r="V691" s="322"/>
      <c r="W691" s="322"/>
      <c r="X691" s="322"/>
      <c r="Y691" s="322"/>
      <c r="Z691" s="322"/>
    </row>
    <row r="692" ht="12.75" customHeight="1">
      <c r="A692" s="322"/>
      <c r="B692" s="322"/>
      <c r="C692" s="323"/>
      <c r="D692" s="324"/>
      <c r="E692" s="323"/>
      <c r="F692" s="324"/>
      <c r="G692" s="322"/>
      <c r="H692" s="322"/>
      <c r="I692" s="322"/>
      <c r="J692" s="322"/>
      <c r="K692" s="322"/>
      <c r="L692" s="322"/>
      <c r="M692" s="322"/>
      <c r="N692" s="322"/>
      <c r="O692" s="322"/>
      <c r="P692" s="322"/>
      <c r="Q692" s="322"/>
      <c r="R692" s="322"/>
      <c r="S692" s="322"/>
      <c r="T692" s="322"/>
      <c r="U692" s="322"/>
      <c r="V692" s="322"/>
      <c r="W692" s="322"/>
      <c r="X692" s="322"/>
      <c r="Y692" s="322"/>
      <c r="Z692" s="322"/>
    </row>
    <row r="693" ht="12.75" customHeight="1">
      <c r="A693" s="322"/>
      <c r="B693" s="322"/>
      <c r="C693" s="323"/>
      <c r="D693" s="324"/>
      <c r="E693" s="323"/>
      <c r="F693" s="324"/>
      <c r="G693" s="322"/>
      <c r="H693" s="322"/>
      <c r="I693" s="322"/>
      <c r="J693" s="322"/>
      <c r="K693" s="322"/>
      <c r="L693" s="322"/>
      <c r="M693" s="322"/>
      <c r="N693" s="322"/>
      <c r="O693" s="322"/>
      <c r="P693" s="322"/>
      <c r="Q693" s="322"/>
      <c r="R693" s="322"/>
      <c r="S693" s="322"/>
      <c r="T693" s="322"/>
      <c r="U693" s="322"/>
      <c r="V693" s="322"/>
      <c r="W693" s="322"/>
      <c r="X693" s="322"/>
      <c r="Y693" s="322"/>
      <c r="Z693" s="322"/>
    </row>
    <row r="694" ht="12.75" customHeight="1">
      <c r="A694" s="322"/>
      <c r="B694" s="322"/>
      <c r="C694" s="323"/>
      <c r="D694" s="324"/>
      <c r="E694" s="323"/>
      <c r="F694" s="324"/>
      <c r="G694" s="322"/>
      <c r="H694" s="322"/>
      <c r="I694" s="322"/>
      <c r="J694" s="322"/>
      <c r="K694" s="322"/>
      <c r="L694" s="322"/>
      <c r="M694" s="322"/>
      <c r="N694" s="322"/>
      <c r="O694" s="322"/>
      <c r="P694" s="322"/>
      <c r="Q694" s="322"/>
      <c r="R694" s="322"/>
      <c r="S694" s="322"/>
      <c r="T694" s="322"/>
      <c r="U694" s="322"/>
      <c r="V694" s="322"/>
      <c r="W694" s="322"/>
      <c r="X694" s="322"/>
      <c r="Y694" s="322"/>
      <c r="Z694" s="322"/>
    </row>
    <row r="695" ht="12.75" customHeight="1">
      <c r="A695" s="322"/>
      <c r="B695" s="322"/>
      <c r="C695" s="323"/>
      <c r="D695" s="324"/>
      <c r="E695" s="323"/>
      <c r="F695" s="324"/>
      <c r="G695" s="322"/>
      <c r="H695" s="322"/>
      <c r="I695" s="322"/>
      <c r="J695" s="322"/>
      <c r="K695" s="322"/>
      <c r="L695" s="322"/>
      <c r="M695" s="322"/>
      <c r="N695" s="322"/>
      <c r="O695" s="322"/>
      <c r="P695" s="322"/>
      <c r="Q695" s="322"/>
      <c r="R695" s="322"/>
      <c r="S695" s="322"/>
      <c r="T695" s="322"/>
      <c r="U695" s="322"/>
      <c r="V695" s="322"/>
      <c r="W695" s="322"/>
      <c r="X695" s="322"/>
      <c r="Y695" s="322"/>
      <c r="Z695" s="322"/>
    </row>
    <row r="696" ht="12.75" customHeight="1">
      <c r="A696" s="322"/>
      <c r="B696" s="322"/>
      <c r="C696" s="323"/>
      <c r="D696" s="324"/>
      <c r="E696" s="323"/>
      <c r="F696" s="324"/>
      <c r="G696" s="322"/>
      <c r="H696" s="322"/>
      <c r="I696" s="322"/>
      <c r="J696" s="322"/>
      <c r="K696" s="322"/>
      <c r="L696" s="322"/>
      <c r="M696" s="322"/>
      <c r="N696" s="322"/>
      <c r="O696" s="322"/>
      <c r="P696" s="322"/>
      <c r="Q696" s="322"/>
      <c r="R696" s="322"/>
      <c r="S696" s="322"/>
      <c r="T696" s="322"/>
      <c r="U696" s="322"/>
      <c r="V696" s="322"/>
      <c r="W696" s="322"/>
      <c r="X696" s="322"/>
      <c r="Y696" s="322"/>
      <c r="Z696" s="322"/>
    </row>
    <row r="697" ht="12.75" customHeight="1">
      <c r="A697" s="322"/>
      <c r="B697" s="322"/>
      <c r="C697" s="323"/>
      <c r="D697" s="324"/>
      <c r="E697" s="323"/>
      <c r="F697" s="324"/>
      <c r="G697" s="322"/>
      <c r="H697" s="322"/>
      <c r="I697" s="322"/>
      <c r="J697" s="322"/>
      <c r="K697" s="322"/>
      <c r="L697" s="322"/>
      <c r="M697" s="322"/>
      <c r="N697" s="322"/>
      <c r="O697" s="322"/>
      <c r="P697" s="322"/>
      <c r="Q697" s="322"/>
      <c r="R697" s="322"/>
      <c r="S697" s="322"/>
      <c r="T697" s="322"/>
      <c r="U697" s="322"/>
      <c r="V697" s="322"/>
      <c r="W697" s="322"/>
      <c r="X697" s="322"/>
      <c r="Y697" s="322"/>
      <c r="Z697" s="322"/>
    </row>
    <row r="698" ht="12.75" customHeight="1">
      <c r="A698" s="322"/>
      <c r="B698" s="322"/>
      <c r="C698" s="323"/>
      <c r="D698" s="324"/>
      <c r="E698" s="323"/>
      <c r="F698" s="324"/>
      <c r="G698" s="322"/>
      <c r="H698" s="322"/>
      <c r="I698" s="322"/>
      <c r="J698" s="322"/>
      <c r="K698" s="322"/>
      <c r="L698" s="322"/>
      <c r="M698" s="322"/>
      <c r="N698" s="322"/>
      <c r="O698" s="322"/>
      <c r="P698" s="322"/>
      <c r="Q698" s="322"/>
      <c r="R698" s="322"/>
      <c r="S698" s="322"/>
      <c r="T698" s="322"/>
      <c r="U698" s="322"/>
      <c r="V698" s="322"/>
      <c r="W698" s="322"/>
      <c r="X698" s="322"/>
      <c r="Y698" s="322"/>
      <c r="Z698" s="322"/>
    </row>
    <row r="699" ht="12.75" customHeight="1">
      <c r="A699" s="322"/>
      <c r="B699" s="322"/>
      <c r="C699" s="323"/>
      <c r="D699" s="324"/>
      <c r="E699" s="323"/>
      <c r="F699" s="324"/>
      <c r="G699" s="322"/>
      <c r="H699" s="322"/>
      <c r="I699" s="322"/>
      <c r="J699" s="322"/>
      <c r="K699" s="322"/>
      <c r="L699" s="322"/>
      <c r="M699" s="322"/>
      <c r="N699" s="322"/>
      <c r="O699" s="322"/>
      <c r="P699" s="322"/>
      <c r="Q699" s="322"/>
      <c r="R699" s="322"/>
      <c r="S699" s="322"/>
      <c r="T699" s="322"/>
      <c r="U699" s="322"/>
      <c r="V699" s="322"/>
      <c r="W699" s="322"/>
      <c r="X699" s="322"/>
      <c r="Y699" s="322"/>
      <c r="Z699" s="322"/>
    </row>
    <row r="700" ht="12.75" customHeight="1">
      <c r="A700" s="322"/>
      <c r="B700" s="322"/>
      <c r="C700" s="323"/>
      <c r="D700" s="324"/>
      <c r="E700" s="323"/>
      <c r="F700" s="324"/>
      <c r="G700" s="322"/>
      <c r="H700" s="322"/>
      <c r="I700" s="322"/>
      <c r="J700" s="322"/>
      <c r="K700" s="322"/>
      <c r="L700" s="322"/>
      <c r="M700" s="322"/>
      <c r="N700" s="322"/>
      <c r="O700" s="322"/>
      <c r="P700" s="322"/>
      <c r="Q700" s="322"/>
      <c r="R700" s="322"/>
      <c r="S700" s="322"/>
      <c r="T700" s="322"/>
      <c r="U700" s="322"/>
      <c r="V700" s="322"/>
      <c r="W700" s="322"/>
      <c r="X700" s="322"/>
      <c r="Y700" s="322"/>
      <c r="Z700" s="322"/>
    </row>
    <row r="701" ht="12.75" customHeight="1">
      <c r="A701" s="322"/>
      <c r="B701" s="322"/>
      <c r="C701" s="323"/>
      <c r="D701" s="324"/>
      <c r="E701" s="323"/>
      <c r="F701" s="324"/>
      <c r="G701" s="322"/>
      <c r="H701" s="322"/>
      <c r="I701" s="322"/>
      <c r="J701" s="322"/>
      <c r="K701" s="322"/>
      <c r="L701" s="322"/>
      <c r="M701" s="322"/>
      <c r="N701" s="322"/>
      <c r="O701" s="322"/>
      <c r="P701" s="322"/>
      <c r="Q701" s="322"/>
      <c r="R701" s="322"/>
      <c r="S701" s="322"/>
      <c r="T701" s="322"/>
      <c r="U701" s="322"/>
      <c r="V701" s="322"/>
      <c r="W701" s="322"/>
      <c r="X701" s="322"/>
      <c r="Y701" s="322"/>
      <c r="Z701" s="322"/>
    </row>
    <row r="702" ht="12.75" customHeight="1">
      <c r="A702" s="322"/>
      <c r="B702" s="322"/>
      <c r="C702" s="323"/>
      <c r="D702" s="324"/>
      <c r="E702" s="323"/>
      <c r="F702" s="324"/>
      <c r="G702" s="322"/>
      <c r="H702" s="322"/>
      <c r="I702" s="322"/>
      <c r="J702" s="322"/>
      <c r="K702" s="322"/>
      <c r="L702" s="322"/>
      <c r="M702" s="322"/>
      <c r="N702" s="322"/>
      <c r="O702" s="322"/>
      <c r="P702" s="322"/>
      <c r="Q702" s="322"/>
      <c r="R702" s="322"/>
      <c r="S702" s="322"/>
      <c r="T702" s="322"/>
      <c r="U702" s="322"/>
      <c r="V702" s="322"/>
      <c r="W702" s="322"/>
      <c r="X702" s="322"/>
      <c r="Y702" s="322"/>
      <c r="Z702" s="322"/>
    </row>
    <row r="703" ht="12.75" customHeight="1">
      <c r="A703" s="322"/>
      <c r="B703" s="322"/>
      <c r="C703" s="323"/>
      <c r="D703" s="324"/>
      <c r="E703" s="323"/>
      <c r="F703" s="324"/>
      <c r="G703" s="322"/>
      <c r="H703" s="322"/>
      <c r="I703" s="322"/>
      <c r="J703" s="322"/>
      <c r="K703" s="322"/>
      <c r="L703" s="322"/>
      <c r="M703" s="322"/>
      <c r="N703" s="322"/>
      <c r="O703" s="322"/>
      <c r="P703" s="322"/>
      <c r="Q703" s="322"/>
      <c r="R703" s="322"/>
      <c r="S703" s="322"/>
      <c r="T703" s="322"/>
      <c r="U703" s="322"/>
      <c r="V703" s="322"/>
      <c r="W703" s="322"/>
      <c r="X703" s="322"/>
      <c r="Y703" s="322"/>
      <c r="Z703" s="322"/>
    </row>
    <row r="704" ht="12.75" customHeight="1">
      <c r="A704" s="322"/>
      <c r="B704" s="322"/>
      <c r="C704" s="323"/>
      <c r="D704" s="324"/>
      <c r="E704" s="323"/>
      <c r="F704" s="324"/>
      <c r="G704" s="322"/>
      <c r="H704" s="322"/>
      <c r="I704" s="322"/>
      <c r="J704" s="322"/>
      <c r="K704" s="322"/>
      <c r="L704" s="322"/>
      <c r="M704" s="322"/>
      <c r="N704" s="322"/>
      <c r="O704" s="322"/>
      <c r="P704" s="322"/>
      <c r="Q704" s="322"/>
      <c r="R704" s="322"/>
      <c r="S704" s="322"/>
      <c r="T704" s="322"/>
      <c r="U704" s="322"/>
      <c r="V704" s="322"/>
      <c r="W704" s="322"/>
      <c r="X704" s="322"/>
      <c r="Y704" s="322"/>
      <c r="Z704" s="322"/>
    </row>
    <row r="705" ht="12.75" customHeight="1">
      <c r="A705" s="322"/>
      <c r="B705" s="322"/>
      <c r="C705" s="323"/>
      <c r="D705" s="324"/>
      <c r="E705" s="323"/>
      <c r="F705" s="324"/>
      <c r="G705" s="322"/>
      <c r="H705" s="322"/>
      <c r="I705" s="322"/>
      <c r="J705" s="322"/>
      <c r="K705" s="322"/>
      <c r="L705" s="322"/>
      <c r="M705" s="322"/>
      <c r="N705" s="322"/>
      <c r="O705" s="322"/>
      <c r="P705" s="322"/>
      <c r="Q705" s="322"/>
      <c r="R705" s="322"/>
      <c r="S705" s="322"/>
      <c r="T705" s="322"/>
      <c r="U705" s="322"/>
      <c r="V705" s="322"/>
      <c r="W705" s="322"/>
      <c r="X705" s="322"/>
      <c r="Y705" s="322"/>
      <c r="Z705" s="322"/>
    </row>
    <row r="706" ht="12.75" customHeight="1">
      <c r="A706" s="322"/>
      <c r="B706" s="322"/>
      <c r="C706" s="323"/>
      <c r="D706" s="324"/>
      <c r="E706" s="323"/>
      <c r="F706" s="324"/>
      <c r="G706" s="322"/>
      <c r="H706" s="322"/>
      <c r="I706" s="322"/>
      <c r="J706" s="322"/>
      <c r="K706" s="322"/>
      <c r="L706" s="322"/>
      <c r="M706" s="322"/>
      <c r="N706" s="322"/>
      <c r="O706" s="322"/>
      <c r="P706" s="322"/>
      <c r="Q706" s="322"/>
      <c r="R706" s="322"/>
      <c r="S706" s="322"/>
      <c r="T706" s="322"/>
      <c r="U706" s="322"/>
      <c r="V706" s="322"/>
      <c r="W706" s="322"/>
      <c r="X706" s="322"/>
      <c r="Y706" s="322"/>
      <c r="Z706" s="322"/>
    </row>
    <row r="707" ht="12.75" customHeight="1">
      <c r="A707" s="322"/>
      <c r="B707" s="322"/>
      <c r="C707" s="323"/>
      <c r="D707" s="324"/>
      <c r="E707" s="323"/>
      <c r="F707" s="324"/>
      <c r="G707" s="322"/>
      <c r="H707" s="322"/>
      <c r="I707" s="322"/>
      <c r="J707" s="322"/>
      <c r="K707" s="322"/>
      <c r="L707" s="322"/>
      <c r="M707" s="322"/>
      <c r="N707" s="322"/>
      <c r="O707" s="322"/>
      <c r="P707" s="322"/>
      <c r="Q707" s="322"/>
      <c r="R707" s="322"/>
      <c r="S707" s="322"/>
      <c r="T707" s="322"/>
      <c r="U707" s="322"/>
      <c r="V707" s="322"/>
      <c r="W707" s="322"/>
      <c r="X707" s="322"/>
      <c r="Y707" s="322"/>
      <c r="Z707" s="322"/>
    </row>
    <row r="708" ht="12.75" customHeight="1">
      <c r="A708" s="322"/>
      <c r="B708" s="322"/>
      <c r="C708" s="323"/>
      <c r="D708" s="324"/>
      <c r="E708" s="323"/>
      <c r="F708" s="324"/>
      <c r="G708" s="322"/>
      <c r="H708" s="322"/>
      <c r="I708" s="322"/>
      <c r="J708" s="322"/>
      <c r="K708" s="322"/>
      <c r="L708" s="322"/>
      <c r="M708" s="322"/>
      <c r="N708" s="322"/>
      <c r="O708" s="322"/>
      <c r="P708" s="322"/>
      <c r="Q708" s="322"/>
      <c r="R708" s="322"/>
      <c r="S708" s="322"/>
      <c r="T708" s="322"/>
      <c r="U708" s="322"/>
      <c r="V708" s="322"/>
      <c r="W708" s="322"/>
      <c r="X708" s="322"/>
      <c r="Y708" s="322"/>
      <c r="Z708" s="322"/>
    </row>
    <row r="709" ht="12.75" customHeight="1">
      <c r="A709" s="322"/>
      <c r="B709" s="322"/>
      <c r="C709" s="323"/>
      <c r="D709" s="324"/>
      <c r="E709" s="323"/>
      <c r="F709" s="324"/>
      <c r="G709" s="322"/>
      <c r="H709" s="322"/>
      <c r="I709" s="322"/>
      <c r="J709" s="322"/>
      <c r="K709" s="322"/>
      <c r="L709" s="322"/>
      <c r="M709" s="322"/>
      <c r="N709" s="322"/>
      <c r="O709" s="322"/>
      <c r="P709" s="322"/>
      <c r="Q709" s="322"/>
      <c r="R709" s="322"/>
      <c r="S709" s="322"/>
      <c r="T709" s="322"/>
      <c r="U709" s="322"/>
      <c r="V709" s="322"/>
      <c r="W709" s="322"/>
      <c r="X709" s="322"/>
      <c r="Y709" s="322"/>
      <c r="Z709" s="322"/>
    </row>
    <row r="710" ht="12.75" customHeight="1">
      <c r="A710" s="322"/>
      <c r="B710" s="322"/>
      <c r="C710" s="323"/>
      <c r="D710" s="324"/>
      <c r="E710" s="323"/>
      <c r="F710" s="324"/>
      <c r="G710" s="322"/>
      <c r="H710" s="322"/>
      <c r="I710" s="322"/>
      <c r="J710" s="322"/>
      <c r="K710" s="322"/>
      <c r="L710" s="322"/>
      <c r="M710" s="322"/>
      <c r="N710" s="322"/>
      <c r="O710" s="322"/>
      <c r="P710" s="322"/>
      <c r="Q710" s="322"/>
      <c r="R710" s="322"/>
      <c r="S710" s="322"/>
      <c r="T710" s="322"/>
      <c r="U710" s="322"/>
      <c r="V710" s="322"/>
      <c r="W710" s="322"/>
      <c r="X710" s="322"/>
      <c r="Y710" s="322"/>
      <c r="Z710" s="322"/>
    </row>
    <row r="711" ht="12.75" customHeight="1">
      <c r="A711" s="322"/>
      <c r="B711" s="322"/>
      <c r="C711" s="323"/>
      <c r="D711" s="324"/>
      <c r="E711" s="323"/>
      <c r="F711" s="324"/>
      <c r="G711" s="322"/>
      <c r="H711" s="322"/>
      <c r="I711" s="322"/>
      <c r="J711" s="322"/>
      <c r="K711" s="322"/>
      <c r="L711" s="322"/>
      <c r="M711" s="322"/>
      <c r="N711" s="322"/>
      <c r="O711" s="322"/>
      <c r="P711" s="322"/>
      <c r="Q711" s="322"/>
      <c r="R711" s="322"/>
      <c r="S711" s="322"/>
      <c r="T711" s="322"/>
      <c r="U711" s="322"/>
      <c r="V711" s="322"/>
      <c r="W711" s="322"/>
      <c r="X711" s="322"/>
      <c r="Y711" s="322"/>
      <c r="Z711" s="322"/>
    </row>
    <row r="712" ht="12.75" customHeight="1">
      <c r="A712" s="322"/>
      <c r="B712" s="322"/>
      <c r="C712" s="323"/>
      <c r="D712" s="324"/>
      <c r="E712" s="323"/>
      <c r="F712" s="324"/>
      <c r="G712" s="322"/>
      <c r="H712" s="322"/>
      <c r="I712" s="322"/>
      <c r="J712" s="322"/>
      <c r="K712" s="322"/>
      <c r="L712" s="322"/>
      <c r="M712" s="322"/>
      <c r="N712" s="322"/>
      <c r="O712" s="322"/>
      <c r="P712" s="322"/>
      <c r="Q712" s="322"/>
      <c r="R712" s="322"/>
      <c r="S712" s="322"/>
      <c r="T712" s="322"/>
      <c r="U712" s="322"/>
      <c r="V712" s="322"/>
      <c r="W712" s="322"/>
      <c r="X712" s="322"/>
      <c r="Y712" s="322"/>
      <c r="Z712" s="322"/>
    </row>
    <row r="713" ht="12.75" customHeight="1">
      <c r="A713" s="322"/>
      <c r="B713" s="322"/>
      <c r="C713" s="323"/>
      <c r="D713" s="324"/>
      <c r="E713" s="323"/>
      <c r="F713" s="324"/>
      <c r="G713" s="322"/>
      <c r="H713" s="322"/>
      <c r="I713" s="322"/>
      <c r="J713" s="322"/>
      <c r="K713" s="322"/>
      <c r="L713" s="322"/>
      <c r="M713" s="322"/>
      <c r="N713" s="322"/>
      <c r="O713" s="322"/>
      <c r="P713" s="322"/>
      <c r="Q713" s="322"/>
      <c r="R713" s="322"/>
      <c r="S713" s="322"/>
      <c r="T713" s="322"/>
      <c r="U713" s="322"/>
      <c r="V713" s="322"/>
      <c r="W713" s="322"/>
      <c r="X713" s="322"/>
      <c r="Y713" s="322"/>
      <c r="Z713" s="322"/>
    </row>
    <row r="714" ht="12.75" customHeight="1">
      <c r="A714" s="322"/>
      <c r="B714" s="322"/>
      <c r="C714" s="323"/>
      <c r="D714" s="324"/>
      <c r="E714" s="323"/>
      <c r="F714" s="324"/>
      <c r="G714" s="322"/>
      <c r="H714" s="322"/>
      <c r="I714" s="322"/>
      <c r="J714" s="322"/>
      <c r="K714" s="322"/>
      <c r="L714" s="322"/>
      <c r="M714" s="322"/>
      <c r="N714" s="322"/>
      <c r="O714" s="322"/>
      <c r="P714" s="322"/>
      <c r="Q714" s="322"/>
      <c r="R714" s="322"/>
      <c r="S714" s="322"/>
      <c r="T714" s="322"/>
      <c r="U714" s="322"/>
      <c r="V714" s="322"/>
      <c r="W714" s="322"/>
      <c r="X714" s="322"/>
      <c r="Y714" s="322"/>
      <c r="Z714" s="322"/>
    </row>
    <row r="715" ht="12.75" customHeight="1">
      <c r="A715" s="322"/>
      <c r="B715" s="322"/>
      <c r="C715" s="323"/>
      <c r="D715" s="324"/>
      <c r="E715" s="323"/>
      <c r="F715" s="324"/>
      <c r="G715" s="322"/>
      <c r="H715" s="322"/>
      <c r="I715" s="322"/>
      <c r="J715" s="322"/>
      <c r="K715" s="322"/>
      <c r="L715" s="322"/>
      <c r="M715" s="322"/>
      <c r="N715" s="322"/>
      <c r="O715" s="322"/>
      <c r="P715" s="322"/>
      <c r="Q715" s="322"/>
      <c r="R715" s="322"/>
      <c r="S715" s="322"/>
      <c r="T715" s="322"/>
      <c r="U715" s="322"/>
      <c r="V715" s="322"/>
      <c r="W715" s="322"/>
      <c r="X715" s="322"/>
      <c r="Y715" s="322"/>
      <c r="Z715" s="322"/>
    </row>
    <row r="716" ht="12.75" customHeight="1">
      <c r="A716" s="322"/>
      <c r="B716" s="322"/>
      <c r="C716" s="323"/>
      <c r="D716" s="324"/>
      <c r="E716" s="323"/>
      <c r="F716" s="324"/>
      <c r="G716" s="322"/>
      <c r="H716" s="322"/>
      <c r="I716" s="322"/>
      <c r="J716" s="322"/>
      <c r="K716" s="322"/>
      <c r="L716" s="322"/>
      <c r="M716" s="322"/>
      <c r="N716" s="322"/>
      <c r="O716" s="322"/>
      <c r="P716" s="322"/>
      <c r="Q716" s="322"/>
      <c r="R716" s="322"/>
      <c r="S716" s="322"/>
      <c r="T716" s="322"/>
      <c r="U716" s="322"/>
      <c r="V716" s="322"/>
      <c r="W716" s="322"/>
      <c r="X716" s="322"/>
      <c r="Y716" s="322"/>
      <c r="Z716" s="322"/>
    </row>
    <row r="717" ht="12.75" customHeight="1">
      <c r="A717" s="322"/>
      <c r="B717" s="322"/>
      <c r="C717" s="323"/>
      <c r="D717" s="324"/>
      <c r="E717" s="323"/>
      <c r="F717" s="324"/>
      <c r="G717" s="322"/>
      <c r="H717" s="322"/>
      <c r="I717" s="322"/>
      <c r="J717" s="322"/>
      <c r="K717" s="322"/>
      <c r="L717" s="322"/>
      <c r="M717" s="322"/>
      <c r="N717" s="322"/>
      <c r="O717" s="322"/>
      <c r="P717" s="322"/>
      <c r="Q717" s="322"/>
      <c r="R717" s="322"/>
      <c r="S717" s="322"/>
      <c r="T717" s="322"/>
      <c r="U717" s="322"/>
      <c r="V717" s="322"/>
      <c r="W717" s="322"/>
      <c r="X717" s="322"/>
      <c r="Y717" s="322"/>
      <c r="Z717" s="322"/>
    </row>
    <row r="718" ht="12.75" customHeight="1">
      <c r="A718" s="322"/>
      <c r="B718" s="322"/>
      <c r="C718" s="323"/>
      <c r="D718" s="324"/>
      <c r="E718" s="323"/>
      <c r="F718" s="324"/>
      <c r="G718" s="322"/>
      <c r="H718" s="322"/>
      <c r="I718" s="322"/>
      <c r="J718" s="322"/>
      <c r="K718" s="322"/>
      <c r="L718" s="322"/>
      <c r="M718" s="322"/>
      <c r="N718" s="322"/>
      <c r="O718" s="322"/>
      <c r="P718" s="322"/>
      <c r="Q718" s="322"/>
      <c r="R718" s="322"/>
      <c r="S718" s="322"/>
      <c r="T718" s="322"/>
      <c r="U718" s="322"/>
      <c r="V718" s="322"/>
      <c r="W718" s="322"/>
      <c r="X718" s="322"/>
      <c r="Y718" s="322"/>
      <c r="Z718" s="322"/>
    </row>
    <row r="719" ht="12.75" customHeight="1">
      <c r="A719" s="322"/>
      <c r="B719" s="322"/>
      <c r="C719" s="323"/>
      <c r="D719" s="324"/>
      <c r="E719" s="323"/>
      <c r="F719" s="324"/>
      <c r="G719" s="322"/>
      <c r="H719" s="322"/>
      <c r="I719" s="322"/>
      <c r="J719" s="322"/>
      <c r="K719" s="322"/>
      <c r="L719" s="322"/>
      <c r="M719" s="322"/>
      <c r="N719" s="322"/>
      <c r="O719" s="322"/>
      <c r="P719" s="322"/>
      <c r="Q719" s="322"/>
      <c r="R719" s="322"/>
      <c r="S719" s="322"/>
      <c r="T719" s="322"/>
      <c r="U719" s="322"/>
      <c r="V719" s="322"/>
      <c r="W719" s="322"/>
      <c r="X719" s="322"/>
      <c r="Y719" s="322"/>
      <c r="Z719" s="322"/>
    </row>
    <row r="720" ht="12.75" customHeight="1">
      <c r="A720" s="322"/>
      <c r="B720" s="322"/>
      <c r="C720" s="323"/>
      <c r="D720" s="324"/>
      <c r="E720" s="323"/>
      <c r="F720" s="324"/>
      <c r="G720" s="322"/>
      <c r="H720" s="322"/>
      <c r="I720" s="322"/>
      <c r="J720" s="322"/>
      <c r="K720" s="322"/>
      <c r="L720" s="322"/>
      <c r="M720" s="322"/>
      <c r="N720" s="322"/>
      <c r="O720" s="322"/>
      <c r="P720" s="322"/>
      <c r="Q720" s="322"/>
      <c r="R720" s="322"/>
      <c r="S720" s="322"/>
      <c r="T720" s="322"/>
      <c r="U720" s="322"/>
      <c r="V720" s="322"/>
      <c r="W720" s="322"/>
      <c r="X720" s="322"/>
      <c r="Y720" s="322"/>
      <c r="Z720" s="322"/>
    </row>
    <row r="721" ht="12.75" customHeight="1">
      <c r="A721" s="322"/>
      <c r="B721" s="322"/>
      <c r="C721" s="323"/>
      <c r="D721" s="324"/>
      <c r="E721" s="323"/>
      <c r="F721" s="324"/>
      <c r="G721" s="322"/>
      <c r="H721" s="322"/>
      <c r="I721" s="322"/>
      <c r="J721" s="322"/>
      <c r="K721" s="322"/>
      <c r="L721" s="322"/>
      <c r="M721" s="322"/>
      <c r="N721" s="322"/>
      <c r="O721" s="322"/>
      <c r="P721" s="322"/>
      <c r="Q721" s="322"/>
      <c r="R721" s="322"/>
      <c r="S721" s="322"/>
      <c r="T721" s="322"/>
      <c r="U721" s="322"/>
      <c r="V721" s="322"/>
      <c r="W721" s="322"/>
      <c r="X721" s="322"/>
      <c r="Y721" s="322"/>
      <c r="Z721" s="322"/>
    </row>
    <row r="722" ht="12.75" customHeight="1">
      <c r="A722" s="322"/>
      <c r="B722" s="322"/>
      <c r="C722" s="323"/>
      <c r="D722" s="324"/>
      <c r="E722" s="323"/>
      <c r="F722" s="324"/>
      <c r="G722" s="322"/>
      <c r="H722" s="322"/>
      <c r="I722" s="322"/>
      <c r="J722" s="322"/>
      <c r="K722" s="322"/>
      <c r="L722" s="322"/>
      <c r="M722" s="322"/>
      <c r="N722" s="322"/>
      <c r="O722" s="322"/>
      <c r="P722" s="322"/>
      <c r="Q722" s="322"/>
      <c r="R722" s="322"/>
      <c r="S722" s="322"/>
      <c r="T722" s="322"/>
      <c r="U722" s="322"/>
      <c r="V722" s="322"/>
      <c r="W722" s="322"/>
      <c r="X722" s="322"/>
      <c r="Y722" s="322"/>
      <c r="Z722" s="322"/>
    </row>
    <row r="723" ht="12.75" customHeight="1">
      <c r="A723" s="322"/>
      <c r="B723" s="322"/>
      <c r="C723" s="323"/>
      <c r="D723" s="324"/>
      <c r="E723" s="323"/>
      <c r="F723" s="324"/>
      <c r="G723" s="322"/>
      <c r="H723" s="322"/>
      <c r="I723" s="322"/>
      <c r="J723" s="322"/>
      <c r="K723" s="322"/>
      <c r="L723" s="322"/>
      <c r="M723" s="322"/>
      <c r="N723" s="322"/>
      <c r="O723" s="322"/>
      <c r="P723" s="322"/>
      <c r="Q723" s="322"/>
      <c r="R723" s="322"/>
      <c r="S723" s="322"/>
      <c r="T723" s="322"/>
      <c r="U723" s="322"/>
      <c r="V723" s="322"/>
      <c r="W723" s="322"/>
      <c r="X723" s="322"/>
      <c r="Y723" s="322"/>
      <c r="Z723" s="322"/>
    </row>
    <row r="724" ht="12.75" customHeight="1">
      <c r="A724" s="322"/>
      <c r="B724" s="322"/>
      <c r="C724" s="323"/>
      <c r="D724" s="324"/>
      <c r="E724" s="323"/>
      <c r="F724" s="324"/>
      <c r="G724" s="322"/>
      <c r="H724" s="322"/>
      <c r="I724" s="322"/>
      <c r="J724" s="322"/>
      <c r="K724" s="322"/>
      <c r="L724" s="322"/>
      <c r="M724" s="322"/>
      <c r="N724" s="322"/>
      <c r="O724" s="322"/>
      <c r="P724" s="322"/>
      <c r="Q724" s="322"/>
      <c r="R724" s="322"/>
      <c r="S724" s="322"/>
      <c r="T724" s="322"/>
      <c r="U724" s="322"/>
      <c r="V724" s="322"/>
      <c r="W724" s="322"/>
      <c r="X724" s="322"/>
      <c r="Y724" s="322"/>
      <c r="Z724" s="322"/>
    </row>
    <row r="725" ht="12.75" customHeight="1">
      <c r="A725" s="322"/>
      <c r="B725" s="322"/>
      <c r="C725" s="323"/>
      <c r="D725" s="324"/>
      <c r="E725" s="323"/>
      <c r="F725" s="324"/>
      <c r="G725" s="322"/>
      <c r="H725" s="322"/>
      <c r="I725" s="322"/>
      <c r="J725" s="322"/>
      <c r="K725" s="322"/>
      <c r="L725" s="322"/>
      <c r="M725" s="322"/>
      <c r="N725" s="322"/>
      <c r="O725" s="322"/>
      <c r="P725" s="322"/>
      <c r="Q725" s="322"/>
      <c r="R725" s="322"/>
      <c r="S725" s="322"/>
      <c r="T725" s="322"/>
      <c r="U725" s="322"/>
      <c r="V725" s="322"/>
      <c r="W725" s="322"/>
      <c r="X725" s="322"/>
      <c r="Y725" s="322"/>
      <c r="Z725" s="322"/>
    </row>
    <row r="726" ht="12.75" customHeight="1">
      <c r="A726" s="322"/>
      <c r="B726" s="322"/>
      <c r="C726" s="323"/>
      <c r="D726" s="324"/>
      <c r="E726" s="323"/>
      <c r="F726" s="324"/>
      <c r="G726" s="322"/>
      <c r="H726" s="322"/>
      <c r="I726" s="322"/>
      <c r="J726" s="322"/>
      <c r="K726" s="322"/>
      <c r="L726" s="322"/>
      <c r="M726" s="322"/>
      <c r="N726" s="322"/>
      <c r="O726" s="322"/>
      <c r="P726" s="322"/>
      <c r="Q726" s="322"/>
      <c r="R726" s="322"/>
      <c r="S726" s="322"/>
      <c r="T726" s="322"/>
      <c r="U726" s="322"/>
      <c r="V726" s="322"/>
      <c r="W726" s="322"/>
      <c r="X726" s="322"/>
      <c r="Y726" s="322"/>
      <c r="Z726" s="322"/>
    </row>
    <row r="727" ht="12.75" customHeight="1">
      <c r="A727" s="322"/>
      <c r="B727" s="322"/>
      <c r="C727" s="323"/>
      <c r="D727" s="324"/>
      <c r="E727" s="323"/>
      <c r="F727" s="324"/>
      <c r="G727" s="322"/>
      <c r="H727" s="322"/>
      <c r="I727" s="322"/>
      <c r="J727" s="322"/>
      <c r="K727" s="322"/>
      <c r="L727" s="322"/>
      <c r="M727" s="322"/>
      <c r="N727" s="322"/>
      <c r="O727" s="322"/>
      <c r="P727" s="322"/>
      <c r="Q727" s="322"/>
      <c r="R727" s="322"/>
      <c r="S727" s="322"/>
      <c r="T727" s="322"/>
      <c r="U727" s="322"/>
      <c r="V727" s="322"/>
      <c r="W727" s="322"/>
      <c r="X727" s="322"/>
      <c r="Y727" s="322"/>
      <c r="Z727" s="322"/>
    </row>
    <row r="728" ht="12.75" customHeight="1">
      <c r="A728" s="322"/>
      <c r="B728" s="322"/>
      <c r="C728" s="323"/>
      <c r="D728" s="324"/>
      <c r="E728" s="323"/>
      <c r="F728" s="324"/>
      <c r="G728" s="322"/>
      <c r="H728" s="322"/>
      <c r="I728" s="322"/>
      <c r="J728" s="322"/>
      <c r="K728" s="322"/>
      <c r="L728" s="322"/>
      <c r="M728" s="322"/>
      <c r="N728" s="322"/>
      <c r="O728" s="322"/>
      <c r="P728" s="322"/>
      <c r="Q728" s="322"/>
      <c r="R728" s="322"/>
      <c r="S728" s="322"/>
      <c r="T728" s="322"/>
      <c r="U728" s="322"/>
      <c r="V728" s="322"/>
      <c r="W728" s="322"/>
      <c r="X728" s="322"/>
      <c r="Y728" s="322"/>
      <c r="Z728" s="322"/>
    </row>
    <row r="729" ht="12.75" customHeight="1">
      <c r="A729" s="322"/>
      <c r="B729" s="322"/>
      <c r="C729" s="323"/>
      <c r="D729" s="324"/>
      <c r="E729" s="323"/>
      <c r="F729" s="324"/>
      <c r="G729" s="322"/>
      <c r="H729" s="322"/>
      <c r="I729" s="322"/>
      <c r="J729" s="322"/>
      <c r="K729" s="322"/>
      <c r="L729" s="322"/>
      <c r="M729" s="322"/>
      <c r="N729" s="322"/>
      <c r="O729" s="322"/>
      <c r="P729" s="322"/>
      <c r="Q729" s="322"/>
      <c r="R729" s="322"/>
      <c r="S729" s="322"/>
      <c r="T729" s="322"/>
      <c r="U729" s="322"/>
      <c r="V729" s="322"/>
      <c r="W729" s="322"/>
      <c r="X729" s="322"/>
      <c r="Y729" s="322"/>
      <c r="Z729" s="322"/>
    </row>
    <row r="730" ht="12.75" customHeight="1">
      <c r="A730" s="322"/>
      <c r="B730" s="322"/>
      <c r="C730" s="323"/>
      <c r="D730" s="324"/>
      <c r="E730" s="323"/>
      <c r="F730" s="324"/>
      <c r="G730" s="322"/>
      <c r="H730" s="322"/>
      <c r="I730" s="322"/>
      <c r="J730" s="322"/>
      <c r="K730" s="322"/>
      <c r="L730" s="322"/>
      <c r="M730" s="322"/>
      <c r="N730" s="322"/>
      <c r="O730" s="322"/>
      <c r="P730" s="322"/>
      <c r="Q730" s="322"/>
      <c r="R730" s="322"/>
      <c r="S730" s="322"/>
      <c r="T730" s="322"/>
      <c r="U730" s="322"/>
      <c r="V730" s="322"/>
      <c r="W730" s="322"/>
      <c r="X730" s="322"/>
      <c r="Y730" s="322"/>
      <c r="Z730" s="322"/>
    </row>
    <row r="731" ht="12.75" customHeight="1">
      <c r="A731" s="322"/>
      <c r="B731" s="322"/>
      <c r="C731" s="323"/>
      <c r="D731" s="324"/>
      <c r="E731" s="323"/>
      <c r="F731" s="324"/>
      <c r="G731" s="322"/>
      <c r="H731" s="322"/>
      <c r="I731" s="322"/>
      <c r="J731" s="322"/>
      <c r="K731" s="322"/>
      <c r="L731" s="322"/>
      <c r="M731" s="322"/>
      <c r="N731" s="322"/>
      <c r="O731" s="322"/>
      <c r="P731" s="322"/>
      <c r="Q731" s="322"/>
      <c r="R731" s="322"/>
      <c r="S731" s="322"/>
      <c r="T731" s="322"/>
      <c r="U731" s="322"/>
      <c r="V731" s="322"/>
      <c r="W731" s="322"/>
      <c r="X731" s="322"/>
      <c r="Y731" s="322"/>
      <c r="Z731" s="322"/>
    </row>
    <row r="732" ht="12.75" customHeight="1">
      <c r="A732" s="322"/>
      <c r="B732" s="322"/>
      <c r="C732" s="323"/>
      <c r="D732" s="324"/>
      <c r="E732" s="323"/>
      <c r="F732" s="324"/>
      <c r="G732" s="322"/>
      <c r="H732" s="322"/>
      <c r="I732" s="322"/>
      <c r="J732" s="322"/>
      <c r="K732" s="322"/>
      <c r="L732" s="322"/>
      <c r="M732" s="322"/>
      <c r="N732" s="322"/>
      <c r="O732" s="322"/>
      <c r="P732" s="322"/>
      <c r="Q732" s="322"/>
      <c r="R732" s="322"/>
      <c r="S732" s="322"/>
      <c r="T732" s="322"/>
      <c r="U732" s="322"/>
      <c r="V732" s="322"/>
      <c r="W732" s="322"/>
      <c r="X732" s="322"/>
      <c r="Y732" s="322"/>
      <c r="Z732" s="322"/>
    </row>
    <row r="733" ht="12.75" customHeight="1">
      <c r="A733" s="322"/>
      <c r="B733" s="322"/>
      <c r="C733" s="323"/>
      <c r="D733" s="324"/>
      <c r="E733" s="323"/>
      <c r="F733" s="324"/>
      <c r="G733" s="322"/>
      <c r="H733" s="322"/>
      <c r="I733" s="322"/>
      <c r="J733" s="322"/>
      <c r="K733" s="322"/>
      <c r="L733" s="322"/>
      <c r="M733" s="322"/>
      <c r="N733" s="322"/>
      <c r="O733" s="322"/>
      <c r="P733" s="322"/>
      <c r="Q733" s="322"/>
      <c r="R733" s="322"/>
      <c r="S733" s="322"/>
      <c r="T733" s="322"/>
      <c r="U733" s="322"/>
      <c r="V733" s="322"/>
      <c r="W733" s="322"/>
      <c r="X733" s="322"/>
      <c r="Y733" s="322"/>
      <c r="Z733" s="322"/>
    </row>
    <row r="734" ht="12.75" customHeight="1">
      <c r="A734" s="322"/>
      <c r="B734" s="322"/>
      <c r="C734" s="323"/>
      <c r="D734" s="324"/>
      <c r="E734" s="323"/>
      <c r="F734" s="324"/>
      <c r="G734" s="322"/>
      <c r="H734" s="322"/>
      <c r="I734" s="322"/>
      <c r="J734" s="322"/>
      <c r="K734" s="322"/>
      <c r="L734" s="322"/>
      <c r="M734" s="322"/>
      <c r="N734" s="322"/>
      <c r="O734" s="322"/>
      <c r="P734" s="322"/>
      <c r="Q734" s="322"/>
      <c r="R734" s="322"/>
      <c r="S734" s="322"/>
      <c r="T734" s="322"/>
      <c r="U734" s="322"/>
      <c r="V734" s="322"/>
      <c r="W734" s="322"/>
      <c r="X734" s="322"/>
      <c r="Y734" s="322"/>
      <c r="Z734" s="322"/>
    </row>
    <row r="735" ht="12.75" customHeight="1">
      <c r="A735" s="322"/>
      <c r="B735" s="322"/>
      <c r="C735" s="323"/>
      <c r="D735" s="324"/>
      <c r="E735" s="323"/>
      <c r="F735" s="324"/>
      <c r="G735" s="322"/>
      <c r="H735" s="322"/>
      <c r="I735" s="322"/>
      <c r="J735" s="322"/>
      <c r="K735" s="322"/>
      <c r="L735" s="322"/>
      <c r="M735" s="322"/>
      <c r="N735" s="322"/>
      <c r="O735" s="322"/>
      <c r="P735" s="322"/>
      <c r="Q735" s="322"/>
      <c r="R735" s="322"/>
      <c r="S735" s="322"/>
      <c r="T735" s="322"/>
      <c r="U735" s="322"/>
      <c r="V735" s="322"/>
      <c r="W735" s="322"/>
      <c r="X735" s="322"/>
      <c r="Y735" s="322"/>
      <c r="Z735" s="322"/>
    </row>
    <row r="736" ht="12.75" customHeight="1">
      <c r="A736" s="322"/>
      <c r="B736" s="322"/>
      <c r="C736" s="323"/>
      <c r="D736" s="324"/>
      <c r="E736" s="323"/>
      <c r="F736" s="324"/>
      <c r="G736" s="322"/>
      <c r="H736" s="322"/>
      <c r="I736" s="322"/>
      <c r="J736" s="322"/>
      <c r="K736" s="322"/>
      <c r="L736" s="322"/>
      <c r="M736" s="322"/>
      <c r="N736" s="322"/>
      <c r="O736" s="322"/>
      <c r="P736" s="322"/>
      <c r="Q736" s="322"/>
      <c r="R736" s="322"/>
      <c r="S736" s="322"/>
      <c r="T736" s="322"/>
      <c r="U736" s="322"/>
      <c r="V736" s="322"/>
      <c r="W736" s="322"/>
      <c r="X736" s="322"/>
      <c r="Y736" s="322"/>
      <c r="Z736" s="322"/>
    </row>
    <row r="737" ht="12.75" customHeight="1">
      <c r="A737" s="322"/>
      <c r="B737" s="322"/>
      <c r="C737" s="323"/>
      <c r="D737" s="324"/>
      <c r="E737" s="323"/>
      <c r="F737" s="324"/>
      <c r="G737" s="322"/>
      <c r="H737" s="322"/>
      <c r="I737" s="322"/>
      <c r="J737" s="322"/>
      <c r="K737" s="322"/>
      <c r="L737" s="322"/>
      <c r="M737" s="322"/>
      <c r="N737" s="322"/>
      <c r="O737" s="322"/>
      <c r="P737" s="322"/>
      <c r="Q737" s="322"/>
      <c r="R737" s="322"/>
      <c r="S737" s="322"/>
      <c r="T737" s="322"/>
      <c r="U737" s="322"/>
      <c r="V737" s="322"/>
      <c r="W737" s="322"/>
      <c r="X737" s="322"/>
      <c r="Y737" s="322"/>
      <c r="Z737" s="322"/>
    </row>
    <row r="738" ht="12.75" customHeight="1">
      <c r="A738" s="322"/>
      <c r="B738" s="322"/>
      <c r="C738" s="323"/>
      <c r="D738" s="324"/>
      <c r="E738" s="323"/>
      <c r="F738" s="324"/>
      <c r="G738" s="322"/>
      <c r="H738" s="322"/>
      <c r="I738" s="322"/>
      <c r="J738" s="322"/>
      <c r="K738" s="322"/>
      <c r="L738" s="322"/>
      <c r="M738" s="322"/>
      <c r="N738" s="322"/>
      <c r="O738" s="322"/>
      <c r="P738" s="322"/>
      <c r="Q738" s="322"/>
      <c r="R738" s="322"/>
      <c r="S738" s="322"/>
      <c r="T738" s="322"/>
      <c r="U738" s="322"/>
      <c r="V738" s="322"/>
      <c r="W738" s="322"/>
      <c r="X738" s="322"/>
      <c r="Y738" s="322"/>
      <c r="Z738" s="322"/>
    </row>
    <row r="739" ht="12.75" customHeight="1">
      <c r="A739" s="322"/>
      <c r="B739" s="322"/>
      <c r="C739" s="323"/>
      <c r="D739" s="324"/>
      <c r="E739" s="323"/>
      <c r="F739" s="324"/>
      <c r="G739" s="322"/>
      <c r="H739" s="322"/>
      <c r="I739" s="322"/>
      <c r="J739" s="322"/>
      <c r="K739" s="322"/>
      <c r="L739" s="322"/>
      <c r="M739" s="322"/>
      <c r="N739" s="322"/>
      <c r="O739" s="322"/>
      <c r="P739" s="322"/>
      <c r="Q739" s="322"/>
      <c r="R739" s="322"/>
      <c r="S739" s="322"/>
      <c r="T739" s="322"/>
      <c r="U739" s="322"/>
      <c r="V739" s="322"/>
      <c r="W739" s="322"/>
      <c r="X739" s="322"/>
      <c r="Y739" s="322"/>
      <c r="Z739" s="322"/>
    </row>
    <row r="740" ht="12.75" customHeight="1">
      <c r="A740" s="322"/>
      <c r="B740" s="322"/>
      <c r="C740" s="323"/>
      <c r="D740" s="324"/>
      <c r="E740" s="323"/>
      <c r="F740" s="324"/>
      <c r="G740" s="322"/>
      <c r="H740" s="322"/>
      <c r="I740" s="322"/>
      <c r="J740" s="322"/>
      <c r="K740" s="322"/>
      <c r="L740" s="322"/>
      <c r="M740" s="322"/>
      <c r="N740" s="322"/>
      <c r="O740" s="322"/>
      <c r="P740" s="322"/>
      <c r="Q740" s="322"/>
      <c r="R740" s="322"/>
      <c r="S740" s="322"/>
      <c r="T740" s="322"/>
      <c r="U740" s="322"/>
      <c r="V740" s="322"/>
      <c r="W740" s="322"/>
      <c r="X740" s="322"/>
      <c r="Y740" s="322"/>
      <c r="Z740" s="322"/>
    </row>
    <row r="741" ht="12.75" customHeight="1">
      <c r="A741" s="322"/>
      <c r="B741" s="322"/>
      <c r="C741" s="323"/>
      <c r="D741" s="324"/>
      <c r="E741" s="323"/>
      <c r="F741" s="324"/>
      <c r="G741" s="322"/>
      <c r="H741" s="322"/>
      <c r="I741" s="322"/>
      <c r="J741" s="322"/>
      <c r="K741" s="322"/>
      <c r="L741" s="322"/>
      <c r="M741" s="322"/>
      <c r="N741" s="322"/>
      <c r="O741" s="322"/>
      <c r="P741" s="322"/>
      <c r="Q741" s="322"/>
      <c r="R741" s="322"/>
      <c r="S741" s="322"/>
      <c r="T741" s="322"/>
      <c r="U741" s="322"/>
      <c r="V741" s="322"/>
      <c r="W741" s="322"/>
      <c r="X741" s="322"/>
      <c r="Y741" s="322"/>
      <c r="Z741" s="322"/>
    </row>
    <row r="742" ht="12.75" customHeight="1">
      <c r="A742" s="322"/>
      <c r="B742" s="322"/>
      <c r="C742" s="323"/>
      <c r="D742" s="324"/>
      <c r="E742" s="323"/>
      <c r="F742" s="324"/>
      <c r="G742" s="322"/>
      <c r="H742" s="322"/>
      <c r="I742" s="322"/>
      <c r="J742" s="322"/>
      <c r="K742" s="322"/>
      <c r="L742" s="322"/>
      <c r="M742" s="322"/>
      <c r="N742" s="322"/>
      <c r="O742" s="322"/>
      <c r="P742" s="322"/>
      <c r="Q742" s="322"/>
      <c r="R742" s="322"/>
      <c r="S742" s="322"/>
      <c r="T742" s="322"/>
      <c r="U742" s="322"/>
      <c r="V742" s="322"/>
      <c r="W742" s="322"/>
      <c r="X742" s="322"/>
      <c r="Y742" s="322"/>
      <c r="Z742" s="322"/>
    </row>
    <row r="743" ht="12.75" customHeight="1">
      <c r="A743" s="322"/>
      <c r="B743" s="322"/>
      <c r="C743" s="323"/>
      <c r="D743" s="324"/>
      <c r="E743" s="323"/>
      <c r="F743" s="324"/>
      <c r="G743" s="322"/>
      <c r="H743" s="322"/>
      <c r="I743" s="322"/>
      <c r="J743" s="322"/>
      <c r="K743" s="322"/>
      <c r="L743" s="322"/>
      <c r="M743" s="322"/>
      <c r="N743" s="322"/>
      <c r="O743" s="322"/>
      <c r="P743" s="322"/>
      <c r="Q743" s="322"/>
      <c r="R743" s="322"/>
      <c r="S743" s="322"/>
      <c r="T743" s="322"/>
      <c r="U743" s="322"/>
      <c r="V743" s="322"/>
      <c r="W743" s="322"/>
      <c r="X743" s="322"/>
      <c r="Y743" s="322"/>
      <c r="Z743" s="322"/>
    </row>
    <row r="744" ht="12.75" customHeight="1">
      <c r="A744" s="322"/>
      <c r="B744" s="322"/>
      <c r="C744" s="323"/>
      <c r="D744" s="324"/>
      <c r="E744" s="323"/>
      <c r="F744" s="324"/>
      <c r="G744" s="322"/>
      <c r="H744" s="322"/>
      <c r="I744" s="322"/>
      <c r="J744" s="322"/>
      <c r="K744" s="322"/>
      <c r="L744" s="322"/>
      <c r="M744" s="322"/>
      <c r="N744" s="322"/>
      <c r="O744" s="322"/>
      <c r="P744" s="322"/>
      <c r="Q744" s="322"/>
      <c r="R744" s="322"/>
      <c r="S744" s="322"/>
      <c r="T744" s="322"/>
      <c r="U744" s="322"/>
      <c r="V744" s="322"/>
      <c r="W744" s="322"/>
      <c r="X744" s="322"/>
      <c r="Y744" s="322"/>
      <c r="Z744" s="322"/>
    </row>
    <row r="745" ht="12.75" customHeight="1">
      <c r="A745" s="322"/>
      <c r="B745" s="322"/>
      <c r="C745" s="323"/>
      <c r="D745" s="324"/>
      <c r="E745" s="323"/>
      <c r="F745" s="324"/>
      <c r="G745" s="322"/>
      <c r="H745" s="322"/>
      <c r="I745" s="322"/>
      <c r="J745" s="322"/>
      <c r="K745" s="322"/>
      <c r="L745" s="322"/>
      <c r="M745" s="322"/>
      <c r="N745" s="322"/>
      <c r="O745" s="322"/>
      <c r="P745" s="322"/>
      <c r="Q745" s="322"/>
      <c r="R745" s="322"/>
      <c r="S745" s="322"/>
      <c r="T745" s="322"/>
      <c r="U745" s="322"/>
      <c r="V745" s="322"/>
      <c r="W745" s="322"/>
      <c r="X745" s="322"/>
      <c r="Y745" s="322"/>
      <c r="Z745" s="322"/>
    </row>
    <row r="746" ht="12.75" customHeight="1">
      <c r="A746" s="322"/>
      <c r="B746" s="322"/>
      <c r="C746" s="323"/>
      <c r="D746" s="324"/>
      <c r="E746" s="323"/>
      <c r="F746" s="324"/>
      <c r="G746" s="322"/>
      <c r="H746" s="322"/>
      <c r="I746" s="322"/>
      <c r="J746" s="322"/>
      <c r="K746" s="322"/>
      <c r="L746" s="322"/>
      <c r="M746" s="322"/>
      <c r="N746" s="322"/>
      <c r="O746" s="322"/>
      <c r="P746" s="322"/>
      <c r="Q746" s="322"/>
      <c r="R746" s="322"/>
      <c r="S746" s="322"/>
      <c r="T746" s="322"/>
      <c r="U746" s="322"/>
      <c r="V746" s="322"/>
      <c r="W746" s="322"/>
      <c r="X746" s="322"/>
      <c r="Y746" s="322"/>
      <c r="Z746" s="322"/>
    </row>
    <row r="747" ht="12.75" customHeight="1">
      <c r="A747" s="322"/>
      <c r="B747" s="322"/>
      <c r="C747" s="323"/>
      <c r="D747" s="324"/>
      <c r="E747" s="323"/>
      <c r="F747" s="324"/>
      <c r="G747" s="322"/>
      <c r="H747" s="322"/>
      <c r="I747" s="322"/>
      <c r="J747" s="322"/>
      <c r="K747" s="322"/>
      <c r="L747" s="322"/>
      <c r="M747" s="322"/>
      <c r="N747" s="322"/>
      <c r="O747" s="322"/>
      <c r="P747" s="322"/>
      <c r="Q747" s="322"/>
      <c r="R747" s="322"/>
      <c r="S747" s="322"/>
      <c r="T747" s="322"/>
      <c r="U747" s="322"/>
      <c r="V747" s="322"/>
      <c r="W747" s="322"/>
      <c r="X747" s="322"/>
      <c r="Y747" s="322"/>
      <c r="Z747" s="322"/>
    </row>
    <row r="748" ht="12.75" customHeight="1">
      <c r="A748" s="322"/>
      <c r="B748" s="322"/>
      <c r="C748" s="323"/>
      <c r="D748" s="324"/>
      <c r="E748" s="323"/>
      <c r="F748" s="324"/>
      <c r="G748" s="322"/>
      <c r="H748" s="322"/>
      <c r="I748" s="322"/>
      <c r="J748" s="322"/>
      <c r="K748" s="322"/>
      <c r="L748" s="322"/>
      <c r="M748" s="322"/>
      <c r="N748" s="322"/>
      <c r="O748" s="322"/>
      <c r="P748" s="322"/>
      <c r="Q748" s="322"/>
      <c r="R748" s="322"/>
      <c r="S748" s="322"/>
      <c r="T748" s="322"/>
      <c r="U748" s="322"/>
      <c r="V748" s="322"/>
      <c r="W748" s="322"/>
      <c r="X748" s="322"/>
      <c r="Y748" s="322"/>
      <c r="Z748" s="322"/>
    </row>
    <row r="749" ht="12.75" customHeight="1">
      <c r="A749" s="322"/>
      <c r="B749" s="322"/>
      <c r="C749" s="323"/>
      <c r="D749" s="324"/>
      <c r="E749" s="323"/>
      <c r="F749" s="324"/>
      <c r="G749" s="322"/>
      <c r="H749" s="322"/>
      <c r="I749" s="322"/>
      <c r="J749" s="322"/>
      <c r="K749" s="322"/>
      <c r="L749" s="322"/>
      <c r="M749" s="322"/>
      <c r="N749" s="322"/>
      <c r="O749" s="322"/>
      <c r="P749" s="322"/>
      <c r="Q749" s="322"/>
      <c r="R749" s="322"/>
      <c r="S749" s="322"/>
      <c r="T749" s="322"/>
      <c r="U749" s="322"/>
      <c r="V749" s="322"/>
      <c r="W749" s="322"/>
      <c r="X749" s="322"/>
      <c r="Y749" s="322"/>
      <c r="Z749" s="322"/>
    </row>
    <row r="750" ht="12.75" customHeight="1">
      <c r="A750" s="322"/>
      <c r="B750" s="322"/>
      <c r="C750" s="323"/>
      <c r="D750" s="324"/>
      <c r="E750" s="323"/>
      <c r="F750" s="324"/>
      <c r="G750" s="322"/>
      <c r="H750" s="322"/>
      <c r="I750" s="322"/>
      <c r="J750" s="322"/>
      <c r="K750" s="322"/>
      <c r="L750" s="322"/>
      <c r="M750" s="322"/>
      <c r="N750" s="322"/>
      <c r="O750" s="322"/>
      <c r="P750" s="322"/>
      <c r="Q750" s="322"/>
      <c r="R750" s="322"/>
      <c r="S750" s="322"/>
      <c r="T750" s="322"/>
      <c r="U750" s="322"/>
      <c r="V750" s="322"/>
      <c r="W750" s="322"/>
      <c r="X750" s="322"/>
      <c r="Y750" s="322"/>
      <c r="Z750" s="322"/>
    </row>
    <row r="751" ht="12.75" customHeight="1">
      <c r="A751" s="322"/>
      <c r="B751" s="322"/>
      <c r="C751" s="323"/>
      <c r="D751" s="324"/>
      <c r="E751" s="323"/>
      <c r="F751" s="324"/>
      <c r="G751" s="322"/>
      <c r="H751" s="322"/>
      <c r="I751" s="322"/>
      <c r="J751" s="322"/>
      <c r="K751" s="322"/>
      <c r="L751" s="322"/>
      <c r="M751" s="322"/>
      <c r="N751" s="322"/>
      <c r="O751" s="322"/>
      <c r="P751" s="322"/>
      <c r="Q751" s="322"/>
      <c r="R751" s="322"/>
      <c r="S751" s="322"/>
      <c r="T751" s="322"/>
      <c r="U751" s="322"/>
      <c r="V751" s="322"/>
      <c r="W751" s="322"/>
      <c r="X751" s="322"/>
      <c r="Y751" s="322"/>
      <c r="Z751" s="322"/>
    </row>
    <row r="752" ht="12.75" customHeight="1">
      <c r="A752" s="322"/>
      <c r="B752" s="322"/>
      <c r="C752" s="323"/>
      <c r="D752" s="324"/>
      <c r="E752" s="323"/>
      <c r="F752" s="324"/>
      <c r="G752" s="322"/>
      <c r="H752" s="322"/>
      <c r="I752" s="322"/>
      <c r="J752" s="322"/>
      <c r="K752" s="322"/>
      <c r="L752" s="322"/>
      <c r="M752" s="322"/>
      <c r="N752" s="322"/>
      <c r="O752" s="322"/>
      <c r="P752" s="322"/>
      <c r="Q752" s="322"/>
      <c r="R752" s="322"/>
      <c r="S752" s="322"/>
      <c r="T752" s="322"/>
      <c r="U752" s="322"/>
      <c r="V752" s="322"/>
      <c r="W752" s="322"/>
      <c r="X752" s="322"/>
      <c r="Y752" s="322"/>
      <c r="Z752" s="322"/>
    </row>
    <row r="753" ht="12.75" customHeight="1">
      <c r="A753" s="322"/>
      <c r="B753" s="322"/>
      <c r="C753" s="323"/>
      <c r="D753" s="324"/>
      <c r="E753" s="323"/>
      <c r="F753" s="324"/>
      <c r="G753" s="322"/>
      <c r="H753" s="322"/>
      <c r="I753" s="322"/>
      <c r="J753" s="322"/>
      <c r="K753" s="322"/>
      <c r="L753" s="322"/>
      <c r="M753" s="322"/>
      <c r="N753" s="322"/>
      <c r="O753" s="322"/>
      <c r="P753" s="322"/>
      <c r="Q753" s="322"/>
      <c r="R753" s="322"/>
      <c r="S753" s="322"/>
      <c r="T753" s="322"/>
      <c r="U753" s="322"/>
      <c r="V753" s="322"/>
      <c r="W753" s="322"/>
      <c r="X753" s="322"/>
      <c r="Y753" s="322"/>
      <c r="Z753" s="322"/>
    </row>
    <row r="754" ht="12.75" customHeight="1">
      <c r="A754" s="322"/>
      <c r="B754" s="322"/>
      <c r="C754" s="323"/>
      <c r="D754" s="324"/>
      <c r="E754" s="323"/>
      <c r="F754" s="324"/>
      <c r="G754" s="322"/>
      <c r="H754" s="322"/>
      <c r="I754" s="322"/>
      <c r="J754" s="322"/>
      <c r="K754" s="322"/>
      <c r="L754" s="322"/>
      <c r="M754" s="322"/>
      <c r="N754" s="322"/>
      <c r="O754" s="322"/>
      <c r="P754" s="322"/>
      <c r="Q754" s="322"/>
      <c r="R754" s="322"/>
      <c r="S754" s="322"/>
      <c r="T754" s="322"/>
      <c r="U754" s="322"/>
      <c r="V754" s="322"/>
      <c r="W754" s="322"/>
      <c r="X754" s="322"/>
      <c r="Y754" s="322"/>
      <c r="Z754" s="322"/>
    </row>
    <row r="755" ht="12.75" customHeight="1">
      <c r="A755" s="322"/>
      <c r="B755" s="322"/>
      <c r="C755" s="323"/>
      <c r="D755" s="324"/>
      <c r="E755" s="323"/>
      <c r="F755" s="324"/>
      <c r="G755" s="322"/>
      <c r="H755" s="322"/>
      <c r="I755" s="322"/>
      <c r="J755" s="322"/>
      <c r="K755" s="322"/>
      <c r="L755" s="322"/>
      <c r="M755" s="322"/>
      <c r="N755" s="322"/>
      <c r="O755" s="322"/>
      <c r="P755" s="322"/>
      <c r="Q755" s="322"/>
      <c r="R755" s="322"/>
      <c r="S755" s="322"/>
      <c r="T755" s="322"/>
      <c r="U755" s="322"/>
      <c r="V755" s="322"/>
      <c r="W755" s="322"/>
      <c r="X755" s="322"/>
      <c r="Y755" s="322"/>
      <c r="Z755" s="322"/>
    </row>
    <row r="756" ht="12.75" customHeight="1">
      <c r="A756" s="322"/>
      <c r="B756" s="322"/>
      <c r="C756" s="323"/>
      <c r="D756" s="324"/>
      <c r="E756" s="323"/>
      <c r="F756" s="324"/>
      <c r="G756" s="322"/>
      <c r="H756" s="322"/>
      <c r="I756" s="322"/>
      <c r="J756" s="322"/>
      <c r="K756" s="322"/>
      <c r="L756" s="322"/>
      <c r="M756" s="322"/>
      <c r="N756" s="322"/>
      <c r="O756" s="322"/>
      <c r="P756" s="322"/>
      <c r="Q756" s="322"/>
      <c r="R756" s="322"/>
      <c r="S756" s="322"/>
      <c r="T756" s="322"/>
      <c r="U756" s="322"/>
      <c r="V756" s="322"/>
      <c r="W756" s="322"/>
      <c r="X756" s="322"/>
      <c r="Y756" s="322"/>
      <c r="Z756" s="322"/>
    </row>
    <row r="757" ht="12.75" customHeight="1">
      <c r="A757" s="322"/>
      <c r="B757" s="322"/>
      <c r="C757" s="323"/>
      <c r="D757" s="324"/>
      <c r="E757" s="323"/>
      <c r="F757" s="324"/>
      <c r="G757" s="322"/>
      <c r="H757" s="322"/>
      <c r="I757" s="322"/>
      <c r="J757" s="322"/>
      <c r="K757" s="322"/>
      <c r="L757" s="322"/>
      <c r="M757" s="322"/>
      <c r="N757" s="322"/>
      <c r="O757" s="322"/>
      <c r="P757" s="322"/>
      <c r="Q757" s="322"/>
      <c r="R757" s="322"/>
      <c r="S757" s="322"/>
      <c r="T757" s="322"/>
      <c r="U757" s="322"/>
      <c r="V757" s="322"/>
      <c r="W757" s="322"/>
      <c r="X757" s="322"/>
      <c r="Y757" s="322"/>
      <c r="Z757" s="322"/>
    </row>
    <row r="758" ht="12.75" customHeight="1">
      <c r="A758" s="322"/>
      <c r="B758" s="322"/>
      <c r="C758" s="323"/>
      <c r="D758" s="324"/>
      <c r="E758" s="323"/>
      <c r="F758" s="324"/>
      <c r="G758" s="322"/>
      <c r="H758" s="322"/>
      <c r="I758" s="322"/>
      <c r="J758" s="322"/>
      <c r="K758" s="322"/>
      <c r="L758" s="322"/>
      <c r="M758" s="322"/>
      <c r="N758" s="322"/>
      <c r="O758" s="322"/>
      <c r="P758" s="322"/>
      <c r="Q758" s="322"/>
      <c r="R758" s="322"/>
      <c r="S758" s="322"/>
      <c r="T758" s="322"/>
      <c r="U758" s="322"/>
      <c r="V758" s="322"/>
      <c r="W758" s="322"/>
      <c r="X758" s="322"/>
      <c r="Y758" s="322"/>
      <c r="Z758" s="322"/>
    </row>
    <row r="759" ht="12.75" customHeight="1">
      <c r="A759" s="322"/>
      <c r="B759" s="322"/>
      <c r="C759" s="323"/>
      <c r="D759" s="324"/>
      <c r="E759" s="323"/>
      <c r="F759" s="324"/>
      <c r="G759" s="322"/>
      <c r="H759" s="322"/>
      <c r="I759" s="322"/>
      <c r="J759" s="322"/>
      <c r="K759" s="322"/>
      <c r="L759" s="322"/>
      <c r="M759" s="322"/>
      <c r="N759" s="322"/>
      <c r="O759" s="322"/>
      <c r="P759" s="322"/>
      <c r="Q759" s="322"/>
      <c r="R759" s="322"/>
      <c r="S759" s="322"/>
      <c r="T759" s="322"/>
      <c r="U759" s="322"/>
      <c r="V759" s="322"/>
      <c r="W759" s="322"/>
      <c r="X759" s="322"/>
      <c r="Y759" s="322"/>
      <c r="Z759" s="322"/>
    </row>
    <row r="760" ht="12.75" customHeight="1">
      <c r="A760" s="322"/>
      <c r="B760" s="322"/>
      <c r="C760" s="323"/>
      <c r="D760" s="324"/>
      <c r="E760" s="323"/>
      <c r="F760" s="324"/>
      <c r="G760" s="322"/>
      <c r="H760" s="322"/>
      <c r="I760" s="322"/>
      <c r="J760" s="322"/>
      <c r="K760" s="322"/>
      <c r="L760" s="322"/>
      <c r="M760" s="322"/>
      <c r="N760" s="322"/>
      <c r="O760" s="322"/>
      <c r="P760" s="322"/>
      <c r="Q760" s="322"/>
      <c r="R760" s="322"/>
      <c r="S760" s="322"/>
      <c r="T760" s="322"/>
      <c r="U760" s="322"/>
      <c r="V760" s="322"/>
      <c r="W760" s="322"/>
      <c r="X760" s="322"/>
      <c r="Y760" s="322"/>
      <c r="Z760" s="322"/>
    </row>
    <row r="761" ht="12.75" customHeight="1">
      <c r="A761" s="322"/>
      <c r="B761" s="322"/>
      <c r="C761" s="323"/>
      <c r="D761" s="324"/>
      <c r="E761" s="323"/>
      <c r="F761" s="324"/>
      <c r="G761" s="322"/>
      <c r="H761" s="322"/>
      <c r="I761" s="322"/>
      <c r="J761" s="322"/>
      <c r="K761" s="322"/>
      <c r="L761" s="322"/>
      <c r="M761" s="322"/>
      <c r="N761" s="322"/>
      <c r="O761" s="322"/>
      <c r="P761" s="322"/>
      <c r="Q761" s="322"/>
      <c r="R761" s="322"/>
      <c r="S761" s="322"/>
      <c r="T761" s="322"/>
      <c r="U761" s="322"/>
      <c r="V761" s="322"/>
      <c r="W761" s="322"/>
      <c r="X761" s="322"/>
      <c r="Y761" s="322"/>
      <c r="Z761" s="322"/>
    </row>
    <row r="762" ht="12.75" customHeight="1">
      <c r="A762" s="322"/>
      <c r="B762" s="322"/>
      <c r="C762" s="323"/>
      <c r="D762" s="324"/>
      <c r="E762" s="323"/>
      <c r="F762" s="324"/>
      <c r="G762" s="322"/>
      <c r="H762" s="322"/>
      <c r="I762" s="322"/>
      <c r="J762" s="322"/>
      <c r="K762" s="322"/>
      <c r="L762" s="322"/>
      <c r="M762" s="322"/>
      <c r="N762" s="322"/>
      <c r="O762" s="322"/>
      <c r="P762" s="322"/>
      <c r="Q762" s="322"/>
      <c r="R762" s="322"/>
      <c r="S762" s="322"/>
      <c r="T762" s="322"/>
      <c r="U762" s="322"/>
      <c r="V762" s="322"/>
      <c r="W762" s="322"/>
      <c r="X762" s="322"/>
      <c r="Y762" s="322"/>
      <c r="Z762" s="322"/>
    </row>
    <row r="763" ht="12.75" customHeight="1">
      <c r="A763" s="322"/>
      <c r="B763" s="322"/>
      <c r="C763" s="323"/>
      <c r="D763" s="324"/>
      <c r="E763" s="323"/>
      <c r="F763" s="324"/>
      <c r="G763" s="322"/>
      <c r="H763" s="322"/>
      <c r="I763" s="322"/>
      <c r="J763" s="322"/>
      <c r="K763" s="322"/>
      <c r="L763" s="322"/>
      <c r="M763" s="322"/>
      <c r="N763" s="322"/>
      <c r="O763" s="322"/>
      <c r="P763" s="322"/>
      <c r="Q763" s="322"/>
      <c r="R763" s="322"/>
      <c r="S763" s="322"/>
      <c r="T763" s="322"/>
      <c r="U763" s="322"/>
      <c r="V763" s="322"/>
      <c r="W763" s="322"/>
      <c r="X763" s="322"/>
      <c r="Y763" s="322"/>
      <c r="Z763" s="322"/>
    </row>
    <row r="764" ht="12.75" customHeight="1">
      <c r="A764" s="322"/>
      <c r="B764" s="322"/>
      <c r="C764" s="323"/>
      <c r="D764" s="324"/>
      <c r="E764" s="323"/>
      <c r="F764" s="324"/>
      <c r="G764" s="322"/>
      <c r="H764" s="322"/>
      <c r="I764" s="322"/>
      <c r="J764" s="322"/>
      <c r="K764" s="322"/>
      <c r="L764" s="322"/>
      <c r="M764" s="322"/>
      <c r="N764" s="322"/>
      <c r="O764" s="322"/>
      <c r="P764" s="322"/>
      <c r="Q764" s="322"/>
      <c r="R764" s="322"/>
      <c r="S764" s="322"/>
      <c r="T764" s="322"/>
      <c r="U764" s="322"/>
      <c r="V764" s="322"/>
      <c r="W764" s="322"/>
      <c r="X764" s="322"/>
      <c r="Y764" s="322"/>
      <c r="Z764" s="322"/>
    </row>
    <row r="765" ht="12.75" customHeight="1">
      <c r="A765" s="322"/>
      <c r="B765" s="322"/>
      <c r="C765" s="323"/>
      <c r="D765" s="324"/>
      <c r="E765" s="323"/>
      <c r="F765" s="324"/>
      <c r="G765" s="322"/>
      <c r="H765" s="322"/>
      <c r="I765" s="322"/>
      <c r="J765" s="322"/>
      <c r="K765" s="322"/>
      <c r="L765" s="322"/>
      <c r="M765" s="322"/>
      <c r="N765" s="322"/>
      <c r="O765" s="322"/>
      <c r="P765" s="322"/>
      <c r="Q765" s="322"/>
      <c r="R765" s="322"/>
      <c r="S765" s="322"/>
      <c r="T765" s="322"/>
      <c r="U765" s="322"/>
      <c r="V765" s="322"/>
      <c r="W765" s="322"/>
      <c r="X765" s="322"/>
      <c r="Y765" s="322"/>
      <c r="Z765" s="322"/>
    </row>
    <row r="766" ht="12.75" customHeight="1">
      <c r="A766" s="322"/>
      <c r="B766" s="322"/>
      <c r="C766" s="323"/>
      <c r="D766" s="324"/>
      <c r="E766" s="323"/>
      <c r="F766" s="324"/>
      <c r="G766" s="322"/>
      <c r="H766" s="322"/>
      <c r="I766" s="322"/>
      <c r="J766" s="322"/>
      <c r="K766" s="322"/>
      <c r="L766" s="322"/>
      <c r="M766" s="322"/>
      <c r="N766" s="322"/>
      <c r="O766" s="322"/>
      <c r="P766" s="322"/>
      <c r="Q766" s="322"/>
      <c r="R766" s="322"/>
      <c r="S766" s="322"/>
      <c r="T766" s="322"/>
      <c r="U766" s="322"/>
      <c r="V766" s="322"/>
      <c r="W766" s="322"/>
      <c r="X766" s="322"/>
      <c r="Y766" s="322"/>
      <c r="Z766" s="322"/>
    </row>
    <row r="767" ht="12.75" customHeight="1">
      <c r="A767" s="322"/>
      <c r="B767" s="322"/>
      <c r="C767" s="323"/>
      <c r="D767" s="324"/>
      <c r="E767" s="323"/>
      <c r="F767" s="324"/>
      <c r="G767" s="322"/>
      <c r="H767" s="322"/>
      <c r="I767" s="322"/>
      <c r="J767" s="322"/>
      <c r="K767" s="322"/>
      <c r="L767" s="322"/>
      <c r="M767" s="322"/>
      <c r="N767" s="322"/>
      <c r="O767" s="322"/>
      <c r="P767" s="322"/>
      <c r="Q767" s="322"/>
      <c r="R767" s="322"/>
      <c r="S767" s="322"/>
      <c r="T767" s="322"/>
      <c r="U767" s="322"/>
      <c r="V767" s="322"/>
      <c r="W767" s="322"/>
      <c r="X767" s="322"/>
      <c r="Y767" s="322"/>
      <c r="Z767" s="322"/>
    </row>
    <row r="768" ht="12.75" customHeight="1">
      <c r="A768" s="322"/>
      <c r="B768" s="322"/>
      <c r="C768" s="323"/>
      <c r="D768" s="324"/>
      <c r="E768" s="323"/>
      <c r="F768" s="324"/>
      <c r="G768" s="322"/>
      <c r="H768" s="322"/>
      <c r="I768" s="322"/>
      <c r="J768" s="322"/>
      <c r="K768" s="322"/>
      <c r="L768" s="322"/>
      <c r="M768" s="322"/>
      <c r="N768" s="322"/>
      <c r="O768" s="322"/>
      <c r="P768" s="322"/>
      <c r="Q768" s="322"/>
      <c r="R768" s="322"/>
      <c r="S768" s="322"/>
      <c r="T768" s="322"/>
      <c r="U768" s="322"/>
      <c r="V768" s="322"/>
      <c r="W768" s="322"/>
      <c r="X768" s="322"/>
      <c r="Y768" s="322"/>
      <c r="Z768" s="322"/>
    </row>
    <row r="769" ht="12.75" customHeight="1">
      <c r="A769" s="322"/>
      <c r="B769" s="322"/>
      <c r="C769" s="323"/>
      <c r="D769" s="324"/>
      <c r="E769" s="323"/>
      <c r="F769" s="324"/>
      <c r="G769" s="322"/>
      <c r="H769" s="322"/>
      <c r="I769" s="322"/>
      <c r="J769" s="322"/>
      <c r="K769" s="322"/>
      <c r="L769" s="322"/>
      <c r="M769" s="322"/>
      <c r="N769" s="322"/>
      <c r="O769" s="322"/>
      <c r="P769" s="322"/>
      <c r="Q769" s="322"/>
      <c r="R769" s="322"/>
      <c r="S769" s="322"/>
      <c r="T769" s="322"/>
      <c r="U769" s="322"/>
      <c r="V769" s="322"/>
      <c r="W769" s="322"/>
      <c r="X769" s="322"/>
      <c r="Y769" s="322"/>
      <c r="Z769" s="322"/>
    </row>
    <row r="770" ht="12.75" customHeight="1">
      <c r="A770" s="322"/>
      <c r="B770" s="322"/>
      <c r="C770" s="323"/>
      <c r="D770" s="324"/>
      <c r="E770" s="323"/>
      <c r="F770" s="324"/>
      <c r="G770" s="322"/>
      <c r="H770" s="322"/>
      <c r="I770" s="322"/>
      <c r="J770" s="322"/>
      <c r="K770" s="322"/>
      <c r="L770" s="322"/>
      <c r="M770" s="322"/>
      <c r="N770" s="322"/>
      <c r="O770" s="322"/>
      <c r="P770" s="322"/>
      <c r="Q770" s="322"/>
      <c r="R770" s="322"/>
      <c r="S770" s="322"/>
      <c r="T770" s="322"/>
      <c r="U770" s="322"/>
      <c r="V770" s="322"/>
      <c r="W770" s="322"/>
      <c r="X770" s="322"/>
      <c r="Y770" s="322"/>
      <c r="Z770" s="322"/>
    </row>
    <row r="771" ht="12.75" customHeight="1">
      <c r="A771" s="322"/>
      <c r="B771" s="322"/>
      <c r="C771" s="323"/>
      <c r="D771" s="324"/>
      <c r="E771" s="323"/>
      <c r="F771" s="324"/>
      <c r="G771" s="322"/>
      <c r="H771" s="322"/>
      <c r="I771" s="322"/>
      <c r="J771" s="322"/>
      <c r="K771" s="322"/>
      <c r="L771" s="322"/>
      <c r="M771" s="322"/>
      <c r="N771" s="322"/>
      <c r="O771" s="322"/>
      <c r="P771" s="322"/>
      <c r="Q771" s="322"/>
      <c r="R771" s="322"/>
      <c r="S771" s="322"/>
      <c r="T771" s="322"/>
      <c r="U771" s="322"/>
      <c r="V771" s="322"/>
      <c r="W771" s="322"/>
      <c r="X771" s="322"/>
      <c r="Y771" s="322"/>
      <c r="Z771" s="322"/>
    </row>
    <row r="772" ht="12.75" customHeight="1">
      <c r="A772" s="322"/>
      <c r="B772" s="322"/>
      <c r="C772" s="323"/>
      <c r="D772" s="324"/>
      <c r="E772" s="323"/>
      <c r="F772" s="324"/>
      <c r="G772" s="322"/>
      <c r="H772" s="322"/>
      <c r="I772" s="322"/>
      <c r="J772" s="322"/>
      <c r="K772" s="322"/>
      <c r="L772" s="322"/>
      <c r="M772" s="322"/>
      <c r="N772" s="322"/>
      <c r="O772" s="322"/>
      <c r="P772" s="322"/>
      <c r="Q772" s="322"/>
      <c r="R772" s="322"/>
      <c r="S772" s="322"/>
      <c r="T772" s="322"/>
      <c r="U772" s="322"/>
      <c r="V772" s="322"/>
      <c r="W772" s="322"/>
      <c r="X772" s="322"/>
      <c r="Y772" s="322"/>
      <c r="Z772" s="322"/>
    </row>
    <row r="773" ht="12.75" customHeight="1">
      <c r="A773" s="322"/>
      <c r="B773" s="322"/>
      <c r="C773" s="323"/>
      <c r="D773" s="324"/>
      <c r="E773" s="323"/>
      <c r="F773" s="324"/>
      <c r="G773" s="322"/>
      <c r="H773" s="322"/>
      <c r="I773" s="322"/>
      <c r="J773" s="322"/>
      <c r="K773" s="322"/>
      <c r="L773" s="322"/>
      <c r="M773" s="322"/>
      <c r="N773" s="322"/>
      <c r="O773" s="322"/>
      <c r="P773" s="322"/>
      <c r="Q773" s="322"/>
      <c r="R773" s="322"/>
      <c r="S773" s="322"/>
      <c r="T773" s="322"/>
      <c r="U773" s="322"/>
      <c r="V773" s="322"/>
      <c r="W773" s="322"/>
      <c r="X773" s="322"/>
      <c r="Y773" s="322"/>
      <c r="Z773" s="322"/>
    </row>
    <row r="774" ht="12.75" customHeight="1">
      <c r="A774" s="322"/>
      <c r="B774" s="322"/>
      <c r="C774" s="323"/>
      <c r="D774" s="324"/>
      <c r="E774" s="323"/>
      <c r="F774" s="324"/>
      <c r="G774" s="322"/>
      <c r="H774" s="322"/>
      <c r="I774" s="322"/>
      <c r="J774" s="322"/>
      <c r="K774" s="322"/>
      <c r="L774" s="322"/>
      <c r="M774" s="322"/>
      <c r="N774" s="322"/>
      <c r="O774" s="322"/>
      <c r="P774" s="322"/>
      <c r="Q774" s="322"/>
      <c r="R774" s="322"/>
      <c r="S774" s="322"/>
      <c r="T774" s="322"/>
      <c r="U774" s="322"/>
      <c r="V774" s="322"/>
      <c r="W774" s="322"/>
      <c r="X774" s="322"/>
      <c r="Y774" s="322"/>
      <c r="Z774" s="322"/>
    </row>
    <row r="775" ht="12.75" customHeight="1">
      <c r="A775" s="322"/>
      <c r="B775" s="322"/>
      <c r="C775" s="323"/>
      <c r="D775" s="324"/>
      <c r="E775" s="323"/>
      <c r="F775" s="324"/>
      <c r="G775" s="322"/>
      <c r="H775" s="322"/>
      <c r="I775" s="322"/>
      <c r="J775" s="322"/>
      <c r="K775" s="322"/>
      <c r="L775" s="322"/>
      <c r="M775" s="322"/>
      <c r="N775" s="322"/>
      <c r="O775" s="322"/>
      <c r="P775" s="322"/>
      <c r="Q775" s="322"/>
      <c r="R775" s="322"/>
      <c r="S775" s="322"/>
      <c r="T775" s="322"/>
      <c r="U775" s="322"/>
      <c r="V775" s="322"/>
      <c r="W775" s="322"/>
      <c r="X775" s="322"/>
      <c r="Y775" s="322"/>
      <c r="Z775" s="322"/>
    </row>
    <row r="776" ht="12.75" customHeight="1">
      <c r="A776" s="322"/>
      <c r="B776" s="322"/>
      <c r="C776" s="323"/>
      <c r="D776" s="324"/>
      <c r="E776" s="323"/>
      <c r="F776" s="324"/>
      <c r="G776" s="322"/>
      <c r="H776" s="322"/>
      <c r="I776" s="322"/>
      <c r="J776" s="322"/>
      <c r="K776" s="322"/>
      <c r="L776" s="322"/>
      <c r="M776" s="322"/>
      <c r="N776" s="322"/>
      <c r="O776" s="322"/>
      <c r="P776" s="322"/>
      <c r="Q776" s="322"/>
      <c r="R776" s="322"/>
      <c r="S776" s="322"/>
      <c r="T776" s="322"/>
      <c r="U776" s="322"/>
      <c r="V776" s="322"/>
      <c r="W776" s="322"/>
      <c r="X776" s="322"/>
      <c r="Y776" s="322"/>
      <c r="Z776" s="322"/>
    </row>
    <row r="777" ht="12.75" customHeight="1">
      <c r="A777" s="322"/>
      <c r="B777" s="322"/>
      <c r="C777" s="323"/>
      <c r="D777" s="324"/>
      <c r="E777" s="323"/>
      <c r="F777" s="324"/>
      <c r="G777" s="322"/>
      <c r="H777" s="322"/>
      <c r="I777" s="322"/>
      <c r="J777" s="322"/>
      <c r="K777" s="322"/>
      <c r="L777" s="322"/>
      <c r="M777" s="322"/>
      <c r="N777" s="322"/>
      <c r="O777" s="322"/>
      <c r="P777" s="322"/>
      <c r="Q777" s="322"/>
      <c r="R777" s="322"/>
      <c r="S777" s="322"/>
      <c r="T777" s="322"/>
      <c r="U777" s="322"/>
      <c r="V777" s="322"/>
      <c r="W777" s="322"/>
      <c r="X777" s="322"/>
      <c r="Y777" s="322"/>
      <c r="Z777" s="322"/>
    </row>
    <row r="778" ht="12.75" customHeight="1">
      <c r="A778" s="322"/>
      <c r="B778" s="322"/>
      <c r="C778" s="323"/>
      <c r="D778" s="324"/>
      <c r="E778" s="323"/>
      <c r="F778" s="324"/>
      <c r="G778" s="322"/>
      <c r="H778" s="322"/>
      <c r="I778" s="322"/>
      <c r="J778" s="322"/>
      <c r="K778" s="322"/>
      <c r="L778" s="322"/>
      <c r="M778" s="322"/>
      <c r="N778" s="322"/>
      <c r="O778" s="322"/>
      <c r="P778" s="322"/>
      <c r="Q778" s="322"/>
      <c r="R778" s="322"/>
      <c r="S778" s="322"/>
      <c r="T778" s="322"/>
      <c r="U778" s="322"/>
      <c r="V778" s="322"/>
      <c r="W778" s="322"/>
      <c r="X778" s="322"/>
      <c r="Y778" s="322"/>
      <c r="Z778" s="322"/>
    </row>
    <row r="779" ht="12.75" customHeight="1">
      <c r="A779" s="322"/>
      <c r="B779" s="322"/>
      <c r="C779" s="323"/>
      <c r="D779" s="324"/>
      <c r="E779" s="323"/>
      <c r="F779" s="324"/>
      <c r="G779" s="322"/>
      <c r="H779" s="322"/>
      <c r="I779" s="322"/>
      <c r="J779" s="322"/>
      <c r="K779" s="322"/>
      <c r="L779" s="322"/>
      <c r="M779" s="322"/>
      <c r="N779" s="322"/>
      <c r="O779" s="322"/>
      <c r="P779" s="322"/>
      <c r="Q779" s="322"/>
      <c r="R779" s="322"/>
      <c r="S779" s="322"/>
      <c r="T779" s="322"/>
      <c r="U779" s="322"/>
      <c r="V779" s="322"/>
      <c r="W779" s="322"/>
      <c r="X779" s="322"/>
      <c r="Y779" s="322"/>
      <c r="Z779" s="322"/>
    </row>
    <row r="780" ht="12.75" customHeight="1">
      <c r="A780" s="322"/>
      <c r="B780" s="322"/>
      <c r="C780" s="323"/>
      <c r="D780" s="324"/>
      <c r="E780" s="323"/>
      <c r="F780" s="324"/>
      <c r="G780" s="322"/>
      <c r="H780" s="322"/>
      <c r="I780" s="322"/>
      <c r="J780" s="322"/>
      <c r="K780" s="322"/>
      <c r="L780" s="322"/>
      <c r="M780" s="322"/>
      <c r="N780" s="322"/>
      <c r="O780" s="322"/>
      <c r="P780" s="322"/>
      <c r="Q780" s="322"/>
      <c r="R780" s="322"/>
      <c r="S780" s="322"/>
      <c r="T780" s="322"/>
      <c r="U780" s="322"/>
      <c r="V780" s="322"/>
      <c r="W780" s="322"/>
      <c r="X780" s="322"/>
      <c r="Y780" s="322"/>
      <c r="Z780" s="322"/>
    </row>
    <row r="781" ht="12.75" customHeight="1">
      <c r="A781" s="322"/>
      <c r="B781" s="322"/>
      <c r="C781" s="323"/>
      <c r="D781" s="324"/>
      <c r="E781" s="323"/>
      <c r="F781" s="324"/>
      <c r="G781" s="322"/>
      <c r="H781" s="322"/>
      <c r="I781" s="322"/>
      <c r="J781" s="322"/>
      <c r="K781" s="322"/>
      <c r="L781" s="322"/>
      <c r="M781" s="322"/>
      <c r="N781" s="322"/>
      <c r="O781" s="322"/>
      <c r="P781" s="322"/>
      <c r="Q781" s="322"/>
      <c r="R781" s="322"/>
      <c r="S781" s="322"/>
      <c r="T781" s="322"/>
      <c r="U781" s="322"/>
      <c r="V781" s="322"/>
      <c r="W781" s="322"/>
      <c r="X781" s="322"/>
      <c r="Y781" s="322"/>
      <c r="Z781" s="322"/>
    </row>
    <row r="782" ht="12.75" customHeight="1">
      <c r="A782" s="322"/>
      <c r="B782" s="322"/>
      <c r="C782" s="323"/>
      <c r="D782" s="324"/>
      <c r="E782" s="323"/>
      <c r="F782" s="324"/>
      <c r="G782" s="322"/>
      <c r="H782" s="322"/>
      <c r="I782" s="322"/>
      <c r="J782" s="322"/>
      <c r="K782" s="322"/>
      <c r="L782" s="322"/>
      <c r="M782" s="322"/>
      <c r="N782" s="322"/>
      <c r="O782" s="322"/>
      <c r="P782" s="322"/>
      <c r="Q782" s="322"/>
      <c r="R782" s="322"/>
      <c r="S782" s="322"/>
      <c r="T782" s="322"/>
      <c r="U782" s="322"/>
      <c r="V782" s="322"/>
      <c r="W782" s="322"/>
      <c r="X782" s="322"/>
      <c r="Y782" s="322"/>
      <c r="Z782" s="322"/>
    </row>
    <row r="783" ht="12.75" customHeight="1">
      <c r="A783" s="322"/>
      <c r="B783" s="322"/>
      <c r="C783" s="323"/>
      <c r="D783" s="324"/>
      <c r="E783" s="323"/>
      <c r="F783" s="324"/>
      <c r="G783" s="322"/>
      <c r="H783" s="322"/>
      <c r="I783" s="322"/>
      <c r="J783" s="322"/>
      <c r="K783" s="322"/>
      <c r="L783" s="322"/>
      <c r="M783" s="322"/>
      <c r="N783" s="322"/>
      <c r="O783" s="322"/>
      <c r="P783" s="322"/>
      <c r="Q783" s="322"/>
      <c r="R783" s="322"/>
      <c r="S783" s="322"/>
      <c r="T783" s="322"/>
      <c r="U783" s="322"/>
      <c r="V783" s="322"/>
      <c r="W783" s="322"/>
      <c r="X783" s="322"/>
      <c r="Y783" s="322"/>
      <c r="Z783" s="322"/>
    </row>
    <row r="784" ht="12.75" customHeight="1">
      <c r="A784" s="322"/>
      <c r="B784" s="322"/>
      <c r="C784" s="323"/>
      <c r="D784" s="324"/>
      <c r="E784" s="323"/>
      <c r="F784" s="324"/>
      <c r="G784" s="322"/>
      <c r="H784" s="322"/>
      <c r="I784" s="322"/>
      <c r="J784" s="322"/>
      <c r="K784" s="322"/>
      <c r="L784" s="322"/>
      <c r="M784" s="322"/>
      <c r="N784" s="322"/>
      <c r="O784" s="322"/>
      <c r="P784" s="322"/>
      <c r="Q784" s="322"/>
      <c r="R784" s="322"/>
      <c r="S784" s="322"/>
      <c r="T784" s="322"/>
      <c r="U784" s="322"/>
      <c r="V784" s="322"/>
      <c r="W784" s="322"/>
      <c r="X784" s="322"/>
      <c r="Y784" s="322"/>
      <c r="Z784" s="322"/>
    </row>
    <row r="785" ht="12.75" customHeight="1">
      <c r="A785" s="322"/>
      <c r="B785" s="322"/>
      <c r="C785" s="323"/>
      <c r="D785" s="324"/>
      <c r="E785" s="323"/>
      <c r="F785" s="324"/>
      <c r="G785" s="322"/>
      <c r="H785" s="322"/>
      <c r="I785" s="322"/>
      <c r="J785" s="322"/>
      <c r="K785" s="322"/>
      <c r="L785" s="322"/>
      <c r="M785" s="322"/>
      <c r="N785" s="322"/>
      <c r="O785" s="322"/>
      <c r="P785" s="322"/>
      <c r="Q785" s="322"/>
      <c r="R785" s="322"/>
      <c r="S785" s="322"/>
      <c r="T785" s="322"/>
      <c r="U785" s="322"/>
      <c r="V785" s="322"/>
      <c r="W785" s="322"/>
      <c r="X785" s="322"/>
      <c r="Y785" s="322"/>
      <c r="Z785" s="322"/>
    </row>
    <row r="786" ht="12.75" customHeight="1">
      <c r="A786" s="322"/>
      <c r="B786" s="322"/>
      <c r="C786" s="323"/>
      <c r="D786" s="324"/>
      <c r="E786" s="323"/>
      <c r="F786" s="324"/>
      <c r="G786" s="322"/>
      <c r="H786" s="322"/>
      <c r="I786" s="322"/>
      <c r="J786" s="322"/>
      <c r="K786" s="322"/>
      <c r="L786" s="322"/>
      <c r="M786" s="322"/>
      <c r="N786" s="322"/>
      <c r="O786" s="322"/>
      <c r="P786" s="322"/>
      <c r="Q786" s="322"/>
      <c r="R786" s="322"/>
      <c r="S786" s="322"/>
      <c r="T786" s="322"/>
      <c r="U786" s="322"/>
      <c r="V786" s="322"/>
      <c r="W786" s="322"/>
      <c r="X786" s="322"/>
      <c r="Y786" s="322"/>
      <c r="Z786" s="322"/>
    </row>
    <row r="787" ht="12.75" customHeight="1">
      <c r="A787" s="322"/>
      <c r="B787" s="322"/>
      <c r="C787" s="323"/>
      <c r="D787" s="324"/>
      <c r="E787" s="323"/>
      <c r="F787" s="324"/>
      <c r="G787" s="322"/>
      <c r="H787" s="322"/>
      <c r="I787" s="322"/>
      <c r="J787" s="322"/>
      <c r="K787" s="322"/>
      <c r="L787" s="322"/>
      <c r="M787" s="322"/>
      <c r="N787" s="322"/>
      <c r="O787" s="322"/>
      <c r="P787" s="322"/>
      <c r="Q787" s="322"/>
      <c r="R787" s="322"/>
      <c r="S787" s="322"/>
      <c r="T787" s="322"/>
      <c r="U787" s="322"/>
      <c r="V787" s="322"/>
      <c r="W787" s="322"/>
      <c r="X787" s="322"/>
      <c r="Y787" s="322"/>
      <c r="Z787" s="322"/>
    </row>
    <row r="788" ht="12.75" customHeight="1">
      <c r="A788" s="322"/>
      <c r="B788" s="322"/>
      <c r="C788" s="323"/>
      <c r="D788" s="324"/>
      <c r="E788" s="323"/>
      <c r="F788" s="324"/>
      <c r="G788" s="322"/>
      <c r="H788" s="322"/>
      <c r="I788" s="322"/>
      <c r="J788" s="322"/>
      <c r="K788" s="322"/>
      <c r="L788" s="322"/>
      <c r="M788" s="322"/>
      <c r="N788" s="322"/>
      <c r="O788" s="322"/>
      <c r="P788" s="322"/>
      <c r="Q788" s="322"/>
      <c r="R788" s="322"/>
      <c r="S788" s="322"/>
      <c r="T788" s="322"/>
      <c r="U788" s="322"/>
      <c r="V788" s="322"/>
      <c r="W788" s="322"/>
      <c r="X788" s="322"/>
      <c r="Y788" s="322"/>
      <c r="Z788" s="322"/>
    </row>
    <row r="789" ht="12.75" customHeight="1">
      <c r="A789" s="322"/>
      <c r="B789" s="322"/>
      <c r="C789" s="323"/>
      <c r="D789" s="324"/>
      <c r="E789" s="323"/>
      <c r="F789" s="324"/>
      <c r="G789" s="322"/>
      <c r="H789" s="322"/>
      <c r="I789" s="322"/>
      <c r="J789" s="322"/>
      <c r="K789" s="322"/>
      <c r="L789" s="322"/>
      <c r="M789" s="322"/>
      <c r="N789" s="322"/>
      <c r="O789" s="322"/>
      <c r="P789" s="322"/>
      <c r="Q789" s="322"/>
      <c r="R789" s="322"/>
      <c r="S789" s="322"/>
      <c r="T789" s="322"/>
      <c r="U789" s="322"/>
      <c r="V789" s="322"/>
      <c r="W789" s="322"/>
      <c r="X789" s="322"/>
      <c r="Y789" s="322"/>
      <c r="Z789" s="322"/>
    </row>
    <row r="790" ht="12.75" customHeight="1">
      <c r="A790" s="322"/>
      <c r="B790" s="322"/>
      <c r="C790" s="323"/>
      <c r="D790" s="324"/>
      <c r="E790" s="323"/>
      <c r="F790" s="324"/>
      <c r="G790" s="322"/>
      <c r="H790" s="322"/>
      <c r="I790" s="322"/>
      <c r="J790" s="322"/>
      <c r="K790" s="322"/>
      <c r="L790" s="322"/>
      <c r="M790" s="322"/>
      <c r="N790" s="322"/>
      <c r="O790" s="322"/>
      <c r="P790" s="322"/>
      <c r="Q790" s="322"/>
      <c r="R790" s="322"/>
      <c r="S790" s="322"/>
      <c r="T790" s="322"/>
      <c r="U790" s="322"/>
      <c r="V790" s="322"/>
      <c r="W790" s="322"/>
      <c r="X790" s="322"/>
      <c r="Y790" s="322"/>
      <c r="Z790" s="322"/>
    </row>
    <row r="791" ht="12.75" customHeight="1">
      <c r="A791" s="322"/>
      <c r="B791" s="322"/>
      <c r="C791" s="323"/>
      <c r="D791" s="324"/>
      <c r="E791" s="323"/>
      <c r="F791" s="324"/>
      <c r="G791" s="322"/>
      <c r="H791" s="322"/>
      <c r="I791" s="322"/>
      <c r="J791" s="322"/>
      <c r="K791" s="322"/>
      <c r="L791" s="322"/>
      <c r="M791" s="322"/>
      <c r="N791" s="322"/>
      <c r="O791" s="322"/>
      <c r="P791" s="322"/>
      <c r="Q791" s="322"/>
      <c r="R791" s="322"/>
      <c r="S791" s="322"/>
      <c r="T791" s="322"/>
      <c r="U791" s="322"/>
      <c r="V791" s="322"/>
      <c r="W791" s="322"/>
      <c r="X791" s="322"/>
      <c r="Y791" s="322"/>
      <c r="Z791" s="322"/>
    </row>
    <row r="792" ht="12.75" customHeight="1">
      <c r="A792" s="322"/>
      <c r="B792" s="322"/>
      <c r="C792" s="323"/>
      <c r="D792" s="324"/>
      <c r="E792" s="323"/>
      <c r="F792" s="324"/>
      <c r="G792" s="322"/>
      <c r="H792" s="322"/>
      <c r="I792" s="322"/>
      <c r="J792" s="322"/>
      <c r="K792" s="322"/>
      <c r="L792" s="322"/>
      <c r="M792" s="322"/>
      <c r="N792" s="322"/>
      <c r="O792" s="322"/>
      <c r="P792" s="322"/>
      <c r="Q792" s="322"/>
      <c r="R792" s="322"/>
      <c r="S792" s="322"/>
      <c r="T792" s="322"/>
      <c r="U792" s="322"/>
      <c r="V792" s="322"/>
      <c r="W792" s="322"/>
      <c r="X792" s="322"/>
      <c r="Y792" s="322"/>
      <c r="Z792" s="322"/>
    </row>
    <row r="793" ht="12.75" customHeight="1">
      <c r="A793" s="322"/>
      <c r="B793" s="322"/>
      <c r="C793" s="323"/>
      <c r="D793" s="324"/>
      <c r="E793" s="323"/>
      <c r="F793" s="324"/>
      <c r="G793" s="322"/>
      <c r="H793" s="322"/>
      <c r="I793" s="322"/>
      <c r="J793" s="322"/>
      <c r="K793" s="322"/>
      <c r="L793" s="322"/>
      <c r="M793" s="322"/>
      <c r="N793" s="322"/>
      <c r="O793" s="322"/>
      <c r="P793" s="322"/>
      <c r="Q793" s="322"/>
      <c r="R793" s="322"/>
      <c r="S793" s="322"/>
      <c r="T793" s="322"/>
      <c r="U793" s="322"/>
      <c r="V793" s="322"/>
      <c r="W793" s="322"/>
      <c r="X793" s="322"/>
      <c r="Y793" s="322"/>
      <c r="Z793" s="322"/>
    </row>
    <row r="794" ht="12.75" customHeight="1">
      <c r="A794" s="322"/>
      <c r="B794" s="322"/>
      <c r="C794" s="323"/>
      <c r="D794" s="324"/>
      <c r="E794" s="323"/>
      <c r="F794" s="324"/>
      <c r="G794" s="322"/>
      <c r="H794" s="322"/>
      <c r="I794" s="322"/>
      <c r="J794" s="322"/>
      <c r="K794" s="322"/>
      <c r="L794" s="322"/>
      <c r="M794" s="322"/>
      <c r="N794" s="322"/>
      <c r="O794" s="322"/>
      <c r="P794" s="322"/>
      <c r="Q794" s="322"/>
      <c r="R794" s="322"/>
      <c r="S794" s="322"/>
      <c r="T794" s="322"/>
      <c r="U794" s="322"/>
      <c r="V794" s="322"/>
      <c r="W794" s="322"/>
      <c r="X794" s="322"/>
      <c r="Y794" s="322"/>
      <c r="Z794" s="322"/>
    </row>
    <row r="795" ht="12.75" customHeight="1">
      <c r="A795" s="322"/>
      <c r="B795" s="322"/>
      <c r="C795" s="323"/>
      <c r="D795" s="324"/>
      <c r="E795" s="323"/>
      <c r="F795" s="324"/>
      <c r="G795" s="322"/>
      <c r="H795" s="322"/>
      <c r="I795" s="322"/>
      <c r="J795" s="322"/>
      <c r="K795" s="322"/>
      <c r="L795" s="322"/>
      <c r="M795" s="322"/>
      <c r="N795" s="322"/>
      <c r="O795" s="322"/>
      <c r="P795" s="322"/>
      <c r="Q795" s="322"/>
      <c r="R795" s="322"/>
      <c r="S795" s="322"/>
      <c r="T795" s="322"/>
      <c r="U795" s="322"/>
      <c r="V795" s="322"/>
      <c r="W795" s="322"/>
      <c r="X795" s="322"/>
      <c r="Y795" s="322"/>
      <c r="Z795" s="322"/>
    </row>
    <row r="796" ht="12.75" customHeight="1">
      <c r="A796" s="322"/>
      <c r="B796" s="322"/>
      <c r="C796" s="323"/>
      <c r="D796" s="324"/>
      <c r="E796" s="323"/>
      <c r="F796" s="324"/>
      <c r="G796" s="322"/>
      <c r="H796" s="322"/>
      <c r="I796" s="322"/>
      <c r="J796" s="322"/>
      <c r="K796" s="322"/>
      <c r="L796" s="322"/>
      <c r="M796" s="322"/>
      <c r="N796" s="322"/>
      <c r="O796" s="322"/>
      <c r="P796" s="322"/>
      <c r="Q796" s="322"/>
      <c r="R796" s="322"/>
      <c r="S796" s="322"/>
      <c r="T796" s="322"/>
      <c r="U796" s="322"/>
      <c r="V796" s="322"/>
      <c r="W796" s="322"/>
      <c r="X796" s="322"/>
      <c r="Y796" s="322"/>
      <c r="Z796" s="322"/>
    </row>
    <row r="797" ht="12.75" customHeight="1">
      <c r="A797" s="322"/>
      <c r="B797" s="322"/>
      <c r="C797" s="323"/>
      <c r="D797" s="324"/>
      <c r="E797" s="323"/>
      <c r="F797" s="324"/>
      <c r="G797" s="322"/>
      <c r="H797" s="322"/>
      <c r="I797" s="322"/>
      <c r="J797" s="322"/>
      <c r="K797" s="322"/>
      <c r="L797" s="322"/>
      <c r="M797" s="322"/>
      <c r="N797" s="322"/>
      <c r="O797" s="322"/>
      <c r="P797" s="322"/>
      <c r="Q797" s="322"/>
      <c r="R797" s="322"/>
      <c r="S797" s="322"/>
      <c r="T797" s="322"/>
      <c r="U797" s="322"/>
      <c r="V797" s="322"/>
      <c r="W797" s="322"/>
      <c r="X797" s="322"/>
      <c r="Y797" s="322"/>
      <c r="Z797" s="322"/>
    </row>
    <row r="798" ht="12.75" customHeight="1">
      <c r="A798" s="322"/>
      <c r="B798" s="322"/>
      <c r="C798" s="323"/>
      <c r="D798" s="324"/>
      <c r="E798" s="323"/>
      <c r="F798" s="324"/>
      <c r="G798" s="322"/>
      <c r="H798" s="322"/>
      <c r="I798" s="322"/>
      <c r="J798" s="322"/>
      <c r="K798" s="322"/>
      <c r="L798" s="322"/>
      <c r="M798" s="322"/>
      <c r="N798" s="322"/>
      <c r="O798" s="322"/>
      <c r="P798" s="322"/>
      <c r="Q798" s="322"/>
      <c r="R798" s="322"/>
      <c r="S798" s="322"/>
      <c r="T798" s="322"/>
      <c r="U798" s="322"/>
      <c r="V798" s="322"/>
      <c r="W798" s="322"/>
      <c r="X798" s="322"/>
      <c r="Y798" s="322"/>
      <c r="Z798" s="322"/>
    </row>
    <row r="799" ht="12.75" customHeight="1">
      <c r="A799" s="322"/>
      <c r="B799" s="322"/>
      <c r="C799" s="323"/>
      <c r="D799" s="324"/>
      <c r="E799" s="323"/>
      <c r="F799" s="324"/>
      <c r="G799" s="322"/>
      <c r="H799" s="322"/>
      <c r="I799" s="322"/>
      <c r="J799" s="322"/>
      <c r="K799" s="322"/>
      <c r="L799" s="322"/>
      <c r="M799" s="322"/>
      <c r="N799" s="322"/>
      <c r="O799" s="322"/>
      <c r="P799" s="322"/>
      <c r="Q799" s="322"/>
      <c r="R799" s="322"/>
      <c r="S799" s="322"/>
      <c r="T799" s="322"/>
      <c r="U799" s="322"/>
      <c r="V799" s="322"/>
      <c r="W799" s="322"/>
      <c r="X799" s="322"/>
      <c r="Y799" s="322"/>
      <c r="Z799" s="322"/>
    </row>
    <row r="800" ht="12.75" customHeight="1">
      <c r="A800" s="322"/>
      <c r="B800" s="322"/>
      <c r="C800" s="323"/>
      <c r="D800" s="324"/>
      <c r="E800" s="323"/>
      <c r="F800" s="324"/>
      <c r="G800" s="322"/>
      <c r="H800" s="322"/>
      <c r="I800" s="322"/>
      <c r="J800" s="322"/>
      <c r="K800" s="322"/>
      <c r="L800" s="322"/>
      <c r="M800" s="322"/>
      <c r="N800" s="322"/>
      <c r="O800" s="322"/>
      <c r="P800" s="322"/>
      <c r="Q800" s="322"/>
      <c r="R800" s="322"/>
      <c r="S800" s="322"/>
      <c r="T800" s="322"/>
      <c r="U800" s="322"/>
      <c r="V800" s="322"/>
      <c r="W800" s="322"/>
      <c r="X800" s="322"/>
      <c r="Y800" s="322"/>
      <c r="Z800" s="322"/>
    </row>
    <row r="801" ht="12.75" customHeight="1">
      <c r="A801" s="322"/>
      <c r="B801" s="322"/>
      <c r="C801" s="323"/>
      <c r="D801" s="324"/>
      <c r="E801" s="323"/>
      <c r="F801" s="324"/>
      <c r="G801" s="322"/>
      <c r="H801" s="322"/>
      <c r="I801" s="322"/>
      <c r="J801" s="322"/>
      <c r="K801" s="322"/>
      <c r="L801" s="322"/>
      <c r="M801" s="322"/>
      <c r="N801" s="322"/>
      <c r="O801" s="322"/>
      <c r="P801" s="322"/>
      <c r="Q801" s="322"/>
      <c r="R801" s="322"/>
      <c r="S801" s="322"/>
      <c r="T801" s="322"/>
      <c r="U801" s="322"/>
      <c r="V801" s="322"/>
      <c r="W801" s="322"/>
      <c r="X801" s="322"/>
      <c r="Y801" s="322"/>
      <c r="Z801" s="322"/>
    </row>
    <row r="802" ht="12.75" customHeight="1">
      <c r="A802" s="322"/>
      <c r="B802" s="322"/>
      <c r="C802" s="323"/>
      <c r="D802" s="324"/>
      <c r="E802" s="323"/>
      <c r="F802" s="324"/>
      <c r="G802" s="322"/>
      <c r="H802" s="322"/>
      <c r="I802" s="322"/>
      <c r="J802" s="322"/>
      <c r="K802" s="322"/>
      <c r="L802" s="322"/>
      <c r="M802" s="322"/>
      <c r="N802" s="322"/>
      <c r="O802" s="322"/>
      <c r="P802" s="322"/>
      <c r="Q802" s="322"/>
      <c r="R802" s="322"/>
      <c r="S802" s="322"/>
      <c r="T802" s="322"/>
      <c r="U802" s="322"/>
      <c r="V802" s="322"/>
      <c r="W802" s="322"/>
      <c r="X802" s="322"/>
      <c r="Y802" s="322"/>
      <c r="Z802" s="322"/>
    </row>
    <row r="803" ht="12.75" customHeight="1">
      <c r="A803" s="322"/>
      <c r="B803" s="322"/>
      <c r="C803" s="323"/>
      <c r="D803" s="324"/>
      <c r="E803" s="323"/>
      <c r="F803" s="324"/>
      <c r="G803" s="322"/>
      <c r="H803" s="322"/>
      <c r="I803" s="322"/>
      <c r="J803" s="322"/>
      <c r="K803" s="322"/>
      <c r="L803" s="322"/>
      <c r="M803" s="322"/>
      <c r="N803" s="322"/>
      <c r="O803" s="322"/>
      <c r="P803" s="322"/>
      <c r="Q803" s="322"/>
      <c r="R803" s="322"/>
      <c r="S803" s="322"/>
      <c r="T803" s="322"/>
      <c r="U803" s="322"/>
      <c r="V803" s="322"/>
      <c r="W803" s="322"/>
      <c r="X803" s="322"/>
      <c r="Y803" s="322"/>
      <c r="Z803" s="322"/>
    </row>
    <row r="804" ht="12.75" customHeight="1">
      <c r="A804" s="322"/>
      <c r="B804" s="322"/>
      <c r="C804" s="323"/>
      <c r="D804" s="324"/>
      <c r="E804" s="323"/>
      <c r="F804" s="324"/>
      <c r="G804" s="322"/>
      <c r="H804" s="322"/>
      <c r="I804" s="322"/>
      <c r="J804" s="322"/>
      <c r="K804" s="322"/>
      <c r="L804" s="322"/>
      <c r="M804" s="322"/>
      <c r="N804" s="322"/>
      <c r="O804" s="322"/>
      <c r="P804" s="322"/>
      <c r="Q804" s="322"/>
      <c r="R804" s="322"/>
      <c r="S804" s="322"/>
      <c r="T804" s="322"/>
      <c r="U804" s="322"/>
      <c r="V804" s="322"/>
      <c r="W804" s="322"/>
      <c r="X804" s="322"/>
      <c r="Y804" s="322"/>
      <c r="Z804" s="322"/>
    </row>
    <row r="805" ht="12.75" customHeight="1">
      <c r="A805" s="322"/>
      <c r="B805" s="322"/>
      <c r="C805" s="323"/>
      <c r="D805" s="324"/>
      <c r="E805" s="323"/>
      <c r="F805" s="324"/>
      <c r="G805" s="322"/>
      <c r="H805" s="322"/>
      <c r="I805" s="322"/>
      <c r="J805" s="322"/>
      <c r="K805" s="322"/>
      <c r="L805" s="322"/>
      <c r="M805" s="322"/>
      <c r="N805" s="322"/>
      <c r="O805" s="322"/>
      <c r="P805" s="322"/>
      <c r="Q805" s="322"/>
      <c r="R805" s="322"/>
      <c r="S805" s="322"/>
      <c r="T805" s="322"/>
      <c r="U805" s="322"/>
      <c r="V805" s="322"/>
      <c r="W805" s="322"/>
      <c r="X805" s="322"/>
      <c r="Y805" s="322"/>
      <c r="Z805" s="322"/>
    </row>
    <row r="806" ht="12.75" customHeight="1">
      <c r="A806" s="322"/>
      <c r="B806" s="322"/>
      <c r="C806" s="323"/>
      <c r="D806" s="324"/>
      <c r="E806" s="323"/>
      <c r="F806" s="324"/>
      <c r="G806" s="322"/>
      <c r="H806" s="322"/>
      <c r="I806" s="322"/>
      <c r="J806" s="322"/>
      <c r="K806" s="322"/>
      <c r="L806" s="322"/>
      <c r="M806" s="322"/>
      <c r="N806" s="322"/>
      <c r="O806" s="322"/>
      <c r="P806" s="322"/>
      <c r="Q806" s="322"/>
      <c r="R806" s="322"/>
      <c r="S806" s="322"/>
      <c r="T806" s="322"/>
      <c r="U806" s="322"/>
      <c r="V806" s="322"/>
      <c r="W806" s="322"/>
      <c r="X806" s="322"/>
      <c r="Y806" s="322"/>
      <c r="Z806" s="322"/>
    </row>
    <row r="807" ht="12.75" customHeight="1">
      <c r="A807" s="322"/>
      <c r="B807" s="322"/>
      <c r="C807" s="323"/>
      <c r="D807" s="324"/>
      <c r="E807" s="323"/>
      <c r="F807" s="324"/>
      <c r="G807" s="322"/>
      <c r="H807" s="322"/>
      <c r="I807" s="322"/>
      <c r="J807" s="322"/>
      <c r="K807" s="322"/>
      <c r="L807" s="322"/>
      <c r="M807" s="322"/>
      <c r="N807" s="322"/>
      <c r="O807" s="322"/>
      <c r="P807" s="322"/>
      <c r="Q807" s="322"/>
      <c r="R807" s="322"/>
      <c r="S807" s="322"/>
      <c r="T807" s="322"/>
      <c r="U807" s="322"/>
      <c r="V807" s="322"/>
      <c r="W807" s="322"/>
      <c r="X807" s="322"/>
      <c r="Y807" s="322"/>
      <c r="Z807" s="322"/>
    </row>
    <row r="808" ht="12.75" customHeight="1">
      <c r="A808" s="322"/>
      <c r="B808" s="322"/>
      <c r="C808" s="323"/>
      <c r="D808" s="324"/>
      <c r="E808" s="323"/>
      <c r="F808" s="324"/>
      <c r="G808" s="322"/>
      <c r="H808" s="322"/>
      <c r="I808" s="322"/>
      <c r="J808" s="322"/>
      <c r="K808" s="322"/>
      <c r="L808" s="322"/>
      <c r="M808" s="322"/>
      <c r="N808" s="322"/>
      <c r="O808" s="322"/>
      <c r="P808" s="322"/>
      <c r="Q808" s="322"/>
      <c r="R808" s="322"/>
      <c r="S808" s="322"/>
      <c r="T808" s="322"/>
      <c r="U808" s="322"/>
      <c r="V808" s="322"/>
      <c r="W808" s="322"/>
      <c r="X808" s="322"/>
      <c r="Y808" s="322"/>
      <c r="Z808" s="322"/>
    </row>
    <row r="809" ht="12.75" customHeight="1">
      <c r="A809" s="322"/>
      <c r="B809" s="322"/>
      <c r="C809" s="323"/>
      <c r="D809" s="324"/>
      <c r="E809" s="323"/>
      <c r="F809" s="324"/>
      <c r="G809" s="322"/>
      <c r="H809" s="322"/>
      <c r="I809" s="322"/>
      <c r="J809" s="322"/>
      <c r="K809" s="322"/>
      <c r="L809" s="322"/>
      <c r="M809" s="322"/>
      <c r="N809" s="322"/>
      <c r="O809" s="322"/>
      <c r="P809" s="322"/>
      <c r="Q809" s="322"/>
      <c r="R809" s="322"/>
      <c r="S809" s="322"/>
      <c r="T809" s="322"/>
      <c r="U809" s="322"/>
      <c r="V809" s="322"/>
      <c r="W809" s="322"/>
      <c r="X809" s="322"/>
      <c r="Y809" s="322"/>
      <c r="Z809" s="322"/>
    </row>
    <row r="810" ht="12.75" customHeight="1">
      <c r="A810" s="322"/>
      <c r="B810" s="322"/>
      <c r="C810" s="323"/>
      <c r="D810" s="324"/>
      <c r="E810" s="323"/>
      <c r="F810" s="324"/>
      <c r="G810" s="322"/>
      <c r="H810" s="322"/>
      <c r="I810" s="322"/>
      <c r="J810" s="322"/>
      <c r="K810" s="322"/>
      <c r="L810" s="322"/>
      <c r="M810" s="322"/>
      <c r="N810" s="322"/>
      <c r="O810" s="322"/>
      <c r="P810" s="322"/>
      <c r="Q810" s="322"/>
      <c r="R810" s="322"/>
      <c r="S810" s="322"/>
      <c r="T810" s="322"/>
      <c r="U810" s="322"/>
      <c r="V810" s="322"/>
      <c r="W810" s="322"/>
      <c r="X810" s="322"/>
      <c r="Y810" s="322"/>
      <c r="Z810" s="322"/>
    </row>
    <row r="811" ht="12.75" customHeight="1">
      <c r="A811" s="322"/>
      <c r="B811" s="322"/>
      <c r="C811" s="323"/>
      <c r="D811" s="324"/>
      <c r="E811" s="323"/>
      <c r="F811" s="324"/>
      <c r="G811" s="322"/>
      <c r="H811" s="322"/>
      <c r="I811" s="322"/>
      <c r="J811" s="322"/>
      <c r="K811" s="322"/>
      <c r="L811" s="322"/>
      <c r="M811" s="322"/>
      <c r="N811" s="322"/>
      <c r="O811" s="322"/>
      <c r="P811" s="322"/>
      <c r="Q811" s="322"/>
      <c r="R811" s="322"/>
      <c r="S811" s="322"/>
      <c r="T811" s="322"/>
      <c r="U811" s="322"/>
      <c r="V811" s="322"/>
      <c r="W811" s="322"/>
      <c r="X811" s="322"/>
      <c r="Y811" s="322"/>
      <c r="Z811" s="322"/>
    </row>
    <row r="812" ht="12.75" customHeight="1">
      <c r="A812" s="322"/>
      <c r="B812" s="322"/>
      <c r="C812" s="323"/>
      <c r="D812" s="324"/>
      <c r="E812" s="323"/>
      <c r="F812" s="324"/>
      <c r="G812" s="322"/>
      <c r="H812" s="322"/>
      <c r="I812" s="322"/>
      <c r="J812" s="322"/>
      <c r="K812" s="322"/>
      <c r="L812" s="322"/>
      <c r="M812" s="322"/>
      <c r="N812" s="322"/>
      <c r="O812" s="322"/>
      <c r="P812" s="322"/>
      <c r="Q812" s="322"/>
      <c r="R812" s="322"/>
      <c r="S812" s="322"/>
      <c r="T812" s="322"/>
      <c r="U812" s="322"/>
      <c r="V812" s="322"/>
      <c r="W812" s="322"/>
      <c r="X812" s="322"/>
      <c r="Y812" s="322"/>
      <c r="Z812" s="322"/>
    </row>
    <row r="813" ht="12.75" customHeight="1">
      <c r="A813" s="322"/>
      <c r="B813" s="322"/>
      <c r="C813" s="323"/>
      <c r="D813" s="324"/>
      <c r="E813" s="323"/>
      <c r="F813" s="324"/>
      <c r="G813" s="322"/>
      <c r="H813" s="322"/>
      <c r="I813" s="322"/>
      <c r="J813" s="322"/>
      <c r="K813" s="322"/>
      <c r="L813" s="322"/>
      <c r="M813" s="322"/>
      <c r="N813" s="322"/>
      <c r="O813" s="322"/>
      <c r="P813" s="322"/>
      <c r="Q813" s="322"/>
      <c r="R813" s="322"/>
      <c r="S813" s="322"/>
      <c r="T813" s="322"/>
      <c r="U813" s="322"/>
      <c r="V813" s="322"/>
      <c r="W813" s="322"/>
      <c r="X813" s="322"/>
      <c r="Y813" s="322"/>
      <c r="Z813" s="322"/>
    </row>
    <row r="814" ht="12.75" customHeight="1">
      <c r="A814" s="322"/>
      <c r="B814" s="322"/>
      <c r="C814" s="323"/>
      <c r="D814" s="324"/>
      <c r="E814" s="323"/>
      <c r="F814" s="324"/>
      <c r="G814" s="322"/>
      <c r="H814" s="322"/>
      <c r="I814" s="322"/>
      <c r="J814" s="322"/>
      <c r="K814" s="322"/>
      <c r="L814" s="322"/>
      <c r="M814" s="322"/>
      <c r="N814" s="322"/>
      <c r="O814" s="322"/>
      <c r="P814" s="322"/>
      <c r="Q814" s="322"/>
      <c r="R814" s="322"/>
      <c r="S814" s="322"/>
      <c r="T814" s="322"/>
      <c r="U814" s="322"/>
      <c r="V814" s="322"/>
      <c r="W814" s="322"/>
      <c r="X814" s="322"/>
      <c r="Y814" s="322"/>
      <c r="Z814" s="322"/>
    </row>
    <row r="815" ht="12.75" customHeight="1">
      <c r="A815" s="322"/>
      <c r="B815" s="322"/>
      <c r="C815" s="323"/>
      <c r="D815" s="324"/>
      <c r="E815" s="323"/>
      <c r="F815" s="324"/>
      <c r="G815" s="322"/>
      <c r="H815" s="322"/>
      <c r="I815" s="322"/>
      <c r="J815" s="322"/>
      <c r="K815" s="322"/>
      <c r="L815" s="322"/>
      <c r="M815" s="322"/>
      <c r="N815" s="322"/>
      <c r="O815" s="322"/>
      <c r="P815" s="322"/>
      <c r="Q815" s="322"/>
      <c r="R815" s="322"/>
      <c r="S815" s="322"/>
      <c r="T815" s="322"/>
      <c r="U815" s="322"/>
      <c r="V815" s="322"/>
      <c r="W815" s="322"/>
      <c r="X815" s="322"/>
      <c r="Y815" s="322"/>
      <c r="Z815" s="322"/>
    </row>
    <row r="816" ht="12.75" customHeight="1">
      <c r="A816" s="322"/>
      <c r="B816" s="322"/>
      <c r="C816" s="323"/>
      <c r="D816" s="324"/>
      <c r="E816" s="323"/>
      <c r="F816" s="324"/>
      <c r="G816" s="322"/>
      <c r="H816" s="322"/>
      <c r="I816" s="322"/>
      <c r="J816" s="322"/>
      <c r="K816" s="322"/>
      <c r="L816" s="322"/>
      <c r="M816" s="322"/>
      <c r="N816" s="322"/>
      <c r="O816" s="322"/>
      <c r="P816" s="322"/>
      <c r="Q816" s="322"/>
      <c r="R816" s="322"/>
      <c r="S816" s="322"/>
      <c r="T816" s="322"/>
      <c r="U816" s="322"/>
      <c r="V816" s="322"/>
      <c r="W816" s="322"/>
      <c r="X816" s="322"/>
      <c r="Y816" s="322"/>
      <c r="Z816" s="322"/>
    </row>
    <row r="817" ht="12.75" customHeight="1">
      <c r="A817" s="322"/>
      <c r="B817" s="322"/>
      <c r="C817" s="323"/>
      <c r="D817" s="324"/>
      <c r="E817" s="323"/>
      <c r="F817" s="324"/>
      <c r="G817" s="322"/>
      <c r="H817" s="322"/>
      <c r="I817" s="322"/>
      <c r="J817" s="322"/>
      <c r="K817" s="322"/>
      <c r="L817" s="322"/>
      <c r="M817" s="322"/>
      <c r="N817" s="322"/>
      <c r="O817" s="322"/>
      <c r="P817" s="322"/>
      <c r="Q817" s="322"/>
      <c r="R817" s="322"/>
      <c r="S817" s="322"/>
      <c r="T817" s="322"/>
      <c r="U817" s="322"/>
      <c r="V817" s="322"/>
      <c r="W817" s="322"/>
      <c r="X817" s="322"/>
      <c r="Y817" s="322"/>
      <c r="Z817" s="322"/>
    </row>
    <row r="818" ht="12.75" customHeight="1">
      <c r="A818" s="322"/>
      <c r="B818" s="322"/>
      <c r="C818" s="323"/>
      <c r="D818" s="324"/>
      <c r="E818" s="323"/>
      <c r="F818" s="324"/>
      <c r="G818" s="322"/>
      <c r="H818" s="322"/>
      <c r="I818" s="322"/>
      <c r="J818" s="322"/>
      <c r="K818" s="322"/>
      <c r="L818" s="322"/>
      <c r="M818" s="322"/>
      <c r="N818" s="322"/>
      <c r="O818" s="322"/>
      <c r="P818" s="322"/>
      <c r="Q818" s="322"/>
      <c r="R818" s="322"/>
      <c r="S818" s="322"/>
      <c r="T818" s="322"/>
      <c r="U818" s="322"/>
      <c r="V818" s="322"/>
      <c r="W818" s="322"/>
      <c r="X818" s="322"/>
      <c r="Y818" s="322"/>
      <c r="Z818" s="322"/>
    </row>
    <row r="819" ht="12.75" customHeight="1">
      <c r="A819" s="322"/>
      <c r="B819" s="322"/>
      <c r="C819" s="323"/>
      <c r="D819" s="324"/>
      <c r="E819" s="323"/>
      <c r="F819" s="324"/>
      <c r="G819" s="322"/>
      <c r="H819" s="322"/>
      <c r="I819" s="322"/>
      <c r="J819" s="322"/>
      <c r="K819" s="322"/>
      <c r="L819" s="322"/>
      <c r="M819" s="322"/>
      <c r="N819" s="322"/>
      <c r="O819" s="322"/>
      <c r="P819" s="322"/>
      <c r="Q819" s="322"/>
      <c r="R819" s="322"/>
      <c r="S819" s="322"/>
      <c r="T819" s="322"/>
      <c r="U819" s="322"/>
      <c r="V819" s="322"/>
      <c r="W819" s="322"/>
      <c r="X819" s="322"/>
      <c r="Y819" s="322"/>
      <c r="Z819" s="322"/>
    </row>
    <row r="820" ht="12.75" customHeight="1">
      <c r="A820" s="322"/>
      <c r="B820" s="322"/>
      <c r="C820" s="323"/>
      <c r="D820" s="324"/>
      <c r="E820" s="323"/>
      <c r="F820" s="324"/>
      <c r="G820" s="322"/>
      <c r="H820" s="322"/>
      <c r="I820" s="322"/>
      <c r="J820" s="322"/>
      <c r="K820" s="322"/>
      <c r="L820" s="322"/>
      <c r="M820" s="322"/>
      <c r="N820" s="322"/>
      <c r="O820" s="322"/>
      <c r="P820" s="322"/>
      <c r="Q820" s="322"/>
      <c r="R820" s="322"/>
      <c r="S820" s="322"/>
      <c r="T820" s="322"/>
      <c r="U820" s="322"/>
      <c r="V820" s="322"/>
      <c r="W820" s="322"/>
      <c r="X820" s="322"/>
      <c r="Y820" s="322"/>
      <c r="Z820" s="322"/>
    </row>
    <row r="821" ht="12.75" customHeight="1">
      <c r="A821" s="322"/>
      <c r="B821" s="322"/>
      <c r="C821" s="323"/>
      <c r="D821" s="324"/>
      <c r="E821" s="323"/>
      <c r="F821" s="324"/>
      <c r="G821" s="322"/>
      <c r="H821" s="322"/>
      <c r="I821" s="322"/>
      <c r="J821" s="322"/>
      <c r="K821" s="322"/>
      <c r="L821" s="322"/>
      <c r="M821" s="322"/>
      <c r="N821" s="322"/>
      <c r="O821" s="322"/>
      <c r="P821" s="322"/>
      <c r="Q821" s="322"/>
      <c r="R821" s="322"/>
      <c r="S821" s="322"/>
      <c r="T821" s="322"/>
      <c r="U821" s="322"/>
      <c r="V821" s="322"/>
      <c r="W821" s="322"/>
      <c r="X821" s="322"/>
      <c r="Y821" s="322"/>
      <c r="Z821" s="322"/>
    </row>
    <row r="822" ht="12.75" customHeight="1">
      <c r="A822" s="322"/>
      <c r="B822" s="322"/>
      <c r="C822" s="323"/>
      <c r="D822" s="324"/>
      <c r="E822" s="323"/>
      <c r="F822" s="324"/>
      <c r="G822" s="322"/>
      <c r="H822" s="322"/>
      <c r="I822" s="322"/>
      <c r="J822" s="322"/>
      <c r="K822" s="322"/>
      <c r="L822" s="322"/>
      <c r="M822" s="322"/>
      <c r="N822" s="322"/>
      <c r="O822" s="322"/>
      <c r="P822" s="322"/>
      <c r="Q822" s="322"/>
      <c r="R822" s="322"/>
      <c r="S822" s="322"/>
      <c r="T822" s="322"/>
      <c r="U822" s="322"/>
      <c r="V822" s="322"/>
      <c r="W822" s="322"/>
      <c r="X822" s="322"/>
      <c r="Y822" s="322"/>
      <c r="Z822" s="322"/>
    </row>
    <row r="823" ht="12.75" customHeight="1">
      <c r="A823" s="322"/>
      <c r="B823" s="322"/>
      <c r="C823" s="323"/>
      <c r="D823" s="324"/>
      <c r="E823" s="323"/>
      <c r="F823" s="324"/>
      <c r="G823" s="322"/>
      <c r="H823" s="322"/>
      <c r="I823" s="322"/>
      <c r="J823" s="322"/>
      <c r="K823" s="322"/>
      <c r="L823" s="322"/>
      <c r="M823" s="322"/>
      <c r="N823" s="322"/>
      <c r="O823" s="322"/>
      <c r="P823" s="322"/>
      <c r="Q823" s="322"/>
      <c r="R823" s="322"/>
      <c r="S823" s="322"/>
      <c r="T823" s="322"/>
      <c r="U823" s="322"/>
      <c r="V823" s="322"/>
      <c r="W823" s="322"/>
      <c r="X823" s="322"/>
      <c r="Y823" s="322"/>
      <c r="Z823" s="322"/>
    </row>
    <row r="824" ht="12.75" customHeight="1">
      <c r="A824" s="322"/>
      <c r="B824" s="322"/>
      <c r="C824" s="323"/>
      <c r="D824" s="324"/>
      <c r="E824" s="323"/>
      <c r="F824" s="324"/>
      <c r="G824" s="322"/>
      <c r="H824" s="322"/>
      <c r="I824" s="322"/>
      <c r="J824" s="322"/>
      <c r="K824" s="322"/>
      <c r="L824" s="322"/>
      <c r="M824" s="322"/>
      <c r="N824" s="322"/>
      <c r="O824" s="322"/>
      <c r="P824" s="322"/>
      <c r="Q824" s="322"/>
      <c r="R824" s="322"/>
      <c r="S824" s="322"/>
      <c r="T824" s="322"/>
      <c r="U824" s="322"/>
      <c r="V824" s="322"/>
      <c r="W824" s="322"/>
      <c r="X824" s="322"/>
      <c r="Y824" s="322"/>
      <c r="Z824" s="322"/>
    </row>
    <row r="825" ht="12.75" customHeight="1">
      <c r="A825" s="322"/>
      <c r="B825" s="322"/>
      <c r="C825" s="323"/>
      <c r="D825" s="324"/>
      <c r="E825" s="323"/>
      <c r="F825" s="324"/>
      <c r="G825" s="322"/>
      <c r="H825" s="322"/>
      <c r="I825" s="322"/>
      <c r="J825" s="322"/>
      <c r="K825" s="322"/>
      <c r="L825" s="322"/>
      <c r="M825" s="322"/>
      <c r="N825" s="322"/>
      <c r="O825" s="322"/>
      <c r="P825" s="322"/>
      <c r="Q825" s="322"/>
      <c r="R825" s="322"/>
      <c r="S825" s="322"/>
      <c r="T825" s="322"/>
      <c r="U825" s="322"/>
      <c r="V825" s="322"/>
      <c r="W825" s="322"/>
      <c r="X825" s="322"/>
      <c r="Y825" s="322"/>
      <c r="Z825" s="322"/>
    </row>
    <row r="826" ht="12.75" customHeight="1">
      <c r="A826" s="322"/>
      <c r="B826" s="322"/>
      <c r="C826" s="323"/>
      <c r="D826" s="324"/>
      <c r="E826" s="323"/>
      <c r="F826" s="324"/>
      <c r="G826" s="322"/>
      <c r="H826" s="322"/>
      <c r="I826" s="322"/>
      <c r="J826" s="322"/>
      <c r="K826" s="322"/>
      <c r="L826" s="322"/>
      <c r="M826" s="322"/>
      <c r="N826" s="322"/>
      <c r="O826" s="322"/>
      <c r="P826" s="322"/>
      <c r="Q826" s="322"/>
      <c r="R826" s="322"/>
      <c r="S826" s="322"/>
      <c r="T826" s="322"/>
      <c r="U826" s="322"/>
      <c r="V826" s="322"/>
      <c r="W826" s="322"/>
      <c r="X826" s="322"/>
      <c r="Y826" s="322"/>
      <c r="Z826" s="322"/>
    </row>
    <row r="827" ht="12.75" customHeight="1">
      <c r="A827" s="322"/>
      <c r="B827" s="322"/>
      <c r="C827" s="323"/>
      <c r="D827" s="324"/>
      <c r="E827" s="323"/>
      <c r="F827" s="324"/>
      <c r="G827" s="322"/>
      <c r="H827" s="322"/>
      <c r="I827" s="322"/>
      <c r="J827" s="322"/>
      <c r="K827" s="322"/>
      <c r="L827" s="322"/>
      <c r="M827" s="322"/>
      <c r="N827" s="322"/>
      <c r="O827" s="322"/>
      <c r="P827" s="322"/>
      <c r="Q827" s="322"/>
      <c r="R827" s="322"/>
      <c r="S827" s="322"/>
      <c r="T827" s="322"/>
      <c r="U827" s="322"/>
      <c r="V827" s="322"/>
      <c r="W827" s="322"/>
      <c r="X827" s="322"/>
      <c r="Y827" s="322"/>
      <c r="Z827" s="322"/>
    </row>
    <row r="828" ht="12.75" customHeight="1">
      <c r="A828" s="322"/>
      <c r="B828" s="322"/>
      <c r="C828" s="323"/>
      <c r="D828" s="324"/>
      <c r="E828" s="323"/>
      <c r="F828" s="324"/>
      <c r="G828" s="322"/>
      <c r="H828" s="322"/>
      <c r="I828" s="322"/>
      <c r="J828" s="322"/>
      <c r="K828" s="322"/>
      <c r="L828" s="322"/>
      <c r="M828" s="322"/>
      <c r="N828" s="322"/>
      <c r="O828" s="322"/>
      <c r="P828" s="322"/>
      <c r="Q828" s="322"/>
      <c r="R828" s="322"/>
      <c r="S828" s="322"/>
      <c r="T828" s="322"/>
      <c r="U828" s="322"/>
      <c r="V828" s="322"/>
      <c r="W828" s="322"/>
      <c r="X828" s="322"/>
      <c r="Y828" s="322"/>
      <c r="Z828" s="322"/>
    </row>
    <row r="829" ht="12.75" customHeight="1">
      <c r="A829" s="322"/>
      <c r="B829" s="322"/>
      <c r="C829" s="323"/>
      <c r="D829" s="324"/>
      <c r="E829" s="323"/>
      <c r="F829" s="324"/>
      <c r="G829" s="322"/>
      <c r="H829" s="322"/>
      <c r="I829" s="322"/>
      <c r="J829" s="322"/>
      <c r="K829" s="322"/>
      <c r="L829" s="322"/>
      <c r="M829" s="322"/>
      <c r="N829" s="322"/>
      <c r="O829" s="322"/>
      <c r="P829" s="322"/>
      <c r="Q829" s="322"/>
      <c r="R829" s="322"/>
      <c r="S829" s="322"/>
      <c r="T829" s="322"/>
      <c r="U829" s="322"/>
      <c r="V829" s="322"/>
      <c r="W829" s="322"/>
      <c r="X829" s="322"/>
      <c r="Y829" s="322"/>
      <c r="Z829" s="322"/>
    </row>
    <row r="830" ht="12.75" customHeight="1">
      <c r="A830" s="322"/>
      <c r="B830" s="322"/>
      <c r="C830" s="323"/>
      <c r="D830" s="324"/>
      <c r="E830" s="323"/>
      <c r="F830" s="324"/>
      <c r="G830" s="322"/>
      <c r="H830" s="322"/>
      <c r="I830" s="322"/>
      <c r="J830" s="322"/>
      <c r="K830" s="322"/>
      <c r="L830" s="322"/>
      <c r="M830" s="322"/>
      <c r="N830" s="322"/>
      <c r="O830" s="322"/>
      <c r="P830" s="322"/>
      <c r="Q830" s="322"/>
      <c r="R830" s="322"/>
      <c r="S830" s="322"/>
      <c r="T830" s="322"/>
      <c r="U830" s="322"/>
      <c r="V830" s="322"/>
      <c r="W830" s="322"/>
      <c r="X830" s="322"/>
      <c r="Y830" s="322"/>
      <c r="Z830" s="322"/>
    </row>
    <row r="831" ht="12.75" customHeight="1">
      <c r="A831" s="322"/>
      <c r="B831" s="322"/>
      <c r="C831" s="323"/>
      <c r="D831" s="324"/>
      <c r="E831" s="323"/>
      <c r="F831" s="324"/>
      <c r="G831" s="322"/>
      <c r="H831" s="322"/>
      <c r="I831" s="322"/>
      <c r="J831" s="322"/>
      <c r="K831" s="322"/>
      <c r="L831" s="322"/>
      <c r="M831" s="322"/>
      <c r="N831" s="322"/>
      <c r="O831" s="322"/>
      <c r="P831" s="322"/>
      <c r="Q831" s="322"/>
      <c r="R831" s="322"/>
      <c r="S831" s="322"/>
      <c r="T831" s="322"/>
      <c r="U831" s="322"/>
      <c r="V831" s="322"/>
      <c r="W831" s="322"/>
      <c r="X831" s="322"/>
      <c r="Y831" s="322"/>
      <c r="Z831" s="322"/>
    </row>
    <row r="832" ht="12.75" customHeight="1">
      <c r="A832" s="322"/>
      <c r="B832" s="322"/>
      <c r="C832" s="323"/>
      <c r="D832" s="324"/>
      <c r="E832" s="323"/>
      <c r="F832" s="324"/>
      <c r="G832" s="322"/>
      <c r="H832" s="322"/>
      <c r="I832" s="322"/>
      <c r="J832" s="322"/>
      <c r="K832" s="322"/>
      <c r="L832" s="322"/>
      <c r="M832" s="322"/>
      <c r="N832" s="322"/>
      <c r="O832" s="322"/>
      <c r="P832" s="322"/>
      <c r="Q832" s="322"/>
      <c r="R832" s="322"/>
      <c r="S832" s="322"/>
      <c r="T832" s="322"/>
      <c r="U832" s="322"/>
      <c r="V832" s="322"/>
      <c r="W832" s="322"/>
      <c r="X832" s="322"/>
      <c r="Y832" s="322"/>
      <c r="Z832" s="322"/>
    </row>
    <row r="833" ht="12.75" customHeight="1">
      <c r="A833" s="322"/>
      <c r="B833" s="322"/>
      <c r="C833" s="323"/>
      <c r="D833" s="324"/>
      <c r="E833" s="323"/>
      <c r="F833" s="324"/>
      <c r="G833" s="322"/>
      <c r="H833" s="322"/>
      <c r="I833" s="322"/>
      <c r="J833" s="322"/>
      <c r="K833" s="322"/>
      <c r="L833" s="322"/>
      <c r="M833" s="322"/>
      <c r="N833" s="322"/>
      <c r="O833" s="322"/>
      <c r="P833" s="322"/>
      <c r="Q833" s="322"/>
      <c r="R833" s="322"/>
      <c r="S833" s="322"/>
      <c r="T833" s="322"/>
      <c r="U833" s="322"/>
      <c r="V833" s="322"/>
      <c r="W833" s="322"/>
      <c r="X833" s="322"/>
      <c r="Y833" s="322"/>
      <c r="Z833" s="322"/>
    </row>
    <row r="834" ht="12.75" customHeight="1">
      <c r="A834" s="322"/>
      <c r="B834" s="322"/>
      <c r="C834" s="323"/>
      <c r="D834" s="324"/>
      <c r="E834" s="323"/>
      <c r="F834" s="324"/>
      <c r="G834" s="322"/>
      <c r="H834" s="322"/>
      <c r="I834" s="322"/>
      <c r="J834" s="322"/>
      <c r="K834" s="322"/>
      <c r="L834" s="322"/>
      <c r="M834" s="322"/>
      <c r="N834" s="322"/>
      <c r="O834" s="322"/>
      <c r="P834" s="322"/>
      <c r="Q834" s="322"/>
      <c r="R834" s="322"/>
      <c r="S834" s="322"/>
      <c r="T834" s="322"/>
      <c r="U834" s="322"/>
      <c r="V834" s="322"/>
      <c r="W834" s="322"/>
      <c r="X834" s="322"/>
      <c r="Y834" s="322"/>
      <c r="Z834" s="322"/>
    </row>
    <row r="835" ht="12.75" customHeight="1">
      <c r="A835" s="322"/>
      <c r="B835" s="322"/>
      <c r="C835" s="323"/>
      <c r="D835" s="324"/>
      <c r="E835" s="323"/>
      <c r="F835" s="324"/>
      <c r="G835" s="322"/>
      <c r="H835" s="322"/>
      <c r="I835" s="322"/>
      <c r="J835" s="322"/>
      <c r="K835" s="322"/>
      <c r="L835" s="322"/>
      <c r="M835" s="322"/>
      <c r="N835" s="322"/>
      <c r="O835" s="322"/>
      <c r="P835" s="322"/>
      <c r="Q835" s="322"/>
      <c r="R835" s="322"/>
      <c r="S835" s="322"/>
      <c r="T835" s="322"/>
      <c r="U835" s="322"/>
      <c r="V835" s="322"/>
      <c r="W835" s="322"/>
      <c r="X835" s="322"/>
      <c r="Y835" s="322"/>
      <c r="Z835" s="322"/>
    </row>
    <row r="836" ht="12.75" customHeight="1">
      <c r="A836" s="322"/>
      <c r="B836" s="322"/>
      <c r="C836" s="323"/>
      <c r="D836" s="324"/>
      <c r="E836" s="323"/>
      <c r="F836" s="324"/>
      <c r="G836" s="322"/>
      <c r="H836" s="322"/>
      <c r="I836" s="322"/>
      <c r="J836" s="322"/>
      <c r="K836" s="322"/>
      <c r="L836" s="322"/>
      <c r="M836" s="322"/>
      <c r="N836" s="322"/>
      <c r="O836" s="322"/>
      <c r="P836" s="322"/>
      <c r="Q836" s="322"/>
      <c r="R836" s="322"/>
      <c r="S836" s="322"/>
      <c r="T836" s="322"/>
      <c r="U836" s="322"/>
      <c r="V836" s="322"/>
      <c r="W836" s="322"/>
      <c r="X836" s="322"/>
      <c r="Y836" s="322"/>
      <c r="Z836" s="322"/>
    </row>
    <row r="837" ht="12.75" customHeight="1">
      <c r="A837" s="322"/>
      <c r="B837" s="322"/>
      <c r="C837" s="323"/>
      <c r="D837" s="324"/>
      <c r="E837" s="323"/>
      <c r="F837" s="324"/>
      <c r="G837" s="322"/>
      <c r="H837" s="322"/>
      <c r="I837" s="322"/>
      <c r="J837" s="322"/>
      <c r="K837" s="322"/>
      <c r="L837" s="322"/>
      <c r="M837" s="322"/>
      <c r="N837" s="322"/>
      <c r="O837" s="322"/>
      <c r="P837" s="322"/>
      <c r="Q837" s="322"/>
      <c r="R837" s="322"/>
      <c r="S837" s="322"/>
      <c r="T837" s="322"/>
      <c r="U837" s="322"/>
      <c r="V837" s="322"/>
      <c r="W837" s="322"/>
      <c r="X837" s="322"/>
      <c r="Y837" s="322"/>
      <c r="Z837" s="322"/>
    </row>
    <row r="838" ht="12.75" customHeight="1">
      <c r="A838" s="322"/>
      <c r="B838" s="322"/>
      <c r="C838" s="323"/>
      <c r="D838" s="324"/>
      <c r="E838" s="323"/>
      <c r="F838" s="324"/>
      <c r="G838" s="322"/>
      <c r="H838" s="322"/>
      <c r="I838" s="322"/>
      <c r="J838" s="322"/>
      <c r="K838" s="322"/>
      <c r="L838" s="322"/>
      <c r="M838" s="322"/>
      <c r="N838" s="322"/>
      <c r="O838" s="322"/>
      <c r="P838" s="322"/>
      <c r="Q838" s="322"/>
      <c r="R838" s="322"/>
      <c r="S838" s="322"/>
      <c r="T838" s="322"/>
      <c r="U838" s="322"/>
      <c r="V838" s="322"/>
      <c r="W838" s="322"/>
      <c r="X838" s="322"/>
      <c r="Y838" s="322"/>
      <c r="Z838" s="322"/>
    </row>
    <row r="839" ht="12.75" customHeight="1">
      <c r="A839" s="322"/>
      <c r="B839" s="322"/>
      <c r="C839" s="323"/>
      <c r="D839" s="324"/>
      <c r="E839" s="323"/>
      <c r="F839" s="324"/>
      <c r="G839" s="322"/>
      <c r="H839" s="322"/>
      <c r="I839" s="322"/>
      <c r="J839" s="322"/>
      <c r="K839" s="322"/>
      <c r="L839" s="322"/>
      <c r="M839" s="322"/>
      <c r="N839" s="322"/>
      <c r="O839" s="322"/>
      <c r="P839" s="322"/>
      <c r="Q839" s="322"/>
      <c r="R839" s="322"/>
      <c r="S839" s="322"/>
      <c r="T839" s="322"/>
      <c r="U839" s="322"/>
      <c r="V839" s="322"/>
      <c r="W839" s="322"/>
      <c r="X839" s="322"/>
      <c r="Y839" s="322"/>
      <c r="Z839" s="322"/>
    </row>
    <row r="840" ht="12.75" customHeight="1">
      <c r="A840" s="322"/>
      <c r="B840" s="322"/>
      <c r="C840" s="323"/>
      <c r="D840" s="324"/>
      <c r="E840" s="323"/>
      <c r="F840" s="324"/>
      <c r="G840" s="322"/>
      <c r="H840" s="322"/>
      <c r="I840" s="322"/>
      <c r="J840" s="322"/>
      <c r="K840" s="322"/>
      <c r="L840" s="322"/>
      <c r="M840" s="322"/>
      <c r="N840" s="322"/>
      <c r="O840" s="322"/>
      <c r="P840" s="322"/>
      <c r="Q840" s="322"/>
      <c r="R840" s="322"/>
      <c r="S840" s="322"/>
      <c r="T840" s="322"/>
      <c r="U840" s="322"/>
      <c r="V840" s="322"/>
      <c r="W840" s="322"/>
      <c r="X840" s="322"/>
      <c r="Y840" s="322"/>
      <c r="Z840" s="322"/>
    </row>
    <row r="841" ht="12.75" customHeight="1">
      <c r="A841" s="322"/>
      <c r="B841" s="322"/>
      <c r="C841" s="323"/>
      <c r="D841" s="324"/>
      <c r="E841" s="323"/>
      <c r="F841" s="324"/>
      <c r="G841" s="322"/>
      <c r="H841" s="322"/>
      <c r="I841" s="322"/>
      <c r="J841" s="322"/>
      <c r="K841" s="322"/>
      <c r="L841" s="322"/>
      <c r="M841" s="322"/>
      <c r="N841" s="322"/>
      <c r="O841" s="322"/>
      <c r="P841" s="322"/>
      <c r="Q841" s="322"/>
      <c r="R841" s="322"/>
      <c r="S841" s="322"/>
      <c r="T841" s="322"/>
      <c r="U841" s="322"/>
      <c r="V841" s="322"/>
      <c r="W841" s="322"/>
      <c r="X841" s="322"/>
      <c r="Y841" s="322"/>
      <c r="Z841" s="322"/>
    </row>
    <row r="842" ht="12.75" customHeight="1">
      <c r="A842" s="322"/>
      <c r="B842" s="322"/>
      <c r="C842" s="323"/>
      <c r="D842" s="324"/>
      <c r="E842" s="323"/>
      <c r="F842" s="324"/>
      <c r="G842" s="322"/>
      <c r="H842" s="322"/>
      <c r="I842" s="322"/>
      <c r="J842" s="322"/>
      <c r="K842" s="322"/>
      <c r="L842" s="322"/>
      <c r="M842" s="322"/>
      <c r="N842" s="322"/>
      <c r="O842" s="322"/>
      <c r="P842" s="322"/>
      <c r="Q842" s="322"/>
      <c r="R842" s="322"/>
      <c r="S842" s="322"/>
      <c r="T842" s="322"/>
      <c r="U842" s="322"/>
      <c r="V842" s="322"/>
      <c r="W842" s="322"/>
      <c r="X842" s="322"/>
      <c r="Y842" s="322"/>
      <c r="Z842" s="322"/>
    </row>
    <row r="843" ht="12.75" customHeight="1">
      <c r="A843" s="322"/>
      <c r="B843" s="322"/>
      <c r="C843" s="323"/>
      <c r="D843" s="324"/>
      <c r="E843" s="323"/>
      <c r="F843" s="324"/>
      <c r="G843" s="322"/>
      <c r="H843" s="322"/>
      <c r="I843" s="322"/>
      <c r="J843" s="322"/>
      <c r="K843" s="322"/>
      <c r="L843" s="322"/>
      <c r="M843" s="322"/>
      <c r="N843" s="322"/>
      <c r="O843" s="322"/>
      <c r="P843" s="322"/>
      <c r="Q843" s="322"/>
      <c r="R843" s="322"/>
      <c r="S843" s="322"/>
      <c r="T843" s="322"/>
      <c r="U843" s="322"/>
      <c r="V843" s="322"/>
      <c r="W843" s="322"/>
      <c r="X843" s="322"/>
      <c r="Y843" s="322"/>
      <c r="Z843" s="322"/>
    </row>
    <row r="844" ht="12.75" customHeight="1">
      <c r="A844" s="322"/>
      <c r="B844" s="322"/>
      <c r="C844" s="323"/>
      <c r="D844" s="324"/>
      <c r="E844" s="323"/>
      <c r="F844" s="324"/>
      <c r="G844" s="322"/>
      <c r="H844" s="322"/>
      <c r="I844" s="322"/>
      <c r="J844" s="322"/>
      <c r="K844" s="322"/>
      <c r="L844" s="322"/>
      <c r="M844" s="322"/>
      <c r="N844" s="322"/>
      <c r="O844" s="322"/>
      <c r="P844" s="322"/>
      <c r="Q844" s="322"/>
      <c r="R844" s="322"/>
      <c r="S844" s="322"/>
      <c r="T844" s="322"/>
      <c r="U844" s="322"/>
      <c r="V844" s="322"/>
      <c r="W844" s="322"/>
      <c r="X844" s="322"/>
      <c r="Y844" s="322"/>
      <c r="Z844" s="322"/>
    </row>
    <row r="845" ht="12.75" customHeight="1">
      <c r="A845" s="322"/>
      <c r="B845" s="322"/>
      <c r="C845" s="323"/>
      <c r="D845" s="324"/>
      <c r="E845" s="323"/>
      <c r="F845" s="324"/>
      <c r="G845" s="322"/>
      <c r="H845" s="322"/>
      <c r="I845" s="322"/>
      <c r="J845" s="322"/>
      <c r="K845" s="322"/>
      <c r="L845" s="322"/>
      <c r="M845" s="322"/>
      <c r="N845" s="322"/>
      <c r="O845" s="322"/>
      <c r="P845" s="322"/>
      <c r="Q845" s="322"/>
      <c r="R845" s="322"/>
      <c r="S845" s="322"/>
      <c r="T845" s="322"/>
      <c r="U845" s="322"/>
      <c r="V845" s="322"/>
      <c r="W845" s="322"/>
      <c r="X845" s="322"/>
      <c r="Y845" s="322"/>
      <c r="Z845" s="322"/>
    </row>
    <row r="846" ht="12.75" customHeight="1">
      <c r="A846" s="322"/>
      <c r="B846" s="322"/>
      <c r="C846" s="323"/>
      <c r="D846" s="324"/>
      <c r="E846" s="323"/>
      <c r="F846" s="324"/>
      <c r="G846" s="322"/>
      <c r="H846" s="322"/>
      <c r="I846" s="322"/>
      <c r="J846" s="322"/>
      <c r="K846" s="322"/>
      <c r="L846" s="322"/>
      <c r="M846" s="322"/>
      <c r="N846" s="322"/>
      <c r="O846" s="322"/>
      <c r="P846" s="322"/>
      <c r="Q846" s="322"/>
      <c r="R846" s="322"/>
      <c r="S846" s="322"/>
      <c r="T846" s="322"/>
      <c r="U846" s="322"/>
      <c r="V846" s="322"/>
      <c r="W846" s="322"/>
      <c r="X846" s="322"/>
      <c r="Y846" s="322"/>
      <c r="Z846" s="322"/>
    </row>
    <row r="847" ht="12.75" customHeight="1">
      <c r="A847" s="322"/>
      <c r="B847" s="322"/>
      <c r="C847" s="323"/>
      <c r="D847" s="324"/>
      <c r="E847" s="323"/>
      <c r="F847" s="324"/>
      <c r="G847" s="322"/>
      <c r="H847" s="322"/>
      <c r="I847" s="322"/>
      <c r="J847" s="322"/>
      <c r="K847" s="322"/>
      <c r="L847" s="322"/>
      <c r="M847" s="322"/>
      <c r="N847" s="322"/>
      <c r="O847" s="322"/>
      <c r="P847" s="322"/>
      <c r="Q847" s="322"/>
      <c r="R847" s="322"/>
      <c r="S847" s="322"/>
      <c r="T847" s="322"/>
      <c r="U847" s="322"/>
      <c r="V847" s="322"/>
      <c r="W847" s="322"/>
      <c r="X847" s="322"/>
      <c r="Y847" s="322"/>
      <c r="Z847" s="322"/>
    </row>
    <row r="848" ht="12.75" customHeight="1">
      <c r="A848" s="322"/>
      <c r="B848" s="322"/>
      <c r="C848" s="323"/>
      <c r="D848" s="324"/>
      <c r="E848" s="323"/>
      <c r="F848" s="324"/>
      <c r="G848" s="322"/>
      <c r="H848" s="322"/>
      <c r="I848" s="322"/>
      <c r="J848" s="322"/>
      <c r="K848" s="322"/>
      <c r="L848" s="322"/>
      <c r="M848" s="322"/>
      <c r="N848" s="322"/>
      <c r="O848" s="322"/>
      <c r="P848" s="322"/>
      <c r="Q848" s="322"/>
      <c r="R848" s="322"/>
      <c r="S848" s="322"/>
      <c r="T848" s="322"/>
      <c r="U848" s="322"/>
      <c r="V848" s="322"/>
      <c r="W848" s="322"/>
      <c r="X848" s="322"/>
      <c r="Y848" s="322"/>
      <c r="Z848" s="322"/>
    </row>
    <row r="849" ht="12.75" customHeight="1">
      <c r="A849" s="322"/>
      <c r="B849" s="322"/>
      <c r="C849" s="323"/>
      <c r="D849" s="324"/>
      <c r="E849" s="323"/>
      <c r="F849" s="324"/>
      <c r="G849" s="322"/>
      <c r="H849" s="322"/>
      <c r="I849" s="322"/>
      <c r="J849" s="322"/>
      <c r="K849" s="322"/>
      <c r="L849" s="322"/>
      <c r="M849" s="322"/>
      <c r="N849" s="322"/>
      <c r="O849" s="322"/>
      <c r="P849" s="322"/>
      <c r="Q849" s="322"/>
      <c r="R849" s="322"/>
      <c r="S849" s="322"/>
      <c r="T849" s="322"/>
      <c r="U849" s="322"/>
      <c r="V849" s="322"/>
      <c r="W849" s="322"/>
      <c r="X849" s="322"/>
      <c r="Y849" s="322"/>
      <c r="Z849" s="322"/>
    </row>
    <row r="850" ht="12.75" customHeight="1">
      <c r="A850" s="322"/>
      <c r="B850" s="322"/>
      <c r="C850" s="323"/>
      <c r="D850" s="324"/>
      <c r="E850" s="323"/>
      <c r="F850" s="324"/>
      <c r="G850" s="322"/>
      <c r="H850" s="322"/>
      <c r="I850" s="322"/>
      <c r="J850" s="322"/>
      <c r="K850" s="322"/>
      <c r="L850" s="322"/>
      <c r="M850" s="322"/>
      <c r="N850" s="322"/>
      <c r="O850" s="322"/>
      <c r="P850" s="322"/>
      <c r="Q850" s="322"/>
      <c r="R850" s="322"/>
      <c r="S850" s="322"/>
      <c r="T850" s="322"/>
      <c r="U850" s="322"/>
      <c r="V850" s="322"/>
      <c r="W850" s="322"/>
      <c r="X850" s="322"/>
      <c r="Y850" s="322"/>
      <c r="Z850" s="322"/>
    </row>
    <row r="851" ht="12.75" customHeight="1">
      <c r="A851" s="322"/>
      <c r="B851" s="322"/>
      <c r="C851" s="323"/>
      <c r="D851" s="324"/>
      <c r="E851" s="323"/>
      <c r="F851" s="324"/>
      <c r="G851" s="322"/>
      <c r="H851" s="322"/>
      <c r="I851" s="322"/>
      <c r="J851" s="322"/>
      <c r="K851" s="322"/>
      <c r="L851" s="322"/>
      <c r="M851" s="322"/>
      <c r="N851" s="322"/>
      <c r="O851" s="322"/>
      <c r="P851" s="322"/>
      <c r="Q851" s="322"/>
      <c r="R851" s="322"/>
      <c r="S851" s="322"/>
      <c r="T851" s="322"/>
      <c r="U851" s="322"/>
      <c r="V851" s="322"/>
      <c r="W851" s="322"/>
      <c r="X851" s="322"/>
      <c r="Y851" s="322"/>
      <c r="Z851" s="322"/>
    </row>
    <row r="852" ht="12.75" customHeight="1">
      <c r="A852" s="322"/>
      <c r="B852" s="322"/>
      <c r="C852" s="323"/>
      <c r="D852" s="324"/>
      <c r="E852" s="323"/>
      <c r="F852" s="324"/>
      <c r="G852" s="322"/>
      <c r="H852" s="322"/>
      <c r="I852" s="322"/>
      <c r="J852" s="322"/>
      <c r="K852" s="322"/>
      <c r="L852" s="322"/>
      <c r="M852" s="322"/>
      <c r="N852" s="322"/>
      <c r="O852" s="322"/>
      <c r="P852" s="322"/>
      <c r="Q852" s="322"/>
      <c r="R852" s="322"/>
      <c r="S852" s="322"/>
      <c r="T852" s="322"/>
      <c r="U852" s="322"/>
      <c r="V852" s="322"/>
      <c r="W852" s="322"/>
      <c r="X852" s="322"/>
      <c r="Y852" s="322"/>
      <c r="Z852" s="322"/>
    </row>
    <row r="853" ht="12.75" customHeight="1">
      <c r="A853" s="322"/>
      <c r="B853" s="322"/>
      <c r="C853" s="323"/>
      <c r="D853" s="324"/>
      <c r="E853" s="323"/>
      <c r="F853" s="324"/>
      <c r="G853" s="322"/>
      <c r="H853" s="322"/>
      <c r="I853" s="322"/>
      <c r="J853" s="322"/>
      <c r="K853" s="322"/>
      <c r="L853" s="322"/>
      <c r="M853" s="322"/>
      <c r="N853" s="322"/>
      <c r="O853" s="322"/>
      <c r="P853" s="322"/>
      <c r="Q853" s="322"/>
      <c r="R853" s="322"/>
      <c r="S853" s="322"/>
      <c r="T853" s="322"/>
      <c r="U853" s="322"/>
      <c r="V853" s="322"/>
      <c r="W853" s="322"/>
      <c r="X853" s="322"/>
      <c r="Y853" s="322"/>
      <c r="Z853" s="322"/>
    </row>
    <row r="854" ht="12.75" customHeight="1">
      <c r="A854" s="322"/>
      <c r="B854" s="322"/>
      <c r="C854" s="323"/>
      <c r="D854" s="324"/>
      <c r="E854" s="323"/>
      <c r="F854" s="324"/>
      <c r="G854" s="322"/>
      <c r="H854" s="322"/>
      <c r="I854" s="322"/>
      <c r="J854" s="322"/>
      <c r="K854" s="322"/>
      <c r="L854" s="322"/>
      <c r="M854" s="322"/>
      <c r="N854" s="322"/>
      <c r="O854" s="322"/>
      <c r="P854" s="322"/>
      <c r="Q854" s="322"/>
      <c r="R854" s="322"/>
      <c r="S854" s="322"/>
      <c r="T854" s="322"/>
      <c r="U854" s="322"/>
      <c r="V854" s="322"/>
      <c r="W854" s="322"/>
      <c r="X854" s="322"/>
      <c r="Y854" s="322"/>
      <c r="Z854" s="322"/>
    </row>
    <row r="855" ht="12.75" customHeight="1">
      <c r="A855" s="322"/>
      <c r="B855" s="322"/>
      <c r="C855" s="323"/>
      <c r="D855" s="324"/>
      <c r="E855" s="323"/>
      <c r="F855" s="324"/>
      <c r="G855" s="322"/>
      <c r="H855" s="322"/>
      <c r="I855" s="322"/>
      <c r="J855" s="322"/>
      <c r="K855" s="322"/>
      <c r="L855" s="322"/>
      <c r="M855" s="322"/>
      <c r="N855" s="322"/>
      <c r="O855" s="322"/>
      <c r="P855" s="322"/>
      <c r="Q855" s="322"/>
      <c r="R855" s="322"/>
      <c r="S855" s="322"/>
      <c r="T855" s="322"/>
      <c r="U855" s="322"/>
      <c r="V855" s="322"/>
      <c r="W855" s="322"/>
      <c r="X855" s="322"/>
      <c r="Y855" s="322"/>
      <c r="Z855" s="322"/>
    </row>
    <row r="856" ht="12.75" customHeight="1">
      <c r="A856" s="322"/>
      <c r="B856" s="322"/>
      <c r="C856" s="323"/>
      <c r="D856" s="324"/>
      <c r="E856" s="323"/>
      <c r="F856" s="324"/>
      <c r="G856" s="322"/>
      <c r="H856" s="322"/>
      <c r="I856" s="322"/>
      <c r="J856" s="322"/>
      <c r="K856" s="322"/>
      <c r="L856" s="322"/>
      <c r="M856" s="322"/>
      <c r="N856" s="322"/>
      <c r="O856" s="322"/>
      <c r="P856" s="322"/>
      <c r="Q856" s="322"/>
      <c r="R856" s="322"/>
      <c r="S856" s="322"/>
      <c r="T856" s="322"/>
      <c r="U856" s="322"/>
      <c r="V856" s="322"/>
      <c r="W856" s="322"/>
      <c r="X856" s="322"/>
      <c r="Y856" s="322"/>
      <c r="Z856" s="322"/>
    </row>
    <row r="857" ht="12.75" customHeight="1">
      <c r="A857" s="322"/>
      <c r="B857" s="322"/>
      <c r="C857" s="323"/>
      <c r="D857" s="324"/>
      <c r="E857" s="323"/>
      <c r="F857" s="324"/>
      <c r="G857" s="322"/>
      <c r="H857" s="322"/>
      <c r="I857" s="322"/>
      <c r="J857" s="322"/>
      <c r="K857" s="322"/>
      <c r="L857" s="322"/>
      <c r="M857" s="322"/>
      <c r="N857" s="322"/>
      <c r="O857" s="322"/>
      <c r="P857" s="322"/>
      <c r="Q857" s="322"/>
      <c r="R857" s="322"/>
      <c r="S857" s="322"/>
      <c r="T857" s="322"/>
      <c r="U857" s="322"/>
      <c r="V857" s="322"/>
      <c r="W857" s="322"/>
      <c r="X857" s="322"/>
      <c r="Y857" s="322"/>
      <c r="Z857" s="322"/>
    </row>
    <row r="858" ht="12.75" customHeight="1">
      <c r="A858" s="322"/>
      <c r="B858" s="322"/>
      <c r="C858" s="323"/>
      <c r="D858" s="324"/>
      <c r="E858" s="323"/>
      <c r="F858" s="324"/>
      <c r="G858" s="322"/>
      <c r="H858" s="322"/>
      <c r="I858" s="322"/>
      <c r="J858" s="322"/>
      <c r="K858" s="322"/>
      <c r="L858" s="322"/>
      <c r="M858" s="322"/>
      <c r="N858" s="322"/>
      <c r="O858" s="322"/>
      <c r="P858" s="322"/>
      <c r="Q858" s="322"/>
      <c r="R858" s="322"/>
      <c r="S858" s="322"/>
      <c r="T858" s="322"/>
      <c r="U858" s="322"/>
      <c r="V858" s="322"/>
      <c r="W858" s="322"/>
      <c r="X858" s="322"/>
      <c r="Y858" s="322"/>
      <c r="Z858" s="322"/>
    </row>
    <row r="859" ht="12.75" customHeight="1">
      <c r="A859" s="322"/>
      <c r="B859" s="322"/>
      <c r="C859" s="323"/>
      <c r="D859" s="324"/>
      <c r="E859" s="323"/>
      <c r="F859" s="324"/>
      <c r="G859" s="322"/>
      <c r="H859" s="322"/>
      <c r="I859" s="322"/>
      <c r="J859" s="322"/>
      <c r="K859" s="322"/>
      <c r="L859" s="322"/>
      <c r="M859" s="322"/>
      <c r="N859" s="322"/>
      <c r="O859" s="322"/>
      <c r="P859" s="322"/>
      <c r="Q859" s="322"/>
      <c r="R859" s="322"/>
      <c r="S859" s="322"/>
      <c r="T859" s="322"/>
      <c r="U859" s="322"/>
      <c r="V859" s="322"/>
      <c r="W859" s="322"/>
      <c r="X859" s="322"/>
      <c r="Y859" s="322"/>
      <c r="Z859" s="322"/>
    </row>
    <row r="860" ht="12.75" customHeight="1">
      <c r="A860" s="322"/>
      <c r="B860" s="322"/>
      <c r="C860" s="323"/>
      <c r="D860" s="324"/>
      <c r="E860" s="323"/>
      <c r="F860" s="324"/>
      <c r="G860" s="322"/>
      <c r="H860" s="322"/>
      <c r="I860" s="322"/>
      <c r="J860" s="322"/>
      <c r="K860" s="322"/>
      <c r="L860" s="322"/>
      <c r="M860" s="322"/>
      <c r="N860" s="322"/>
      <c r="O860" s="322"/>
      <c r="P860" s="322"/>
      <c r="Q860" s="322"/>
      <c r="R860" s="322"/>
      <c r="S860" s="322"/>
      <c r="T860" s="322"/>
      <c r="U860" s="322"/>
      <c r="V860" s="322"/>
      <c r="W860" s="322"/>
      <c r="X860" s="322"/>
      <c r="Y860" s="322"/>
      <c r="Z860" s="322"/>
    </row>
    <row r="861" ht="12.75" customHeight="1">
      <c r="A861" s="322"/>
      <c r="B861" s="322"/>
      <c r="C861" s="323"/>
      <c r="D861" s="324"/>
      <c r="E861" s="323"/>
      <c r="F861" s="324"/>
      <c r="G861" s="322"/>
      <c r="H861" s="322"/>
      <c r="I861" s="322"/>
      <c r="J861" s="322"/>
      <c r="K861" s="322"/>
      <c r="L861" s="322"/>
      <c r="M861" s="322"/>
      <c r="N861" s="322"/>
      <c r="O861" s="322"/>
      <c r="P861" s="322"/>
      <c r="Q861" s="322"/>
      <c r="R861" s="322"/>
      <c r="S861" s="322"/>
      <c r="T861" s="322"/>
      <c r="U861" s="322"/>
      <c r="V861" s="322"/>
      <c r="W861" s="322"/>
      <c r="X861" s="322"/>
      <c r="Y861" s="322"/>
      <c r="Z861" s="322"/>
    </row>
    <row r="862" ht="12.75" customHeight="1">
      <c r="A862" s="322"/>
      <c r="B862" s="322"/>
      <c r="C862" s="323"/>
      <c r="D862" s="324"/>
      <c r="E862" s="323"/>
      <c r="F862" s="324"/>
      <c r="G862" s="322"/>
      <c r="H862" s="322"/>
      <c r="I862" s="322"/>
      <c r="J862" s="322"/>
      <c r="K862" s="322"/>
      <c r="L862" s="322"/>
      <c r="M862" s="322"/>
      <c r="N862" s="322"/>
      <c r="O862" s="322"/>
      <c r="P862" s="322"/>
      <c r="Q862" s="322"/>
      <c r="R862" s="322"/>
      <c r="S862" s="322"/>
      <c r="T862" s="322"/>
      <c r="U862" s="322"/>
      <c r="V862" s="322"/>
      <c r="W862" s="322"/>
      <c r="X862" s="322"/>
      <c r="Y862" s="322"/>
      <c r="Z862" s="322"/>
    </row>
    <row r="863" ht="12.75" customHeight="1">
      <c r="A863" s="322"/>
      <c r="B863" s="322"/>
      <c r="C863" s="323"/>
      <c r="D863" s="324"/>
      <c r="E863" s="323"/>
      <c r="F863" s="324"/>
      <c r="G863" s="322"/>
      <c r="H863" s="322"/>
      <c r="I863" s="322"/>
      <c r="J863" s="322"/>
      <c r="K863" s="322"/>
      <c r="L863" s="322"/>
      <c r="M863" s="322"/>
      <c r="N863" s="322"/>
      <c r="O863" s="322"/>
      <c r="P863" s="322"/>
      <c r="Q863" s="322"/>
      <c r="R863" s="322"/>
      <c r="S863" s="322"/>
      <c r="T863" s="322"/>
      <c r="U863" s="322"/>
      <c r="V863" s="322"/>
      <c r="W863" s="322"/>
      <c r="X863" s="322"/>
      <c r="Y863" s="322"/>
      <c r="Z863" s="322"/>
    </row>
    <row r="864" ht="12.75" customHeight="1">
      <c r="A864" s="322"/>
      <c r="B864" s="322"/>
      <c r="C864" s="323"/>
      <c r="D864" s="324"/>
      <c r="E864" s="323"/>
      <c r="F864" s="324"/>
      <c r="G864" s="322"/>
      <c r="H864" s="322"/>
      <c r="I864" s="322"/>
      <c r="J864" s="322"/>
      <c r="K864" s="322"/>
      <c r="L864" s="322"/>
      <c r="M864" s="322"/>
      <c r="N864" s="322"/>
      <c r="O864" s="322"/>
      <c r="P864" s="322"/>
      <c r="Q864" s="322"/>
      <c r="R864" s="322"/>
      <c r="S864" s="322"/>
      <c r="T864" s="322"/>
      <c r="U864" s="322"/>
      <c r="V864" s="322"/>
      <c r="W864" s="322"/>
      <c r="X864" s="322"/>
      <c r="Y864" s="322"/>
      <c r="Z864" s="322"/>
    </row>
    <row r="865" ht="12.75" customHeight="1">
      <c r="A865" s="322"/>
      <c r="B865" s="322"/>
      <c r="C865" s="323"/>
      <c r="D865" s="324"/>
      <c r="E865" s="323"/>
      <c r="F865" s="324"/>
      <c r="G865" s="322"/>
      <c r="H865" s="322"/>
      <c r="I865" s="322"/>
      <c r="J865" s="322"/>
      <c r="K865" s="322"/>
      <c r="L865" s="322"/>
      <c r="M865" s="322"/>
      <c r="N865" s="322"/>
      <c r="O865" s="322"/>
      <c r="P865" s="322"/>
      <c r="Q865" s="322"/>
      <c r="R865" s="322"/>
      <c r="S865" s="322"/>
      <c r="T865" s="322"/>
      <c r="U865" s="322"/>
      <c r="V865" s="322"/>
      <c r="W865" s="322"/>
      <c r="X865" s="322"/>
      <c r="Y865" s="322"/>
      <c r="Z865" s="322"/>
    </row>
    <row r="866" ht="12.75" customHeight="1">
      <c r="A866" s="322"/>
      <c r="B866" s="322"/>
      <c r="C866" s="323"/>
      <c r="D866" s="324"/>
      <c r="E866" s="323"/>
      <c r="F866" s="324"/>
      <c r="G866" s="322"/>
      <c r="H866" s="322"/>
      <c r="I866" s="322"/>
      <c r="J866" s="322"/>
      <c r="K866" s="322"/>
      <c r="L866" s="322"/>
      <c r="M866" s="322"/>
      <c r="N866" s="322"/>
      <c r="O866" s="322"/>
      <c r="P866" s="322"/>
      <c r="Q866" s="322"/>
      <c r="R866" s="322"/>
      <c r="S866" s="322"/>
      <c r="T866" s="322"/>
      <c r="U866" s="322"/>
      <c r="V866" s="322"/>
      <c r="W866" s="322"/>
      <c r="X866" s="322"/>
      <c r="Y866" s="322"/>
      <c r="Z866" s="322"/>
    </row>
    <row r="867" ht="12.75" customHeight="1">
      <c r="A867" s="322"/>
      <c r="B867" s="322"/>
      <c r="C867" s="323"/>
      <c r="D867" s="324"/>
      <c r="E867" s="323"/>
      <c r="F867" s="324"/>
      <c r="G867" s="322"/>
      <c r="H867" s="322"/>
      <c r="I867" s="322"/>
      <c r="J867" s="322"/>
      <c r="K867" s="322"/>
      <c r="L867" s="322"/>
      <c r="M867" s="322"/>
      <c r="N867" s="322"/>
      <c r="O867" s="322"/>
      <c r="P867" s="322"/>
      <c r="Q867" s="322"/>
      <c r="R867" s="322"/>
      <c r="S867" s="322"/>
      <c r="T867" s="322"/>
      <c r="U867" s="322"/>
      <c r="V867" s="322"/>
      <c r="W867" s="322"/>
      <c r="X867" s="322"/>
      <c r="Y867" s="322"/>
      <c r="Z867" s="322"/>
    </row>
    <row r="868" ht="12.75" customHeight="1">
      <c r="A868" s="322"/>
      <c r="B868" s="322"/>
      <c r="C868" s="323"/>
      <c r="D868" s="324"/>
      <c r="E868" s="323"/>
      <c r="F868" s="324"/>
      <c r="G868" s="322"/>
      <c r="H868" s="322"/>
      <c r="I868" s="322"/>
      <c r="J868" s="322"/>
      <c r="K868" s="322"/>
      <c r="L868" s="322"/>
      <c r="M868" s="322"/>
      <c r="N868" s="322"/>
      <c r="O868" s="322"/>
      <c r="P868" s="322"/>
      <c r="Q868" s="322"/>
      <c r="R868" s="322"/>
      <c r="S868" s="322"/>
      <c r="T868" s="322"/>
      <c r="U868" s="322"/>
      <c r="V868" s="322"/>
      <c r="W868" s="322"/>
      <c r="X868" s="322"/>
      <c r="Y868" s="322"/>
      <c r="Z868" s="322"/>
    </row>
    <row r="869" ht="12.75" customHeight="1">
      <c r="A869" s="322"/>
      <c r="B869" s="322"/>
      <c r="C869" s="323"/>
      <c r="D869" s="324"/>
      <c r="E869" s="323"/>
      <c r="F869" s="324"/>
      <c r="G869" s="322"/>
      <c r="H869" s="322"/>
      <c r="I869" s="322"/>
      <c r="J869" s="322"/>
      <c r="K869" s="322"/>
      <c r="L869" s="322"/>
      <c r="M869" s="322"/>
      <c r="N869" s="322"/>
      <c r="O869" s="322"/>
      <c r="P869" s="322"/>
      <c r="Q869" s="322"/>
      <c r="R869" s="322"/>
      <c r="S869" s="322"/>
      <c r="T869" s="322"/>
      <c r="U869" s="322"/>
      <c r="V869" s="322"/>
      <c r="W869" s="322"/>
      <c r="X869" s="322"/>
      <c r="Y869" s="322"/>
      <c r="Z869" s="322"/>
    </row>
    <row r="870" ht="12.75" customHeight="1">
      <c r="A870" s="322"/>
      <c r="B870" s="322"/>
      <c r="C870" s="323"/>
      <c r="D870" s="324"/>
      <c r="E870" s="323"/>
      <c r="F870" s="324"/>
      <c r="G870" s="322"/>
      <c r="H870" s="322"/>
      <c r="I870" s="322"/>
      <c r="J870" s="322"/>
      <c r="K870" s="322"/>
      <c r="L870" s="322"/>
      <c r="M870" s="322"/>
      <c r="N870" s="322"/>
      <c r="O870" s="322"/>
      <c r="P870" s="322"/>
      <c r="Q870" s="322"/>
      <c r="R870" s="322"/>
      <c r="S870" s="322"/>
      <c r="T870" s="322"/>
      <c r="U870" s="322"/>
      <c r="V870" s="322"/>
      <c r="W870" s="322"/>
      <c r="X870" s="322"/>
      <c r="Y870" s="322"/>
      <c r="Z870" s="322"/>
    </row>
    <row r="871" ht="12.75" customHeight="1">
      <c r="A871" s="322"/>
      <c r="B871" s="322"/>
      <c r="C871" s="323"/>
      <c r="D871" s="324"/>
      <c r="E871" s="323"/>
      <c r="F871" s="324"/>
      <c r="G871" s="322"/>
      <c r="H871" s="322"/>
      <c r="I871" s="322"/>
      <c r="J871" s="322"/>
      <c r="K871" s="322"/>
      <c r="L871" s="322"/>
      <c r="M871" s="322"/>
      <c r="N871" s="322"/>
      <c r="O871" s="322"/>
      <c r="P871" s="322"/>
      <c r="Q871" s="322"/>
      <c r="R871" s="322"/>
      <c r="S871" s="322"/>
      <c r="T871" s="322"/>
      <c r="U871" s="322"/>
      <c r="V871" s="322"/>
      <c r="W871" s="322"/>
      <c r="X871" s="322"/>
      <c r="Y871" s="322"/>
      <c r="Z871" s="322"/>
    </row>
    <row r="872" ht="12.75" customHeight="1">
      <c r="A872" s="322"/>
      <c r="B872" s="322"/>
      <c r="C872" s="323"/>
      <c r="D872" s="324"/>
      <c r="E872" s="323"/>
      <c r="F872" s="324"/>
      <c r="G872" s="322"/>
      <c r="H872" s="322"/>
      <c r="I872" s="322"/>
      <c r="J872" s="322"/>
      <c r="K872" s="322"/>
      <c r="L872" s="322"/>
      <c r="M872" s="322"/>
      <c r="N872" s="322"/>
      <c r="O872" s="322"/>
      <c r="P872" s="322"/>
      <c r="Q872" s="322"/>
      <c r="R872" s="322"/>
      <c r="S872" s="322"/>
      <c r="T872" s="322"/>
      <c r="U872" s="322"/>
      <c r="V872" s="322"/>
      <c r="W872" s="322"/>
      <c r="X872" s="322"/>
      <c r="Y872" s="322"/>
      <c r="Z872" s="322"/>
    </row>
    <row r="873" ht="12.75" customHeight="1">
      <c r="A873" s="322"/>
      <c r="B873" s="322"/>
      <c r="C873" s="323"/>
      <c r="D873" s="324"/>
      <c r="E873" s="323"/>
      <c r="F873" s="324"/>
      <c r="G873" s="322"/>
      <c r="H873" s="322"/>
      <c r="I873" s="322"/>
      <c r="J873" s="322"/>
      <c r="K873" s="322"/>
      <c r="L873" s="322"/>
      <c r="M873" s="322"/>
      <c r="N873" s="322"/>
      <c r="O873" s="322"/>
      <c r="P873" s="322"/>
      <c r="Q873" s="322"/>
      <c r="R873" s="322"/>
      <c r="S873" s="322"/>
      <c r="T873" s="322"/>
      <c r="U873" s="322"/>
      <c r="V873" s="322"/>
      <c r="W873" s="322"/>
      <c r="X873" s="322"/>
      <c r="Y873" s="322"/>
      <c r="Z873" s="322"/>
    </row>
    <row r="874" ht="12.75" customHeight="1">
      <c r="A874" s="322"/>
      <c r="B874" s="322"/>
      <c r="C874" s="323"/>
      <c r="D874" s="324"/>
      <c r="E874" s="323"/>
      <c r="F874" s="324"/>
      <c r="G874" s="322"/>
      <c r="H874" s="322"/>
      <c r="I874" s="322"/>
      <c r="J874" s="322"/>
      <c r="K874" s="322"/>
      <c r="L874" s="322"/>
      <c r="M874" s="322"/>
      <c r="N874" s="322"/>
      <c r="O874" s="322"/>
      <c r="P874" s="322"/>
      <c r="Q874" s="322"/>
      <c r="R874" s="322"/>
      <c r="S874" s="322"/>
      <c r="T874" s="322"/>
      <c r="U874" s="322"/>
      <c r="V874" s="322"/>
      <c r="W874" s="322"/>
      <c r="X874" s="322"/>
      <c r="Y874" s="322"/>
      <c r="Z874" s="322"/>
    </row>
    <row r="875" ht="12.75" customHeight="1">
      <c r="A875" s="322"/>
      <c r="B875" s="322"/>
      <c r="C875" s="323"/>
      <c r="D875" s="324"/>
      <c r="E875" s="323"/>
      <c r="F875" s="324"/>
      <c r="G875" s="322"/>
      <c r="H875" s="322"/>
      <c r="I875" s="322"/>
      <c r="J875" s="322"/>
      <c r="K875" s="322"/>
      <c r="L875" s="322"/>
      <c r="M875" s="322"/>
      <c r="N875" s="322"/>
      <c r="O875" s="322"/>
      <c r="P875" s="322"/>
      <c r="Q875" s="322"/>
      <c r="R875" s="322"/>
      <c r="S875" s="322"/>
      <c r="T875" s="322"/>
      <c r="U875" s="322"/>
      <c r="V875" s="322"/>
      <c r="W875" s="322"/>
      <c r="X875" s="322"/>
      <c r="Y875" s="322"/>
      <c r="Z875" s="322"/>
    </row>
    <row r="876" ht="12.75" customHeight="1">
      <c r="A876" s="322"/>
      <c r="B876" s="322"/>
      <c r="C876" s="323"/>
      <c r="D876" s="324"/>
      <c r="E876" s="323"/>
      <c r="F876" s="324"/>
      <c r="G876" s="322"/>
      <c r="H876" s="322"/>
      <c r="I876" s="322"/>
      <c r="J876" s="322"/>
      <c r="K876" s="322"/>
      <c r="L876" s="322"/>
      <c r="M876" s="322"/>
      <c r="N876" s="322"/>
      <c r="O876" s="322"/>
      <c r="P876" s="322"/>
      <c r="Q876" s="322"/>
      <c r="R876" s="322"/>
      <c r="S876" s="322"/>
      <c r="T876" s="322"/>
      <c r="U876" s="322"/>
      <c r="V876" s="322"/>
      <c r="W876" s="322"/>
      <c r="X876" s="322"/>
      <c r="Y876" s="322"/>
      <c r="Z876" s="322"/>
    </row>
    <row r="877" ht="12.75" customHeight="1">
      <c r="A877" s="322"/>
      <c r="B877" s="322"/>
      <c r="C877" s="323"/>
      <c r="D877" s="324"/>
      <c r="E877" s="323"/>
      <c r="F877" s="324"/>
      <c r="G877" s="322"/>
      <c r="H877" s="322"/>
      <c r="I877" s="322"/>
      <c r="J877" s="322"/>
      <c r="K877" s="322"/>
      <c r="L877" s="322"/>
      <c r="M877" s="322"/>
      <c r="N877" s="322"/>
      <c r="O877" s="322"/>
      <c r="P877" s="322"/>
      <c r="Q877" s="322"/>
      <c r="R877" s="322"/>
      <c r="S877" s="322"/>
      <c r="T877" s="322"/>
      <c r="U877" s="322"/>
      <c r="V877" s="322"/>
      <c r="W877" s="322"/>
      <c r="X877" s="322"/>
      <c r="Y877" s="322"/>
      <c r="Z877" s="322"/>
    </row>
    <row r="878" ht="12.75" customHeight="1">
      <c r="A878" s="322"/>
      <c r="B878" s="322"/>
      <c r="C878" s="323"/>
      <c r="D878" s="324"/>
      <c r="E878" s="323"/>
      <c r="F878" s="324"/>
      <c r="G878" s="322"/>
      <c r="H878" s="322"/>
      <c r="I878" s="322"/>
      <c r="J878" s="322"/>
      <c r="K878" s="322"/>
      <c r="L878" s="322"/>
      <c r="M878" s="322"/>
      <c r="N878" s="322"/>
      <c r="O878" s="322"/>
      <c r="P878" s="322"/>
      <c r="Q878" s="322"/>
      <c r="R878" s="322"/>
      <c r="S878" s="322"/>
      <c r="T878" s="322"/>
      <c r="U878" s="322"/>
      <c r="V878" s="322"/>
      <c r="W878" s="322"/>
      <c r="X878" s="322"/>
      <c r="Y878" s="322"/>
      <c r="Z878" s="322"/>
    </row>
    <row r="879" ht="12.75" customHeight="1">
      <c r="A879" s="322"/>
      <c r="B879" s="322"/>
      <c r="C879" s="323"/>
      <c r="D879" s="324"/>
      <c r="E879" s="323"/>
      <c r="F879" s="324"/>
      <c r="G879" s="322"/>
      <c r="H879" s="322"/>
      <c r="I879" s="322"/>
      <c r="J879" s="322"/>
      <c r="K879" s="322"/>
      <c r="L879" s="322"/>
      <c r="M879" s="322"/>
      <c r="N879" s="322"/>
      <c r="O879" s="322"/>
      <c r="P879" s="322"/>
      <c r="Q879" s="322"/>
      <c r="R879" s="322"/>
      <c r="S879" s="322"/>
      <c r="T879" s="322"/>
      <c r="U879" s="322"/>
      <c r="V879" s="322"/>
      <c r="W879" s="322"/>
      <c r="X879" s="322"/>
      <c r="Y879" s="322"/>
      <c r="Z879" s="322"/>
    </row>
    <row r="880" ht="12.75" customHeight="1">
      <c r="A880" s="322"/>
      <c r="B880" s="322"/>
      <c r="C880" s="323"/>
      <c r="D880" s="324"/>
      <c r="E880" s="323"/>
      <c r="F880" s="324"/>
      <c r="G880" s="322"/>
      <c r="H880" s="322"/>
      <c r="I880" s="322"/>
      <c r="J880" s="322"/>
      <c r="K880" s="322"/>
      <c r="L880" s="322"/>
      <c r="M880" s="322"/>
      <c r="N880" s="322"/>
      <c r="O880" s="322"/>
      <c r="P880" s="322"/>
      <c r="Q880" s="322"/>
      <c r="R880" s="322"/>
      <c r="S880" s="322"/>
      <c r="T880" s="322"/>
      <c r="U880" s="322"/>
      <c r="V880" s="322"/>
      <c r="W880" s="322"/>
      <c r="X880" s="322"/>
      <c r="Y880" s="322"/>
      <c r="Z880" s="322"/>
    </row>
    <row r="881" ht="12.75" customHeight="1">
      <c r="A881" s="322"/>
      <c r="B881" s="322"/>
      <c r="C881" s="323"/>
      <c r="D881" s="324"/>
      <c r="E881" s="323"/>
      <c r="F881" s="324"/>
      <c r="G881" s="322"/>
      <c r="H881" s="322"/>
      <c r="I881" s="322"/>
      <c r="J881" s="322"/>
      <c r="K881" s="322"/>
      <c r="L881" s="322"/>
      <c r="M881" s="322"/>
      <c r="N881" s="322"/>
      <c r="O881" s="322"/>
      <c r="P881" s="322"/>
      <c r="Q881" s="322"/>
      <c r="R881" s="322"/>
      <c r="S881" s="322"/>
      <c r="T881" s="322"/>
      <c r="U881" s="322"/>
      <c r="V881" s="322"/>
      <c r="W881" s="322"/>
      <c r="X881" s="322"/>
      <c r="Y881" s="322"/>
      <c r="Z881" s="322"/>
    </row>
    <row r="882" ht="12.75" customHeight="1">
      <c r="A882" s="322"/>
      <c r="B882" s="322"/>
      <c r="C882" s="323"/>
      <c r="D882" s="324"/>
      <c r="E882" s="323"/>
      <c r="F882" s="324"/>
      <c r="G882" s="322"/>
      <c r="H882" s="322"/>
      <c r="I882" s="322"/>
      <c r="J882" s="322"/>
      <c r="K882" s="322"/>
      <c r="L882" s="322"/>
      <c r="M882" s="322"/>
      <c r="N882" s="322"/>
      <c r="O882" s="322"/>
      <c r="P882" s="322"/>
      <c r="Q882" s="322"/>
      <c r="R882" s="322"/>
      <c r="S882" s="322"/>
      <c r="T882" s="322"/>
      <c r="U882" s="322"/>
      <c r="V882" s="322"/>
      <c r="W882" s="322"/>
      <c r="X882" s="322"/>
      <c r="Y882" s="322"/>
      <c r="Z882" s="322"/>
    </row>
    <row r="883" ht="12.75" customHeight="1">
      <c r="A883" s="322"/>
      <c r="B883" s="322"/>
      <c r="C883" s="323"/>
      <c r="D883" s="324"/>
      <c r="E883" s="323"/>
      <c r="F883" s="324"/>
      <c r="G883" s="322"/>
      <c r="H883" s="322"/>
      <c r="I883" s="322"/>
      <c r="J883" s="322"/>
      <c r="K883" s="322"/>
      <c r="L883" s="322"/>
      <c r="M883" s="322"/>
      <c r="N883" s="322"/>
      <c r="O883" s="322"/>
      <c r="P883" s="322"/>
      <c r="Q883" s="322"/>
      <c r="R883" s="322"/>
      <c r="S883" s="322"/>
      <c r="T883" s="322"/>
      <c r="U883" s="322"/>
      <c r="V883" s="322"/>
      <c r="W883" s="322"/>
      <c r="X883" s="322"/>
      <c r="Y883" s="322"/>
      <c r="Z883" s="322"/>
    </row>
    <row r="884" ht="12.75" customHeight="1">
      <c r="A884" s="322"/>
      <c r="B884" s="322"/>
      <c r="C884" s="323"/>
      <c r="D884" s="324"/>
      <c r="E884" s="323"/>
      <c r="F884" s="324"/>
      <c r="G884" s="322"/>
      <c r="H884" s="322"/>
      <c r="I884" s="322"/>
      <c r="J884" s="322"/>
      <c r="K884" s="322"/>
      <c r="L884" s="322"/>
      <c r="M884" s="322"/>
      <c r="N884" s="322"/>
      <c r="O884" s="322"/>
      <c r="P884" s="322"/>
      <c r="Q884" s="322"/>
      <c r="R884" s="322"/>
      <c r="S884" s="322"/>
      <c r="T884" s="322"/>
      <c r="U884" s="322"/>
      <c r="V884" s="322"/>
      <c r="W884" s="322"/>
      <c r="X884" s="322"/>
      <c r="Y884" s="322"/>
      <c r="Z884" s="322"/>
    </row>
    <row r="885" ht="12.75" customHeight="1">
      <c r="A885" s="322"/>
      <c r="B885" s="322"/>
      <c r="C885" s="323"/>
      <c r="D885" s="324"/>
      <c r="E885" s="323"/>
      <c r="F885" s="324"/>
      <c r="G885" s="322"/>
      <c r="H885" s="322"/>
      <c r="I885" s="322"/>
      <c r="J885" s="322"/>
      <c r="K885" s="322"/>
      <c r="L885" s="322"/>
      <c r="M885" s="322"/>
      <c r="N885" s="322"/>
      <c r="O885" s="322"/>
      <c r="P885" s="322"/>
      <c r="Q885" s="322"/>
      <c r="R885" s="322"/>
      <c r="S885" s="322"/>
      <c r="T885" s="322"/>
      <c r="U885" s="322"/>
      <c r="V885" s="322"/>
      <c r="W885" s="322"/>
      <c r="X885" s="322"/>
      <c r="Y885" s="322"/>
      <c r="Z885" s="322"/>
    </row>
    <row r="886" ht="12.75" customHeight="1">
      <c r="A886" s="322"/>
      <c r="B886" s="322"/>
      <c r="C886" s="323"/>
      <c r="D886" s="324"/>
      <c r="E886" s="323"/>
      <c r="F886" s="324"/>
      <c r="G886" s="322"/>
      <c r="H886" s="322"/>
      <c r="I886" s="322"/>
      <c r="J886" s="322"/>
      <c r="K886" s="322"/>
      <c r="L886" s="322"/>
      <c r="M886" s="322"/>
      <c r="N886" s="322"/>
      <c r="O886" s="322"/>
      <c r="P886" s="322"/>
      <c r="Q886" s="322"/>
      <c r="R886" s="322"/>
      <c r="S886" s="322"/>
      <c r="T886" s="322"/>
      <c r="U886" s="322"/>
      <c r="V886" s="322"/>
      <c r="W886" s="322"/>
      <c r="X886" s="322"/>
      <c r="Y886" s="322"/>
      <c r="Z886" s="322"/>
    </row>
    <row r="887" ht="12.75" customHeight="1">
      <c r="A887" s="322"/>
      <c r="B887" s="322"/>
      <c r="C887" s="323"/>
      <c r="D887" s="324"/>
      <c r="E887" s="323"/>
      <c r="F887" s="324"/>
      <c r="G887" s="322"/>
      <c r="H887" s="322"/>
      <c r="I887" s="322"/>
      <c r="J887" s="322"/>
      <c r="K887" s="322"/>
      <c r="L887" s="322"/>
      <c r="M887" s="322"/>
      <c r="N887" s="322"/>
      <c r="O887" s="322"/>
      <c r="P887" s="322"/>
      <c r="Q887" s="322"/>
      <c r="R887" s="322"/>
      <c r="S887" s="322"/>
      <c r="T887" s="322"/>
      <c r="U887" s="322"/>
      <c r="V887" s="322"/>
      <c r="W887" s="322"/>
      <c r="X887" s="322"/>
      <c r="Y887" s="322"/>
      <c r="Z887" s="322"/>
    </row>
    <row r="888" ht="12.75" customHeight="1">
      <c r="A888" s="322"/>
      <c r="B888" s="322"/>
      <c r="C888" s="323"/>
      <c r="D888" s="324"/>
      <c r="E888" s="323"/>
      <c r="F888" s="324"/>
      <c r="G888" s="322"/>
      <c r="H888" s="322"/>
      <c r="I888" s="322"/>
      <c r="J888" s="322"/>
      <c r="K888" s="322"/>
      <c r="L888" s="322"/>
      <c r="M888" s="322"/>
      <c r="N888" s="322"/>
      <c r="O888" s="322"/>
      <c r="P888" s="322"/>
      <c r="Q888" s="322"/>
      <c r="R888" s="322"/>
      <c r="S888" s="322"/>
      <c r="T888" s="322"/>
      <c r="U888" s="322"/>
      <c r="V888" s="322"/>
      <c r="W888" s="322"/>
      <c r="X888" s="322"/>
      <c r="Y888" s="322"/>
      <c r="Z888" s="322"/>
    </row>
    <row r="889" ht="12.75" customHeight="1">
      <c r="A889" s="322"/>
      <c r="B889" s="322"/>
      <c r="C889" s="323"/>
      <c r="D889" s="324"/>
      <c r="E889" s="323"/>
      <c r="F889" s="324"/>
      <c r="G889" s="322"/>
      <c r="H889" s="322"/>
      <c r="I889" s="322"/>
      <c r="J889" s="322"/>
      <c r="K889" s="322"/>
      <c r="L889" s="322"/>
      <c r="M889" s="322"/>
      <c r="N889" s="322"/>
      <c r="O889" s="322"/>
      <c r="P889" s="322"/>
      <c r="Q889" s="322"/>
      <c r="R889" s="322"/>
      <c r="S889" s="322"/>
      <c r="T889" s="322"/>
      <c r="U889" s="322"/>
      <c r="V889" s="322"/>
      <c r="W889" s="322"/>
      <c r="X889" s="322"/>
      <c r="Y889" s="322"/>
      <c r="Z889" s="322"/>
    </row>
    <row r="890" ht="12.75" customHeight="1">
      <c r="A890" s="322"/>
      <c r="B890" s="322"/>
      <c r="C890" s="323"/>
      <c r="D890" s="324"/>
      <c r="E890" s="323"/>
      <c r="F890" s="324"/>
      <c r="G890" s="322"/>
      <c r="H890" s="322"/>
      <c r="I890" s="322"/>
      <c r="J890" s="322"/>
      <c r="K890" s="322"/>
      <c r="L890" s="322"/>
      <c r="M890" s="322"/>
      <c r="N890" s="322"/>
      <c r="O890" s="322"/>
      <c r="P890" s="322"/>
      <c r="Q890" s="322"/>
      <c r="R890" s="322"/>
      <c r="S890" s="322"/>
      <c r="T890" s="322"/>
      <c r="U890" s="322"/>
      <c r="V890" s="322"/>
      <c r="W890" s="322"/>
      <c r="X890" s="322"/>
      <c r="Y890" s="322"/>
      <c r="Z890" s="322"/>
    </row>
    <row r="891" ht="12.75" customHeight="1">
      <c r="A891" s="322"/>
      <c r="B891" s="322"/>
      <c r="C891" s="323"/>
      <c r="D891" s="324"/>
      <c r="E891" s="323"/>
      <c r="F891" s="324"/>
      <c r="G891" s="322"/>
      <c r="H891" s="322"/>
      <c r="I891" s="322"/>
      <c r="J891" s="322"/>
      <c r="K891" s="322"/>
      <c r="L891" s="322"/>
      <c r="M891" s="322"/>
      <c r="N891" s="322"/>
      <c r="O891" s="322"/>
      <c r="P891" s="322"/>
      <c r="Q891" s="322"/>
      <c r="R891" s="322"/>
      <c r="S891" s="322"/>
      <c r="T891" s="322"/>
      <c r="U891" s="322"/>
      <c r="V891" s="322"/>
      <c r="W891" s="322"/>
      <c r="X891" s="322"/>
      <c r="Y891" s="322"/>
      <c r="Z891" s="322"/>
    </row>
    <row r="892" ht="12.75" customHeight="1">
      <c r="A892" s="322"/>
      <c r="B892" s="322"/>
      <c r="C892" s="323"/>
      <c r="D892" s="324"/>
      <c r="E892" s="323"/>
      <c r="F892" s="324"/>
      <c r="G892" s="322"/>
      <c r="H892" s="322"/>
      <c r="I892" s="322"/>
      <c r="J892" s="322"/>
      <c r="K892" s="322"/>
      <c r="L892" s="322"/>
      <c r="M892" s="322"/>
      <c r="N892" s="322"/>
      <c r="O892" s="322"/>
      <c r="P892" s="322"/>
      <c r="Q892" s="322"/>
      <c r="R892" s="322"/>
      <c r="S892" s="322"/>
      <c r="T892" s="322"/>
      <c r="U892" s="322"/>
      <c r="V892" s="322"/>
      <c r="W892" s="322"/>
      <c r="X892" s="322"/>
      <c r="Y892" s="322"/>
      <c r="Z892" s="322"/>
    </row>
    <row r="893" ht="12.75" customHeight="1">
      <c r="A893" s="322"/>
      <c r="B893" s="322"/>
      <c r="C893" s="323"/>
      <c r="D893" s="324"/>
      <c r="E893" s="323"/>
      <c r="F893" s="324"/>
      <c r="G893" s="322"/>
      <c r="H893" s="322"/>
      <c r="I893" s="322"/>
      <c r="J893" s="322"/>
      <c r="K893" s="322"/>
      <c r="L893" s="322"/>
      <c r="M893" s="322"/>
      <c r="N893" s="322"/>
      <c r="O893" s="322"/>
      <c r="P893" s="322"/>
      <c r="Q893" s="322"/>
      <c r="R893" s="322"/>
      <c r="S893" s="322"/>
      <c r="T893" s="322"/>
      <c r="U893" s="322"/>
      <c r="V893" s="322"/>
      <c r="W893" s="322"/>
      <c r="X893" s="322"/>
      <c r="Y893" s="322"/>
      <c r="Z893" s="322"/>
    </row>
    <row r="894" ht="12.75" customHeight="1">
      <c r="A894" s="322"/>
      <c r="B894" s="322"/>
      <c r="C894" s="323"/>
      <c r="D894" s="324"/>
      <c r="E894" s="323"/>
      <c r="F894" s="324"/>
      <c r="G894" s="322"/>
      <c r="H894" s="322"/>
      <c r="I894" s="322"/>
      <c r="J894" s="322"/>
      <c r="K894" s="322"/>
      <c r="L894" s="322"/>
      <c r="M894" s="322"/>
      <c r="N894" s="322"/>
      <c r="O894" s="322"/>
      <c r="P894" s="322"/>
      <c r="Q894" s="322"/>
      <c r="R894" s="322"/>
      <c r="S894" s="322"/>
      <c r="T894" s="322"/>
      <c r="U894" s="322"/>
      <c r="V894" s="322"/>
      <c r="W894" s="322"/>
      <c r="X894" s="322"/>
      <c r="Y894" s="322"/>
      <c r="Z894" s="322"/>
    </row>
    <row r="895" ht="12.75" customHeight="1">
      <c r="A895" s="322"/>
      <c r="B895" s="322"/>
      <c r="C895" s="323"/>
      <c r="D895" s="324"/>
      <c r="E895" s="323"/>
      <c r="F895" s="324"/>
      <c r="G895" s="322"/>
      <c r="H895" s="322"/>
      <c r="I895" s="322"/>
      <c r="J895" s="322"/>
      <c r="K895" s="322"/>
      <c r="L895" s="322"/>
      <c r="M895" s="322"/>
      <c r="N895" s="322"/>
      <c r="O895" s="322"/>
      <c r="P895" s="322"/>
      <c r="Q895" s="322"/>
      <c r="R895" s="322"/>
      <c r="S895" s="322"/>
      <c r="T895" s="322"/>
      <c r="U895" s="322"/>
      <c r="V895" s="322"/>
      <c r="W895" s="322"/>
      <c r="X895" s="322"/>
      <c r="Y895" s="322"/>
      <c r="Z895" s="322"/>
    </row>
    <row r="896" ht="12.75" customHeight="1">
      <c r="A896" s="322"/>
      <c r="B896" s="322"/>
      <c r="C896" s="323"/>
      <c r="D896" s="324"/>
      <c r="E896" s="323"/>
      <c r="F896" s="324"/>
      <c r="G896" s="322"/>
      <c r="H896" s="322"/>
      <c r="I896" s="322"/>
      <c r="J896" s="322"/>
      <c r="K896" s="322"/>
      <c r="L896" s="322"/>
      <c r="M896" s="322"/>
      <c r="N896" s="322"/>
      <c r="O896" s="322"/>
      <c r="P896" s="322"/>
      <c r="Q896" s="322"/>
      <c r="R896" s="322"/>
      <c r="S896" s="322"/>
      <c r="T896" s="322"/>
      <c r="U896" s="322"/>
      <c r="V896" s="322"/>
      <c r="W896" s="322"/>
      <c r="X896" s="322"/>
      <c r="Y896" s="322"/>
      <c r="Z896" s="322"/>
    </row>
    <row r="897" ht="12.75" customHeight="1">
      <c r="A897" s="322"/>
      <c r="B897" s="322"/>
      <c r="C897" s="323"/>
      <c r="D897" s="324"/>
      <c r="E897" s="323"/>
      <c r="F897" s="324"/>
      <c r="G897" s="322"/>
      <c r="H897" s="322"/>
      <c r="I897" s="322"/>
      <c r="J897" s="322"/>
      <c r="K897" s="322"/>
      <c r="L897" s="322"/>
      <c r="M897" s="322"/>
      <c r="N897" s="322"/>
      <c r="O897" s="322"/>
      <c r="P897" s="322"/>
      <c r="Q897" s="322"/>
      <c r="R897" s="322"/>
      <c r="S897" s="322"/>
      <c r="T897" s="322"/>
      <c r="U897" s="322"/>
      <c r="V897" s="322"/>
      <c r="W897" s="322"/>
      <c r="X897" s="322"/>
      <c r="Y897" s="322"/>
      <c r="Z897" s="322"/>
    </row>
    <row r="898" ht="12.75" customHeight="1">
      <c r="A898" s="322"/>
      <c r="B898" s="322"/>
      <c r="C898" s="323"/>
      <c r="D898" s="324"/>
      <c r="E898" s="323"/>
      <c r="F898" s="324"/>
      <c r="G898" s="322"/>
      <c r="H898" s="322"/>
      <c r="I898" s="322"/>
      <c r="J898" s="322"/>
      <c r="K898" s="322"/>
      <c r="L898" s="322"/>
      <c r="M898" s="322"/>
      <c r="N898" s="322"/>
      <c r="O898" s="322"/>
      <c r="P898" s="322"/>
      <c r="Q898" s="322"/>
      <c r="R898" s="322"/>
      <c r="S898" s="322"/>
      <c r="T898" s="322"/>
      <c r="U898" s="322"/>
      <c r="V898" s="322"/>
      <c r="W898" s="322"/>
      <c r="X898" s="322"/>
      <c r="Y898" s="322"/>
      <c r="Z898" s="322"/>
    </row>
    <row r="899" ht="12.75" customHeight="1">
      <c r="A899" s="322"/>
      <c r="B899" s="322"/>
      <c r="C899" s="323"/>
      <c r="D899" s="324"/>
      <c r="E899" s="323"/>
      <c r="F899" s="324"/>
      <c r="G899" s="322"/>
      <c r="H899" s="322"/>
      <c r="I899" s="322"/>
      <c r="J899" s="322"/>
      <c r="K899" s="322"/>
      <c r="L899" s="322"/>
      <c r="M899" s="322"/>
      <c r="N899" s="322"/>
      <c r="O899" s="322"/>
      <c r="P899" s="322"/>
      <c r="Q899" s="322"/>
      <c r="R899" s="322"/>
      <c r="S899" s="322"/>
      <c r="T899" s="322"/>
      <c r="U899" s="322"/>
      <c r="V899" s="322"/>
      <c r="W899" s="322"/>
      <c r="X899" s="322"/>
      <c r="Y899" s="322"/>
      <c r="Z899" s="322"/>
    </row>
    <row r="900" ht="12.75" customHeight="1">
      <c r="A900" s="322"/>
      <c r="B900" s="322"/>
      <c r="C900" s="323"/>
      <c r="D900" s="324"/>
      <c r="E900" s="323"/>
      <c r="F900" s="324"/>
      <c r="G900" s="322"/>
      <c r="H900" s="322"/>
      <c r="I900" s="322"/>
      <c r="J900" s="322"/>
      <c r="K900" s="322"/>
      <c r="L900" s="322"/>
      <c r="M900" s="322"/>
      <c r="N900" s="322"/>
      <c r="O900" s="322"/>
      <c r="P900" s="322"/>
      <c r="Q900" s="322"/>
      <c r="R900" s="322"/>
      <c r="S900" s="322"/>
      <c r="T900" s="322"/>
      <c r="U900" s="322"/>
      <c r="V900" s="322"/>
      <c r="W900" s="322"/>
      <c r="X900" s="322"/>
      <c r="Y900" s="322"/>
      <c r="Z900" s="322"/>
    </row>
    <row r="901" ht="12.75" customHeight="1">
      <c r="A901" s="322"/>
      <c r="B901" s="322"/>
      <c r="C901" s="323"/>
      <c r="D901" s="324"/>
      <c r="E901" s="323"/>
      <c r="F901" s="324"/>
      <c r="G901" s="322"/>
      <c r="H901" s="322"/>
      <c r="I901" s="322"/>
      <c r="J901" s="322"/>
      <c r="K901" s="322"/>
      <c r="L901" s="322"/>
      <c r="M901" s="322"/>
      <c r="N901" s="322"/>
      <c r="O901" s="322"/>
      <c r="P901" s="322"/>
      <c r="Q901" s="322"/>
      <c r="R901" s="322"/>
      <c r="S901" s="322"/>
      <c r="T901" s="322"/>
      <c r="U901" s="322"/>
      <c r="V901" s="322"/>
      <c r="W901" s="322"/>
      <c r="X901" s="322"/>
      <c r="Y901" s="322"/>
      <c r="Z901" s="322"/>
    </row>
    <row r="902" ht="12.75" customHeight="1">
      <c r="A902" s="322"/>
      <c r="B902" s="322"/>
      <c r="C902" s="323"/>
      <c r="D902" s="324"/>
      <c r="E902" s="323"/>
      <c r="F902" s="324"/>
      <c r="G902" s="322"/>
      <c r="H902" s="322"/>
      <c r="I902" s="322"/>
      <c r="J902" s="322"/>
      <c r="K902" s="322"/>
      <c r="L902" s="322"/>
      <c r="M902" s="322"/>
      <c r="N902" s="322"/>
      <c r="O902" s="322"/>
      <c r="P902" s="322"/>
      <c r="Q902" s="322"/>
      <c r="R902" s="322"/>
      <c r="S902" s="322"/>
      <c r="T902" s="322"/>
      <c r="U902" s="322"/>
      <c r="V902" s="322"/>
      <c r="W902" s="322"/>
      <c r="X902" s="322"/>
      <c r="Y902" s="322"/>
      <c r="Z902" s="322"/>
    </row>
    <row r="903" ht="12.75" customHeight="1">
      <c r="A903" s="322"/>
      <c r="B903" s="322"/>
      <c r="C903" s="323"/>
      <c r="D903" s="324"/>
      <c r="E903" s="323"/>
      <c r="F903" s="324"/>
      <c r="G903" s="322"/>
      <c r="H903" s="322"/>
      <c r="I903" s="322"/>
      <c r="J903" s="322"/>
      <c r="K903" s="322"/>
      <c r="L903" s="322"/>
      <c r="M903" s="322"/>
      <c r="N903" s="322"/>
      <c r="O903" s="322"/>
      <c r="P903" s="322"/>
      <c r="Q903" s="322"/>
      <c r="R903" s="322"/>
      <c r="S903" s="322"/>
      <c r="T903" s="322"/>
      <c r="U903" s="322"/>
      <c r="V903" s="322"/>
      <c r="W903" s="322"/>
      <c r="X903" s="322"/>
      <c r="Y903" s="322"/>
      <c r="Z903" s="322"/>
    </row>
    <row r="904" ht="12.75" customHeight="1">
      <c r="A904" s="322"/>
      <c r="B904" s="322"/>
      <c r="C904" s="323"/>
      <c r="D904" s="324"/>
      <c r="E904" s="323"/>
      <c r="F904" s="324"/>
      <c r="G904" s="322"/>
      <c r="H904" s="322"/>
      <c r="I904" s="322"/>
      <c r="J904" s="322"/>
      <c r="K904" s="322"/>
      <c r="L904" s="322"/>
      <c r="M904" s="322"/>
      <c r="N904" s="322"/>
      <c r="O904" s="322"/>
      <c r="P904" s="322"/>
      <c r="Q904" s="322"/>
      <c r="R904" s="322"/>
      <c r="S904" s="322"/>
      <c r="T904" s="322"/>
      <c r="U904" s="322"/>
      <c r="V904" s="322"/>
      <c r="W904" s="322"/>
      <c r="X904" s="322"/>
      <c r="Y904" s="322"/>
      <c r="Z904" s="322"/>
    </row>
    <row r="905" ht="12.75" customHeight="1">
      <c r="A905" s="322"/>
      <c r="B905" s="322"/>
      <c r="C905" s="323"/>
      <c r="D905" s="324"/>
      <c r="E905" s="323"/>
      <c r="F905" s="324"/>
      <c r="G905" s="322"/>
      <c r="H905" s="322"/>
      <c r="I905" s="322"/>
      <c r="J905" s="322"/>
      <c r="K905" s="322"/>
      <c r="L905" s="322"/>
      <c r="M905" s="322"/>
      <c r="N905" s="322"/>
      <c r="O905" s="322"/>
      <c r="P905" s="322"/>
      <c r="Q905" s="322"/>
      <c r="R905" s="322"/>
      <c r="S905" s="322"/>
      <c r="T905" s="322"/>
      <c r="U905" s="322"/>
      <c r="V905" s="322"/>
      <c r="W905" s="322"/>
      <c r="X905" s="322"/>
      <c r="Y905" s="322"/>
      <c r="Z905" s="322"/>
    </row>
    <row r="906" ht="12.75" customHeight="1">
      <c r="A906" s="322"/>
      <c r="B906" s="322"/>
      <c r="C906" s="323"/>
      <c r="D906" s="324"/>
      <c r="E906" s="323"/>
      <c r="F906" s="324"/>
      <c r="G906" s="322"/>
      <c r="H906" s="322"/>
      <c r="I906" s="322"/>
      <c r="J906" s="322"/>
      <c r="K906" s="322"/>
      <c r="L906" s="322"/>
      <c r="M906" s="322"/>
      <c r="N906" s="322"/>
      <c r="O906" s="322"/>
      <c r="P906" s="322"/>
      <c r="Q906" s="322"/>
      <c r="R906" s="322"/>
      <c r="S906" s="322"/>
      <c r="T906" s="322"/>
      <c r="U906" s="322"/>
      <c r="V906" s="322"/>
      <c r="W906" s="322"/>
      <c r="X906" s="322"/>
      <c r="Y906" s="322"/>
      <c r="Z906" s="322"/>
    </row>
    <row r="907" ht="12.75" customHeight="1">
      <c r="A907" s="322"/>
      <c r="B907" s="322"/>
      <c r="C907" s="323"/>
      <c r="D907" s="324"/>
      <c r="E907" s="323"/>
      <c r="F907" s="324"/>
      <c r="G907" s="322"/>
      <c r="H907" s="322"/>
      <c r="I907" s="322"/>
      <c r="J907" s="322"/>
      <c r="K907" s="322"/>
      <c r="L907" s="322"/>
      <c r="M907" s="322"/>
      <c r="N907" s="322"/>
      <c r="O907" s="322"/>
      <c r="P907" s="322"/>
      <c r="Q907" s="322"/>
      <c r="R907" s="322"/>
      <c r="S907" s="322"/>
      <c r="T907" s="322"/>
      <c r="U907" s="322"/>
      <c r="V907" s="322"/>
      <c r="W907" s="322"/>
      <c r="X907" s="322"/>
      <c r="Y907" s="322"/>
      <c r="Z907" s="322"/>
    </row>
    <row r="908" ht="12.75" customHeight="1">
      <c r="A908" s="322"/>
      <c r="B908" s="322"/>
      <c r="C908" s="323"/>
      <c r="D908" s="324"/>
      <c r="E908" s="323"/>
      <c r="F908" s="324"/>
      <c r="G908" s="322"/>
      <c r="H908" s="322"/>
      <c r="I908" s="322"/>
      <c r="J908" s="322"/>
      <c r="K908" s="322"/>
      <c r="L908" s="322"/>
      <c r="M908" s="322"/>
      <c r="N908" s="322"/>
      <c r="O908" s="322"/>
      <c r="P908" s="322"/>
      <c r="Q908" s="322"/>
      <c r="R908" s="322"/>
      <c r="S908" s="322"/>
      <c r="T908" s="322"/>
      <c r="U908" s="322"/>
      <c r="V908" s="322"/>
      <c r="W908" s="322"/>
      <c r="X908" s="322"/>
      <c r="Y908" s="322"/>
      <c r="Z908" s="322"/>
    </row>
    <row r="909" ht="12.75" customHeight="1">
      <c r="A909" s="322"/>
      <c r="B909" s="322"/>
      <c r="C909" s="323"/>
      <c r="D909" s="324"/>
      <c r="E909" s="323"/>
      <c r="F909" s="324"/>
      <c r="G909" s="322"/>
      <c r="H909" s="322"/>
      <c r="I909" s="322"/>
      <c r="J909" s="322"/>
      <c r="K909" s="322"/>
      <c r="L909" s="322"/>
      <c r="M909" s="322"/>
      <c r="N909" s="322"/>
      <c r="O909" s="322"/>
      <c r="P909" s="322"/>
      <c r="Q909" s="322"/>
      <c r="R909" s="322"/>
      <c r="S909" s="322"/>
      <c r="T909" s="322"/>
      <c r="U909" s="322"/>
      <c r="V909" s="322"/>
      <c r="W909" s="322"/>
      <c r="X909" s="322"/>
      <c r="Y909" s="322"/>
      <c r="Z909" s="322"/>
    </row>
    <row r="910" ht="12.75" customHeight="1">
      <c r="A910" s="322"/>
      <c r="B910" s="322"/>
      <c r="C910" s="323"/>
      <c r="D910" s="324"/>
      <c r="E910" s="323"/>
      <c r="F910" s="324"/>
      <c r="G910" s="322"/>
      <c r="H910" s="322"/>
      <c r="I910" s="322"/>
      <c r="J910" s="322"/>
      <c r="K910" s="322"/>
      <c r="L910" s="322"/>
      <c r="M910" s="322"/>
      <c r="N910" s="322"/>
      <c r="O910" s="322"/>
      <c r="P910" s="322"/>
      <c r="Q910" s="322"/>
      <c r="R910" s="322"/>
      <c r="S910" s="322"/>
      <c r="T910" s="322"/>
      <c r="U910" s="322"/>
      <c r="V910" s="322"/>
      <c r="W910" s="322"/>
      <c r="X910" s="322"/>
      <c r="Y910" s="322"/>
      <c r="Z910" s="322"/>
    </row>
    <row r="911" ht="12.75" customHeight="1">
      <c r="A911" s="322"/>
      <c r="B911" s="322"/>
      <c r="C911" s="323"/>
      <c r="D911" s="324"/>
      <c r="E911" s="323"/>
      <c r="F911" s="324"/>
      <c r="G911" s="322"/>
      <c r="H911" s="322"/>
      <c r="I911" s="322"/>
      <c r="J911" s="322"/>
      <c r="K911" s="322"/>
      <c r="L911" s="322"/>
      <c r="M911" s="322"/>
      <c r="N911" s="322"/>
      <c r="O911" s="322"/>
      <c r="P911" s="322"/>
      <c r="Q911" s="322"/>
      <c r="R911" s="322"/>
      <c r="S911" s="322"/>
      <c r="T911" s="322"/>
      <c r="U911" s="322"/>
      <c r="V911" s="322"/>
      <c r="W911" s="322"/>
      <c r="X911" s="322"/>
      <c r="Y911" s="322"/>
      <c r="Z911" s="322"/>
    </row>
    <row r="912" ht="12.75" customHeight="1">
      <c r="A912" s="322"/>
      <c r="B912" s="322"/>
      <c r="C912" s="323"/>
      <c r="D912" s="324"/>
      <c r="E912" s="323"/>
      <c r="F912" s="324"/>
      <c r="G912" s="322"/>
      <c r="H912" s="322"/>
      <c r="I912" s="322"/>
      <c r="J912" s="322"/>
      <c r="K912" s="322"/>
      <c r="L912" s="322"/>
      <c r="M912" s="322"/>
      <c r="N912" s="322"/>
      <c r="O912" s="322"/>
      <c r="P912" s="322"/>
      <c r="Q912" s="322"/>
      <c r="R912" s="322"/>
      <c r="S912" s="322"/>
      <c r="T912" s="322"/>
      <c r="U912" s="322"/>
      <c r="V912" s="322"/>
      <c r="W912" s="322"/>
      <c r="X912" s="322"/>
      <c r="Y912" s="322"/>
      <c r="Z912" s="322"/>
    </row>
    <row r="913" ht="12.75" customHeight="1">
      <c r="A913" s="322"/>
      <c r="B913" s="322"/>
      <c r="C913" s="323"/>
      <c r="D913" s="324"/>
      <c r="E913" s="323"/>
      <c r="F913" s="324"/>
      <c r="G913" s="322"/>
      <c r="H913" s="322"/>
      <c r="I913" s="322"/>
      <c r="J913" s="322"/>
      <c r="K913" s="322"/>
      <c r="L913" s="322"/>
      <c r="M913" s="322"/>
      <c r="N913" s="322"/>
      <c r="O913" s="322"/>
      <c r="P913" s="322"/>
      <c r="Q913" s="322"/>
      <c r="R913" s="322"/>
      <c r="S913" s="322"/>
      <c r="T913" s="322"/>
      <c r="U913" s="322"/>
      <c r="V913" s="322"/>
      <c r="W913" s="322"/>
      <c r="X913" s="322"/>
      <c r="Y913" s="322"/>
      <c r="Z913" s="322"/>
    </row>
    <row r="914" ht="12.75" customHeight="1">
      <c r="A914" s="322"/>
      <c r="B914" s="322"/>
      <c r="C914" s="323"/>
      <c r="D914" s="324"/>
      <c r="E914" s="323"/>
      <c r="F914" s="324"/>
      <c r="G914" s="322"/>
      <c r="H914" s="322"/>
      <c r="I914" s="322"/>
      <c r="J914" s="322"/>
      <c r="K914" s="322"/>
      <c r="L914" s="322"/>
      <c r="M914" s="322"/>
      <c r="N914" s="322"/>
      <c r="O914" s="322"/>
      <c r="P914" s="322"/>
      <c r="Q914" s="322"/>
      <c r="R914" s="322"/>
      <c r="S914" s="322"/>
      <c r="T914" s="322"/>
      <c r="U914" s="322"/>
      <c r="V914" s="322"/>
      <c r="W914" s="322"/>
      <c r="X914" s="322"/>
      <c r="Y914" s="322"/>
      <c r="Z914" s="322"/>
    </row>
    <row r="915" ht="12.75" customHeight="1">
      <c r="A915" s="322"/>
      <c r="B915" s="322"/>
      <c r="C915" s="323"/>
      <c r="D915" s="324"/>
      <c r="E915" s="323"/>
      <c r="F915" s="324"/>
      <c r="G915" s="322"/>
      <c r="H915" s="322"/>
      <c r="I915" s="322"/>
      <c r="J915" s="322"/>
      <c r="K915" s="322"/>
      <c r="L915" s="322"/>
      <c r="M915" s="322"/>
      <c r="N915" s="322"/>
      <c r="O915" s="322"/>
      <c r="P915" s="322"/>
      <c r="Q915" s="322"/>
      <c r="R915" s="322"/>
      <c r="S915" s="322"/>
      <c r="T915" s="322"/>
      <c r="U915" s="322"/>
      <c r="V915" s="322"/>
      <c r="W915" s="322"/>
      <c r="X915" s="322"/>
      <c r="Y915" s="322"/>
      <c r="Z915" s="322"/>
    </row>
    <row r="916" ht="12.75" customHeight="1">
      <c r="A916" s="322"/>
      <c r="B916" s="322"/>
      <c r="C916" s="323"/>
      <c r="D916" s="324"/>
      <c r="E916" s="323"/>
      <c r="F916" s="324"/>
      <c r="G916" s="322"/>
      <c r="H916" s="322"/>
      <c r="I916" s="322"/>
      <c r="J916" s="322"/>
      <c r="K916" s="322"/>
      <c r="L916" s="322"/>
      <c r="M916" s="322"/>
      <c r="N916" s="322"/>
      <c r="O916" s="322"/>
      <c r="P916" s="322"/>
      <c r="Q916" s="322"/>
      <c r="R916" s="322"/>
      <c r="S916" s="322"/>
      <c r="T916" s="322"/>
      <c r="U916" s="322"/>
      <c r="V916" s="322"/>
      <c r="W916" s="322"/>
      <c r="X916" s="322"/>
      <c r="Y916" s="322"/>
      <c r="Z916" s="322"/>
    </row>
    <row r="917" ht="12.75" customHeight="1">
      <c r="A917" s="322"/>
      <c r="B917" s="322"/>
      <c r="C917" s="323"/>
      <c r="D917" s="324"/>
      <c r="E917" s="323"/>
      <c r="F917" s="324"/>
      <c r="G917" s="322"/>
      <c r="H917" s="322"/>
      <c r="I917" s="322"/>
      <c r="J917" s="322"/>
      <c r="K917" s="322"/>
      <c r="L917" s="322"/>
      <c r="M917" s="322"/>
      <c r="N917" s="322"/>
      <c r="O917" s="322"/>
      <c r="P917" s="322"/>
      <c r="Q917" s="322"/>
      <c r="R917" s="322"/>
      <c r="S917" s="322"/>
      <c r="T917" s="322"/>
      <c r="U917" s="322"/>
      <c r="V917" s="322"/>
      <c r="W917" s="322"/>
      <c r="X917" s="322"/>
      <c r="Y917" s="322"/>
      <c r="Z917" s="322"/>
    </row>
    <row r="918" ht="12.75" customHeight="1">
      <c r="A918" s="322"/>
      <c r="B918" s="322"/>
      <c r="C918" s="323"/>
      <c r="D918" s="324"/>
      <c r="E918" s="323"/>
      <c r="F918" s="324"/>
      <c r="G918" s="322"/>
      <c r="H918" s="322"/>
      <c r="I918" s="322"/>
      <c r="J918" s="322"/>
      <c r="K918" s="322"/>
      <c r="L918" s="322"/>
      <c r="M918" s="322"/>
      <c r="N918" s="322"/>
      <c r="O918" s="322"/>
      <c r="P918" s="322"/>
      <c r="Q918" s="322"/>
      <c r="R918" s="322"/>
      <c r="S918" s="322"/>
      <c r="T918" s="322"/>
      <c r="U918" s="322"/>
      <c r="V918" s="322"/>
      <c r="W918" s="322"/>
      <c r="X918" s="322"/>
      <c r="Y918" s="322"/>
      <c r="Z918" s="322"/>
    </row>
    <row r="919" ht="12.75" customHeight="1">
      <c r="A919" s="322"/>
      <c r="B919" s="322"/>
      <c r="C919" s="323"/>
      <c r="D919" s="324"/>
      <c r="E919" s="323"/>
      <c r="F919" s="324"/>
      <c r="G919" s="322"/>
      <c r="H919" s="322"/>
      <c r="I919" s="322"/>
      <c r="J919" s="322"/>
      <c r="K919" s="322"/>
      <c r="L919" s="322"/>
      <c r="M919" s="322"/>
      <c r="N919" s="322"/>
      <c r="O919" s="322"/>
      <c r="P919" s="322"/>
      <c r="Q919" s="322"/>
      <c r="R919" s="322"/>
      <c r="S919" s="322"/>
      <c r="T919" s="322"/>
      <c r="U919" s="322"/>
      <c r="V919" s="322"/>
      <c r="W919" s="322"/>
      <c r="X919" s="322"/>
      <c r="Y919" s="322"/>
      <c r="Z919" s="322"/>
    </row>
    <row r="920" ht="12.75" customHeight="1">
      <c r="A920" s="322"/>
      <c r="B920" s="322"/>
      <c r="C920" s="323"/>
      <c r="D920" s="324"/>
      <c r="E920" s="323"/>
      <c r="F920" s="324"/>
      <c r="G920" s="322"/>
      <c r="H920" s="322"/>
      <c r="I920" s="322"/>
      <c r="J920" s="322"/>
      <c r="K920" s="322"/>
      <c r="L920" s="322"/>
      <c r="M920" s="322"/>
      <c r="N920" s="322"/>
      <c r="O920" s="322"/>
      <c r="P920" s="322"/>
      <c r="Q920" s="322"/>
      <c r="R920" s="322"/>
      <c r="S920" s="322"/>
      <c r="T920" s="322"/>
      <c r="U920" s="322"/>
      <c r="V920" s="322"/>
      <c r="W920" s="322"/>
      <c r="X920" s="322"/>
      <c r="Y920" s="322"/>
      <c r="Z920" s="322"/>
    </row>
    <row r="921" ht="12.75" customHeight="1">
      <c r="A921" s="322"/>
      <c r="B921" s="322"/>
      <c r="C921" s="323"/>
      <c r="D921" s="324"/>
      <c r="E921" s="323"/>
      <c r="F921" s="324"/>
      <c r="G921" s="322"/>
      <c r="H921" s="322"/>
      <c r="I921" s="322"/>
      <c r="J921" s="322"/>
      <c r="K921" s="322"/>
      <c r="L921" s="322"/>
      <c r="M921" s="322"/>
      <c r="N921" s="322"/>
      <c r="O921" s="322"/>
      <c r="P921" s="322"/>
      <c r="Q921" s="322"/>
      <c r="R921" s="322"/>
      <c r="S921" s="322"/>
      <c r="T921" s="322"/>
      <c r="U921" s="322"/>
      <c r="V921" s="322"/>
      <c r="W921" s="322"/>
      <c r="X921" s="322"/>
      <c r="Y921" s="322"/>
      <c r="Z921" s="322"/>
    </row>
    <row r="922" ht="12.75" customHeight="1">
      <c r="A922" s="322"/>
      <c r="B922" s="322"/>
      <c r="C922" s="323"/>
      <c r="D922" s="324"/>
      <c r="E922" s="323"/>
      <c r="F922" s="324"/>
      <c r="G922" s="322"/>
      <c r="H922" s="322"/>
      <c r="I922" s="322"/>
      <c r="J922" s="322"/>
      <c r="K922" s="322"/>
      <c r="L922" s="322"/>
      <c r="M922" s="322"/>
      <c r="N922" s="322"/>
      <c r="O922" s="322"/>
      <c r="P922" s="322"/>
      <c r="Q922" s="322"/>
      <c r="R922" s="322"/>
      <c r="S922" s="322"/>
      <c r="T922" s="322"/>
      <c r="U922" s="322"/>
      <c r="V922" s="322"/>
      <c r="W922" s="322"/>
      <c r="X922" s="322"/>
      <c r="Y922" s="322"/>
      <c r="Z922" s="322"/>
    </row>
    <row r="923" ht="12.75" customHeight="1">
      <c r="A923" s="322"/>
      <c r="B923" s="322"/>
      <c r="C923" s="323"/>
      <c r="D923" s="324"/>
      <c r="E923" s="323"/>
      <c r="F923" s="324"/>
      <c r="G923" s="322"/>
      <c r="H923" s="322"/>
      <c r="I923" s="322"/>
      <c r="J923" s="322"/>
      <c r="K923" s="322"/>
      <c r="L923" s="322"/>
      <c r="M923" s="322"/>
      <c r="N923" s="322"/>
      <c r="O923" s="322"/>
      <c r="P923" s="322"/>
      <c r="Q923" s="322"/>
      <c r="R923" s="322"/>
      <c r="S923" s="322"/>
      <c r="T923" s="322"/>
      <c r="U923" s="322"/>
      <c r="V923" s="322"/>
      <c r="W923" s="322"/>
      <c r="X923" s="322"/>
      <c r="Y923" s="322"/>
      <c r="Z923" s="322"/>
    </row>
    <row r="924" ht="12.75" customHeight="1">
      <c r="A924" s="322"/>
      <c r="B924" s="322"/>
      <c r="C924" s="323"/>
      <c r="D924" s="324"/>
      <c r="E924" s="323"/>
      <c r="F924" s="324"/>
      <c r="G924" s="322"/>
      <c r="H924" s="322"/>
      <c r="I924" s="322"/>
      <c r="J924" s="322"/>
      <c r="K924" s="322"/>
      <c r="L924" s="322"/>
      <c r="M924" s="322"/>
      <c r="N924" s="322"/>
      <c r="O924" s="322"/>
      <c r="P924" s="322"/>
      <c r="Q924" s="322"/>
      <c r="R924" s="322"/>
      <c r="S924" s="322"/>
      <c r="T924" s="322"/>
      <c r="U924" s="322"/>
      <c r="V924" s="322"/>
      <c r="W924" s="322"/>
      <c r="X924" s="322"/>
      <c r="Y924" s="322"/>
      <c r="Z924" s="322"/>
    </row>
    <row r="925" ht="12.75" customHeight="1">
      <c r="A925" s="322"/>
      <c r="B925" s="322"/>
      <c r="C925" s="323"/>
      <c r="D925" s="324"/>
      <c r="E925" s="323"/>
      <c r="F925" s="324"/>
      <c r="G925" s="322"/>
      <c r="H925" s="322"/>
      <c r="I925" s="322"/>
      <c r="J925" s="322"/>
      <c r="K925" s="322"/>
      <c r="L925" s="322"/>
      <c r="M925" s="322"/>
      <c r="N925" s="322"/>
      <c r="O925" s="322"/>
      <c r="P925" s="322"/>
      <c r="Q925" s="322"/>
      <c r="R925" s="322"/>
      <c r="S925" s="322"/>
      <c r="T925" s="322"/>
      <c r="U925" s="322"/>
      <c r="V925" s="322"/>
      <c r="W925" s="322"/>
      <c r="X925" s="322"/>
      <c r="Y925" s="322"/>
      <c r="Z925" s="322"/>
    </row>
    <row r="926" ht="12.75" customHeight="1">
      <c r="A926" s="322"/>
      <c r="B926" s="322"/>
      <c r="C926" s="323"/>
      <c r="D926" s="324"/>
      <c r="E926" s="323"/>
      <c r="F926" s="324"/>
      <c r="G926" s="322"/>
      <c r="H926" s="322"/>
      <c r="I926" s="322"/>
      <c r="J926" s="322"/>
      <c r="K926" s="322"/>
      <c r="L926" s="322"/>
      <c r="M926" s="322"/>
      <c r="N926" s="322"/>
      <c r="O926" s="322"/>
      <c r="P926" s="322"/>
      <c r="Q926" s="322"/>
      <c r="R926" s="322"/>
      <c r="S926" s="322"/>
      <c r="T926" s="322"/>
      <c r="U926" s="322"/>
      <c r="V926" s="322"/>
      <c r="W926" s="322"/>
      <c r="X926" s="322"/>
      <c r="Y926" s="322"/>
      <c r="Z926" s="322"/>
    </row>
    <row r="927" ht="12.75" customHeight="1">
      <c r="A927" s="322"/>
      <c r="B927" s="322"/>
      <c r="C927" s="323"/>
      <c r="D927" s="324"/>
      <c r="E927" s="323"/>
      <c r="F927" s="324"/>
      <c r="G927" s="322"/>
      <c r="H927" s="322"/>
      <c r="I927" s="322"/>
      <c r="J927" s="322"/>
      <c r="K927" s="322"/>
      <c r="L927" s="322"/>
      <c r="M927" s="322"/>
      <c r="N927" s="322"/>
      <c r="O927" s="322"/>
      <c r="P927" s="322"/>
      <c r="Q927" s="322"/>
      <c r="R927" s="322"/>
      <c r="S927" s="322"/>
      <c r="T927" s="322"/>
      <c r="U927" s="322"/>
      <c r="V927" s="322"/>
      <c r="W927" s="322"/>
      <c r="X927" s="322"/>
      <c r="Y927" s="322"/>
      <c r="Z927" s="322"/>
    </row>
    <row r="928" ht="12.75" customHeight="1">
      <c r="A928" s="322"/>
      <c r="B928" s="322"/>
      <c r="C928" s="323"/>
      <c r="D928" s="324"/>
      <c r="E928" s="323"/>
      <c r="F928" s="324"/>
      <c r="G928" s="322"/>
      <c r="H928" s="322"/>
      <c r="I928" s="322"/>
      <c r="J928" s="322"/>
      <c r="K928" s="322"/>
      <c r="L928" s="322"/>
      <c r="M928" s="322"/>
      <c r="N928" s="322"/>
      <c r="O928" s="322"/>
      <c r="P928" s="322"/>
      <c r="Q928" s="322"/>
      <c r="R928" s="322"/>
      <c r="S928" s="322"/>
      <c r="T928" s="322"/>
      <c r="U928" s="322"/>
      <c r="V928" s="322"/>
      <c r="W928" s="322"/>
      <c r="X928" s="322"/>
      <c r="Y928" s="322"/>
      <c r="Z928" s="322"/>
    </row>
    <row r="929" ht="12.75" customHeight="1">
      <c r="A929" s="322"/>
      <c r="B929" s="322"/>
      <c r="C929" s="323"/>
      <c r="D929" s="324"/>
      <c r="E929" s="323"/>
      <c r="F929" s="324"/>
      <c r="G929" s="322"/>
      <c r="H929" s="322"/>
      <c r="I929" s="322"/>
      <c r="J929" s="322"/>
      <c r="K929" s="322"/>
      <c r="L929" s="322"/>
      <c r="M929" s="322"/>
      <c r="N929" s="322"/>
      <c r="O929" s="322"/>
      <c r="P929" s="322"/>
      <c r="Q929" s="322"/>
      <c r="R929" s="322"/>
      <c r="S929" s="322"/>
      <c r="T929" s="322"/>
      <c r="U929" s="322"/>
      <c r="V929" s="322"/>
      <c r="W929" s="322"/>
      <c r="X929" s="322"/>
      <c r="Y929" s="322"/>
      <c r="Z929" s="322"/>
    </row>
    <row r="930" ht="12.75" customHeight="1">
      <c r="A930" s="322"/>
      <c r="B930" s="322"/>
      <c r="C930" s="323"/>
      <c r="D930" s="324"/>
      <c r="E930" s="323"/>
      <c r="F930" s="324"/>
      <c r="G930" s="322"/>
      <c r="H930" s="322"/>
      <c r="I930" s="322"/>
      <c r="J930" s="322"/>
      <c r="K930" s="322"/>
      <c r="L930" s="322"/>
      <c r="M930" s="322"/>
      <c r="N930" s="322"/>
      <c r="O930" s="322"/>
      <c r="P930" s="322"/>
      <c r="Q930" s="322"/>
      <c r="R930" s="322"/>
      <c r="S930" s="322"/>
      <c r="T930" s="322"/>
      <c r="U930" s="322"/>
      <c r="V930" s="322"/>
      <c r="W930" s="322"/>
      <c r="X930" s="322"/>
      <c r="Y930" s="322"/>
      <c r="Z930" s="322"/>
    </row>
    <row r="931" ht="12.75" customHeight="1">
      <c r="A931" s="322"/>
      <c r="B931" s="322"/>
      <c r="C931" s="323"/>
      <c r="D931" s="324"/>
      <c r="E931" s="323"/>
      <c r="F931" s="324"/>
      <c r="G931" s="322"/>
      <c r="H931" s="322"/>
      <c r="I931" s="322"/>
      <c r="J931" s="322"/>
      <c r="K931" s="322"/>
      <c r="L931" s="322"/>
      <c r="M931" s="322"/>
      <c r="N931" s="322"/>
      <c r="O931" s="322"/>
      <c r="P931" s="322"/>
      <c r="Q931" s="322"/>
      <c r="R931" s="322"/>
      <c r="S931" s="322"/>
      <c r="T931" s="322"/>
      <c r="U931" s="322"/>
      <c r="V931" s="322"/>
      <c r="W931" s="322"/>
      <c r="X931" s="322"/>
      <c r="Y931" s="322"/>
      <c r="Z931" s="322"/>
    </row>
    <row r="932" ht="12.75" customHeight="1">
      <c r="A932" s="322"/>
      <c r="B932" s="322"/>
      <c r="C932" s="323"/>
      <c r="D932" s="324"/>
      <c r="E932" s="323"/>
      <c r="F932" s="324"/>
      <c r="G932" s="322"/>
      <c r="H932" s="322"/>
      <c r="I932" s="322"/>
      <c r="J932" s="322"/>
      <c r="K932" s="322"/>
      <c r="L932" s="322"/>
      <c r="M932" s="322"/>
      <c r="N932" s="322"/>
      <c r="O932" s="322"/>
      <c r="P932" s="322"/>
      <c r="Q932" s="322"/>
      <c r="R932" s="322"/>
      <c r="S932" s="322"/>
      <c r="T932" s="322"/>
      <c r="U932" s="322"/>
      <c r="V932" s="322"/>
      <c r="W932" s="322"/>
      <c r="X932" s="322"/>
      <c r="Y932" s="322"/>
      <c r="Z932" s="322"/>
    </row>
    <row r="933" ht="12.75" customHeight="1">
      <c r="A933" s="322"/>
      <c r="B933" s="322"/>
      <c r="C933" s="323"/>
      <c r="D933" s="324"/>
      <c r="E933" s="323"/>
      <c r="F933" s="324"/>
      <c r="G933" s="322"/>
      <c r="H933" s="322"/>
      <c r="I933" s="322"/>
      <c r="J933" s="322"/>
      <c r="K933" s="322"/>
      <c r="L933" s="322"/>
      <c r="M933" s="322"/>
      <c r="N933" s="322"/>
      <c r="O933" s="322"/>
      <c r="P933" s="322"/>
      <c r="Q933" s="322"/>
      <c r="R933" s="322"/>
      <c r="S933" s="322"/>
      <c r="T933" s="322"/>
      <c r="U933" s="322"/>
      <c r="V933" s="322"/>
      <c r="W933" s="322"/>
      <c r="X933" s="322"/>
      <c r="Y933" s="322"/>
      <c r="Z933" s="322"/>
    </row>
    <row r="934" ht="12.75" customHeight="1">
      <c r="A934" s="322"/>
      <c r="B934" s="322"/>
      <c r="C934" s="323"/>
      <c r="D934" s="324"/>
      <c r="E934" s="323"/>
      <c r="F934" s="324"/>
      <c r="G934" s="322"/>
      <c r="H934" s="322"/>
      <c r="I934" s="322"/>
      <c r="J934" s="322"/>
      <c r="K934" s="322"/>
      <c r="L934" s="322"/>
      <c r="M934" s="322"/>
      <c r="N934" s="322"/>
      <c r="O934" s="322"/>
      <c r="P934" s="322"/>
      <c r="Q934" s="322"/>
      <c r="R934" s="322"/>
      <c r="S934" s="322"/>
      <c r="T934" s="322"/>
      <c r="U934" s="322"/>
      <c r="V934" s="322"/>
      <c r="W934" s="322"/>
      <c r="X934" s="322"/>
      <c r="Y934" s="322"/>
      <c r="Z934" s="322"/>
    </row>
    <row r="935" ht="12.75" customHeight="1">
      <c r="A935" s="322"/>
      <c r="B935" s="322"/>
      <c r="C935" s="323"/>
      <c r="D935" s="324"/>
      <c r="E935" s="323"/>
      <c r="F935" s="324"/>
      <c r="G935" s="322"/>
      <c r="H935" s="322"/>
      <c r="I935" s="322"/>
      <c r="J935" s="322"/>
      <c r="K935" s="322"/>
      <c r="L935" s="322"/>
      <c r="M935" s="322"/>
      <c r="N935" s="322"/>
      <c r="O935" s="322"/>
      <c r="P935" s="322"/>
      <c r="Q935" s="322"/>
      <c r="R935" s="322"/>
      <c r="S935" s="322"/>
      <c r="T935" s="322"/>
      <c r="U935" s="322"/>
      <c r="V935" s="322"/>
      <c r="W935" s="322"/>
      <c r="X935" s="322"/>
      <c r="Y935" s="322"/>
      <c r="Z935" s="322"/>
    </row>
    <row r="936" ht="12.75" customHeight="1">
      <c r="A936" s="322"/>
      <c r="B936" s="322"/>
      <c r="C936" s="323"/>
      <c r="D936" s="324"/>
      <c r="E936" s="323"/>
      <c r="F936" s="324"/>
      <c r="G936" s="322"/>
      <c r="H936" s="322"/>
      <c r="I936" s="322"/>
      <c r="J936" s="322"/>
      <c r="K936" s="322"/>
      <c r="L936" s="322"/>
      <c r="M936" s="322"/>
      <c r="N936" s="322"/>
      <c r="O936" s="322"/>
      <c r="P936" s="322"/>
      <c r="Q936" s="322"/>
      <c r="R936" s="322"/>
      <c r="S936" s="322"/>
      <c r="T936" s="322"/>
      <c r="U936" s="322"/>
      <c r="V936" s="322"/>
      <c r="W936" s="322"/>
      <c r="X936" s="322"/>
      <c r="Y936" s="322"/>
      <c r="Z936" s="322"/>
    </row>
    <row r="937" ht="12.75" customHeight="1">
      <c r="A937" s="322"/>
      <c r="B937" s="322"/>
      <c r="C937" s="323"/>
      <c r="D937" s="324"/>
      <c r="E937" s="323"/>
      <c r="F937" s="324"/>
      <c r="G937" s="322"/>
      <c r="H937" s="322"/>
      <c r="I937" s="322"/>
      <c r="J937" s="322"/>
      <c r="K937" s="322"/>
      <c r="L937" s="322"/>
      <c r="M937" s="322"/>
      <c r="N937" s="322"/>
      <c r="O937" s="322"/>
      <c r="P937" s="322"/>
      <c r="Q937" s="322"/>
      <c r="R937" s="322"/>
      <c r="S937" s="322"/>
      <c r="T937" s="322"/>
      <c r="U937" s="322"/>
      <c r="V937" s="322"/>
      <c r="W937" s="322"/>
      <c r="X937" s="322"/>
      <c r="Y937" s="322"/>
      <c r="Z937" s="322"/>
    </row>
    <row r="938" ht="12.75" customHeight="1">
      <c r="A938" s="322"/>
      <c r="B938" s="322"/>
      <c r="C938" s="323"/>
      <c r="D938" s="324"/>
      <c r="E938" s="323"/>
      <c r="F938" s="324"/>
      <c r="G938" s="322"/>
      <c r="H938" s="322"/>
      <c r="I938" s="322"/>
      <c r="J938" s="322"/>
      <c r="K938" s="322"/>
      <c r="L938" s="322"/>
      <c r="M938" s="322"/>
      <c r="N938" s="322"/>
      <c r="O938" s="322"/>
      <c r="P938" s="322"/>
      <c r="Q938" s="322"/>
      <c r="R938" s="322"/>
      <c r="S938" s="322"/>
      <c r="T938" s="322"/>
      <c r="U938" s="322"/>
      <c r="V938" s="322"/>
      <c r="W938" s="322"/>
      <c r="X938" s="322"/>
      <c r="Y938" s="322"/>
      <c r="Z938" s="322"/>
    </row>
    <row r="939" ht="12.75" customHeight="1">
      <c r="A939" s="322"/>
      <c r="B939" s="322"/>
      <c r="C939" s="323"/>
      <c r="D939" s="324"/>
      <c r="E939" s="323"/>
      <c r="F939" s="324"/>
      <c r="G939" s="322"/>
      <c r="H939" s="322"/>
      <c r="I939" s="322"/>
      <c r="J939" s="322"/>
      <c r="K939" s="322"/>
      <c r="L939" s="322"/>
      <c r="M939" s="322"/>
      <c r="N939" s="322"/>
      <c r="O939" s="322"/>
      <c r="P939" s="322"/>
      <c r="Q939" s="322"/>
      <c r="R939" s="322"/>
      <c r="S939" s="322"/>
      <c r="T939" s="322"/>
      <c r="U939" s="322"/>
      <c r="V939" s="322"/>
      <c r="W939" s="322"/>
      <c r="X939" s="322"/>
      <c r="Y939" s="322"/>
      <c r="Z939" s="322"/>
    </row>
    <row r="940" ht="12.75" customHeight="1">
      <c r="A940" s="322"/>
      <c r="B940" s="322"/>
      <c r="C940" s="323"/>
      <c r="D940" s="324"/>
      <c r="E940" s="323"/>
      <c r="F940" s="324"/>
      <c r="G940" s="322"/>
      <c r="H940" s="322"/>
      <c r="I940" s="322"/>
      <c r="J940" s="322"/>
      <c r="K940" s="322"/>
      <c r="L940" s="322"/>
      <c r="M940" s="322"/>
      <c r="N940" s="322"/>
      <c r="O940" s="322"/>
      <c r="P940" s="322"/>
      <c r="Q940" s="322"/>
      <c r="R940" s="322"/>
      <c r="S940" s="322"/>
      <c r="T940" s="322"/>
      <c r="U940" s="322"/>
      <c r="V940" s="322"/>
      <c r="W940" s="322"/>
      <c r="X940" s="322"/>
      <c r="Y940" s="322"/>
      <c r="Z940" s="322"/>
    </row>
    <row r="941" ht="12.75" customHeight="1">
      <c r="A941" s="322"/>
      <c r="B941" s="322"/>
      <c r="C941" s="323"/>
      <c r="D941" s="324"/>
      <c r="E941" s="323"/>
      <c r="F941" s="324"/>
      <c r="G941" s="322"/>
      <c r="H941" s="322"/>
      <c r="I941" s="322"/>
      <c r="J941" s="322"/>
      <c r="K941" s="322"/>
      <c r="L941" s="322"/>
      <c r="M941" s="322"/>
      <c r="N941" s="322"/>
      <c r="O941" s="322"/>
      <c r="P941" s="322"/>
      <c r="Q941" s="322"/>
      <c r="R941" s="322"/>
      <c r="S941" s="322"/>
      <c r="T941" s="322"/>
      <c r="U941" s="322"/>
      <c r="V941" s="322"/>
      <c r="W941" s="322"/>
      <c r="X941" s="322"/>
      <c r="Y941" s="322"/>
      <c r="Z941" s="322"/>
    </row>
    <row r="942" ht="12.75" customHeight="1">
      <c r="A942" s="322"/>
      <c r="B942" s="322"/>
      <c r="C942" s="323"/>
      <c r="D942" s="324"/>
      <c r="E942" s="323"/>
      <c r="F942" s="324"/>
      <c r="G942" s="322"/>
      <c r="H942" s="322"/>
      <c r="I942" s="322"/>
      <c r="J942" s="322"/>
      <c r="K942" s="322"/>
      <c r="L942" s="322"/>
      <c r="M942" s="322"/>
      <c r="N942" s="322"/>
      <c r="O942" s="322"/>
      <c r="P942" s="322"/>
      <c r="Q942" s="322"/>
      <c r="R942" s="322"/>
      <c r="S942" s="322"/>
      <c r="T942" s="322"/>
      <c r="U942" s="322"/>
      <c r="V942" s="322"/>
      <c r="W942" s="322"/>
      <c r="X942" s="322"/>
      <c r="Y942" s="322"/>
      <c r="Z942" s="322"/>
    </row>
    <row r="943" ht="12.75" customHeight="1">
      <c r="A943" s="322"/>
      <c r="B943" s="322"/>
      <c r="C943" s="323"/>
      <c r="D943" s="324"/>
      <c r="E943" s="323"/>
      <c r="F943" s="324"/>
      <c r="G943" s="322"/>
      <c r="H943" s="322"/>
      <c r="I943" s="322"/>
      <c r="J943" s="322"/>
      <c r="K943" s="322"/>
      <c r="L943" s="322"/>
      <c r="M943" s="322"/>
      <c r="N943" s="322"/>
      <c r="O943" s="322"/>
      <c r="P943" s="322"/>
      <c r="Q943" s="322"/>
      <c r="R943" s="322"/>
      <c r="S943" s="322"/>
      <c r="T943" s="322"/>
      <c r="U943" s="322"/>
      <c r="V943" s="322"/>
      <c r="W943" s="322"/>
      <c r="X943" s="322"/>
      <c r="Y943" s="322"/>
      <c r="Z943" s="322"/>
    </row>
    <row r="944" ht="12.75" customHeight="1">
      <c r="A944" s="322"/>
      <c r="B944" s="322"/>
      <c r="C944" s="323"/>
      <c r="D944" s="324"/>
      <c r="E944" s="323"/>
      <c r="F944" s="324"/>
      <c r="G944" s="322"/>
      <c r="H944" s="322"/>
      <c r="I944" s="322"/>
      <c r="J944" s="322"/>
      <c r="K944" s="322"/>
      <c r="L944" s="322"/>
      <c r="M944" s="322"/>
      <c r="N944" s="322"/>
      <c r="O944" s="322"/>
      <c r="P944" s="322"/>
      <c r="Q944" s="322"/>
      <c r="R944" s="322"/>
      <c r="S944" s="322"/>
      <c r="T944" s="322"/>
      <c r="U944" s="322"/>
      <c r="V944" s="322"/>
      <c r="W944" s="322"/>
      <c r="X944" s="322"/>
      <c r="Y944" s="322"/>
      <c r="Z944" s="322"/>
    </row>
    <row r="945" ht="12.75" customHeight="1">
      <c r="A945" s="322"/>
      <c r="B945" s="322"/>
      <c r="C945" s="323"/>
      <c r="D945" s="324"/>
      <c r="E945" s="323"/>
      <c r="F945" s="324"/>
      <c r="G945" s="322"/>
      <c r="H945" s="322"/>
      <c r="I945" s="322"/>
      <c r="J945" s="322"/>
      <c r="K945" s="322"/>
      <c r="L945" s="322"/>
      <c r="M945" s="322"/>
      <c r="N945" s="322"/>
      <c r="O945" s="322"/>
      <c r="P945" s="322"/>
      <c r="Q945" s="322"/>
      <c r="R945" s="322"/>
      <c r="S945" s="322"/>
      <c r="T945" s="322"/>
      <c r="U945" s="322"/>
      <c r="V945" s="322"/>
      <c r="W945" s="322"/>
      <c r="X945" s="322"/>
      <c r="Y945" s="322"/>
      <c r="Z945" s="322"/>
    </row>
    <row r="946" ht="12.75" customHeight="1">
      <c r="A946" s="322"/>
      <c r="B946" s="322"/>
      <c r="C946" s="323"/>
      <c r="D946" s="324"/>
      <c r="E946" s="323"/>
      <c r="F946" s="324"/>
      <c r="G946" s="322"/>
      <c r="H946" s="322"/>
      <c r="I946" s="322"/>
      <c r="J946" s="322"/>
      <c r="K946" s="322"/>
      <c r="L946" s="322"/>
      <c r="M946" s="322"/>
      <c r="N946" s="322"/>
      <c r="O946" s="322"/>
      <c r="P946" s="322"/>
      <c r="Q946" s="322"/>
      <c r="R946" s="322"/>
      <c r="S946" s="322"/>
      <c r="T946" s="322"/>
      <c r="U946" s="322"/>
      <c r="V946" s="322"/>
      <c r="W946" s="322"/>
      <c r="X946" s="322"/>
      <c r="Y946" s="322"/>
      <c r="Z946" s="322"/>
    </row>
    <row r="947" ht="12.75" customHeight="1">
      <c r="A947" s="322"/>
      <c r="B947" s="322"/>
      <c r="C947" s="323"/>
      <c r="D947" s="324"/>
      <c r="E947" s="323"/>
      <c r="F947" s="324"/>
      <c r="G947" s="322"/>
      <c r="H947" s="322"/>
      <c r="I947" s="322"/>
      <c r="J947" s="322"/>
      <c r="K947" s="322"/>
      <c r="L947" s="322"/>
      <c r="M947" s="322"/>
      <c r="N947" s="322"/>
      <c r="O947" s="322"/>
      <c r="P947" s="322"/>
      <c r="Q947" s="322"/>
      <c r="R947" s="322"/>
      <c r="S947" s="322"/>
      <c r="T947" s="322"/>
      <c r="U947" s="322"/>
      <c r="V947" s="322"/>
      <c r="W947" s="322"/>
      <c r="X947" s="322"/>
      <c r="Y947" s="322"/>
      <c r="Z947" s="322"/>
    </row>
    <row r="948" ht="12.75" customHeight="1">
      <c r="A948" s="322"/>
      <c r="B948" s="322"/>
      <c r="C948" s="323"/>
      <c r="D948" s="324"/>
      <c r="E948" s="323"/>
      <c r="F948" s="324"/>
      <c r="G948" s="322"/>
      <c r="H948" s="322"/>
      <c r="I948" s="322"/>
      <c r="J948" s="322"/>
      <c r="K948" s="322"/>
      <c r="L948" s="322"/>
      <c r="M948" s="322"/>
      <c r="N948" s="322"/>
      <c r="O948" s="322"/>
      <c r="P948" s="322"/>
      <c r="Q948" s="322"/>
      <c r="R948" s="322"/>
      <c r="S948" s="322"/>
      <c r="T948" s="322"/>
      <c r="U948" s="322"/>
      <c r="V948" s="322"/>
      <c r="W948" s="322"/>
      <c r="X948" s="322"/>
      <c r="Y948" s="322"/>
      <c r="Z948" s="322"/>
    </row>
    <row r="949" ht="12.75" customHeight="1">
      <c r="A949" s="322"/>
      <c r="B949" s="322"/>
      <c r="C949" s="323"/>
      <c r="D949" s="324"/>
      <c r="E949" s="323"/>
      <c r="F949" s="324"/>
      <c r="G949" s="322"/>
      <c r="H949" s="322"/>
      <c r="I949" s="322"/>
      <c r="J949" s="322"/>
      <c r="K949" s="322"/>
      <c r="L949" s="322"/>
      <c r="M949" s="322"/>
      <c r="N949" s="322"/>
      <c r="O949" s="322"/>
      <c r="P949" s="322"/>
      <c r="Q949" s="322"/>
      <c r="R949" s="322"/>
      <c r="S949" s="322"/>
      <c r="T949" s="322"/>
      <c r="U949" s="322"/>
      <c r="V949" s="322"/>
      <c r="W949" s="322"/>
      <c r="X949" s="322"/>
      <c r="Y949" s="322"/>
      <c r="Z949" s="322"/>
    </row>
    <row r="950" ht="12.75" customHeight="1">
      <c r="A950" s="322"/>
      <c r="B950" s="322"/>
      <c r="C950" s="323"/>
      <c r="D950" s="324"/>
      <c r="E950" s="323"/>
      <c r="F950" s="324"/>
      <c r="G950" s="322"/>
      <c r="H950" s="322"/>
      <c r="I950" s="322"/>
      <c r="J950" s="322"/>
      <c r="K950" s="322"/>
      <c r="L950" s="322"/>
      <c r="M950" s="322"/>
      <c r="N950" s="322"/>
      <c r="O950" s="322"/>
      <c r="P950" s="322"/>
      <c r="Q950" s="322"/>
      <c r="R950" s="322"/>
      <c r="S950" s="322"/>
      <c r="T950" s="322"/>
      <c r="U950" s="322"/>
      <c r="V950" s="322"/>
      <c r="W950" s="322"/>
      <c r="X950" s="322"/>
      <c r="Y950" s="322"/>
      <c r="Z950" s="322"/>
    </row>
    <row r="951" ht="12.75" customHeight="1">
      <c r="A951" s="322"/>
      <c r="B951" s="322"/>
      <c r="C951" s="323"/>
      <c r="D951" s="324"/>
      <c r="E951" s="323"/>
      <c r="F951" s="324"/>
      <c r="G951" s="322"/>
      <c r="H951" s="322"/>
      <c r="I951" s="322"/>
      <c r="J951" s="322"/>
      <c r="K951" s="322"/>
      <c r="L951" s="322"/>
      <c r="M951" s="322"/>
      <c r="N951" s="322"/>
      <c r="O951" s="322"/>
      <c r="P951" s="322"/>
      <c r="Q951" s="322"/>
      <c r="R951" s="322"/>
      <c r="S951" s="322"/>
      <c r="T951" s="322"/>
      <c r="U951" s="322"/>
      <c r="V951" s="322"/>
      <c r="W951" s="322"/>
      <c r="X951" s="322"/>
      <c r="Y951" s="322"/>
      <c r="Z951" s="322"/>
    </row>
    <row r="952" ht="12.75" customHeight="1">
      <c r="A952" s="322"/>
      <c r="B952" s="322"/>
      <c r="C952" s="323"/>
      <c r="D952" s="324"/>
      <c r="E952" s="323"/>
      <c r="F952" s="324"/>
      <c r="G952" s="322"/>
      <c r="H952" s="322"/>
      <c r="I952" s="322"/>
      <c r="J952" s="322"/>
      <c r="K952" s="322"/>
      <c r="L952" s="322"/>
      <c r="M952" s="322"/>
      <c r="N952" s="322"/>
      <c r="O952" s="322"/>
      <c r="P952" s="322"/>
      <c r="Q952" s="322"/>
      <c r="R952" s="322"/>
      <c r="S952" s="322"/>
      <c r="T952" s="322"/>
      <c r="U952" s="322"/>
      <c r="V952" s="322"/>
      <c r="W952" s="322"/>
      <c r="X952" s="322"/>
      <c r="Y952" s="322"/>
      <c r="Z952" s="322"/>
    </row>
    <row r="953" ht="12.75" customHeight="1">
      <c r="A953" s="322"/>
      <c r="B953" s="322"/>
      <c r="C953" s="323"/>
      <c r="D953" s="324"/>
      <c r="E953" s="323"/>
      <c r="F953" s="324"/>
      <c r="G953" s="322"/>
      <c r="H953" s="322"/>
      <c r="I953" s="322"/>
      <c r="J953" s="322"/>
      <c r="K953" s="322"/>
      <c r="L953" s="322"/>
      <c r="M953" s="322"/>
      <c r="N953" s="322"/>
      <c r="O953" s="322"/>
      <c r="P953" s="322"/>
      <c r="Q953" s="322"/>
      <c r="R953" s="322"/>
      <c r="S953" s="322"/>
      <c r="T953" s="322"/>
      <c r="U953" s="322"/>
      <c r="V953" s="322"/>
      <c r="W953" s="322"/>
      <c r="X953" s="322"/>
      <c r="Y953" s="322"/>
      <c r="Z953" s="322"/>
    </row>
    <row r="954" ht="12.75" customHeight="1">
      <c r="A954" s="322"/>
      <c r="B954" s="322"/>
      <c r="C954" s="323"/>
      <c r="D954" s="324"/>
      <c r="E954" s="323"/>
      <c r="F954" s="324"/>
      <c r="G954" s="322"/>
      <c r="H954" s="322"/>
      <c r="I954" s="322"/>
      <c r="J954" s="322"/>
      <c r="K954" s="322"/>
      <c r="L954" s="322"/>
      <c r="M954" s="322"/>
      <c r="N954" s="322"/>
      <c r="O954" s="322"/>
      <c r="P954" s="322"/>
      <c r="Q954" s="322"/>
      <c r="R954" s="322"/>
      <c r="S954" s="322"/>
      <c r="T954" s="322"/>
      <c r="U954" s="322"/>
      <c r="V954" s="322"/>
      <c r="W954" s="322"/>
      <c r="X954" s="322"/>
      <c r="Y954" s="322"/>
      <c r="Z954" s="322"/>
    </row>
    <row r="955" ht="12.75" customHeight="1">
      <c r="A955" s="322"/>
      <c r="B955" s="322"/>
      <c r="C955" s="323"/>
      <c r="D955" s="324"/>
      <c r="E955" s="323"/>
      <c r="F955" s="324"/>
      <c r="G955" s="322"/>
      <c r="H955" s="322"/>
      <c r="I955" s="322"/>
      <c r="J955" s="322"/>
      <c r="K955" s="322"/>
      <c r="L955" s="322"/>
      <c r="M955" s="322"/>
      <c r="N955" s="322"/>
      <c r="O955" s="322"/>
      <c r="P955" s="322"/>
      <c r="Q955" s="322"/>
      <c r="R955" s="322"/>
      <c r="S955" s="322"/>
      <c r="T955" s="322"/>
      <c r="U955" s="322"/>
      <c r="V955" s="322"/>
      <c r="W955" s="322"/>
      <c r="X955" s="322"/>
      <c r="Y955" s="322"/>
      <c r="Z955" s="322"/>
    </row>
    <row r="956" ht="12.75" customHeight="1">
      <c r="A956" s="322"/>
      <c r="B956" s="322"/>
      <c r="C956" s="323"/>
      <c r="D956" s="324"/>
      <c r="E956" s="323"/>
      <c r="F956" s="324"/>
      <c r="G956" s="322"/>
      <c r="H956" s="322"/>
      <c r="I956" s="322"/>
      <c r="J956" s="322"/>
      <c r="K956" s="322"/>
      <c r="L956" s="322"/>
      <c r="M956" s="322"/>
      <c r="N956" s="322"/>
      <c r="O956" s="322"/>
      <c r="P956" s="322"/>
      <c r="Q956" s="322"/>
      <c r="R956" s="322"/>
      <c r="S956" s="322"/>
      <c r="T956" s="322"/>
      <c r="U956" s="322"/>
      <c r="V956" s="322"/>
      <c r="W956" s="322"/>
      <c r="X956" s="322"/>
      <c r="Y956" s="322"/>
      <c r="Z956" s="322"/>
    </row>
    <row r="957" ht="12.75" customHeight="1">
      <c r="A957" s="322"/>
      <c r="B957" s="322"/>
      <c r="C957" s="323"/>
      <c r="D957" s="324"/>
      <c r="E957" s="323"/>
      <c r="F957" s="324"/>
      <c r="G957" s="322"/>
      <c r="H957" s="322"/>
      <c r="I957" s="322"/>
      <c r="J957" s="322"/>
      <c r="K957" s="322"/>
      <c r="L957" s="322"/>
      <c r="M957" s="322"/>
      <c r="N957" s="322"/>
      <c r="O957" s="322"/>
      <c r="P957" s="322"/>
      <c r="Q957" s="322"/>
      <c r="R957" s="322"/>
      <c r="S957" s="322"/>
      <c r="T957" s="322"/>
      <c r="U957" s="322"/>
      <c r="V957" s="322"/>
      <c r="W957" s="322"/>
      <c r="X957" s="322"/>
      <c r="Y957" s="322"/>
      <c r="Z957" s="322"/>
    </row>
    <row r="958" ht="12.75" customHeight="1">
      <c r="A958" s="322"/>
      <c r="B958" s="322"/>
      <c r="C958" s="323"/>
      <c r="D958" s="324"/>
      <c r="E958" s="323"/>
      <c r="F958" s="324"/>
      <c r="G958" s="322"/>
      <c r="H958" s="322"/>
      <c r="I958" s="322"/>
      <c r="J958" s="322"/>
      <c r="K958" s="322"/>
      <c r="L958" s="322"/>
      <c r="M958" s="322"/>
      <c r="N958" s="322"/>
      <c r="O958" s="322"/>
      <c r="P958" s="322"/>
      <c r="Q958" s="322"/>
      <c r="R958" s="322"/>
      <c r="S958" s="322"/>
      <c r="T958" s="322"/>
      <c r="U958" s="322"/>
      <c r="V958" s="322"/>
      <c r="W958" s="322"/>
      <c r="X958" s="322"/>
      <c r="Y958" s="322"/>
      <c r="Z958" s="322"/>
    </row>
    <row r="959" ht="12.75" customHeight="1">
      <c r="A959" s="322"/>
      <c r="B959" s="322"/>
      <c r="C959" s="323"/>
      <c r="D959" s="324"/>
      <c r="E959" s="323"/>
      <c r="F959" s="324"/>
      <c r="G959" s="322"/>
      <c r="H959" s="322"/>
      <c r="I959" s="322"/>
      <c r="J959" s="322"/>
      <c r="K959" s="322"/>
      <c r="L959" s="322"/>
      <c r="M959" s="322"/>
      <c r="N959" s="322"/>
      <c r="O959" s="322"/>
      <c r="P959" s="322"/>
      <c r="Q959" s="322"/>
      <c r="R959" s="322"/>
      <c r="S959" s="322"/>
      <c r="T959" s="322"/>
      <c r="U959" s="322"/>
      <c r="V959" s="322"/>
      <c r="W959" s="322"/>
      <c r="X959" s="322"/>
      <c r="Y959" s="322"/>
      <c r="Z959" s="322"/>
    </row>
    <row r="960" ht="12.75" customHeight="1">
      <c r="A960" s="322"/>
      <c r="B960" s="322"/>
      <c r="C960" s="323"/>
      <c r="D960" s="324"/>
      <c r="E960" s="323"/>
      <c r="F960" s="324"/>
      <c r="G960" s="322"/>
      <c r="H960" s="322"/>
      <c r="I960" s="322"/>
      <c r="J960" s="322"/>
      <c r="K960" s="322"/>
      <c r="L960" s="322"/>
      <c r="M960" s="322"/>
      <c r="N960" s="322"/>
      <c r="O960" s="322"/>
      <c r="P960" s="322"/>
      <c r="Q960" s="322"/>
      <c r="R960" s="322"/>
      <c r="S960" s="322"/>
      <c r="T960" s="322"/>
      <c r="U960" s="322"/>
      <c r="V960" s="322"/>
      <c r="W960" s="322"/>
      <c r="X960" s="322"/>
      <c r="Y960" s="322"/>
      <c r="Z960" s="322"/>
    </row>
    <row r="961" ht="12.75" customHeight="1">
      <c r="A961" s="322"/>
      <c r="B961" s="322"/>
      <c r="C961" s="323"/>
      <c r="D961" s="324"/>
      <c r="E961" s="323"/>
      <c r="F961" s="324"/>
      <c r="G961" s="322"/>
      <c r="H961" s="322"/>
      <c r="I961" s="322"/>
      <c r="J961" s="322"/>
      <c r="K961" s="322"/>
      <c r="L961" s="322"/>
      <c r="M961" s="322"/>
      <c r="N961" s="322"/>
      <c r="O961" s="322"/>
      <c r="P961" s="322"/>
      <c r="Q961" s="322"/>
      <c r="R961" s="322"/>
      <c r="S961" s="322"/>
      <c r="T961" s="322"/>
      <c r="U961" s="322"/>
      <c r="V961" s="322"/>
      <c r="W961" s="322"/>
      <c r="X961" s="322"/>
      <c r="Y961" s="322"/>
      <c r="Z961" s="322"/>
    </row>
    <row r="962" ht="12.75" customHeight="1">
      <c r="A962" s="322"/>
      <c r="B962" s="322"/>
      <c r="C962" s="323"/>
      <c r="D962" s="324"/>
      <c r="E962" s="323"/>
      <c r="F962" s="324"/>
      <c r="G962" s="322"/>
      <c r="H962" s="322"/>
      <c r="I962" s="322"/>
      <c r="J962" s="322"/>
      <c r="K962" s="322"/>
      <c r="L962" s="322"/>
      <c r="M962" s="322"/>
      <c r="N962" s="322"/>
      <c r="O962" s="322"/>
      <c r="P962" s="322"/>
      <c r="Q962" s="322"/>
      <c r="R962" s="322"/>
      <c r="S962" s="322"/>
      <c r="T962" s="322"/>
      <c r="U962" s="322"/>
      <c r="V962" s="322"/>
      <c r="W962" s="322"/>
      <c r="X962" s="322"/>
      <c r="Y962" s="322"/>
      <c r="Z962" s="322"/>
    </row>
    <row r="963" ht="12.75" customHeight="1">
      <c r="A963" s="322"/>
      <c r="B963" s="322"/>
      <c r="C963" s="323"/>
      <c r="D963" s="324"/>
      <c r="E963" s="323"/>
      <c r="F963" s="324"/>
      <c r="G963" s="322"/>
      <c r="H963" s="322"/>
      <c r="I963" s="322"/>
      <c r="J963" s="322"/>
      <c r="K963" s="322"/>
      <c r="L963" s="322"/>
      <c r="M963" s="322"/>
      <c r="N963" s="322"/>
      <c r="O963" s="322"/>
      <c r="P963" s="322"/>
      <c r="Q963" s="322"/>
      <c r="R963" s="322"/>
      <c r="S963" s="322"/>
      <c r="T963" s="322"/>
      <c r="U963" s="322"/>
      <c r="V963" s="322"/>
      <c r="W963" s="322"/>
      <c r="X963" s="322"/>
      <c r="Y963" s="322"/>
      <c r="Z963" s="322"/>
    </row>
    <row r="964" ht="12.75" customHeight="1">
      <c r="A964" s="322"/>
      <c r="B964" s="322"/>
      <c r="C964" s="323"/>
      <c r="D964" s="324"/>
      <c r="E964" s="323"/>
      <c r="F964" s="324"/>
      <c r="G964" s="322"/>
      <c r="H964" s="322"/>
      <c r="I964" s="322"/>
      <c r="J964" s="322"/>
      <c r="K964" s="322"/>
      <c r="L964" s="322"/>
      <c r="M964" s="322"/>
      <c r="N964" s="322"/>
      <c r="O964" s="322"/>
      <c r="P964" s="322"/>
      <c r="Q964" s="322"/>
      <c r="R964" s="322"/>
      <c r="S964" s="322"/>
      <c r="T964" s="322"/>
      <c r="U964" s="322"/>
      <c r="V964" s="322"/>
      <c r="W964" s="322"/>
      <c r="X964" s="322"/>
      <c r="Y964" s="322"/>
      <c r="Z964" s="322"/>
    </row>
    <row r="965" ht="12.75" customHeight="1">
      <c r="A965" s="322"/>
      <c r="B965" s="322"/>
      <c r="C965" s="323"/>
      <c r="D965" s="324"/>
      <c r="E965" s="323"/>
      <c r="F965" s="324"/>
      <c r="G965" s="322"/>
      <c r="H965" s="322"/>
      <c r="I965" s="322"/>
      <c r="J965" s="322"/>
      <c r="K965" s="322"/>
      <c r="L965" s="322"/>
      <c r="M965" s="322"/>
      <c r="N965" s="322"/>
      <c r="O965" s="322"/>
      <c r="P965" s="322"/>
      <c r="Q965" s="322"/>
      <c r="R965" s="322"/>
      <c r="S965" s="322"/>
      <c r="T965" s="322"/>
      <c r="U965" s="322"/>
      <c r="V965" s="322"/>
      <c r="W965" s="322"/>
      <c r="X965" s="322"/>
      <c r="Y965" s="322"/>
      <c r="Z965" s="322"/>
    </row>
    <row r="966" ht="12.75" customHeight="1">
      <c r="A966" s="322"/>
      <c r="B966" s="322"/>
      <c r="C966" s="323"/>
      <c r="D966" s="324"/>
      <c r="E966" s="323"/>
      <c r="F966" s="324"/>
      <c r="G966" s="322"/>
      <c r="H966" s="322"/>
      <c r="I966" s="322"/>
      <c r="J966" s="322"/>
      <c r="K966" s="322"/>
      <c r="L966" s="322"/>
      <c r="M966" s="322"/>
      <c r="N966" s="322"/>
      <c r="O966" s="322"/>
      <c r="P966" s="322"/>
      <c r="Q966" s="322"/>
      <c r="R966" s="322"/>
      <c r="S966" s="322"/>
      <c r="T966" s="322"/>
      <c r="U966" s="322"/>
      <c r="V966" s="322"/>
      <c r="W966" s="322"/>
      <c r="X966" s="322"/>
      <c r="Y966" s="322"/>
      <c r="Z966" s="322"/>
    </row>
    <row r="967" ht="12.75" customHeight="1">
      <c r="A967" s="322"/>
      <c r="B967" s="322"/>
      <c r="C967" s="323"/>
      <c r="D967" s="324"/>
      <c r="E967" s="323"/>
      <c r="F967" s="324"/>
      <c r="G967" s="322"/>
      <c r="H967" s="322"/>
      <c r="I967" s="322"/>
      <c r="J967" s="322"/>
      <c r="K967" s="322"/>
      <c r="L967" s="322"/>
      <c r="M967" s="322"/>
      <c r="N967" s="322"/>
      <c r="O967" s="322"/>
      <c r="P967" s="322"/>
      <c r="Q967" s="322"/>
      <c r="R967" s="322"/>
      <c r="S967" s="322"/>
      <c r="T967" s="322"/>
      <c r="U967" s="322"/>
      <c r="V967" s="322"/>
      <c r="W967" s="322"/>
      <c r="X967" s="322"/>
      <c r="Y967" s="322"/>
      <c r="Z967" s="322"/>
    </row>
    <row r="968" ht="12.75" customHeight="1">
      <c r="A968" s="322"/>
      <c r="B968" s="322"/>
      <c r="C968" s="323"/>
      <c r="D968" s="324"/>
      <c r="E968" s="323"/>
      <c r="F968" s="324"/>
      <c r="G968" s="322"/>
      <c r="H968" s="322"/>
      <c r="I968" s="322"/>
      <c r="J968" s="322"/>
      <c r="K968" s="322"/>
      <c r="L968" s="322"/>
      <c r="M968" s="322"/>
      <c r="N968" s="322"/>
      <c r="O968" s="322"/>
      <c r="P968" s="322"/>
      <c r="Q968" s="322"/>
      <c r="R968" s="322"/>
      <c r="S968" s="322"/>
      <c r="T968" s="322"/>
      <c r="U968" s="322"/>
      <c r="V968" s="322"/>
      <c r="W968" s="322"/>
      <c r="X968" s="322"/>
      <c r="Y968" s="322"/>
      <c r="Z968" s="322"/>
    </row>
    <row r="969" ht="12.75" customHeight="1">
      <c r="A969" s="322"/>
      <c r="B969" s="322"/>
      <c r="C969" s="323"/>
      <c r="D969" s="324"/>
      <c r="E969" s="323"/>
      <c r="F969" s="324"/>
      <c r="G969" s="322"/>
      <c r="H969" s="322"/>
      <c r="I969" s="322"/>
      <c r="J969" s="322"/>
      <c r="K969" s="322"/>
      <c r="L969" s="322"/>
      <c r="M969" s="322"/>
      <c r="N969" s="322"/>
      <c r="O969" s="322"/>
      <c r="P969" s="322"/>
      <c r="Q969" s="322"/>
      <c r="R969" s="322"/>
      <c r="S969" s="322"/>
      <c r="T969" s="322"/>
      <c r="U969" s="322"/>
      <c r="V969" s="322"/>
      <c r="W969" s="322"/>
      <c r="X969" s="322"/>
      <c r="Y969" s="322"/>
      <c r="Z969" s="322"/>
    </row>
    <row r="970" ht="12.75" customHeight="1">
      <c r="A970" s="322"/>
      <c r="B970" s="322"/>
      <c r="C970" s="323"/>
      <c r="D970" s="324"/>
      <c r="E970" s="323"/>
      <c r="F970" s="324"/>
      <c r="G970" s="322"/>
      <c r="H970" s="322"/>
      <c r="I970" s="322"/>
      <c r="J970" s="322"/>
      <c r="K970" s="322"/>
      <c r="L970" s="322"/>
      <c r="M970" s="322"/>
      <c r="N970" s="322"/>
      <c r="O970" s="322"/>
      <c r="P970" s="322"/>
      <c r="Q970" s="322"/>
      <c r="R970" s="322"/>
      <c r="S970" s="322"/>
      <c r="T970" s="322"/>
      <c r="U970" s="322"/>
      <c r="V970" s="322"/>
      <c r="W970" s="322"/>
      <c r="X970" s="322"/>
      <c r="Y970" s="322"/>
      <c r="Z970" s="322"/>
    </row>
    <row r="971" ht="12.75" customHeight="1">
      <c r="A971" s="322"/>
      <c r="B971" s="322"/>
      <c r="C971" s="323"/>
      <c r="D971" s="324"/>
      <c r="E971" s="323"/>
      <c r="F971" s="324"/>
      <c r="G971" s="322"/>
      <c r="H971" s="322"/>
      <c r="I971" s="322"/>
      <c r="J971" s="322"/>
      <c r="K971" s="322"/>
      <c r="L971" s="322"/>
      <c r="M971" s="322"/>
      <c r="N971" s="322"/>
      <c r="O971" s="322"/>
      <c r="P971" s="322"/>
      <c r="Q971" s="322"/>
      <c r="R971" s="322"/>
      <c r="S971" s="322"/>
      <c r="T971" s="322"/>
      <c r="U971" s="322"/>
      <c r="V971" s="322"/>
      <c r="W971" s="322"/>
      <c r="X971" s="322"/>
      <c r="Y971" s="322"/>
      <c r="Z971" s="322"/>
    </row>
    <row r="972" ht="12.75" customHeight="1">
      <c r="A972" s="322"/>
      <c r="B972" s="322"/>
      <c r="C972" s="323"/>
      <c r="D972" s="324"/>
      <c r="E972" s="323"/>
      <c r="F972" s="324"/>
      <c r="G972" s="322"/>
      <c r="H972" s="322"/>
      <c r="I972" s="322"/>
      <c r="J972" s="322"/>
      <c r="K972" s="322"/>
      <c r="L972" s="322"/>
      <c r="M972" s="322"/>
      <c r="N972" s="322"/>
      <c r="O972" s="322"/>
      <c r="P972" s="322"/>
      <c r="Q972" s="322"/>
      <c r="R972" s="322"/>
      <c r="S972" s="322"/>
      <c r="T972" s="322"/>
      <c r="U972" s="322"/>
      <c r="V972" s="322"/>
      <c r="W972" s="322"/>
      <c r="X972" s="322"/>
      <c r="Y972" s="322"/>
      <c r="Z972" s="322"/>
    </row>
    <row r="973" ht="12.75" customHeight="1">
      <c r="A973" s="322"/>
      <c r="B973" s="322"/>
      <c r="C973" s="323"/>
      <c r="D973" s="324"/>
      <c r="E973" s="323"/>
      <c r="F973" s="324"/>
      <c r="G973" s="322"/>
      <c r="H973" s="322"/>
      <c r="I973" s="322"/>
      <c r="J973" s="322"/>
      <c r="K973" s="322"/>
      <c r="L973" s="322"/>
      <c r="M973" s="322"/>
      <c r="N973" s="322"/>
      <c r="O973" s="322"/>
      <c r="P973" s="322"/>
      <c r="Q973" s="322"/>
      <c r="R973" s="322"/>
      <c r="S973" s="322"/>
      <c r="T973" s="322"/>
      <c r="U973" s="322"/>
      <c r="V973" s="322"/>
      <c r="W973" s="322"/>
      <c r="X973" s="322"/>
      <c r="Y973" s="322"/>
      <c r="Z973" s="322"/>
    </row>
    <row r="974" ht="12.75" customHeight="1">
      <c r="A974" s="322"/>
      <c r="B974" s="322"/>
      <c r="C974" s="323"/>
      <c r="D974" s="324"/>
      <c r="E974" s="323"/>
      <c r="F974" s="324"/>
      <c r="G974" s="322"/>
      <c r="H974" s="322"/>
      <c r="I974" s="322"/>
      <c r="J974" s="322"/>
      <c r="K974" s="322"/>
      <c r="L974" s="322"/>
      <c r="M974" s="322"/>
      <c r="N974" s="322"/>
      <c r="O974" s="322"/>
      <c r="P974" s="322"/>
      <c r="Q974" s="322"/>
      <c r="R974" s="322"/>
      <c r="S974" s="322"/>
      <c r="T974" s="322"/>
      <c r="U974" s="322"/>
      <c r="V974" s="322"/>
      <c r="W974" s="322"/>
      <c r="X974" s="322"/>
      <c r="Y974" s="322"/>
      <c r="Z974" s="322"/>
    </row>
    <row r="975" ht="12.75" customHeight="1">
      <c r="A975" s="322"/>
      <c r="B975" s="322"/>
      <c r="C975" s="323"/>
      <c r="D975" s="324"/>
      <c r="E975" s="323"/>
      <c r="F975" s="324"/>
      <c r="G975" s="322"/>
      <c r="H975" s="322"/>
      <c r="I975" s="322"/>
      <c r="J975" s="322"/>
      <c r="K975" s="322"/>
      <c r="L975" s="322"/>
      <c r="M975" s="322"/>
      <c r="N975" s="322"/>
      <c r="O975" s="322"/>
      <c r="P975" s="322"/>
      <c r="Q975" s="322"/>
      <c r="R975" s="322"/>
      <c r="S975" s="322"/>
      <c r="T975" s="322"/>
      <c r="U975" s="322"/>
      <c r="V975" s="322"/>
      <c r="W975" s="322"/>
      <c r="X975" s="322"/>
      <c r="Y975" s="322"/>
      <c r="Z975" s="322"/>
    </row>
    <row r="976" ht="12.75" customHeight="1">
      <c r="A976" s="322"/>
      <c r="B976" s="322"/>
      <c r="C976" s="323"/>
      <c r="D976" s="324"/>
      <c r="E976" s="323"/>
      <c r="F976" s="324"/>
      <c r="G976" s="322"/>
      <c r="H976" s="322"/>
      <c r="I976" s="322"/>
      <c r="J976" s="322"/>
      <c r="K976" s="322"/>
      <c r="L976" s="322"/>
      <c r="M976" s="322"/>
      <c r="N976" s="322"/>
      <c r="O976" s="322"/>
      <c r="P976" s="322"/>
      <c r="Q976" s="322"/>
      <c r="R976" s="322"/>
      <c r="S976" s="322"/>
      <c r="T976" s="322"/>
      <c r="U976" s="322"/>
      <c r="V976" s="322"/>
      <c r="W976" s="322"/>
      <c r="X976" s="322"/>
      <c r="Y976" s="322"/>
      <c r="Z976" s="322"/>
    </row>
    <row r="977" ht="12.75" customHeight="1">
      <c r="A977" s="322"/>
      <c r="B977" s="322"/>
      <c r="C977" s="323"/>
      <c r="D977" s="324"/>
      <c r="E977" s="323"/>
      <c r="F977" s="324"/>
      <c r="G977" s="322"/>
      <c r="H977" s="322"/>
      <c r="I977" s="322"/>
      <c r="J977" s="322"/>
      <c r="K977" s="322"/>
      <c r="L977" s="322"/>
      <c r="M977" s="322"/>
      <c r="N977" s="322"/>
      <c r="O977" s="322"/>
      <c r="P977" s="322"/>
      <c r="Q977" s="322"/>
      <c r="R977" s="322"/>
      <c r="S977" s="322"/>
      <c r="T977" s="322"/>
      <c r="U977" s="322"/>
      <c r="V977" s="322"/>
      <c r="W977" s="322"/>
      <c r="X977" s="322"/>
      <c r="Y977" s="322"/>
      <c r="Z977" s="322"/>
    </row>
    <row r="978" ht="12.75" customHeight="1">
      <c r="A978" s="322"/>
      <c r="B978" s="322"/>
      <c r="C978" s="323"/>
      <c r="D978" s="324"/>
      <c r="E978" s="323"/>
      <c r="F978" s="324"/>
      <c r="G978" s="322"/>
      <c r="H978" s="322"/>
      <c r="I978" s="322"/>
      <c r="J978" s="322"/>
      <c r="K978" s="322"/>
      <c r="L978" s="322"/>
      <c r="M978" s="322"/>
      <c r="N978" s="322"/>
      <c r="O978" s="322"/>
      <c r="P978" s="322"/>
      <c r="Q978" s="322"/>
      <c r="R978" s="322"/>
      <c r="S978" s="322"/>
      <c r="T978" s="322"/>
      <c r="U978" s="322"/>
      <c r="V978" s="322"/>
      <c r="W978" s="322"/>
      <c r="X978" s="322"/>
      <c r="Y978" s="322"/>
      <c r="Z978" s="322"/>
    </row>
    <row r="979" ht="12.75" customHeight="1">
      <c r="A979" s="322"/>
      <c r="B979" s="322"/>
      <c r="C979" s="323"/>
      <c r="D979" s="324"/>
      <c r="E979" s="323"/>
      <c r="F979" s="324"/>
      <c r="G979" s="322"/>
      <c r="H979" s="322"/>
      <c r="I979" s="322"/>
      <c r="J979" s="322"/>
      <c r="K979" s="322"/>
      <c r="L979" s="322"/>
      <c r="M979" s="322"/>
      <c r="N979" s="322"/>
      <c r="O979" s="322"/>
      <c r="P979" s="322"/>
      <c r="Q979" s="322"/>
      <c r="R979" s="322"/>
      <c r="S979" s="322"/>
      <c r="T979" s="322"/>
      <c r="U979" s="322"/>
      <c r="V979" s="322"/>
      <c r="W979" s="322"/>
      <c r="X979" s="322"/>
      <c r="Y979" s="322"/>
      <c r="Z979" s="322"/>
    </row>
    <row r="980" ht="12.75" customHeight="1">
      <c r="A980" s="322"/>
      <c r="B980" s="322"/>
      <c r="C980" s="323"/>
      <c r="D980" s="324"/>
      <c r="E980" s="323"/>
      <c r="F980" s="324"/>
      <c r="G980" s="322"/>
      <c r="H980" s="322"/>
      <c r="I980" s="322"/>
      <c r="J980" s="322"/>
      <c r="K980" s="322"/>
      <c r="L980" s="322"/>
      <c r="M980" s="322"/>
      <c r="N980" s="322"/>
      <c r="O980" s="322"/>
      <c r="P980" s="322"/>
      <c r="Q980" s="322"/>
      <c r="R980" s="322"/>
      <c r="S980" s="322"/>
      <c r="T980" s="322"/>
      <c r="U980" s="322"/>
      <c r="V980" s="322"/>
      <c r="W980" s="322"/>
      <c r="X980" s="322"/>
      <c r="Y980" s="322"/>
      <c r="Z980" s="322"/>
    </row>
    <row r="981" ht="12.75" customHeight="1">
      <c r="A981" s="322"/>
      <c r="B981" s="322"/>
      <c r="C981" s="323"/>
      <c r="D981" s="324"/>
      <c r="E981" s="323"/>
      <c r="F981" s="324"/>
      <c r="G981" s="322"/>
      <c r="H981" s="322"/>
      <c r="I981" s="322"/>
      <c r="J981" s="322"/>
      <c r="K981" s="322"/>
      <c r="L981" s="322"/>
      <c r="M981" s="322"/>
      <c r="N981" s="322"/>
      <c r="O981" s="322"/>
      <c r="P981" s="322"/>
      <c r="Q981" s="322"/>
      <c r="R981" s="322"/>
      <c r="S981" s="322"/>
      <c r="T981" s="322"/>
      <c r="U981" s="322"/>
      <c r="V981" s="322"/>
      <c r="W981" s="322"/>
      <c r="X981" s="322"/>
      <c r="Y981" s="322"/>
      <c r="Z981" s="322"/>
    </row>
    <row r="982" ht="12.75" customHeight="1">
      <c r="A982" s="322"/>
      <c r="B982" s="322"/>
      <c r="C982" s="323"/>
      <c r="D982" s="324"/>
      <c r="E982" s="323"/>
      <c r="F982" s="324"/>
      <c r="G982" s="322"/>
      <c r="H982" s="322"/>
      <c r="I982" s="322"/>
      <c r="J982" s="322"/>
      <c r="K982" s="322"/>
      <c r="L982" s="322"/>
      <c r="M982" s="322"/>
      <c r="N982" s="322"/>
      <c r="O982" s="322"/>
      <c r="P982" s="322"/>
      <c r="Q982" s="322"/>
      <c r="R982" s="322"/>
      <c r="S982" s="322"/>
      <c r="T982" s="322"/>
      <c r="U982" s="322"/>
      <c r="V982" s="322"/>
      <c r="W982" s="322"/>
      <c r="X982" s="322"/>
      <c r="Y982" s="322"/>
      <c r="Z982" s="322"/>
    </row>
    <row r="983" ht="12.75" customHeight="1">
      <c r="A983" s="322"/>
      <c r="B983" s="322"/>
      <c r="C983" s="323"/>
      <c r="D983" s="324"/>
      <c r="E983" s="323"/>
      <c r="F983" s="324"/>
      <c r="G983" s="322"/>
      <c r="H983" s="322"/>
      <c r="I983" s="322"/>
      <c r="J983" s="322"/>
      <c r="K983" s="322"/>
      <c r="L983" s="322"/>
      <c r="M983" s="322"/>
      <c r="N983" s="322"/>
      <c r="O983" s="322"/>
      <c r="P983" s="322"/>
      <c r="Q983" s="322"/>
      <c r="R983" s="322"/>
      <c r="S983" s="322"/>
      <c r="T983" s="322"/>
      <c r="U983" s="322"/>
      <c r="V983" s="322"/>
      <c r="W983" s="322"/>
      <c r="X983" s="322"/>
      <c r="Y983" s="322"/>
      <c r="Z983" s="322"/>
    </row>
    <row r="984" ht="12.75" customHeight="1">
      <c r="A984" s="322"/>
      <c r="B984" s="322"/>
      <c r="C984" s="323"/>
      <c r="D984" s="324"/>
      <c r="E984" s="323"/>
      <c r="F984" s="324"/>
      <c r="G984" s="322"/>
      <c r="H984" s="322"/>
      <c r="I984" s="322"/>
      <c r="J984" s="322"/>
      <c r="K984" s="322"/>
      <c r="L984" s="322"/>
      <c r="M984" s="322"/>
      <c r="N984" s="322"/>
      <c r="O984" s="322"/>
      <c r="P984" s="322"/>
      <c r="Q984" s="322"/>
      <c r="R984" s="322"/>
      <c r="S984" s="322"/>
      <c r="T984" s="322"/>
      <c r="U984" s="322"/>
      <c r="V984" s="322"/>
      <c r="W984" s="322"/>
      <c r="X984" s="322"/>
      <c r="Y984" s="322"/>
      <c r="Z984" s="322"/>
    </row>
    <row r="985" ht="12.75" customHeight="1">
      <c r="A985" s="322"/>
      <c r="B985" s="322"/>
      <c r="C985" s="323"/>
      <c r="D985" s="324"/>
      <c r="E985" s="323"/>
      <c r="F985" s="324"/>
      <c r="G985" s="322"/>
      <c r="H985" s="322"/>
      <c r="I985" s="322"/>
      <c r="J985" s="322"/>
      <c r="K985" s="322"/>
      <c r="L985" s="322"/>
      <c r="M985" s="322"/>
      <c r="N985" s="322"/>
      <c r="O985" s="322"/>
      <c r="P985" s="322"/>
      <c r="Q985" s="322"/>
      <c r="R985" s="322"/>
      <c r="S985" s="322"/>
      <c r="T985" s="322"/>
      <c r="U985" s="322"/>
      <c r="V985" s="322"/>
      <c r="W985" s="322"/>
      <c r="X985" s="322"/>
      <c r="Y985" s="322"/>
      <c r="Z985" s="322"/>
    </row>
    <row r="986" ht="12.75" customHeight="1">
      <c r="A986" s="322"/>
      <c r="B986" s="322"/>
      <c r="C986" s="323"/>
      <c r="D986" s="324"/>
      <c r="E986" s="323"/>
      <c r="F986" s="324"/>
      <c r="G986" s="322"/>
      <c r="H986" s="322"/>
      <c r="I986" s="322"/>
      <c r="J986" s="322"/>
      <c r="K986" s="322"/>
      <c r="L986" s="322"/>
      <c r="M986" s="322"/>
      <c r="N986" s="322"/>
      <c r="O986" s="322"/>
      <c r="P986" s="322"/>
      <c r="Q986" s="322"/>
      <c r="R986" s="322"/>
      <c r="S986" s="322"/>
      <c r="T986" s="322"/>
      <c r="U986" s="322"/>
      <c r="V986" s="322"/>
      <c r="W986" s="322"/>
      <c r="X986" s="322"/>
      <c r="Y986" s="322"/>
      <c r="Z986" s="322"/>
    </row>
    <row r="987" ht="12.75" customHeight="1">
      <c r="A987" s="322"/>
      <c r="B987" s="322"/>
      <c r="C987" s="323"/>
      <c r="D987" s="324"/>
      <c r="E987" s="323"/>
      <c r="F987" s="324"/>
      <c r="G987" s="322"/>
      <c r="H987" s="322"/>
      <c r="I987" s="322"/>
      <c r="J987" s="322"/>
      <c r="K987" s="322"/>
      <c r="L987" s="322"/>
      <c r="M987" s="322"/>
      <c r="N987" s="322"/>
      <c r="O987" s="322"/>
      <c r="P987" s="322"/>
      <c r="Q987" s="322"/>
      <c r="R987" s="322"/>
      <c r="S987" s="322"/>
      <c r="T987" s="322"/>
      <c r="U987" s="322"/>
      <c r="V987" s="322"/>
      <c r="W987" s="322"/>
      <c r="X987" s="322"/>
      <c r="Y987" s="322"/>
      <c r="Z987" s="322"/>
    </row>
    <row r="988" ht="12.75" customHeight="1">
      <c r="A988" s="322"/>
      <c r="B988" s="322"/>
      <c r="C988" s="323"/>
      <c r="D988" s="324"/>
      <c r="E988" s="323"/>
      <c r="F988" s="324"/>
      <c r="G988" s="322"/>
      <c r="H988" s="322"/>
      <c r="I988" s="322"/>
      <c r="J988" s="322"/>
      <c r="K988" s="322"/>
      <c r="L988" s="322"/>
      <c r="M988" s="322"/>
      <c r="N988" s="322"/>
      <c r="O988" s="322"/>
      <c r="P988" s="322"/>
      <c r="Q988" s="322"/>
      <c r="R988" s="322"/>
      <c r="S988" s="322"/>
      <c r="T988" s="322"/>
      <c r="U988" s="322"/>
      <c r="V988" s="322"/>
      <c r="W988" s="322"/>
      <c r="X988" s="322"/>
      <c r="Y988" s="322"/>
      <c r="Z988" s="322"/>
    </row>
    <row r="989" ht="12.75" customHeight="1">
      <c r="A989" s="322"/>
      <c r="B989" s="322"/>
      <c r="C989" s="323"/>
      <c r="D989" s="324"/>
      <c r="E989" s="323"/>
      <c r="F989" s="324"/>
      <c r="G989" s="322"/>
      <c r="H989" s="322"/>
      <c r="I989" s="322"/>
      <c r="J989" s="322"/>
      <c r="K989" s="322"/>
      <c r="L989" s="322"/>
      <c r="M989" s="322"/>
      <c r="N989" s="322"/>
      <c r="O989" s="322"/>
      <c r="P989" s="322"/>
      <c r="Q989" s="322"/>
      <c r="R989" s="322"/>
      <c r="S989" s="322"/>
      <c r="T989" s="322"/>
      <c r="U989" s="322"/>
      <c r="V989" s="322"/>
      <c r="W989" s="322"/>
      <c r="X989" s="322"/>
      <c r="Y989" s="322"/>
      <c r="Z989" s="322"/>
    </row>
    <row r="990" ht="12.75" customHeight="1">
      <c r="A990" s="322"/>
      <c r="B990" s="322"/>
      <c r="C990" s="323"/>
      <c r="D990" s="324"/>
      <c r="E990" s="323"/>
      <c r="F990" s="324"/>
      <c r="G990" s="322"/>
      <c r="H990" s="322"/>
      <c r="I990" s="322"/>
      <c r="J990" s="322"/>
      <c r="K990" s="322"/>
      <c r="L990" s="322"/>
      <c r="M990" s="322"/>
      <c r="N990" s="322"/>
      <c r="O990" s="322"/>
      <c r="P990" s="322"/>
      <c r="Q990" s="322"/>
      <c r="R990" s="322"/>
      <c r="S990" s="322"/>
      <c r="T990" s="322"/>
      <c r="U990" s="322"/>
      <c r="V990" s="322"/>
      <c r="W990" s="322"/>
      <c r="X990" s="322"/>
      <c r="Y990" s="322"/>
      <c r="Z990" s="322"/>
    </row>
    <row r="991" ht="12.75" customHeight="1">
      <c r="A991" s="322"/>
      <c r="B991" s="322"/>
      <c r="C991" s="323"/>
      <c r="D991" s="324"/>
      <c r="E991" s="323"/>
      <c r="F991" s="324"/>
      <c r="G991" s="322"/>
      <c r="H991" s="322"/>
      <c r="I991" s="322"/>
      <c r="J991" s="322"/>
      <c r="K991" s="322"/>
      <c r="L991" s="322"/>
      <c r="M991" s="322"/>
      <c r="N991" s="322"/>
      <c r="O991" s="322"/>
      <c r="P991" s="322"/>
      <c r="Q991" s="322"/>
      <c r="R991" s="322"/>
      <c r="S991" s="322"/>
      <c r="T991" s="322"/>
      <c r="U991" s="322"/>
      <c r="V991" s="322"/>
      <c r="W991" s="322"/>
      <c r="X991" s="322"/>
      <c r="Y991" s="322"/>
      <c r="Z991" s="322"/>
    </row>
    <row r="992" ht="12.75" customHeight="1">
      <c r="A992" s="322"/>
      <c r="B992" s="322"/>
      <c r="C992" s="323"/>
      <c r="D992" s="324"/>
      <c r="E992" s="323"/>
      <c r="F992" s="324"/>
      <c r="G992" s="322"/>
      <c r="H992" s="322"/>
      <c r="I992" s="322"/>
      <c r="J992" s="322"/>
      <c r="K992" s="322"/>
      <c r="L992" s="322"/>
      <c r="M992" s="322"/>
      <c r="N992" s="322"/>
      <c r="O992" s="322"/>
      <c r="P992" s="322"/>
      <c r="Q992" s="322"/>
      <c r="R992" s="322"/>
      <c r="S992" s="322"/>
      <c r="T992" s="322"/>
      <c r="U992" s="322"/>
      <c r="V992" s="322"/>
      <c r="W992" s="322"/>
      <c r="X992" s="322"/>
      <c r="Y992" s="322"/>
      <c r="Z992" s="322"/>
    </row>
    <row r="993" ht="12.75" customHeight="1">
      <c r="A993" s="322"/>
      <c r="B993" s="322"/>
      <c r="C993" s="323"/>
      <c r="D993" s="324"/>
      <c r="E993" s="323"/>
      <c r="F993" s="324"/>
      <c r="G993" s="322"/>
      <c r="H993" s="322"/>
      <c r="I993" s="322"/>
      <c r="J993" s="322"/>
      <c r="K993" s="322"/>
      <c r="L993" s="322"/>
      <c r="M993" s="322"/>
      <c r="N993" s="322"/>
      <c r="O993" s="322"/>
      <c r="P993" s="322"/>
      <c r="Q993" s="322"/>
      <c r="R993" s="322"/>
      <c r="S993" s="322"/>
      <c r="T993" s="322"/>
      <c r="U993" s="322"/>
      <c r="V993" s="322"/>
      <c r="W993" s="322"/>
      <c r="X993" s="322"/>
      <c r="Y993" s="322"/>
      <c r="Z993" s="322"/>
    </row>
    <row r="994" ht="12.75" customHeight="1">
      <c r="A994" s="322"/>
      <c r="B994" s="322"/>
      <c r="C994" s="323"/>
      <c r="D994" s="324"/>
      <c r="E994" s="323"/>
      <c r="F994" s="324"/>
      <c r="G994" s="322"/>
      <c r="H994" s="322"/>
      <c r="I994" s="322"/>
      <c r="J994" s="322"/>
      <c r="K994" s="322"/>
      <c r="L994" s="322"/>
      <c r="M994" s="322"/>
      <c r="N994" s="322"/>
      <c r="O994" s="322"/>
      <c r="P994" s="322"/>
      <c r="Q994" s="322"/>
      <c r="R994" s="322"/>
      <c r="S994" s="322"/>
      <c r="T994" s="322"/>
      <c r="U994" s="322"/>
      <c r="V994" s="322"/>
      <c r="W994" s="322"/>
      <c r="X994" s="322"/>
      <c r="Y994" s="322"/>
      <c r="Z994" s="322"/>
    </row>
    <row r="995" ht="12.75" customHeight="1">
      <c r="A995" s="322"/>
      <c r="B995" s="322"/>
      <c r="C995" s="323"/>
      <c r="D995" s="324"/>
      <c r="E995" s="323"/>
      <c r="F995" s="324"/>
      <c r="G995" s="322"/>
      <c r="H995" s="322"/>
      <c r="I995" s="322"/>
      <c r="J995" s="322"/>
      <c r="K995" s="322"/>
      <c r="L995" s="322"/>
      <c r="M995" s="322"/>
      <c r="N995" s="322"/>
      <c r="O995" s="322"/>
      <c r="P995" s="322"/>
      <c r="Q995" s="322"/>
      <c r="R995" s="322"/>
      <c r="S995" s="322"/>
      <c r="T995" s="322"/>
      <c r="U995" s="322"/>
      <c r="V995" s="322"/>
      <c r="W995" s="322"/>
      <c r="X995" s="322"/>
      <c r="Y995" s="322"/>
      <c r="Z995" s="322"/>
    </row>
    <row r="996" ht="12.75" customHeight="1">
      <c r="A996" s="322"/>
      <c r="B996" s="322"/>
      <c r="C996" s="323"/>
      <c r="D996" s="324"/>
      <c r="E996" s="323"/>
      <c r="F996" s="324"/>
      <c r="G996" s="322"/>
      <c r="H996" s="322"/>
      <c r="I996" s="322"/>
      <c r="J996" s="322"/>
      <c r="K996" s="322"/>
      <c r="L996" s="322"/>
      <c r="M996" s="322"/>
      <c r="N996" s="322"/>
      <c r="O996" s="322"/>
      <c r="P996" s="322"/>
      <c r="Q996" s="322"/>
      <c r="R996" s="322"/>
      <c r="S996" s="322"/>
      <c r="T996" s="322"/>
      <c r="U996" s="322"/>
      <c r="V996" s="322"/>
      <c r="W996" s="322"/>
      <c r="X996" s="322"/>
      <c r="Y996" s="322"/>
      <c r="Z996" s="322"/>
    </row>
    <row r="997" ht="12.75" customHeight="1">
      <c r="A997" s="322"/>
      <c r="B997" s="322"/>
      <c r="C997" s="323"/>
      <c r="D997" s="324"/>
      <c r="E997" s="323"/>
      <c r="F997" s="324"/>
      <c r="G997" s="322"/>
      <c r="H997" s="322"/>
      <c r="I997" s="322"/>
      <c r="J997" s="322"/>
      <c r="K997" s="322"/>
      <c r="L997" s="322"/>
      <c r="M997" s="322"/>
      <c r="N997" s="322"/>
      <c r="O997" s="322"/>
      <c r="P997" s="322"/>
      <c r="Q997" s="322"/>
      <c r="R997" s="322"/>
      <c r="S997" s="322"/>
      <c r="T997" s="322"/>
      <c r="U997" s="322"/>
      <c r="V997" s="322"/>
      <c r="W997" s="322"/>
      <c r="X997" s="322"/>
      <c r="Y997" s="322"/>
      <c r="Z997" s="322"/>
    </row>
    <row r="998" ht="12.75" customHeight="1">
      <c r="A998" s="322"/>
      <c r="B998" s="322"/>
      <c r="C998" s="323"/>
      <c r="D998" s="324"/>
      <c r="E998" s="323"/>
      <c r="F998" s="324"/>
      <c r="G998" s="322"/>
      <c r="H998" s="322"/>
      <c r="I998" s="322"/>
      <c r="J998" s="322"/>
      <c r="K998" s="322"/>
      <c r="L998" s="322"/>
      <c r="M998" s="322"/>
      <c r="N998" s="322"/>
      <c r="O998" s="322"/>
      <c r="P998" s="322"/>
      <c r="Q998" s="322"/>
      <c r="R998" s="322"/>
      <c r="S998" s="322"/>
      <c r="T998" s="322"/>
      <c r="U998" s="322"/>
      <c r="V998" s="322"/>
      <c r="W998" s="322"/>
      <c r="X998" s="322"/>
      <c r="Y998" s="322"/>
      <c r="Z998" s="322"/>
    </row>
    <row r="999" ht="12.75" customHeight="1">
      <c r="A999" s="322"/>
      <c r="B999" s="322"/>
      <c r="C999" s="323"/>
      <c r="D999" s="324"/>
      <c r="E999" s="323"/>
      <c r="F999" s="324"/>
      <c r="G999" s="322"/>
      <c r="H999" s="322"/>
      <c r="I999" s="322"/>
      <c r="J999" s="322"/>
      <c r="K999" s="322"/>
      <c r="L999" s="322"/>
      <c r="M999" s="322"/>
      <c r="N999" s="322"/>
      <c r="O999" s="322"/>
      <c r="P999" s="322"/>
      <c r="Q999" s="322"/>
      <c r="R999" s="322"/>
      <c r="S999" s="322"/>
      <c r="T999" s="322"/>
      <c r="U999" s="322"/>
      <c r="V999" s="322"/>
      <c r="W999" s="322"/>
      <c r="X999" s="322"/>
      <c r="Y999" s="322"/>
      <c r="Z999" s="322"/>
    </row>
    <row r="1000" ht="12.75" customHeight="1">
      <c r="A1000" s="322"/>
      <c r="B1000" s="322"/>
      <c r="C1000" s="323"/>
      <c r="D1000" s="324"/>
      <c r="E1000" s="323"/>
      <c r="F1000" s="324"/>
      <c r="G1000" s="322"/>
      <c r="H1000" s="322"/>
      <c r="I1000" s="322"/>
      <c r="J1000" s="322"/>
      <c r="K1000" s="322"/>
      <c r="L1000" s="322"/>
      <c r="M1000" s="322"/>
      <c r="N1000" s="322"/>
      <c r="O1000" s="322"/>
      <c r="P1000" s="322"/>
      <c r="Q1000" s="322"/>
      <c r="R1000" s="322"/>
      <c r="S1000" s="322"/>
      <c r="T1000" s="322"/>
      <c r="U1000" s="322"/>
      <c r="V1000" s="322"/>
      <c r="W1000" s="322"/>
      <c r="X1000" s="322"/>
      <c r="Y1000" s="322"/>
      <c r="Z1000" s="322"/>
    </row>
    <row r="1001" ht="12.75" customHeight="1">
      <c r="A1001" s="322"/>
      <c r="B1001" s="322"/>
      <c r="C1001" s="323"/>
      <c r="D1001" s="324"/>
      <c r="E1001" s="323"/>
      <c r="F1001" s="324"/>
      <c r="G1001" s="322"/>
      <c r="H1001" s="322"/>
      <c r="I1001" s="322"/>
      <c r="J1001" s="322"/>
      <c r="K1001" s="322"/>
      <c r="L1001" s="322"/>
      <c r="M1001" s="322"/>
      <c r="N1001" s="322"/>
      <c r="O1001" s="322"/>
      <c r="P1001" s="322"/>
      <c r="Q1001" s="322"/>
      <c r="R1001" s="322"/>
      <c r="S1001" s="322"/>
      <c r="T1001" s="322"/>
      <c r="U1001" s="322"/>
      <c r="V1001" s="322"/>
      <c r="W1001" s="322"/>
      <c r="X1001" s="322"/>
      <c r="Y1001" s="322"/>
      <c r="Z1001" s="322"/>
    </row>
    <row r="1002" ht="12.75" customHeight="1">
      <c r="A1002" s="322"/>
      <c r="B1002" s="322"/>
      <c r="C1002" s="323"/>
      <c r="D1002" s="324"/>
      <c r="E1002" s="323"/>
      <c r="F1002" s="324"/>
      <c r="G1002" s="322"/>
      <c r="H1002" s="322"/>
      <c r="I1002" s="322"/>
      <c r="J1002" s="322"/>
      <c r="K1002" s="322"/>
      <c r="L1002" s="322"/>
      <c r="M1002" s="322"/>
      <c r="N1002" s="322"/>
      <c r="O1002" s="322"/>
      <c r="P1002" s="322"/>
      <c r="Q1002" s="322"/>
      <c r="R1002" s="322"/>
      <c r="S1002" s="322"/>
      <c r="T1002" s="322"/>
      <c r="U1002" s="322"/>
      <c r="V1002" s="322"/>
      <c r="W1002" s="322"/>
      <c r="X1002" s="322"/>
      <c r="Y1002" s="322"/>
      <c r="Z1002" s="322"/>
    </row>
    <row r="1003" ht="12.75" customHeight="1">
      <c r="A1003" s="322"/>
      <c r="B1003" s="322"/>
      <c r="C1003" s="323"/>
      <c r="D1003" s="324"/>
      <c r="E1003" s="323"/>
      <c r="F1003" s="324"/>
      <c r="G1003" s="322"/>
      <c r="H1003" s="322"/>
      <c r="I1003" s="322"/>
      <c r="J1003" s="322"/>
      <c r="K1003" s="322"/>
      <c r="L1003" s="322"/>
      <c r="M1003" s="322"/>
      <c r="N1003" s="322"/>
      <c r="O1003" s="322"/>
      <c r="P1003" s="322"/>
      <c r="Q1003" s="322"/>
      <c r="R1003" s="322"/>
      <c r="S1003" s="322"/>
      <c r="T1003" s="322"/>
      <c r="U1003" s="322"/>
      <c r="V1003" s="322"/>
      <c r="W1003" s="322"/>
      <c r="X1003" s="322"/>
      <c r="Y1003" s="322"/>
      <c r="Z1003" s="322"/>
    </row>
    <row r="1004" ht="12.75" customHeight="1">
      <c r="A1004" s="322"/>
      <c r="B1004" s="322"/>
      <c r="C1004" s="323"/>
      <c r="D1004" s="324"/>
      <c r="E1004" s="323"/>
      <c r="F1004" s="324"/>
      <c r="G1004" s="322"/>
      <c r="H1004" s="322"/>
      <c r="I1004" s="322"/>
      <c r="J1004" s="322"/>
      <c r="K1004" s="322"/>
      <c r="L1004" s="322"/>
      <c r="M1004" s="322"/>
      <c r="N1004" s="322"/>
      <c r="O1004" s="322"/>
      <c r="P1004" s="322"/>
      <c r="Q1004" s="322"/>
      <c r="R1004" s="322"/>
      <c r="S1004" s="322"/>
      <c r="T1004" s="322"/>
      <c r="U1004" s="322"/>
      <c r="V1004" s="322"/>
      <c r="W1004" s="322"/>
      <c r="X1004" s="322"/>
      <c r="Y1004" s="322"/>
      <c r="Z1004" s="322"/>
    </row>
    <row r="1005" ht="12.75" customHeight="1">
      <c r="A1005" s="322"/>
      <c r="B1005" s="322"/>
      <c r="C1005" s="323"/>
      <c r="D1005" s="324"/>
      <c r="E1005" s="323"/>
      <c r="F1005" s="324"/>
      <c r="G1005" s="322"/>
      <c r="H1005" s="322"/>
      <c r="I1005" s="322"/>
      <c r="J1005" s="322"/>
      <c r="K1005" s="322"/>
      <c r="L1005" s="322"/>
      <c r="M1005" s="322"/>
      <c r="N1005" s="322"/>
      <c r="O1005" s="322"/>
      <c r="P1005" s="322"/>
      <c r="Q1005" s="322"/>
      <c r="R1005" s="322"/>
      <c r="S1005" s="322"/>
      <c r="T1005" s="322"/>
      <c r="U1005" s="322"/>
      <c r="V1005" s="322"/>
      <c r="W1005" s="322"/>
      <c r="X1005" s="322"/>
      <c r="Y1005" s="322"/>
      <c r="Z1005" s="322"/>
    </row>
    <row r="1006" ht="12.75" customHeight="1">
      <c r="A1006" s="322"/>
      <c r="B1006" s="322"/>
      <c r="C1006" s="323"/>
      <c r="D1006" s="324"/>
      <c r="E1006" s="323"/>
      <c r="F1006" s="324"/>
      <c r="G1006" s="322"/>
      <c r="H1006" s="322"/>
      <c r="I1006" s="322"/>
      <c r="J1006" s="322"/>
      <c r="K1006" s="322"/>
      <c r="L1006" s="322"/>
      <c r="M1006" s="322"/>
      <c r="N1006" s="322"/>
      <c r="O1006" s="322"/>
      <c r="P1006" s="322"/>
      <c r="Q1006" s="322"/>
      <c r="R1006" s="322"/>
      <c r="S1006" s="322"/>
      <c r="T1006" s="322"/>
      <c r="U1006" s="322"/>
      <c r="V1006" s="322"/>
      <c r="W1006" s="322"/>
      <c r="X1006" s="322"/>
      <c r="Y1006" s="322"/>
      <c r="Z1006" s="322"/>
    </row>
    <row r="1007" ht="12.75" customHeight="1">
      <c r="A1007" s="322"/>
      <c r="B1007" s="322"/>
      <c r="C1007" s="323"/>
      <c r="D1007" s="324"/>
      <c r="E1007" s="323"/>
      <c r="F1007" s="324"/>
      <c r="G1007" s="322"/>
      <c r="H1007" s="322"/>
      <c r="I1007" s="322"/>
      <c r="J1007" s="322"/>
      <c r="K1007" s="322"/>
      <c r="L1007" s="322"/>
      <c r="M1007" s="322"/>
      <c r="N1007" s="322"/>
      <c r="O1007" s="322"/>
      <c r="P1007" s="322"/>
      <c r="Q1007" s="322"/>
      <c r="R1007" s="322"/>
      <c r="S1007" s="322"/>
      <c r="T1007" s="322"/>
      <c r="U1007" s="322"/>
      <c r="V1007" s="322"/>
      <c r="W1007" s="322"/>
      <c r="X1007" s="322"/>
      <c r="Y1007" s="322"/>
      <c r="Z1007" s="322"/>
    </row>
    <row r="1008" ht="12.75" customHeight="1">
      <c r="A1008" s="322"/>
      <c r="B1008" s="322"/>
      <c r="C1008" s="323"/>
      <c r="D1008" s="324"/>
      <c r="E1008" s="323"/>
      <c r="F1008" s="324"/>
      <c r="G1008" s="322"/>
      <c r="H1008" s="322"/>
      <c r="I1008" s="322"/>
      <c r="J1008" s="322"/>
      <c r="K1008" s="322"/>
      <c r="L1008" s="322"/>
      <c r="M1008" s="322"/>
      <c r="N1008" s="322"/>
      <c r="O1008" s="322"/>
      <c r="P1008" s="322"/>
      <c r="Q1008" s="322"/>
      <c r="R1008" s="322"/>
      <c r="S1008" s="322"/>
      <c r="T1008" s="322"/>
      <c r="U1008" s="322"/>
      <c r="V1008" s="322"/>
      <c r="W1008" s="322"/>
      <c r="X1008" s="322"/>
      <c r="Y1008" s="322"/>
      <c r="Z1008" s="322"/>
    </row>
    <row r="1009" ht="12.75" customHeight="1">
      <c r="A1009" s="322"/>
      <c r="B1009" s="322"/>
      <c r="C1009" s="323"/>
      <c r="D1009" s="324"/>
      <c r="E1009" s="323"/>
      <c r="F1009" s="324"/>
      <c r="G1009" s="322"/>
      <c r="H1009" s="322"/>
      <c r="I1009" s="322"/>
      <c r="J1009" s="322"/>
      <c r="K1009" s="322"/>
      <c r="L1009" s="322"/>
      <c r="M1009" s="322"/>
      <c r="N1009" s="322"/>
      <c r="O1009" s="322"/>
      <c r="P1009" s="322"/>
      <c r="Q1009" s="322"/>
      <c r="R1009" s="322"/>
      <c r="S1009" s="322"/>
      <c r="T1009" s="322"/>
      <c r="U1009" s="322"/>
      <c r="V1009" s="322"/>
      <c r="W1009" s="322"/>
      <c r="X1009" s="322"/>
      <c r="Y1009" s="322"/>
      <c r="Z1009" s="322"/>
    </row>
    <row r="1010" ht="12.75" customHeight="1">
      <c r="A1010" s="322"/>
      <c r="B1010" s="322"/>
      <c r="C1010" s="323"/>
      <c r="D1010" s="324"/>
      <c r="E1010" s="323"/>
      <c r="F1010" s="324"/>
      <c r="G1010" s="322"/>
      <c r="H1010" s="322"/>
      <c r="I1010" s="322"/>
      <c r="J1010" s="322"/>
      <c r="K1010" s="322"/>
      <c r="L1010" s="322"/>
      <c r="M1010" s="322"/>
      <c r="N1010" s="322"/>
      <c r="O1010" s="322"/>
      <c r="P1010" s="322"/>
      <c r="Q1010" s="322"/>
      <c r="R1010" s="322"/>
      <c r="S1010" s="322"/>
      <c r="T1010" s="322"/>
      <c r="U1010" s="322"/>
      <c r="V1010" s="322"/>
      <c r="W1010" s="322"/>
      <c r="X1010" s="322"/>
      <c r="Y1010" s="322"/>
      <c r="Z1010" s="322"/>
    </row>
  </sheetData>
  <mergeCells count="1">
    <mergeCell ref="H47:M54"/>
  </mergeCells>
  <conditionalFormatting sqref="C43">
    <cfRule type="cellIs" dxfId="4" priority="1" operator="lessThan">
      <formula>0</formula>
    </cfRule>
  </conditionalFormatting>
  <dataValidations>
    <dataValidation type="list" allowBlank="1" sqref="G8:G21">
      <formula1>"Yes,No"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5" max="5" width="15.88"/>
    <col customWidth="1" min="6" max="6" width="25.5"/>
  </cols>
  <sheetData>
    <row r="1">
      <c r="B1" s="119" t="s">
        <v>1080</v>
      </c>
      <c r="C1" s="119" t="s">
        <v>1081</v>
      </c>
      <c r="D1" s="119" t="s">
        <v>1082</v>
      </c>
      <c r="E1" s="119" t="s">
        <v>1083</v>
      </c>
      <c r="F1" s="119" t="s">
        <v>356</v>
      </c>
    </row>
    <row r="2">
      <c r="A2" s="1222" t="s">
        <v>1084</v>
      </c>
    </row>
    <row r="10">
      <c r="A10" s="1222" t="s">
        <v>1085</v>
      </c>
    </row>
    <row r="18">
      <c r="A18" s="1222" t="s">
        <v>1086</v>
      </c>
    </row>
  </sheetData>
  <mergeCells count="3">
    <mergeCell ref="A2:A9"/>
    <mergeCell ref="A10:A17"/>
    <mergeCell ref="A18:A25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3" width="16.0"/>
    <col customWidth="1" min="4" max="4" width="19.63"/>
    <col customWidth="1" min="5" max="5" width="67.25"/>
    <col customWidth="1" min="6" max="6" width="16.0"/>
    <col customWidth="1" min="7" max="7" width="34.88"/>
  </cols>
  <sheetData>
    <row r="1">
      <c r="A1" s="963" t="s">
        <v>1087</v>
      </c>
      <c r="B1" s="963"/>
      <c r="C1" s="963"/>
      <c r="D1" s="1223"/>
      <c r="E1" s="963"/>
      <c r="F1" s="965"/>
      <c r="G1" s="966"/>
    </row>
    <row r="2">
      <c r="A2" s="970" t="s">
        <v>1088</v>
      </c>
      <c r="B2" s="970" t="s">
        <v>1089</v>
      </c>
      <c r="C2" s="970" t="s">
        <v>352</v>
      </c>
      <c r="D2" s="970" t="s">
        <v>1090</v>
      </c>
      <c r="E2" s="970" t="s">
        <v>356</v>
      </c>
      <c r="F2" s="1224"/>
      <c r="G2" s="1224"/>
    </row>
    <row r="3">
      <c r="A3" s="1078" t="s">
        <v>1091</v>
      </c>
      <c r="B3" s="1225">
        <v>1000.0</v>
      </c>
      <c r="C3" s="1226" t="s">
        <v>587</v>
      </c>
      <c r="D3" s="1227">
        <v>43556.0</v>
      </c>
      <c r="E3" s="1228"/>
      <c r="F3" s="1229"/>
      <c r="G3" s="1229"/>
    </row>
    <row r="4">
      <c r="A4" s="1078" t="s">
        <v>1092</v>
      </c>
      <c r="B4" s="1225" t="s">
        <v>1093</v>
      </c>
      <c r="C4" s="1226" t="s">
        <v>587</v>
      </c>
      <c r="D4" s="1227">
        <v>43617.0</v>
      </c>
      <c r="E4" s="1078"/>
      <c r="F4" s="1229"/>
      <c r="G4" s="1229"/>
    </row>
    <row r="5">
      <c r="A5" s="1078" t="s">
        <v>1094</v>
      </c>
      <c r="B5" s="1225">
        <v>1200.0</v>
      </c>
      <c r="C5" s="1230" t="s">
        <v>1095</v>
      </c>
      <c r="D5" s="1227">
        <v>43647.0</v>
      </c>
      <c r="E5" s="1078" t="s">
        <v>1096</v>
      </c>
      <c r="F5" s="1229"/>
      <c r="G5" s="1229"/>
    </row>
    <row r="6">
      <c r="A6" s="1078" t="s">
        <v>1097</v>
      </c>
      <c r="B6" s="1225" t="s">
        <v>359</v>
      </c>
      <c r="C6" s="1230" t="s">
        <v>1095</v>
      </c>
      <c r="D6" s="1227">
        <v>43709.0</v>
      </c>
      <c r="E6" s="1078"/>
      <c r="F6" s="1229"/>
      <c r="G6" s="1229"/>
    </row>
    <row r="7" ht="16.5" customHeight="1">
      <c r="A7" s="110" t="s">
        <v>1098</v>
      </c>
      <c r="B7" s="1231" t="s">
        <v>359</v>
      </c>
      <c r="C7" s="1232" t="s">
        <v>1095</v>
      </c>
      <c r="D7" s="1233">
        <v>43709.0</v>
      </c>
      <c r="E7" s="110"/>
      <c r="F7" s="655"/>
      <c r="G7" s="655"/>
    </row>
    <row r="8">
      <c r="A8" s="110" t="s">
        <v>1099</v>
      </c>
      <c r="B8" s="1231" t="s">
        <v>359</v>
      </c>
      <c r="C8" s="1232" t="s">
        <v>1095</v>
      </c>
      <c r="D8" s="1233">
        <v>43709.0</v>
      </c>
      <c r="E8" s="110" t="s">
        <v>1100</v>
      </c>
      <c r="F8" s="655"/>
      <c r="G8" s="655"/>
    </row>
    <row r="9">
      <c r="A9" s="110" t="s">
        <v>1101</v>
      </c>
      <c r="B9" s="1231" t="s">
        <v>359</v>
      </c>
      <c r="C9" s="1232" t="s">
        <v>1095</v>
      </c>
      <c r="D9" s="1233">
        <v>43678.0</v>
      </c>
      <c r="E9" s="110" t="s">
        <v>1100</v>
      </c>
      <c r="F9" s="655"/>
      <c r="G9" s="655"/>
    </row>
    <row r="10">
      <c r="A10" s="110" t="s">
        <v>1102</v>
      </c>
      <c r="B10" s="1231">
        <v>1000.0</v>
      </c>
      <c r="C10" s="1232" t="s">
        <v>1095</v>
      </c>
      <c r="D10" s="1233">
        <v>43679.0</v>
      </c>
      <c r="E10" s="110" t="s">
        <v>1103</v>
      </c>
      <c r="F10" s="655"/>
      <c r="G10" s="655"/>
    </row>
    <row r="11">
      <c r="A11" s="110" t="s">
        <v>1104</v>
      </c>
      <c r="B11" s="1231">
        <v>1000.0</v>
      </c>
      <c r="C11" s="1232" t="s">
        <v>1095</v>
      </c>
      <c r="D11" s="1233">
        <v>43680.0</v>
      </c>
      <c r="E11" s="110" t="s">
        <v>1105</v>
      </c>
      <c r="F11" s="655"/>
      <c r="G11" s="655"/>
    </row>
    <row r="12">
      <c r="A12" s="1234" t="s">
        <v>1106</v>
      </c>
      <c r="B12" s="1235">
        <v>300.0</v>
      </c>
      <c r="C12" s="1232" t="s">
        <v>1095</v>
      </c>
      <c r="D12" s="1236">
        <v>43681.0</v>
      </c>
      <c r="E12" s="1234" t="s">
        <v>1107</v>
      </c>
      <c r="F12" s="1237"/>
      <c r="G12" s="1237"/>
    </row>
    <row r="13">
      <c r="A13" s="1234" t="s">
        <v>1108</v>
      </c>
      <c r="B13" s="1235">
        <v>2200.0</v>
      </c>
      <c r="C13" s="1232" t="s">
        <v>1095</v>
      </c>
      <c r="D13" s="1236">
        <v>43682.0</v>
      </c>
      <c r="E13" s="1238" t="s">
        <v>1109</v>
      </c>
      <c r="F13" s="1237"/>
      <c r="G13" s="1237"/>
    </row>
    <row r="14">
      <c r="A14" s="1234" t="s">
        <v>1110</v>
      </c>
      <c r="B14" s="1235">
        <v>500.0</v>
      </c>
      <c r="C14" s="1239" t="s">
        <v>1111</v>
      </c>
      <c r="D14" s="1240">
        <v>2020.0</v>
      </c>
      <c r="E14" s="1238" t="s">
        <v>1112</v>
      </c>
      <c r="F14" s="1237"/>
      <c r="G14" s="1237"/>
    </row>
    <row r="15">
      <c r="A15" s="1234" t="s">
        <v>215</v>
      </c>
      <c r="B15" s="1235" t="s">
        <v>1113</v>
      </c>
      <c r="C15" s="1239" t="s">
        <v>1111</v>
      </c>
      <c r="D15" s="1240">
        <v>2020.0</v>
      </c>
      <c r="E15" s="1241" t="s">
        <v>1114</v>
      </c>
      <c r="F15" s="1237"/>
      <c r="G15" s="1237"/>
    </row>
    <row r="16">
      <c r="A16" s="1234" t="s">
        <v>1115</v>
      </c>
      <c r="B16" s="1235">
        <v>1000.0</v>
      </c>
      <c r="C16" s="1239" t="s">
        <v>1111</v>
      </c>
      <c r="D16" s="1240">
        <v>2020.0</v>
      </c>
      <c r="E16" s="1234" t="s">
        <v>1116</v>
      </c>
      <c r="F16" s="1237"/>
      <c r="G16" s="1237"/>
    </row>
    <row r="17">
      <c r="A17" s="1242"/>
      <c r="B17" s="1243"/>
      <c r="C17" s="1243"/>
      <c r="D17" s="1244"/>
      <c r="E17" s="1245"/>
      <c r="F17" s="1246"/>
      <c r="G17" s="596"/>
    </row>
    <row r="18">
      <c r="A18" s="1247"/>
      <c r="B18" s="1243"/>
      <c r="C18" s="1243"/>
      <c r="D18" s="1244"/>
      <c r="E18" s="1245"/>
      <c r="F18" s="1248"/>
      <c r="G18" s="627"/>
    </row>
    <row r="19">
      <c r="A19" s="1249" t="s">
        <v>1117</v>
      </c>
      <c r="B19" s="1250"/>
      <c r="C19" s="1250"/>
      <c r="D19" s="1251"/>
      <c r="E19" s="1252"/>
      <c r="F19" s="1253"/>
      <c r="G19" s="996"/>
    </row>
    <row r="20">
      <c r="A20" s="354" t="s">
        <v>1118</v>
      </c>
      <c r="B20" s="1254">
        <f>'DEBT(Archive)'!A36</f>
        <v>45872.82</v>
      </c>
      <c r="C20" s="1243"/>
      <c r="D20" s="1244"/>
      <c r="E20" s="1245"/>
      <c r="F20" s="1253"/>
      <c r="G20" s="996"/>
    </row>
    <row r="21">
      <c r="A21" s="354" t="s">
        <v>1119</v>
      </c>
      <c r="B21" s="334">
        <v>60000.0</v>
      </c>
      <c r="C21" s="1243"/>
      <c r="D21" s="1244"/>
      <c r="F21" s="1246"/>
      <c r="G21" s="596"/>
    </row>
    <row r="22">
      <c r="A22" s="1255" t="s">
        <v>1120</v>
      </c>
      <c r="B22" s="1256">
        <v>100000.0</v>
      </c>
      <c r="C22" s="1243"/>
      <c r="D22" s="1244"/>
      <c r="E22" s="1245"/>
      <c r="F22" s="1246"/>
      <c r="G22" s="596"/>
    </row>
    <row r="23">
      <c r="A23" s="1255" t="s">
        <v>1121</v>
      </c>
      <c r="B23" s="1256">
        <v>90000.0</v>
      </c>
      <c r="C23" s="1243"/>
      <c r="D23" s="1244"/>
      <c r="E23" s="1245"/>
      <c r="F23" s="1246"/>
      <c r="G23" s="596"/>
    </row>
    <row r="24">
      <c r="A24" s="1242" t="s">
        <v>196</v>
      </c>
      <c r="B24" s="1256">
        <v>250000.0</v>
      </c>
      <c r="C24" s="1243"/>
      <c r="D24" s="1244"/>
      <c r="E24" s="1245"/>
      <c r="F24" s="1246"/>
      <c r="G24" s="596"/>
    </row>
    <row r="25">
      <c r="A25" s="1247"/>
      <c r="B25" s="1256"/>
      <c r="C25" s="1243"/>
      <c r="D25" s="1244"/>
      <c r="E25" s="1245"/>
      <c r="F25" s="1257"/>
      <c r="G25" s="627"/>
    </row>
    <row r="26">
      <c r="A26" s="1247"/>
      <c r="B26" s="1256"/>
      <c r="C26" s="1243"/>
      <c r="D26" s="1244"/>
      <c r="E26" s="1245"/>
      <c r="F26" s="1253"/>
      <c r="G26" s="596"/>
    </row>
    <row r="27">
      <c r="A27" s="980"/>
      <c r="B27" s="1256"/>
      <c r="C27" s="1243"/>
      <c r="D27" s="1244"/>
      <c r="E27" s="1245"/>
      <c r="F27" s="1257"/>
      <c r="G27" s="631"/>
    </row>
    <row r="28">
      <c r="A28" s="1258"/>
      <c r="B28" s="1243"/>
      <c r="C28" s="1243"/>
      <c r="D28" s="1244"/>
      <c r="E28" s="109"/>
      <c r="F28" s="966"/>
      <c r="G28" s="966"/>
    </row>
    <row r="29">
      <c r="A29" s="1258"/>
      <c r="B29" s="1243"/>
      <c r="C29" s="1243"/>
      <c r="D29" s="1244"/>
      <c r="E29" s="1259"/>
      <c r="F29" s="966"/>
      <c r="G29" s="966"/>
    </row>
    <row r="30">
      <c r="A30" s="980"/>
      <c r="B30" s="1243"/>
      <c r="C30" s="1243"/>
      <c r="D30" s="1244"/>
      <c r="E30" s="354"/>
      <c r="F30" s="1009"/>
      <c r="G30" s="1010"/>
    </row>
    <row r="31">
      <c r="A31" s="1242"/>
      <c r="B31" s="1243"/>
      <c r="C31" s="1243"/>
      <c r="D31" s="1244"/>
      <c r="E31" s="354"/>
      <c r="F31" s="1009"/>
      <c r="G31" s="1010"/>
    </row>
    <row r="32">
      <c r="A32" s="1242"/>
      <c r="B32" s="1243"/>
      <c r="C32" s="1243"/>
      <c r="D32" s="1260"/>
      <c r="E32" s="354"/>
      <c r="F32" s="1009"/>
      <c r="G32" s="1010"/>
    </row>
    <row r="33">
      <c r="A33" s="1261"/>
      <c r="B33" s="980"/>
      <c r="C33" s="980"/>
      <c r="D33" s="1035"/>
      <c r="E33" s="1242"/>
      <c r="F33" s="1262"/>
      <c r="G33" s="1262"/>
    </row>
    <row r="34">
      <c r="A34" s="1263"/>
      <c r="D34" s="1240"/>
      <c r="E34" s="671"/>
      <c r="F34" s="632"/>
      <c r="G34" s="665"/>
    </row>
    <row r="35">
      <c r="A35" s="1263"/>
      <c r="D35" s="1264"/>
      <c r="E35" s="679"/>
      <c r="F35" s="655"/>
      <c r="G35" s="655"/>
    </row>
    <row r="36">
      <c r="A36" s="1263"/>
      <c r="D36" s="1264"/>
      <c r="E36" s="1265"/>
      <c r="F36" s="655"/>
      <c r="G36" s="665"/>
    </row>
    <row r="37">
      <c r="A37" s="1266"/>
      <c r="B37" s="1267"/>
      <c r="C37" s="1267"/>
      <c r="D37" s="1268"/>
      <c r="E37" s="1265"/>
      <c r="F37" s="664"/>
      <c r="G37" s="664"/>
    </row>
    <row r="38">
      <c r="D38" s="1237"/>
      <c r="E38" s="679"/>
      <c r="F38" s="655"/>
      <c r="G38" s="665"/>
    </row>
    <row r="39">
      <c r="A39" s="108"/>
      <c r="B39" s="1267"/>
      <c r="C39" s="1267"/>
      <c r="D39" s="1269"/>
      <c r="E39" s="1267"/>
      <c r="F39" s="664"/>
      <c r="G39" s="578"/>
    </row>
    <row r="40">
      <c r="D40" s="1237"/>
      <c r="F40" s="655"/>
      <c r="G40" s="655"/>
    </row>
    <row r="41">
      <c r="D41" s="1237"/>
      <c r="F41" s="655"/>
      <c r="G41" s="655"/>
    </row>
    <row r="42">
      <c r="D42" s="1237"/>
      <c r="F42" s="655"/>
      <c r="G42" s="655"/>
    </row>
    <row r="43">
      <c r="D43" s="1237"/>
      <c r="F43" s="655"/>
      <c r="G43" s="655"/>
    </row>
    <row r="44">
      <c r="D44" s="1237"/>
      <c r="F44" s="655"/>
      <c r="G44" s="655"/>
    </row>
    <row r="45">
      <c r="D45" s="1237"/>
      <c r="F45" s="655"/>
      <c r="G45" s="655"/>
    </row>
    <row r="46">
      <c r="D46" s="1237"/>
      <c r="F46" s="655"/>
      <c r="G46" s="655"/>
    </row>
    <row r="47">
      <c r="D47" s="1237"/>
      <c r="F47" s="655"/>
      <c r="G47" s="655"/>
    </row>
    <row r="48">
      <c r="D48" s="1237"/>
      <c r="F48" s="655"/>
      <c r="G48" s="655"/>
    </row>
    <row r="49">
      <c r="D49" s="1237"/>
      <c r="F49" s="655"/>
      <c r="G49" s="655"/>
    </row>
    <row r="50">
      <c r="D50" s="1237"/>
      <c r="F50" s="655"/>
      <c r="G50" s="655"/>
    </row>
    <row r="51">
      <c r="D51" s="1237"/>
      <c r="F51" s="655"/>
      <c r="G51" s="655"/>
    </row>
    <row r="52">
      <c r="D52" s="1237"/>
      <c r="F52" s="655"/>
      <c r="G52" s="655"/>
    </row>
    <row r="53">
      <c r="D53" s="1237"/>
      <c r="F53" s="655"/>
      <c r="G53" s="655"/>
    </row>
    <row r="54">
      <c r="D54" s="1237"/>
      <c r="F54" s="655"/>
      <c r="G54" s="655"/>
    </row>
    <row r="55">
      <c r="D55" s="1237"/>
      <c r="F55" s="655"/>
      <c r="G55" s="655"/>
    </row>
    <row r="56">
      <c r="D56" s="1237"/>
      <c r="F56" s="655"/>
      <c r="G56" s="655"/>
    </row>
    <row r="57">
      <c r="D57" s="1237"/>
      <c r="F57" s="655"/>
      <c r="G57" s="655"/>
    </row>
    <row r="58">
      <c r="D58" s="1237"/>
      <c r="F58" s="655"/>
      <c r="G58" s="655"/>
    </row>
    <row r="59">
      <c r="D59" s="1237"/>
      <c r="F59" s="655"/>
      <c r="G59" s="655"/>
    </row>
    <row r="60">
      <c r="D60" s="1237"/>
      <c r="F60" s="655"/>
      <c r="G60" s="655"/>
    </row>
    <row r="61">
      <c r="D61" s="1237"/>
      <c r="F61" s="655"/>
      <c r="G61" s="655"/>
    </row>
    <row r="62">
      <c r="D62" s="1237"/>
      <c r="F62" s="655"/>
      <c r="G62" s="655"/>
    </row>
    <row r="63">
      <c r="D63" s="1237"/>
      <c r="F63" s="655"/>
      <c r="G63" s="655"/>
    </row>
    <row r="64">
      <c r="D64" s="1237"/>
      <c r="F64" s="655"/>
      <c r="G64" s="655"/>
    </row>
    <row r="65">
      <c r="D65" s="1237"/>
      <c r="F65" s="655"/>
      <c r="G65" s="655"/>
    </row>
    <row r="66">
      <c r="D66" s="1237"/>
      <c r="F66" s="655"/>
      <c r="G66" s="655"/>
    </row>
    <row r="67">
      <c r="D67" s="1237"/>
      <c r="F67" s="655"/>
      <c r="G67" s="655"/>
    </row>
    <row r="68">
      <c r="D68" s="1237"/>
      <c r="F68" s="655"/>
      <c r="G68" s="655"/>
    </row>
    <row r="69">
      <c r="D69" s="1237"/>
      <c r="F69" s="655"/>
      <c r="G69" s="655"/>
    </row>
    <row r="70">
      <c r="D70" s="1237"/>
      <c r="F70" s="655"/>
      <c r="G70" s="655"/>
    </row>
    <row r="71">
      <c r="D71" s="1237"/>
      <c r="F71" s="655"/>
      <c r="G71" s="655"/>
    </row>
    <row r="72">
      <c r="D72" s="1237"/>
      <c r="F72" s="655"/>
      <c r="G72" s="655"/>
    </row>
    <row r="73">
      <c r="D73" s="1237"/>
      <c r="F73" s="655"/>
      <c r="G73" s="655"/>
    </row>
    <row r="74">
      <c r="D74" s="1237"/>
      <c r="F74" s="655"/>
      <c r="G74" s="655"/>
    </row>
    <row r="75">
      <c r="D75" s="1237"/>
      <c r="F75" s="655"/>
      <c r="G75" s="655"/>
    </row>
    <row r="76">
      <c r="D76" s="1237"/>
      <c r="F76" s="655"/>
      <c r="G76" s="655"/>
    </row>
    <row r="77">
      <c r="D77" s="1237"/>
      <c r="F77" s="655"/>
      <c r="G77" s="655"/>
    </row>
    <row r="78">
      <c r="D78" s="1237"/>
      <c r="F78" s="655"/>
      <c r="G78" s="655"/>
    </row>
    <row r="79">
      <c r="D79" s="1237"/>
      <c r="F79" s="655"/>
      <c r="G79" s="655"/>
    </row>
    <row r="80">
      <c r="D80" s="1237"/>
      <c r="F80" s="655"/>
      <c r="G80" s="655"/>
    </row>
    <row r="81">
      <c r="D81" s="1237"/>
      <c r="F81" s="655"/>
      <c r="G81" s="655"/>
    </row>
    <row r="82">
      <c r="D82" s="1237"/>
      <c r="F82" s="655"/>
      <c r="G82" s="655"/>
    </row>
    <row r="83">
      <c r="D83" s="1237"/>
      <c r="F83" s="655"/>
      <c r="G83" s="655"/>
    </row>
    <row r="84">
      <c r="D84" s="1237"/>
      <c r="F84" s="655"/>
      <c r="G84" s="655"/>
    </row>
    <row r="85">
      <c r="D85" s="1237"/>
      <c r="F85" s="655"/>
      <c r="G85" s="655"/>
    </row>
    <row r="86">
      <c r="D86" s="1237"/>
      <c r="F86" s="655"/>
      <c r="G86" s="655"/>
    </row>
    <row r="87">
      <c r="D87" s="1237"/>
      <c r="F87" s="655"/>
      <c r="G87" s="655"/>
    </row>
    <row r="88">
      <c r="D88" s="1237"/>
      <c r="F88" s="655"/>
      <c r="G88" s="655"/>
    </row>
    <row r="89">
      <c r="D89" s="1237"/>
      <c r="F89" s="655"/>
      <c r="G89" s="655"/>
    </row>
    <row r="90">
      <c r="D90" s="1237"/>
      <c r="F90" s="655"/>
      <c r="G90" s="655"/>
    </row>
    <row r="91">
      <c r="D91" s="1237"/>
      <c r="F91" s="655"/>
      <c r="G91" s="655"/>
    </row>
    <row r="92">
      <c r="D92" s="1237"/>
      <c r="F92" s="655"/>
      <c r="G92" s="655"/>
    </row>
    <row r="93">
      <c r="D93" s="1237"/>
      <c r="F93" s="655"/>
      <c r="G93" s="655"/>
    </row>
    <row r="94">
      <c r="D94" s="1237"/>
      <c r="F94" s="655"/>
      <c r="G94" s="655"/>
    </row>
    <row r="95">
      <c r="D95" s="1237"/>
      <c r="F95" s="655"/>
      <c r="G95" s="655"/>
    </row>
    <row r="96">
      <c r="D96" s="1237"/>
      <c r="F96" s="655"/>
      <c r="G96" s="655"/>
    </row>
    <row r="97">
      <c r="D97" s="1237"/>
      <c r="F97" s="655"/>
      <c r="G97" s="655"/>
    </row>
    <row r="98">
      <c r="D98" s="1237"/>
      <c r="F98" s="655"/>
      <c r="G98" s="655"/>
    </row>
    <row r="99">
      <c r="D99" s="1237"/>
      <c r="F99" s="655"/>
      <c r="G99" s="655"/>
    </row>
    <row r="100">
      <c r="D100" s="1237"/>
      <c r="F100" s="655"/>
      <c r="G100" s="655"/>
    </row>
    <row r="101">
      <c r="D101" s="1237"/>
      <c r="F101" s="655"/>
      <c r="G101" s="655"/>
    </row>
    <row r="102">
      <c r="D102" s="1237"/>
      <c r="F102" s="655"/>
      <c r="G102" s="655"/>
    </row>
    <row r="103">
      <c r="D103" s="1237"/>
      <c r="F103" s="655"/>
      <c r="G103" s="655"/>
    </row>
    <row r="104">
      <c r="D104" s="1237"/>
      <c r="F104" s="655"/>
      <c r="G104" s="655"/>
    </row>
    <row r="105">
      <c r="D105" s="1237"/>
      <c r="F105" s="655"/>
      <c r="G105" s="655"/>
    </row>
    <row r="106">
      <c r="D106" s="1237"/>
      <c r="F106" s="655"/>
      <c r="G106" s="655"/>
    </row>
    <row r="107">
      <c r="D107" s="1237"/>
      <c r="F107" s="655"/>
      <c r="G107" s="655"/>
    </row>
    <row r="108">
      <c r="D108" s="1237"/>
      <c r="F108" s="655"/>
      <c r="G108" s="655"/>
    </row>
    <row r="109">
      <c r="D109" s="1237"/>
      <c r="F109" s="655"/>
      <c r="G109" s="655"/>
    </row>
    <row r="110">
      <c r="D110" s="1237"/>
      <c r="F110" s="655"/>
      <c r="G110" s="655"/>
    </row>
    <row r="111">
      <c r="D111" s="1237"/>
      <c r="F111" s="655"/>
      <c r="G111" s="655"/>
    </row>
    <row r="112">
      <c r="D112" s="1237"/>
      <c r="F112" s="655"/>
      <c r="G112" s="655"/>
    </row>
    <row r="113">
      <c r="D113" s="1237"/>
      <c r="F113" s="655"/>
      <c r="G113" s="655"/>
    </row>
    <row r="114">
      <c r="D114" s="1237"/>
      <c r="F114" s="655"/>
      <c r="G114" s="655"/>
    </row>
    <row r="115">
      <c r="D115" s="1237"/>
      <c r="F115" s="655"/>
      <c r="G115" s="655"/>
    </row>
    <row r="116">
      <c r="D116" s="1237"/>
      <c r="F116" s="655"/>
      <c r="G116" s="655"/>
    </row>
    <row r="117">
      <c r="D117" s="1237"/>
      <c r="F117" s="655"/>
      <c r="G117" s="655"/>
    </row>
    <row r="118">
      <c r="D118" s="1237"/>
      <c r="F118" s="655"/>
      <c r="G118" s="655"/>
    </row>
    <row r="119">
      <c r="D119" s="1237"/>
      <c r="F119" s="655"/>
      <c r="G119" s="655"/>
    </row>
    <row r="120">
      <c r="D120" s="1237"/>
      <c r="F120" s="655"/>
      <c r="G120" s="655"/>
    </row>
    <row r="121">
      <c r="D121" s="1237"/>
      <c r="F121" s="655"/>
      <c r="G121" s="655"/>
    </row>
    <row r="122">
      <c r="D122" s="1237"/>
      <c r="F122" s="655"/>
      <c r="G122" s="655"/>
    </row>
    <row r="123">
      <c r="D123" s="1237"/>
      <c r="F123" s="655"/>
      <c r="G123" s="655"/>
    </row>
    <row r="124">
      <c r="D124" s="1237"/>
      <c r="F124" s="655"/>
      <c r="G124" s="655"/>
    </row>
    <row r="125">
      <c r="D125" s="1237"/>
      <c r="F125" s="655"/>
      <c r="G125" s="655"/>
    </row>
    <row r="126">
      <c r="D126" s="1237"/>
      <c r="F126" s="655"/>
      <c r="G126" s="655"/>
    </row>
    <row r="127">
      <c r="D127" s="1237"/>
      <c r="F127" s="655"/>
      <c r="G127" s="655"/>
    </row>
    <row r="128">
      <c r="D128" s="1237"/>
      <c r="F128" s="655"/>
      <c r="G128" s="655"/>
    </row>
    <row r="129">
      <c r="D129" s="1237"/>
      <c r="F129" s="655"/>
      <c r="G129" s="655"/>
    </row>
    <row r="130">
      <c r="D130" s="1237"/>
      <c r="F130" s="655"/>
      <c r="G130" s="655"/>
    </row>
    <row r="131">
      <c r="D131" s="1237"/>
      <c r="F131" s="655"/>
      <c r="G131" s="655"/>
    </row>
    <row r="132">
      <c r="D132" s="1237"/>
      <c r="F132" s="655"/>
      <c r="G132" s="655"/>
    </row>
    <row r="133">
      <c r="D133" s="1237"/>
      <c r="F133" s="655"/>
      <c r="G133" s="655"/>
    </row>
    <row r="134">
      <c r="D134" s="1237"/>
      <c r="F134" s="655"/>
      <c r="G134" s="655"/>
    </row>
    <row r="135">
      <c r="D135" s="1237"/>
      <c r="F135" s="655"/>
      <c r="G135" s="655"/>
    </row>
    <row r="136">
      <c r="D136" s="1237"/>
      <c r="F136" s="655"/>
      <c r="G136" s="655"/>
    </row>
    <row r="137">
      <c r="D137" s="1237"/>
      <c r="F137" s="655"/>
      <c r="G137" s="655"/>
    </row>
    <row r="138">
      <c r="D138" s="1237"/>
      <c r="F138" s="655"/>
      <c r="G138" s="655"/>
    </row>
    <row r="139">
      <c r="D139" s="1237"/>
      <c r="F139" s="655"/>
      <c r="G139" s="655"/>
    </row>
    <row r="140">
      <c r="D140" s="1237"/>
      <c r="F140" s="655"/>
      <c r="G140" s="655"/>
    </row>
    <row r="141">
      <c r="D141" s="1237"/>
      <c r="F141" s="655"/>
      <c r="G141" s="655"/>
    </row>
    <row r="142">
      <c r="D142" s="1237"/>
      <c r="F142" s="655"/>
      <c r="G142" s="655"/>
    </row>
    <row r="143">
      <c r="D143" s="1237"/>
      <c r="F143" s="655"/>
      <c r="G143" s="655"/>
    </row>
    <row r="144">
      <c r="D144" s="1237"/>
      <c r="F144" s="655"/>
      <c r="G144" s="655"/>
    </row>
    <row r="145">
      <c r="D145" s="1237"/>
      <c r="F145" s="655"/>
      <c r="G145" s="655"/>
    </row>
    <row r="146">
      <c r="D146" s="1237"/>
      <c r="F146" s="655"/>
      <c r="G146" s="655"/>
    </row>
    <row r="147">
      <c r="D147" s="1237"/>
      <c r="F147" s="655"/>
      <c r="G147" s="655"/>
    </row>
    <row r="148">
      <c r="D148" s="1237"/>
      <c r="F148" s="655"/>
      <c r="G148" s="655"/>
    </row>
    <row r="149">
      <c r="D149" s="1237"/>
      <c r="F149" s="655"/>
      <c r="G149" s="655"/>
    </row>
    <row r="150">
      <c r="D150" s="1237"/>
      <c r="F150" s="655"/>
      <c r="G150" s="655"/>
    </row>
    <row r="151">
      <c r="D151" s="1237"/>
      <c r="F151" s="655"/>
      <c r="G151" s="655"/>
    </row>
    <row r="152">
      <c r="D152" s="1237"/>
      <c r="F152" s="655"/>
      <c r="G152" s="655"/>
    </row>
    <row r="153">
      <c r="D153" s="1237"/>
      <c r="F153" s="655"/>
      <c r="G153" s="655"/>
    </row>
    <row r="154">
      <c r="D154" s="1237"/>
      <c r="F154" s="655"/>
      <c r="G154" s="655"/>
    </row>
    <row r="155">
      <c r="D155" s="1237"/>
      <c r="F155" s="655"/>
      <c r="G155" s="655"/>
    </row>
    <row r="156">
      <c r="D156" s="1237"/>
      <c r="F156" s="655"/>
      <c r="G156" s="655"/>
    </row>
    <row r="157">
      <c r="D157" s="1237"/>
      <c r="F157" s="655"/>
      <c r="G157" s="655"/>
    </row>
    <row r="158">
      <c r="D158" s="1237"/>
      <c r="F158" s="655"/>
      <c r="G158" s="655"/>
    </row>
    <row r="159">
      <c r="D159" s="1237"/>
      <c r="F159" s="655"/>
      <c r="G159" s="655"/>
    </row>
    <row r="160">
      <c r="D160" s="1237"/>
      <c r="F160" s="655"/>
      <c r="G160" s="655"/>
    </row>
    <row r="161">
      <c r="D161" s="1237"/>
      <c r="F161" s="655"/>
      <c r="G161" s="655"/>
    </row>
    <row r="162">
      <c r="D162" s="1237"/>
      <c r="F162" s="655"/>
      <c r="G162" s="655"/>
    </row>
    <row r="163">
      <c r="D163" s="1237"/>
      <c r="F163" s="655"/>
      <c r="G163" s="655"/>
    </row>
    <row r="164">
      <c r="D164" s="1237"/>
      <c r="F164" s="655"/>
      <c r="G164" s="655"/>
    </row>
    <row r="165">
      <c r="D165" s="1237"/>
      <c r="F165" s="655"/>
      <c r="G165" s="655"/>
    </row>
    <row r="166">
      <c r="D166" s="1237"/>
      <c r="F166" s="655"/>
      <c r="G166" s="655"/>
    </row>
    <row r="167">
      <c r="D167" s="1237"/>
      <c r="F167" s="655"/>
      <c r="G167" s="655"/>
    </row>
    <row r="168">
      <c r="D168" s="1237"/>
      <c r="F168" s="655"/>
      <c r="G168" s="655"/>
    </row>
    <row r="169">
      <c r="D169" s="1237"/>
      <c r="F169" s="655"/>
      <c r="G169" s="655"/>
    </row>
    <row r="170">
      <c r="D170" s="1237"/>
      <c r="F170" s="655"/>
      <c r="G170" s="655"/>
    </row>
    <row r="171">
      <c r="D171" s="1237"/>
      <c r="F171" s="655"/>
      <c r="G171" s="655"/>
    </row>
    <row r="172">
      <c r="D172" s="1237"/>
      <c r="F172" s="655"/>
      <c r="G172" s="655"/>
    </row>
    <row r="173">
      <c r="D173" s="1237"/>
      <c r="F173" s="655"/>
      <c r="G173" s="655"/>
    </row>
    <row r="174">
      <c r="D174" s="1237"/>
      <c r="F174" s="655"/>
      <c r="G174" s="655"/>
    </row>
    <row r="175">
      <c r="D175" s="1237"/>
      <c r="F175" s="655"/>
      <c r="G175" s="655"/>
    </row>
    <row r="176">
      <c r="D176" s="1237"/>
      <c r="F176" s="655"/>
      <c r="G176" s="655"/>
    </row>
    <row r="177">
      <c r="D177" s="1237"/>
      <c r="F177" s="655"/>
      <c r="G177" s="655"/>
    </row>
    <row r="178">
      <c r="D178" s="1237"/>
      <c r="F178" s="655"/>
      <c r="G178" s="655"/>
    </row>
    <row r="179">
      <c r="D179" s="1237"/>
      <c r="F179" s="655"/>
      <c r="G179" s="655"/>
    </row>
    <row r="180">
      <c r="D180" s="1237"/>
      <c r="F180" s="655"/>
      <c r="G180" s="655"/>
    </row>
    <row r="181">
      <c r="D181" s="1237"/>
      <c r="F181" s="655"/>
      <c r="G181" s="655"/>
    </row>
    <row r="182">
      <c r="D182" s="1237"/>
      <c r="F182" s="655"/>
      <c r="G182" s="655"/>
    </row>
    <row r="183">
      <c r="D183" s="1237"/>
      <c r="F183" s="655"/>
      <c r="G183" s="655"/>
    </row>
    <row r="184">
      <c r="D184" s="1237"/>
      <c r="F184" s="655"/>
      <c r="G184" s="655"/>
    </row>
    <row r="185">
      <c r="D185" s="1237"/>
      <c r="F185" s="655"/>
      <c r="G185" s="655"/>
    </row>
    <row r="186">
      <c r="D186" s="1237"/>
      <c r="F186" s="655"/>
      <c r="G186" s="655"/>
    </row>
    <row r="187">
      <c r="D187" s="1237"/>
      <c r="F187" s="655"/>
      <c r="G187" s="655"/>
    </row>
    <row r="188">
      <c r="D188" s="1237"/>
      <c r="F188" s="655"/>
      <c r="G188" s="655"/>
    </row>
    <row r="189">
      <c r="D189" s="1237"/>
      <c r="F189" s="655"/>
      <c r="G189" s="655"/>
    </row>
    <row r="190">
      <c r="D190" s="1237"/>
      <c r="F190" s="655"/>
      <c r="G190" s="655"/>
    </row>
    <row r="191">
      <c r="D191" s="1237"/>
      <c r="F191" s="655"/>
      <c r="G191" s="655"/>
    </row>
    <row r="192">
      <c r="D192" s="1237"/>
      <c r="F192" s="655"/>
      <c r="G192" s="655"/>
    </row>
    <row r="193">
      <c r="D193" s="1237"/>
      <c r="F193" s="655"/>
      <c r="G193" s="655"/>
    </row>
    <row r="194">
      <c r="D194" s="1237"/>
      <c r="F194" s="655"/>
      <c r="G194" s="655"/>
    </row>
    <row r="195">
      <c r="D195" s="1237"/>
      <c r="F195" s="655"/>
      <c r="G195" s="655"/>
    </row>
    <row r="196">
      <c r="D196" s="1237"/>
      <c r="F196" s="655"/>
      <c r="G196" s="655"/>
    </row>
    <row r="197">
      <c r="D197" s="1237"/>
      <c r="F197" s="655"/>
      <c r="G197" s="655"/>
    </row>
    <row r="198">
      <c r="D198" s="1237"/>
      <c r="F198" s="655"/>
      <c r="G198" s="655"/>
    </row>
    <row r="199">
      <c r="D199" s="1237"/>
      <c r="F199" s="655"/>
      <c r="G199" s="655"/>
    </row>
    <row r="200">
      <c r="D200" s="1237"/>
      <c r="F200" s="655"/>
      <c r="G200" s="655"/>
    </row>
    <row r="201">
      <c r="D201" s="1237"/>
      <c r="F201" s="655"/>
      <c r="G201" s="655"/>
    </row>
    <row r="202">
      <c r="D202" s="1237"/>
      <c r="F202" s="655"/>
      <c r="G202" s="655"/>
    </row>
    <row r="203">
      <c r="D203" s="1237"/>
      <c r="F203" s="655"/>
      <c r="G203" s="655"/>
    </row>
    <row r="204">
      <c r="D204" s="1237"/>
      <c r="F204" s="655"/>
      <c r="G204" s="655"/>
    </row>
    <row r="205">
      <c r="D205" s="1237"/>
      <c r="F205" s="655"/>
      <c r="G205" s="655"/>
    </row>
    <row r="206">
      <c r="D206" s="1237"/>
      <c r="F206" s="655"/>
      <c r="G206" s="655"/>
    </row>
    <row r="207">
      <c r="D207" s="1237"/>
      <c r="F207" s="655"/>
      <c r="G207" s="655"/>
    </row>
    <row r="208">
      <c r="D208" s="1237"/>
      <c r="F208" s="655"/>
      <c r="G208" s="655"/>
    </row>
    <row r="209">
      <c r="D209" s="1237"/>
      <c r="F209" s="655"/>
      <c r="G209" s="655"/>
    </row>
    <row r="210">
      <c r="D210" s="1237"/>
      <c r="F210" s="655"/>
      <c r="G210" s="655"/>
    </row>
    <row r="211">
      <c r="D211" s="1237"/>
      <c r="F211" s="655"/>
      <c r="G211" s="655"/>
    </row>
    <row r="212">
      <c r="D212" s="1237"/>
      <c r="F212" s="655"/>
      <c r="G212" s="655"/>
    </row>
    <row r="213">
      <c r="D213" s="1237"/>
      <c r="F213" s="655"/>
      <c r="G213" s="655"/>
    </row>
    <row r="214">
      <c r="D214" s="1237"/>
      <c r="F214" s="655"/>
      <c r="G214" s="655"/>
    </row>
    <row r="215">
      <c r="D215" s="1237"/>
      <c r="F215" s="655"/>
      <c r="G215" s="655"/>
    </row>
    <row r="216">
      <c r="D216" s="1237"/>
      <c r="F216" s="655"/>
      <c r="G216" s="655"/>
    </row>
    <row r="217">
      <c r="D217" s="1237"/>
      <c r="F217" s="655"/>
      <c r="G217" s="655"/>
    </row>
    <row r="218">
      <c r="D218" s="1237"/>
      <c r="F218" s="655"/>
      <c r="G218" s="655"/>
    </row>
    <row r="219">
      <c r="D219" s="1237"/>
      <c r="F219" s="655"/>
      <c r="G219" s="655"/>
    </row>
    <row r="220">
      <c r="D220" s="1237"/>
      <c r="F220" s="655"/>
      <c r="G220" s="655"/>
    </row>
    <row r="221">
      <c r="D221" s="1237"/>
      <c r="F221" s="655"/>
      <c r="G221" s="655"/>
    </row>
    <row r="222">
      <c r="D222" s="1237"/>
      <c r="F222" s="655"/>
      <c r="G222" s="655"/>
    </row>
    <row r="223">
      <c r="D223" s="1237"/>
      <c r="F223" s="655"/>
      <c r="G223" s="655"/>
    </row>
    <row r="224">
      <c r="D224" s="1237"/>
      <c r="F224" s="655"/>
      <c r="G224" s="655"/>
    </row>
    <row r="225">
      <c r="D225" s="1237"/>
      <c r="F225" s="655"/>
      <c r="G225" s="655"/>
    </row>
    <row r="226">
      <c r="D226" s="1237"/>
      <c r="F226" s="655"/>
      <c r="G226" s="655"/>
    </row>
    <row r="227">
      <c r="D227" s="1237"/>
      <c r="F227" s="655"/>
      <c r="G227" s="655"/>
    </row>
    <row r="228">
      <c r="D228" s="1237"/>
      <c r="F228" s="655"/>
      <c r="G228" s="655"/>
    </row>
    <row r="229">
      <c r="D229" s="1237"/>
      <c r="F229" s="655"/>
      <c r="G229" s="655"/>
    </row>
    <row r="230">
      <c r="D230" s="1237"/>
      <c r="F230" s="655"/>
      <c r="G230" s="655"/>
    </row>
    <row r="231">
      <c r="D231" s="1237"/>
      <c r="F231" s="655"/>
      <c r="G231" s="655"/>
    </row>
    <row r="232">
      <c r="D232" s="1237"/>
      <c r="F232" s="655"/>
      <c r="G232" s="655"/>
    </row>
    <row r="233">
      <c r="D233" s="1237"/>
      <c r="F233" s="655"/>
      <c r="G233" s="655"/>
    </row>
    <row r="234">
      <c r="D234" s="1237"/>
      <c r="F234" s="655"/>
      <c r="G234" s="655"/>
    </row>
    <row r="235">
      <c r="D235" s="1237"/>
      <c r="F235" s="655"/>
      <c r="G235" s="655"/>
    </row>
    <row r="236">
      <c r="D236" s="1237"/>
      <c r="F236" s="655"/>
      <c r="G236" s="655"/>
    </row>
    <row r="237">
      <c r="D237" s="1237"/>
      <c r="F237" s="655"/>
      <c r="G237" s="655"/>
    </row>
    <row r="238">
      <c r="D238" s="1237"/>
      <c r="F238" s="655"/>
      <c r="G238" s="655"/>
    </row>
    <row r="239">
      <c r="D239" s="1237"/>
      <c r="F239" s="655"/>
      <c r="G239" s="655"/>
    </row>
    <row r="240">
      <c r="D240" s="1237"/>
      <c r="F240" s="655"/>
      <c r="G240" s="655"/>
    </row>
    <row r="241">
      <c r="D241" s="1237"/>
      <c r="F241" s="655"/>
      <c r="G241" s="655"/>
    </row>
    <row r="242">
      <c r="D242" s="1237"/>
      <c r="F242" s="655"/>
      <c r="G242" s="655"/>
    </row>
    <row r="243">
      <c r="D243" s="1237"/>
      <c r="F243" s="655"/>
      <c r="G243" s="655"/>
    </row>
    <row r="244">
      <c r="D244" s="1237"/>
      <c r="F244" s="655"/>
      <c r="G244" s="655"/>
    </row>
    <row r="245">
      <c r="D245" s="1237"/>
      <c r="F245" s="655"/>
      <c r="G245" s="655"/>
    </row>
    <row r="246">
      <c r="D246" s="1237"/>
      <c r="F246" s="655"/>
      <c r="G246" s="655"/>
    </row>
    <row r="247">
      <c r="D247" s="1237"/>
      <c r="F247" s="655"/>
      <c r="G247" s="655"/>
    </row>
    <row r="248">
      <c r="D248" s="1237"/>
      <c r="F248" s="655"/>
      <c r="G248" s="655"/>
    </row>
    <row r="249">
      <c r="D249" s="1237"/>
      <c r="F249" s="655"/>
      <c r="G249" s="655"/>
    </row>
    <row r="250">
      <c r="D250" s="1237"/>
      <c r="F250" s="655"/>
      <c r="G250" s="655"/>
    </row>
    <row r="251">
      <c r="D251" s="1237"/>
      <c r="F251" s="655"/>
      <c r="G251" s="655"/>
    </row>
    <row r="252">
      <c r="D252" s="1237"/>
      <c r="F252" s="655"/>
      <c r="G252" s="655"/>
    </row>
    <row r="253">
      <c r="D253" s="1237"/>
      <c r="F253" s="655"/>
      <c r="G253" s="655"/>
    </row>
    <row r="254">
      <c r="D254" s="1237"/>
      <c r="F254" s="655"/>
      <c r="G254" s="655"/>
    </row>
    <row r="255">
      <c r="D255" s="1237"/>
      <c r="F255" s="655"/>
      <c r="G255" s="655"/>
    </row>
    <row r="256">
      <c r="D256" s="1237"/>
      <c r="F256" s="655"/>
      <c r="G256" s="655"/>
    </row>
    <row r="257">
      <c r="D257" s="1237"/>
      <c r="F257" s="655"/>
      <c r="G257" s="655"/>
    </row>
    <row r="258">
      <c r="D258" s="1237"/>
      <c r="F258" s="655"/>
      <c r="G258" s="655"/>
    </row>
    <row r="259">
      <c r="D259" s="1237"/>
      <c r="F259" s="655"/>
      <c r="G259" s="655"/>
    </row>
    <row r="260">
      <c r="D260" s="1237"/>
      <c r="F260" s="655"/>
      <c r="G260" s="655"/>
    </row>
    <row r="261">
      <c r="D261" s="1237"/>
      <c r="F261" s="655"/>
      <c r="G261" s="655"/>
    </row>
    <row r="262">
      <c r="D262" s="1237"/>
      <c r="F262" s="655"/>
      <c r="G262" s="655"/>
    </row>
    <row r="263">
      <c r="D263" s="1237"/>
      <c r="F263" s="655"/>
      <c r="G263" s="655"/>
    </row>
    <row r="264">
      <c r="D264" s="1237"/>
      <c r="F264" s="655"/>
      <c r="G264" s="655"/>
    </row>
    <row r="265">
      <c r="D265" s="1237"/>
      <c r="F265" s="655"/>
      <c r="G265" s="655"/>
    </row>
    <row r="266">
      <c r="D266" s="1237"/>
      <c r="F266" s="655"/>
      <c r="G266" s="655"/>
    </row>
    <row r="267">
      <c r="D267" s="1237"/>
      <c r="F267" s="655"/>
      <c r="G267" s="655"/>
    </row>
    <row r="268">
      <c r="D268" s="1237"/>
      <c r="F268" s="655"/>
      <c r="G268" s="655"/>
    </row>
    <row r="269">
      <c r="D269" s="1237"/>
      <c r="F269" s="655"/>
      <c r="G269" s="655"/>
    </row>
    <row r="270">
      <c r="D270" s="1237"/>
      <c r="F270" s="655"/>
      <c r="G270" s="655"/>
    </row>
    <row r="271">
      <c r="D271" s="1237"/>
      <c r="F271" s="655"/>
      <c r="G271" s="655"/>
    </row>
    <row r="272">
      <c r="D272" s="1237"/>
      <c r="F272" s="655"/>
      <c r="G272" s="655"/>
    </row>
    <row r="273">
      <c r="D273" s="1237"/>
      <c r="F273" s="655"/>
      <c r="G273" s="655"/>
    </row>
    <row r="274">
      <c r="D274" s="1237"/>
      <c r="F274" s="655"/>
      <c r="G274" s="655"/>
    </row>
    <row r="275">
      <c r="D275" s="1237"/>
      <c r="F275" s="655"/>
      <c r="G275" s="655"/>
    </row>
    <row r="276">
      <c r="D276" s="1237"/>
      <c r="F276" s="655"/>
      <c r="G276" s="655"/>
    </row>
    <row r="277">
      <c r="D277" s="1237"/>
      <c r="F277" s="655"/>
      <c r="G277" s="655"/>
    </row>
    <row r="278">
      <c r="D278" s="1237"/>
      <c r="F278" s="655"/>
      <c r="G278" s="655"/>
    </row>
    <row r="279">
      <c r="D279" s="1237"/>
      <c r="F279" s="655"/>
      <c r="G279" s="655"/>
    </row>
    <row r="280">
      <c r="D280" s="1237"/>
      <c r="F280" s="655"/>
      <c r="G280" s="655"/>
    </row>
    <row r="281">
      <c r="D281" s="1237"/>
      <c r="F281" s="655"/>
      <c r="G281" s="655"/>
    </row>
    <row r="282">
      <c r="D282" s="1237"/>
      <c r="F282" s="655"/>
      <c r="G282" s="655"/>
    </row>
    <row r="283">
      <c r="D283" s="1237"/>
      <c r="F283" s="655"/>
      <c r="G283" s="655"/>
    </row>
    <row r="284">
      <c r="D284" s="1237"/>
      <c r="F284" s="655"/>
      <c r="G284" s="655"/>
    </row>
    <row r="285">
      <c r="D285" s="1237"/>
      <c r="F285" s="655"/>
      <c r="G285" s="655"/>
    </row>
    <row r="286">
      <c r="D286" s="1237"/>
      <c r="F286" s="655"/>
      <c r="G286" s="655"/>
    </row>
    <row r="287">
      <c r="D287" s="1237"/>
      <c r="F287" s="655"/>
      <c r="G287" s="655"/>
    </row>
    <row r="288">
      <c r="D288" s="1237"/>
      <c r="F288" s="655"/>
      <c r="G288" s="655"/>
    </row>
    <row r="289">
      <c r="D289" s="1237"/>
      <c r="F289" s="655"/>
      <c r="G289" s="655"/>
    </row>
    <row r="290">
      <c r="D290" s="1237"/>
      <c r="F290" s="655"/>
      <c r="G290" s="655"/>
    </row>
    <row r="291">
      <c r="D291" s="1237"/>
      <c r="F291" s="655"/>
      <c r="G291" s="655"/>
    </row>
    <row r="292">
      <c r="D292" s="1237"/>
      <c r="F292" s="655"/>
      <c r="G292" s="655"/>
    </row>
    <row r="293">
      <c r="D293" s="1237"/>
      <c r="F293" s="655"/>
      <c r="G293" s="655"/>
    </row>
    <row r="294">
      <c r="D294" s="1237"/>
      <c r="F294" s="655"/>
      <c r="G294" s="655"/>
    </row>
    <row r="295">
      <c r="D295" s="1237"/>
      <c r="F295" s="655"/>
      <c r="G295" s="655"/>
    </row>
    <row r="296">
      <c r="D296" s="1237"/>
      <c r="F296" s="655"/>
      <c r="G296" s="655"/>
    </row>
    <row r="297">
      <c r="D297" s="1237"/>
      <c r="F297" s="655"/>
      <c r="G297" s="655"/>
    </row>
    <row r="298">
      <c r="D298" s="1237"/>
      <c r="F298" s="655"/>
      <c r="G298" s="655"/>
    </row>
    <row r="299">
      <c r="D299" s="1237"/>
      <c r="F299" s="655"/>
      <c r="G299" s="655"/>
    </row>
    <row r="300">
      <c r="D300" s="1237"/>
      <c r="F300" s="655"/>
      <c r="G300" s="655"/>
    </row>
    <row r="301">
      <c r="D301" s="1237"/>
      <c r="F301" s="655"/>
      <c r="G301" s="655"/>
    </row>
    <row r="302">
      <c r="D302" s="1237"/>
      <c r="F302" s="655"/>
      <c r="G302" s="655"/>
    </row>
    <row r="303">
      <c r="D303" s="1237"/>
      <c r="F303" s="655"/>
      <c r="G303" s="655"/>
    </row>
    <row r="304">
      <c r="D304" s="1237"/>
      <c r="F304" s="655"/>
      <c r="G304" s="655"/>
    </row>
    <row r="305">
      <c r="D305" s="1237"/>
      <c r="F305" s="655"/>
      <c r="G305" s="655"/>
    </row>
    <row r="306">
      <c r="D306" s="1237"/>
      <c r="F306" s="655"/>
      <c r="G306" s="655"/>
    </row>
    <row r="307">
      <c r="D307" s="1237"/>
      <c r="F307" s="655"/>
      <c r="G307" s="655"/>
    </row>
    <row r="308">
      <c r="D308" s="1237"/>
      <c r="F308" s="655"/>
      <c r="G308" s="655"/>
    </row>
    <row r="309">
      <c r="D309" s="1237"/>
      <c r="F309" s="655"/>
      <c r="G309" s="655"/>
    </row>
    <row r="310">
      <c r="D310" s="1237"/>
      <c r="F310" s="655"/>
      <c r="G310" s="655"/>
    </row>
    <row r="311">
      <c r="D311" s="1237"/>
      <c r="F311" s="655"/>
      <c r="G311" s="655"/>
    </row>
    <row r="312">
      <c r="D312" s="1237"/>
      <c r="F312" s="655"/>
      <c r="G312" s="655"/>
    </row>
    <row r="313">
      <c r="D313" s="1237"/>
      <c r="F313" s="655"/>
      <c r="G313" s="655"/>
    </row>
    <row r="314">
      <c r="D314" s="1237"/>
      <c r="F314" s="655"/>
      <c r="G314" s="655"/>
    </row>
    <row r="315">
      <c r="D315" s="1237"/>
      <c r="F315" s="655"/>
      <c r="G315" s="655"/>
    </row>
    <row r="316">
      <c r="D316" s="1237"/>
      <c r="F316" s="655"/>
      <c r="G316" s="655"/>
    </row>
    <row r="317">
      <c r="D317" s="1237"/>
      <c r="F317" s="655"/>
      <c r="G317" s="655"/>
    </row>
    <row r="318">
      <c r="D318" s="1237"/>
      <c r="F318" s="655"/>
      <c r="G318" s="655"/>
    </row>
    <row r="319">
      <c r="D319" s="1237"/>
      <c r="F319" s="655"/>
      <c r="G319" s="655"/>
    </row>
    <row r="320">
      <c r="D320" s="1237"/>
      <c r="F320" s="655"/>
      <c r="G320" s="655"/>
    </row>
    <row r="321">
      <c r="D321" s="1237"/>
      <c r="F321" s="655"/>
      <c r="G321" s="655"/>
    </row>
    <row r="322">
      <c r="D322" s="1237"/>
      <c r="F322" s="655"/>
      <c r="G322" s="655"/>
    </row>
    <row r="323">
      <c r="D323" s="1237"/>
      <c r="F323" s="655"/>
      <c r="G323" s="655"/>
    </row>
    <row r="324">
      <c r="D324" s="1237"/>
      <c r="F324" s="655"/>
      <c r="G324" s="655"/>
    </row>
    <row r="325">
      <c r="D325" s="1237"/>
      <c r="F325" s="655"/>
      <c r="G325" s="655"/>
    </row>
    <row r="326">
      <c r="D326" s="1237"/>
      <c r="F326" s="655"/>
      <c r="G326" s="655"/>
    </row>
    <row r="327">
      <c r="D327" s="1237"/>
      <c r="F327" s="655"/>
      <c r="G327" s="655"/>
    </row>
    <row r="328">
      <c r="D328" s="1237"/>
      <c r="F328" s="655"/>
      <c r="G328" s="655"/>
    </row>
    <row r="329">
      <c r="D329" s="1237"/>
      <c r="F329" s="655"/>
      <c r="G329" s="655"/>
    </row>
    <row r="330">
      <c r="D330" s="1237"/>
      <c r="F330" s="655"/>
      <c r="G330" s="655"/>
    </row>
    <row r="331">
      <c r="D331" s="1237"/>
      <c r="F331" s="655"/>
      <c r="G331" s="655"/>
    </row>
    <row r="332">
      <c r="D332" s="1237"/>
      <c r="F332" s="655"/>
      <c r="G332" s="655"/>
    </row>
    <row r="333">
      <c r="D333" s="1237"/>
      <c r="F333" s="655"/>
      <c r="G333" s="655"/>
    </row>
    <row r="334">
      <c r="D334" s="1237"/>
      <c r="F334" s="655"/>
      <c r="G334" s="655"/>
    </row>
    <row r="335">
      <c r="D335" s="1237"/>
      <c r="F335" s="655"/>
      <c r="G335" s="655"/>
    </row>
    <row r="336">
      <c r="D336" s="1237"/>
      <c r="F336" s="655"/>
      <c r="G336" s="655"/>
    </row>
    <row r="337">
      <c r="D337" s="1237"/>
      <c r="F337" s="655"/>
      <c r="G337" s="655"/>
    </row>
    <row r="338">
      <c r="D338" s="1237"/>
      <c r="F338" s="655"/>
      <c r="G338" s="655"/>
    </row>
    <row r="339">
      <c r="D339" s="1237"/>
      <c r="F339" s="655"/>
      <c r="G339" s="655"/>
    </row>
    <row r="340">
      <c r="D340" s="1237"/>
      <c r="F340" s="655"/>
      <c r="G340" s="655"/>
    </row>
    <row r="341">
      <c r="D341" s="1237"/>
      <c r="F341" s="655"/>
      <c r="G341" s="655"/>
    </row>
    <row r="342">
      <c r="D342" s="1237"/>
      <c r="F342" s="655"/>
      <c r="G342" s="655"/>
    </row>
    <row r="343">
      <c r="D343" s="1237"/>
      <c r="F343" s="655"/>
      <c r="G343" s="655"/>
    </row>
    <row r="344">
      <c r="D344" s="1237"/>
      <c r="F344" s="655"/>
      <c r="G344" s="655"/>
    </row>
    <row r="345">
      <c r="D345" s="1237"/>
      <c r="F345" s="655"/>
      <c r="G345" s="655"/>
    </row>
    <row r="346">
      <c r="D346" s="1237"/>
      <c r="F346" s="655"/>
      <c r="G346" s="655"/>
    </row>
    <row r="347">
      <c r="D347" s="1237"/>
      <c r="F347" s="655"/>
      <c r="G347" s="655"/>
    </row>
    <row r="348">
      <c r="D348" s="1237"/>
      <c r="F348" s="655"/>
      <c r="G348" s="655"/>
    </row>
    <row r="349">
      <c r="D349" s="1237"/>
      <c r="F349" s="655"/>
      <c r="G349" s="655"/>
    </row>
    <row r="350">
      <c r="D350" s="1237"/>
      <c r="F350" s="655"/>
      <c r="G350" s="655"/>
    </row>
    <row r="351">
      <c r="D351" s="1237"/>
      <c r="F351" s="655"/>
      <c r="G351" s="655"/>
    </row>
    <row r="352">
      <c r="D352" s="1237"/>
      <c r="F352" s="655"/>
      <c r="G352" s="655"/>
    </row>
    <row r="353">
      <c r="D353" s="1237"/>
      <c r="F353" s="655"/>
      <c r="G353" s="655"/>
    </row>
    <row r="354">
      <c r="D354" s="1237"/>
      <c r="F354" s="655"/>
      <c r="G354" s="655"/>
    </row>
    <row r="355">
      <c r="D355" s="1237"/>
      <c r="F355" s="655"/>
      <c r="G355" s="655"/>
    </row>
    <row r="356">
      <c r="D356" s="1237"/>
      <c r="F356" s="655"/>
      <c r="G356" s="655"/>
    </row>
    <row r="357">
      <c r="D357" s="1237"/>
      <c r="F357" s="655"/>
      <c r="G357" s="655"/>
    </row>
    <row r="358">
      <c r="D358" s="1237"/>
      <c r="F358" s="655"/>
      <c r="G358" s="655"/>
    </row>
    <row r="359">
      <c r="D359" s="1237"/>
      <c r="F359" s="655"/>
      <c r="G359" s="655"/>
    </row>
    <row r="360">
      <c r="D360" s="1237"/>
      <c r="F360" s="655"/>
      <c r="G360" s="655"/>
    </row>
    <row r="361">
      <c r="D361" s="1237"/>
      <c r="F361" s="655"/>
      <c r="G361" s="655"/>
    </row>
    <row r="362">
      <c r="D362" s="1237"/>
      <c r="F362" s="655"/>
      <c r="G362" s="655"/>
    </row>
    <row r="363">
      <c r="D363" s="1237"/>
      <c r="F363" s="655"/>
      <c r="G363" s="655"/>
    </row>
    <row r="364">
      <c r="D364" s="1237"/>
      <c r="F364" s="655"/>
      <c r="G364" s="655"/>
    </row>
    <row r="365">
      <c r="D365" s="1237"/>
      <c r="F365" s="655"/>
      <c r="G365" s="655"/>
    </row>
    <row r="366">
      <c r="D366" s="1237"/>
      <c r="F366" s="655"/>
      <c r="G366" s="655"/>
    </row>
    <row r="367">
      <c r="D367" s="1237"/>
      <c r="F367" s="655"/>
      <c r="G367" s="655"/>
    </row>
    <row r="368">
      <c r="D368" s="1237"/>
      <c r="F368" s="655"/>
      <c r="G368" s="655"/>
    </row>
    <row r="369">
      <c r="D369" s="1237"/>
      <c r="F369" s="655"/>
      <c r="G369" s="655"/>
    </row>
    <row r="370">
      <c r="D370" s="1237"/>
      <c r="F370" s="655"/>
      <c r="G370" s="655"/>
    </row>
    <row r="371">
      <c r="D371" s="1237"/>
      <c r="F371" s="655"/>
      <c r="G371" s="655"/>
    </row>
    <row r="372">
      <c r="D372" s="1237"/>
      <c r="F372" s="655"/>
      <c r="G372" s="655"/>
    </row>
    <row r="373">
      <c r="D373" s="1237"/>
      <c r="F373" s="655"/>
      <c r="G373" s="655"/>
    </row>
    <row r="374">
      <c r="D374" s="1237"/>
      <c r="F374" s="655"/>
      <c r="G374" s="655"/>
    </row>
    <row r="375">
      <c r="D375" s="1237"/>
      <c r="F375" s="655"/>
      <c r="G375" s="655"/>
    </row>
    <row r="376">
      <c r="D376" s="1237"/>
      <c r="F376" s="655"/>
      <c r="G376" s="655"/>
    </row>
    <row r="377">
      <c r="D377" s="1237"/>
      <c r="F377" s="655"/>
      <c r="G377" s="655"/>
    </row>
    <row r="378">
      <c r="D378" s="1237"/>
      <c r="F378" s="655"/>
      <c r="G378" s="655"/>
    </row>
    <row r="379">
      <c r="D379" s="1237"/>
      <c r="F379" s="655"/>
      <c r="G379" s="655"/>
    </row>
    <row r="380">
      <c r="D380" s="1237"/>
      <c r="F380" s="655"/>
      <c r="G380" s="655"/>
    </row>
    <row r="381">
      <c r="D381" s="1237"/>
      <c r="F381" s="655"/>
      <c r="G381" s="655"/>
    </row>
    <row r="382">
      <c r="D382" s="1237"/>
      <c r="F382" s="655"/>
      <c r="G382" s="655"/>
    </row>
    <row r="383">
      <c r="D383" s="1237"/>
      <c r="F383" s="655"/>
      <c r="G383" s="655"/>
    </row>
    <row r="384">
      <c r="D384" s="1237"/>
      <c r="F384" s="655"/>
      <c r="G384" s="655"/>
    </row>
    <row r="385">
      <c r="D385" s="1237"/>
      <c r="F385" s="655"/>
      <c r="G385" s="655"/>
    </row>
    <row r="386">
      <c r="D386" s="1237"/>
      <c r="F386" s="655"/>
      <c r="G386" s="655"/>
    </row>
    <row r="387">
      <c r="D387" s="1237"/>
      <c r="F387" s="655"/>
      <c r="G387" s="655"/>
    </row>
    <row r="388">
      <c r="D388" s="1237"/>
      <c r="F388" s="655"/>
      <c r="G388" s="655"/>
    </row>
    <row r="389">
      <c r="D389" s="1237"/>
      <c r="F389" s="655"/>
      <c r="G389" s="655"/>
    </row>
    <row r="390">
      <c r="D390" s="1237"/>
      <c r="F390" s="655"/>
      <c r="G390" s="655"/>
    </row>
    <row r="391">
      <c r="D391" s="1237"/>
      <c r="F391" s="655"/>
      <c r="G391" s="655"/>
    </row>
    <row r="392">
      <c r="D392" s="1237"/>
      <c r="F392" s="655"/>
      <c r="G392" s="655"/>
    </row>
    <row r="393">
      <c r="D393" s="1237"/>
      <c r="F393" s="655"/>
      <c r="G393" s="655"/>
    </row>
    <row r="394">
      <c r="D394" s="1237"/>
      <c r="F394" s="655"/>
      <c r="G394" s="655"/>
    </row>
    <row r="395">
      <c r="D395" s="1237"/>
      <c r="F395" s="655"/>
      <c r="G395" s="655"/>
    </row>
    <row r="396">
      <c r="D396" s="1237"/>
      <c r="F396" s="655"/>
      <c r="G396" s="655"/>
    </row>
    <row r="397">
      <c r="D397" s="1237"/>
      <c r="F397" s="655"/>
      <c r="G397" s="655"/>
    </row>
    <row r="398">
      <c r="D398" s="1237"/>
      <c r="F398" s="655"/>
      <c r="G398" s="655"/>
    </row>
    <row r="399">
      <c r="D399" s="1237"/>
      <c r="F399" s="655"/>
      <c r="G399" s="655"/>
    </row>
    <row r="400">
      <c r="D400" s="1237"/>
      <c r="F400" s="655"/>
      <c r="G400" s="655"/>
    </row>
    <row r="401">
      <c r="D401" s="1237"/>
      <c r="F401" s="655"/>
      <c r="G401" s="655"/>
    </row>
    <row r="402">
      <c r="D402" s="1237"/>
      <c r="F402" s="655"/>
      <c r="G402" s="655"/>
    </row>
    <row r="403">
      <c r="D403" s="1237"/>
      <c r="F403" s="655"/>
      <c r="G403" s="655"/>
    </row>
    <row r="404">
      <c r="D404" s="1237"/>
      <c r="F404" s="655"/>
      <c r="G404" s="655"/>
    </row>
    <row r="405">
      <c r="D405" s="1237"/>
      <c r="F405" s="655"/>
      <c r="G405" s="655"/>
    </row>
    <row r="406">
      <c r="D406" s="1237"/>
      <c r="F406" s="655"/>
      <c r="G406" s="655"/>
    </row>
    <row r="407">
      <c r="D407" s="1237"/>
      <c r="F407" s="655"/>
      <c r="G407" s="655"/>
    </row>
    <row r="408">
      <c r="D408" s="1237"/>
      <c r="F408" s="655"/>
      <c r="G408" s="655"/>
    </row>
    <row r="409">
      <c r="D409" s="1237"/>
      <c r="F409" s="655"/>
      <c r="G409" s="655"/>
    </row>
    <row r="410">
      <c r="D410" s="1237"/>
      <c r="F410" s="655"/>
      <c r="G410" s="655"/>
    </row>
    <row r="411">
      <c r="D411" s="1237"/>
      <c r="F411" s="655"/>
      <c r="G411" s="655"/>
    </row>
    <row r="412">
      <c r="D412" s="1237"/>
      <c r="F412" s="655"/>
      <c r="G412" s="655"/>
    </row>
    <row r="413">
      <c r="D413" s="1237"/>
      <c r="F413" s="655"/>
      <c r="G413" s="655"/>
    </row>
    <row r="414">
      <c r="D414" s="1237"/>
      <c r="F414" s="655"/>
      <c r="G414" s="655"/>
    </row>
    <row r="415">
      <c r="D415" s="1237"/>
      <c r="F415" s="655"/>
      <c r="G415" s="655"/>
    </row>
    <row r="416">
      <c r="D416" s="1237"/>
      <c r="F416" s="655"/>
      <c r="G416" s="655"/>
    </row>
    <row r="417">
      <c r="D417" s="1237"/>
      <c r="F417" s="655"/>
      <c r="G417" s="655"/>
    </row>
    <row r="418">
      <c r="D418" s="1237"/>
      <c r="F418" s="655"/>
      <c r="G418" s="655"/>
    </row>
    <row r="419">
      <c r="D419" s="1237"/>
      <c r="F419" s="655"/>
      <c r="G419" s="655"/>
    </row>
    <row r="420">
      <c r="D420" s="1237"/>
      <c r="F420" s="655"/>
      <c r="G420" s="655"/>
    </row>
    <row r="421">
      <c r="D421" s="1237"/>
      <c r="F421" s="655"/>
      <c r="G421" s="655"/>
    </row>
    <row r="422">
      <c r="D422" s="1237"/>
      <c r="F422" s="655"/>
      <c r="G422" s="655"/>
    </row>
    <row r="423">
      <c r="D423" s="1237"/>
      <c r="F423" s="655"/>
      <c r="G423" s="655"/>
    </row>
    <row r="424">
      <c r="D424" s="1237"/>
      <c r="F424" s="655"/>
      <c r="G424" s="655"/>
    </row>
    <row r="425">
      <c r="D425" s="1237"/>
      <c r="F425" s="655"/>
      <c r="G425" s="655"/>
    </row>
    <row r="426">
      <c r="D426" s="1237"/>
      <c r="F426" s="655"/>
      <c r="G426" s="655"/>
    </row>
    <row r="427">
      <c r="D427" s="1237"/>
      <c r="F427" s="655"/>
      <c r="G427" s="655"/>
    </row>
    <row r="428">
      <c r="D428" s="1237"/>
      <c r="F428" s="655"/>
      <c r="G428" s="655"/>
    </row>
    <row r="429">
      <c r="D429" s="1237"/>
      <c r="F429" s="655"/>
      <c r="G429" s="655"/>
    </row>
    <row r="430">
      <c r="D430" s="1237"/>
      <c r="F430" s="655"/>
      <c r="G430" s="655"/>
    </row>
    <row r="431">
      <c r="D431" s="1237"/>
      <c r="F431" s="655"/>
      <c r="G431" s="655"/>
    </row>
    <row r="432">
      <c r="D432" s="1237"/>
      <c r="F432" s="655"/>
      <c r="G432" s="655"/>
    </row>
    <row r="433">
      <c r="D433" s="1237"/>
      <c r="F433" s="655"/>
      <c r="G433" s="655"/>
    </row>
    <row r="434">
      <c r="D434" s="1237"/>
      <c r="F434" s="655"/>
      <c r="G434" s="655"/>
    </row>
    <row r="435">
      <c r="D435" s="1237"/>
      <c r="F435" s="655"/>
      <c r="G435" s="655"/>
    </row>
    <row r="436">
      <c r="D436" s="1237"/>
      <c r="F436" s="655"/>
      <c r="G436" s="655"/>
    </row>
    <row r="437">
      <c r="D437" s="1237"/>
      <c r="F437" s="655"/>
      <c r="G437" s="655"/>
    </row>
    <row r="438">
      <c r="D438" s="1237"/>
      <c r="F438" s="655"/>
      <c r="G438" s="655"/>
    </row>
    <row r="439">
      <c r="D439" s="1237"/>
      <c r="F439" s="655"/>
      <c r="G439" s="655"/>
    </row>
    <row r="440">
      <c r="D440" s="1237"/>
      <c r="F440" s="655"/>
      <c r="G440" s="655"/>
    </row>
    <row r="441">
      <c r="D441" s="1237"/>
      <c r="F441" s="655"/>
      <c r="G441" s="655"/>
    </row>
    <row r="442">
      <c r="D442" s="1237"/>
      <c r="F442" s="655"/>
      <c r="G442" s="655"/>
    </row>
    <row r="443">
      <c r="D443" s="1237"/>
      <c r="F443" s="655"/>
      <c r="G443" s="655"/>
    </row>
    <row r="444">
      <c r="D444" s="1237"/>
      <c r="F444" s="655"/>
      <c r="G444" s="655"/>
    </row>
    <row r="445">
      <c r="D445" s="1237"/>
      <c r="F445" s="655"/>
      <c r="G445" s="655"/>
    </row>
    <row r="446">
      <c r="D446" s="1237"/>
      <c r="F446" s="655"/>
      <c r="G446" s="655"/>
    </row>
    <row r="447">
      <c r="D447" s="1237"/>
      <c r="F447" s="655"/>
      <c r="G447" s="655"/>
    </row>
    <row r="448">
      <c r="D448" s="1237"/>
      <c r="F448" s="655"/>
      <c r="G448" s="655"/>
    </row>
    <row r="449">
      <c r="D449" s="1237"/>
      <c r="F449" s="655"/>
      <c r="G449" s="655"/>
    </row>
    <row r="450">
      <c r="D450" s="1237"/>
      <c r="F450" s="655"/>
      <c r="G450" s="655"/>
    </row>
    <row r="451">
      <c r="D451" s="1237"/>
      <c r="F451" s="655"/>
      <c r="G451" s="655"/>
    </row>
    <row r="452">
      <c r="D452" s="1237"/>
      <c r="F452" s="655"/>
      <c r="G452" s="655"/>
    </row>
    <row r="453">
      <c r="D453" s="1237"/>
      <c r="F453" s="655"/>
      <c r="G453" s="655"/>
    </row>
    <row r="454">
      <c r="D454" s="1237"/>
      <c r="F454" s="655"/>
      <c r="G454" s="655"/>
    </row>
    <row r="455">
      <c r="D455" s="1237"/>
      <c r="F455" s="655"/>
      <c r="G455" s="655"/>
    </row>
    <row r="456">
      <c r="D456" s="1237"/>
      <c r="F456" s="655"/>
      <c r="G456" s="655"/>
    </row>
    <row r="457">
      <c r="D457" s="1237"/>
      <c r="F457" s="655"/>
      <c r="G457" s="655"/>
    </row>
    <row r="458">
      <c r="D458" s="1237"/>
      <c r="F458" s="655"/>
      <c r="G458" s="655"/>
    </row>
    <row r="459">
      <c r="D459" s="1237"/>
      <c r="F459" s="655"/>
      <c r="G459" s="655"/>
    </row>
    <row r="460">
      <c r="D460" s="1237"/>
      <c r="F460" s="655"/>
      <c r="G460" s="655"/>
    </row>
    <row r="461">
      <c r="D461" s="1237"/>
      <c r="F461" s="655"/>
      <c r="G461" s="655"/>
    </row>
    <row r="462">
      <c r="D462" s="1237"/>
      <c r="F462" s="655"/>
      <c r="G462" s="655"/>
    </row>
    <row r="463">
      <c r="D463" s="1237"/>
      <c r="F463" s="655"/>
      <c r="G463" s="655"/>
    </row>
    <row r="464">
      <c r="D464" s="1237"/>
      <c r="F464" s="655"/>
      <c r="G464" s="655"/>
    </row>
    <row r="465">
      <c r="D465" s="1237"/>
      <c r="F465" s="655"/>
      <c r="G465" s="655"/>
    </row>
    <row r="466">
      <c r="D466" s="1237"/>
      <c r="F466" s="655"/>
      <c r="G466" s="655"/>
    </row>
    <row r="467">
      <c r="D467" s="1237"/>
      <c r="F467" s="655"/>
      <c r="G467" s="655"/>
    </row>
    <row r="468">
      <c r="D468" s="1237"/>
      <c r="F468" s="655"/>
      <c r="G468" s="655"/>
    </row>
    <row r="469">
      <c r="D469" s="1237"/>
      <c r="F469" s="655"/>
      <c r="G469" s="655"/>
    </row>
    <row r="470">
      <c r="D470" s="1237"/>
      <c r="F470" s="655"/>
      <c r="G470" s="655"/>
    </row>
    <row r="471">
      <c r="D471" s="1237"/>
      <c r="F471" s="655"/>
      <c r="G471" s="655"/>
    </row>
    <row r="472">
      <c r="D472" s="1237"/>
      <c r="F472" s="655"/>
      <c r="G472" s="655"/>
    </row>
    <row r="473">
      <c r="D473" s="1237"/>
      <c r="F473" s="655"/>
      <c r="G473" s="655"/>
    </row>
    <row r="474">
      <c r="D474" s="1237"/>
      <c r="F474" s="655"/>
      <c r="G474" s="655"/>
    </row>
    <row r="475">
      <c r="D475" s="1237"/>
      <c r="F475" s="655"/>
      <c r="G475" s="655"/>
    </row>
    <row r="476">
      <c r="D476" s="1237"/>
      <c r="F476" s="655"/>
      <c r="G476" s="655"/>
    </row>
    <row r="477">
      <c r="D477" s="1237"/>
      <c r="F477" s="655"/>
      <c r="G477" s="655"/>
    </row>
    <row r="478">
      <c r="D478" s="1237"/>
      <c r="F478" s="655"/>
      <c r="G478" s="655"/>
    </row>
    <row r="479">
      <c r="D479" s="1237"/>
      <c r="F479" s="655"/>
      <c r="G479" s="655"/>
    </row>
    <row r="480">
      <c r="D480" s="1237"/>
      <c r="F480" s="655"/>
      <c r="G480" s="655"/>
    </row>
    <row r="481">
      <c r="D481" s="1237"/>
      <c r="F481" s="655"/>
      <c r="G481" s="655"/>
    </row>
    <row r="482">
      <c r="D482" s="1237"/>
      <c r="F482" s="655"/>
      <c r="G482" s="655"/>
    </row>
    <row r="483">
      <c r="D483" s="1237"/>
      <c r="F483" s="655"/>
      <c r="G483" s="655"/>
    </row>
    <row r="484">
      <c r="D484" s="1237"/>
      <c r="F484" s="655"/>
      <c r="G484" s="655"/>
    </row>
    <row r="485">
      <c r="D485" s="1237"/>
      <c r="F485" s="655"/>
      <c r="G485" s="655"/>
    </row>
    <row r="486">
      <c r="D486" s="1237"/>
      <c r="F486" s="655"/>
      <c r="G486" s="655"/>
    </row>
    <row r="487">
      <c r="D487" s="1237"/>
      <c r="F487" s="655"/>
      <c r="G487" s="655"/>
    </row>
    <row r="488">
      <c r="D488" s="1237"/>
      <c r="F488" s="655"/>
      <c r="G488" s="655"/>
    </row>
    <row r="489">
      <c r="D489" s="1237"/>
      <c r="F489" s="655"/>
      <c r="G489" s="655"/>
    </row>
    <row r="490">
      <c r="D490" s="1237"/>
      <c r="F490" s="655"/>
      <c r="G490" s="655"/>
    </row>
    <row r="491">
      <c r="D491" s="1237"/>
      <c r="F491" s="655"/>
      <c r="G491" s="655"/>
    </row>
    <row r="492">
      <c r="D492" s="1237"/>
      <c r="F492" s="655"/>
      <c r="G492" s="655"/>
    </row>
    <row r="493">
      <c r="D493" s="1237"/>
      <c r="F493" s="655"/>
      <c r="G493" s="655"/>
    </row>
    <row r="494">
      <c r="D494" s="1237"/>
      <c r="F494" s="655"/>
      <c r="G494" s="655"/>
    </row>
    <row r="495">
      <c r="D495" s="1237"/>
      <c r="F495" s="655"/>
      <c r="G495" s="655"/>
    </row>
    <row r="496">
      <c r="D496" s="1237"/>
      <c r="F496" s="655"/>
      <c r="G496" s="655"/>
    </row>
    <row r="497">
      <c r="D497" s="1237"/>
      <c r="F497" s="655"/>
      <c r="G497" s="655"/>
    </row>
    <row r="498">
      <c r="D498" s="1237"/>
      <c r="F498" s="655"/>
      <c r="G498" s="655"/>
    </row>
    <row r="499">
      <c r="D499" s="1237"/>
      <c r="F499" s="655"/>
      <c r="G499" s="655"/>
    </row>
    <row r="500">
      <c r="D500" s="1237"/>
      <c r="F500" s="655"/>
      <c r="G500" s="655"/>
    </row>
    <row r="501">
      <c r="D501" s="1237"/>
      <c r="F501" s="655"/>
      <c r="G501" s="655"/>
    </row>
    <row r="502">
      <c r="D502" s="1237"/>
      <c r="F502" s="655"/>
      <c r="G502" s="655"/>
    </row>
    <row r="503">
      <c r="D503" s="1237"/>
      <c r="F503" s="655"/>
      <c r="G503" s="655"/>
    </row>
    <row r="504">
      <c r="D504" s="1237"/>
      <c r="F504" s="655"/>
      <c r="G504" s="655"/>
    </row>
    <row r="505">
      <c r="D505" s="1237"/>
      <c r="F505" s="655"/>
      <c r="G505" s="655"/>
    </row>
    <row r="506">
      <c r="D506" s="1237"/>
      <c r="F506" s="655"/>
      <c r="G506" s="655"/>
    </row>
    <row r="507">
      <c r="D507" s="1237"/>
      <c r="F507" s="655"/>
      <c r="G507" s="655"/>
    </row>
    <row r="508">
      <c r="D508" s="1237"/>
      <c r="F508" s="655"/>
      <c r="G508" s="655"/>
    </row>
    <row r="509">
      <c r="D509" s="1237"/>
      <c r="F509" s="655"/>
      <c r="G509" s="655"/>
    </row>
    <row r="510">
      <c r="D510" s="1237"/>
      <c r="F510" s="655"/>
      <c r="G510" s="655"/>
    </row>
    <row r="511">
      <c r="D511" s="1237"/>
      <c r="F511" s="655"/>
      <c r="G511" s="655"/>
    </row>
    <row r="512">
      <c r="D512" s="1237"/>
      <c r="F512" s="655"/>
      <c r="G512" s="655"/>
    </row>
    <row r="513">
      <c r="D513" s="1237"/>
      <c r="F513" s="655"/>
      <c r="G513" s="655"/>
    </row>
    <row r="514">
      <c r="D514" s="1237"/>
      <c r="F514" s="655"/>
      <c r="G514" s="655"/>
    </row>
    <row r="515">
      <c r="D515" s="1237"/>
      <c r="F515" s="655"/>
      <c r="G515" s="655"/>
    </row>
    <row r="516">
      <c r="D516" s="1237"/>
      <c r="F516" s="655"/>
      <c r="G516" s="655"/>
    </row>
    <row r="517">
      <c r="D517" s="1237"/>
      <c r="F517" s="655"/>
      <c r="G517" s="655"/>
    </row>
    <row r="518">
      <c r="D518" s="1237"/>
      <c r="F518" s="655"/>
      <c r="G518" s="655"/>
    </row>
    <row r="519">
      <c r="D519" s="1237"/>
      <c r="F519" s="655"/>
      <c r="G519" s="655"/>
    </row>
    <row r="520">
      <c r="D520" s="1237"/>
      <c r="F520" s="655"/>
      <c r="G520" s="655"/>
    </row>
    <row r="521">
      <c r="D521" s="1237"/>
      <c r="F521" s="655"/>
      <c r="G521" s="655"/>
    </row>
    <row r="522">
      <c r="D522" s="1237"/>
      <c r="F522" s="655"/>
      <c r="G522" s="655"/>
    </row>
    <row r="523">
      <c r="D523" s="1237"/>
      <c r="F523" s="655"/>
      <c r="G523" s="655"/>
    </row>
    <row r="524">
      <c r="D524" s="1237"/>
      <c r="F524" s="655"/>
      <c r="G524" s="655"/>
    </row>
    <row r="525">
      <c r="D525" s="1237"/>
      <c r="F525" s="655"/>
      <c r="G525" s="655"/>
    </row>
    <row r="526">
      <c r="D526" s="1237"/>
      <c r="F526" s="655"/>
      <c r="G526" s="655"/>
    </row>
    <row r="527">
      <c r="D527" s="1237"/>
      <c r="F527" s="655"/>
      <c r="G527" s="655"/>
    </row>
    <row r="528">
      <c r="D528" s="1237"/>
      <c r="F528" s="655"/>
      <c r="G528" s="655"/>
    </row>
    <row r="529">
      <c r="D529" s="1237"/>
      <c r="F529" s="655"/>
      <c r="G529" s="655"/>
    </row>
    <row r="530">
      <c r="D530" s="1237"/>
      <c r="F530" s="655"/>
      <c r="G530" s="655"/>
    </row>
    <row r="531">
      <c r="D531" s="1237"/>
      <c r="F531" s="655"/>
      <c r="G531" s="655"/>
    </row>
    <row r="532">
      <c r="D532" s="1237"/>
      <c r="F532" s="655"/>
      <c r="G532" s="655"/>
    </row>
    <row r="533">
      <c r="D533" s="1237"/>
      <c r="F533" s="655"/>
      <c r="G533" s="655"/>
    </row>
    <row r="534">
      <c r="D534" s="1237"/>
      <c r="F534" s="655"/>
      <c r="G534" s="655"/>
    </row>
    <row r="535">
      <c r="D535" s="1237"/>
      <c r="F535" s="655"/>
      <c r="G535" s="655"/>
    </row>
    <row r="536">
      <c r="D536" s="1237"/>
      <c r="F536" s="655"/>
      <c r="G536" s="655"/>
    </row>
    <row r="537">
      <c r="D537" s="1237"/>
      <c r="F537" s="655"/>
      <c r="G537" s="655"/>
    </row>
    <row r="538">
      <c r="D538" s="1237"/>
      <c r="F538" s="655"/>
      <c r="G538" s="655"/>
    </row>
    <row r="539">
      <c r="D539" s="1237"/>
      <c r="F539" s="655"/>
      <c r="G539" s="655"/>
    </row>
    <row r="540">
      <c r="D540" s="1237"/>
      <c r="F540" s="655"/>
      <c r="G540" s="655"/>
    </row>
    <row r="541">
      <c r="D541" s="1237"/>
      <c r="F541" s="655"/>
      <c r="G541" s="655"/>
    </row>
    <row r="542">
      <c r="D542" s="1237"/>
      <c r="F542" s="655"/>
      <c r="G542" s="655"/>
    </row>
    <row r="543">
      <c r="D543" s="1237"/>
      <c r="F543" s="655"/>
      <c r="G543" s="655"/>
    </row>
    <row r="544">
      <c r="D544" s="1237"/>
      <c r="F544" s="655"/>
      <c r="G544" s="655"/>
    </row>
    <row r="545">
      <c r="D545" s="1237"/>
      <c r="F545" s="655"/>
      <c r="G545" s="655"/>
    </row>
    <row r="546">
      <c r="D546" s="1237"/>
      <c r="F546" s="655"/>
      <c r="G546" s="655"/>
    </row>
    <row r="547">
      <c r="D547" s="1237"/>
      <c r="F547" s="655"/>
      <c r="G547" s="655"/>
    </row>
    <row r="548">
      <c r="D548" s="1237"/>
      <c r="F548" s="655"/>
      <c r="G548" s="655"/>
    </row>
    <row r="549">
      <c r="D549" s="1237"/>
      <c r="F549" s="655"/>
      <c r="G549" s="655"/>
    </row>
    <row r="550">
      <c r="D550" s="1237"/>
      <c r="F550" s="655"/>
      <c r="G550" s="655"/>
    </row>
    <row r="551">
      <c r="D551" s="1237"/>
      <c r="F551" s="655"/>
      <c r="G551" s="655"/>
    </row>
    <row r="552">
      <c r="D552" s="1237"/>
      <c r="F552" s="655"/>
      <c r="G552" s="655"/>
    </row>
    <row r="553">
      <c r="D553" s="1237"/>
      <c r="F553" s="655"/>
      <c r="G553" s="655"/>
    </row>
    <row r="554">
      <c r="D554" s="1237"/>
      <c r="F554" s="655"/>
      <c r="G554" s="655"/>
    </row>
    <row r="555">
      <c r="D555" s="1237"/>
      <c r="F555" s="655"/>
      <c r="G555" s="655"/>
    </row>
    <row r="556">
      <c r="D556" s="1237"/>
      <c r="F556" s="655"/>
      <c r="G556" s="655"/>
    </row>
    <row r="557">
      <c r="D557" s="1237"/>
      <c r="F557" s="655"/>
      <c r="G557" s="655"/>
    </row>
    <row r="558">
      <c r="D558" s="1237"/>
      <c r="F558" s="655"/>
      <c r="G558" s="655"/>
    </row>
    <row r="559">
      <c r="D559" s="1237"/>
      <c r="F559" s="655"/>
      <c r="G559" s="655"/>
    </row>
    <row r="560">
      <c r="D560" s="1237"/>
      <c r="F560" s="655"/>
      <c r="G560" s="655"/>
    </row>
    <row r="561">
      <c r="D561" s="1237"/>
      <c r="F561" s="655"/>
      <c r="G561" s="655"/>
    </row>
    <row r="562">
      <c r="D562" s="1237"/>
      <c r="F562" s="655"/>
      <c r="G562" s="655"/>
    </row>
    <row r="563">
      <c r="D563" s="1237"/>
      <c r="F563" s="655"/>
      <c r="G563" s="655"/>
    </row>
    <row r="564">
      <c r="D564" s="1237"/>
      <c r="F564" s="655"/>
      <c r="G564" s="655"/>
    </row>
    <row r="565">
      <c r="D565" s="1237"/>
      <c r="F565" s="655"/>
      <c r="G565" s="655"/>
    </row>
    <row r="566">
      <c r="D566" s="1237"/>
      <c r="F566" s="655"/>
      <c r="G566" s="655"/>
    </row>
    <row r="567">
      <c r="D567" s="1237"/>
      <c r="F567" s="655"/>
      <c r="G567" s="655"/>
    </row>
    <row r="568">
      <c r="D568" s="1237"/>
      <c r="F568" s="655"/>
      <c r="G568" s="655"/>
    </row>
    <row r="569">
      <c r="D569" s="1237"/>
      <c r="F569" s="655"/>
      <c r="G569" s="655"/>
    </row>
    <row r="570">
      <c r="D570" s="1237"/>
      <c r="F570" s="655"/>
      <c r="G570" s="655"/>
    </row>
    <row r="571">
      <c r="D571" s="1237"/>
      <c r="F571" s="655"/>
      <c r="G571" s="655"/>
    </row>
    <row r="572">
      <c r="D572" s="1237"/>
      <c r="F572" s="655"/>
      <c r="G572" s="655"/>
    </row>
    <row r="573">
      <c r="D573" s="1237"/>
      <c r="F573" s="655"/>
      <c r="G573" s="655"/>
    </row>
    <row r="574">
      <c r="D574" s="1237"/>
      <c r="F574" s="655"/>
      <c r="G574" s="655"/>
    </row>
    <row r="575">
      <c r="D575" s="1237"/>
      <c r="F575" s="655"/>
      <c r="G575" s="655"/>
    </row>
    <row r="576">
      <c r="D576" s="1237"/>
      <c r="F576" s="655"/>
      <c r="G576" s="655"/>
    </row>
    <row r="577">
      <c r="D577" s="1237"/>
      <c r="F577" s="655"/>
      <c r="G577" s="655"/>
    </row>
    <row r="578">
      <c r="D578" s="1237"/>
      <c r="F578" s="655"/>
      <c r="G578" s="655"/>
    </row>
    <row r="579">
      <c r="D579" s="1237"/>
      <c r="F579" s="655"/>
      <c r="G579" s="655"/>
    </row>
    <row r="580">
      <c r="D580" s="1237"/>
      <c r="F580" s="655"/>
      <c r="G580" s="655"/>
    </row>
    <row r="581">
      <c r="D581" s="1237"/>
      <c r="F581" s="655"/>
      <c r="G581" s="655"/>
    </row>
    <row r="582">
      <c r="D582" s="1237"/>
      <c r="F582" s="655"/>
      <c r="G582" s="655"/>
    </row>
    <row r="583">
      <c r="D583" s="1237"/>
      <c r="F583" s="655"/>
      <c r="G583" s="655"/>
    </row>
    <row r="584">
      <c r="D584" s="1237"/>
      <c r="F584" s="655"/>
      <c r="G584" s="655"/>
    </row>
    <row r="585">
      <c r="D585" s="1237"/>
      <c r="F585" s="655"/>
      <c r="G585" s="655"/>
    </row>
    <row r="586">
      <c r="D586" s="1237"/>
      <c r="F586" s="655"/>
      <c r="G586" s="655"/>
    </row>
    <row r="587">
      <c r="D587" s="1237"/>
      <c r="F587" s="655"/>
      <c r="G587" s="655"/>
    </row>
    <row r="588">
      <c r="D588" s="1237"/>
      <c r="F588" s="655"/>
      <c r="G588" s="655"/>
    </row>
    <row r="589">
      <c r="D589" s="1237"/>
      <c r="F589" s="655"/>
      <c r="G589" s="655"/>
    </row>
    <row r="590">
      <c r="D590" s="1237"/>
      <c r="F590" s="655"/>
      <c r="G590" s="655"/>
    </row>
    <row r="591">
      <c r="D591" s="1237"/>
      <c r="F591" s="655"/>
      <c r="G591" s="655"/>
    </row>
    <row r="592">
      <c r="D592" s="1237"/>
      <c r="F592" s="655"/>
      <c r="G592" s="655"/>
    </row>
    <row r="593">
      <c r="D593" s="1237"/>
      <c r="F593" s="655"/>
      <c r="G593" s="655"/>
    </row>
    <row r="594">
      <c r="D594" s="1237"/>
      <c r="F594" s="655"/>
      <c r="G594" s="655"/>
    </row>
    <row r="595">
      <c r="D595" s="1237"/>
      <c r="F595" s="655"/>
      <c r="G595" s="655"/>
    </row>
    <row r="596">
      <c r="D596" s="1237"/>
      <c r="F596" s="655"/>
      <c r="G596" s="655"/>
    </row>
    <row r="597">
      <c r="D597" s="1237"/>
      <c r="F597" s="655"/>
      <c r="G597" s="655"/>
    </row>
    <row r="598">
      <c r="D598" s="1237"/>
      <c r="F598" s="655"/>
      <c r="G598" s="655"/>
    </row>
    <row r="599">
      <c r="D599" s="1237"/>
      <c r="F599" s="655"/>
      <c r="G599" s="655"/>
    </row>
    <row r="600">
      <c r="D600" s="1237"/>
      <c r="F600" s="655"/>
      <c r="G600" s="655"/>
    </row>
    <row r="601">
      <c r="D601" s="1237"/>
      <c r="F601" s="655"/>
      <c r="G601" s="655"/>
    </row>
    <row r="602">
      <c r="D602" s="1237"/>
      <c r="F602" s="655"/>
      <c r="G602" s="655"/>
    </row>
    <row r="603">
      <c r="D603" s="1237"/>
      <c r="F603" s="655"/>
      <c r="G603" s="655"/>
    </row>
    <row r="604">
      <c r="D604" s="1237"/>
      <c r="F604" s="655"/>
      <c r="G604" s="655"/>
    </row>
    <row r="605">
      <c r="D605" s="1237"/>
      <c r="F605" s="655"/>
      <c r="G605" s="655"/>
    </row>
    <row r="606">
      <c r="D606" s="1237"/>
      <c r="F606" s="655"/>
      <c r="G606" s="655"/>
    </row>
    <row r="607">
      <c r="D607" s="1237"/>
      <c r="F607" s="655"/>
      <c r="G607" s="655"/>
    </row>
    <row r="608">
      <c r="D608" s="1237"/>
      <c r="F608" s="655"/>
      <c r="G608" s="655"/>
    </row>
    <row r="609">
      <c r="D609" s="1237"/>
      <c r="F609" s="655"/>
      <c r="G609" s="655"/>
    </row>
    <row r="610">
      <c r="D610" s="1237"/>
      <c r="F610" s="655"/>
      <c r="G610" s="655"/>
    </row>
    <row r="611">
      <c r="D611" s="1237"/>
      <c r="F611" s="655"/>
      <c r="G611" s="655"/>
    </row>
    <row r="612">
      <c r="D612" s="1237"/>
      <c r="F612" s="655"/>
      <c r="G612" s="655"/>
    </row>
    <row r="613">
      <c r="D613" s="1237"/>
      <c r="F613" s="655"/>
      <c r="G613" s="655"/>
    </row>
    <row r="614">
      <c r="D614" s="1237"/>
      <c r="F614" s="655"/>
      <c r="G614" s="655"/>
    </row>
    <row r="615">
      <c r="D615" s="1237"/>
      <c r="F615" s="655"/>
      <c r="G615" s="655"/>
    </row>
    <row r="616">
      <c r="D616" s="1237"/>
      <c r="F616" s="655"/>
      <c r="G616" s="655"/>
    </row>
    <row r="617">
      <c r="D617" s="1237"/>
      <c r="F617" s="655"/>
      <c r="G617" s="655"/>
    </row>
    <row r="618">
      <c r="D618" s="1237"/>
      <c r="F618" s="655"/>
      <c r="G618" s="655"/>
    </row>
    <row r="619">
      <c r="D619" s="1237"/>
      <c r="F619" s="655"/>
      <c r="G619" s="655"/>
    </row>
    <row r="620">
      <c r="D620" s="1237"/>
      <c r="F620" s="655"/>
      <c r="G620" s="655"/>
    </row>
    <row r="621">
      <c r="D621" s="1237"/>
      <c r="F621" s="655"/>
      <c r="G621" s="655"/>
    </row>
    <row r="622">
      <c r="D622" s="1237"/>
      <c r="F622" s="655"/>
      <c r="G622" s="655"/>
    </row>
    <row r="623">
      <c r="D623" s="1237"/>
      <c r="F623" s="655"/>
      <c r="G623" s="655"/>
    </row>
    <row r="624">
      <c r="D624" s="1237"/>
      <c r="F624" s="655"/>
      <c r="G624" s="655"/>
    </row>
    <row r="625">
      <c r="D625" s="1237"/>
      <c r="F625" s="655"/>
      <c r="G625" s="655"/>
    </row>
    <row r="626">
      <c r="D626" s="1237"/>
      <c r="F626" s="655"/>
      <c r="G626" s="655"/>
    </row>
    <row r="627">
      <c r="D627" s="1237"/>
      <c r="F627" s="655"/>
      <c r="G627" s="655"/>
    </row>
    <row r="628">
      <c r="D628" s="1237"/>
      <c r="F628" s="655"/>
      <c r="G628" s="655"/>
    </row>
    <row r="629">
      <c r="D629" s="1237"/>
      <c r="F629" s="655"/>
      <c r="G629" s="655"/>
    </row>
    <row r="630">
      <c r="D630" s="1237"/>
      <c r="F630" s="655"/>
      <c r="G630" s="655"/>
    </row>
    <row r="631">
      <c r="D631" s="1237"/>
      <c r="F631" s="655"/>
      <c r="G631" s="655"/>
    </row>
    <row r="632">
      <c r="D632" s="1237"/>
      <c r="F632" s="655"/>
      <c r="G632" s="655"/>
    </row>
    <row r="633">
      <c r="D633" s="1237"/>
      <c r="F633" s="655"/>
      <c r="G633" s="655"/>
    </row>
    <row r="634">
      <c r="D634" s="1237"/>
      <c r="F634" s="655"/>
      <c r="G634" s="655"/>
    </row>
    <row r="635">
      <c r="D635" s="1237"/>
      <c r="F635" s="655"/>
      <c r="G635" s="655"/>
    </row>
    <row r="636">
      <c r="D636" s="1237"/>
      <c r="F636" s="655"/>
      <c r="G636" s="655"/>
    </row>
    <row r="637">
      <c r="D637" s="1237"/>
      <c r="F637" s="655"/>
      <c r="G637" s="655"/>
    </row>
    <row r="638">
      <c r="D638" s="1237"/>
      <c r="F638" s="655"/>
      <c r="G638" s="655"/>
    </row>
    <row r="639">
      <c r="D639" s="1237"/>
      <c r="F639" s="655"/>
      <c r="G639" s="655"/>
    </row>
    <row r="640">
      <c r="D640" s="1237"/>
      <c r="F640" s="655"/>
      <c r="G640" s="655"/>
    </row>
    <row r="641">
      <c r="D641" s="1237"/>
      <c r="F641" s="655"/>
      <c r="G641" s="655"/>
    </row>
    <row r="642">
      <c r="D642" s="1237"/>
      <c r="F642" s="655"/>
      <c r="G642" s="655"/>
    </row>
    <row r="643">
      <c r="D643" s="1237"/>
      <c r="F643" s="655"/>
      <c r="G643" s="655"/>
    </row>
    <row r="644">
      <c r="D644" s="1237"/>
      <c r="F644" s="655"/>
      <c r="G644" s="655"/>
    </row>
    <row r="645">
      <c r="D645" s="1237"/>
      <c r="F645" s="655"/>
      <c r="G645" s="655"/>
    </row>
    <row r="646">
      <c r="D646" s="1237"/>
      <c r="F646" s="655"/>
      <c r="G646" s="655"/>
    </row>
    <row r="647">
      <c r="D647" s="1237"/>
      <c r="F647" s="655"/>
      <c r="G647" s="655"/>
    </row>
    <row r="648">
      <c r="D648" s="1237"/>
      <c r="F648" s="655"/>
      <c r="G648" s="655"/>
    </row>
    <row r="649">
      <c r="D649" s="1237"/>
      <c r="F649" s="655"/>
      <c r="G649" s="655"/>
    </row>
    <row r="650">
      <c r="D650" s="1237"/>
      <c r="F650" s="655"/>
      <c r="G650" s="655"/>
    </row>
    <row r="651">
      <c r="D651" s="1237"/>
      <c r="F651" s="655"/>
      <c r="G651" s="655"/>
    </row>
    <row r="652">
      <c r="D652" s="1237"/>
      <c r="F652" s="655"/>
      <c r="G652" s="655"/>
    </row>
    <row r="653">
      <c r="D653" s="1237"/>
      <c r="F653" s="655"/>
      <c r="G653" s="655"/>
    </row>
    <row r="654">
      <c r="D654" s="1237"/>
      <c r="F654" s="655"/>
      <c r="G654" s="655"/>
    </row>
    <row r="655">
      <c r="D655" s="1237"/>
      <c r="F655" s="655"/>
      <c r="G655" s="655"/>
    </row>
    <row r="656">
      <c r="D656" s="1237"/>
      <c r="F656" s="655"/>
      <c r="G656" s="655"/>
    </row>
    <row r="657">
      <c r="D657" s="1237"/>
      <c r="F657" s="655"/>
      <c r="G657" s="655"/>
    </row>
    <row r="658">
      <c r="D658" s="1237"/>
      <c r="F658" s="655"/>
      <c r="G658" s="655"/>
    </row>
    <row r="659">
      <c r="D659" s="1237"/>
      <c r="F659" s="655"/>
      <c r="G659" s="655"/>
    </row>
    <row r="660">
      <c r="D660" s="1237"/>
      <c r="F660" s="655"/>
      <c r="G660" s="655"/>
    </row>
    <row r="661">
      <c r="D661" s="1237"/>
      <c r="F661" s="655"/>
      <c r="G661" s="655"/>
    </row>
    <row r="662">
      <c r="D662" s="1237"/>
      <c r="F662" s="655"/>
      <c r="G662" s="655"/>
    </row>
    <row r="663">
      <c r="D663" s="1237"/>
      <c r="F663" s="655"/>
      <c r="G663" s="655"/>
    </row>
    <row r="664">
      <c r="D664" s="1237"/>
      <c r="F664" s="655"/>
      <c r="G664" s="655"/>
    </row>
    <row r="665">
      <c r="D665" s="1237"/>
      <c r="F665" s="655"/>
      <c r="G665" s="655"/>
    </row>
    <row r="666">
      <c r="D666" s="1237"/>
      <c r="F666" s="655"/>
      <c r="G666" s="655"/>
    </row>
    <row r="667">
      <c r="D667" s="1237"/>
      <c r="F667" s="655"/>
      <c r="G667" s="655"/>
    </row>
    <row r="668">
      <c r="D668" s="1237"/>
      <c r="F668" s="655"/>
      <c r="G668" s="655"/>
    </row>
    <row r="669">
      <c r="D669" s="1237"/>
      <c r="F669" s="655"/>
      <c r="G669" s="655"/>
    </row>
    <row r="670">
      <c r="D670" s="1237"/>
      <c r="F670" s="655"/>
      <c r="G670" s="655"/>
    </row>
    <row r="671">
      <c r="D671" s="1237"/>
      <c r="F671" s="655"/>
      <c r="G671" s="655"/>
    </row>
    <row r="672">
      <c r="D672" s="1237"/>
      <c r="F672" s="655"/>
      <c r="G672" s="655"/>
    </row>
    <row r="673">
      <c r="D673" s="1237"/>
      <c r="F673" s="655"/>
      <c r="G673" s="655"/>
    </row>
    <row r="674">
      <c r="D674" s="1237"/>
      <c r="F674" s="655"/>
      <c r="G674" s="655"/>
    </row>
    <row r="675">
      <c r="D675" s="1237"/>
      <c r="F675" s="655"/>
      <c r="G675" s="655"/>
    </row>
    <row r="676">
      <c r="D676" s="1237"/>
      <c r="F676" s="655"/>
      <c r="G676" s="655"/>
    </row>
    <row r="677">
      <c r="D677" s="1237"/>
      <c r="F677" s="655"/>
      <c r="G677" s="655"/>
    </row>
    <row r="678">
      <c r="D678" s="1237"/>
      <c r="F678" s="655"/>
      <c r="G678" s="655"/>
    </row>
    <row r="679">
      <c r="D679" s="1237"/>
      <c r="F679" s="655"/>
      <c r="G679" s="655"/>
    </row>
    <row r="680">
      <c r="D680" s="1237"/>
      <c r="F680" s="655"/>
      <c r="G680" s="655"/>
    </row>
    <row r="681">
      <c r="D681" s="1237"/>
      <c r="F681" s="655"/>
      <c r="G681" s="655"/>
    </row>
    <row r="682">
      <c r="D682" s="1237"/>
      <c r="F682" s="655"/>
      <c r="G682" s="655"/>
    </row>
    <row r="683">
      <c r="D683" s="1237"/>
      <c r="F683" s="655"/>
      <c r="G683" s="655"/>
    </row>
    <row r="684">
      <c r="D684" s="1237"/>
      <c r="F684" s="655"/>
      <c r="G684" s="655"/>
    </row>
    <row r="685">
      <c r="D685" s="1237"/>
      <c r="F685" s="655"/>
      <c r="G685" s="655"/>
    </row>
    <row r="686">
      <c r="D686" s="1237"/>
      <c r="F686" s="655"/>
      <c r="G686" s="655"/>
    </row>
    <row r="687">
      <c r="D687" s="1237"/>
      <c r="F687" s="655"/>
      <c r="G687" s="655"/>
    </row>
    <row r="688">
      <c r="D688" s="1237"/>
      <c r="F688" s="655"/>
      <c r="G688" s="655"/>
    </row>
    <row r="689">
      <c r="D689" s="1237"/>
      <c r="F689" s="655"/>
      <c r="G689" s="655"/>
    </row>
    <row r="690">
      <c r="D690" s="1237"/>
      <c r="F690" s="655"/>
      <c r="G690" s="655"/>
    </row>
    <row r="691">
      <c r="D691" s="1237"/>
      <c r="F691" s="655"/>
      <c r="G691" s="655"/>
    </row>
    <row r="692">
      <c r="D692" s="1237"/>
      <c r="F692" s="655"/>
      <c r="G692" s="655"/>
    </row>
    <row r="693">
      <c r="D693" s="1237"/>
      <c r="F693" s="655"/>
      <c r="G693" s="655"/>
    </row>
    <row r="694">
      <c r="D694" s="1237"/>
      <c r="F694" s="655"/>
      <c r="G694" s="655"/>
    </row>
    <row r="695">
      <c r="D695" s="1237"/>
      <c r="F695" s="655"/>
      <c r="G695" s="655"/>
    </row>
    <row r="696">
      <c r="D696" s="1237"/>
      <c r="F696" s="655"/>
      <c r="G696" s="655"/>
    </row>
    <row r="697">
      <c r="D697" s="1237"/>
      <c r="F697" s="655"/>
      <c r="G697" s="655"/>
    </row>
    <row r="698">
      <c r="D698" s="1237"/>
      <c r="F698" s="655"/>
      <c r="G698" s="655"/>
    </row>
    <row r="699">
      <c r="D699" s="1237"/>
      <c r="F699" s="655"/>
      <c r="G699" s="655"/>
    </row>
    <row r="700">
      <c r="D700" s="1237"/>
      <c r="F700" s="655"/>
      <c r="G700" s="655"/>
    </row>
    <row r="701">
      <c r="D701" s="1237"/>
      <c r="F701" s="655"/>
      <c r="G701" s="655"/>
    </row>
    <row r="702">
      <c r="D702" s="1237"/>
      <c r="F702" s="655"/>
      <c r="G702" s="655"/>
    </row>
    <row r="703">
      <c r="D703" s="1237"/>
      <c r="F703" s="655"/>
      <c r="G703" s="655"/>
    </row>
    <row r="704">
      <c r="D704" s="1237"/>
      <c r="F704" s="655"/>
      <c r="G704" s="655"/>
    </row>
    <row r="705">
      <c r="D705" s="1237"/>
      <c r="F705" s="655"/>
      <c r="G705" s="655"/>
    </row>
    <row r="706">
      <c r="D706" s="1237"/>
      <c r="F706" s="655"/>
      <c r="G706" s="655"/>
    </row>
    <row r="707">
      <c r="D707" s="1237"/>
      <c r="F707" s="655"/>
      <c r="G707" s="655"/>
    </row>
    <row r="708">
      <c r="D708" s="1237"/>
      <c r="F708" s="655"/>
      <c r="G708" s="655"/>
    </row>
    <row r="709">
      <c r="D709" s="1237"/>
      <c r="F709" s="655"/>
      <c r="G709" s="655"/>
    </row>
    <row r="710">
      <c r="D710" s="1237"/>
      <c r="F710" s="655"/>
      <c r="G710" s="655"/>
    </row>
    <row r="711">
      <c r="D711" s="1237"/>
      <c r="F711" s="655"/>
      <c r="G711" s="655"/>
    </row>
    <row r="712">
      <c r="D712" s="1237"/>
      <c r="F712" s="655"/>
      <c r="G712" s="655"/>
    </row>
    <row r="713">
      <c r="D713" s="1237"/>
      <c r="F713" s="655"/>
      <c r="G713" s="655"/>
    </row>
    <row r="714">
      <c r="D714" s="1237"/>
      <c r="F714" s="655"/>
      <c r="G714" s="655"/>
    </row>
    <row r="715">
      <c r="D715" s="1237"/>
      <c r="F715" s="655"/>
      <c r="G715" s="655"/>
    </row>
    <row r="716">
      <c r="D716" s="1237"/>
      <c r="F716" s="655"/>
      <c r="G716" s="655"/>
    </row>
    <row r="717">
      <c r="D717" s="1237"/>
      <c r="F717" s="655"/>
      <c r="G717" s="655"/>
    </row>
    <row r="718">
      <c r="D718" s="1237"/>
      <c r="F718" s="655"/>
      <c r="G718" s="655"/>
    </row>
    <row r="719">
      <c r="D719" s="1237"/>
      <c r="F719" s="655"/>
      <c r="G719" s="655"/>
    </row>
    <row r="720">
      <c r="D720" s="1237"/>
      <c r="F720" s="655"/>
      <c r="G720" s="655"/>
    </row>
    <row r="721">
      <c r="D721" s="1237"/>
      <c r="F721" s="655"/>
      <c r="G721" s="655"/>
    </row>
    <row r="722">
      <c r="D722" s="1237"/>
      <c r="F722" s="655"/>
      <c r="G722" s="655"/>
    </row>
    <row r="723">
      <c r="D723" s="1237"/>
      <c r="F723" s="655"/>
      <c r="G723" s="655"/>
    </row>
    <row r="724">
      <c r="D724" s="1237"/>
      <c r="F724" s="655"/>
      <c r="G724" s="655"/>
    </row>
    <row r="725">
      <c r="D725" s="1237"/>
      <c r="F725" s="655"/>
      <c r="G725" s="655"/>
    </row>
    <row r="726">
      <c r="D726" s="1237"/>
      <c r="F726" s="655"/>
      <c r="G726" s="655"/>
    </row>
    <row r="727">
      <c r="D727" s="1237"/>
      <c r="F727" s="655"/>
      <c r="G727" s="655"/>
    </row>
    <row r="728">
      <c r="D728" s="1237"/>
      <c r="F728" s="655"/>
      <c r="G728" s="655"/>
    </row>
    <row r="729">
      <c r="D729" s="1237"/>
      <c r="F729" s="655"/>
      <c r="G729" s="655"/>
    </row>
    <row r="730">
      <c r="D730" s="1237"/>
      <c r="F730" s="655"/>
      <c r="G730" s="655"/>
    </row>
    <row r="731">
      <c r="D731" s="1237"/>
      <c r="F731" s="655"/>
      <c r="G731" s="655"/>
    </row>
    <row r="732">
      <c r="D732" s="1237"/>
      <c r="F732" s="655"/>
      <c r="G732" s="655"/>
    </row>
    <row r="733">
      <c r="D733" s="1237"/>
      <c r="F733" s="655"/>
      <c r="G733" s="655"/>
    </row>
    <row r="734">
      <c r="D734" s="1237"/>
      <c r="F734" s="655"/>
      <c r="G734" s="655"/>
    </row>
    <row r="735">
      <c r="D735" s="1237"/>
      <c r="F735" s="655"/>
      <c r="G735" s="655"/>
    </row>
    <row r="736">
      <c r="D736" s="1237"/>
      <c r="F736" s="655"/>
      <c r="G736" s="655"/>
    </row>
    <row r="737">
      <c r="D737" s="1237"/>
      <c r="F737" s="655"/>
      <c r="G737" s="655"/>
    </row>
    <row r="738">
      <c r="D738" s="1237"/>
      <c r="F738" s="655"/>
      <c r="G738" s="655"/>
    </row>
    <row r="739">
      <c r="D739" s="1237"/>
      <c r="F739" s="655"/>
      <c r="G739" s="655"/>
    </row>
    <row r="740">
      <c r="D740" s="1237"/>
      <c r="F740" s="655"/>
      <c r="G740" s="655"/>
    </row>
    <row r="741">
      <c r="D741" s="1237"/>
      <c r="F741" s="655"/>
      <c r="G741" s="655"/>
    </row>
    <row r="742">
      <c r="D742" s="1237"/>
      <c r="F742" s="655"/>
      <c r="G742" s="655"/>
    </row>
    <row r="743">
      <c r="D743" s="1237"/>
      <c r="F743" s="655"/>
      <c r="G743" s="655"/>
    </row>
    <row r="744">
      <c r="D744" s="1237"/>
      <c r="F744" s="655"/>
      <c r="G744" s="655"/>
    </row>
    <row r="745">
      <c r="D745" s="1237"/>
      <c r="F745" s="655"/>
      <c r="G745" s="655"/>
    </row>
    <row r="746">
      <c r="D746" s="1237"/>
      <c r="F746" s="655"/>
      <c r="G746" s="655"/>
    </row>
    <row r="747">
      <c r="D747" s="1237"/>
      <c r="F747" s="655"/>
      <c r="G747" s="655"/>
    </row>
    <row r="748">
      <c r="D748" s="1237"/>
      <c r="F748" s="655"/>
      <c r="G748" s="655"/>
    </row>
    <row r="749">
      <c r="D749" s="1237"/>
      <c r="F749" s="655"/>
      <c r="G749" s="655"/>
    </row>
    <row r="750">
      <c r="D750" s="1237"/>
      <c r="F750" s="655"/>
      <c r="G750" s="655"/>
    </row>
    <row r="751">
      <c r="D751" s="1237"/>
      <c r="F751" s="655"/>
      <c r="G751" s="655"/>
    </row>
    <row r="752">
      <c r="D752" s="1237"/>
      <c r="F752" s="655"/>
      <c r="G752" s="655"/>
    </row>
    <row r="753">
      <c r="D753" s="1237"/>
      <c r="F753" s="655"/>
      <c r="G753" s="655"/>
    </row>
    <row r="754">
      <c r="D754" s="1237"/>
      <c r="F754" s="655"/>
      <c r="G754" s="655"/>
    </row>
    <row r="755">
      <c r="D755" s="1237"/>
      <c r="F755" s="655"/>
      <c r="G755" s="655"/>
    </row>
    <row r="756">
      <c r="D756" s="1237"/>
      <c r="F756" s="655"/>
      <c r="G756" s="655"/>
    </row>
    <row r="757">
      <c r="D757" s="1237"/>
      <c r="F757" s="655"/>
      <c r="G757" s="655"/>
    </row>
    <row r="758">
      <c r="D758" s="1237"/>
      <c r="F758" s="655"/>
      <c r="G758" s="655"/>
    </row>
    <row r="759">
      <c r="D759" s="1237"/>
      <c r="F759" s="655"/>
      <c r="G759" s="655"/>
    </row>
    <row r="760">
      <c r="D760" s="1237"/>
      <c r="F760" s="655"/>
      <c r="G760" s="655"/>
    </row>
    <row r="761">
      <c r="D761" s="1237"/>
      <c r="F761" s="655"/>
      <c r="G761" s="655"/>
    </row>
    <row r="762">
      <c r="D762" s="1237"/>
      <c r="F762" s="655"/>
      <c r="G762" s="655"/>
    </row>
    <row r="763">
      <c r="D763" s="1237"/>
      <c r="F763" s="655"/>
      <c r="G763" s="655"/>
    </row>
    <row r="764">
      <c r="D764" s="1237"/>
      <c r="F764" s="655"/>
      <c r="G764" s="655"/>
    </row>
    <row r="765">
      <c r="D765" s="1237"/>
      <c r="F765" s="655"/>
      <c r="G765" s="655"/>
    </row>
    <row r="766">
      <c r="D766" s="1237"/>
      <c r="F766" s="655"/>
      <c r="G766" s="655"/>
    </row>
    <row r="767">
      <c r="D767" s="1237"/>
      <c r="F767" s="655"/>
      <c r="G767" s="655"/>
    </row>
    <row r="768">
      <c r="D768" s="1237"/>
      <c r="F768" s="655"/>
      <c r="G768" s="655"/>
    </row>
    <row r="769">
      <c r="D769" s="1237"/>
      <c r="F769" s="655"/>
      <c r="G769" s="655"/>
    </row>
    <row r="770">
      <c r="D770" s="1237"/>
      <c r="F770" s="655"/>
      <c r="G770" s="655"/>
    </row>
    <row r="771">
      <c r="D771" s="1237"/>
      <c r="F771" s="655"/>
      <c r="G771" s="655"/>
    </row>
    <row r="772">
      <c r="D772" s="1237"/>
      <c r="F772" s="655"/>
      <c r="G772" s="655"/>
    </row>
    <row r="773">
      <c r="D773" s="1237"/>
      <c r="F773" s="655"/>
      <c r="G773" s="655"/>
    </row>
    <row r="774">
      <c r="D774" s="1237"/>
      <c r="F774" s="655"/>
      <c r="G774" s="655"/>
    </row>
    <row r="775">
      <c r="D775" s="1237"/>
      <c r="F775" s="655"/>
      <c r="G775" s="655"/>
    </row>
    <row r="776">
      <c r="D776" s="1237"/>
      <c r="F776" s="655"/>
      <c r="G776" s="655"/>
    </row>
    <row r="777">
      <c r="D777" s="1237"/>
      <c r="F777" s="655"/>
      <c r="G777" s="655"/>
    </row>
    <row r="778">
      <c r="D778" s="1237"/>
      <c r="F778" s="655"/>
      <c r="G778" s="655"/>
    </row>
    <row r="779">
      <c r="D779" s="1237"/>
      <c r="F779" s="655"/>
      <c r="G779" s="655"/>
    </row>
    <row r="780">
      <c r="D780" s="1237"/>
      <c r="F780" s="655"/>
      <c r="G780" s="655"/>
    </row>
    <row r="781">
      <c r="D781" s="1237"/>
      <c r="F781" s="655"/>
      <c r="G781" s="655"/>
    </row>
    <row r="782">
      <c r="D782" s="1237"/>
      <c r="F782" s="655"/>
      <c r="G782" s="655"/>
    </row>
    <row r="783">
      <c r="D783" s="1237"/>
      <c r="F783" s="655"/>
      <c r="G783" s="655"/>
    </row>
    <row r="784">
      <c r="D784" s="1237"/>
      <c r="F784" s="655"/>
      <c r="G784" s="655"/>
    </row>
    <row r="785">
      <c r="D785" s="1237"/>
      <c r="F785" s="655"/>
      <c r="G785" s="655"/>
    </row>
    <row r="786">
      <c r="D786" s="1237"/>
      <c r="F786" s="655"/>
      <c r="G786" s="655"/>
    </row>
    <row r="787">
      <c r="D787" s="1237"/>
      <c r="F787" s="655"/>
      <c r="G787" s="655"/>
    </row>
    <row r="788">
      <c r="D788" s="1237"/>
      <c r="F788" s="655"/>
      <c r="G788" s="655"/>
    </row>
    <row r="789">
      <c r="D789" s="1237"/>
      <c r="F789" s="655"/>
      <c r="G789" s="655"/>
    </row>
    <row r="790">
      <c r="D790" s="1237"/>
      <c r="F790" s="655"/>
      <c r="G790" s="655"/>
    </row>
    <row r="791">
      <c r="D791" s="1237"/>
      <c r="F791" s="655"/>
      <c r="G791" s="655"/>
    </row>
    <row r="792">
      <c r="D792" s="1237"/>
      <c r="F792" s="655"/>
      <c r="G792" s="655"/>
    </row>
    <row r="793">
      <c r="D793" s="1237"/>
      <c r="F793" s="655"/>
      <c r="G793" s="655"/>
    </row>
    <row r="794">
      <c r="D794" s="1237"/>
      <c r="F794" s="655"/>
      <c r="G794" s="655"/>
    </row>
    <row r="795">
      <c r="D795" s="1237"/>
      <c r="F795" s="655"/>
      <c r="G795" s="655"/>
    </row>
    <row r="796">
      <c r="D796" s="1237"/>
      <c r="F796" s="655"/>
      <c r="G796" s="655"/>
    </row>
    <row r="797">
      <c r="D797" s="1237"/>
      <c r="F797" s="655"/>
      <c r="G797" s="655"/>
    </row>
    <row r="798">
      <c r="D798" s="1237"/>
      <c r="F798" s="655"/>
      <c r="G798" s="655"/>
    </row>
    <row r="799">
      <c r="D799" s="1237"/>
      <c r="F799" s="655"/>
      <c r="G799" s="655"/>
    </row>
    <row r="800">
      <c r="D800" s="1237"/>
      <c r="F800" s="655"/>
      <c r="G800" s="655"/>
    </row>
    <row r="801">
      <c r="D801" s="1237"/>
      <c r="F801" s="655"/>
      <c r="G801" s="655"/>
    </row>
    <row r="802">
      <c r="D802" s="1237"/>
      <c r="F802" s="655"/>
      <c r="G802" s="655"/>
    </row>
    <row r="803">
      <c r="D803" s="1237"/>
      <c r="F803" s="655"/>
      <c r="G803" s="655"/>
    </row>
    <row r="804">
      <c r="D804" s="1237"/>
      <c r="F804" s="655"/>
      <c r="G804" s="655"/>
    </row>
    <row r="805">
      <c r="D805" s="1237"/>
      <c r="F805" s="655"/>
      <c r="G805" s="655"/>
    </row>
    <row r="806">
      <c r="D806" s="1237"/>
      <c r="F806" s="655"/>
      <c r="G806" s="655"/>
    </row>
    <row r="807">
      <c r="D807" s="1237"/>
      <c r="F807" s="655"/>
      <c r="G807" s="655"/>
    </row>
    <row r="808">
      <c r="D808" s="1237"/>
      <c r="F808" s="655"/>
      <c r="G808" s="655"/>
    </row>
    <row r="809">
      <c r="D809" s="1237"/>
      <c r="F809" s="655"/>
      <c r="G809" s="655"/>
    </row>
    <row r="810">
      <c r="D810" s="1237"/>
      <c r="F810" s="655"/>
      <c r="G810" s="655"/>
    </row>
    <row r="811">
      <c r="D811" s="1237"/>
      <c r="F811" s="655"/>
      <c r="G811" s="655"/>
    </row>
    <row r="812">
      <c r="D812" s="1237"/>
      <c r="F812" s="655"/>
      <c r="G812" s="655"/>
    </row>
    <row r="813">
      <c r="D813" s="1237"/>
      <c r="F813" s="655"/>
      <c r="G813" s="655"/>
    </row>
    <row r="814">
      <c r="D814" s="1237"/>
      <c r="F814" s="655"/>
      <c r="G814" s="655"/>
    </row>
    <row r="815">
      <c r="D815" s="1237"/>
      <c r="F815" s="655"/>
      <c r="G815" s="655"/>
    </row>
    <row r="816">
      <c r="D816" s="1237"/>
      <c r="F816" s="655"/>
      <c r="G816" s="655"/>
    </row>
    <row r="817">
      <c r="D817" s="1237"/>
      <c r="F817" s="655"/>
      <c r="G817" s="655"/>
    </row>
    <row r="818">
      <c r="D818" s="1237"/>
      <c r="F818" s="655"/>
      <c r="G818" s="655"/>
    </row>
    <row r="819">
      <c r="D819" s="1237"/>
      <c r="F819" s="655"/>
      <c r="G819" s="655"/>
    </row>
    <row r="820">
      <c r="D820" s="1237"/>
      <c r="F820" s="655"/>
      <c r="G820" s="655"/>
    </row>
    <row r="821">
      <c r="D821" s="1237"/>
      <c r="F821" s="655"/>
      <c r="G821" s="655"/>
    </row>
    <row r="822">
      <c r="D822" s="1237"/>
      <c r="F822" s="655"/>
      <c r="G822" s="655"/>
    </row>
    <row r="823">
      <c r="D823" s="1237"/>
      <c r="F823" s="655"/>
      <c r="G823" s="655"/>
    </row>
    <row r="824">
      <c r="D824" s="1237"/>
      <c r="F824" s="655"/>
      <c r="G824" s="655"/>
    </row>
    <row r="825">
      <c r="D825" s="1237"/>
      <c r="F825" s="655"/>
      <c r="G825" s="655"/>
    </row>
    <row r="826">
      <c r="D826" s="1237"/>
      <c r="F826" s="655"/>
      <c r="G826" s="655"/>
    </row>
    <row r="827">
      <c r="D827" s="1237"/>
      <c r="F827" s="655"/>
      <c r="G827" s="655"/>
    </row>
    <row r="828">
      <c r="D828" s="1237"/>
      <c r="F828" s="655"/>
      <c r="G828" s="655"/>
    </row>
    <row r="829">
      <c r="D829" s="1237"/>
      <c r="F829" s="655"/>
      <c r="G829" s="655"/>
    </row>
    <row r="830">
      <c r="D830" s="1237"/>
      <c r="F830" s="655"/>
      <c r="G830" s="655"/>
    </row>
    <row r="831">
      <c r="D831" s="1237"/>
      <c r="F831" s="655"/>
      <c r="G831" s="655"/>
    </row>
    <row r="832">
      <c r="D832" s="1237"/>
      <c r="F832" s="655"/>
      <c r="G832" s="655"/>
    </row>
    <row r="833">
      <c r="D833" s="1237"/>
      <c r="F833" s="655"/>
      <c r="G833" s="655"/>
    </row>
    <row r="834">
      <c r="D834" s="1237"/>
      <c r="F834" s="655"/>
      <c r="G834" s="655"/>
    </row>
    <row r="835">
      <c r="D835" s="1237"/>
      <c r="F835" s="655"/>
      <c r="G835" s="655"/>
    </row>
    <row r="836">
      <c r="D836" s="1237"/>
      <c r="F836" s="655"/>
      <c r="G836" s="655"/>
    </row>
    <row r="837">
      <c r="D837" s="1237"/>
      <c r="F837" s="655"/>
      <c r="G837" s="655"/>
    </row>
    <row r="838">
      <c r="D838" s="1237"/>
      <c r="F838" s="655"/>
      <c r="G838" s="655"/>
    </row>
    <row r="839">
      <c r="D839" s="1237"/>
      <c r="F839" s="655"/>
      <c r="G839" s="655"/>
    </row>
    <row r="840">
      <c r="D840" s="1237"/>
      <c r="F840" s="655"/>
      <c r="G840" s="655"/>
    </row>
    <row r="841">
      <c r="D841" s="1237"/>
      <c r="F841" s="655"/>
      <c r="G841" s="655"/>
    </row>
    <row r="842">
      <c r="D842" s="1237"/>
      <c r="F842" s="655"/>
      <c r="G842" s="655"/>
    </row>
    <row r="843">
      <c r="D843" s="1237"/>
      <c r="F843" s="655"/>
      <c r="G843" s="655"/>
    </row>
    <row r="844">
      <c r="D844" s="1237"/>
      <c r="F844" s="655"/>
      <c r="G844" s="655"/>
    </row>
    <row r="845">
      <c r="D845" s="1237"/>
      <c r="F845" s="655"/>
      <c r="G845" s="655"/>
    </row>
    <row r="846">
      <c r="D846" s="1237"/>
      <c r="F846" s="655"/>
      <c r="G846" s="655"/>
    </row>
    <row r="847">
      <c r="D847" s="1237"/>
      <c r="F847" s="655"/>
      <c r="G847" s="655"/>
    </row>
    <row r="848">
      <c r="D848" s="1237"/>
      <c r="F848" s="655"/>
      <c r="G848" s="655"/>
    </row>
    <row r="849">
      <c r="D849" s="1237"/>
      <c r="F849" s="655"/>
      <c r="G849" s="655"/>
    </row>
    <row r="850">
      <c r="D850" s="1237"/>
      <c r="F850" s="655"/>
      <c r="G850" s="655"/>
    </row>
    <row r="851">
      <c r="D851" s="1237"/>
      <c r="F851" s="655"/>
      <c r="G851" s="655"/>
    </row>
    <row r="852">
      <c r="D852" s="1237"/>
      <c r="F852" s="655"/>
      <c r="G852" s="655"/>
    </row>
    <row r="853">
      <c r="D853" s="1237"/>
      <c r="F853" s="655"/>
      <c r="G853" s="655"/>
    </row>
    <row r="854">
      <c r="D854" s="1237"/>
      <c r="F854" s="655"/>
      <c r="G854" s="655"/>
    </row>
    <row r="855">
      <c r="D855" s="1237"/>
      <c r="F855" s="655"/>
      <c r="G855" s="655"/>
    </row>
    <row r="856">
      <c r="D856" s="1237"/>
      <c r="F856" s="655"/>
      <c r="G856" s="655"/>
    </row>
    <row r="857">
      <c r="D857" s="1237"/>
      <c r="F857" s="655"/>
      <c r="G857" s="655"/>
    </row>
    <row r="858">
      <c r="D858" s="1237"/>
      <c r="F858" s="655"/>
      <c r="G858" s="655"/>
    </row>
    <row r="859">
      <c r="D859" s="1237"/>
      <c r="F859" s="655"/>
      <c r="G859" s="655"/>
    </row>
    <row r="860">
      <c r="D860" s="1237"/>
      <c r="F860" s="655"/>
      <c r="G860" s="655"/>
    </row>
    <row r="861">
      <c r="D861" s="1237"/>
      <c r="F861" s="655"/>
      <c r="G861" s="655"/>
    </row>
    <row r="862">
      <c r="D862" s="1237"/>
      <c r="F862" s="655"/>
      <c r="G862" s="655"/>
    </row>
    <row r="863">
      <c r="D863" s="1237"/>
      <c r="F863" s="655"/>
      <c r="G863" s="655"/>
    </row>
    <row r="864">
      <c r="D864" s="1237"/>
      <c r="F864" s="655"/>
      <c r="G864" s="655"/>
    </row>
    <row r="865">
      <c r="D865" s="1237"/>
      <c r="F865" s="655"/>
      <c r="G865" s="655"/>
    </row>
    <row r="866">
      <c r="D866" s="1237"/>
      <c r="F866" s="655"/>
      <c r="G866" s="655"/>
    </row>
    <row r="867">
      <c r="D867" s="1237"/>
      <c r="F867" s="655"/>
      <c r="G867" s="655"/>
    </row>
    <row r="868">
      <c r="D868" s="1237"/>
      <c r="F868" s="655"/>
      <c r="G868" s="655"/>
    </row>
    <row r="869">
      <c r="D869" s="1237"/>
      <c r="F869" s="655"/>
      <c r="G869" s="655"/>
    </row>
    <row r="870">
      <c r="D870" s="1237"/>
      <c r="F870" s="655"/>
      <c r="G870" s="655"/>
    </row>
    <row r="871">
      <c r="D871" s="1237"/>
      <c r="F871" s="655"/>
      <c r="G871" s="655"/>
    </row>
    <row r="872">
      <c r="D872" s="1237"/>
      <c r="F872" s="655"/>
      <c r="G872" s="655"/>
    </row>
    <row r="873">
      <c r="D873" s="1237"/>
      <c r="F873" s="655"/>
      <c r="G873" s="655"/>
    </row>
    <row r="874">
      <c r="D874" s="1237"/>
      <c r="F874" s="655"/>
      <c r="G874" s="655"/>
    </row>
    <row r="875">
      <c r="D875" s="1237"/>
      <c r="F875" s="655"/>
      <c r="G875" s="655"/>
    </row>
    <row r="876">
      <c r="D876" s="1237"/>
      <c r="F876" s="655"/>
      <c r="G876" s="655"/>
    </row>
    <row r="877">
      <c r="D877" s="1237"/>
      <c r="F877" s="655"/>
      <c r="G877" s="655"/>
    </row>
    <row r="878">
      <c r="D878" s="1237"/>
      <c r="F878" s="655"/>
      <c r="G878" s="655"/>
    </row>
    <row r="879">
      <c r="D879" s="1237"/>
      <c r="F879" s="655"/>
      <c r="G879" s="655"/>
    </row>
    <row r="880">
      <c r="D880" s="1237"/>
      <c r="F880" s="655"/>
      <c r="G880" s="655"/>
    </row>
    <row r="881">
      <c r="D881" s="1237"/>
      <c r="F881" s="655"/>
      <c r="G881" s="655"/>
    </row>
    <row r="882">
      <c r="D882" s="1237"/>
      <c r="F882" s="655"/>
      <c r="G882" s="655"/>
    </row>
    <row r="883">
      <c r="D883" s="1237"/>
      <c r="F883" s="655"/>
      <c r="G883" s="655"/>
    </row>
    <row r="884">
      <c r="D884" s="1237"/>
      <c r="F884" s="655"/>
      <c r="G884" s="655"/>
    </row>
    <row r="885">
      <c r="D885" s="1237"/>
      <c r="F885" s="655"/>
      <c r="G885" s="655"/>
    </row>
    <row r="886">
      <c r="D886" s="1237"/>
      <c r="F886" s="655"/>
      <c r="G886" s="655"/>
    </row>
    <row r="887">
      <c r="D887" s="1237"/>
      <c r="F887" s="655"/>
      <c r="G887" s="655"/>
    </row>
    <row r="888">
      <c r="D888" s="1237"/>
      <c r="F888" s="655"/>
      <c r="G888" s="655"/>
    </row>
    <row r="889">
      <c r="D889" s="1237"/>
      <c r="F889" s="655"/>
      <c r="G889" s="655"/>
    </row>
    <row r="890">
      <c r="D890" s="1237"/>
      <c r="F890" s="655"/>
      <c r="G890" s="655"/>
    </row>
    <row r="891">
      <c r="D891" s="1237"/>
      <c r="F891" s="655"/>
      <c r="G891" s="655"/>
    </row>
    <row r="892">
      <c r="D892" s="1237"/>
      <c r="F892" s="655"/>
      <c r="G892" s="655"/>
    </row>
    <row r="893">
      <c r="D893" s="1237"/>
      <c r="F893" s="655"/>
      <c r="G893" s="655"/>
    </row>
    <row r="894">
      <c r="D894" s="1237"/>
      <c r="F894" s="655"/>
      <c r="G894" s="655"/>
    </row>
    <row r="895">
      <c r="D895" s="1237"/>
      <c r="F895" s="655"/>
      <c r="G895" s="655"/>
    </row>
    <row r="896">
      <c r="D896" s="1237"/>
      <c r="F896" s="655"/>
      <c r="G896" s="655"/>
    </row>
    <row r="897">
      <c r="D897" s="1237"/>
      <c r="F897" s="655"/>
      <c r="G897" s="655"/>
    </row>
    <row r="898">
      <c r="D898" s="1237"/>
      <c r="F898" s="655"/>
      <c r="G898" s="655"/>
    </row>
    <row r="899">
      <c r="D899" s="1237"/>
      <c r="F899" s="655"/>
      <c r="G899" s="655"/>
    </row>
    <row r="900">
      <c r="D900" s="1237"/>
      <c r="F900" s="655"/>
      <c r="G900" s="655"/>
    </row>
    <row r="901">
      <c r="D901" s="1237"/>
      <c r="F901" s="655"/>
      <c r="G901" s="655"/>
    </row>
    <row r="902">
      <c r="D902" s="1237"/>
      <c r="F902" s="655"/>
      <c r="G902" s="655"/>
    </row>
    <row r="903">
      <c r="D903" s="1237"/>
      <c r="F903" s="655"/>
      <c r="G903" s="655"/>
    </row>
    <row r="904">
      <c r="D904" s="1237"/>
      <c r="F904" s="655"/>
      <c r="G904" s="655"/>
    </row>
    <row r="905">
      <c r="D905" s="1237"/>
      <c r="F905" s="655"/>
      <c r="G905" s="655"/>
    </row>
    <row r="906">
      <c r="D906" s="1237"/>
      <c r="F906" s="655"/>
      <c r="G906" s="655"/>
    </row>
    <row r="907">
      <c r="D907" s="1237"/>
      <c r="F907" s="655"/>
      <c r="G907" s="655"/>
    </row>
    <row r="908">
      <c r="D908" s="1237"/>
      <c r="F908" s="655"/>
      <c r="G908" s="655"/>
    </row>
    <row r="909">
      <c r="D909" s="1237"/>
      <c r="F909" s="655"/>
      <c r="G909" s="655"/>
    </row>
    <row r="910">
      <c r="D910" s="1237"/>
      <c r="F910" s="655"/>
      <c r="G910" s="655"/>
    </row>
    <row r="911">
      <c r="D911" s="1237"/>
      <c r="F911" s="655"/>
      <c r="G911" s="655"/>
    </row>
    <row r="912">
      <c r="D912" s="1237"/>
      <c r="F912" s="655"/>
      <c r="G912" s="655"/>
    </row>
    <row r="913">
      <c r="D913" s="1237"/>
      <c r="F913" s="655"/>
      <c r="G913" s="655"/>
    </row>
    <row r="914">
      <c r="D914" s="1237"/>
      <c r="F914" s="655"/>
      <c r="G914" s="655"/>
    </row>
    <row r="915">
      <c r="D915" s="1237"/>
      <c r="F915" s="655"/>
      <c r="G915" s="655"/>
    </row>
    <row r="916">
      <c r="D916" s="1237"/>
      <c r="F916" s="655"/>
      <c r="G916" s="655"/>
    </row>
    <row r="917">
      <c r="D917" s="1237"/>
      <c r="F917" s="655"/>
      <c r="G917" s="655"/>
    </row>
    <row r="918">
      <c r="D918" s="1237"/>
      <c r="F918" s="655"/>
      <c r="G918" s="655"/>
    </row>
    <row r="919">
      <c r="D919" s="1237"/>
      <c r="F919" s="655"/>
      <c r="G919" s="655"/>
    </row>
    <row r="920">
      <c r="D920" s="1237"/>
      <c r="F920" s="655"/>
      <c r="G920" s="655"/>
    </row>
    <row r="921">
      <c r="D921" s="1237"/>
      <c r="F921" s="655"/>
      <c r="G921" s="655"/>
    </row>
    <row r="922">
      <c r="D922" s="1237"/>
      <c r="F922" s="655"/>
      <c r="G922" s="655"/>
    </row>
    <row r="923">
      <c r="D923" s="1237"/>
      <c r="F923" s="655"/>
      <c r="G923" s="655"/>
    </row>
    <row r="924">
      <c r="D924" s="1237"/>
      <c r="F924" s="655"/>
      <c r="G924" s="655"/>
    </row>
    <row r="925">
      <c r="D925" s="1237"/>
      <c r="F925" s="655"/>
      <c r="G925" s="655"/>
    </row>
    <row r="926">
      <c r="D926" s="1237"/>
      <c r="F926" s="655"/>
      <c r="G926" s="655"/>
    </row>
    <row r="927">
      <c r="D927" s="1237"/>
      <c r="F927" s="655"/>
      <c r="G927" s="655"/>
    </row>
    <row r="928">
      <c r="D928" s="1237"/>
      <c r="F928" s="655"/>
      <c r="G928" s="655"/>
    </row>
    <row r="929">
      <c r="D929" s="1237"/>
      <c r="F929" s="655"/>
      <c r="G929" s="655"/>
    </row>
    <row r="930">
      <c r="D930" s="1237"/>
      <c r="F930" s="655"/>
      <c r="G930" s="655"/>
    </row>
    <row r="931">
      <c r="D931" s="1237"/>
      <c r="F931" s="655"/>
      <c r="G931" s="655"/>
    </row>
    <row r="932">
      <c r="D932" s="1237"/>
      <c r="F932" s="655"/>
      <c r="G932" s="655"/>
    </row>
    <row r="933">
      <c r="D933" s="1237"/>
      <c r="F933" s="655"/>
      <c r="G933" s="655"/>
    </row>
    <row r="934">
      <c r="D934" s="1237"/>
      <c r="F934" s="655"/>
      <c r="G934" s="655"/>
    </row>
    <row r="935">
      <c r="D935" s="1237"/>
      <c r="F935" s="655"/>
      <c r="G935" s="655"/>
    </row>
    <row r="936">
      <c r="D936" s="1237"/>
      <c r="F936" s="655"/>
      <c r="G936" s="655"/>
    </row>
    <row r="937">
      <c r="D937" s="1237"/>
      <c r="F937" s="655"/>
      <c r="G937" s="655"/>
    </row>
    <row r="938">
      <c r="D938" s="1237"/>
      <c r="F938" s="655"/>
      <c r="G938" s="655"/>
    </row>
    <row r="939">
      <c r="D939" s="1237"/>
      <c r="F939" s="655"/>
      <c r="G939" s="655"/>
    </row>
    <row r="940">
      <c r="D940" s="1237"/>
      <c r="F940" s="655"/>
      <c r="G940" s="655"/>
    </row>
    <row r="941">
      <c r="D941" s="1237"/>
      <c r="F941" s="655"/>
      <c r="G941" s="655"/>
    </row>
    <row r="942">
      <c r="D942" s="1237"/>
      <c r="F942" s="655"/>
      <c r="G942" s="655"/>
    </row>
    <row r="943">
      <c r="D943" s="1237"/>
      <c r="F943" s="655"/>
      <c r="G943" s="655"/>
    </row>
    <row r="944">
      <c r="D944" s="1237"/>
      <c r="F944" s="655"/>
      <c r="G944" s="655"/>
    </row>
    <row r="945">
      <c r="D945" s="1237"/>
      <c r="F945" s="655"/>
      <c r="G945" s="655"/>
    </row>
    <row r="946">
      <c r="D946" s="1237"/>
      <c r="F946" s="655"/>
      <c r="G946" s="655"/>
    </row>
    <row r="947">
      <c r="D947" s="1237"/>
      <c r="F947" s="655"/>
      <c r="G947" s="655"/>
    </row>
    <row r="948">
      <c r="D948" s="1237"/>
      <c r="F948" s="655"/>
      <c r="G948" s="655"/>
    </row>
    <row r="949">
      <c r="D949" s="1237"/>
      <c r="F949" s="655"/>
      <c r="G949" s="655"/>
    </row>
    <row r="950">
      <c r="D950" s="1237"/>
      <c r="F950" s="655"/>
      <c r="G950" s="655"/>
    </row>
    <row r="951">
      <c r="D951" s="1237"/>
      <c r="F951" s="655"/>
      <c r="G951" s="655"/>
    </row>
    <row r="952">
      <c r="D952" s="1237"/>
      <c r="F952" s="655"/>
      <c r="G952" s="655"/>
    </row>
    <row r="953">
      <c r="D953" s="1237"/>
      <c r="F953" s="655"/>
      <c r="G953" s="655"/>
    </row>
    <row r="954">
      <c r="D954" s="1237"/>
      <c r="F954" s="655"/>
      <c r="G954" s="655"/>
    </row>
    <row r="955">
      <c r="D955" s="1237"/>
      <c r="F955" s="655"/>
      <c r="G955" s="655"/>
    </row>
    <row r="956">
      <c r="D956" s="1237"/>
      <c r="F956" s="655"/>
      <c r="G956" s="655"/>
    </row>
    <row r="957">
      <c r="D957" s="1237"/>
      <c r="F957" s="655"/>
      <c r="G957" s="655"/>
    </row>
    <row r="958">
      <c r="D958" s="1237"/>
      <c r="F958" s="655"/>
      <c r="G958" s="655"/>
    </row>
    <row r="959">
      <c r="D959" s="1237"/>
      <c r="F959" s="655"/>
      <c r="G959" s="655"/>
    </row>
    <row r="960">
      <c r="D960" s="1237"/>
      <c r="F960" s="655"/>
      <c r="G960" s="655"/>
    </row>
    <row r="961">
      <c r="D961" s="1237"/>
      <c r="F961" s="655"/>
      <c r="G961" s="655"/>
    </row>
    <row r="962">
      <c r="D962" s="1237"/>
      <c r="F962" s="655"/>
      <c r="G962" s="655"/>
    </row>
    <row r="963">
      <c r="D963" s="1237"/>
      <c r="F963" s="655"/>
      <c r="G963" s="655"/>
    </row>
    <row r="964">
      <c r="D964" s="1237"/>
      <c r="F964" s="655"/>
      <c r="G964" s="655"/>
    </row>
    <row r="965">
      <c r="D965" s="1237"/>
      <c r="F965" s="655"/>
      <c r="G965" s="655"/>
    </row>
    <row r="966">
      <c r="D966" s="1237"/>
      <c r="F966" s="655"/>
      <c r="G966" s="655"/>
    </row>
    <row r="967">
      <c r="D967" s="1237"/>
      <c r="F967" s="655"/>
      <c r="G967" s="655"/>
    </row>
    <row r="968">
      <c r="D968" s="1237"/>
      <c r="F968" s="655"/>
      <c r="G968" s="655"/>
    </row>
    <row r="969">
      <c r="D969" s="1237"/>
      <c r="F969" s="655"/>
      <c r="G969" s="655"/>
    </row>
    <row r="970">
      <c r="D970" s="1237"/>
      <c r="F970" s="655"/>
      <c r="G970" s="655"/>
    </row>
    <row r="971">
      <c r="D971" s="1237"/>
      <c r="F971" s="655"/>
      <c r="G971" s="655"/>
    </row>
    <row r="972">
      <c r="D972" s="1237"/>
      <c r="F972" s="655"/>
      <c r="G972" s="655"/>
    </row>
    <row r="973">
      <c r="D973" s="1237"/>
      <c r="F973" s="655"/>
      <c r="G973" s="655"/>
    </row>
    <row r="974">
      <c r="D974" s="1237"/>
      <c r="F974" s="655"/>
      <c r="G974" s="655"/>
    </row>
    <row r="975">
      <c r="D975" s="1237"/>
      <c r="F975" s="655"/>
      <c r="G975" s="655"/>
    </row>
    <row r="976">
      <c r="D976" s="1237"/>
      <c r="F976" s="655"/>
      <c r="G976" s="655"/>
    </row>
    <row r="977">
      <c r="D977" s="1237"/>
      <c r="F977" s="655"/>
      <c r="G977" s="655"/>
    </row>
    <row r="978">
      <c r="D978" s="1237"/>
      <c r="F978" s="655"/>
      <c r="G978" s="655"/>
    </row>
    <row r="979">
      <c r="D979" s="1237"/>
      <c r="F979" s="655"/>
      <c r="G979" s="655"/>
    </row>
    <row r="980">
      <c r="D980" s="1237"/>
      <c r="F980" s="655"/>
      <c r="G980" s="655"/>
    </row>
    <row r="981">
      <c r="D981" s="1237"/>
      <c r="F981" s="655"/>
      <c r="G981" s="655"/>
    </row>
    <row r="982">
      <c r="D982" s="1237"/>
      <c r="F982" s="655"/>
      <c r="G982" s="655"/>
    </row>
    <row r="983">
      <c r="D983" s="1237"/>
      <c r="F983" s="655"/>
      <c r="G983" s="655"/>
    </row>
    <row r="984">
      <c r="D984" s="1237"/>
      <c r="F984" s="655"/>
      <c r="G984" s="655"/>
    </row>
    <row r="985">
      <c r="D985" s="1237"/>
      <c r="F985" s="655"/>
      <c r="G985" s="655"/>
    </row>
    <row r="986">
      <c r="D986" s="1237"/>
      <c r="F986" s="655"/>
      <c r="G986" s="655"/>
    </row>
    <row r="987">
      <c r="D987" s="1237"/>
      <c r="F987" s="655"/>
      <c r="G987" s="655"/>
    </row>
    <row r="988">
      <c r="D988" s="1237"/>
      <c r="F988" s="655"/>
      <c r="G988" s="655"/>
    </row>
    <row r="989">
      <c r="D989" s="1237"/>
      <c r="F989" s="655"/>
      <c r="G989" s="655"/>
    </row>
    <row r="990">
      <c r="D990" s="1237"/>
      <c r="F990" s="655"/>
      <c r="G990" s="655"/>
    </row>
    <row r="991">
      <c r="D991" s="1237"/>
      <c r="F991" s="655"/>
      <c r="G991" s="655"/>
    </row>
    <row r="992">
      <c r="D992" s="1237"/>
      <c r="F992" s="655"/>
      <c r="G992" s="655"/>
    </row>
    <row r="993">
      <c r="D993" s="1237"/>
      <c r="F993" s="655"/>
      <c r="G993" s="655"/>
    </row>
    <row r="994">
      <c r="D994" s="1237"/>
      <c r="F994" s="655"/>
      <c r="G994" s="655"/>
    </row>
    <row r="995">
      <c r="D995" s="1237"/>
      <c r="F995" s="655"/>
      <c r="G995" s="655"/>
    </row>
    <row r="996">
      <c r="D996" s="1237"/>
      <c r="F996" s="655"/>
      <c r="G996" s="655"/>
    </row>
    <row r="997">
      <c r="D997" s="1237"/>
      <c r="F997" s="655"/>
      <c r="G997" s="655"/>
    </row>
    <row r="998">
      <c r="D998" s="1237"/>
      <c r="F998" s="655"/>
      <c r="G998" s="655"/>
    </row>
    <row r="999">
      <c r="D999" s="1237"/>
      <c r="F999" s="655"/>
      <c r="G999" s="655"/>
    </row>
    <row r="1000">
      <c r="D1000" s="1237"/>
      <c r="F1000" s="655"/>
      <c r="G1000" s="655"/>
    </row>
    <row r="1001">
      <c r="D1001" s="1237"/>
      <c r="F1001" s="655"/>
      <c r="G1001" s="655"/>
    </row>
    <row r="1002">
      <c r="D1002" s="1237"/>
      <c r="F1002" s="655"/>
      <c r="G1002" s="655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0"/>
    <col customWidth="1" min="2" max="2" width="23.38"/>
    <col customWidth="1" min="3" max="3" width="18.5"/>
    <col customWidth="1" min="4" max="4" width="18.88"/>
    <col customWidth="1" min="5" max="6" width="18.5"/>
  </cols>
  <sheetData>
    <row r="1">
      <c r="A1" s="424" t="s">
        <v>350</v>
      </c>
    </row>
    <row r="2">
      <c r="A2" s="1270" t="s">
        <v>351</v>
      </c>
      <c r="B2" s="1270" t="s">
        <v>302</v>
      </c>
      <c r="C2" s="1270" t="s">
        <v>354</v>
      </c>
      <c r="D2" s="1270" t="s">
        <v>352</v>
      </c>
      <c r="E2" s="1270" t="s">
        <v>355</v>
      </c>
      <c r="F2" s="1270" t="s">
        <v>1</v>
      </c>
    </row>
    <row r="3">
      <c r="A3" s="426" t="s">
        <v>1122</v>
      </c>
      <c r="B3" s="1271"/>
      <c r="C3" s="1271"/>
      <c r="D3" s="1271"/>
      <c r="E3" s="1271"/>
      <c r="F3" s="1271"/>
    </row>
    <row r="4">
      <c r="A4" s="354" t="s">
        <v>855</v>
      </c>
      <c r="B4" s="340">
        <v>0.0</v>
      </c>
      <c r="C4" s="431" t="s">
        <v>360</v>
      </c>
      <c r="D4" s="354" t="s">
        <v>366</v>
      </c>
      <c r="E4" s="429" t="s">
        <v>361</v>
      </c>
      <c r="F4" s="429" t="s">
        <v>362</v>
      </c>
    </row>
    <row r="5">
      <c r="A5" s="1272" t="s">
        <v>373</v>
      </c>
      <c r="B5" s="1273">
        <v>5.0</v>
      </c>
      <c r="C5" s="431" t="s">
        <v>360</v>
      </c>
      <c r="D5" s="354" t="s">
        <v>366</v>
      </c>
      <c r="E5" s="429" t="s">
        <v>361</v>
      </c>
      <c r="F5" s="429" t="s">
        <v>362</v>
      </c>
    </row>
    <row r="6">
      <c r="A6" s="432" t="s">
        <v>1003</v>
      </c>
      <c r="B6" s="1273">
        <v>100.0</v>
      </c>
      <c r="C6" s="431" t="s">
        <v>360</v>
      </c>
      <c r="D6" s="354" t="s">
        <v>366</v>
      </c>
      <c r="E6" s="429" t="s">
        <v>361</v>
      </c>
      <c r="F6" s="429" t="s">
        <v>375</v>
      </c>
    </row>
    <row r="7">
      <c r="A7" s="354" t="s">
        <v>1123</v>
      </c>
      <c r="B7" s="340">
        <v>40.0</v>
      </c>
      <c r="C7" s="431" t="s">
        <v>360</v>
      </c>
      <c r="D7" s="354" t="s">
        <v>366</v>
      </c>
      <c r="E7" s="429" t="s">
        <v>734</v>
      </c>
      <c r="F7" s="429" t="s">
        <v>375</v>
      </c>
    </row>
    <row r="8">
      <c r="A8" s="110" t="s">
        <v>1124</v>
      </c>
      <c r="B8" s="113">
        <v>20.0</v>
      </c>
      <c r="C8" s="431" t="s">
        <v>360</v>
      </c>
      <c r="D8" s="354" t="s">
        <v>366</v>
      </c>
      <c r="E8" s="429" t="s">
        <v>734</v>
      </c>
      <c r="F8" s="429" t="s">
        <v>375</v>
      </c>
    </row>
    <row r="9">
      <c r="A9" s="110" t="s">
        <v>1125</v>
      </c>
      <c r="B9" s="113">
        <v>0.0</v>
      </c>
      <c r="C9" s="431" t="s">
        <v>360</v>
      </c>
      <c r="D9" s="354" t="s">
        <v>366</v>
      </c>
      <c r="E9" s="429" t="s">
        <v>734</v>
      </c>
      <c r="F9" s="429" t="s">
        <v>375</v>
      </c>
    </row>
    <row r="10">
      <c r="C10" s="431"/>
    </row>
    <row r="11">
      <c r="A11" s="108" t="s">
        <v>1126</v>
      </c>
    </row>
    <row r="12">
      <c r="A12" s="1254">
        <f>sum(B4:B9)</f>
        <v>165</v>
      </c>
    </row>
    <row r="14">
      <c r="A14" s="108" t="s">
        <v>1127</v>
      </c>
    </row>
    <row r="15">
      <c r="A15" s="1254">
        <f>A12*12</f>
        <v>1980</v>
      </c>
    </row>
    <row r="17">
      <c r="A17" s="108"/>
    </row>
    <row r="18">
      <c r="A18" s="464"/>
    </row>
    <row r="19">
      <c r="A19" s="1274" t="s">
        <v>1128</v>
      </c>
      <c r="B19" s="1275"/>
    </row>
    <row r="20">
      <c r="A20" s="1276" t="s">
        <v>1129</v>
      </c>
      <c r="B20" s="1277"/>
    </row>
    <row r="21">
      <c r="A21" s="1278"/>
      <c r="B21" s="1279"/>
    </row>
  </sheetData>
  <mergeCells count="3">
    <mergeCell ref="A1:F1"/>
    <mergeCell ref="A19:B19"/>
    <mergeCell ref="A20:B21"/>
  </mergeCells>
  <conditionalFormatting sqref="D4:D9">
    <cfRule type="cellIs" dxfId="14" priority="1" operator="equal">
      <formula>"Payments Scheduled"</formula>
    </cfRule>
  </conditionalFormatting>
  <conditionalFormatting sqref="D4:D9">
    <cfRule type="cellIs" dxfId="15" priority="2" operator="equal">
      <formula>"Paused"</formula>
    </cfRule>
  </conditionalFormatting>
  <conditionalFormatting sqref="D4:D9">
    <cfRule type="cellIs" dxfId="21" priority="3" operator="equal">
      <formula>"Attention"</formula>
    </cfRule>
  </conditionalFormatting>
  <conditionalFormatting sqref="D4:D9">
    <cfRule type="cellIs" dxfId="17" priority="4" operator="equal">
      <formula>"Paid Off"</formula>
    </cfRule>
  </conditionalFormatting>
  <dataValidations>
    <dataValidation type="list" allowBlank="1" sqref="D4:D9">
      <formula1>"Payments Scheduled,Paused,Paid Off,Attention"</formula1>
    </dataValidation>
    <dataValidation type="list" allowBlank="1" sqref="E4:E6">
      <formula1>"Bill,Payment"</formula1>
    </dataValidation>
    <dataValidation type="list" allowBlank="1" sqref="F4:F9">
      <formula1>"Week 1-2,Week 2-4"</formula1>
    </dataValidation>
    <dataValidation type="list" allowBlank="1" sqref="E7:E9">
      <formula1>"Bill,Debt Management"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A1" s="116" t="s">
        <v>1088</v>
      </c>
      <c r="B1" s="116" t="s">
        <v>1130</v>
      </c>
      <c r="C1" s="769"/>
      <c r="D1" s="769"/>
    </row>
    <row r="2">
      <c r="A2" s="1280" t="s">
        <v>1131</v>
      </c>
      <c r="B2" s="1281"/>
      <c r="C2" s="1281"/>
      <c r="D2" s="1281"/>
    </row>
    <row r="3">
      <c r="A3" s="1282" t="s">
        <v>1132</v>
      </c>
      <c r="B3" s="1283">
        <v>1000.0</v>
      </c>
      <c r="C3" s="1284"/>
      <c r="D3" s="1284"/>
      <c r="E3" s="1284"/>
      <c r="F3" s="1284"/>
      <c r="G3" s="1284"/>
      <c r="H3" s="1284"/>
      <c r="I3" s="1284"/>
      <c r="J3" s="1284"/>
      <c r="K3" s="1284"/>
      <c r="L3" s="1284"/>
      <c r="M3" s="1284"/>
      <c r="N3" s="1284"/>
      <c r="O3" s="1284"/>
      <c r="P3" s="1284"/>
      <c r="Q3" s="1284"/>
      <c r="R3" s="1284"/>
      <c r="S3" s="1284"/>
      <c r="T3" s="1284"/>
      <c r="U3" s="1284"/>
      <c r="V3" s="1284"/>
      <c r="W3" s="1284"/>
      <c r="X3" s="1284"/>
      <c r="Y3" s="1284"/>
      <c r="Z3" s="1284"/>
    </row>
    <row r="4">
      <c r="A4" s="1282" t="s">
        <v>22</v>
      </c>
      <c r="B4" s="1283">
        <v>128.0</v>
      </c>
      <c r="C4" s="1284"/>
      <c r="D4" s="1284"/>
      <c r="E4" s="1284"/>
      <c r="F4" s="1284"/>
      <c r="G4" s="1284"/>
      <c r="H4" s="1284"/>
      <c r="I4" s="1284"/>
      <c r="J4" s="1284"/>
      <c r="K4" s="1284"/>
      <c r="L4" s="1284"/>
      <c r="M4" s="1284"/>
      <c r="N4" s="1284"/>
      <c r="O4" s="1284"/>
      <c r="P4" s="1284"/>
      <c r="Q4" s="1284"/>
      <c r="R4" s="1284"/>
      <c r="S4" s="1284"/>
      <c r="T4" s="1284"/>
      <c r="U4" s="1284"/>
      <c r="V4" s="1284"/>
      <c r="W4" s="1284"/>
      <c r="X4" s="1284"/>
      <c r="Y4" s="1284"/>
      <c r="Z4" s="1284"/>
    </row>
    <row r="5">
      <c r="A5" s="1282" t="s">
        <v>1133</v>
      </c>
      <c r="B5" s="1283">
        <v>12.0</v>
      </c>
      <c r="C5" s="1284"/>
      <c r="D5" s="1284"/>
      <c r="E5" s="1284"/>
      <c r="F5" s="1284"/>
      <c r="G5" s="1284"/>
      <c r="H5" s="1284"/>
      <c r="I5" s="1284"/>
      <c r="J5" s="1284"/>
      <c r="K5" s="1284"/>
      <c r="L5" s="1284"/>
      <c r="M5" s="1284"/>
      <c r="N5" s="1284"/>
      <c r="O5" s="1284"/>
      <c r="P5" s="1284"/>
      <c r="Q5" s="1284"/>
      <c r="R5" s="1284"/>
      <c r="S5" s="1284"/>
      <c r="T5" s="1284"/>
      <c r="U5" s="1284"/>
      <c r="V5" s="1284"/>
      <c r="W5" s="1284"/>
      <c r="X5" s="1284"/>
      <c r="Y5" s="1284"/>
      <c r="Z5" s="1284"/>
    </row>
    <row r="6">
      <c r="A6" s="1282" t="s">
        <v>1134</v>
      </c>
      <c r="B6" s="1283">
        <v>75.0</v>
      </c>
      <c r="C6" s="1284"/>
      <c r="D6" s="1284"/>
      <c r="E6" s="1284"/>
      <c r="F6" s="1284"/>
      <c r="G6" s="1284"/>
      <c r="H6" s="1284"/>
      <c r="I6" s="1284"/>
      <c r="J6" s="1284"/>
      <c r="K6" s="1284"/>
      <c r="L6" s="1284"/>
      <c r="M6" s="1284"/>
      <c r="N6" s="1284"/>
      <c r="O6" s="1284"/>
      <c r="P6" s="1284"/>
      <c r="Q6" s="1284"/>
      <c r="R6" s="1284"/>
      <c r="S6" s="1284"/>
      <c r="T6" s="1284"/>
      <c r="U6" s="1284"/>
      <c r="V6" s="1284"/>
      <c r="W6" s="1284"/>
      <c r="X6" s="1284"/>
      <c r="Y6" s="1284"/>
      <c r="Z6" s="1284"/>
    </row>
    <row r="7">
      <c r="A7" s="1282" t="s">
        <v>1135</v>
      </c>
      <c r="B7" s="1283">
        <v>77.0</v>
      </c>
      <c r="C7" s="1284"/>
      <c r="D7" s="1284"/>
      <c r="E7" s="1284"/>
      <c r="F7" s="1284"/>
      <c r="G7" s="1284"/>
      <c r="H7" s="1284"/>
      <c r="I7" s="1284"/>
      <c r="J7" s="1284"/>
      <c r="K7" s="1284"/>
      <c r="L7" s="1284"/>
      <c r="M7" s="1284"/>
      <c r="N7" s="1284"/>
      <c r="O7" s="1284"/>
      <c r="P7" s="1284"/>
      <c r="Q7" s="1284"/>
      <c r="R7" s="1284"/>
      <c r="S7" s="1284"/>
      <c r="T7" s="1284"/>
      <c r="U7" s="1284"/>
      <c r="V7" s="1284"/>
      <c r="W7" s="1284"/>
      <c r="X7" s="1284"/>
      <c r="Y7" s="1284"/>
      <c r="Z7" s="1284"/>
    </row>
    <row r="8">
      <c r="A8" s="1282" t="s">
        <v>1136</v>
      </c>
      <c r="B8" s="1283">
        <v>120.0</v>
      </c>
      <c r="C8" s="1284"/>
      <c r="D8" s="1284"/>
      <c r="E8" s="1284"/>
      <c r="F8" s="1284"/>
      <c r="G8" s="1284"/>
      <c r="H8" s="1284"/>
      <c r="I8" s="1284"/>
      <c r="J8" s="1284"/>
      <c r="K8" s="1284"/>
      <c r="L8" s="1284"/>
      <c r="M8" s="1284"/>
      <c r="N8" s="1284"/>
      <c r="O8" s="1284"/>
      <c r="P8" s="1284"/>
      <c r="Q8" s="1284"/>
      <c r="R8" s="1284"/>
      <c r="S8" s="1284"/>
      <c r="T8" s="1284"/>
      <c r="U8" s="1284"/>
      <c r="V8" s="1284"/>
      <c r="W8" s="1284"/>
      <c r="X8" s="1284"/>
      <c r="Y8" s="1284"/>
      <c r="Z8" s="1284"/>
    </row>
    <row r="9">
      <c r="A9" s="1282" t="s">
        <v>1096</v>
      </c>
      <c r="B9" s="1283">
        <v>656.0</v>
      </c>
      <c r="C9" s="1284"/>
      <c r="D9" s="1284"/>
      <c r="E9" s="1284"/>
      <c r="F9" s="1284"/>
      <c r="G9" s="1284"/>
      <c r="H9" s="1284"/>
      <c r="I9" s="1284"/>
      <c r="J9" s="1284"/>
      <c r="K9" s="1284"/>
      <c r="L9" s="1284"/>
      <c r="M9" s="1284"/>
      <c r="N9" s="1284"/>
      <c r="O9" s="1284"/>
      <c r="P9" s="1284"/>
      <c r="Q9" s="1284"/>
      <c r="R9" s="1284"/>
      <c r="S9" s="1284"/>
      <c r="T9" s="1284"/>
      <c r="U9" s="1284"/>
      <c r="V9" s="1284"/>
      <c r="W9" s="1284"/>
      <c r="X9" s="1284"/>
      <c r="Y9" s="1284"/>
      <c r="Z9" s="1284"/>
    </row>
    <row r="10">
      <c r="A10" s="1282" t="s">
        <v>1137</v>
      </c>
      <c r="B10" s="1283">
        <v>275.0</v>
      </c>
      <c r="C10" s="1284"/>
      <c r="D10" s="1284"/>
      <c r="E10" s="1284"/>
      <c r="F10" s="1284"/>
      <c r="G10" s="1284"/>
      <c r="H10" s="1284"/>
      <c r="I10" s="1284"/>
      <c r="J10" s="1284"/>
      <c r="K10" s="1284"/>
      <c r="L10" s="1284"/>
      <c r="M10" s="1284"/>
      <c r="N10" s="1284"/>
      <c r="O10" s="1284"/>
      <c r="P10" s="1284"/>
      <c r="Q10" s="1284"/>
      <c r="R10" s="1284"/>
      <c r="S10" s="1284"/>
      <c r="T10" s="1284"/>
      <c r="U10" s="1284"/>
      <c r="V10" s="1284"/>
      <c r="W10" s="1284"/>
      <c r="X10" s="1284"/>
      <c r="Y10" s="1284"/>
      <c r="Z10" s="1284"/>
    </row>
    <row r="11">
      <c r="A11" s="1282" t="s">
        <v>1138</v>
      </c>
      <c r="B11" s="1283">
        <v>18.0</v>
      </c>
      <c r="C11" s="1284"/>
      <c r="D11" s="1284"/>
      <c r="E11" s="1284"/>
      <c r="F11" s="1284"/>
      <c r="G11" s="1284"/>
      <c r="H11" s="1284"/>
      <c r="I11" s="1284"/>
      <c r="J11" s="1284"/>
      <c r="K11" s="1284"/>
      <c r="L11" s="1284"/>
      <c r="M11" s="1284"/>
      <c r="N11" s="1284"/>
      <c r="O11" s="1284"/>
      <c r="P11" s="1284"/>
      <c r="Q11" s="1284"/>
      <c r="R11" s="1284"/>
      <c r="S11" s="1284"/>
      <c r="T11" s="1284"/>
      <c r="U11" s="1284"/>
      <c r="V11" s="1284"/>
      <c r="W11" s="1284"/>
      <c r="X11" s="1284"/>
      <c r="Y11" s="1284"/>
      <c r="Z11" s="1284"/>
    </row>
    <row r="12">
      <c r="A12" s="1282" t="s">
        <v>1139</v>
      </c>
      <c r="B12" s="1283">
        <v>12.0</v>
      </c>
      <c r="C12" s="1284"/>
      <c r="D12" s="1284"/>
      <c r="E12" s="1284"/>
      <c r="F12" s="1284"/>
      <c r="G12" s="1284"/>
      <c r="H12" s="1284"/>
      <c r="I12" s="1284"/>
      <c r="J12" s="1284"/>
      <c r="K12" s="1284"/>
      <c r="L12" s="1284"/>
      <c r="M12" s="1284"/>
      <c r="N12" s="1284"/>
      <c r="O12" s="1284"/>
      <c r="P12" s="1284"/>
      <c r="Q12" s="1284"/>
      <c r="R12" s="1284"/>
      <c r="S12" s="1284"/>
      <c r="T12" s="1284"/>
      <c r="U12" s="1284"/>
      <c r="V12" s="1284"/>
      <c r="W12" s="1284"/>
      <c r="X12" s="1284"/>
      <c r="Y12" s="1284"/>
      <c r="Z12" s="1284"/>
    </row>
    <row r="13">
      <c r="A13" s="1282" t="s">
        <v>1140</v>
      </c>
      <c r="B13" s="1283">
        <v>26.0</v>
      </c>
      <c r="C13" s="1284"/>
      <c r="D13" s="1284"/>
      <c r="E13" s="1284"/>
      <c r="F13" s="1284"/>
      <c r="G13" s="1284"/>
      <c r="H13" s="1284"/>
      <c r="I13" s="1284"/>
      <c r="J13" s="1284"/>
      <c r="K13" s="1284"/>
      <c r="L13" s="1284"/>
      <c r="M13" s="1284"/>
      <c r="N13" s="1284"/>
      <c r="O13" s="1284"/>
      <c r="P13" s="1284"/>
      <c r="Q13" s="1284"/>
      <c r="R13" s="1284"/>
      <c r="S13" s="1284"/>
      <c r="T13" s="1284"/>
      <c r="U13" s="1284"/>
      <c r="V13" s="1284"/>
      <c r="W13" s="1284"/>
      <c r="X13" s="1284"/>
      <c r="Y13" s="1284"/>
      <c r="Z13" s="1284"/>
    </row>
    <row r="14">
      <c r="A14" s="1282" t="s">
        <v>22</v>
      </c>
      <c r="B14" s="1283">
        <v>-60.0</v>
      </c>
      <c r="C14" s="1284"/>
      <c r="D14" s="1284"/>
      <c r="E14" s="1284"/>
      <c r="F14" s="1284"/>
      <c r="G14" s="1284"/>
      <c r="H14" s="1284"/>
      <c r="I14" s="1284"/>
      <c r="J14" s="1284"/>
      <c r="K14" s="1284"/>
      <c r="L14" s="1284"/>
      <c r="M14" s="1284"/>
      <c r="N14" s="1284"/>
      <c r="O14" s="1284"/>
      <c r="P14" s="1284"/>
      <c r="Q14" s="1284"/>
      <c r="R14" s="1284"/>
      <c r="S14" s="1284"/>
      <c r="T14" s="1284"/>
      <c r="U14" s="1284"/>
      <c r="V14" s="1284"/>
      <c r="W14" s="1284"/>
      <c r="X14" s="1284"/>
      <c r="Y14" s="1284"/>
      <c r="Z14" s="1284"/>
    </row>
    <row r="15">
      <c r="A15" s="1282"/>
      <c r="B15" s="1283"/>
      <c r="C15" s="1284"/>
      <c r="D15" s="1284"/>
      <c r="E15" s="1284"/>
      <c r="F15" s="1284"/>
      <c r="G15" s="1284"/>
      <c r="H15" s="1284"/>
      <c r="I15" s="1284"/>
      <c r="J15" s="1284"/>
      <c r="K15" s="1284"/>
      <c r="L15" s="1284"/>
      <c r="M15" s="1284"/>
      <c r="N15" s="1284"/>
      <c r="O15" s="1284"/>
      <c r="P15" s="1284"/>
      <c r="Q15" s="1284"/>
      <c r="R15" s="1284"/>
      <c r="S15" s="1284"/>
      <c r="T15" s="1284"/>
      <c r="U15" s="1284"/>
      <c r="V15" s="1284"/>
      <c r="W15" s="1284"/>
      <c r="X15" s="1284"/>
      <c r="Y15" s="1284"/>
      <c r="Z15" s="1284"/>
    </row>
    <row r="16">
      <c r="A16" s="1282" t="s">
        <v>1141</v>
      </c>
      <c r="B16" s="1285"/>
      <c r="C16" s="1284"/>
      <c r="D16" s="1284"/>
      <c r="E16" s="1284"/>
      <c r="F16" s="1284"/>
      <c r="G16" s="1284"/>
      <c r="H16" s="1284"/>
      <c r="I16" s="1284"/>
      <c r="J16" s="1284"/>
      <c r="K16" s="1284"/>
      <c r="L16" s="1284"/>
      <c r="M16" s="1284"/>
      <c r="N16" s="1284"/>
      <c r="O16" s="1284"/>
      <c r="P16" s="1284"/>
      <c r="Q16" s="1284"/>
      <c r="R16" s="1284"/>
      <c r="S16" s="1284"/>
      <c r="T16" s="1284"/>
      <c r="U16" s="1284"/>
      <c r="V16" s="1284"/>
      <c r="W16" s="1284"/>
      <c r="X16" s="1284"/>
      <c r="Y16" s="1284"/>
      <c r="Z16" s="1284"/>
    </row>
    <row r="17">
      <c r="A17" s="1282" t="s">
        <v>1142</v>
      </c>
      <c r="B17" s="1285"/>
      <c r="C17" s="1284"/>
      <c r="D17" s="1284"/>
      <c r="E17" s="1284"/>
      <c r="F17" s="1284"/>
      <c r="G17" s="1286"/>
      <c r="H17" s="1284"/>
      <c r="I17" s="1284"/>
      <c r="J17" s="1284"/>
      <c r="K17" s="1284"/>
      <c r="L17" s="1284"/>
      <c r="M17" s="1284"/>
      <c r="N17" s="1284"/>
      <c r="O17" s="1284"/>
      <c r="P17" s="1284"/>
      <c r="Q17" s="1284"/>
      <c r="R17" s="1284"/>
      <c r="S17" s="1284"/>
      <c r="T17" s="1284"/>
      <c r="U17" s="1284"/>
      <c r="V17" s="1284"/>
      <c r="W17" s="1284"/>
      <c r="X17" s="1284"/>
      <c r="Y17" s="1284"/>
      <c r="Z17" s="1284"/>
    </row>
    <row r="18">
      <c r="A18" s="1284"/>
      <c r="B18" s="1287">
        <f>sum(B3:B16)</f>
        <v>2339</v>
      </c>
      <c r="C18" s="1284"/>
      <c r="D18" s="1284"/>
      <c r="E18" s="1284"/>
      <c r="F18" s="1284"/>
      <c r="G18" s="1284"/>
      <c r="H18" s="1284"/>
      <c r="I18" s="1284"/>
      <c r="J18" s="1284"/>
      <c r="K18" s="1284"/>
      <c r="L18" s="1284"/>
      <c r="M18" s="1284"/>
      <c r="N18" s="1284"/>
      <c r="O18" s="1284"/>
      <c r="P18" s="1284"/>
      <c r="Q18" s="1284"/>
      <c r="R18" s="1284"/>
      <c r="S18" s="1284"/>
      <c r="T18" s="1284"/>
      <c r="U18" s="1284"/>
      <c r="V18" s="1284"/>
      <c r="W18" s="1284"/>
      <c r="X18" s="1284"/>
      <c r="Y18" s="1284"/>
      <c r="Z18" s="1284"/>
    </row>
    <row r="21">
      <c r="A21" s="1280" t="s">
        <v>1143</v>
      </c>
      <c r="B21" s="1281"/>
      <c r="C21" s="1281"/>
      <c r="D21" s="1281"/>
    </row>
    <row r="22">
      <c r="A22" s="1078" t="s">
        <v>1144</v>
      </c>
      <c r="B22" s="1080">
        <v>550.0</v>
      </c>
      <c r="C22" s="1077"/>
      <c r="D22" s="1077"/>
    </row>
    <row r="23">
      <c r="A23" s="1080" t="s">
        <v>1145</v>
      </c>
      <c r="B23" s="1288">
        <f>1700</f>
        <v>1700</v>
      </c>
      <c r="C23" s="1077"/>
      <c r="D23" s="1077"/>
    </row>
    <row r="24">
      <c r="A24" s="1080" t="s">
        <v>1146</v>
      </c>
      <c r="B24" s="1080">
        <v>1000.0</v>
      </c>
      <c r="C24" s="1077"/>
      <c r="D24" s="1077"/>
    </row>
    <row r="25">
      <c r="A25" s="1078" t="s">
        <v>1147</v>
      </c>
      <c r="B25" s="1080">
        <v>1000.0</v>
      </c>
      <c r="C25" s="1077"/>
      <c r="D25" s="1077"/>
    </row>
    <row r="26">
      <c r="A26" s="1077"/>
      <c r="B26" s="1288">
        <f>sum(B22:B25)</f>
        <v>4250</v>
      </c>
      <c r="C26" s="1077"/>
      <c r="D26" s="1077"/>
    </row>
    <row r="27">
      <c r="A27" s="1077"/>
      <c r="B27" s="1077"/>
      <c r="C27" s="1077"/>
      <c r="D27" s="1077"/>
    </row>
    <row r="28">
      <c r="A28" s="1077"/>
      <c r="B28" s="1289" t="s">
        <v>1148</v>
      </c>
      <c r="C28" s="1077"/>
      <c r="D28" s="1077"/>
    </row>
    <row r="29">
      <c r="A29" s="1077"/>
      <c r="B29" s="1080">
        <f>sum(B22:B25)-1500-2500</f>
        <v>250</v>
      </c>
      <c r="C29" s="1078" t="s">
        <v>1149</v>
      </c>
      <c r="D29" s="1077"/>
    </row>
    <row r="30">
      <c r="A30" s="1077"/>
      <c r="B30" s="1080">
        <f>B18-2339</f>
        <v>0</v>
      </c>
      <c r="C30" s="1078" t="s">
        <v>1150</v>
      </c>
      <c r="D30" s="1077"/>
    </row>
    <row r="31">
      <c r="A31" s="1077"/>
      <c r="B31" s="1080">
        <f>1500-1500</f>
        <v>0</v>
      </c>
      <c r="C31" s="1078" t="s">
        <v>1151</v>
      </c>
      <c r="D31" s="1077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</cols>
  <sheetData>
    <row r="1">
      <c r="A1" s="1290" t="s">
        <v>705</v>
      </c>
      <c r="B1" s="1290" t="s">
        <v>1152</v>
      </c>
      <c r="C1" s="1290" t="s">
        <v>649</v>
      </c>
      <c r="D1" s="1290" t="s">
        <v>1153</v>
      </c>
      <c r="E1" s="1291" t="s">
        <v>1154</v>
      </c>
      <c r="F1" s="1290" t="s">
        <v>1155</v>
      </c>
      <c r="G1" s="1290" t="s">
        <v>658</v>
      </c>
      <c r="H1" s="1292" t="s">
        <v>195</v>
      </c>
      <c r="I1" s="1292" t="s">
        <v>716</v>
      </c>
      <c r="J1" s="1292" t="s">
        <v>1156</v>
      </c>
      <c r="K1" s="1292" t="s">
        <v>352</v>
      </c>
      <c r="L1" s="1292" t="s">
        <v>1157</v>
      </c>
    </row>
    <row r="2">
      <c r="A2" s="110" t="s">
        <v>1158</v>
      </c>
      <c r="B2" s="110">
        <v>1.0</v>
      </c>
    </row>
    <row r="3">
      <c r="A3" s="110" t="s">
        <v>1158</v>
      </c>
      <c r="B3" s="110">
        <v>4.0</v>
      </c>
    </row>
    <row r="4">
      <c r="A4" s="110" t="s">
        <v>1158</v>
      </c>
      <c r="B4" s="110">
        <v>2.0</v>
      </c>
    </row>
    <row r="5">
      <c r="A5" s="110" t="s">
        <v>1158</v>
      </c>
      <c r="B5" s="110">
        <v>3.0</v>
      </c>
    </row>
    <row r="6">
      <c r="A6" s="110" t="s">
        <v>1158</v>
      </c>
    </row>
    <row r="8">
      <c r="B8" s="110">
        <f>sum(B2:B5)</f>
        <v>10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38"/>
    <col hidden="1" min="2" max="2" width="12.63"/>
    <col customWidth="1" hidden="1" min="3" max="3" width="15.63"/>
    <col hidden="1" min="4" max="8" width="12.63"/>
    <col customWidth="1" hidden="1" min="9" max="9" width="13.25"/>
    <col hidden="1" min="10" max="13" width="12.63"/>
  </cols>
  <sheetData>
    <row r="1">
      <c r="A1" s="1293" t="s">
        <v>705</v>
      </c>
      <c r="B1" s="1294" t="s">
        <v>710</v>
      </c>
      <c r="C1" s="1294" t="s">
        <v>711</v>
      </c>
      <c r="D1" s="1295" t="s">
        <v>95</v>
      </c>
      <c r="E1" s="1295" t="s">
        <v>96</v>
      </c>
      <c r="F1" s="1295" t="s">
        <v>97</v>
      </c>
      <c r="G1" s="1295" t="s">
        <v>98</v>
      </c>
      <c r="H1" s="1295" t="s">
        <v>99</v>
      </c>
      <c r="I1" s="1293" t="s">
        <v>100</v>
      </c>
      <c r="J1" s="1295" t="s">
        <v>706</v>
      </c>
      <c r="K1" s="1295" t="s">
        <v>707</v>
      </c>
      <c r="L1" s="1295" t="s">
        <v>1159</v>
      </c>
      <c r="M1" s="1295" t="s">
        <v>709</v>
      </c>
      <c r="N1" s="1295" t="s">
        <v>710</v>
      </c>
      <c r="O1" s="1295" t="s">
        <v>711</v>
      </c>
    </row>
    <row r="2">
      <c r="A2" s="1296" t="s">
        <v>195</v>
      </c>
      <c r="B2" s="1297"/>
      <c r="C2" s="1297"/>
      <c r="D2" s="1297"/>
      <c r="E2" s="1297"/>
      <c r="F2" s="1297"/>
      <c r="G2" s="1297"/>
      <c r="H2" s="1297"/>
      <c r="I2" s="1298"/>
      <c r="J2" s="1297"/>
      <c r="K2" s="1297"/>
      <c r="L2" s="1299"/>
      <c r="M2" s="1299"/>
      <c r="N2" s="1299"/>
      <c r="O2" s="1299"/>
    </row>
    <row r="3">
      <c r="A3" s="1300" t="s">
        <v>712</v>
      </c>
      <c r="B3" s="1301"/>
      <c r="C3" s="1302"/>
      <c r="D3" s="1302"/>
      <c r="E3" s="1302"/>
      <c r="F3" s="1302"/>
      <c r="G3" s="1302"/>
      <c r="H3" s="1302"/>
      <c r="I3" s="1302"/>
      <c r="J3" s="1302">
        <v>0.0</v>
      </c>
      <c r="K3" s="1302">
        <v>0.0</v>
      </c>
      <c r="L3" s="1302">
        <v>0.0</v>
      </c>
      <c r="M3" s="1302">
        <v>0.0</v>
      </c>
      <c r="N3" s="1302">
        <v>10000.0</v>
      </c>
      <c r="O3" s="1302">
        <v>10000.0</v>
      </c>
    </row>
    <row r="4">
      <c r="A4" s="1300" t="s">
        <v>1160</v>
      </c>
      <c r="B4" s="1301"/>
      <c r="C4" s="1302">
        <v>3500.0</v>
      </c>
      <c r="D4" s="1302">
        <v>3500.0</v>
      </c>
      <c r="E4" s="1302">
        <v>3500.0</v>
      </c>
      <c r="F4" s="1302">
        <v>3500.0</v>
      </c>
      <c r="G4" s="1302">
        <v>3500.0</v>
      </c>
      <c r="H4" s="1302">
        <v>0.0</v>
      </c>
      <c r="I4" s="1302">
        <v>0.0</v>
      </c>
      <c r="J4" s="1302">
        <v>0.0</v>
      </c>
      <c r="K4" s="1302">
        <v>7500.0</v>
      </c>
      <c r="L4" s="1302">
        <v>7500.0</v>
      </c>
      <c r="M4" s="1303">
        <v>0.0</v>
      </c>
      <c r="N4" s="1303">
        <v>0.0</v>
      </c>
      <c r="O4" s="1303">
        <v>0.0</v>
      </c>
    </row>
    <row r="5">
      <c r="A5" s="1304" t="s">
        <v>713</v>
      </c>
      <c r="B5" s="1305"/>
      <c r="C5" s="1306">
        <v>0.0</v>
      </c>
      <c r="D5" s="1306">
        <v>0.0</v>
      </c>
      <c r="E5" s="1306">
        <v>0.0</v>
      </c>
      <c r="F5" s="1306">
        <v>0.0</v>
      </c>
      <c r="G5" s="1307">
        <v>250.0</v>
      </c>
      <c r="H5" s="1307">
        <v>200.0</v>
      </c>
      <c r="I5" s="1307">
        <v>2000.0</v>
      </c>
      <c r="J5" s="1307">
        <v>400.0</v>
      </c>
      <c r="K5" s="1307">
        <v>1000.0</v>
      </c>
      <c r="L5" s="1307">
        <v>1000.0</v>
      </c>
      <c r="M5" s="1307">
        <v>0.0</v>
      </c>
      <c r="N5" s="1307">
        <v>0.0</v>
      </c>
      <c r="O5" s="1307">
        <v>0.0</v>
      </c>
    </row>
    <row r="6">
      <c r="A6" s="1300" t="s">
        <v>35</v>
      </c>
      <c r="B6" s="1308"/>
      <c r="C6" s="1309"/>
      <c r="D6" s="1309"/>
      <c r="E6" s="1309"/>
      <c r="F6" s="1302">
        <v>0.0</v>
      </c>
      <c r="G6" s="1302">
        <v>0.0</v>
      </c>
      <c r="H6" s="1302">
        <v>0.0</v>
      </c>
      <c r="I6" s="1302">
        <v>0.0</v>
      </c>
      <c r="J6" s="1302">
        <v>0.0</v>
      </c>
      <c r="K6" s="1302">
        <v>0.0</v>
      </c>
      <c r="L6" s="1302">
        <v>0.0</v>
      </c>
      <c r="M6" s="1302">
        <v>0.0</v>
      </c>
      <c r="N6" s="1302">
        <v>0.0</v>
      </c>
      <c r="O6" s="1302">
        <v>0.0</v>
      </c>
    </row>
    <row r="7">
      <c r="A7" s="1300" t="s">
        <v>1161</v>
      </c>
      <c r="B7" s="1308"/>
      <c r="C7" s="1309"/>
      <c r="D7" s="1309"/>
      <c r="E7" s="1309"/>
      <c r="F7" s="1302">
        <v>200.0</v>
      </c>
      <c r="G7" s="1302">
        <v>140.0</v>
      </c>
      <c r="H7" s="1302">
        <v>350.0</v>
      </c>
      <c r="I7" s="1302">
        <v>0.0</v>
      </c>
      <c r="J7" s="1302">
        <v>0.0</v>
      </c>
      <c r="K7" s="1302">
        <v>0.0</v>
      </c>
      <c r="L7" s="1302">
        <v>0.0</v>
      </c>
      <c r="M7" s="1302">
        <v>0.0</v>
      </c>
      <c r="N7" s="1302">
        <v>0.0</v>
      </c>
      <c r="O7" s="1302">
        <v>0.0</v>
      </c>
    </row>
    <row r="8">
      <c r="A8" s="1300" t="s">
        <v>1162</v>
      </c>
      <c r="B8" s="1308"/>
      <c r="C8" s="1309">
        <v>0.0</v>
      </c>
      <c r="D8" s="1309">
        <v>0.0</v>
      </c>
      <c r="E8" s="1309">
        <v>0.0</v>
      </c>
      <c r="F8" s="1302">
        <v>1900.0</v>
      </c>
      <c r="G8" s="1309">
        <v>0.0</v>
      </c>
      <c r="H8" s="1302">
        <v>0.0</v>
      </c>
      <c r="I8" s="1309">
        <v>0.0</v>
      </c>
      <c r="J8" s="1302">
        <v>1200.0</v>
      </c>
      <c r="K8" s="1302">
        <v>500.0</v>
      </c>
      <c r="L8" s="1309">
        <v>0.0</v>
      </c>
      <c r="M8" s="1309">
        <v>0.0</v>
      </c>
      <c r="N8" s="1310">
        <v>4520.0</v>
      </c>
      <c r="O8" s="1309">
        <v>0.0</v>
      </c>
    </row>
    <row r="9">
      <c r="A9" s="1311"/>
      <c r="B9" s="1308"/>
      <c r="C9" s="1308"/>
      <c r="D9" s="1308"/>
      <c r="E9" s="1308"/>
      <c r="F9" s="1308"/>
      <c r="G9" s="1308"/>
      <c r="H9" s="1308"/>
      <c r="I9" s="1308"/>
      <c r="J9" s="1308"/>
      <c r="K9" s="1308"/>
      <c r="L9" s="1308"/>
      <c r="M9" s="1308"/>
      <c r="N9" s="1308"/>
      <c r="O9" s="1308"/>
    </row>
    <row r="10">
      <c r="A10" s="1312" t="s">
        <v>203</v>
      </c>
      <c r="B10" s="1308"/>
      <c r="C10" s="1309">
        <f t="shared" ref="C10:M10" si="1">sum(C4:C8)</f>
        <v>3500</v>
      </c>
      <c r="D10" s="1309">
        <f t="shared" si="1"/>
        <v>3500</v>
      </c>
      <c r="E10" s="1309">
        <f t="shared" si="1"/>
        <v>3500</v>
      </c>
      <c r="F10" s="1309">
        <f t="shared" si="1"/>
        <v>5600</v>
      </c>
      <c r="G10" s="1309">
        <f t="shared" si="1"/>
        <v>3890</v>
      </c>
      <c r="H10" s="1309">
        <f t="shared" si="1"/>
        <v>550</v>
      </c>
      <c r="I10" s="1309">
        <f t="shared" si="1"/>
        <v>2000</v>
      </c>
      <c r="J10" s="1309">
        <f t="shared" si="1"/>
        <v>1600</v>
      </c>
      <c r="K10" s="1309">
        <f t="shared" si="1"/>
        <v>9000</v>
      </c>
      <c r="L10" s="1309">
        <f t="shared" si="1"/>
        <v>8500</v>
      </c>
      <c r="M10" s="1309">
        <f t="shared" si="1"/>
        <v>0</v>
      </c>
      <c r="N10" s="1309">
        <f t="shared" ref="N10:O10" si="2">sum(N3:N6)</f>
        <v>10000</v>
      </c>
      <c r="O10" s="1309">
        <f t="shared" si="2"/>
        <v>10000</v>
      </c>
    </row>
    <row r="11">
      <c r="A11" s="1312" t="s">
        <v>1163</v>
      </c>
      <c r="B11" s="1308"/>
      <c r="C11" s="1309"/>
      <c r="D11" s="1309"/>
      <c r="E11" s="1309"/>
      <c r="F11" s="1313">
        <f t="shared" ref="F11:I11" si="3">F10*0.22</f>
        <v>1232</v>
      </c>
      <c r="G11" s="1313">
        <f t="shared" si="3"/>
        <v>855.8</v>
      </c>
      <c r="H11" s="1313">
        <f t="shared" si="3"/>
        <v>121</v>
      </c>
      <c r="I11" s="1313">
        <f t="shared" si="3"/>
        <v>440</v>
      </c>
      <c r="J11" s="1313">
        <f t="shared" ref="J11:K11" si="4">J10*0.24</f>
        <v>384</v>
      </c>
      <c r="K11" s="1313">
        <f t="shared" si="4"/>
        <v>2160</v>
      </c>
      <c r="L11" s="1313">
        <f t="shared" ref="L11:M11" si="5">L10*0.34</f>
        <v>2890</v>
      </c>
      <c r="M11" s="1313">
        <f t="shared" si="5"/>
        <v>0</v>
      </c>
      <c r="N11" s="1313">
        <f t="shared" ref="N11:O11" si="6">N10*0.38</f>
        <v>3800</v>
      </c>
      <c r="O11" s="1313">
        <f t="shared" si="6"/>
        <v>3800</v>
      </c>
    </row>
    <row r="12">
      <c r="A12" s="1314" t="s">
        <v>1164</v>
      </c>
      <c r="B12" s="1308"/>
      <c r="C12" s="1308"/>
      <c r="D12" s="1308"/>
      <c r="E12" s="1308"/>
      <c r="F12" s="1315">
        <f t="shared" ref="F12:M12" si="7">F10-F11</f>
        <v>4368</v>
      </c>
      <c r="G12" s="1315">
        <f t="shared" si="7"/>
        <v>3034.2</v>
      </c>
      <c r="H12" s="1315">
        <f t="shared" si="7"/>
        <v>429</v>
      </c>
      <c r="I12" s="1315">
        <f t="shared" si="7"/>
        <v>1560</v>
      </c>
      <c r="J12" s="1315">
        <f t="shared" si="7"/>
        <v>1216</v>
      </c>
      <c r="K12" s="1315">
        <f t="shared" si="7"/>
        <v>6840</v>
      </c>
      <c r="L12" s="1315">
        <f t="shared" si="7"/>
        <v>5610</v>
      </c>
      <c r="M12" s="1315">
        <f t="shared" si="7"/>
        <v>0</v>
      </c>
      <c r="N12" s="1315">
        <f>N10-N11+N8</f>
        <v>10720</v>
      </c>
      <c r="O12" s="1315">
        <f>O10-O11+O7</f>
        <v>6200</v>
      </c>
    </row>
    <row r="13">
      <c r="A13" s="1316"/>
      <c r="B13" s="1308">
        <f>sum(F10:O10)</f>
        <v>51140</v>
      </c>
      <c r="C13" s="1308"/>
      <c r="D13" s="1308"/>
      <c r="E13" s="1308"/>
      <c r="F13" s="1308"/>
      <c r="G13" s="1308"/>
      <c r="H13" s="1308"/>
      <c r="I13" s="1308"/>
      <c r="J13" s="1308"/>
      <c r="K13" s="1308"/>
      <c r="L13" s="1308"/>
      <c r="M13" s="1311"/>
      <c r="N13" s="1311"/>
      <c r="O13" s="1311"/>
    </row>
    <row r="14">
      <c r="A14" s="1317" t="s">
        <v>716</v>
      </c>
      <c r="B14" s="1318"/>
      <c r="C14" s="1318"/>
      <c r="D14" s="1318"/>
      <c r="E14" s="1318"/>
      <c r="F14" s="1318"/>
      <c r="G14" s="1318"/>
      <c r="H14" s="1318"/>
      <c r="I14" s="1318"/>
      <c r="J14" s="1318"/>
      <c r="K14" s="1318"/>
      <c r="L14" s="1318"/>
      <c r="M14" s="1319"/>
      <c r="N14" s="1319"/>
      <c r="O14" s="1319"/>
    </row>
    <row r="15">
      <c r="A15" s="892" t="s">
        <v>210</v>
      </c>
      <c r="B15" s="896"/>
      <c r="C15" s="903"/>
      <c r="D15" s="903"/>
      <c r="E15" s="903"/>
      <c r="F15" s="893">
        <v>0.0</v>
      </c>
      <c r="G15" s="893">
        <v>0.0</v>
      </c>
      <c r="H15" s="893">
        <v>0.0</v>
      </c>
      <c r="I15" s="893">
        <v>0.0</v>
      </c>
      <c r="J15" s="893">
        <v>1300.0</v>
      </c>
      <c r="K15" s="893">
        <v>1300.0</v>
      </c>
      <c r="L15" s="1320">
        <v>0.0</v>
      </c>
      <c r="M15" s="893">
        <v>1450.0</v>
      </c>
      <c r="N15" s="893">
        <v>1450.0</v>
      </c>
      <c r="O15" s="893">
        <v>1450.0</v>
      </c>
    </row>
    <row r="16">
      <c r="A16" s="892" t="s">
        <v>212</v>
      </c>
      <c r="B16" s="896"/>
      <c r="C16" s="903"/>
      <c r="D16" s="903"/>
      <c r="E16" s="903"/>
      <c r="F16" s="893">
        <v>0.0</v>
      </c>
      <c r="G16" s="893">
        <v>0.0</v>
      </c>
      <c r="H16" s="893">
        <v>0.0</v>
      </c>
      <c r="I16" s="893">
        <v>0.0</v>
      </c>
      <c r="J16" s="893">
        <v>75.0</v>
      </c>
      <c r="K16" s="893">
        <v>75.0</v>
      </c>
      <c r="L16" s="893">
        <v>75.0</v>
      </c>
      <c r="M16" s="893">
        <v>62.95</v>
      </c>
      <c r="N16" s="893">
        <f t="shared" ref="N16:O16" si="8">62.95/2</f>
        <v>31.475</v>
      </c>
      <c r="O16" s="893">
        <f t="shared" si="8"/>
        <v>31.475</v>
      </c>
    </row>
    <row r="17">
      <c r="A17" s="892" t="s">
        <v>22</v>
      </c>
      <c r="B17" s="896"/>
      <c r="C17" s="903">
        <v>0.0</v>
      </c>
      <c r="D17" s="903">
        <v>0.0</v>
      </c>
      <c r="E17" s="903">
        <v>0.0</v>
      </c>
      <c r="F17" s="893">
        <v>20.0</v>
      </c>
      <c r="G17" s="893">
        <v>100.0</v>
      </c>
      <c r="H17" s="893">
        <v>100.0</v>
      </c>
      <c r="I17" s="893">
        <v>100.0</v>
      </c>
      <c r="J17" s="893">
        <v>100.0</v>
      </c>
      <c r="K17" s="893">
        <v>200.0</v>
      </c>
      <c r="L17" s="893">
        <v>200.0</v>
      </c>
      <c r="M17" s="893">
        <v>200.0</v>
      </c>
      <c r="N17" s="893">
        <v>200.0</v>
      </c>
      <c r="O17" s="893">
        <v>200.0</v>
      </c>
    </row>
    <row r="18">
      <c r="A18" s="1321" t="s">
        <v>1165</v>
      </c>
      <c r="B18" s="896"/>
      <c r="C18" s="903">
        <v>0.0</v>
      </c>
      <c r="D18" s="903">
        <v>0.0</v>
      </c>
      <c r="E18" s="903">
        <v>0.0</v>
      </c>
      <c r="F18" s="893">
        <v>100.0</v>
      </c>
      <c r="G18" s="893">
        <v>100.0</v>
      </c>
      <c r="H18" s="893">
        <v>100.0</v>
      </c>
      <c r="I18" s="893">
        <v>100.0</v>
      </c>
      <c r="J18" s="893">
        <v>100.0</v>
      </c>
      <c r="K18" s="893">
        <v>110.0</v>
      </c>
      <c r="L18" s="893">
        <v>100.0</v>
      </c>
      <c r="M18" s="893">
        <v>100.0</v>
      </c>
      <c r="N18" s="893">
        <v>100.0</v>
      </c>
      <c r="O18" s="893">
        <v>98.0</v>
      </c>
    </row>
    <row r="19" ht="15.75" customHeight="1">
      <c r="A19" s="892" t="s">
        <v>1166</v>
      </c>
      <c r="B19" s="896"/>
      <c r="C19" s="893">
        <v>300.0</v>
      </c>
      <c r="D19" s="893">
        <v>300.0</v>
      </c>
      <c r="E19" s="893">
        <v>300.0</v>
      </c>
      <c r="F19" s="893">
        <v>0.0</v>
      </c>
      <c r="G19" s="893">
        <v>0.0</v>
      </c>
      <c r="H19" s="893">
        <v>0.0</v>
      </c>
      <c r="I19" s="893">
        <v>300.0</v>
      </c>
      <c r="J19" s="893">
        <v>0.0</v>
      </c>
      <c r="K19" s="1322">
        <v>0.0</v>
      </c>
      <c r="L19" s="1322">
        <v>200.0</v>
      </c>
      <c r="M19" s="893">
        <v>0.0</v>
      </c>
      <c r="N19" s="1320">
        <v>0.0</v>
      </c>
      <c r="O19" s="1320">
        <v>0.0</v>
      </c>
    </row>
    <row r="20">
      <c r="A20" s="892" t="s">
        <v>1167</v>
      </c>
      <c r="B20" s="896"/>
      <c r="C20" s="903"/>
      <c r="D20" s="903"/>
      <c r="E20" s="903"/>
      <c r="F20" s="893">
        <v>100.0</v>
      </c>
      <c r="G20" s="893">
        <v>100.0</v>
      </c>
      <c r="H20" s="893">
        <v>100.0</v>
      </c>
      <c r="I20" s="893">
        <v>100.0</v>
      </c>
      <c r="J20" s="893">
        <v>100.0</v>
      </c>
      <c r="K20" s="893">
        <v>100.0</v>
      </c>
      <c r="L20" s="893">
        <v>100.0</v>
      </c>
      <c r="M20" s="893">
        <v>100.0</v>
      </c>
      <c r="N20" s="893">
        <v>200.0</v>
      </c>
      <c r="O20" s="893">
        <v>300.0</v>
      </c>
    </row>
    <row r="21">
      <c r="A21" s="892" t="s">
        <v>1168</v>
      </c>
      <c r="B21" s="896"/>
      <c r="C21" s="903"/>
      <c r="D21" s="903"/>
      <c r="E21" s="903"/>
      <c r="F21" s="893">
        <v>1400.0</v>
      </c>
      <c r="G21" s="893">
        <v>800.0</v>
      </c>
      <c r="H21" s="893">
        <v>0.0</v>
      </c>
      <c r="I21" s="893">
        <v>600.0</v>
      </c>
      <c r="J21" s="893">
        <v>500.0</v>
      </c>
      <c r="K21" s="893">
        <v>500.0</v>
      </c>
      <c r="L21" s="893">
        <v>500.0</v>
      </c>
      <c r="M21" s="893">
        <f t="shared" ref="M21:O21" si="9">40*30</f>
        <v>1200</v>
      </c>
      <c r="N21" s="893">
        <f t="shared" si="9"/>
        <v>1200</v>
      </c>
      <c r="O21" s="893">
        <f t="shared" si="9"/>
        <v>1200</v>
      </c>
    </row>
    <row r="22">
      <c r="A22" s="892" t="s">
        <v>1169</v>
      </c>
      <c r="B22" s="896"/>
      <c r="C22" s="903">
        <v>0.0</v>
      </c>
      <c r="D22" s="903">
        <v>0.0</v>
      </c>
      <c r="E22" s="903">
        <v>0.0</v>
      </c>
      <c r="F22" s="903">
        <v>0.0</v>
      </c>
      <c r="G22" s="903">
        <v>0.0</v>
      </c>
      <c r="H22" s="903">
        <v>0.0</v>
      </c>
      <c r="I22" s="903">
        <v>0.0</v>
      </c>
      <c r="J22" s="903">
        <v>0.0</v>
      </c>
      <c r="K22" s="893">
        <v>0.0</v>
      </c>
      <c r="L22" s="903">
        <v>0.0</v>
      </c>
      <c r="M22" s="893">
        <f>10+60</f>
        <v>70</v>
      </c>
      <c r="N22" s="893">
        <f t="shared" ref="N22:O22" si="10">10</f>
        <v>10</v>
      </c>
      <c r="O22" s="893">
        <f t="shared" si="10"/>
        <v>10</v>
      </c>
    </row>
    <row r="23">
      <c r="A23" s="892" t="s">
        <v>225</v>
      </c>
      <c r="B23" s="896"/>
      <c r="C23" s="903"/>
      <c r="D23" s="903"/>
      <c r="E23" s="903"/>
      <c r="F23" s="893">
        <v>300.0</v>
      </c>
      <c r="G23" s="893">
        <v>400.0</v>
      </c>
      <c r="H23" s="893">
        <v>0.0</v>
      </c>
      <c r="I23" s="893">
        <v>0.0</v>
      </c>
      <c r="J23" s="893">
        <v>0.0</v>
      </c>
      <c r="K23" s="893">
        <v>0.0</v>
      </c>
      <c r="L23" s="893">
        <v>0.0</v>
      </c>
      <c r="M23" s="893">
        <v>0.0</v>
      </c>
      <c r="N23" s="893">
        <v>0.0</v>
      </c>
      <c r="O23" s="893">
        <v>200.0</v>
      </c>
    </row>
    <row r="24">
      <c r="A24" s="892" t="s">
        <v>231</v>
      </c>
      <c r="B24" s="896"/>
      <c r="C24" s="903"/>
      <c r="D24" s="903"/>
      <c r="E24" s="903"/>
      <c r="F24" s="893">
        <v>40.0</v>
      </c>
      <c r="G24" s="893">
        <v>40.0</v>
      </c>
      <c r="H24" s="893">
        <v>40.0</v>
      </c>
      <c r="I24" s="893">
        <v>40.0</v>
      </c>
      <c r="J24" s="893">
        <v>40.0</v>
      </c>
      <c r="K24" s="893">
        <v>0.0</v>
      </c>
      <c r="L24" s="893">
        <v>0.0</v>
      </c>
      <c r="M24" s="893">
        <v>0.0</v>
      </c>
      <c r="N24" s="893">
        <v>0.0</v>
      </c>
      <c r="O24" s="893">
        <v>0.0</v>
      </c>
    </row>
    <row r="25">
      <c r="A25" s="892" t="s">
        <v>223</v>
      </c>
      <c r="B25" s="896"/>
      <c r="C25" s="903"/>
      <c r="D25" s="903"/>
      <c r="E25" s="903"/>
      <c r="F25" s="893">
        <v>241.0</v>
      </c>
      <c r="G25" s="893">
        <v>241.0</v>
      </c>
      <c r="H25" s="893">
        <v>0.0</v>
      </c>
      <c r="I25" s="893">
        <v>0.0</v>
      </c>
      <c r="J25" s="893">
        <v>0.0</v>
      </c>
      <c r="K25" s="893">
        <v>0.0</v>
      </c>
      <c r="L25" s="893">
        <v>0.0</v>
      </c>
      <c r="M25" s="893">
        <v>0.0</v>
      </c>
      <c r="N25" s="893">
        <v>0.0</v>
      </c>
      <c r="O25" s="893">
        <v>0.0</v>
      </c>
    </row>
    <row r="26">
      <c r="A26" s="892" t="s">
        <v>31</v>
      </c>
      <c r="B26" s="896"/>
      <c r="C26" s="903"/>
      <c r="D26" s="903"/>
      <c r="E26" s="903"/>
      <c r="F26" s="893">
        <v>0.0</v>
      </c>
      <c r="G26" s="893">
        <v>0.0</v>
      </c>
      <c r="H26" s="893">
        <v>0.0</v>
      </c>
      <c r="I26" s="893">
        <v>0.0</v>
      </c>
      <c r="J26" s="893">
        <v>0.0</v>
      </c>
      <c r="K26" s="893">
        <v>500.0</v>
      </c>
      <c r="L26" s="893">
        <v>0.0</v>
      </c>
      <c r="M26" s="893">
        <v>0.0</v>
      </c>
      <c r="N26" s="893">
        <v>0.0</v>
      </c>
      <c r="O26" s="893">
        <v>200.0</v>
      </c>
    </row>
    <row r="27">
      <c r="A27" s="1323"/>
      <c r="B27" s="1308"/>
      <c r="C27" s="1324"/>
      <c r="D27" s="1324"/>
      <c r="E27" s="1324"/>
      <c r="F27" s="1324"/>
      <c r="G27" s="1324"/>
      <c r="H27" s="1324"/>
      <c r="I27" s="1324"/>
      <c r="J27" s="1324"/>
      <c r="K27" s="1324"/>
      <c r="L27" s="1324"/>
      <c r="M27" s="1324"/>
      <c r="N27" s="1324"/>
      <c r="O27" s="1324"/>
    </row>
    <row r="28">
      <c r="A28" s="1312" t="s">
        <v>236</v>
      </c>
      <c r="B28" s="1308"/>
      <c r="C28" s="1324">
        <f t="shared" ref="C28:E28" si="11">SUM(C19:C24)</f>
        <v>300</v>
      </c>
      <c r="D28" s="1324">
        <f t="shared" si="11"/>
        <v>300</v>
      </c>
      <c r="E28" s="1324">
        <f t="shared" si="11"/>
        <v>300</v>
      </c>
      <c r="F28" s="1324">
        <f t="shared" ref="F28:L28" si="12">SUM(F21:F26)</f>
        <v>1981</v>
      </c>
      <c r="G28" s="1324">
        <f t="shared" si="12"/>
        <v>1481</v>
      </c>
      <c r="H28" s="1324">
        <f t="shared" si="12"/>
        <v>40</v>
      </c>
      <c r="I28" s="1324">
        <f t="shared" si="12"/>
        <v>640</v>
      </c>
      <c r="J28" s="1324">
        <f t="shared" si="12"/>
        <v>540</v>
      </c>
      <c r="K28" s="1324">
        <f t="shared" si="12"/>
        <v>1000</v>
      </c>
      <c r="L28" s="1324">
        <f t="shared" si="12"/>
        <v>500</v>
      </c>
      <c r="M28" s="1324">
        <f t="shared" ref="M28:O28" si="13">SUM(M15:M26)</f>
        <v>3182.95</v>
      </c>
      <c r="N28" s="1324">
        <f t="shared" si="13"/>
        <v>3191.475</v>
      </c>
      <c r="O28" s="1324">
        <f t="shared" si="13"/>
        <v>3689.475</v>
      </c>
    </row>
    <row r="29">
      <c r="A29" s="1323"/>
      <c r="B29" s="1308"/>
      <c r="C29" s="1324"/>
      <c r="D29" s="1324"/>
      <c r="E29" s="1324"/>
      <c r="F29" s="1324"/>
      <c r="G29" s="1324"/>
      <c r="H29" s="1324"/>
      <c r="I29" s="1324"/>
      <c r="J29" s="1324"/>
      <c r="K29" s="1324"/>
      <c r="L29" s="1324"/>
      <c r="M29" s="1324"/>
      <c r="N29" s="1324"/>
      <c r="O29" s="1324"/>
    </row>
    <row r="30">
      <c r="A30" s="1311"/>
      <c r="B30" s="1308"/>
      <c r="C30" s="1308"/>
      <c r="D30" s="1308"/>
      <c r="E30" s="1308"/>
      <c r="F30" s="1308"/>
      <c r="G30" s="1308"/>
      <c r="H30" s="1308"/>
      <c r="I30" s="1308"/>
      <c r="J30" s="1308"/>
      <c r="K30" s="1308"/>
      <c r="L30" s="1308"/>
      <c r="M30" s="1311"/>
      <c r="N30" s="1311"/>
      <c r="O30" s="1311"/>
    </row>
    <row r="31">
      <c r="A31" s="1325" t="s">
        <v>729</v>
      </c>
      <c r="B31" s="1326"/>
      <c r="C31" s="1326"/>
      <c r="D31" s="1326"/>
      <c r="E31" s="1326"/>
      <c r="F31" s="1326"/>
      <c r="G31" s="1326"/>
      <c r="H31" s="1326"/>
      <c r="I31" s="1326"/>
      <c r="J31" s="1326"/>
      <c r="K31" s="1326"/>
      <c r="L31" s="1326"/>
      <c r="M31" s="1327"/>
      <c r="N31" s="1327"/>
      <c r="O31" s="1327"/>
    </row>
    <row r="32">
      <c r="A32" s="1328" t="s">
        <v>1170</v>
      </c>
      <c r="B32" s="1308"/>
      <c r="C32" s="1308"/>
      <c r="D32" s="1308"/>
      <c r="E32" s="1308"/>
      <c r="F32" s="1308">
        <f>F35</f>
        <v>2387</v>
      </c>
      <c r="G32" s="1308">
        <f>F32+G35</f>
        <v>3940.2</v>
      </c>
      <c r="H32" s="1308">
        <f>H35</f>
        <v>389</v>
      </c>
      <c r="I32" s="1308">
        <f t="shared" ref="I32:L32" si="14">H32+I35</f>
        <v>1309</v>
      </c>
      <c r="J32" s="1308">
        <f t="shared" si="14"/>
        <v>1985</v>
      </c>
      <c r="K32" s="1308">
        <f t="shared" si="14"/>
        <v>7825</v>
      </c>
      <c r="L32" s="1308">
        <f t="shared" si="14"/>
        <v>12935</v>
      </c>
      <c r="M32" s="1329">
        <v>0.0</v>
      </c>
      <c r="N32" s="1329">
        <v>0.0</v>
      </c>
      <c r="O32" s="1329">
        <v>0.0</v>
      </c>
    </row>
    <row r="33">
      <c r="A33" s="905" t="s">
        <v>734</v>
      </c>
      <c r="B33" s="896"/>
      <c r="C33" s="903"/>
      <c r="D33" s="903"/>
      <c r="E33" s="903"/>
      <c r="F33" s="893">
        <v>1359.0</v>
      </c>
      <c r="G33" s="893">
        <v>1000.0</v>
      </c>
      <c r="H33" s="893">
        <v>200.0</v>
      </c>
      <c r="I33" s="893">
        <v>500.0</v>
      </c>
      <c r="J33" s="893">
        <v>0.0</v>
      </c>
      <c r="K33" s="893">
        <v>2544.0</v>
      </c>
      <c r="L33" s="893">
        <v>1000.0</v>
      </c>
      <c r="M33" s="893">
        <v>0.0</v>
      </c>
      <c r="N33" s="1330">
        <f>450+500+1500+101+63+207+185+100+1000+450+1500+2000</f>
        <v>8056</v>
      </c>
      <c r="O33" s="893">
        <f>450+750+27+25+115+96+42.16+400+500</f>
        <v>2405.16</v>
      </c>
    </row>
    <row r="34">
      <c r="A34" s="1331"/>
      <c r="B34" s="1332"/>
      <c r="C34" s="1332"/>
      <c r="D34" s="1332"/>
      <c r="E34" s="1332"/>
      <c r="G34" s="1332"/>
      <c r="H34" s="1332"/>
      <c r="I34" s="1332"/>
      <c r="J34" s="1332"/>
      <c r="K34" s="1332"/>
      <c r="L34" s="1332"/>
      <c r="M34" s="1332"/>
      <c r="N34" s="1332"/>
      <c r="O34" s="1332"/>
    </row>
    <row r="35">
      <c r="A35" s="1333" t="s">
        <v>322</v>
      </c>
      <c r="B35" s="1334"/>
      <c r="C35" s="1324" t="str">
        <f t="shared" ref="C35:E35" si="15">SUM(C10-#REF!)</f>
        <v>#REF!</v>
      </c>
      <c r="D35" s="1324" t="str">
        <f t="shared" si="15"/>
        <v>#REF!</v>
      </c>
      <c r="E35" s="1324" t="str">
        <f t="shared" si="15"/>
        <v>#REF!</v>
      </c>
      <c r="F35" s="1324">
        <f t="shared" ref="F35:L35" si="16">F12-F28</f>
        <v>2387</v>
      </c>
      <c r="G35" s="1324">
        <f t="shared" si="16"/>
        <v>1553.2</v>
      </c>
      <c r="H35" s="1324">
        <f t="shared" si="16"/>
        <v>389</v>
      </c>
      <c r="I35" s="1324">
        <f t="shared" si="16"/>
        <v>920</v>
      </c>
      <c r="J35" s="1324">
        <f t="shared" si="16"/>
        <v>676</v>
      </c>
      <c r="K35" s="1324">
        <f t="shared" si="16"/>
        <v>5840</v>
      </c>
      <c r="L35" s="1324">
        <f t="shared" si="16"/>
        <v>5110</v>
      </c>
      <c r="M35" s="1324">
        <f t="shared" ref="M35:N35" si="17">M12-M28-M32-M33</f>
        <v>-3182.95</v>
      </c>
      <c r="N35" s="1324">
        <f t="shared" si="17"/>
        <v>-527.475</v>
      </c>
      <c r="O35" s="1324">
        <f>O12-O28-O32-O33+N35</f>
        <v>-422.11</v>
      </c>
    </row>
    <row r="36">
      <c r="A36" s="1335"/>
      <c r="B36" s="1237"/>
      <c r="C36" s="1237"/>
      <c r="D36" s="1237"/>
      <c r="E36" s="1237"/>
      <c r="F36" s="1237"/>
      <c r="G36" s="1237"/>
      <c r="H36" s="1237"/>
      <c r="I36" s="1237"/>
      <c r="J36" s="1237"/>
      <c r="K36" s="1237"/>
      <c r="L36" s="1237"/>
      <c r="M36" s="1237"/>
      <c r="N36" s="1237"/>
      <c r="O36" s="1234"/>
    </row>
    <row r="37">
      <c r="A37" s="1332"/>
      <c r="B37" s="1332"/>
      <c r="C37" s="1332"/>
      <c r="D37" s="1332"/>
      <c r="E37" s="1332"/>
      <c r="F37" s="1332"/>
      <c r="G37" s="1332"/>
      <c r="H37" s="1332"/>
      <c r="I37" s="1332"/>
      <c r="J37" s="1332"/>
      <c r="K37" s="1332"/>
      <c r="L37" s="1332"/>
      <c r="M37" s="1332"/>
      <c r="N37" s="1332"/>
      <c r="O37" s="1332"/>
    </row>
    <row r="38">
      <c r="A38" s="1336"/>
      <c r="B38" s="1332"/>
      <c r="C38" s="1332"/>
      <c r="D38" s="1332"/>
      <c r="E38" s="1332"/>
      <c r="F38" s="1332"/>
      <c r="G38" s="1332"/>
      <c r="H38" s="1332"/>
      <c r="I38" s="1332"/>
      <c r="J38" s="1332"/>
      <c r="K38" s="1332"/>
      <c r="L38" s="1332"/>
      <c r="M38" s="1332"/>
      <c r="N38" s="1332"/>
      <c r="O38" s="1332"/>
    </row>
    <row r="39">
      <c r="A39" s="1337"/>
      <c r="B39" s="1332"/>
      <c r="C39" s="1332"/>
      <c r="D39" s="1332"/>
      <c r="E39" s="1332"/>
      <c r="F39" s="1332"/>
      <c r="G39" s="1332"/>
      <c r="H39" s="1332"/>
      <c r="I39" s="1332"/>
      <c r="J39" s="1332"/>
      <c r="K39" s="1332"/>
      <c r="L39" s="1332"/>
      <c r="M39" s="1332"/>
      <c r="N39" s="1332"/>
      <c r="O39" s="1332"/>
    </row>
    <row r="40">
      <c r="A40" s="1337"/>
      <c r="B40" s="1332"/>
      <c r="C40" s="1332"/>
      <c r="D40" s="1332"/>
      <c r="E40" s="1332"/>
      <c r="F40" s="1332"/>
      <c r="G40" s="1332"/>
      <c r="H40" s="1332"/>
      <c r="I40" s="1332"/>
      <c r="J40" s="1332"/>
      <c r="K40" s="1332"/>
      <c r="L40" s="1332"/>
      <c r="M40" s="1332"/>
      <c r="N40" s="1332"/>
      <c r="O40" s="1332"/>
    </row>
    <row r="41">
      <c r="A41" s="1337"/>
      <c r="B41" s="1332"/>
      <c r="C41" s="1332"/>
      <c r="D41" s="1332"/>
      <c r="E41" s="1332"/>
      <c r="F41" s="1332"/>
      <c r="G41" s="1332"/>
      <c r="H41" s="1332"/>
      <c r="I41" s="1332"/>
      <c r="J41" s="1332"/>
      <c r="K41" s="1332"/>
      <c r="L41" s="1332"/>
      <c r="M41" s="1332"/>
      <c r="N41" s="1332"/>
      <c r="O41" s="1332"/>
    </row>
    <row r="42">
      <c r="A42" s="1337"/>
      <c r="B42" s="1332"/>
      <c r="C42" s="1332"/>
      <c r="D42" s="1332"/>
      <c r="E42" s="1332"/>
      <c r="F42" s="1332"/>
      <c r="G42" s="1332"/>
      <c r="H42" s="1332"/>
      <c r="I42" s="1332"/>
      <c r="J42" s="1332"/>
      <c r="K42" s="1332"/>
      <c r="L42" s="1332"/>
      <c r="M42" s="1332"/>
      <c r="N42" s="1332"/>
      <c r="O42" s="1332"/>
    </row>
    <row r="43">
      <c r="A43" s="1337"/>
      <c r="B43" s="1332"/>
      <c r="C43" s="1332"/>
      <c r="D43" s="1332"/>
      <c r="E43" s="1332"/>
      <c r="F43" s="1332"/>
      <c r="G43" s="1332"/>
      <c r="H43" s="1332"/>
      <c r="I43" s="1332"/>
      <c r="J43" s="1332"/>
      <c r="K43" s="1332"/>
      <c r="L43" s="1332"/>
      <c r="M43" s="1332"/>
      <c r="N43" s="1332"/>
      <c r="O43" s="1332"/>
    </row>
    <row r="44">
      <c r="B44" s="1332"/>
      <c r="C44" s="1332"/>
      <c r="D44" s="1332"/>
      <c r="E44" s="1332"/>
      <c r="F44" s="1332"/>
      <c r="G44" s="1332"/>
      <c r="H44" s="1332"/>
      <c r="I44" s="1332"/>
      <c r="J44" s="1332"/>
      <c r="K44" s="1332"/>
      <c r="L44" s="1332"/>
      <c r="M44" s="1332"/>
      <c r="N44" s="1332"/>
      <c r="O44" s="1332"/>
    </row>
    <row r="45">
      <c r="A45" s="1337"/>
      <c r="B45" s="1332"/>
      <c r="C45" s="1332"/>
      <c r="D45" s="1332"/>
      <c r="E45" s="1332"/>
      <c r="F45" s="1332"/>
      <c r="G45" s="1332"/>
      <c r="H45" s="1332"/>
      <c r="I45" s="1332"/>
      <c r="J45" s="1332"/>
      <c r="K45" s="1332"/>
      <c r="L45" s="1332"/>
      <c r="M45" s="1332"/>
      <c r="N45" s="1332"/>
      <c r="O45" s="1332"/>
    </row>
    <row r="46">
      <c r="A46" s="1332"/>
      <c r="B46" s="1332"/>
      <c r="C46" s="1332"/>
      <c r="D46" s="1332"/>
      <c r="E46" s="1332"/>
      <c r="F46" s="1332"/>
      <c r="G46" s="1332"/>
      <c r="H46" s="1332"/>
      <c r="I46" s="1332"/>
      <c r="J46" s="1332"/>
      <c r="K46" s="1332"/>
      <c r="L46" s="1332"/>
      <c r="M46" s="1332"/>
      <c r="N46" s="1332"/>
      <c r="O46" s="1332"/>
    </row>
    <row r="47">
      <c r="A47" s="1332"/>
      <c r="B47" s="1332"/>
      <c r="C47" s="1332"/>
      <c r="D47" s="1332"/>
      <c r="E47" s="1332"/>
      <c r="F47" s="1332"/>
      <c r="G47" s="1332"/>
      <c r="H47" s="1332"/>
      <c r="I47" s="1332"/>
      <c r="J47" s="1332"/>
      <c r="K47" s="1332"/>
      <c r="L47" s="1332"/>
      <c r="M47" s="1332"/>
      <c r="N47" s="1332"/>
      <c r="O47" s="1332"/>
    </row>
    <row r="48">
      <c r="A48" s="1332"/>
      <c r="B48" s="1332"/>
      <c r="C48" s="1332"/>
      <c r="D48" s="1332"/>
      <c r="E48" s="1332"/>
      <c r="F48" s="1332"/>
      <c r="G48" s="1332"/>
      <c r="H48" s="1332"/>
      <c r="I48" s="1332"/>
      <c r="J48" s="1332"/>
      <c r="K48" s="1332"/>
      <c r="L48" s="1332"/>
      <c r="M48" s="1332"/>
      <c r="N48" s="1332"/>
      <c r="O48" s="1332"/>
    </row>
    <row r="49">
      <c r="A49" s="1332"/>
      <c r="B49" s="1332"/>
      <c r="C49" s="1332"/>
      <c r="D49" s="1332"/>
      <c r="E49" s="1332"/>
      <c r="F49" s="1332"/>
      <c r="G49" s="1332"/>
      <c r="H49" s="1332"/>
      <c r="I49" s="1332"/>
      <c r="J49" s="1332"/>
      <c r="K49" s="1332"/>
      <c r="L49" s="1332"/>
      <c r="M49" s="1332"/>
      <c r="N49" s="1332"/>
      <c r="O49" s="1332"/>
    </row>
    <row r="50">
      <c r="A50" s="1332"/>
      <c r="B50" s="1332"/>
      <c r="C50" s="1332"/>
      <c r="D50" s="1332"/>
      <c r="E50" s="1332"/>
      <c r="F50" s="1332"/>
      <c r="G50" s="1332"/>
      <c r="H50" s="1332"/>
      <c r="I50" s="1332"/>
      <c r="J50" s="1332"/>
      <c r="K50" s="1332"/>
      <c r="L50" s="1332"/>
      <c r="M50" s="1332"/>
      <c r="N50" s="1332"/>
      <c r="O50" s="1332"/>
    </row>
    <row r="51">
      <c r="A51" s="1332"/>
      <c r="B51" s="1332"/>
      <c r="C51" s="1332"/>
      <c r="D51" s="1332"/>
      <c r="E51" s="1332"/>
      <c r="F51" s="1332"/>
      <c r="G51" s="1332"/>
      <c r="H51" s="1332"/>
      <c r="I51" s="1332"/>
      <c r="J51" s="1332"/>
      <c r="K51" s="1332"/>
      <c r="L51" s="1332"/>
      <c r="M51" s="1332"/>
      <c r="N51" s="1332"/>
      <c r="O51" s="1332"/>
    </row>
    <row r="52">
      <c r="A52" s="1332"/>
      <c r="B52" s="1332"/>
      <c r="C52" s="1332"/>
      <c r="D52" s="1332"/>
      <c r="E52" s="1332"/>
      <c r="F52" s="1332"/>
      <c r="G52" s="1332"/>
      <c r="H52" s="1332"/>
      <c r="I52" s="1332"/>
      <c r="J52" s="1332"/>
      <c r="K52" s="1332"/>
      <c r="L52" s="1332"/>
      <c r="M52" s="1332"/>
      <c r="N52" s="1332"/>
      <c r="O52" s="1332"/>
    </row>
    <row r="53">
      <c r="A53" s="1332"/>
      <c r="B53" s="1332"/>
      <c r="C53" s="1332"/>
      <c r="D53" s="1332"/>
      <c r="E53" s="1332"/>
      <c r="F53" s="1332"/>
      <c r="G53" s="1332"/>
      <c r="H53" s="1332"/>
      <c r="I53" s="1332"/>
      <c r="J53" s="1332"/>
      <c r="K53" s="1332"/>
      <c r="L53" s="1332"/>
      <c r="M53" s="1332"/>
      <c r="N53" s="1332"/>
      <c r="O53" s="1332"/>
    </row>
    <row r="54">
      <c r="A54" s="1332"/>
      <c r="B54" s="1332"/>
      <c r="C54" s="1332"/>
      <c r="D54" s="1332"/>
      <c r="E54" s="1332"/>
      <c r="F54" s="1332"/>
      <c r="G54" s="1332"/>
      <c r="H54" s="1332"/>
      <c r="I54" s="1332"/>
      <c r="J54" s="1332"/>
      <c r="K54" s="1332"/>
      <c r="L54" s="1332"/>
      <c r="M54" s="1332"/>
      <c r="N54" s="1332"/>
      <c r="O54" s="1332"/>
    </row>
    <row r="55">
      <c r="A55" s="1332"/>
      <c r="B55" s="1332"/>
      <c r="C55" s="1332"/>
      <c r="D55" s="1332"/>
      <c r="E55" s="1332"/>
      <c r="F55" s="1332"/>
      <c r="G55" s="1332"/>
      <c r="H55" s="1332"/>
      <c r="I55" s="1332"/>
      <c r="J55" s="1332"/>
      <c r="K55" s="1332"/>
      <c r="L55" s="1332"/>
      <c r="M55" s="1332"/>
      <c r="N55" s="1332"/>
      <c r="O55" s="1332"/>
    </row>
    <row r="56">
      <c r="A56" s="1332"/>
      <c r="B56" s="1332"/>
      <c r="C56" s="1332"/>
      <c r="D56" s="1332"/>
      <c r="E56" s="1332"/>
      <c r="F56" s="1332"/>
      <c r="G56" s="1332"/>
      <c r="H56" s="1332"/>
      <c r="I56" s="1332"/>
      <c r="J56" s="1332"/>
      <c r="K56" s="1332"/>
      <c r="L56" s="1332"/>
      <c r="M56" s="1332"/>
      <c r="N56" s="1332"/>
      <c r="O56" s="1332"/>
    </row>
    <row r="57">
      <c r="A57" s="1332"/>
      <c r="B57" s="1332"/>
      <c r="C57" s="1332"/>
      <c r="D57" s="1332"/>
      <c r="E57" s="1332"/>
      <c r="F57" s="1332"/>
      <c r="G57" s="1332"/>
      <c r="H57" s="1332"/>
      <c r="I57" s="1332"/>
      <c r="J57" s="1332"/>
      <c r="K57" s="1332"/>
      <c r="L57" s="1332"/>
      <c r="M57" s="1332"/>
      <c r="N57" s="1332"/>
      <c r="O57" s="1332"/>
    </row>
    <row r="58">
      <c r="A58" s="1332"/>
      <c r="B58" s="1332"/>
      <c r="C58" s="1332"/>
      <c r="D58" s="1332"/>
      <c r="E58" s="1332"/>
      <c r="F58" s="1332"/>
      <c r="G58" s="1332"/>
      <c r="H58" s="1332"/>
      <c r="I58" s="1332"/>
      <c r="J58" s="1332"/>
      <c r="K58" s="1332"/>
      <c r="L58" s="1332"/>
      <c r="M58" s="1332"/>
      <c r="N58" s="1332"/>
      <c r="O58" s="1332"/>
    </row>
    <row r="59">
      <c r="A59" s="1332"/>
      <c r="B59" s="1332"/>
      <c r="C59" s="1332"/>
      <c r="D59" s="1332"/>
      <c r="E59" s="1332"/>
      <c r="F59" s="1332"/>
      <c r="G59" s="1332"/>
      <c r="H59" s="1332"/>
      <c r="I59" s="1332"/>
      <c r="J59" s="1332"/>
      <c r="K59" s="1332"/>
      <c r="L59" s="1332"/>
      <c r="M59" s="1332"/>
      <c r="N59" s="1332"/>
      <c r="O59" s="1332"/>
    </row>
    <row r="60">
      <c r="A60" s="1332"/>
      <c r="B60" s="1332"/>
      <c r="C60" s="1332"/>
      <c r="D60" s="1332"/>
      <c r="E60" s="1332"/>
      <c r="F60" s="1332"/>
      <c r="G60" s="1332"/>
      <c r="H60" s="1332"/>
      <c r="I60" s="1332"/>
      <c r="J60" s="1332"/>
      <c r="K60" s="1332"/>
      <c r="L60" s="1332"/>
      <c r="M60" s="1332"/>
      <c r="N60" s="1332"/>
      <c r="O60" s="1332"/>
    </row>
    <row r="61">
      <c r="A61" s="1332"/>
      <c r="B61" s="1332"/>
      <c r="C61" s="1332"/>
      <c r="D61" s="1332"/>
      <c r="E61" s="1332"/>
      <c r="F61" s="1332"/>
      <c r="G61" s="1332"/>
      <c r="H61" s="1332"/>
      <c r="I61" s="1332"/>
      <c r="J61" s="1332"/>
      <c r="K61" s="1332"/>
      <c r="L61" s="1332"/>
      <c r="M61" s="1332"/>
      <c r="N61" s="1332"/>
      <c r="O61" s="1332"/>
    </row>
    <row r="62">
      <c r="A62" s="1332"/>
      <c r="B62" s="1332"/>
      <c r="C62" s="1332"/>
      <c r="D62" s="1332"/>
      <c r="E62" s="1332"/>
      <c r="F62" s="1332"/>
      <c r="G62" s="1332"/>
      <c r="H62" s="1332"/>
      <c r="I62" s="1332"/>
      <c r="J62" s="1332"/>
      <c r="K62" s="1332"/>
      <c r="L62" s="1332"/>
      <c r="M62" s="1332"/>
      <c r="N62" s="1332"/>
      <c r="O62" s="1332"/>
    </row>
    <row r="63">
      <c r="A63" s="1332"/>
      <c r="B63" s="1332"/>
      <c r="C63" s="1332"/>
      <c r="D63" s="1332"/>
      <c r="E63" s="1332"/>
      <c r="F63" s="1332"/>
      <c r="G63" s="1332"/>
      <c r="H63" s="1332"/>
      <c r="I63" s="1332"/>
      <c r="J63" s="1332"/>
      <c r="K63" s="1332"/>
      <c r="L63" s="1332"/>
      <c r="M63" s="1332"/>
      <c r="N63" s="1332"/>
      <c r="O63" s="1332"/>
    </row>
    <row r="64">
      <c r="A64" s="1332"/>
      <c r="B64" s="1332"/>
      <c r="C64" s="1332"/>
      <c r="D64" s="1332"/>
      <c r="E64" s="1332"/>
      <c r="F64" s="1332"/>
      <c r="G64" s="1332"/>
      <c r="H64" s="1332"/>
      <c r="I64" s="1332"/>
      <c r="J64" s="1332"/>
      <c r="K64" s="1332"/>
      <c r="L64" s="1332"/>
      <c r="M64" s="1332"/>
      <c r="N64" s="1332"/>
      <c r="O64" s="1332"/>
    </row>
    <row r="65">
      <c r="A65" s="1332"/>
      <c r="B65" s="1332"/>
      <c r="C65" s="1332"/>
      <c r="D65" s="1332"/>
      <c r="E65" s="1332"/>
      <c r="F65" s="1332"/>
      <c r="G65" s="1332"/>
      <c r="H65" s="1332"/>
      <c r="I65" s="1332"/>
      <c r="J65" s="1332"/>
      <c r="K65" s="1332"/>
      <c r="L65" s="1332"/>
      <c r="M65" s="1332"/>
      <c r="N65" s="1332"/>
      <c r="O65" s="1332"/>
    </row>
    <row r="66">
      <c r="A66" s="1332"/>
      <c r="B66" s="1332"/>
      <c r="C66" s="1332"/>
      <c r="D66" s="1332"/>
      <c r="E66" s="1332"/>
      <c r="F66" s="1332"/>
      <c r="G66" s="1332"/>
      <c r="H66" s="1332"/>
      <c r="I66" s="1332"/>
      <c r="J66" s="1332"/>
      <c r="K66" s="1332"/>
      <c r="L66" s="1332"/>
      <c r="M66" s="1332"/>
      <c r="N66" s="1332"/>
      <c r="O66" s="1332"/>
    </row>
    <row r="67">
      <c r="A67" s="1332"/>
      <c r="B67" s="1332"/>
      <c r="C67" s="1332"/>
      <c r="D67" s="1332"/>
      <c r="E67" s="1332"/>
      <c r="F67" s="1332"/>
      <c r="G67" s="1332"/>
      <c r="H67" s="1332"/>
      <c r="I67" s="1332"/>
      <c r="J67" s="1332"/>
      <c r="K67" s="1332"/>
      <c r="L67" s="1332"/>
      <c r="M67" s="1332"/>
      <c r="N67" s="1332"/>
      <c r="O67" s="1332"/>
    </row>
    <row r="68">
      <c r="A68" s="1332"/>
      <c r="B68" s="1332"/>
      <c r="C68" s="1332"/>
      <c r="D68" s="1332"/>
      <c r="E68" s="1332"/>
      <c r="F68" s="1332"/>
      <c r="G68" s="1332"/>
      <c r="H68" s="1332"/>
      <c r="I68" s="1332"/>
      <c r="J68" s="1332"/>
      <c r="K68" s="1332"/>
      <c r="L68" s="1332"/>
      <c r="M68" s="1332"/>
      <c r="N68" s="1332"/>
      <c r="O68" s="1332"/>
    </row>
    <row r="69">
      <c r="A69" s="1332"/>
      <c r="B69" s="1332"/>
      <c r="C69" s="1332"/>
      <c r="D69" s="1332"/>
      <c r="E69" s="1332"/>
      <c r="F69" s="1332"/>
      <c r="G69" s="1332"/>
      <c r="H69" s="1332"/>
      <c r="I69" s="1332"/>
      <c r="J69" s="1332"/>
      <c r="K69" s="1332"/>
      <c r="L69" s="1332"/>
      <c r="M69" s="1332"/>
      <c r="N69" s="1332"/>
      <c r="O69" s="1332"/>
    </row>
    <row r="70">
      <c r="A70" s="1332"/>
      <c r="B70" s="1332"/>
      <c r="C70" s="1332"/>
      <c r="D70" s="1332"/>
      <c r="E70" s="1332"/>
      <c r="F70" s="1332"/>
      <c r="G70" s="1332"/>
      <c r="H70" s="1332"/>
      <c r="I70" s="1332"/>
      <c r="J70" s="1332"/>
      <c r="K70" s="1332"/>
      <c r="L70" s="1332"/>
      <c r="M70" s="1332"/>
      <c r="N70" s="1332"/>
      <c r="O70" s="1332"/>
    </row>
    <row r="71">
      <c r="A71" s="1332"/>
      <c r="B71" s="1332"/>
      <c r="C71" s="1332"/>
      <c r="D71" s="1332"/>
      <c r="E71" s="1332"/>
      <c r="F71" s="1332"/>
      <c r="G71" s="1332"/>
      <c r="H71" s="1332"/>
      <c r="I71" s="1332"/>
      <c r="J71" s="1332"/>
      <c r="K71" s="1332"/>
      <c r="L71" s="1332"/>
      <c r="M71" s="1332"/>
      <c r="N71" s="1332"/>
      <c r="O71" s="1332"/>
    </row>
    <row r="72">
      <c r="A72" s="1332"/>
      <c r="B72" s="1332"/>
      <c r="C72" s="1332"/>
      <c r="D72" s="1332"/>
      <c r="E72" s="1332"/>
      <c r="F72" s="1332"/>
      <c r="G72" s="1332"/>
      <c r="H72" s="1332"/>
      <c r="I72" s="1332"/>
      <c r="J72" s="1332"/>
      <c r="K72" s="1332"/>
      <c r="L72" s="1332"/>
      <c r="M72" s="1332"/>
      <c r="N72" s="1332"/>
      <c r="O72" s="1332"/>
    </row>
    <row r="73">
      <c r="A73" s="1332"/>
      <c r="B73" s="1332"/>
      <c r="C73" s="1332"/>
      <c r="D73" s="1332"/>
      <c r="E73" s="1332"/>
      <c r="F73" s="1332"/>
      <c r="G73" s="1332"/>
      <c r="H73" s="1332"/>
      <c r="I73" s="1332"/>
      <c r="J73" s="1332"/>
      <c r="K73" s="1332"/>
      <c r="L73" s="1332"/>
      <c r="M73" s="1332"/>
      <c r="N73" s="1332"/>
      <c r="O73" s="1332"/>
    </row>
    <row r="74">
      <c r="A74" s="1332"/>
      <c r="B74" s="1332"/>
      <c r="C74" s="1332"/>
      <c r="D74" s="1332"/>
      <c r="E74" s="1332"/>
      <c r="F74" s="1332"/>
      <c r="G74" s="1332"/>
      <c r="H74" s="1332"/>
      <c r="I74" s="1332"/>
      <c r="J74" s="1332"/>
      <c r="K74" s="1332"/>
      <c r="L74" s="1332"/>
      <c r="M74" s="1332"/>
      <c r="N74" s="1332"/>
      <c r="O74" s="1332"/>
    </row>
    <row r="75">
      <c r="A75" s="1332"/>
      <c r="B75" s="1332"/>
      <c r="C75" s="1332"/>
      <c r="D75" s="1332"/>
      <c r="E75" s="1332"/>
      <c r="F75" s="1332"/>
      <c r="G75" s="1332"/>
      <c r="H75" s="1332"/>
      <c r="I75" s="1332"/>
      <c r="J75" s="1332"/>
      <c r="K75" s="1332"/>
      <c r="L75" s="1332"/>
      <c r="M75" s="1332"/>
      <c r="N75" s="1332"/>
      <c r="O75" s="1332"/>
    </row>
    <row r="76">
      <c r="A76" s="1332"/>
      <c r="B76" s="1332"/>
      <c r="C76" s="1332"/>
      <c r="D76" s="1332"/>
      <c r="E76" s="1332"/>
      <c r="F76" s="1332"/>
      <c r="G76" s="1332"/>
      <c r="H76" s="1332"/>
      <c r="I76" s="1332"/>
      <c r="J76" s="1332"/>
      <c r="K76" s="1332"/>
      <c r="L76" s="1332"/>
      <c r="M76" s="1332"/>
      <c r="N76" s="1332"/>
      <c r="O76" s="1332"/>
    </row>
    <row r="77">
      <c r="A77" s="1332"/>
      <c r="B77" s="1332"/>
      <c r="C77" s="1332"/>
      <c r="D77" s="1332"/>
      <c r="E77" s="1332"/>
      <c r="F77" s="1332"/>
      <c r="G77" s="1332"/>
      <c r="H77" s="1332"/>
      <c r="I77" s="1332"/>
      <c r="J77" s="1332"/>
      <c r="K77" s="1332"/>
      <c r="L77" s="1332"/>
      <c r="M77" s="1332"/>
      <c r="N77" s="1332"/>
      <c r="O77" s="1332"/>
    </row>
    <row r="78">
      <c r="A78" s="1332"/>
      <c r="B78" s="1332"/>
      <c r="C78" s="1332"/>
      <c r="D78" s="1332"/>
      <c r="E78" s="1332"/>
      <c r="F78" s="1332"/>
      <c r="G78" s="1332"/>
      <c r="H78" s="1332"/>
      <c r="I78" s="1332"/>
      <c r="J78" s="1332"/>
      <c r="K78" s="1332"/>
      <c r="L78" s="1332"/>
      <c r="M78" s="1332"/>
      <c r="N78" s="1332"/>
      <c r="O78" s="1332"/>
    </row>
    <row r="79">
      <c r="A79" s="1332"/>
      <c r="B79" s="1332"/>
      <c r="C79" s="1332"/>
      <c r="D79" s="1332"/>
      <c r="E79" s="1332"/>
      <c r="F79" s="1332"/>
      <c r="G79" s="1332"/>
      <c r="H79" s="1332"/>
      <c r="I79" s="1332"/>
      <c r="J79" s="1332"/>
      <c r="K79" s="1332"/>
      <c r="L79" s="1332"/>
      <c r="M79" s="1332"/>
      <c r="N79" s="1332"/>
      <c r="O79" s="1332"/>
    </row>
    <row r="80">
      <c r="A80" s="1332"/>
      <c r="B80" s="1332"/>
      <c r="C80" s="1332"/>
      <c r="D80" s="1332"/>
      <c r="E80" s="1332"/>
      <c r="F80" s="1332"/>
      <c r="G80" s="1332"/>
      <c r="H80" s="1332"/>
      <c r="I80" s="1332"/>
      <c r="J80" s="1332"/>
      <c r="K80" s="1332"/>
      <c r="L80" s="1332"/>
      <c r="M80" s="1332"/>
      <c r="N80" s="1332"/>
      <c r="O80" s="1332"/>
    </row>
    <row r="81">
      <c r="A81" s="1332"/>
      <c r="B81" s="1332"/>
      <c r="C81" s="1332"/>
      <c r="D81" s="1332"/>
      <c r="E81" s="1332"/>
      <c r="F81" s="1332"/>
      <c r="G81" s="1332"/>
      <c r="H81" s="1332"/>
      <c r="I81" s="1332"/>
      <c r="J81" s="1332"/>
      <c r="K81" s="1332"/>
      <c r="L81" s="1332"/>
      <c r="M81" s="1332"/>
      <c r="N81" s="1332"/>
      <c r="O81" s="1332"/>
    </row>
    <row r="82">
      <c r="A82" s="1332"/>
      <c r="B82" s="1332"/>
      <c r="C82" s="1332"/>
      <c r="D82" s="1332"/>
      <c r="E82" s="1332"/>
      <c r="F82" s="1332"/>
      <c r="G82" s="1332"/>
      <c r="H82" s="1332"/>
      <c r="I82" s="1332"/>
      <c r="J82" s="1332"/>
      <c r="K82" s="1332"/>
      <c r="L82" s="1332"/>
      <c r="M82" s="1332"/>
      <c r="N82" s="1332"/>
      <c r="O82" s="1332"/>
    </row>
    <row r="83">
      <c r="A83" s="1332"/>
      <c r="B83" s="1332"/>
      <c r="C83" s="1332"/>
      <c r="D83" s="1332"/>
      <c r="E83" s="1332"/>
      <c r="F83" s="1332"/>
      <c r="G83" s="1332"/>
      <c r="H83" s="1332"/>
      <c r="I83" s="1332"/>
      <c r="J83" s="1332"/>
      <c r="K83" s="1332"/>
      <c r="L83" s="1332"/>
      <c r="M83" s="1332"/>
      <c r="N83" s="1332"/>
      <c r="O83" s="1332"/>
    </row>
    <row r="84">
      <c r="A84" s="1332"/>
      <c r="B84" s="1332"/>
      <c r="C84" s="1332"/>
      <c r="D84" s="1332"/>
      <c r="E84" s="1332"/>
      <c r="F84" s="1332"/>
      <c r="G84" s="1332"/>
      <c r="H84" s="1332"/>
      <c r="I84" s="1332"/>
      <c r="J84" s="1332"/>
      <c r="K84" s="1332"/>
      <c r="L84" s="1332"/>
      <c r="M84" s="1332"/>
      <c r="N84" s="1332"/>
      <c r="O84" s="1332"/>
    </row>
    <row r="85">
      <c r="A85" s="1332"/>
      <c r="B85" s="1332"/>
      <c r="C85" s="1332"/>
      <c r="D85" s="1332"/>
      <c r="E85" s="1332"/>
      <c r="F85" s="1332"/>
      <c r="G85" s="1332"/>
      <c r="H85" s="1332"/>
      <c r="I85" s="1332"/>
      <c r="J85" s="1332"/>
      <c r="K85" s="1332"/>
      <c r="L85" s="1332"/>
      <c r="M85" s="1332"/>
      <c r="N85" s="1332"/>
      <c r="O85" s="1332"/>
    </row>
    <row r="86">
      <c r="A86" s="1332"/>
      <c r="B86" s="1332"/>
      <c r="C86" s="1332"/>
      <c r="D86" s="1332"/>
      <c r="E86" s="1332"/>
      <c r="F86" s="1332"/>
      <c r="G86" s="1332"/>
      <c r="H86" s="1332"/>
      <c r="I86" s="1332"/>
      <c r="J86" s="1332"/>
      <c r="K86" s="1332"/>
      <c r="L86" s="1332"/>
      <c r="M86" s="1332"/>
      <c r="N86" s="1332"/>
      <c r="O86" s="1332"/>
    </row>
    <row r="87">
      <c r="A87" s="1332"/>
      <c r="B87" s="1332"/>
      <c r="C87" s="1332"/>
      <c r="D87" s="1332"/>
      <c r="E87" s="1332"/>
      <c r="F87" s="1332"/>
      <c r="G87" s="1332"/>
      <c r="H87" s="1332"/>
      <c r="I87" s="1332"/>
      <c r="J87" s="1332"/>
      <c r="K87" s="1332"/>
      <c r="L87" s="1332"/>
      <c r="M87" s="1332"/>
      <c r="N87" s="1332"/>
      <c r="O87" s="1332"/>
    </row>
    <row r="88">
      <c r="A88" s="1332"/>
      <c r="B88" s="1332"/>
      <c r="C88" s="1332"/>
      <c r="D88" s="1332"/>
      <c r="E88" s="1332"/>
      <c r="F88" s="1332"/>
      <c r="G88" s="1332"/>
      <c r="H88" s="1332"/>
      <c r="I88" s="1332"/>
      <c r="J88" s="1332"/>
      <c r="K88" s="1332"/>
      <c r="L88" s="1332"/>
      <c r="M88" s="1332"/>
      <c r="N88" s="1332"/>
      <c r="O88" s="1332"/>
    </row>
    <row r="89">
      <c r="A89" s="1332"/>
      <c r="B89" s="1332"/>
      <c r="C89" s="1332"/>
      <c r="D89" s="1332"/>
      <c r="E89" s="1332"/>
      <c r="F89" s="1332"/>
      <c r="G89" s="1332"/>
      <c r="H89" s="1332"/>
      <c r="I89" s="1332"/>
      <c r="J89" s="1332"/>
      <c r="K89" s="1332"/>
      <c r="L89" s="1332"/>
      <c r="M89" s="1332"/>
      <c r="N89" s="1332"/>
      <c r="O89" s="1332"/>
    </row>
    <row r="90">
      <c r="A90" s="1332"/>
      <c r="B90" s="1332"/>
      <c r="C90" s="1332"/>
      <c r="D90" s="1332"/>
      <c r="E90" s="1332"/>
      <c r="F90" s="1332"/>
      <c r="G90" s="1332"/>
      <c r="H90" s="1332"/>
      <c r="I90" s="1332"/>
      <c r="J90" s="1332"/>
      <c r="K90" s="1332"/>
      <c r="L90" s="1332"/>
      <c r="M90" s="1332"/>
      <c r="N90" s="1332"/>
      <c r="O90" s="1332"/>
    </row>
    <row r="91">
      <c r="A91" s="1332"/>
      <c r="B91" s="1332"/>
      <c r="C91" s="1332"/>
      <c r="D91" s="1332"/>
      <c r="E91" s="1332"/>
      <c r="F91" s="1332"/>
      <c r="G91" s="1332"/>
      <c r="H91" s="1332"/>
      <c r="I91" s="1332"/>
      <c r="J91" s="1332"/>
      <c r="K91" s="1332"/>
      <c r="L91" s="1332"/>
      <c r="M91" s="1332"/>
      <c r="N91" s="1332"/>
      <c r="O91" s="1332"/>
    </row>
    <row r="92">
      <c r="A92" s="1332"/>
      <c r="B92" s="1332"/>
      <c r="C92" s="1332"/>
      <c r="D92" s="1332"/>
      <c r="E92" s="1332"/>
      <c r="F92" s="1332"/>
      <c r="G92" s="1332"/>
      <c r="H92" s="1332"/>
      <c r="I92" s="1332"/>
      <c r="J92" s="1332"/>
      <c r="K92" s="1332"/>
      <c r="L92" s="1332"/>
      <c r="M92" s="1332"/>
      <c r="N92" s="1332"/>
      <c r="O92" s="1332"/>
    </row>
    <row r="93">
      <c r="A93" s="1332"/>
      <c r="B93" s="1332"/>
      <c r="C93" s="1332"/>
      <c r="D93" s="1332"/>
      <c r="E93" s="1332"/>
      <c r="F93" s="1332"/>
      <c r="G93" s="1332"/>
      <c r="H93" s="1332"/>
      <c r="I93" s="1332"/>
      <c r="J93" s="1332"/>
      <c r="K93" s="1332"/>
      <c r="L93" s="1332"/>
      <c r="M93" s="1332"/>
      <c r="N93" s="1332"/>
      <c r="O93" s="1332"/>
    </row>
    <row r="94">
      <c r="A94" s="1332"/>
      <c r="B94" s="1332"/>
      <c r="C94" s="1332"/>
      <c r="D94" s="1332"/>
      <c r="E94" s="1332"/>
      <c r="F94" s="1332"/>
      <c r="G94" s="1332"/>
      <c r="H94" s="1332"/>
      <c r="I94" s="1332"/>
      <c r="J94" s="1332"/>
      <c r="K94" s="1332"/>
      <c r="L94" s="1332"/>
      <c r="M94" s="1332"/>
      <c r="N94" s="1332"/>
      <c r="O94" s="1332"/>
    </row>
    <row r="95">
      <c r="A95" s="1332"/>
      <c r="B95" s="1332"/>
      <c r="C95" s="1332"/>
      <c r="D95" s="1332"/>
      <c r="E95" s="1332"/>
      <c r="F95" s="1332"/>
      <c r="G95" s="1332"/>
      <c r="H95" s="1332"/>
      <c r="I95" s="1332"/>
      <c r="J95" s="1332"/>
      <c r="K95" s="1332"/>
      <c r="L95" s="1332"/>
      <c r="M95" s="1332"/>
      <c r="N95" s="1332"/>
      <c r="O95" s="1332"/>
    </row>
    <row r="96">
      <c r="A96" s="1332"/>
      <c r="B96" s="1332"/>
      <c r="C96" s="1332"/>
      <c r="D96" s="1332"/>
      <c r="E96" s="1332"/>
      <c r="F96" s="1332"/>
      <c r="G96" s="1332"/>
      <c r="H96" s="1332"/>
      <c r="I96" s="1332"/>
      <c r="J96" s="1332"/>
      <c r="K96" s="1332"/>
      <c r="L96" s="1332"/>
      <c r="M96" s="1332"/>
      <c r="N96" s="1332"/>
      <c r="O96" s="1332"/>
    </row>
    <row r="97">
      <c r="A97" s="1332"/>
      <c r="B97" s="1332"/>
      <c r="C97" s="1332"/>
      <c r="D97" s="1332"/>
      <c r="E97" s="1332"/>
      <c r="F97" s="1332"/>
      <c r="G97" s="1332"/>
      <c r="H97" s="1332"/>
      <c r="I97" s="1332"/>
      <c r="J97" s="1332"/>
      <c r="K97" s="1332"/>
      <c r="L97" s="1332"/>
      <c r="M97" s="1332"/>
      <c r="N97" s="1332"/>
      <c r="O97" s="1332"/>
    </row>
    <row r="98">
      <c r="A98" s="1332"/>
      <c r="B98" s="1332"/>
      <c r="C98" s="1332"/>
      <c r="D98" s="1332"/>
      <c r="E98" s="1332"/>
      <c r="F98" s="1332"/>
      <c r="G98" s="1332"/>
      <c r="H98" s="1332"/>
      <c r="I98" s="1332"/>
      <c r="J98" s="1332"/>
      <c r="K98" s="1332"/>
      <c r="L98" s="1332"/>
      <c r="M98" s="1332"/>
      <c r="N98" s="1332"/>
      <c r="O98" s="1332"/>
    </row>
    <row r="99">
      <c r="A99" s="1332"/>
      <c r="B99" s="1332"/>
      <c r="C99" s="1332"/>
      <c r="D99" s="1332"/>
      <c r="E99" s="1332"/>
      <c r="F99" s="1332"/>
      <c r="G99" s="1332"/>
      <c r="H99" s="1332"/>
      <c r="I99" s="1332"/>
      <c r="J99" s="1332"/>
      <c r="K99" s="1332"/>
      <c r="L99" s="1332"/>
      <c r="M99" s="1332"/>
      <c r="N99" s="1332"/>
      <c r="O99" s="1332"/>
    </row>
    <row r="100">
      <c r="A100" s="1332"/>
      <c r="B100" s="1332"/>
      <c r="C100" s="1332"/>
      <c r="D100" s="1332"/>
      <c r="E100" s="1332"/>
      <c r="F100" s="1332"/>
      <c r="G100" s="1332"/>
      <c r="H100" s="1332"/>
      <c r="I100" s="1332"/>
      <c r="J100" s="1332"/>
      <c r="K100" s="1332"/>
      <c r="L100" s="1332"/>
      <c r="M100" s="1332"/>
      <c r="N100" s="1332"/>
      <c r="O100" s="1332"/>
    </row>
    <row r="101">
      <c r="A101" s="1332"/>
      <c r="B101" s="1332"/>
      <c r="C101" s="1332"/>
      <c r="D101" s="1332"/>
      <c r="E101" s="1332"/>
      <c r="F101" s="1332"/>
      <c r="G101" s="1332"/>
      <c r="H101" s="1332"/>
      <c r="I101" s="1332"/>
      <c r="J101" s="1332"/>
      <c r="K101" s="1332"/>
      <c r="L101" s="1332"/>
      <c r="M101" s="1332"/>
      <c r="N101" s="1332"/>
      <c r="O101" s="1332"/>
    </row>
    <row r="102">
      <c r="A102" s="1332"/>
      <c r="B102" s="1332"/>
      <c r="C102" s="1332"/>
      <c r="D102" s="1332"/>
      <c r="E102" s="1332"/>
      <c r="F102" s="1332"/>
      <c r="G102" s="1332"/>
      <c r="H102" s="1332"/>
      <c r="I102" s="1332"/>
      <c r="J102" s="1332"/>
      <c r="K102" s="1332"/>
      <c r="L102" s="1332"/>
      <c r="M102" s="1332"/>
      <c r="N102" s="1332"/>
      <c r="O102" s="1332"/>
    </row>
    <row r="103">
      <c r="A103" s="1332"/>
      <c r="B103" s="1332"/>
      <c r="C103" s="1332"/>
      <c r="D103" s="1332"/>
      <c r="E103" s="1332"/>
      <c r="F103" s="1332"/>
      <c r="G103" s="1332"/>
      <c r="H103" s="1332"/>
      <c r="I103" s="1332"/>
      <c r="J103" s="1332"/>
      <c r="K103" s="1332"/>
      <c r="L103" s="1332"/>
      <c r="M103" s="1332"/>
      <c r="N103" s="1332"/>
      <c r="O103" s="1332"/>
    </row>
    <row r="104">
      <c r="A104" s="1332"/>
      <c r="B104" s="1332"/>
      <c r="C104" s="1332"/>
      <c r="D104" s="1332"/>
      <c r="E104" s="1332"/>
      <c r="F104" s="1332"/>
      <c r="G104" s="1332"/>
      <c r="H104" s="1332"/>
      <c r="I104" s="1332"/>
      <c r="J104" s="1332"/>
      <c r="K104" s="1332"/>
      <c r="L104" s="1332"/>
      <c r="M104" s="1332"/>
      <c r="N104" s="1332"/>
      <c r="O104" s="1332"/>
    </row>
    <row r="105">
      <c r="A105" s="1332"/>
      <c r="B105" s="1332"/>
      <c r="C105" s="1332"/>
      <c r="D105" s="1332"/>
      <c r="E105" s="1332"/>
      <c r="F105" s="1332"/>
      <c r="G105" s="1332"/>
      <c r="H105" s="1332"/>
      <c r="I105" s="1332"/>
      <c r="J105" s="1332"/>
      <c r="K105" s="1332"/>
      <c r="L105" s="1332"/>
      <c r="M105" s="1332"/>
      <c r="N105" s="1332"/>
      <c r="O105" s="1332"/>
    </row>
    <row r="106">
      <c r="A106" s="1332"/>
      <c r="B106" s="1332"/>
      <c r="C106" s="1332"/>
      <c r="D106" s="1332"/>
      <c r="E106" s="1332"/>
      <c r="F106" s="1332"/>
      <c r="G106" s="1332"/>
      <c r="H106" s="1332"/>
      <c r="I106" s="1332"/>
      <c r="J106" s="1332"/>
      <c r="K106" s="1332"/>
      <c r="L106" s="1332"/>
      <c r="M106" s="1332"/>
      <c r="N106" s="1332"/>
      <c r="O106" s="1332"/>
    </row>
    <row r="107">
      <c r="A107" s="1332"/>
      <c r="B107" s="1332"/>
      <c r="C107" s="1332"/>
      <c r="D107" s="1332"/>
      <c r="E107" s="1332"/>
      <c r="F107" s="1332"/>
      <c r="G107" s="1332"/>
      <c r="H107" s="1332"/>
      <c r="I107" s="1332"/>
      <c r="J107" s="1332"/>
      <c r="K107" s="1332"/>
      <c r="L107" s="1332"/>
      <c r="M107" s="1332"/>
      <c r="N107" s="1332"/>
      <c r="O107" s="1332"/>
    </row>
    <row r="108">
      <c r="A108" s="1332"/>
      <c r="B108" s="1332"/>
      <c r="C108" s="1332"/>
      <c r="D108" s="1332"/>
      <c r="E108" s="1332"/>
      <c r="F108" s="1332"/>
      <c r="G108" s="1332"/>
      <c r="H108" s="1332"/>
      <c r="I108" s="1332"/>
      <c r="J108" s="1332"/>
      <c r="K108" s="1332"/>
      <c r="L108" s="1332"/>
      <c r="M108" s="1332"/>
      <c r="N108" s="1332"/>
      <c r="O108" s="1332"/>
    </row>
    <row r="109">
      <c r="A109" s="1332"/>
      <c r="B109" s="1332"/>
      <c r="C109" s="1332"/>
      <c r="D109" s="1332"/>
      <c r="E109" s="1332"/>
      <c r="F109" s="1332"/>
      <c r="G109" s="1332"/>
      <c r="H109" s="1332"/>
      <c r="I109" s="1332"/>
      <c r="J109" s="1332"/>
      <c r="K109" s="1332"/>
      <c r="L109" s="1332"/>
      <c r="M109" s="1332"/>
      <c r="N109" s="1332"/>
      <c r="O109" s="1332"/>
    </row>
    <row r="110">
      <c r="A110" s="1332"/>
      <c r="B110" s="1332"/>
      <c r="C110" s="1332"/>
      <c r="D110" s="1332"/>
      <c r="E110" s="1332"/>
      <c r="F110" s="1332"/>
      <c r="G110" s="1332"/>
      <c r="H110" s="1332"/>
      <c r="I110" s="1332"/>
      <c r="J110" s="1332"/>
      <c r="K110" s="1332"/>
      <c r="L110" s="1332"/>
      <c r="M110" s="1332"/>
      <c r="N110" s="1332"/>
      <c r="O110" s="1332"/>
    </row>
    <row r="111">
      <c r="A111" s="1332"/>
      <c r="B111" s="1332"/>
      <c r="C111" s="1332"/>
      <c r="D111" s="1332"/>
      <c r="E111" s="1332"/>
      <c r="F111" s="1332"/>
      <c r="G111" s="1332"/>
      <c r="H111" s="1332"/>
      <c r="I111" s="1332"/>
      <c r="J111" s="1332"/>
      <c r="K111" s="1332"/>
      <c r="L111" s="1332"/>
      <c r="M111" s="1332"/>
      <c r="N111" s="1332"/>
      <c r="O111" s="1332"/>
    </row>
    <row r="112">
      <c r="A112" s="1332"/>
      <c r="B112" s="1332"/>
      <c r="C112" s="1332"/>
      <c r="D112" s="1332"/>
      <c r="E112" s="1332"/>
      <c r="F112" s="1332"/>
      <c r="G112" s="1332"/>
      <c r="H112" s="1332"/>
      <c r="I112" s="1332"/>
      <c r="J112" s="1332"/>
      <c r="K112" s="1332"/>
      <c r="L112" s="1332"/>
      <c r="M112" s="1332"/>
      <c r="N112" s="1332"/>
      <c r="O112" s="1332"/>
    </row>
    <row r="113">
      <c r="A113" s="1332"/>
      <c r="B113" s="1332"/>
      <c r="C113" s="1332"/>
      <c r="D113" s="1332"/>
      <c r="E113" s="1332"/>
      <c r="F113" s="1332"/>
      <c r="G113" s="1332"/>
      <c r="H113" s="1332"/>
      <c r="I113" s="1332"/>
      <c r="J113" s="1332"/>
      <c r="K113" s="1332"/>
      <c r="L113" s="1332"/>
      <c r="M113" s="1332"/>
      <c r="N113" s="1332"/>
      <c r="O113" s="1332"/>
    </row>
    <row r="114">
      <c r="A114" s="1332"/>
      <c r="B114" s="1332"/>
      <c r="C114" s="1332"/>
      <c r="D114" s="1332"/>
      <c r="E114" s="1332"/>
      <c r="F114" s="1332"/>
      <c r="G114" s="1332"/>
      <c r="H114" s="1332"/>
      <c r="I114" s="1332"/>
      <c r="J114" s="1332"/>
      <c r="K114" s="1332"/>
      <c r="L114" s="1332"/>
      <c r="M114" s="1332"/>
      <c r="N114" s="1332"/>
      <c r="O114" s="1332"/>
    </row>
    <row r="115">
      <c r="A115" s="1332"/>
      <c r="B115" s="1332"/>
      <c r="C115" s="1332"/>
      <c r="D115" s="1332"/>
      <c r="E115" s="1332"/>
      <c r="F115" s="1332"/>
      <c r="G115" s="1332"/>
      <c r="H115" s="1332"/>
      <c r="I115" s="1332"/>
      <c r="J115" s="1332"/>
      <c r="K115" s="1332"/>
      <c r="L115" s="1332"/>
      <c r="M115" s="1332"/>
      <c r="N115" s="1332"/>
      <c r="O115" s="1332"/>
    </row>
    <row r="116">
      <c r="A116" s="1332"/>
      <c r="B116" s="1332"/>
      <c r="C116" s="1332"/>
      <c r="D116" s="1332"/>
      <c r="E116" s="1332"/>
      <c r="F116" s="1332"/>
      <c r="G116" s="1332"/>
      <c r="H116" s="1332"/>
      <c r="I116" s="1332"/>
      <c r="J116" s="1332"/>
      <c r="K116" s="1332"/>
      <c r="L116" s="1332"/>
      <c r="M116" s="1332"/>
      <c r="N116" s="1332"/>
      <c r="O116" s="1332"/>
    </row>
    <row r="117">
      <c r="A117" s="1332"/>
      <c r="B117" s="1332"/>
      <c r="C117" s="1332"/>
      <c r="D117" s="1332"/>
      <c r="E117" s="1332"/>
      <c r="F117" s="1332"/>
      <c r="G117" s="1332"/>
      <c r="H117" s="1332"/>
      <c r="I117" s="1332"/>
      <c r="J117" s="1332"/>
      <c r="K117" s="1332"/>
      <c r="L117" s="1332"/>
      <c r="M117" s="1332"/>
      <c r="N117" s="1332"/>
      <c r="O117" s="1332"/>
    </row>
    <row r="118">
      <c r="A118" s="1332"/>
      <c r="B118" s="1332"/>
      <c r="C118" s="1332"/>
      <c r="D118" s="1332"/>
      <c r="E118" s="1332"/>
      <c r="F118" s="1332"/>
      <c r="G118" s="1332"/>
      <c r="H118" s="1332"/>
      <c r="I118" s="1332"/>
      <c r="J118" s="1332"/>
      <c r="K118" s="1332"/>
      <c r="L118" s="1332"/>
      <c r="M118" s="1332"/>
      <c r="N118" s="1332"/>
      <c r="O118" s="1332"/>
    </row>
    <row r="119">
      <c r="A119" s="1332"/>
      <c r="B119" s="1332"/>
      <c r="C119" s="1332"/>
      <c r="D119" s="1332"/>
      <c r="E119" s="1332"/>
      <c r="F119" s="1332"/>
      <c r="G119" s="1332"/>
      <c r="H119" s="1332"/>
      <c r="I119" s="1332"/>
      <c r="J119" s="1332"/>
      <c r="K119" s="1332"/>
      <c r="L119" s="1332"/>
      <c r="M119" s="1332"/>
      <c r="N119" s="1332"/>
      <c r="O119" s="1332"/>
    </row>
    <row r="120">
      <c r="A120" s="1332"/>
      <c r="B120" s="1332"/>
      <c r="C120" s="1332"/>
      <c r="D120" s="1332"/>
      <c r="E120" s="1332"/>
      <c r="F120" s="1332"/>
      <c r="G120" s="1332"/>
      <c r="H120" s="1332"/>
      <c r="I120" s="1332"/>
      <c r="J120" s="1332"/>
      <c r="K120" s="1332"/>
      <c r="L120" s="1332"/>
      <c r="M120" s="1332"/>
      <c r="N120" s="1332"/>
      <c r="O120" s="1332"/>
    </row>
    <row r="121">
      <c r="A121" s="1332"/>
      <c r="B121" s="1332"/>
      <c r="C121" s="1332"/>
      <c r="D121" s="1332"/>
      <c r="E121" s="1332"/>
      <c r="F121" s="1332"/>
      <c r="G121" s="1332"/>
      <c r="H121" s="1332"/>
      <c r="I121" s="1332"/>
      <c r="J121" s="1332"/>
      <c r="K121" s="1332"/>
      <c r="L121" s="1332"/>
      <c r="M121" s="1332"/>
      <c r="N121" s="1332"/>
      <c r="O121" s="1332"/>
    </row>
    <row r="122">
      <c r="A122" s="1332"/>
      <c r="B122" s="1332"/>
      <c r="C122" s="1332"/>
      <c r="D122" s="1332"/>
      <c r="E122" s="1332"/>
      <c r="F122" s="1332"/>
      <c r="G122" s="1332"/>
      <c r="H122" s="1332"/>
      <c r="I122" s="1332"/>
      <c r="J122" s="1332"/>
      <c r="K122" s="1332"/>
      <c r="L122" s="1332"/>
      <c r="M122" s="1332"/>
      <c r="N122" s="1332"/>
      <c r="O122" s="1332"/>
    </row>
    <row r="123">
      <c r="A123" s="1332"/>
      <c r="B123" s="1332"/>
      <c r="C123" s="1332"/>
      <c r="D123" s="1332"/>
      <c r="E123" s="1332"/>
      <c r="F123" s="1332"/>
      <c r="G123" s="1332"/>
      <c r="H123" s="1332"/>
      <c r="I123" s="1332"/>
      <c r="J123" s="1332"/>
      <c r="K123" s="1332"/>
      <c r="L123" s="1332"/>
      <c r="M123" s="1332"/>
      <c r="N123" s="1332"/>
      <c r="O123" s="1332"/>
    </row>
    <row r="124">
      <c r="A124" s="1332"/>
      <c r="B124" s="1332"/>
      <c r="C124" s="1332"/>
      <c r="D124" s="1332"/>
      <c r="E124" s="1332"/>
      <c r="F124" s="1332"/>
      <c r="G124" s="1332"/>
      <c r="H124" s="1332"/>
      <c r="I124" s="1332"/>
      <c r="J124" s="1332"/>
      <c r="K124" s="1332"/>
      <c r="L124" s="1332"/>
      <c r="M124" s="1332"/>
      <c r="N124" s="1332"/>
      <c r="O124" s="1332"/>
    </row>
    <row r="125">
      <c r="A125" s="1332"/>
      <c r="B125" s="1332"/>
      <c r="C125" s="1332"/>
      <c r="D125" s="1332"/>
      <c r="E125" s="1332"/>
      <c r="F125" s="1332"/>
      <c r="G125" s="1332"/>
      <c r="H125" s="1332"/>
      <c r="I125" s="1332"/>
      <c r="J125" s="1332"/>
      <c r="K125" s="1332"/>
      <c r="L125" s="1332"/>
      <c r="M125" s="1332"/>
      <c r="N125" s="1332"/>
      <c r="O125" s="1332"/>
    </row>
    <row r="126">
      <c r="A126" s="1332"/>
      <c r="B126" s="1332"/>
      <c r="C126" s="1332"/>
      <c r="D126" s="1332"/>
      <c r="E126" s="1332"/>
      <c r="F126" s="1332"/>
      <c r="G126" s="1332"/>
      <c r="H126" s="1332"/>
      <c r="I126" s="1332"/>
      <c r="J126" s="1332"/>
      <c r="K126" s="1332"/>
      <c r="L126" s="1332"/>
      <c r="M126" s="1332"/>
      <c r="N126" s="1332"/>
      <c r="O126" s="1332"/>
    </row>
    <row r="127">
      <c r="A127" s="1332"/>
      <c r="B127" s="1332"/>
      <c r="C127" s="1332"/>
      <c r="D127" s="1332"/>
      <c r="E127" s="1332"/>
      <c r="F127" s="1332"/>
      <c r="G127" s="1332"/>
      <c r="H127" s="1332"/>
      <c r="I127" s="1332"/>
      <c r="J127" s="1332"/>
      <c r="K127" s="1332"/>
      <c r="L127" s="1332"/>
      <c r="M127" s="1332"/>
      <c r="N127" s="1332"/>
      <c r="O127" s="1332"/>
    </row>
    <row r="128">
      <c r="A128" s="1332"/>
      <c r="B128" s="1332"/>
      <c r="C128" s="1332"/>
      <c r="D128" s="1332"/>
      <c r="E128" s="1332"/>
      <c r="F128" s="1332"/>
      <c r="G128" s="1332"/>
      <c r="H128" s="1332"/>
      <c r="I128" s="1332"/>
      <c r="J128" s="1332"/>
      <c r="K128" s="1332"/>
      <c r="L128" s="1332"/>
      <c r="M128" s="1332"/>
      <c r="N128" s="1332"/>
      <c r="O128" s="1332"/>
    </row>
    <row r="129">
      <c r="A129" s="1332"/>
      <c r="B129" s="1332"/>
      <c r="C129" s="1332"/>
      <c r="D129" s="1332"/>
      <c r="E129" s="1332"/>
      <c r="F129" s="1332"/>
      <c r="G129" s="1332"/>
      <c r="H129" s="1332"/>
      <c r="I129" s="1332"/>
      <c r="J129" s="1332"/>
      <c r="K129" s="1332"/>
      <c r="L129" s="1332"/>
      <c r="M129" s="1332"/>
      <c r="N129" s="1332"/>
      <c r="O129" s="1332"/>
    </row>
    <row r="130">
      <c r="A130" s="1332"/>
      <c r="B130" s="1332"/>
      <c r="C130" s="1332"/>
      <c r="D130" s="1332"/>
      <c r="E130" s="1332"/>
      <c r="F130" s="1332"/>
      <c r="G130" s="1332"/>
      <c r="H130" s="1332"/>
      <c r="I130" s="1332"/>
      <c r="J130" s="1332"/>
      <c r="K130" s="1332"/>
      <c r="L130" s="1332"/>
      <c r="M130" s="1332"/>
      <c r="N130" s="1332"/>
      <c r="O130" s="1332"/>
    </row>
    <row r="131">
      <c r="A131" s="1332"/>
      <c r="B131" s="1332"/>
      <c r="C131" s="1332"/>
      <c r="D131" s="1332"/>
      <c r="E131" s="1332"/>
      <c r="F131" s="1332"/>
      <c r="G131" s="1332"/>
      <c r="H131" s="1332"/>
      <c r="I131" s="1332"/>
      <c r="J131" s="1332"/>
      <c r="K131" s="1332"/>
      <c r="L131" s="1332"/>
      <c r="M131" s="1332"/>
      <c r="N131" s="1332"/>
      <c r="O131" s="1332"/>
    </row>
    <row r="132">
      <c r="A132" s="1332"/>
      <c r="B132" s="1332"/>
      <c r="C132" s="1332"/>
      <c r="D132" s="1332"/>
      <c r="E132" s="1332"/>
      <c r="F132" s="1332"/>
      <c r="G132" s="1332"/>
      <c r="H132" s="1332"/>
      <c r="I132" s="1332"/>
      <c r="J132" s="1332"/>
      <c r="K132" s="1332"/>
      <c r="L132" s="1332"/>
      <c r="M132" s="1332"/>
      <c r="N132" s="1332"/>
      <c r="O132" s="1332"/>
    </row>
    <row r="133">
      <c r="A133" s="1332"/>
      <c r="B133" s="1332"/>
      <c r="C133" s="1332"/>
      <c r="D133" s="1332"/>
      <c r="E133" s="1332"/>
      <c r="F133" s="1332"/>
      <c r="G133" s="1332"/>
      <c r="H133" s="1332"/>
      <c r="I133" s="1332"/>
      <c r="J133" s="1332"/>
      <c r="K133" s="1332"/>
      <c r="L133" s="1332"/>
      <c r="M133" s="1332"/>
      <c r="N133" s="1332"/>
      <c r="O133" s="1332"/>
    </row>
    <row r="134">
      <c r="A134" s="1332"/>
      <c r="B134" s="1332"/>
      <c r="C134" s="1332"/>
      <c r="D134" s="1332"/>
      <c r="E134" s="1332"/>
      <c r="F134" s="1332"/>
      <c r="G134" s="1332"/>
      <c r="H134" s="1332"/>
      <c r="I134" s="1332"/>
      <c r="J134" s="1332"/>
      <c r="K134" s="1332"/>
      <c r="L134" s="1332"/>
      <c r="M134" s="1332"/>
      <c r="N134" s="1332"/>
      <c r="O134" s="1332"/>
    </row>
    <row r="135">
      <c r="A135" s="1332"/>
      <c r="B135" s="1332"/>
      <c r="C135" s="1332"/>
      <c r="D135" s="1332"/>
      <c r="E135" s="1332"/>
      <c r="F135" s="1332"/>
      <c r="G135" s="1332"/>
      <c r="H135" s="1332"/>
      <c r="I135" s="1332"/>
      <c r="J135" s="1332"/>
      <c r="K135" s="1332"/>
      <c r="L135" s="1332"/>
      <c r="M135" s="1332"/>
      <c r="N135" s="1332"/>
      <c r="O135" s="1332"/>
    </row>
    <row r="136">
      <c r="A136" s="1332"/>
      <c r="B136" s="1332"/>
      <c r="C136" s="1332"/>
      <c r="D136" s="1332"/>
      <c r="E136" s="1332"/>
      <c r="F136" s="1332"/>
      <c r="G136" s="1332"/>
      <c r="H136" s="1332"/>
      <c r="I136" s="1332"/>
      <c r="J136" s="1332"/>
      <c r="K136" s="1332"/>
      <c r="L136" s="1332"/>
      <c r="M136" s="1332"/>
      <c r="N136" s="1332"/>
      <c r="O136" s="1332"/>
    </row>
    <row r="137">
      <c r="A137" s="1332"/>
      <c r="B137" s="1332"/>
      <c r="C137" s="1332"/>
      <c r="D137" s="1332"/>
      <c r="E137" s="1332"/>
      <c r="F137" s="1332"/>
      <c r="G137" s="1332"/>
      <c r="H137" s="1332"/>
      <c r="I137" s="1332"/>
      <c r="J137" s="1332"/>
      <c r="K137" s="1332"/>
      <c r="L137" s="1332"/>
      <c r="M137" s="1332"/>
      <c r="N137" s="1332"/>
      <c r="O137" s="1332"/>
    </row>
    <row r="138">
      <c r="A138" s="1332"/>
      <c r="B138" s="1332"/>
      <c r="C138" s="1332"/>
      <c r="D138" s="1332"/>
      <c r="E138" s="1332"/>
      <c r="F138" s="1332"/>
      <c r="G138" s="1332"/>
      <c r="H138" s="1332"/>
      <c r="I138" s="1332"/>
      <c r="J138" s="1332"/>
      <c r="K138" s="1332"/>
      <c r="L138" s="1332"/>
      <c r="M138" s="1332"/>
      <c r="N138" s="1332"/>
      <c r="O138" s="1332"/>
    </row>
    <row r="139">
      <c r="A139" s="1332"/>
      <c r="B139" s="1332"/>
      <c r="C139" s="1332"/>
      <c r="D139" s="1332"/>
      <c r="E139" s="1332"/>
      <c r="F139" s="1332"/>
      <c r="G139" s="1332"/>
      <c r="H139" s="1332"/>
      <c r="I139" s="1332"/>
      <c r="J139" s="1332"/>
      <c r="K139" s="1332"/>
      <c r="L139" s="1332"/>
      <c r="M139" s="1332"/>
      <c r="N139" s="1332"/>
      <c r="O139" s="1332"/>
    </row>
    <row r="140">
      <c r="A140" s="1332"/>
      <c r="B140" s="1332"/>
      <c r="C140" s="1332"/>
      <c r="D140" s="1332"/>
      <c r="E140" s="1332"/>
      <c r="F140" s="1332"/>
      <c r="G140" s="1332"/>
      <c r="H140" s="1332"/>
      <c r="I140" s="1332"/>
      <c r="J140" s="1332"/>
      <c r="K140" s="1332"/>
      <c r="L140" s="1332"/>
      <c r="M140" s="1332"/>
      <c r="N140" s="1332"/>
      <c r="O140" s="1332"/>
    </row>
    <row r="141">
      <c r="A141" s="1332"/>
      <c r="B141" s="1332"/>
      <c r="C141" s="1332"/>
      <c r="D141" s="1332"/>
      <c r="E141" s="1332"/>
      <c r="F141" s="1332"/>
      <c r="G141" s="1332"/>
      <c r="H141" s="1332"/>
      <c r="I141" s="1332"/>
      <c r="J141" s="1332"/>
      <c r="K141" s="1332"/>
      <c r="L141" s="1332"/>
      <c r="M141" s="1332"/>
      <c r="N141" s="1332"/>
      <c r="O141" s="1332"/>
    </row>
    <row r="142">
      <c r="A142" s="1332"/>
      <c r="B142" s="1332"/>
      <c r="C142" s="1332"/>
      <c r="D142" s="1332"/>
      <c r="E142" s="1332"/>
      <c r="F142" s="1332"/>
      <c r="G142" s="1332"/>
      <c r="H142" s="1332"/>
      <c r="I142" s="1332"/>
      <c r="J142" s="1332"/>
      <c r="K142" s="1332"/>
      <c r="L142" s="1332"/>
      <c r="M142" s="1332"/>
      <c r="N142" s="1332"/>
      <c r="O142" s="1332"/>
    </row>
    <row r="143">
      <c r="A143" s="1332"/>
      <c r="B143" s="1332"/>
      <c r="C143" s="1332"/>
      <c r="D143" s="1332"/>
      <c r="E143" s="1332"/>
      <c r="F143" s="1332"/>
      <c r="G143" s="1332"/>
      <c r="H143" s="1332"/>
      <c r="I143" s="1332"/>
      <c r="J143" s="1332"/>
      <c r="K143" s="1332"/>
      <c r="L143" s="1332"/>
      <c r="M143" s="1332"/>
      <c r="N143" s="1332"/>
      <c r="O143" s="1332"/>
    </row>
    <row r="144">
      <c r="A144" s="1332"/>
      <c r="B144" s="1332"/>
      <c r="C144" s="1332"/>
      <c r="D144" s="1332"/>
      <c r="E144" s="1332"/>
      <c r="F144" s="1332"/>
      <c r="G144" s="1332"/>
      <c r="H144" s="1332"/>
      <c r="I144" s="1332"/>
      <c r="J144" s="1332"/>
      <c r="K144" s="1332"/>
      <c r="L144" s="1332"/>
      <c r="M144" s="1332"/>
      <c r="N144" s="1332"/>
      <c r="O144" s="1332"/>
    </row>
    <row r="145">
      <c r="A145" s="1332"/>
      <c r="B145" s="1332"/>
      <c r="C145" s="1332"/>
      <c r="D145" s="1332"/>
      <c r="E145" s="1332"/>
      <c r="F145" s="1332"/>
      <c r="G145" s="1332"/>
      <c r="H145" s="1332"/>
      <c r="I145" s="1332"/>
      <c r="J145" s="1332"/>
      <c r="K145" s="1332"/>
      <c r="L145" s="1332"/>
      <c r="M145" s="1332"/>
      <c r="N145" s="1332"/>
      <c r="O145" s="1332"/>
    </row>
    <row r="146">
      <c r="A146" s="1332"/>
      <c r="B146" s="1332"/>
      <c r="C146" s="1332"/>
      <c r="D146" s="1332"/>
      <c r="E146" s="1332"/>
      <c r="F146" s="1332"/>
      <c r="G146" s="1332"/>
      <c r="H146" s="1332"/>
      <c r="I146" s="1332"/>
      <c r="J146" s="1332"/>
      <c r="K146" s="1332"/>
      <c r="L146" s="1332"/>
      <c r="M146" s="1332"/>
      <c r="N146" s="1332"/>
      <c r="O146" s="1332"/>
    </row>
    <row r="147">
      <c r="A147" s="1332"/>
      <c r="B147" s="1332"/>
      <c r="C147" s="1332"/>
      <c r="D147" s="1332"/>
      <c r="E147" s="1332"/>
      <c r="F147" s="1332"/>
      <c r="G147" s="1332"/>
      <c r="H147" s="1332"/>
      <c r="I147" s="1332"/>
      <c r="J147" s="1332"/>
      <c r="K147" s="1332"/>
      <c r="L147" s="1332"/>
      <c r="M147" s="1332"/>
      <c r="N147" s="1332"/>
      <c r="O147" s="1332"/>
    </row>
    <row r="148">
      <c r="A148" s="1332"/>
      <c r="B148" s="1332"/>
      <c r="C148" s="1332"/>
      <c r="D148" s="1332"/>
      <c r="E148" s="1332"/>
      <c r="F148" s="1332"/>
      <c r="G148" s="1332"/>
      <c r="H148" s="1332"/>
      <c r="I148" s="1332"/>
      <c r="J148" s="1332"/>
      <c r="K148" s="1332"/>
      <c r="L148" s="1332"/>
      <c r="M148" s="1332"/>
      <c r="N148" s="1332"/>
      <c r="O148" s="1332"/>
    </row>
    <row r="149">
      <c r="A149" s="1332"/>
      <c r="B149" s="1332"/>
      <c r="C149" s="1332"/>
      <c r="D149" s="1332"/>
      <c r="E149" s="1332"/>
      <c r="F149" s="1332"/>
      <c r="G149" s="1332"/>
      <c r="H149" s="1332"/>
      <c r="I149" s="1332"/>
      <c r="J149" s="1332"/>
      <c r="K149" s="1332"/>
      <c r="L149" s="1332"/>
      <c r="M149" s="1332"/>
      <c r="N149" s="1332"/>
      <c r="O149" s="1332"/>
    </row>
    <row r="150">
      <c r="A150" s="1332"/>
      <c r="B150" s="1332"/>
      <c r="C150" s="1332"/>
      <c r="D150" s="1332"/>
      <c r="E150" s="1332"/>
      <c r="F150" s="1332"/>
      <c r="G150" s="1332"/>
      <c r="H150" s="1332"/>
      <c r="I150" s="1332"/>
      <c r="J150" s="1332"/>
      <c r="K150" s="1332"/>
      <c r="L150" s="1332"/>
      <c r="M150" s="1332"/>
      <c r="N150" s="1332"/>
      <c r="O150" s="1332"/>
    </row>
    <row r="151">
      <c r="A151" s="1332"/>
      <c r="B151" s="1332"/>
      <c r="C151" s="1332"/>
      <c r="D151" s="1332"/>
      <c r="E151" s="1332"/>
      <c r="F151" s="1332"/>
      <c r="G151" s="1332"/>
      <c r="H151" s="1332"/>
      <c r="I151" s="1332"/>
      <c r="J151" s="1332"/>
      <c r="K151" s="1332"/>
      <c r="L151" s="1332"/>
      <c r="M151" s="1332"/>
      <c r="N151" s="1332"/>
      <c r="O151" s="1332"/>
    </row>
    <row r="152">
      <c r="A152" s="1332"/>
      <c r="B152" s="1332"/>
      <c r="C152" s="1332"/>
      <c r="D152" s="1332"/>
      <c r="E152" s="1332"/>
      <c r="F152" s="1332"/>
      <c r="G152" s="1332"/>
      <c r="H152" s="1332"/>
      <c r="I152" s="1332"/>
      <c r="J152" s="1332"/>
      <c r="K152" s="1332"/>
      <c r="L152" s="1332"/>
      <c r="M152" s="1332"/>
      <c r="N152" s="1332"/>
      <c r="O152" s="1332"/>
    </row>
    <row r="153">
      <c r="A153" s="1332"/>
      <c r="B153" s="1332"/>
      <c r="C153" s="1332"/>
      <c r="D153" s="1332"/>
      <c r="E153" s="1332"/>
      <c r="F153" s="1332"/>
      <c r="G153" s="1332"/>
      <c r="H153" s="1332"/>
      <c r="I153" s="1332"/>
      <c r="J153" s="1332"/>
      <c r="K153" s="1332"/>
      <c r="L153" s="1332"/>
      <c r="M153" s="1332"/>
      <c r="N153" s="1332"/>
      <c r="O153" s="1332"/>
    </row>
    <row r="154">
      <c r="A154" s="1332"/>
      <c r="B154" s="1332"/>
      <c r="C154" s="1332"/>
      <c r="D154" s="1332"/>
      <c r="E154" s="1332"/>
      <c r="F154" s="1332"/>
      <c r="G154" s="1332"/>
      <c r="H154" s="1332"/>
      <c r="I154" s="1332"/>
      <c r="J154" s="1332"/>
      <c r="K154" s="1332"/>
      <c r="L154" s="1332"/>
      <c r="M154" s="1332"/>
      <c r="N154" s="1332"/>
      <c r="O154" s="1332"/>
    </row>
    <row r="155">
      <c r="A155" s="1332"/>
      <c r="B155" s="1332"/>
      <c r="C155" s="1332"/>
      <c r="D155" s="1332"/>
      <c r="E155" s="1332"/>
      <c r="F155" s="1332"/>
      <c r="G155" s="1332"/>
      <c r="H155" s="1332"/>
      <c r="I155" s="1332"/>
      <c r="J155" s="1332"/>
      <c r="K155" s="1332"/>
      <c r="L155" s="1332"/>
      <c r="M155" s="1332"/>
      <c r="N155" s="1332"/>
      <c r="O155" s="1332"/>
    </row>
    <row r="156">
      <c r="A156" s="1332"/>
      <c r="B156" s="1332"/>
      <c r="C156" s="1332"/>
      <c r="D156" s="1332"/>
      <c r="E156" s="1332"/>
      <c r="F156" s="1332"/>
      <c r="G156" s="1332"/>
      <c r="H156" s="1332"/>
      <c r="I156" s="1332"/>
      <c r="J156" s="1332"/>
      <c r="K156" s="1332"/>
      <c r="L156" s="1332"/>
      <c r="M156" s="1332"/>
      <c r="N156" s="1332"/>
      <c r="O156" s="1332"/>
    </row>
    <row r="157">
      <c r="A157" s="1332"/>
      <c r="B157" s="1332"/>
      <c r="C157" s="1332"/>
      <c r="D157" s="1332"/>
      <c r="E157" s="1332"/>
      <c r="F157" s="1332"/>
      <c r="G157" s="1332"/>
      <c r="H157" s="1332"/>
      <c r="I157" s="1332"/>
      <c r="J157" s="1332"/>
      <c r="K157" s="1332"/>
      <c r="L157" s="1332"/>
      <c r="M157" s="1332"/>
      <c r="N157" s="1332"/>
      <c r="O157" s="1332"/>
    </row>
    <row r="158">
      <c r="A158" s="1332"/>
      <c r="B158" s="1332"/>
      <c r="C158" s="1332"/>
      <c r="D158" s="1332"/>
      <c r="E158" s="1332"/>
      <c r="F158" s="1332"/>
      <c r="G158" s="1332"/>
      <c r="H158" s="1332"/>
      <c r="I158" s="1332"/>
      <c r="J158" s="1332"/>
      <c r="K158" s="1332"/>
      <c r="L158" s="1332"/>
      <c r="M158" s="1332"/>
      <c r="N158" s="1332"/>
      <c r="O158" s="1332"/>
    </row>
    <row r="159">
      <c r="A159" s="1332"/>
      <c r="B159" s="1332"/>
      <c r="C159" s="1332"/>
      <c r="D159" s="1332"/>
      <c r="E159" s="1332"/>
      <c r="F159" s="1332"/>
      <c r="G159" s="1332"/>
      <c r="H159" s="1332"/>
      <c r="I159" s="1332"/>
      <c r="J159" s="1332"/>
      <c r="K159" s="1332"/>
      <c r="L159" s="1332"/>
      <c r="M159" s="1332"/>
      <c r="N159" s="1332"/>
      <c r="O159" s="1332"/>
    </row>
    <row r="160">
      <c r="A160" s="1332"/>
      <c r="B160" s="1332"/>
      <c r="C160" s="1332"/>
      <c r="D160" s="1332"/>
      <c r="E160" s="1332"/>
      <c r="F160" s="1332"/>
      <c r="G160" s="1332"/>
      <c r="H160" s="1332"/>
      <c r="I160" s="1332"/>
      <c r="J160" s="1332"/>
      <c r="K160" s="1332"/>
      <c r="L160" s="1332"/>
      <c r="M160" s="1332"/>
      <c r="N160" s="1332"/>
      <c r="O160" s="1332"/>
    </row>
    <row r="161">
      <c r="A161" s="1332"/>
      <c r="B161" s="1332"/>
      <c r="C161" s="1332"/>
      <c r="D161" s="1332"/>
      <c r="E161" s="1332"/>
      <c r="F161" s="1332"/>
      <c r="G161" s="1332"/>
      <c r="H161" s="1332"/>
      <c r="I161" s="1332"/>
      <c r="J161" s="1332"/>
      <c r="K161" s="1332"/>
      <c r="L161" s="1332"/>
      <c r="M161" s="1332"/>
      <c r="N161" s="1332"/>
      <c r="O161" s="1332"/>
    </row>
    <row r="162">
      <c r="A162" s="1332"/>
      <c r="B162" s="1332"/>
      <c r="C162" s="1332"/>
      <c r="D162" s="1332"/>
      <c r="E162" s="1332"/>
      <c r="F162" s="1332"/>
      <c r="G162" s="1332"/>
      <c r="H162" s="1332"/>
      <c r="I162" s="1332"/>
      <c r="J162" s="1332"/>
      <c r="K162" s="1332"/>
      <c r="L162" s="1332"/>
      <c r="M162" s="1332"/>
      <c r="N162" s="1332"/>
      <c r="O162" s="1332"/>
    </row>
    <row r="163">
      <c r="A163" s="1332"/>
      <c r="B163" s="1332"/>
      <c r="C163" s="1332"/>
      <c r="D163" s="1332"/>
      <c r="E163" s="1332"/>
      <c r="F163" s="1332"/>
      <c r="G163" s="1332"/>
      <c r="H163" s="1332"/>
      <c r="I163" s="1332"/>
      <c r="J163" s="1332"/>
      <c r="K163" s="1332"/>
      <c r="L163" s="1332"/>
      <c r="M163" s="1332"/>
      <c r="N163" s="1332"/>
      <c r="O163" s="1332"/>
    </row>
    <row r="164">
      <c r="A164" s="1332"/>
      <c r="B164" s="1332"/>
      <c r="C164" s="1332"/>
      <c r="D164" s="1332"/>
      <c r="E164" s="1332"/>
      <c r="F164" s="1332"/>
      <c r="G164" s="1332"/>
      <c r="H164" s="1332"/>
      <c r="I164" s="1332"/>
      <c r="J164" s="1332"/>
      <c r="K164" s="1332"/>
      <c r="L164" s="1332"/>
      <c r="M164" s="1332"/>
      <c r="N164" s="1332"/>
      <c r="O164" s="1332"/>
    </row>
    <row r="165">
      <c r="A165" s="1332"/>
      <c r="B165" s="1332"/>
      <c r="C165" s="1332"/>
      <c r="D165" s="1332"/>
      <c r="E165" s="1332"/>
      <c r="F165" s="1332"/>
      <c r="G165" s="1332"/>
      <c r="H165" s="1332"/>
      <c r="I165" s="1332"/>
      <c r="J165" s="1332"/>
      <c r="K165" s="1332"/>
      <c r="L165" s="1332"/>
      <c r="M165" s="1332"/>
      <c r="N165" s="1332"/>
      <c r="O165" s="1332"/>
    </row>
    <row r="166">
      <c r="A166" s="1332"/>
      <c r="B166" s="1332"/>
      <c r="C166" s="1332"/>
      <c r="D166" s="1332"/>
      <c r="E166" s="1332"/>
      <c r="F166" s="1332"/>
      <c r="G166" s="1332"/>
      <c r="H166" s="1332"/>
      <c r="I166" s="1332"/>
      <c r="J166" s="1332"/>
      <c r="K166" s="1332"/>
      <c r="L166" s="1332"/>
      <c r="M166" s="1332"/>
      <c r="N166" s="1332"/>
      <c r="O166" s="1332"/>
    </row>
    <row r="167">
      <c r="A167" s="1332"/>
      <c r="B167" s="1332"/>
      <c r="C167" s="1332"/>
      <c r="D167" s="1332"/>
      <c r="E167" s="1332"/>
      <c r="F167" s="1332"/>
      <c r="G167" s="1332"/>
      <c r="H167" s="1332"/>
      <c r="I167" s="1332"/>
      <c r="J167" s="1332"/>
      <c r="K167" s="1332"/>
      <c r="L167" s="1332"/>
      <c r="M167" s="1332"/>
      <c r="N167" s="1332"/>
      <c r="O167" s="1332"/>
    </row>
    <row r="168">
      <c r="A168" s="1332"/>
      <c r="B168" s="1332"/>
      <c r="C168" s="1332"/>
      <c r="D168" s="1332"/>
      <c r="E168" s="1332"/>
      <c r="F168" s="1332"/>
      <c r="G168" s="1332"/>
      <c r="H168" s="1332"/>
      <c r="I168" s="1332"/>
      <c r="J168" s="1332"/>
      <c r="K168" s="1332"/>
      <c r="L168" s="1332"/>
      <c r="M168" s="1332"/>
      <c r="N168" s="1332"/>
      <c r="O168" s="1332"/>
    </row>
    <row r="169">
      <c r="A169" s="1332"/>
      <c r="B169" s="1332"/>
      <c r="C169" s="1332"/>
      <c r="D169" s="1332"/>
      <c r="E169" s="1332"/>
      <c r="F169" s="1332"/>
      <c r="G169" s="1332"/>
      <c r="H169" s="1332"/>
      <c r="I169" s="1332"/>
      <c r="J169" s="1332"/>
      <c r="K169" s="1332"/>
      <c r="L169" s="1332"/>
      <c r="M169" s="1332"/>
      <c r="N169" s="1332"/>
      <c r="O169" s="1332"/>
    </row>
    <row r="170">
      <c r="A170" s="1332"/>
      <c r="B170" s="1332"/>
      <c r="C170" s="1332"/>
      <c r="D170" s="1332"/>
      <c r="E170" s="1332"/>
      <c r="F170" s="1332"/>
      <c r="G170" s="1332"/>
      <c r="H170" s="1332"/>
      <c r="I170" s="1332"/>
      <c r="J170" s="1332"/>
      <c r="K170" s="1332"/>
      <c r="L170" s="1332"/>
      <c r="M170" s="1332"/>
      <c r="N170" s="1332"/>
      <c r="O170" s="1332"/>
    </row>
    <row r="171">
      <c r="A171" s="1332"/>
      <c r="B171" s="1332"/>
      <c r="C171" s="1332"/>
      <c r="D171" s="1332"/>
      <c r="E171" s="1332"/>
      <c r="F171" s="1332"/>
      <c r="G171" s="1332"/>
      <c r="H171" s="1332"/>
      <c r="I171" s="1332"/>
      <c r="J171" s="1332"/>
      <c r="K171" s="1332"/>
      <c r="L171" s="1332"/>
      <c r="M171" s="1332"/>
      <c r="N171" s="1332"/>
      <c r="O171" s="1332"/>
    </row>
    <row r="172">
      <c r="A172" s="1332"/>
      <c r="B172" s="1332"/>
      <c r="C172" s="1332"/>
      <c r="D172" s="1332"/>
      <c r="E172" s="1332"/>
      <c r="F172" s="1332"/>
      <c r="G172" s="1332"/>
      <c r="H172" s="1332"/>
      <c r="I172" s="1332"/>
      <c r="J172" s="1332"/>
      <c r="K172" s="1332"/>
      <c r="L172" s="1332"/>
      <c r="M172" s="1332"/>
      <c r="N172" s="1332"/>
      <c r="O172" s="1332"/>
    </row>
    <row r="173">
      <c r="A173" s="1332"/>
      <c r="B173" s="1332"/>
      <c r="C173" s="1332"/>
      <c r="D173" s="1332"/>
      <c r="E173" s="1332"/>
      <c r="F173" s="1332"/>
      <c r="G173" s="1332"/>
      <c r="H173" s="1332"/>
      <c r="I173" s="1332"/>
      <c r="J173" s="1332"/>
      <c r="K173" s="1332"/>
      <c r="L173" s="1332"/>
      <c r="M173" s="1332"/>
      <c r="N173" s="1332"/>
      <c r="O173" s="1332"/>
    </row>
    <row r="174">
      <c r="A174" s="1332"/>
      <c r="B174" s="1332"/>
      <c r="C174" s="1332"/>
      <c r="D174" s="1332"/>
      <c r="E174" s="1332"/>
      <c r="F174" s="1332"/>
      <c r="G174" s="1332"/>
      <c r="H174" s="1332"/>
      <c r="I174" s="1332"/>
      <c r="J174" s="1332"/>
      <c r="K174" s="1332"/>
      <c r="L174" s="1332"/>
      <c r="M174" s="1332"/>
      <c r="N174" s="1332"/>
      <c r="O174" s="1332"/>
    </row>
    <row r="175">
      <c r="A175" s="1332"/>
      <c r="B175" s="1332"/>
      <c r="C175" s="1332"/>
      <c r="D175" s="1332"/>
      <c r="E175" s="1332"/>
      <c r="F175" s="1332"/>
      <c r="G175" s="1332"/>
      <c r="H175" s="1332"/>
      <c r="I175" s="1332"/>
      <c r="J175" s="1332"/>
      <c r="K175" s="1332"/>
      <c r="L175" s="1332"/>
      <c r="M175" s="1332"/>
      <c r="N175" s="1332"/>
      <c r="O175" s="1332"/>
    </row>
    <row r="176">
      <c r="A176" s="1332"/>
      <c r="B176" s="1332"/>
      <c r="C176" s="1332"/>
      <c r="D176" s="1332"/>
      <c r="E176" s="1332"/>
      <c r="F176" s="1332"/>
      <c r="G176" s="1332"/>
      <c r="H176" s="1332"/>
      <c r="I176" s="1332"/>
      <c r="J176" s="1332"/>
      <c r="K176" s="1332"/>
      <c r="L176" s="1332"/>
      <c r="M176" s="1332"/>
      <c r="N176" s="1332"/>
      <c r="O176" s="1332"/>
    </row>
    <row r="177">
      <c r="A177" s="1332"/>
      <c r="B177" s="1332"/>
      <c r="C177" s="1332"/>
      <c r="D177" s="1332"/>
      <c r="E177" s="1332"/>
      <c r="F177" s="1332"/>
      <c r="G177" s="1332"/>
      <c r="H177" s="1332"/>
      <c r="I177" s="1332"/>
      <c r="J177" s="1332"/>
      <c r="K177" s="1332"/>
      <c r="L177" s="1332"/>
      <c r="M177" s="1332"/>
      <c r="N177" s="1332"/>
      <c r="O177" s="1332"/>
    </row>
    <row r="178">
      <c r="A178" s="1332"/>
      <c r="B178" s="1332"/>
      <c r="C178" s="1332"/>
      <c r="D178" s="1332"/>
      <c r="E178" s="1332"/>
      <c r="F178" s="1332"/>
      <c r="G178" s="1332"/>
      <c r="H178" s="1332"/>
      <c r="I178" s="1332"/>
      <c r="J178" s="1332"/>
      <c r="K178" s="1332"/>
      <c r="L178" s="1332"/>
      <c r="M178" s="1332"/>
      <c r="N178" s="1332"/>
      <c r="O178" s="1332"/>
    </row>
    <row r="179">
      <c r="A179" s="1332"/>
      <c r="B179" s="1332"/>
      <c r="C179" s="1332"/>
      <c r="D179" s="1332"/>
      <c r="E179" s="1332"/>
      <c r="F179" s="1332"/>
      <c r="G179" s="1332"/>
      <c r="H179" s="1332"/>
      <c r="I179" s="1332"/>
      <c r="J179" s="1332"/>
      <c r="K179" s="1332"/>
      <c r="L179" s="1332"/>
      <c r="M179" s="1332"/>
      <c r="N179" s="1332"/>
      <c r="O179" s="1332"/>
    </row>
    <row r="180">
      <c r="A180" s="1332"/>
      <c r="B180" s="1332"/>
      <c r="C180" s="1332"/>
      <c r="D180" s="1332"/>
      <c r="E180" s="1332"/>
      <c r="F180" s="1332"/>
      <c r="G180" s="1332"/>
      <c r="H180" s="1332"/>
      <c r="I180" s="1332"/>
      <c r="J180" s="1332"/>
      <c r="K180" s="1332"/>
      <c r="L180" s="1332"/>
      <c r="M180" s="1332"/>
      <c r="N180" s="1332"/>
      <c r="O180" s="1332"/>
    </row>
    <row r="181">
      <c r="A181" s="1332"/>
      <c r="B181" s="1332"/>
      <c r="C181" s="1332"/>
      <c r="D181" s="1332"/>
      <c r="E181" s="1332"/>
      <c r="F181" s="1332"/>
      <c r="G181" s="1332"/>
      <c r="H181" s="1332"/>
      <c r="I181" s="1332"/>
      <c r="J181" s="1332"/>
      <c r="K181" s="1332"/>
      <c r="L181" s="1332"/>
      <c r="M181" s="1332"/>
      <c r="N181" s="1332"/>
      <c r="O181" s="1332"/>
    </row>
    <row r="182">
      <c r="A182" s="1332"/>
      <c r="B182" s="1332"/>
      <c r="C182" s="1332"/>
      <c r="D182" s="1332"/>
      <c r="E182" s="1332"/>
      <c r="F182" s="1332"/>
      <c r="G182" s="1332"/>
      <c r="H182" s="1332"/>
      <c r="I182" s="1332"/>
      <c r="J182" s="1332"/>
      <c r="K182" s="1332"/>
      <c r="L182" s="1332"/>
      <c r="M182" s="1332"/>
      <c r="N182" s="1332"/>
      <c r="O182" s="1332"/>
    </row>
    <row r="183">
      <c r="A183" s="1332"/>
      <c r="B183" s="1332"/>
      <c r="C183" s="1332"/>
      <c r="D183" s="1332"/>
      <c r="E183" s="1332"/>
      <c r="F183" s="1332"/>
      <c r="G183" s="1332"/>
      <c r="H183" s="1332"/>
      <c r="I183" s="1332"/>
      <c r="J183" s="1332"/>
      <c r="K183" s="1332"/>
      <c r="L183" s="1332"/>
      <c r="M183" s="1332"/>
      <c r="N183" s="1332"/>
      <c r="O183" s="1332"/>
    </row>
    <row r="184">
      <c r="A184" s="1332"/>
      <c r="B184" s="1332"/>
      <c r="C184" s="1332"/>
      <c r="D184" s="1332"/>
      <c r="E184" s="1332"/>
      <c r="F184" s="1332"/>
      <c r="G184" s="1332"/>
      <c r="H184" s="1332"/>
      <c r="I184" s="1332"/>
      <c r="J184" s="1332"/>
      <c r="K184" s="1332"/>
      <c r="L184" s="1332"/>
      <c r="M184" s="1332"/>
      <c r="N184" s="1332"/>
      <c r="O184" s="1332"/>
    </row>
    <row r="185">
      <c r="A185" s="1332"/>
      <c r="B185" s="1332"/>
      <c r="C185" s="1332"/>
      <c r="D185" s="1332"/>
      <c r="E185" s="1332"/>
      <c r="F185" s="1332"/>
      <c r="G185" s="1332"/>
      <c r="H185" s="1332"/>
      <c r="I185" s="1332"/>
      <c r="J185" s="1332"/>
      <c r="K185" s="1332"/>
      <c r="L185" s="1332"/>
      <c r="M185" s="1332"/>
      <c r="N185" s="1332"/>
      <c r="O185" s="1332"/>
    </row>
    <row r="186">
      <c r="A186" s="1332"/>
      <c r="B186" s="1332"/>
      <c r="C186" s="1332"/>
      <c r="D186" s="1332"/>
      <c r="E186" s="1332"/>
      <c r="F186" s="1332"/>
      <c r="G186" s="1332"/>
      <c r="H186" s="1332"/>
      <c r="I186" s="1332"/>
      <c r="J186" s="1332"/>
      <c r="K186" s="1332"/>
      <c r="L186" s="1332"/>
      <c r="M186" s="1332"/>
      <c r="N186" s="1332"/>
      <c r="O186" s="1332"/>
    </row>
    <row r="187">
      <c r="A187" s="1332"/>
      <c r="B187" s="1332"/>
      <c r="C187" s="1332"/>
      <c r="D187" s="1332"/>
      <c r="E187" s="1332"/>
      <c r="F187" s="1332"/>
      <c r="G187" s="1332"/>
      <c r="H187" s="1332"/>
      <c r="I187" s="1332"/>
      <c r="J187" s="1332"/>
      <c r="K187" s="1332"/>
      <c r="L187" s="1332"/>
      <c r="M187" s="1332"/>
      <c r="N187" s="1332"/>
      <c r="O187" s="1332"/>
    </row>
    <row r="188">
      <c r="A188" s="1332"/>
      <c r="B188" s="1332"/>
      <c r="C188" s="1332"/>
      <c r="D188" s="1332"/>
      <c r="E188" s="1332"/>
      <c r="F188" s="1332"/>
      <c r="G188" s="1332"/>
      <c r="H188" s="1332"/>
      <c r="I188" s="1332"/>
      <c r="J188" s="1332"/>
      <c r="K188" s="1332"/>
      <c r="L188" s="1332"/>
      <c r="M188" s="1332"/>
      <c r="N188" s="1332"/>
      <c r="O188" s="1332"/>
    </row>
    <row r="189">
      <c r="A189" s="1332"/>
      <c r="B189" s="1332"/>
      <c r="C189" s="1332"/>
      <c r="D189" s="1332"/>
      <c r="E189" s="1332"/>
      <c r="F189" s="1332"/>
      <c r="G189" s="1332"/>
      <c r="H189" s="1332"/>
      <c r="I189" s="1332"/>
      <c r="J189" s="1332"/>
      <c r="K189" s="1332"/>
      <c r="L189" s="1332"/>
      <c r="M189" s="1332"/>
      <c r="N189" s="1332"/>
      <c r="O189" s="1332"/>
    </row>
    <row r="190">
      <c r="A190" s="1332"/>
      <c r="B190" s="1332"/>
      <c r="C190" s="1332"/>
      <c r="D190" s="1332"/>
      <c r="E190" s="1332"/>
      <c r="F190" s="1332"/>
      <c r="G190" s="1332"/>
      <c r="H190" s="1332"/>
      <c r="I190" s="1332"/>
      <c r="J190" s="1332"/>
      <c r="K190" s="1332"/>
      <c r="L190" s="1332"/>
      <c r="M190" s="1332"/>
      <c r="N190" s="1332"/>
      <c r="O190" s="1332"/>
    </row>
    <row r="191">
      <c r="A191" s="1332"/>
      <c r="B191" s="1332"/>
      <c r="C191" s="1332"/>
      <c r="D191" s="1332"/>
      <c r="E191" s="1332"/>
      <c r="F191" s="1332"/>
      <c r="G191" s="1332"/>
      <c r="H191" s="1332"/>
      <c r="I191" s="1332"/>
      <c r="J191" s="1332"/>
      <c r="K191" s="1332"/>
      <c r="L191" s="1332"/>
      <c r="M191" s="1332"/>
      <c r="N191" s="1332"/>
      <c r="O191" s="1332"/>
    </row>
    <row r="192">
      <c r="A192" s="1332"/>
      <c r="B192" s="1332"/>
      <c r="C192" s="1332"/>
      <c r="D192" s="1332"/>
      <c r="E192" s="1332"/>
      <c r="F192" s="1332"/>
      <c r="G192" s="1332"/>
      <c r="H192" s="1332"/>
      <c r="I192" s="1332"/>
      <c r="J192" s="1332"/>
      <c r="K192" s="1332"/>
      <c r="L192" s="1332"/>
      <c r="M192" s="1332"/>
      <c r="N192" s="1332"/>
      <c r="O192" s="1332"/>
    </row>
    <row r="193">
      <c r="A193" s="1332"/>
      <c r="B193" s="1332"/>
      <c r="C193" s="1332"/>
      <c r="D193" s="1332"/>
      <c r="E193" s="1332"/>
      <c r="F193" s="1332"/>
      <c r="G193" s="1332"/>
      <c r="H193" s="1332"/>
      <c r="I193" s="1332"/>
      <c r="J193" s="1332"/>
      <c r="K193" s="1332"/>
      <c r="L193" s="1332"/>
      <c r="M193" s="1332"/>
      <c r="N193" s="1332"/>
      <c r="O193" s="1332"/>
    </row>
    <row r="194">
      <c r="A194" s="1332"/>
      <c r="B194" s="1332"/>
      <c r="C194" s="1332"/>
      <c r="D194" s="1332"/>
      <c r="E194" s="1332"/>
      <c r="F194" s="1332"/>
      <c r="G194" s="1332"/>
      <c r="H194" s="1332"/>
      <c r="I194" s="1332"/>
      <c r="J194" s="1332"/>
      <c r="K194" s="1332"/>
      <c r="L194" s="1332"/>
      <c r="M194" s="1332"/>
      <c r="N194" s="1332"/>
      <c r="O194" s="1332"/>
    </row>
    <row r="195">
      <c r="A195" s="1332"/>
      <c r="B195" s="1332"/>
      <c r="C195" s="1332"/>
      <c r="D195" s="1332"/>
      <c r="E195" s="1332"/>
      <c r="F195" s="1332"/>
      <c r="G195" s="1332"/>
      <c r="H195" s="1332"/>
      <c r="I195" s="1332"/>
      <c r="J195" s="1332"/>
      <c r="K195" s="1332"/>
      <c r="L195" s="1332"/>
      <c r="M195" s="1332"/>
      <c r="N195" s="1332"/>
      <c r="O195" s="1332"/>
    </row>
    <row r="196">
      <c r="A196" s="1332"/>
      <c r="B196" s="1332"/>
      <c r="C196" s="1332"/>
      <c r="D196" s="1332"/>
      <c r="E196" s="1332"/>
      <c r="F196" s="1332"/>
      <c r="G196" s="1332"/>
      <c r="H196" s="1332"/>
      <c r="I196" s="1332"/>
      <c r="J196" s="1332"/>
      <c r="K196" s="1332"/>
      <c r="L196" s="1332"/>
      <c r="M196" s="1332"/>
      <c r="N196" s="1332"/>
      <c r="O196" s="1332"/>
    </row>
    <row r="197">
      <c r="A197" s="1332"/>
      <c r="B197" s="1332"/>
      <c r="C197" s="1332"/>
      <c r="D197" s="1332"/>
      <c r="E197" s="1332"/>
      <c r="F197" s="1332"/>
      <c r="G197" s="1332"/>
      <c r="H197" s="1332"/>
      <c r="I197" s="1332"/>
      <c r="J197" s="1332"/>
      <c r="K197" s="1332"/>
      <c r="L197" s="1332"/>
      <c r="M197" s="1332"/>
      <c r="N197" s="1332"/>
      <c r="O197" s="1332"/>
    </row>
    <row r="198">
      <c r="A198" s="1332"/>
      <c r="B198" s="1332"/>
      <c r="C198" s="1332"/>
      <c r="D198" s="1332"/>
      <c r="E198" s="1332"/>
      <c r="F198" s="1332"/>
      <c r="G198" s="1332"/>
      <c r="H198" s="1332"/>
      <c r="I198" s="1332"/>
      <c r="J198" s="1332"/>
      <c r="K198" s="1332"/>
      <c r="L198" s="1332"/>
      <c r="M198" s="1332"/>
      <c r="N198" s="1332"/>
      <c r="O198" s="1332"/>
    </row>
    <row r="199">
      <c r="A199" s="1332"/>
      <c r="B199" s="1332"/>
      <c r="C199" s="1332"/>
      <c r="D199" s="1332"/>
      <c r="E199" s="1332"/>
      <c r="F199" s="1332"/>
      <c r="G199" s="1332"/>
      <c r="H199" s="1332"/>
      <c r="I199" s="1332"/>
      <c r="J199" s="1332"/>
      <c r="K199" s="1332"/>
      <c r="L199" s="1332"/>
      <c r="M199" s="1332"/>
      <c r="N199" s="1332"/>
      <c r="O199" s="1332"/>
    </row>
    <row r="200">
      <c r="A200" s="1332"/>
      <c r="B200" s="1332"/>
      <c r="C200" s="1332"/>
      <c r="D200" s="1332"/>
      <c r="E200" s="1332"/>
      <c r="F200" s="1332"/>
      <c r="G200" s="1332"/>
      <c r="H200" s="1332"/>
      <c r="I200" s="1332"/>
      <c r="J200" s="1332"/>
      <c r="K200" s="1332"/>
      <c r="L200" s="1332"/>
      <c r="M200" s="1332"/>
      <c r="N200" s="1332"/>
      <c r="O200" s="1332"/>
    </row>
    <row r="201">
      <c r="A201" s="1332"/>
      <c r="B201" s="1332"/>
      <c r="C201" s="1332"/>
      <c r="D201" s="1332"/>
      <c r="E201" s="1332"/>
      <c r="F201" s="1332"/>
      <c r="G201" s="1332"/>
      <c r="H201" s="1332"/>
      <c r="I201" s="1332"/>
      <c r="J201" s="1332"/>
      <c r="K201" s="1332"/>
      <c r="L201" s="1332"/>
      <c r="M201" s="1332"/>
      <c r="N201" s="1332"/>
      <c r="O201" s="1332"/>
    </row>
    <row r="202">
      <c r="A202" s="1332"/>
      <c r="B202" s="1332"/>
      <c r="C202" s="1332"/>
      <c r="D202" s="1332"/>
      <c r="E202" s="1332"/>
      <c r="F202" s="1332"/>
      <c r="G202" s="1332"/>
      <c r="H202" s="1332"/>
      <c r="I202" s="1332"/>
      <c r="J202" s="1332"/>
      <c r="K202" s="1332"/>
      <c r="L202" s="1332"/>
      <c r="M202" s="1332"/>
      <c r="N202" s="1332"/>
      <c r="O202" s="1332"/>
    </row>
    <row r="203">
      <c r="A203" s="1332"/>
      <c r="B203" s="1332"/>
      <c r="C203" s="1332"/>
      <c r="D203" s="1332"/>
      <c r="E203" s="1332"/>
      <c r="F203" s="1332"/>
      <c r="G203" s="1332"/>
      <c r="H203" s="1332"/>
      <c r="I203" s="1332"/>
      <c r="J203" s="1332"/>
      <c r="K203" s="1332"/>
      <c r="L203" s="1332"/>
      <c r="M203" s="1332"/>
      <c r="N203" s="1332"/>
      <c r="O203" s="1332"/>
    </row>
    <row r="204">
      <c r="A204" s="1332"/>
      <c r="B204" s="1332"/>
      <c r="C204" s="1332"/>
      <c r="D204" s="1332"/>
      <c r="E204" s="1332"/>
      <c r="F204" s="1332"/>
      <c r="G204" s="1332"/>
      <c r="H204" s="1332"/>
      <c r="I204" s="1332"/>
      <c r="J204" s="1332"/>
      <c r="K204" s="1332"/>
      <c r="L204" s="1332"/>
      <c r="M204" s="1332"/>
      <c r="N204" s="1332"/>
      <c r="O204" s="1332"/>
    </row>
    <row r="205">
      <c r="A205" s="1332"/>
      <c r="B205" s="1332"/>
      <c r="C205" s="1332"/>
      <c r="D205" s="1332"/>
      <c r="E205" s="1332"/>
      <c r="F205" s="1332"/>
      <c r="G205" s="1332"/>
      <c r="H205" s="1332"/>
      <c r="I205" s="1332"/>
      <c r="J205" s="1332"/>
      <c r="K205" s="1332"/>
      <c r="L205" s="1332"/>
      <c r="M205" s="1332"/>
      <c r="N205" s="1332"/>
      <c r="O205" s="1332"/>
    </row>
    <row r="206">
      <c r="A206" s="1332"/>
      <c r="B206" s="1332"/>
      <c r="C206" s="1332"/>
      <c r="D206" s="1332"/>
      <c r="E206" s="1332"/>
      <c r="F206" s="1332"/>
      <c r="G206" s="1332"/>
      <c r="H206" s="1332"/>
      <c r="I206" s="1332"/>
      <c r="J206" s="1332"/>
      <c r="K206" s="1332"/>
      <c r="L206" s="1332"/>
      <c r="M206" s="1332"/>
      <c r="N206" s="1332"/>
      <c r="O206" s="1332"/>
    </row>
    <row r="207">
      <c r="A207" s="1332"/>
      <c r="B207" s="1332"/>
      <c r="C207" s="1332"/>
      <c r="D207" s="1332"/>
      <c r="E207" s="1332"/>
      <c r="F207" s="1332"/>
      <c r="G207" s="1332"/>
      <c r="H207" s="1332"/>
      <c r="I207" s="1332"/>
      <c r="J207" s="1332"/>
      <c r="K207" s="1332"/>
      <c r="L207" s="1332"/>
      <c r="M207" s="1332"/>
      <c r="N207" s="1332"/>
      <c r="O207" s="1332"/>
    </row>
    <row r="208">
      <c r="A208" s="1332"/>
      <c r="B208" s="1332"/>
      <c r="C208" s="1332"/>
      <c r="D208" s="1332"/>
      <c r="E208" s="1332"/>
      <c r="F208" s="1332"/>
      <c r="G208" s="1332"/>
      <c r="H208" s="1332"/>
      <c r="I208" s="1332"/>
      <c r="J208" s="1332"/>
      <c r="K208" s="1332"/>
      <c r="L208" s="1332"/>
      <c r="M208" s="1332"/>
      <c r="N208" s="1332"/>
      <c r="O208" s="1332"/>
    </row>
    <row r="209">
      <c r="A209" s="1332"/>
      <c r="B209" s="1332"/>
      <c r="C209" s="1332"/>
      <c r="D209" s="1332"/>
      <c r="E209" s="1332"/>
      <c r="F209" s="1332"/>
      <c r="G209" s="1332"/>
      <c r="H209" s="1332"/>
      <c r="I209" s="1332"/>
      <c r="J209" s="1332"/>
      <c r="K209" s="1332"/>
      <c r="L209" s="1332"/>
      <c r="M209" s="1332"/>
      <c r="N209" s="1332"/>
      <c r="O209" s="1332"/>
    </row>
    <row r="210">
      <c r="A210" s="1332"/>
      <c r="B210" s="1332"/>
      <c r="C210" s="1332"/>
      <c r="D210" s="1332"/>
      <c r="E210" s="1332"/>
      <c r="F210" s="1332"/>
      <c r="G210" s="1332"/>
      <c r="H210" s="1332"/>
      <c r="I210" s="1332"/>
      <c r="J210" s="1332"/>
      <c r="K210" s="1332"/>
      <c r="L210" s="1332"/>
      <c r="M210" s="1332"/>
      <c r="N210" s="1332"/>
      <c r="O210" s="1332"/>
    </row>
    <row r="211">
      <c r="A211" s="1332"/>
      <c r="B211" s="1332"/>
      <c r="C211" s="1332"/>
      <c r="D211" s="1332"/>
      <c r="E211" s="1332"/>
      <c r="F211" s="1332"/>
      <c r="G211" s="1332"/>
      <c r="H211" s="1332"/>
      <c r="I211" s="1332"/>
      <c r="J211" s="1332"/>
      <c r="K211" s="1332"/>
      <c r="L211" s="1332"/>
      <c r="M211" s="1332"/>
      <c r="N211" s="1332"/>
      <c r="O211" s="1332"/>
    </row>
    <row r="212">
      <c r="A212" s="1332"/>
      <c r="B212" s="1332"/>
      <c r="C212" s="1332"/>
      <c r="D212" s="1332"/>
      <c r="E212" s="1332"/>
      <c r="F212" s="1332"/>
      <c r="G212" s="1332"/>
      <c r="H212" s="1332"/>
      <c r="I212" s="1332"/>
      <c r="J212" s="1332"/>
      <c r="K212" s="1332"/>
      <c r="L212" s="1332"/>
      <c r="M212" s="1332"/>
      <c r="N212" s="1332"/>
      <c r="O212" s="1332"/>
    </row>
    <row r="213">
      <c r="A213" s="1332"/>
      <c r="B213" s="1332"/>
      <c r="C213" s="1332"/>
      <c r="D213" s="1332"/>
      <c r="E213" s="1332"/>
      <c r="F213" s="1332"/>
      <c r="G213" s="1332"/>
      <c r="H213" s="1332"/>
      <c r="I213" s="1332"/>
      <c r="J213" s="1332"/>
      <c r="K213" s="1332"/>
      <c r="L213" s="1332"/>
      <c r="M213" s="1332"/>
      <c r="N213" s="1332"/>
      <c r="O213" s="1332"/>
    </row>
    <row r="214">
      <c r="A214" s="1332"/>
      <c r="B214" s="1332"/>
      <c r="C214" s="1332"/>
      <c r="D214" s="1332"/>
      <c r="E214" s="1332"/>
      <c r="F214" s="1332"/>
      <c r="G214" s="1332"/>
      <c r="H214" s="1332"/>
      <c r="I214" s="1332"/>
      <c r="J214" s="1332"/>
      <c r="K214" s="1332"/>
      <c r="L214" s="1332"/>
      <c r="M214" s="1332"/>
      <c r="N214" s="1332"/>
      <c r="O214" s="1332"/>
    </row>
    <row r="215">
      <c r="A215" s="1332"/>
      <c r="B215" s="1332"/>
      <c r="C215" s="1332"/>
      <c r="D215" s="1332"/>
      <c r="E215" s="1332"/>
      <c r="F215" s="1332"/>
      <c r="G215" s="1332"/>
      <c r="H215" s="1332"/>
      <c r="I215" s="1332"/>
      <c r="J215" s="1332"/>
      <c r="K215" s="1332"/>
      <c r="L215" s="1332"/>
      <c r="M215" s="1332"/>
      <c r="N215" s="1332"/>
      <c r="O215" s="1332"/>
    </row>
    <row r="216">
      <c r="A216" s="1332"/>
      <c r="B216" s="1332"/>
      <c r="C216" s="1332"/>
      <c r="D216" s="1332"/>
      <c r="E216" s="1332"/>
      <c r="F216" s="1332"/>
      <c r="G216" s="1332"/>
      <c r="H216" s="1332"/>
      <c r="I216" s="1332"/>
      <c r="J216" s="1332"/>
      <c r="K216" s="1332"/>
      <c r="L216" s="1332"/>
      <c r="M216" s="1332"/>
      <c r="N216" s="1332"/>
      <c r="O216" s="1332"/>
    </row>
    <row r="217">
      <c r="A217" s="1332"/>
      <c r="B217" s="1332"/>
      <c r="C217" s="1332"/>
      <c r="D217" s="1332"/>
      <c r="E217" s="1332"/>
      <c r="F217" s="1332"/>
      <c r="G217" s="1332"/>
      <c r="H217" s="1332"/>
      <c r="I217" s="1332"/>
      <c r="J217" s="1332"/>
      <c r="K217" s="1332"/>
      <c r="L217" s="1332"/>
      <c r="M217" s="1332"/>
      <c r="N217" s="1332"/>
      <c r="O217" s="1332"/>
    </row>
    <row r="218">
      <c r="A218" s="1332"/>
      <c r="B218" s="1332"/>
      <c r="C218" s="1332"/>
      <c r="D218" s="1332"/>
      <c r="E218" s="1332"/>
      <c r="F218" s="1332"/>
      <c r="G218" s="1332"/>
      <c r="H218" s="1332"/>
      <c r="I218" s="1332"/>
      <c r="J218" s="1332"/>
      <c r="K218" s="1332"/>
      <c r="L218" s="1332"/>
      <c r="M218" s="1332"/>
      <c r="N218" s="1332"/>
      <c r="O218" s="1332"/>
    </row>
    <row r="219">
      <c r="A219" s="1332"/>
      <c r="B219" s="1332"/>
      <c r="C219" s="1332"/>
      <c r="D219" s="1332"/>
      <c r="E219" s="1332"/>
      <c r="F219" s="1332"/>
      <c r="G219" s="1332"/>
      <c r="H219" s="1332"/>
      <c r="I219" s="1332"/>
      <c r="J219" s="1332"/>
      <c r="K219" s="1332"/>
      <c r="L219" s="1332"/>
      <c r="M219" s="1332"/>
      <c r="N219" s="1332"/>
      <c r="O219" s="1332"/>
    </row>
    <row r="220">
      <c r="A220" s="1332"/>
      <c r="B220" s="1332"/>
      <c r="C220" s="1332"/>
      <c r="D220" s="1332"/>
      <c r="E220" s="1332"/>
      <c r="F220" s="1332"/>
      <c r="G220" s="1332"/>
      <c r="H220" s="1332"/>
      <c r="I220" s="1332"/>
      <c r="J220" s="1332"/>
      <c r="K220" s="1332"/>
      <c r="L220" s="1332"/>
      <c r="M220" s="1332"/>
      <c r="N220" s="1332"/>
      <c r="O220" s="1332"/>
    </row>
    <row r="221">
      <c r="A221" s="1332"/>
      <c r="B221" s="1332"/>
      <c r="C221" s="1332"/>
      <c r="D221" s="1332"/>
      <c r="E221" s="1332"/>
      <c r="F221" s="1332"/>
      <c r="G221" s="1332"/>
      <c r="H221" s="1332"/>
      <c r="I221" s="1332"/>
      <c r="J221" s="1332"/>
      <c r="K221" s="1332"/>
      <c r="L221" s="1332"/>
      <c r="M221" s="1332"/>
      <c r="N221" s="1332"/>
      <c r="O221" s="1332"/>
    </row>
    <row r="222">
      <c r="A222" s="1332"/>
      <c r="B222" s="1332"/>
      <c r="C222" s="1332"/>
      <c r="D222" s="1332"/>
      <c r="E222" s="1332"/>
      <c r="F222" s="1332"/>
      <c r="G222" s="1332"/>
      <c r="H222" s="1332"/>
      <c r="I222" s="1332"/>
      <c r="J222" s="1332"/>
      <c r="K222" s="1332"/>
      <c r="L222" s="1332"/>
      <c r="M222" s="1332"/>
      <c r="N222" s="1332"/>
      <c r="O222" s="1332"/>
    </row>
    <row r="223">
      <c r="A223" s="1332"/>
      <c r="B223" s="1332"/>
      <c r="C223" s="1332"/>
      <c r="D223" s="1332"/>
      <c r="E223" s="1332"/>
      <c r="F223" s="1332"/>
      <c r="G223" s="1332"/>
      <c r="H223" s="1332"/>
      <c r="I223" s="1332"/>
      <c r="J223" s="1332"/>
      <c r="K223" s="1332"/>
      <c r="L223" s="1332"/>
      <c r="M223" s="1332"/>
      <c r="N223" s="1332"/>
      <c r="O223" s="1332"/>
    </row>
    <row r="224">
      <c r="A224" s="1332"/>
      <c r="B224" s="1332"/>
      <c r="C224" s="1332"/>
      <c r="D224" s="1332"/>
      <c r="E224" s="1332"/>
      <c r="F224" s="1332"/>
      <c r="G224" s="1332"/>
      <c r="H224" s="1332"/>
      <c r="I224" s="1332"/>
      <c r="J224" s="1332"/>
      <c r="K224" s="1332"/>
      <c r="L224" s="1332"/>
      <c r="M224" s="1332"/>
      <c r="N224" s="1332"/>
      <c r="O224" s="1332"/>
    </row>
    <row r="225">
      <c r="A225" s="1332"/>
      <c r="B225" s="1332"/>
      <c r="C225" s="1332"/>
      <c r="D225" s="1332"/>
      <c r="E225" s="1332"/>
      <c r="F225" s="1332"/>
      <c r="G225" s="1332"/>
      <c r="H225" s="1332"/>
      <c r="I225" s="1332"/>
      <c r="J225" s="1332"/>
      <c r="K225" s="1332"/>
      <c r="L225" s="1332"/>
      <c r="M225" s="1332"/>
      <c r="N225" s="1332"/>
      <c r="O225" s="1332"/>
    </row>
    <row r="226">
      <c r="A226" s="1332"/>
      <c r="B226" s="1332"/>
      <c r="C226" s="1332"/>
      <c r="D226" s="1332"/>
      <c r="E226" s="1332"/>
      <c r="F226" s="1332"/>
      <c r="G226" s="1332"/>
      <c r="H226" s="1332"/>
      <c r="I226" s="1332"/>
      <c r="J226" s="1332"/>
      <c r="K226" s="1332"/>
      <c r="L226" s="1332"/>
      <c r="M226" s="1332"/>
      <c r="N226" s="1332"/>
      <c r="O226" s="1332"/>
    </row>
    <row r="227">
      <c r="A227" s="1332"/>
      <c r="B227" s="1332"/>
      <c r="C227" s="1332"/>
      <c r="D227" s="1332"/>
      <c r="E227" s="1332"/>
      <c r="F227" s="1332"/>
      <c r="G227" s="1332"/>
      <c r="H227" s="1332"/>
      <c r="I227" s="1332"/>
      <c r="J227" s="1332"/>
      <c r="K227" s="1332"/>
      <c r="L227" s="1332"/>
      <c r="M227" s="1332"/>
      <c r="N227" s="1332"/>
      <c r="O227" s="1332"/>
    </row>
    <row r="228">
      <c r="A228" s="1332"/>
      <c r="B228" s="1332"/>
      <c r="C228" s="1332"/>
      <c r="D228" s="1332"/>
      <c r="E228" s="1332"/>
      <c r="F228" s="1332"/>
      <c r="G228" s="1332"/>
      <c r="H228" s="1332"/>
      <c r="I228" s="1332"/>
      <c r="J228" s="1332"/>
      <c r="K228" s="1332"/>
      <c r="L228" s="1332"/>
      <c r="M228" s="1332"/>
      <c r="N228" s="1332"/>
      <c r="O228" s="1332"/>
    </row>
    <row r="229">
      <c r="A229" s="1332"/>
      <c r="B229" s="1332"/>
      <c r="C229" s="1332"/>
      <c r="D229" s="1332"/>
      <c r="E229" s="1332"/>
      <c r="F229" s="1332"/>
      <c r="G229" s="1332"/>
      <c r="H229" s="1332"/>
      <c r="I229" s="1332"/>
      <c r="J229" s="1332"/>
      <c r="K229" s="1332"/>
      <c r="L229" s="1332"/>
      <c r="M229" s="1332"/>
      <c r="N229" s="1332"/>
      <c r="O229" s="1332"/>
    </row>
    <row r="230">
      <c r="A230" s="1332"/>
      <c r="B230" s="1332"/>
      <c r="C230" s="1332"/>
      <c r="D230" s="1332"/>
      <c r="E230" s="1332"/>
      <c r="F230" s="1332"/>
      <c r="G230" s="1332"/>
      <c r="H230" s="1332"/>
      <c r="I230" s="1332"/>
      <c r="J230" s="1332"/>
      <c r="K230" s="1332"/>
      <c r="L230" s="1332"/>
      <c r="M230" s="1332"/>
      <c r="N230" s="1332"/>
      <c r="O230" s="1332"/>
    </row>
    <row r="231">
      <c r="A231" s="1332"/>
      <c r="B231" s="1332"/>
      <c r="C231" s="1332"/>
      <c r="D231" s="1332"/>
      <c r="E231" s="1332"/>
      <c r="F231" s="1332"/>
      <c r="G231" s="1332"/>
      <c r="H231" s="1332"/>
      <c r="I231" s="1332"/>
      <c r="J231" s="1332"/>
      <c r="K231" s="1332"/>
      <c r="L231" s="1332"/>
      <c r="M231" s="1332"/>
      <c r="N231" s="1332"/>
      <c r="O231" s="1332"/>
    </row>
    <row r="232">
      <c r="A232" s="1332"/>
      <c r="B232" s="1332"/>
      <c r="C232" s="1332"/>
      <c r="D232" s="1332"/>
      <c r="E232" s="1332"/>
      <c r="F232" s="1332"/>
      <c r="G232" s="1332"/>
      <c r="H232" s="1332"/>
      <c r="I232" s="1332"/>
      <c r="J232" s="1332"/>
      <c r="K232" s="1332"/>
      <c r="L232" s="1332"/>
      <c r="M232" s="1332"/>
      <c r="N232" s="1332"/>
      <c r="O232" s="1332"/>
    </row>
    <row r="233">
      <c r="A233" s="1332"/>
      <c r="B233" s="1332"/>
      <c r="C233" s="1332"/>
      <c r="D233" s="1332"/>
      <c r="E233" s="1332"/>
      <c r="F233" s="1332"/>
      <c r="G233" s="1332"/>
      <c r="H233" s="1332"/>
      <c r="I233" s="1332"/>
      <c r="J233" s="1332"/>
      <c r="K233" s="1332"/>
      <c r="L233" s="1332"/>
      <c r="M233" s="1332"/>
      <c r="N233" s="1332"/>
      <c r="O233" s="1332"/>
    </row>
    <row r="234">
      <c r="A234" s="1332"/>
      <c r="B234" s="1332"/>
      <c r="C234" s="1332"/>
      <c r="D234" s="1332"/>
      <c r="E234" s="1332"/>
      <c r="F234" s="1332"/>
      <c r="G234" s="1332"/>
      <c r="H234" s="1332"/>
      <c r="I234" s="1332"/>
      <c r="J234" s="1332"/>
      <c r="K234" s="1332"/>
      <c r="L234" s="1332"/>
      <c r="M234" s="1332"/>
      <c r="N234" s="1332"/>
      <c r="O234" s="1332"/>
    </row>
    <row r="235">
      <c r="A235" s="1332"/>
      <c r="B235" s="1332"/>
      <c r="C235" s="1332"/>
      <c r="D235" s="1332"/>
      <c r="E235" s="1332"/>
      <c r="F235" s="1332"/>
      <c r="G235" s="1332"/>
      <c r="H235" s="1332"/>
      <c r="I235" s="1332"/>
      <c r="J235" s="1332"/>
      <c r="K235" s="1332"/>
      <c r="L235" s="1332"/>
      <c r="M235" s="1332"/>
      <c r="N235" s="1332"/>
      <c r="O235" s="1332"/>
    </row>
    <row r="236">
      <c r="A236" s="1332"/>
      <c r="B236" s="1332"/>
      <c r="C236" s="1332"/>
      <c r="D236" s="1332"/>
      <c r="E236" s="1332"/>
      <c r="F236" s="1332"/>
      <c r="G236" s="1332"/>
      <c r="H236" s="1332"/>
      <c r="I236" s="1332"/>
      <c r="J236" s="1332"/>
      <c r="K236" s="1332"/>
      <c r="L236" s="1332"/>
      <c r="M236" s="1332"/>
      <c r="N236" s="1332"/>
      <c r="O236" s="1332"/>
    </row>
    <row r="237">
      <c r="A237" s="1332"/>
      <c r="B237" s="1332"/>
      <c r="C237" s="1332"/>
      <c r="D237" s="1332"/>
      <c r="E237" s="1332"/>
      <c r="F237" s="1332"/>
      <c r="G237" s="1332"/>
      <c r="H237" s="1332"/>
      <c r="I237" s="1332"/>
      <c r="J237" s="1332"/>
      <c r="K237" s="1332"/>
      <c r="L237" s="1332"/>
      <c r="M237" s="1332"/>
      <c r="N237" s="1332"/>
      <c r="O237" s="1332"/>
    </row>
    <row r="238">
      <c r="A238" s="1332"/>
      <c r="B238" s="1332"/>
      <c r="C238" s="1332"/>
      <c r="D238" s="1332"/>
      <c r="E238" s="1332"/>
      <c r="F238" s="1332"/>
      <c r="G238" s="1332"/>
      <c r="H238" s="1332"/>
      <c r="I238" s="1332"/>
      <c r="J238" s="1332"/>
      <c r="K238" s="1332"/>
      <c r="L238" s="1332"/>
      <c r="M238" s="1332"/>
      <c r="N238" s="1332"/>
      <c r="O238" s="1332"/>
    </row>
    <row r="239">
      <c r="A239" s="1332"/>
      <c r="B239" s="1332"/>
      <c r="C239" s="1332"/>
      <c r="D239" s="1332"/>
      <c r="E239" s="1332"/>
      <c r="F239" s="1332"/>
      <c r="G239" s="1332"/>
      <c r="H239" s="1332"/>
      <c r="I239" s="1332"/>
      <c r="J239" s="1332"/>
      <c r="K239" s="1332"/>
      <c r="L239" s="1332"/>
      <c r="M239" s="1332"/>
      <c r="N239" s="1332"/>
      <c r="O239" s="1332"/>
    </row>
    <row r="240">
      <c r="A240" s="1332"/>
      <c r="B240" s="1332"/>
      <c r="C240" s="1332"/>
      <c r="D240" s="1332"/>
      <c r="E240" s="1332"/>
      <c r="F240" s="1332"/>
      <c r="G240" s="1332"/>
      <c r="H240" s="1332"/>
      <c r="I240" s="1332"/>
      <c r="J240" s="1332"/>
      <c r="K240" s="1332"/>
      <c r="L240" s="1332"/>
      <c r="M240" s="1332"/>
      <c r="N240" s="1332"/>
      <c r="O240" s="1332"/>
    </row>
    <row r="241">
      <c r="A241" s="1332"/>
      <c r="B241" s="1332"/>
      <c r="C241" s="1332"/>
      <c r="D241" s="1332"/>
      <c r="E241" s="1332"/>
      <c r="F241" s="1332"/>
      <c r="G241" s="1332"/>
      <c r="H241" s="1332"/>
      <c r="I241" s="1332"/>
      <c r="J241" s="1332"/>
      <c r="K241" s="1332"/>
      <c r="L241" s="1332"/>
      <c r="M241" s="1332"/>
      <c r="N241" s="1332"/>
      <c r="O241" s="1332"/>
    </row>
    <row r="242">
      <c r="A242" s="1332"/>
      <c r="B242" s="1332"/>
      <c r="C242" s="1332"/>
      <c r="D242" s="1332"/>
      <c r="E242" s="1332"/>
      <c r="F242" s="1332"/>
      <c r="G242" s="1332"/>
      <c r="H242" s="1332"/>
      <c r="I242" s="1332"/>
      <c r="J242" s="1332"/>
      <c r="K242" s="1332"/>
      <c r="L242" s="1332"/>
      <c r="M242" s="1332"/>
      <c r="N242" s="1332"/>
      <c r="O242" s="1332"/>
    </row>
    <row r="243">
      <c r="A243" s="1332"/>
      <c r="B243" s="1332"/>
      <c r="C243" s="1332"/>
      <c r="D243" s="1332"/>
      <c r="E243" s="1332"/>
      <c r="F243" s="1332"/>
      <c r="G243" s="1332"/>
      <c r="H243" s="1332"/>
      <c r="I243" s="1332"/>
      <c r="J243" s="1332"/>
      <c r="K243" s="1332"/>
      <c r="L243" s="1332"/>
      <c r="M243" s="1332"/>
      <c r="N243" s="1332"/>
      <c r="O243" s="1332"/>
    </row>
    <row r="244">
      <c r="A244" s="1332"/>
      <c r="B244" s="1332"/>
      <c r="C244" s="1332"/>
      <c r="D244" s="1332"/>
      <c r="E244" s="1332"/>
      <c r="F244" s="1332"/>
      <c r="G244" s="1332"/>
      <c r="H244" s="1332"/>
      <c r="I244" s="1332"/>
      <c r="J244" s="1332"/>
      <c r="K244" s="1332"/>
      <c r="L244" s="1332"/>
      <c r="M244" s="1332"/>
      <c r="N244" s="1332"/>
      <c r="O244" s="1332"/>
    </row>
    <row r="245">
      <c r="A245" s="1332"/>
      <c r="B245" s="1332"/>
      <c r="C245" s="1332"/>
      <c r="D245" s="1332"/>
      <c r="E245" s="1332"/>
      <c r="F245" s="1332"/>
      <c r="G245" s="1332"/>
      <c r="H245" s="1332"/>
      <c r="I245" s="1332"/>
      <c r="J245" s="1332"/>
      <c r="K245" s="1332"/>
      <c r="L245" s="1332"/>
      <c r="M245" s="1332"/>
      <c r="N245" s="1332"/>
      <c r="O245" s="1332"/>
    </row>
    <row r="246">
      <c r="A246" s="1332"/>
      <c r="B246" s="1332"/>
      <c r="C246" s="1332"/>
      <c r="D246" s="1332"/>
      <c r="E246" s="1332"/>
      <c r="F246" s="1332"/>
      <c r="G246" s="1332"/>
      <c r="H246" s="1332"/>
      <c r="I246" s="1332"/>
      <c r="J246" s="1332"/>
      <c r="K246" s="1332"/>
      <c r="L246" s="1332"/>
      <c r="M246" s="1332"/>
      <c r="N246" s="1332"/>
      <c r="O246" s="1332"/>
    </row>
    <row r="247">
      <c r="A247" s="1332"/>
      <c r="B247" s="1332"/>
      <c r="C247" s="1332"/>
      <c r="D247" s="1332"/>
      <c r="E247" s="1332"/>
      <c r="F247" s="1332"/>
      <c r="G247" s="1332"/>
      <c r="H247" s="1332"/>
      <c r="I247" s="1332"/>
      <c r="J247" s="1332"/>
      <c r="K247" s="1332"/>
      <c r="L247" s="1332"/>
      <c r="M247" s="1332"/>
      <c r="N247" s="1332"/>
      <c r="O247" s="1332"/>
    </row>
    <row r="248">
      <c r="A248" s="1332"/>
      <c r="B248" s="1332"/>
      <c r="C248" s="1332"/>
      <c r="D248" s="1332"/>
      <c r="E248" s="1332"/>
      <c r="F248" s="1332"/>
      <c r="G248" s="1332"/>
      <c r="H248" s="1332"/>
      <c r="I248" s="1332"/>
      <c r="J248" s="1332"/>
      <c r="K248" s="1332"/>
      <c r="L248" s="1332"/>
      <c r="M248" s="1332"/>
      <c r="N248" s="1332"/>
      <c r="O248" s="1332"/>
    </row>
    <row r="249">
      <c r="A249" s="1332"/>
      <c r="B249" s="1332"/>
      <c r="C249" s="1332"/>
      <c r="D249" s="1332"/>
      <c r="E249" s="1332"/>
      <c r="F249" s="1332"/>
      <c r="G249" s="1332"/>
      <c r="H249" s="1332"/>
      <c r="I249" s="1332"/>
      <c r="J249" s="1332"/>
      <c r="K249" s="1332"/>
      <c r="L249" s="1332"/>
      <c r="M249" s="1332"/>
      <c r="N249" s="1332"/>
      <c r="O249" s="1332"/>
    </row>
    <row r="250">
      <c r="A250" s="1332"/>
      <c r="B250" s="1332"/>
      <c r="C250" s="1332"/>
      <c r="D250" s="1332"/>
      <c r="E250" s="1332"/>
      <c r="F250" s="1332"/>
      <c r="G250" s="1332"/>
      <c r="H250" s="1332"/>
      <c r="I250" s="1332"/>
      <c r="J250" s="1332"/>
      <c r="K250" s="1332"/>
      <c r="L250" s="1332"/>
      <c r="M250" s="1332"/>
      <c r="N250" s="1332"/>
      <c r="O250" s="1332"/>
    </row>
    <row r="251">
      <c r="A251" s="1332"/>
      <c r="B251" s="1332"/>
      <c r="C251" s="1332"/>
      <c r="D251" s="1332"/>
      <c r="E251" s="1332"/>
      <c r="F251" s="1332"/>
      <c r="G251" s="1332"/>
      <c r="H251" s="1332"/>
      <c r="I251" s="1332"/>
      <c r="J251" s="1332"/>
      <c r="K251" s="1332"/>
      <c r="L251" s="1332"/>
      <c r="M251" s="1332"/>
      <c r="N251" s="1332"/>
      <c r="O251" s="1332"/>
    </row>
    <row r="252">
      <c r="A252" s="1332"/>
      <c r="B252" s="1332"/>
      <c r="C252" s="1332"/>
      <c r="D252" s="1332"/>
      <c r="E252" s="1332"/>
      <c r="F252" s="1332"/>
      <c r="G252" s="1332"/>
      <c r="H252" s="1332"/>
      <c r="I252" s="1332"/>
      <c r="J252" s="1332"/>
      <c r="K252" s="1332"/>
      <c r="L252" s="1332"/>
      <c r="M252" s="1332"/>
      <c r="N252" s="1332"/>
      <c r="O252" s="1332"/>
    </row>
    <row r="253">
      <c r="A253" s="1332"/>
      <c r="B253" s="1332"/>
      <c r="C253" s="1332"/>
      <c r="D253" s="1332"/>
      <c r="E253" s="1332"/>
      <c r="F253" s="1332"/>
      <c r="G253" s="1332"/>
      <c r="H253" s="1332"/>
      <c r="I253" s="1332"/>
      <c r="J253" s="1332"/>
      <c r="K253" s="1332"/>
      <c r="L253" s="1332"/>
      <c r="M253" s="1332"/>
      <c r="N253" s="1332"/>
      <c r="O253" s="1332"/>
    </row>
    <row r="254">
      <c r="A254" s="1332"/>
      <c r="B254" s="1332"/>
      <c r="C254" s="1332"/>
      <c r="D254" s="1332"/>
      <c r="E254" s="1332"/>
      <c r="F254" s="1332"/>
      <c r="G254" s="1332"/>
      <c r="H254" s="1332"/>
      <c r="I254" s="1332"/>
      <c r="J254" s="1332"/>
      <c r="K254" s="1332"/>
      <c r="L254" s="1332"/>
      <c r="M254" s="1332"/>
      <c r="N254" s="1332"/>
      <c r="O254" s="1332"/>
    </row>
    <row r="255">
      <c r="A255" s="1332"/>
      <c r="B255" s="1332"/>
      <c r="C255" s="1332"/>
      <c r="D255" s="1332"/>
      <c r="E255" s="1332"/>
      <c r="F255" s="1332"/>
      <c r="G255" s="1332"/>
      <c r="H255" s="1332"/>
      <c r="I255" s="1332"/>
      <c r="J255" s="1332"/>
      <c r="K255" s="1332"/>
      <c r="L255" s="1332"/>
      <c r="M255" s="1332"/>
      <c r="N255" s="1332"/>
      <c r="O255" s="1332"/>
    </row>
    <row r="256">
      <c r="A256" s="1332"/>
      <c r="B256" s="1332"/>
      <c r="C256" s="1332"/>
      <c r="D256" s="1332"/>
      <c r="E256" s="1332"/>
      <c r="F256" s="1332"/>
      <c r="G256" s="1332"/>
      <c r="H256" s="1332"/>
      <c r="I256" s="1332"/>
      <c r="J256" s="1332"/>
      <c r="K256" s="1332"/>
      <c r="L256" s="1332"/>
      <c r="M256" s="1332"/>
      <c r="N256" s="1332"/>
      <c r="O256" s="1332"/>
    </row>
    <row r="257">
      <c r="A257" s="1332"/>
      <c r="B257" s="1332"/>
      <c r="C257" s="1332"/>
      <c r="D257" s="1332"/>
      <c r="E257" s="1332"/>
      <c r="F257" s="1332"/>
      <c r="G257" s="1332"/>
      <c r="H257" s="1332"/>
      <c r="I257" s="1332"/>
      <c r="J257" s="1332"/>
      <c r="K257" s="1332"/>
      <c r="L257" s="1332"/>
      <c r="M257" s="1332"/>
      <c r="N257" s="1332"/>
      <c r="O257" s="1332"/>
    </row>
    <row r="258">
      <c r="A258" s="1332"/>
      <c r="B258" s="1332"/>
      <c r="C258" s="1332"/>
      <c r="D258" s="1332"/>
      <c r="E258" s="1332"/>
      <c r="F258" s="1332"/>
      <c r="G258" s="1332"/>
      <c r="H258" s="1332"/>
      <c r="I258" s="1332"/>
      <c r="J258" s="1332"/>
      <c r="K258" s="1332"/>
      <c r="L258" s="1332"/>
      <c r="M258" s="1332"/>
      <c r="N258" s="1332"/>
      <c r="O258" s="1332"/>
    </row>
    <row r="259">
      <c r="A259" s="1332"/>
      <c r="B259" s="1332"/>
      <c r="C259" s="1332"/>
      <c r="D259" s="1332"/>
      <c r="E259" s="1332"/>
      <c r="F259" s="1332"/>
      <c r="G259" s="1332"/>
      <c r="H259" s="1332"/>
      <c r="I259" s="1332"/>
      <c r="J259" s="1332"/>
      <c r="K259" s="1332"/>
      <c r="L259" s="1332"/>
      <c r="M259" s="1332"/>
      <c r="N259" s="1332"/>
      <c r="O259" s="1332"/>
    </row>
    <row r="260">
      <c r="A260" s="1332"/>
      <c r="B260" s="1332"/>
      <c r="C260" s="1332"/>
      <c r="D260" s="1332"/>
      <c r="E260" s="1332"/>
      <c r="F260" s="1332"/>
      <c r="G260" s="1332"/>
      <c r="H260" s="1332"/>
      <c r="I260" s="1332"/>
      <c r="J260" s="1332"/>
      <c r="K260" s="1332"/>
      <c r="L260" s="1332"/>
      <c r="M260" s="1332"/>
      <c r="N260" s="1332"/>
      <c r="O260" s="1332"/>
    </row>
    <row r="261">
      <c r="A261" s="1332"/>
      <c r="B261" s="1332"/>
      <c r="C261" s="1332"/>
      <c r="D261" s="1332"/>
      <c r="E261" s="1332"/>
      <c r="F261" s="1332"/>
      <c r="G261" s="1332"/>
      <c r="H261" s="1332"/>
      <c r="I261" s="1332"/>
      <c r="J261" s="1332"/>
      <c r="K261" s="1332"/>
      <c r="L261" s="1332"/>
      <c r="M261" s="1332"/>
      <c r="N261" s="1332"/>
      <c r="O261" s="1332"/>
    </row>
    <row r="262">
      <c r="A262" s="1332"/>
      <c r="B262" s="1332"/>
      <c r="C262" s="1332"/>
      <c r="D262" s="1332"/>
      <c r="E262" s="1332"/>
      <c r="F262" s="1332"/>
      <c r="G262" s="1332"/>
      <c r="H262" s="1332"/>
      <c r="I262" s="1332"/>
      <c r="J262" s="1332"/>
      <c r="K262" s="1332"/>
      <c r="L262" s="1332"/>
      <c r="M262" s="1332"/>
      <c r="N262" s="1332"/>
      <c r="O262" s="1332"/>
    </row>
    <row r="263">
      <c r="A263" s="1332"/>
      <c r="B263" s="1332"/>
      <c r="C263" s="1332"/>
      <c r="D263" s="1332"/>
      <c r="E263" s="1332"/>
      <c r="F263" s="1332"/>
      <c r="G263" s="1332"/>
      <c r="H263" s="1332"/>
      <c r="I263" s="1332"/>
      <c r="J263" s="1332"/>
      <c r="K263" s="1332"/>
      <c r="L263" s="1332"/>
      <c r="M263" s="1332"/>
      <c r="N263" s="1332"/>
      <c r="O263" s="1332"/>
    </row>
    <row r="264">
      <c r="A264" s="1332"/>
      <c r="B264" s="1332"/>
      <c r="C264" s="1332"/>
      <c r="D264" s="1332"/>
      <c r="E264" s="1332"/>
      <c r="F264" s="1332"/>
      <c r="G264" s="1332"/>
      <c r="H264" s="1332"/>
      <c r="I264" s="1332"/>
      <c r="J264" s="1332"/>
      <c r="K264" s="1332"/>
      <c r="L264" s="1332"/>
      <c r="M264" s="1332"/>
      <c r="N264" s="1332"/>
      <c r="O264" s="1332"/>
    </row>
    <row r="265">
      <c r="A265" s="1332"/>
      <c r="B265" s="1332"/>
      <c r="C265" s="1332"/>
      <c r="D265" s="1332"/>
      <c r="E265" s="1332"/>
      <c r="F265" s="1332"/>
      <c r="G265" s="1332"/>
      <c r="H265" s="1332"/>
      <c r="I265" s="1332"/>
      <c r="J265" s="1332"/>
      <c r="K265" s="1332"/>
      <c r="L265" s="1332"/>
      <c r="M265" s="1332"/>
      <c r="N265" s="1332"/>
      <c r="O265" s="1332"/>
    </row>
    <row r="266">
      <c r="A266" s="1332"/>
      <c r="B266" s="1332"/>
      <c r="C266" s="1332"/>
      <c r="D266" s="1332"/>
      <c r="E266" s="1332"/>
      <c r="F266" s="1332"/>
      <c r="G266" s="1332"/>
      <c r="H266" s="1332"/>
      <c r="I266" s="1332"/>
      <c r="J266" s="1332"/>
      <c r="K266" s="1332"/>
      <c r="L266" s="1332"/>
      <c r="M266" s="1332"/>
      <c r="N266" s="1332"/>
      <c r="O266" s="1332"/>
    </row>
    <row r="267">
      <c r="A267" s="1332"/>
      <c r="B267" s="1332"/>
      <c r="C267" s="1332"/>
      <c r="D267" s="1332"/>
      <c r="E267" s="1332"/>
      <c r="F267" s="1332"/>
      <c r="G267" s="1332"/>
      <c r="H267" s="1332"/>
      <c r="I267" s="1332"/>
      <c r="J267" s="1332"/>
      <c r="K267" s="1332"/>
      <c r="L267" s="1332"/>
      <c r="M267" s="1332"/>
      <c r="N267" s="1332"/>
      <c r="O267" s="1332"/>
    </row>
    <row r="268">
      <c r="A268" s="1332"/>
      <c r="B268" s="1332"/>
      <c r="C268" s="1332"/>
      <c r="D268" s="1332"/>
      <c r="E268" s="1332"/>
      <c r="F268" s="1332"/>
      <c r="G268" s="1332"/>
      <c r="H268" s="1332"/>
      <c r="I268" s="1332"/>
      <c r="J268" s="1332"/>
      <c r="K268" s="1332"/>
      <c r="L268" s="1332"/>
      <c r="M268" s="1332"/>
      <c r="N268" s="1332"/>
      <c r="O268" s="1332"/>
    </row>
    <row r="269">
      <c r="A269" s="1332"/>
      <c r="B269" s="1332"/>
      <c r="C269" s="1332"/>
      <c r="D269" s="1332"/>
      <c r="E269" s="1332"/>
      <c r="F269" s="1332"/>
      <c r="G269" s="1332"/>
      <c r="H269" s="1332"/>
      <c r="I269" s="1332"/>
      <c r="J269" s="1332"/>
      <c r="K269" s="1332"/>
      <c r="L269" s="1332"/>
      <c r="M269" s="1332"/>
      <c r="N269" s="1332"/>
      <c r="O269" s="1332"/>
    </row>
    <row r="270">
      <c r="A270" s="1332"/>
      <c r="B270" s="1332"/>
      <c r="C270" s="1332"/>
      <c r="D270" s="1332"/>
      <c r="E270" s="1332"/>
      <c r="F270" s="1332"/>
      <c r="G270" s="1332"/>
      <c r="H270" s="1332"/>
      <c r="I270" s="1332"/>
      <c r="J270" s="1332"/>
      <c r="K270" s="1332"/>
      <c r="L270" s="1332"/>
      <c r="M270" s="1332"/>
      <c r="N270" s="1332"/>
      <c r="O270" s="1332"/>
    </row>
    <row r="271">
      <c r="A271" s="1332"/>
      <c r="B271" s="1332"/>
      <c r="C271" s="1332"/>
      <c r="D271" s="1332"/>
      <c r="E271" s="1332"/>
      <c r="F271" s="1332"/>
      <c r="G271" s="1332"/>
      <c r="H271" s="1332"/>
      <c r="I271" s="1332"/>
      <c r="J271" s="1332"/>
      <c r="K271" s="1332"/>
      <c r="L271" s="1332"/>
      <c r="M271" s="1332"/>
      <c r="N271" s="1332"/>
      <c r="O271" s="1332"/>
    </row>
    <row r="272">
      <c r="A272" s="1332"/>
      <c r="B272" s="1332"/>
      <c r="C272" s="1332"/>
      <c r="D272" s="1332"/>
      <c r="E272" s="1332"/>
      <c r="F272" s="1332"/>
      <c r="G272" s="1332"/>
      <c r="H272" s="1332"/>
      <c r="I272" s="1332"/>
      <c r="J272" s="1332"/>
      <c r="K272" s="1332"/>
      <c r="L272" s="1332"/>
      <c r="M272" s="1332"/>
      <c r="N272" s="1332"/>
      <c r="O272" s="1332"/>
    </row>
    <row r="273">
      <c r="A273" s="1332"/>
      <c r="B273" s="1332"/>
      <c r="C273" s="1332"/>
      <c r="D273" s="1332"/>
      <c r="E273" s="1332"/>
      <c r="F273" s="1332"/>
      <c r="G273" s="1332"/>
      <c r="H273" s="1332"/>
      <c r="I273" s="1332"/>
      <c r="J273" s="1332"/>
      <c r="K273" s="1332"/>
      <c r="L273" s="1332"/>
      <c r="M273" s="1332"/>
      <c r="N273" s="1332"/>
      <c r="O273" s="1332"/>
    </row>
    <row r="274">
      <c r="A274" s="1332"/>
      <c r="B274" s="1332"/>
      <c r="C274" s="1332"/>
      <c r="D274" s="1332"/>
      <c r="E274" s="1332"/>
      <c r="F274" s="1332"/>
      <c r="G274" s="1332"/>
      <c r="H274" s="1332"/>
      <c r="I274" s="1332"/>
      <c r="J274" s="1332"/>
      <c r="K274" s="1332"/>
      <c r="L274" s="1332"/>
      <c r="M274" s="1332"/>
      <c r="N274" s="1332"/>
      <c r="O274" s="1332"/>
    </row>
    <row r="275">
      <c r="A275" s="1332"/>
      <c r="B275" s="1332"/>
      <c r="C275" s="1332"/>
      <c r="D275" s="1332"/>
      <c r="E275" s="1332"/>
      <c r="F275" s="1332"/>
      <c r="G275" s="1332"/>
      <c r="H275" s="1332"/>
      <c r="I275" s="1332"/>
      <c r="J275" s="1332"/>
      <c r="K275" s="1332"/>
      <c r="L275" s="1332"/>
      <c r="M275" s="1332"/>
      <c r="N275" s="1332"/>
      <c r="O275" s="1332"/>
    </row>
    <row r="276">
      <c r="A276" s="1332"/>
      <c r="B276" s="1332"/>
      <c r="C276" s="1332"/>
      <c r="D276" s="1332"/>
      <c r="E276" s="1332"/>
      <c r="F276" s="1332"/>
      <c r="G276" s="1332"/>
      <c r="H276" s="1332"/>
      <c r="I276" s="1332"/>
      <c r="J276" s="1332"/>
      <c r="K276" s="1332"/>
      <c r="L276" s="1332"/>
      <c r="M276" s="1332"/>
      <c r="N276" s="1332"/>
      <c r="O276" s="1332"/>
    </row>
    <row r="277">
      <c r="A277" s="1332"/>
      <c r="B277" s="1332"/>
      <c r="C277" s="1332"/>
      <c r="D277" s="1332"/>
      <c r="E277" s="1332"/>
      <c r="F277" s="1332"/>
      <c r="G277" s="1332"/>
      <c r="H277" s="1332"/>
      <c r="I277" s="1332"/>
      <c r="J277" s="1332"/>
      <c r="K277" s="1332"/>
      <c r="L277" s="1332"/>
      <c r="M277" s="1332"/>
      <c r="N277" s="1332"/>
      <c r="O277" s="1332"/>
    </row>
    <row r="278">
      <c r="A278" s="1332"/>
      <c r="B278" s="1332"/>
      <c r="C278" s="1332"/>
      <c r="D278" s="1332"/>
      <c r="E278" s="1332"/>
      <c r="F278" s="1332"/>
      <c r="G278" s="1332"/>
      <c r="H278" s="1332"/>
      <c r="I278" s="1332"/>
      <c r="J278" s="1332"/>
      <c r="K278" s="1332"/>
      <c r="L278" s="1332"/>
      <c r="M278" s="1332"/>
      <c r="N278" s="1332"/>
      <c r="O278" s="1332"/>
    </row>
    <row r="279">
      <c r="A279" s="1332"/>
      <c r="B279" s="1332"/>
      <c r="C279" s="1332"/>
      <c r="D279" s="1332"/>
      <c r="E279" s="1332"/>
      <c r="F279" s="1332"/>
      <c r="G279" s="1332"/>
      <c r="H279" s="1332"/>
      <c r="I279" s="1332"/>
      <c r="J279" s="1332"/>
      <c r="K279" s="1332"/>
      <c r="L279" s="1332"/>
      <c r="M279" s="1332"/>
      <c r="N279" s="1332"/>
      <c r="O279" s="1332"/>
    </row>
    <row r="280">
      <c r="A280" s="1332"/>
      <c r="B280" s="1332"/>
      <c r="C280" s="1332"/>
      <c r="D280" s="1332"/>
      <c r="E280" s="1332"/>
      <c r="F280" s="1332"/>
      <c r="G280" s="1332"/>
      <c r="H280" s="1332"/>
      <c r="I280" s="1332"/>
      <c r="J280" s="1332"/>
      <c r="K280" s="1332"/>
      <c r="L280" s="1332"/>
      <c r="M280" s="1332"/>
      <c r="N280" s="1332"/>
      <c r="O280" s="1332"/>
    </row>
    <row r="281">
      <c r="A281" s="1332"/>
      <c r="B281" s="1332"/>
      <c r="C281" s="1332"/>
      <c r="D281" s="1332"/>
      <c r="E281" s="1332"/>
      <c r="F281" s="1332"/>
      <c r="G281" s="1332"/>
      <c r="H281" s="1332"/>
      <c r="I281" s="1332"/>
      <c r="J281" s="1332"/>
      <c r="K281" s="1332"/>
      <c r="L281" s="1332"/>
      <c r="M281" s="1332"/>
      <c r="N281" s="1332"/>
      <c r="O281" s="1332"/>
    </row>
    <row r="282">
      <c r="A282" s="1332"/>
      <c r="B282" s="1332"/>
      <c r="C282" s="1332"/>
      <c r="D282" s="1332"/>
      <c r="E282" s="1332"/>
      <c r="F282" s="1332"/>
      <c r="G282" s="1332"/>
      <c r="H282" s="1332"/>
      <c r="I282" s="1332"/>
      <c r="J282" s="1332"/>
      <c r="K282" s="1332"/>
      <c r="L282" s="1332"/>
      <c r="M282" s="1332"/>
      <c r="N282" s="1332"/>
      <c r="O282" s="1332"/>
    </row>
    <row r="283">
      <c r="A283" s="1332"/>
      <c r="B283" s="1332"/>
      <c r="C283" s="1332"/>
      <c r="D283" s="1332"/>
      <c r="E283" s="1332"/>
      <c r="F283" s="1332"/>
      <c r="G283" s="1332"/>
      <c r="H283" s="1332"/>
      <c r="I283" s="1332"/>
      <c r="J283" s="1332"/>
      <c r="K283" s="1332"/>
      <c r="L283" s="1332"/>
      <c r="M283" s="1332"/>
      <c r="N283" s="1332"/>
      <c r="O283" s="1332"/>
    </row>
    <row r="284">
      <c r="A284" s="1332"/>
      <c r="B284" s="1332"/>
      <c r="C284" s="1332"/>
      <c r="D284" s="1332"/>
      <c r="E284" s="1332"/>
      <c r="F284" s="1332"/>
      <c r="G284" s="1332"/>
      <c r="H284" s="1332"/>
      <c r="I284" s="1332"/>
      <c r="J284" s="1332"/>
      <c r="K284" s="1332"/>
      <c r="L284" s="1332"/>
      <c r="M284" s="1332"/>
      <c r="N284" s="1332"/>
      <c r="O284" s="1332"/>
    </row>
    <row r="285">
      <c r="A285" s="1332"/>
      <c r="B285" s="1332"/>
      <c r="C285" s="1332"/>
      <c r="D285" s="1332"/>
      <c r="E285" s="1332"/>
      <c r="F285" s="1332"/>
      <c r="G285" s="1332"/>
      <c r="H285" s="1332"/>
      <c r="I285" s="1332"/>
      <c r="J285" s="1332"/>
      <c r="K285" s="1332"/>
      <c r="L285" s="1332"/>
      <c r="M285" s="1332"/>
      <c r="N285" s="1332"/>
      <c r="O285" s="1332"/>
    </row>
    <row r="286">
      <c r="A286" s="1332"/>
      <c r="B286" s="1332"/>
      <c r="C286" s="1332"/>
      <c r="D286" s="1332"/>
      <c r="E286" s="1332"/>
      <c r="F286" s="1332"/>
      <c r="G286" s="1332"/>
      <c r="H286" s="1332"/>
      <c r="I286" s="1332"/>
      <c r="J286" s="1332"/>
      <c r="K286" s="1332"/>
      <c r="L286" s="1332"/>
      <c r="M286" s="1332"/>
      <c r="N286" s="1332"/>
      <c r="O286" s="1332"/>
    </row>
    <row r="287">
      <c r="A287" s="1332"/>
      <c r="B287" s="1332"/>
      <c r="C287" s="1332"/>
      <c r="D287" s="1332"/>
      <c r="E287" s="1332"/>
      <c r="F287" s="1332"/>
      <c r="G287" s="1332"/>
      <c r="H287" s="1332"/>
      <c r="I287" s="1332"/>
      <c r="J287" s="1332"/>
      <c r="K287" s="1332"/>
      <c r="L287" s="1332"/>
      <c r="M287" s="1332"/>
      <c r="N287" s="1332"/>
      <c r="O287" s="1332"/>
    </row>
    <row r="288">
      <c r="A288" s="1332"/>
      <c r="B288" s="1332"/>
      <c r="C288" s="1332"/>
      <c r="D288" s="1332"/>
      <c r="E288" s="1332"/>
      <c r="F288" s="1332"/>
      <c r="G288" s="1332"/>
      <c r="H288" s="1332"/>
      <c r="I288" s="1332"/>
      <c r="J288" s="1332"/>
      <c r="K288" s="1332"/>
      <c r="L288" s="1332"/>
      <c r="M288" s="1332"/>
      <c r="N288" s="1332"/>
      <c r="O288" s="1332"/>
    </row>
    <row r="289">
      <c r="A289" s="1332"/>
      <c r="B289" s="1332"/>
      <c r="C289" s="1332"/>
      <c r="D289" s="1332"/>
      <c r="E289" s="1332"/>
      <c r="F289" s="1332"/>
      <c r="G289" s="1332"/>
      <c r="H289" s="1332"/>
      <c r="I289" s="1332"/>
      <c r="J289" s="1332"/>
      <c r="K289" s="1332"/>
      <c r="L289" s="1332"/>
      <c r="M289" s="1332"/>
      <c r="N289" s="1332"/>
      <c r="O289" s="1332"/>
    </row>
    <row r="290">
      <c r="A290" s="1332"/>
      <c r="B290" s="1332"/>
      <c r="C290" s="1332"/>
      <c r="D290" s="1332"/>
      <c r="E290" s="1332"/>
      <c r="F290" s="1332"/>
      <c r="G290" s="1332"/>
      <c r="H290" s="1332"/>
      <c r="I290" s="1332"/>
      <c r="J290" s="1332"/>
      <c r="K290" s="1332"/>
      <c r="L290" s="1332"/>
      <c r="M290" s="1332"/>
      <c r="N290" s="1332"/>
      <c r="O290" s="1332"/>
    </row>
    <row r="291">
      <c r="A291" s="1332"/>
      <c r="B291" s="1332"/>
      <c r="C291" s="1332"/>
      <c r="D291" s="1332"/>
      <c r="E291" s="1332"/>
      <c r="F291" s="1332"/>
      <c r="G291" s="1332"/>
      <c r="H291" s="1332"/>
      <c r="I291" s="1332"/>
      <c r="J291" s="1332"/>
      <c r="K291" s="1332"/>
      <c r="L291" s="1332"/>
      <c r="M291" s="1332"/>
      <c r="N291" s="1332"/>
      <c r="O291" s="1332"/>
    </row>
    <row r="292">
      <c r="A292" s="1332"/>
      <c r="B292" s="1332"/>
      <c r="C292" s="1332"/>
      <c r="D292" s="1332"/>
      <c r="E292" s="1332"/>
      <c r="F292" s="1332"/>
      <c r="G292" s="1332"/>
      <c r="H292" s="1332"/>
      <c r="I292" s="1332"/>
      <c r="J292" s="1332"/>
      <c r="K292" s="1332"/>
      <c r="L292" s="1332"/>
      <c r="M292" s="1332"/>
      <c r="N292" s="1332"/>
      <c r="O292" s="1332"/>
    </row>
    <row r="293">
      <c r="A293" s="1332"/>
      <c r="B293" s="1332"/>
      <c r="C293" s="1332"/>
      <c r="D293" s="1332"/>
      <c r="E293" s="1332"/>
      <c r="F293" s="1332"/>
      <c r="G293" s="1332"/>
      <c r="H293" s="1332"/>
      <c r="I293" s="1332"/>
      <c r="J293" s="1332"/>
      <c r="K293" s="1332"/>
      <c r="L293" s="1332"/>
      <c r="M293" s="1332"/>
      <c r="N293" s="1332"/>
      <c r="O293" s="1332"/>
    </row>
    <row r="294">
      <c r="A294" s="1332"/>
      <c r="B294" s="1332"/>
      <c r="C294" s="1332"/>
      <c r="D294" s="1332"/>
      <c r="E294" s="1332"/>
      <c r="F294" s="1332"/>
      <c r="G294" s="1332"/>
      <c r="H294" s="1332"/>
      <c r="I294" s="1332"/>
      <c r="J294" s="1332"/>
      <c r="K294" s="1332"/>
      <c r="L294" s="1332"/>
      <c r="M294" s="1332"/>
      <c r="N294" s="1332"/>
      <c r="O294" s="1332"/>
    </row>
    <row r="295">
      <c r="A295" s="1332"/>
      <c r="B295" s="1332"/>
      <c r="C295" s="1332"/>
      <c r="D295" s="1332"/>
      <c r="E295" s="1332"/>
      <c r="F295" s="1332"/>
      <c r="G295" s="1332"/>
      <c r="H295" s="1332"/>
      <c r="I295" s="1332"/>
      <c r="J295" s="1332"/>
      <c r="K295" s="1332"/>
      <c r="L295" s="1332"/>
      <c r="M295" s="1332"/>
      <c r="N295" s="1332"/>
      <c r="O295" s="1332"/>
    </row>
    <row r="296">
      <c r="A296" s="1332"/>
      <c r="B296" s="1332"/>
      <c r="C296" s="1332"/>
      <c r="D296" s="1332"/>
      <c r="E296" s="1332"/>
      <c r="F296" s="1332"/>
      <c r="G296" s="1332"/>
      <c r="H296" s="1332"/>
      <c r="I296" s="1332"/>
      <c r="J296" s="1332"/>
      <c r="K296" s="1332"/>
      <c r="L296" s="1332"/>
      <c r="M296" s="1332"/>
      <c r="N296" s="1332"/>
      <c r="O296" s="1332"/>
    </row>
    <row r="297">
      <c r="A297" s="1332"/>
      <c r="B297" s="1332"/>
      <c r="C297" s="1332"/>
      <c r="D297" s="1332"/>
      <c r="E297" s="1332"/>
      <c r="F297" s="1332"/>
      <c r="G297" s="1332"/>
      <c r="H297" s="1332"/>
      <c r="I297" s="1332"/>
      <c r="J297" s="1332"/>
      <c r="K297" s="1332"/>
      <c r="L297" s="1332"/>
      <c r="M297" s="1332"/>
      <c r="N297" s="1332"/>
      <c r="O297" s="1332"/>
    </row>
    <row r="298">
      <c r="A298" s="1332"/>
      <c r="B298" s="1332"/>
      <c r="C298" s="1332"/>
      <c r="D298" s="1332"/>
      <c r="E298" s="1332"/>
      <c r="F298" s="1332"/>
      <c r="G298" s="1332"/>
      <c r="H298" s="1332"/>
      <c r="I298" s="1332"/>
      <c r="J298" s="1332"/>
      <c r="K298" s="1332"/>
      <c r="L298" s="1332"/>
      <c r="M298" s="1332"/>
      <c r="N298" s="1332"/>
      <c r="O298" s="1332"/>
    </row>
    <row r="299">
      <c r="A299" s="1332"/>
      <c r="B299" s="1332"/>
      <c r="C299" s="1332"/>
      <c r="D299" s="1332"/>
      <c r="E299" s="1332"/>
      <c r="F299" s="1332"/>
      <c r="G299" s="1332"/>
      <c r="H299" s="1332"/>
      <c r="I299" s="1332"/>
      <c r="J299" s="1332"/>
      <c r="K299" s="1332"/>
      <c r="L299" s="1332"/>
      <c r="M299" s="1332"/>
      <c r="N299" s="1332"/>
      <c r="O299" s="1332"/>
    </row>
    <row r="300">
      <c r="A300" s="1332"/>
      <c r="B300" s="1332"/>
      <c r="C300" s="1332"/>
      <c r="D300" s="1332"/>
      <c r="E300" s="1332"/>
      <c r="F300" s="1332"/>
      <c r="G300" s="1332"/>
      <c r="H300" s="1332"/>
      <c r="I300" s="1332"/>
      <c r="J300" s="1332"/>
      <c r="K300" s="1332"/>
      <c r="L300" s="1332"/>
      <c r="M300" s="1332"/>
      <c r="N300" s="1332"/>
      <c r="O300" s="1332"/>
    </row>
    <row r="301">
      <c r="A301" s="1332"/>
      <c r="B301" s="1332"/>
      <c r="C301" s="1332"/>
      <c r="D301" s="1332"/>
      <c r="E301" s="1332"/>
      <c r="F301" s="1332"/>
      <c r="G301" s="1332"/>
      <c r="H301" s="1332"/>
      <c r="I301" s="1332"/>
      <c r="J301" s="1332"/>
      <c r="K301" s="1332"/>
      <c r="L301" s="1332"/>
      <c r="M301" s="1332"/>
      <c r="N301" s="1332"/>
      <c r="O301" s="1332"/>
    </row>
    <row r="302">
      <c r="A302" s="1332"/>
      <c r="B302" s="1332"/>
      <c r="C302" s="1332"/>
      <c r="D302" s="1332"/>
      <c r="E302" s="1332"/>
      <c r="F302" s="1332"/>
      <c r="G302" s="1332"/>
      <c r="H302" s="1332"/>
      <c r="I302" s="1332"/>
      <c r="J302" s="1332"/>
      <c r="K302" s="1332"/>
      <c r="L302" s="1332"/>
      <c r="M302" s="1332"/>
      <c r="N302" s="1332"/>
      <c r="O302" s="1332"/>
    </row>
    <row r="303">
      <c r="A303" s="1332"/>
      <c r="B303" s="1332"/>
      <c r="C303" s="1332"/>
      <c r="D303" s="1332"/>
      <c r="E303" s="1332"/>
      <c r="F303" s="1332"/>
      <c r="G303" s="1332"/>
      <c r="H303" s="1332"/>
      <c r="I303" s="1332"/>
      <c r="J303" s="1332"/>
      <c r="K303" s="1332"/>
      <c r="L303" s="1332"/>
      <c r="M303" s="1332"/>
      <c r="N303" s="1332"/>
      <c r="O303" s="1332"/>
    </row>
    <row r="304">
      <c r="A304" s="1332"/>
      <c r="B304" s="1332"/>
      <c r="C304" s="1332"/>
      <c r="D304" s="1332"/>
      <c r="E304" s="1332"/>
      <c r="F304" s="1332"/>
      <c r="G304" s="1332"/>
      <c r="H304" s="1332"/>
      <c r="I304" s="1332"/>
      <c r="J304" s="1332"/>
      <c r="K304" s="1332"/>
      <c r="L304" s="1332"/>
      <c r="M304" s="1332"/>
      <c r="N304" s="1332"/>
      <c r="O304" s="1332"/>
    </row>
    <row r="305">
      <c r="A305" s="1332"/>
      <c r="B305" s="1332"/>
      <c r="C305" s="1332"/>
      <c r="D305" s="1332"/>
      <c r="E305" s="1332"/>
      <c r="F305" s="1332"/>
      <c r="G305" s="1332"/>
      <c r="H305" s="1332"/>
      <c r="I305" s="1332"/>
      <c r="J305" s="1332"/>
      <c r="K305" s="1332"/>
      <c r="L305" s="1332"/>
      <c r="M305" s="1332"/>
      <c r="N305" s="1332"/>
      <c r="O305" s="1332"/>
    </row>
    <row r="306">
      <c r="A306" s="1332"/>
      <c r="B306" s="1332"/>
      <c r="C306" s="1332"/>
      <c r="D306" s="1332"/>
      <c r="E306" s="1332"/>
      <c r="F306" s="1332"/>
      <c r="G306" s="1332"/>
      <c r="H306" s="1332"/>
      <c r="I306" s="1332"/>
      <c r="J306" s="1332"/>
      <c r="K306" s="1332"/>
      <c r="L306" s="1332"/>
      <c r="M306" s="1332"/>
      <c r="N306" s="1332"/>
      <c r="O306" s="1332"/>
    </row>
    <row r="307">
      <c r="A307" s="1332"/>
      <c r="B307" s="1332"/>
      <c r="C307" s="1332"/>
      <c r="D307" s="1332"/>
      <c r="E307" s="1332"/>
      <c r="F307" s="1332"/>
      <c r="G307" s="1332"/>
      <c r="H307" s="1332"/>
      <c r="I307" s="1332"/>
      <c r="J307" s="1332"/>
      <c r="K307" s="1332"/>
      <c r="L307" s="1332"/>
      <c r="M307" s="1332"/>
      <c r="N307" s="1332"/>
      <c r="O307" s="1332"/>
    </row>
    <row r="308">
      <c r="A308" s="1332"/>
      <c r="B308" s="1332"/>
      <c r="C308" s="1332"/>
      <c r="D308" s="1332"/>
      <c r="E308" s="1332"/>
      <c r="F308" s="1332"/>
      <c r="G308" s="1332"/>
      <c r="H308" s="1332"/>
      <c r="I308" s="1332"/>
      <c r="J308" s="1332"/>
      <c r="K308" s="1332"/>
      <c r="L308" s="1332"/>
      <c r="M308" s="1332"/>
      <c r="N308" s="1332"/>
      <c r="O308" s="1332"/>
    </row>
    <row r="309">
      <c r="A309" s="1332"/>
      <c r="B309" s="1332"/>
      <c r="C309" s="1332"/>
      <c r="D309" s="1332"/>
      <c r="E309" s="1332"/>
      <c r="F309" s="1332"/>
      <c r="G309" s="1332"/>
      <c r="H309" s="1332"/>
      <c r="I309" s="1332"/>
      <c r="J309" s="1332"/>
      <c r="K309" s="1332"/>
      <c r="L309" s="1332"/>
      <c r="M309" s="1332"/>
      <c r="N309" s="1332"/>
      <c r="O309" s="1332"/>
    </row>
    <row r="310">
      <c r="A310" s="1332"/>
      <c r="B310" s="1332"/>
      <c r="C310" s="1332"/>
      <c r="D310" s="1332"/>
      <c r="E310" s="1332"/>
      <c r="F310" s="1332"/>
      <c r="G310" s="1332"/>
      <c r="H310" s="1332"/>
      <c r="I310" s="1332"/>
      <c r="J310" s="1332"/>
      <c r="K310" s="1332"/>
      <c r="L310" s="1332"/>
      <c r="M310" s="1332"/>
      <c r="N310" s="1332"/>
      <c r="O310" s="1332"/>
    </row>
    <row r="311">
      <c r="A311" s="1332"/>
      <c r="B311" s="1332"/>
      <c r="C311" s="1332"/>
      <c r="D311" s="1332"/>
      <c r="E311" s="1332"/>
      <c r="F311" s="1332"/>
      <c r="G311" s="1332"/>
      <c r="H311" s="1332"/>
      <c r="I311" s="1332"/>
      <c r="J311" s="1332"/>
      <c r="K311" s="1332"/>
      <c r="L311" s="1332"/>
      <c r="M311" s="1332"/>
      <c r="N311" s="1332"/>
      <c r="O311" s="1332"/>
    </row>
    <row r="312">
      <c r="A312" s="1332"/>
      <c r="B312" s="1332"/>
      <c r="C312" s="1332"/>
      <c r="D312" s="1332"/>
      <c r="E312" s="1332"/>
      <c r="F312" s="1332"/>
      <c r="G312" s="1332"/>
      <c r="H312" s="1332"/>
      <c r="I312" s="1332"/>
      <c r="J312" s="1332"/>
      <c r="K312" s="1332"/>
      <c r="L312" s="1332"/>
      <c r="M312" s="1332"/>
      <c r="N312" s="1332"/>
      <c r="O312" s="1332"/>
    </row>
    <row r="313">
      <c r="A313" s="1332"/>
      <c r="B313" s="1332"/>
      <c r="C313" s="1332"/>
      <c r="D313" s="1332"/>
      <c r="E313" s="1332"/>
      <c r="F313" s="1332"/>
      <c r="G313" s="1332"/>
      <c r="H313" s="1332"/>
      <c r="I313" s="1332"/>
      <c r="J313" s="1332"/>
      <c r="K313" s="1332"/>
      <c r="L313" s="1332"/>
      <c r="M313" s="1332"/>
      <c r="N313" s="1332"/>
      <c r="O313" s="1332"/>
    </row>
    <row r="314">
      <c r="A314" s="1332"/>
      <c r="B314" s="1332"/>
      <c r="C314" s="1332"/>
      <c r="D314" s="1332"/>
      <c r="E314" s="1332"/>
      <c r="F314" s="1332"/>
      <c r="G314" s="1332"/>
      <c r="H314" s="1332"/>
      <c r="I314" s="1332"/>
      <c r="J314" s="1332"/>
      <c r="K314" s="1332"/>
      <c r="L314" s="1332"/>
      <c r="M314" s="1332"/>
      <c r="N314" s="1332"/>
      <c r="O314" s="1332"/>
    </row>
    <row r="315">
      <c r="A315" s="1332"/>
      <c r="B315" s="1332"/>
      <c r="C315" s="1332"/>
      <c r="D315" s="1332"/>
      <c r="E315" s="1332"/>
      <c r="F315" s="1332"/>
      <c r="G315" s="1332"/>
      <c r="H315" s="1332"/>
      <c r="I315" s="1332"/>
      <c r="J315" s="1332"/>
      <c r="K315" s="1332"/>
      <c r="L315" s="1332"/>
      <c r="M315" s="1332"/>
      <c r="N315" s="1332"/>
      <c r="O315" s="1332"/>
    </row>
    <row r="316">
      <c r="A316" s="1332"/>
      <c r="B316" s="1332"/>
      <c r="C316" s="1332"/>
      <c r="D316" s="1332"/>
      <c r="E316" s="1332"/>
      <c r="F316" s="1332"/>
      <c r="G316" s="1332"/>
      <c r="H316" s="1332"/>
      <c r="I316" s="1332"/>
      <c r="J316" s="1332"/>
      <c r="K316" s="1332"/>
      <c r="L316" s="1332"/>
      <c r="M316" s="1332"/>
      <c r="N316" s="1332"/>
      <c r="O316" s="1332"/>
    </row>
    <row r="317">
      <c r="A317" s="1332"/>
      <c r="B317" s="1332"/>
      <c r="C317" s="1332"/>
      <c r="D317" s="1332"/>
      <c r="E317" s="1332"/>
      <c r="F317" s="1332"/>
      <c r="G317" s="1332"/>
      <c r="H317" s="1332"/>
      <c r="I317" s="1332"/>
      <c r="J317" s="1332"/>
      <c r="K317" s="1332"/>
      <c r="L317" s="1332"/>
      <c r="M317" s="1332"/>
      <c r="N317" s="1332"/>
      <c r="O317" s="1332"/>
    </row>
    <row r="318">
      <c r="A318" s="1332"/>
      <c r="B318" s="1332"/>
      <c r="C318" s="1332"/>
      <c r="D318" s="1332"/>
      <c r="E318" s="1332"/>
      <c r="F318" s="1332"/>
      <c r="G318" s="1332"/>
      <c r="H318" s="1332"/>
      <c r="I318" s="1332"/>
      <c r="J318" s="1332"/>
      <c r="K318" s="1332"/>
      <c r="L318" s="1332"/>
      <c r="M318" s="1332"/>
      <c r="N318" s="1332"/>
      <c r="O318" s="1332"/>
    </row>
    <row r="319">
      <c r="A319" s="1332"/>
      <c r="B319" s="1332"/>
      <c r="C319" s="1332"/>
      <c r="D319" s="1332"/>
      <c r="E319" s="1332"/>
      <c r="F319" s="1332"/>
      <c r="G319" s="1332"/>
      <c r="H319" s="1332"/>
      <c r="I319" s="1332"/>
      <c r="J319" s="1332"/>
      <c r="K319" s="1332"/>
      <c r="L319" s="1332"/>
      <c r="M319" s="1332"/>
      <c r="N319" s="1332"/>
      <c r="O319" s="1332"/>
    </row>
    <row r="320">
      <c r="A320" s="1332"/>
      <c r="B320" s="1332"/>
      <c r="C320" s="1332"/>
      <c r="D320" s="1332"/>
      <c r="E320" s="1332"/>
      <c r="F320" s="1332"/>
      <c r="G320" s="1332"/>
      <c r="H320" s="1332"/>
      <c r="I320" s="1332"/>
      <c r="J320" s="1332"/>
      <c r="K320" s="1332"/>
      <c r="L320" s="1332"/>
      <c r="M320" s="1332"/>
      <c r="N320" s="1332"/>
      <c r="O320" s="1332"/>
    </row>
    <row r="321">
      <c r="A321" s="1332"/>
      <c r="B321" s="1332"/>
      <c r="C321" s="1332"/>
      <c r="D321" s="1332"/>
      <c r="E321" s="1332"/>
      <c r="F321" s="1332"/>
      <c r="G321" s="1332"/>
      <c r="H321" s="1332"/>
      <c r="I321" s="1332"/>
      <c r="J321" s="1332"/>
      <c r="K321" s="1332"/>
      <c r="L321" s="1332"/>
      <c r="M321" s="1332"/>
      <c r="N321" s="1332"/>
      <c r="O321" s="1332"/>
    </row>
    <row r="322">
      <c r="A322" s="1332"/>
      <c r="B322" s="1332"/>
      <c r="C322" s="1332"/>
      <c r="D322" s="1332"/>
      <c r="E322" s="1332"/>
      <c r="F322" s="1332"/>
      <c r="G322" s="1332"/>
      <c r="H322" s="1332"/>
      <c r="I322" s="1332"/>
      <c r="J322" s="1332"/>
      <c r="K322" s="1332"/>
      <c r="L322" s="1332"/>
      <c r="M322" s="1332"/>
      <c r="N322" s="1332"/>
      <c r="O322" s="1332"/>
    </row>
    <row r="323">
      <c r="A323" s="1332"/>
      <c r="B323" s="1332"/>
      <c r="C323" s="1332"/>
      <c r="D323" s="1332"/>
      <c r="E323" s="1332"/>
      <c r="F323" s="1332"/>
      <c r="G323" s="1332"/>
      <c r="H323" s="1332"/>
      <c r="I323" s="1332"/>
      <c r="J323" s="1332"/>
      <c r="K323" s="1332"/>
      <c r="L323" s="1332"/>
      <c r="M323" s="1332"/>
      <c r="N323" s="1332"/>
      <c r="O323" s="1332"/>
    </row>
    <row r="324">
      <c r="A324" s="1332"/>
      <c r="B324" s="1332"/>
      <c r="C324" s="1332"/>
      <c r="D324" s="1332"/>
      <c r="E324" s="1332"/>
      <c r="F324" s="1332"/>
      <c r="G324" s="1332"/>
      <c r="H324" s="1332"/>
      <c r="I324" s="1332"/>
      <c r="J324" s="1332"/>
      <c r="K324" s="1332"/>
      <c r="L324" s="1332"/>
      <c r="M324" s="1332"/>
      <c r="N324" s="1332"/>
      <c r="O324" s="1332"/>
    </row>
    <row r="325">
      <c r="A325" s="1332"/>
      <c r="B325" s="1332"/>
      <c r="C325" s="1332"/>
      <c r="D325" s="1332"/>
      <c r="E325" s="1332"/>
      <c r="F325" s="1332"/>
      <c r="G325" s="1332"/>
      <c r="H325" s="1332"/>
      <c r="I325" s="1332"/>
      <c r="J325" s="1332"/>
      <c r="K325" s="1332"/>
      <c r="L325" s="1332"/>
      <c r="M325" s="1332"/>
      <c r="N325" s="1332"/>
      <c r="O325" s="1332"/>
    </row>
    <row r="326">
      <c r="A326" s="1332"/>
      <c r="B326" s="1332"/>
      <c r="C326" s="1332"/>
      <c r="D326" s="1332"/>
      <c r="E326" s="1332"/>
      <c r="F326" s="1332"/>
      <c r="G326" s="1332"/>
      <c r="H326" s="1332"/>
      <c r="I326" s="1332"/>
      <c r="J326" s="1332"/>
      <c r="K326" s="1332"/>
      <c r="L326" s="1332"/>
      <c r="M326" s="1332"/>
      <c r="N326" s="1332"/>
      <c r="O326" s="1332"/>
    </row>
    <row r="327">
      <c r="A327" s="1332"/>
      <c r="B327" s="1332"/>
      <c r="C327" s="1332"/>
      <c r="D327" s="1332"/>
      <c r="E327" s="1332"/>
      <c r="F327" s="1332"/>
      <c r="G327" s="1332"/>
      <c r="H327" s="1332"/>
      <c r="I327" s="1332"/>
      <c r="J327" s="1332"/>
      <c r="K327" s="1332"/>
      <c r="L327" s="1332"/>
      <c r="M327" s="1332"/>
      <c r="N327" s="1332"/>
      <c r="O327" s="1332"/>
    </row>
    <row r="328">
      <c r="A328" s="1332"/>
      <c r="B328" s="1332"/>
      <c r="C328" s="1332"/>
      <c r="D328" s="1332"/>
      <c r="E328" s="1332"/>
      <c r="F328" s="1332"/>
      <c r="G328" s="1332"/>
      <c r="H328" s="1332"/>
      <c r="I328" s="1332"/>
      <c r="J328" s="1332"/>
      <c r="K328" s="1332"/>
      <c r="L328" s="1332"/>
      <c r="M328" s="1332"/>
      <c r="N328" s="1332"/>
      <c r="O328" s="1332"/>
    </row>
    <row r="329">
      <c r="A329" s="1332"/>
      <c r="B329" s="1332"/>
      <c r="C329" s="1332"/>
      <c r="D329" s="1332"/>
      <c r="E329" s="1332"/>
      <c r="F329" s="1332"/>
      <c r="G329" s="1332"/>
      <c r="H329" s="1332"/>
      <c r="I329" s="1332"/>
      <c r="J329" s="1332"/>
      <c r="K329" s="1332"/>
      <c r="L329" s="1332"/>
      <c r="M329" s="1332"/>
      <c r="N329" s="1332"/>
      <c r="O329" s="1332"/>
    </row>
    <row r="330">
      <c r="A330" s="1332"/>
      <c r="B330" s="1332"/>
      <c r="C330" s="1332"/>
      <c r="D330" s="1332"/>
      <c r="E330" s="1332"/>
      <c r="F330" s="1332"/>
      <c r="G330" s="1332"/>
      <c r="H330" s="1332"/>
      <c r="I330" s="1332"/>
      <c r="J330" s="1332"/>
      <c r="K330" s="1332"/>
      <c r="L330" s="1332"/>
      <c r="M330" s="1332"/>
      <c r="N330" s="1332"/>
      <c r="O330" s="1332"/>
    </row>
    <row r="331">
      <c r="A331" s="1332"/>
      <c r="B331" s="1332"/>
      <c r="C331" s="1332"/>
      <c r="D331" s="1332"/>
      <c r="E331" s="1332"/>
      <c r="F331" s="1332"/>
      <c r="G331" s="1332"/>
      <c r="H331" s="1332"/>
      <c r="I331" s="1332"/>
      <c r="J331" s="1332"/>
      <c r="K331" s="1332"/>
      <c r="L331" s="1332"/>
      <c r="M331" s="1332"/>
      <c r="N331" s="1332"/>
      <c r="O331" s="1332"/>
    </row>
    <row r="332">
      <c r="A332" s="1332"/>
      <c r="B332" s="1332"/>
      <c r="C332" s="1332"/>
      <c r="D332" s="1332"/>
      <c r="E332" s="1332"/>
      <c r="F332" s="1332"/>
      <c r="G332" s="1332"/>
      <c r="H332" s="1332"/>
      <c r="I332" s="1332"/>
      <c r="J332" s="1332"/>
      <c r="K332" s="1332"/>
      <c r="L332" s="1332"/>
      <c r="M332" s="1332"/>
      <c r="N332" s="1332"/>
      <c r="O332" s="1332"/>
    </row>
    <row r="333">
      <c r="A333" s="1332"/>
      <c r="B333" s="1332"/>
      <c r="C333" s="1332"/>
      <c r="D333" s="1332"/>
      <c r="E333" s="1332"/>
      <c r="F333" s="1332"/>
      <c r="G333" s="1332"/>
      <c r="H333" s="1332"/>
      <c r="I333" s="1332"/>
      <c r="J333" s="1332"/>
      <c r="K333" s="1332"/>
      <c r="L333" s="1332"/>
      <c r="M333" s="1332"/>
      <c r="N333" s="1332"/>
      <c r="O333" s="1332"/>
    </row>
    <row r="334">
      <c r="A334" s="1332"/>
      <c r="B334" s="1332"/>
      <c r="C334" s="1332"/>
      <c r="D334" s="1332"/>
      <c r="E334" s="1332"/>
      <c r="F334" s="1332"/>
      <c r="G334" s="1332"/>
      <c r="H334" s="1332"/>
      <c r="I334" s="1332"/>
      <c r="J334" s="1332"/>
      <c r="K334" s="1332"/>
      <c r="L334" s="1332"/>
      <c r="M334" s="1332"/>
      <c r="N334" s="1332"/>
      <c r="O334" s="1332"/>
    </row>
    <row r="335">
      <c r="A335" s="1332"/>
      <c r="B335" s="1332"/>
      <c r="C335" s="1332"/>
      <c r="D335" s="1332"/>
      <c r="E335" s="1332"/>
      <c r="F335" s="1332"/>
      <c r="G335" s="1332"/>
      <c r="H335" s="1332"/>
      <c r="I335" s="1332"/>
      <c r="J335" s="1332"/>
      <c r="K335" s="1332"/>
      <c r="L335" s="1332"/>
      <c r="M335" s="1332"/>
      <c r="N335" s="1332"/>
      <c r="O335" s="1332"/>
    </row>
    <row r="336">
      <c r="A336" s="1332"/>
      <c r="B336" s="1332"/>
      <c r="C336" s="1332"/>
      <c r="D336" s="1332"/>
      <c r="E336" s="1332"/>
      <c r="F336" s="1332"/>
      <c r="G336" s="1332"/>
      <c r="H336" s="1332"/>
      <c r="I336" s="1332"/>
      <c r="J336" s="1332"/>
      <c r="K336" s="1332"/>
      <c r="L336" s="1332"/>
      <c r="M336" s="1332"/>
      <c r="N336" s="1332"/>
      <c r="O336" s="1332"/>
    </row>
    <row r="337">
      <c r="A337" s="1332"/>
      <c r="B337" s="1332"/>
      <c r="C337" s="1332"/>
      <c r="D337" s="1332"/>
      <c r="E337" s="1332"/>
      <c r="F337" s="1332"/>
      <c r="G337" s="1332"/>
      <c r="H337" s="1332"/>
      <c r="I337" s="1332"/>
      <c r="J337" s="1332"/>
      <c r="K337" s="1332"/>
      <c r="L337" s="1332"/>
      <c r="M337" s="1332"/>
      <c r="N337" s="1332"/>
      <c r="O337" s="1332"/>
    </row>
    <row r="338">
      <c r="A338" s="1332"/>
      <c r="B338" s="1332"/>
      <c r="C338" s="1332"/>
      <c r="D338" s="1332"/>
      <c r="E338" s="1332"/>
      <c r="F338" s="1332"/>
      <c r="G338" s="1332"/>
      <c r="H338" s="1332"/>
      <c r="I338" s="1332"/>
      <c r="J338" s="1332"/>
      <c r="K338" s="1332"/>
      <c r="L338" s="1332"/>
      <c r="M338" s="1332"/>
      <c r="N338" s="1332"/>
      <c r="O338" s="1332"/>
    </row>
    <row r="339">
      <c r="A339" s="1332"/>
      <c r="B339" s="1332"/>
      <c r="C339" s="1332"/>
      <c r="D339" s="1332"/>
      <c r="E339" s="1332"/>
      <c r="F339" s="1332"/>
      <c r="G339" s="1332"/>
      <c r="H339" s="1332"/>
      <c r="I339" s="1332"/>
      <c r="J339" s="1332"/>
      <c r="K339" s="1332"/>
      <c r="L339" s="1332"/>
      <c r="M339" s="1332"/>
      <c r="N339" s="1332"/>
      <c r="O339" s="1332"/>
    </row>
    <row r="340">
      <c r="A340" s="1332"/>
      <c r="B340" s="1332"/>
      <c r="C340" s="1332"/>
      <c r="D340" s="1332"/>
      <c r="E340" s="1332"/>
      <c r="F340" s="1332"/>
      <c r="G340" s="1332"/>
      <c r="H340" s="1332"/>
      <c r="I340" s="1332"/>
      <c r="J340" s="1332"/>
      <c r="K340" s="1332"/>
      <c r="L340" s="1332"/>
      <c r="M340" s="1332"/>
      <c r="N340" s="1332"/>
      <c r="O340" s="1332"/>
    </row>
    <row r="341">
      <c r="A341" s="1332"/>
      <c r="B341" s="1332"/>
      <c r="C341" s="1332"/>
      <c r="D341" s="1332"/>
      <c r="E341" s="1332"/>
      <c r="F341" s="1332"/>
      <c r="G341" s="1332"/>
      <c r="H341" s="1332"/>
      <c r="I341" s="1332"/>
      <c r="J341" s="1332"/>
      <c r="K341" s="1332"/>
      <c r="L341" s="1332"/>
      <c r="M341" s="1332"/>
      <c r="N341" s="1332"/>
      <c r="O341" s="1332"/>
    </row>
    <row r="342">
      <c r="A342" s="1332"/>
      <c r="B342" s="1332"/>
      <c r="C342" s="1332"/>
      <c r="D342" s="1332"/>
      <c r="E342" s="1332"/>
      <c r="F342" s="1332"/>
      <c r="G342" s="1332"/>
      <c r="H342" s="1332"/>
      <c r="I342" s="1332"/>
      <c r="J342" s="1332"/>
      <c r="K342" s="1332"/>
      <c r="L342" s="1332"/>
      <c r="M342" s="1332"/>
      <c r="N342" s="1332"/>
      <c r="O342" s="1332"/>
    </row>
    <row r="343">
      <c r="A343" s="1332"/>
      <c r="B343" s="1332"/>
      <c r="C343" s="1332"/>
      <c r="D343" s="1332"/>
      <c r="E343" s="1332"/>
      <c r="F343" s="1332"/>
      <c r="G343" s="1332"/>
      <c r="H343" s="1332"/>
      <c r="I343" s="1332"/>
      <c r="J343" s="1332"/>
      <c r="K343" s="1332"/>
      <c r="L343" s="1332"/>
      <c r="M343" s="1332"/>
      <c r="N343" s="1332"/>
      <c r="O343" s="1332"/>
    </row>
    <row r="344">
      <c r="A344" s="1332"/>
      <c r="B344" s="1332"/>
      <c r="C344" s="1332"/>
      <c r="D344" s="1332"/>
      <c r="E344" s="1332"/>
      <c r="F344" s="1332"/>
      <c r="G344" s="1332"/>
      <c r="H344" s="1332"/>
      <c r="I344" s="1332"/>
      <c r="J344" s="1332"/>
      <c r="K344" s="1332"/>
      <c r="L344" s="1332"/>
      <c r="M344" s="1332"/>
      <c r="N344" s="1332"/>
      <c r="O344" s="1332"/>
    </row>
    <row r="345">
      <c r="A345" s="1332"/>
      <c r="B345" s="1332"/>
      <c r="C345" s="1332"/>
      <c r="D345" s="1332"/>
      <c r="E345" s="1332"/>
      <c r="F345" s="1332"/>
      <c r="G345" s="1332"/>
      <c r="H345" s="1332"/>
      <c r="I345" s="1332"/>
      <c r="J345" s="1332"/>
      <c r="K345" s="1332"/>
      <c r="L345" s="1332"/>
      <c r="M345" s="1332"/>
      <c r="N345" s="1332"/>
      <c r="O345" s="1332"/>
    </row>
    <row r="346">
      <c r="A346" s="1332"/>
      <c r="B346" s="1332"/>
      <c r="C346" s="1332"/>
      <c r="D346" s="1332"/>
      <c r="E346" s="1332"/>
      <c r="F346" s="1332"/>
      <c r="G346" s="1332"/>
      <c r="H346" s="1332"/>
      <c r="I346" s="1332"/>
      <c r="J346" s="1332"/>
      <c r="K346" s="1332"/>
      <c r="L346" s="1332"/>
      <c r="M346" s="1332"/>
      <c r="N346" s="1332"/>
      <c r="O346" s="1332"/>
    </row>
    <row r="347">
      <c r="A347" s="1332"/>
      <c r="B347" s="1332"/>
      <c r="C347" s="1332"/>
      <c r="D347" s="1332"/>
      <c r="E347" s="1332"/>
      <c r="F347" s="1332"/>
      <c r="G347" s="1332"/>
      <c r="H347" s="1332"/>
      <c r="I347" s="1332"/>
      <c r="J347" s="1332"/>
      <c r="K347" s="1332"/>
      <c r="L347" s="1332"/>
      <c r="M347" s="1332"/>
      <c r="N347" s="1332"/>
      <c r="O347" s="1332"/>
    </row>
    <row r="348">
      <c r="A348" s="1332"/>
      <c r="B348" s="1332"/>
      <c r="C348" s="1332"/>
      <c r="D348" s="1332"/>
      <c r="E348" s="1332"/>
      <c r="F348" s="1332"/>
      <c r="G348" s="1332"/>
      <c r="H348" s="1332"/>
      <c r="I348" s="1332"/>
      <c r="J348" s="1332"/>
      <c r="K348" s="1332"/>
      <c r="L348" s="1332"/>
      <c r="M348" s="1332"/>
      <c r="N348" s="1332"/>
      <c r="O348" s="1332"/>
    </row>
    <row r="349">
      <c r="A349" s="1332"/>
      <c r="B349" s="1332"/>
      <c r="C349" s="1332"/>
      <c r="D349" s="1332"/>
      <c r="E349" s="1332"/>
      <c r="F349" s="1332"/>
      <c r="G349" s="1332"/>
      <c r="H349" s="1332"/>
      <c r="I349" s="1332"/>
      <c r="J349" s="1332"/>
      <c r="K349" s="1332"/>
      <c r="L349" s="1332"/>
      <c r="M349" s="1332"/>
      <c r="N349" s="1332"/>
      <c r="O349" s="1332"/>
    </row>
    <row r="350">
      <c r="A350" s="1332"/>
      <c r="B350" s="1332"/>
      <c r="C350" s="1332"/>
      <c r="D350" s="1332"/>
      <c r="E350" s="1332"/>
      <c r="F350" s="1332"/>
      <c r="G350" s="1332"/>
      <c r="H350" s="1332"/>
      <c r="I350" s="1332"/>
      <c r="J350" s="1332"/>
      <c r="K350" s="1332"/>
      <c r="L350" s="1332"/>
      <c r="M350" s="1332"/>
      <c r="N350" s="1332"/>
      <c r="O350" s="1332"/>
    </row>
    <row r="351">
      <c r="A351" s="1332"/>
      <c r="B351" s="1332"/>
      <c r="C351" s="1332"/>
      <c r="D351" s="1332"/>
      <c r="E351" s="1332"/>
      <c r="F351" s="1332"/>
      <c r="G351" s="1332"/>
      <c r="H351" s="1332"/>
      <c r="I351" s="1332"/>
      <c r="J351" s="1332"/>
      <c r="K351" s="1332"/>
      <c r="L351" s="1332"/>
      <c r="M351" s="1332"/>
      <c r="N351" s="1332"/>
      <c r="O351" s="1332"/>
    </row>
    <row r="352">
      <c r="A352" s="1332"/>
      <c r="B352" s="1332"/>
      <c r="C352" s="1332"/>
      <c r="D352" s="1332"/>
      <c r="E352" s="1332"/>
      <c r="F352" s="1332"/>
      <c r="G352" s="1332"/>
      <c r="H352" s="1332"/>
      <c r="I352" s="1332"/>
      <c r="J352" s="1332"/>
      <c r="K352" s="1332"/>
      <c r="L352" s="1332"/>
      <c r="M352" s="1332"/>
      <c r="N352" s="1332"/>
      <c r="O352" s="1332"/>
    </row>
    <row r="353">
      <c r="A353" s="1332"/>
      <c r="B353" s="1332"/>
      <c r="C353" s="1332"/>
      <c r="D353" s="1332"/>
      <c r="E353" s="1332"/>
      <c r="F353" s="1332"/>
      <c r="G353" s="1332"/>
      <c r="H353" s="1332"/>
      <c r="I353" s="1332"/>
      <c r="J353" s="1332"/>
      <c r="K353" s="1332"/>
      <c r="L353" s="1332"/>
      <c r="M353" s="1332"/>
      <c r="N353" s="1332"/>
      <c r="O353" s="1332"/>
    </row>
    <row r="354">
      <c r="A354" s="1332"/>
      <c r="B354" s="1332"/>
      <c r="C354" s="1332"/>
      <c r="D354" s="1332"/>
      <c r="E354" s="1332"/>
      <c r="F354" s="1332"/>
      <c r="G354" s="1332"/>
      <c r="H354" s="1332"/>
      <c r="I354" s="1332"/>
      <c r="J354" s="1332"/>
      <c r="K354" s="1332"/>
      <c r="L354" s="1332"/>
      <c r="M354" s="1332"/>
      <c r="N354" s="1332"/>
      <c r="O354" s="1332"/>
    </row>
    <row r="355">
      <c r="A355" s="1332"/>
      <c r="B355" s="1332"/>
      <c r="C355" s="1332"/>
      <c r="D355" s="1332"/>
      <c r="E355" s="1332"/>
      <c r="F355" s="1332"/>
      <c r="G355" s="1332"/>
      <c r="H355" s="1332"/>
      <c r="I355" s="1332"/>
      <c r="J355" s="1332"/>
      <c r="K355" s="1332"/>
      <c r="L355" s="1332"/>
      <c r="M355" s="1332"/>
      <c r="N355" s="1332"/>
      <c r="O355" s="1332"/>
    </row>
    <row r="356">
      <c r="A356" s="1332"/>
      <c r="B356" s="1332"/>
      <c r="C356" s="1332"/>
      <c r="D356" s="1332"/>
      <c r="E356" s="1332"/>
      <c r="F356" s="1332"/>
      <c r="G356" s="1332"/>
      <c r="H356" s="1332"/>
      <c r="I356" s="1332"/>
      <c r="J356" s="1332"/>
      <c r="K356" s="1332"/>
      <c r="L356" s="1332"/>
      <c r="M356" s="1332"/>
      <c r="N356" s="1332"/>
      <c r="O356" s="1332"/>
    </row>
    <row r="357">
      <c r="A357" s="1332"/>
      <c r="B357" s="1332"/>
      <c r="C357" s="1332"/>
      <c r="D357" s="1332"/>
      <c r="E357" s="1332"/>
      <c r="F357" s="1332"/>
      <c r="G357" s="1332"/>
      <c r="H357" s="1332"/>
      <c r="I357" s="1332"/>
      <c r="J357" s="1332"/>
      <c r="K357" s="1332"/>
      <c r="L357" s="1332"/>
      <c r="M357" s="1332"/>
      <c r="N357" s="1332"/>
      <c r="O357" s="1332"/>
    </row>
    <row r="358">
      <c r="A358" s="1332"/>
      <c r="B358" s="1332"/>
      <c r="C358" s="1332"/>
      <c r="D358" s="1332"/>
      <c r="E358" s="1332"/>
      <c r="F358" s="1332"/>
      <c r="G358" s="1332"/>
      <c r="H358" s="1332"/>
      <c r="I358" s="1332"/>
      <c r="J358" s="1332"/>
      <c r="K358" s="1332"/>
      <c r="L358" s="1332"/>
      <c r="M358" s="1332"/>
      <c r="N358" s="1332"/>
      <c r="O358" s="1332"/>
    </row>
    <row r="359">
      <c r="A359" s="1332"/>
      <c r="B359" s="1332"/>
      <c r="C359" s="1332"/>
      <c r="D359" s="1332"/>
      <c r="E359" s="1332"/>
      <c r="F359" s="1332"/>
      <c r="G359" s="1332"/>
      <c r="H359" s="1332"/>
      <c r="I359" s="1332"/>
      <c r="J359" s="1332"/>
      <c r="K359" s="1332"/>
      <c r="L359" s="1332"/>
      <c r="M359" s="1332"/>
      <c r="N359" s="1332"/>
      <c r="O359" s="1332"/>
    </row>
    <row r="360">
      <c r="A360" s="1332"/>
      <c r="B360" s="1332"/>
      <c r="C360" s="1332"/>
      <c r="D360" s="1332"/>
      <c r="E360" s="1332"/>
      <c r="F360" s="1332"/>
      <c r="G360" s="1332"/>
      <c r="H360" s="1332"/>
      <c r="I360" s="1332"/>
      <c r="J360" s="1332"/>
      <c r="K360" s="1332"/>
      <c r="L360" s="1332"/>
      <c r="M360" s="1332"/>
      <c r="N360" s="1332"/>
      <c r="O360" s="1332"/>
    </row>
    <row r="361">
      <c r="A361" s="1332"/>
      <c r="B361" s="1332"/>
      <c r="C361" s="1332"/>
      <c r="D361" s="1332"/>
      <c r="E361" s="1332"/>
      <c r="F361" s="1332"/>
      <c r="G361" s="1332"/>
      <c r="H361" s="1332"/>
      <c r="I361" s="1332"/>
      <c r="J361" s="1332"/>
      <c r="K361" s="1332"/>
      <c r="L361" s="1332"/>
      <c r="M361" s="1332"/>
      <c r="N361" s="1332"/>
      <c r="O361" s="1332"/>
    </row>
    <row r="362">
      <c r="A362" s="1332"/>
      <c r="B362" s="1332"/>
      <c r="C362" s="1332"/>
      <c r="D362" s="1332"/>
      <c r="E362" s="1332"/>
      <c r="F362" s="1332"/>
      <c r="G362" s="1332"/>
      <c r="H362" s="1332"/>
      <c r="I362" s="1332"/>
      <c r="J362" s="1332"/>
      <c r="K362" s="1332"/>
      <c r="L362" s="1332"/>
      <c r="M362" s="1332"/>
      <c r="N362" s="1332"/>
      <c r="O362" s="1332"/>
    </row>
    <row r="363">
      <c r="A363" s="1332"/>
      <c r="B363" s="1332"/>
      <c r="C363" s="1332"/>
      <c r="D363" s="1332"/>
      <c r="E363" s="1332"/>
      <c r="F363" s="1332"/>
      <c r="G363" s="1332"/>
      <c r="H363" s="1332"/>
      <c r="I363" s="1332"/>
      <c r="J363" s="1332"/>
      <c r="K363" s="1332"/>
      <c r="L363" s="1332"/>
      <c r="M363" s="1332"/>
      <c r="N363" s="1332"/>
      <c r="O363" s="1332"/>
    </row>
    <row r="364">
      <c r="A364" s="1332"/>
      <c r="B364" s="1332"/>
      <c r="C364" s="1332"/>
      <c r="D364" s="1332"/>
      <c r="E364" s="1332"/>
      <c r="F364" s="1332"/>
      <c r="G364" s="1332"/>
      <c r="H364" s="1332"/>
      <c r="I364" s="1332"/>
      <c r="J364" s="1332"/>
      <c r="K364" s="1332"/>
      <c r="L364" s="1332"/>
      <c r="M364" s="1332"/>
      <c r="N364" s="1332"/>
      <c r="O364" s="1332"/>
    </row>
    <row r="365">
      <c r="A365" s="1332"/>
      <c r="B365" s="1332"/>
      <c r="C365" s="1332"/>
      <c r="D365" s="1332"/>
      <c r="E365" s="1332"/>
      <c r="F365" s="1332"/>
      <c r="G365" s="1332"/>
      <c r="H365" s="1332"/>
      <c r="I365" s="1332"/>
      <c r="J365" s="1332"/>
      <c r="K365" s="1332"/>
      <c r="L365" s="1332"/>
      <c r="M365" s="1332"/>
      <c r="N365" s="1332"/>
      <c r="O365" s="1332"/>
    </row>
    <row r="366">
      <c r="A366" s="1332"/>
      <c r="B366" s="1332"/>
      <c r="C366" s="1332"/>
      <c r="D366" s="1332"/>
      <c r="E366" s="1332"/>
      <c r="F366" s="1332"/>
      <c r="G366" s="1332"/>
      <c r="H366" s="1332"/>
      <c r="I366" s="1332"/>
      <c r="J366" s="1332"/>
      <c r="K366" s="1332"/>
      <c r="L366" s="1332"/>
      <c r="M366" s="1332"/>
      <c r="N366" s="1332"/>
      <c r="O366" s="1332"/>
    </row>
    <row r="367">
      <c r="A367" s="1332"/>
      <c r="B367" s="1332"/>
      <c r="C367" s="1332"/>
      <c r="D367" s="1332"/>
      <c r="E367" s="1332"/>
      <c r="F367" s="1332"/>
      <c r="G367" s="1332"/>
      <c r="H367" s="1332"/>
      <c r="I367" s="1332"/>
      <c r="J367" s="1332"/>
      <c r="K367" s="1332"/>
      <c r="L367" s="1332"/>
      <c r="M367" s="1332"/>
      <c r="N367" s="1332"/>
      <c r="O367" s="1332"/>
    </row>
    <row r="368">
      <c r="A368" s="1332"/>
      <c r="B368" s="1332"/>
      <c r="C368" s="1332"/>
      <c r="D368" s="1332"/>
      <c r="E368" s="1332"/>
      <c r="F368" s="1332"/>
      <c r="G368" s="1332"/>
      <c r="H368" s="1332"/>
      <c r="I368" s="1332"/>
      <c r="J368" s="1332"/>
      <c r="K368" s="1332"/>
      <c r="L368" s="1332"/>
      <c r="M368" s="1332"/>
      <c r="N368" s="1332"/>
      <c r="O368" s="1332"/>
    </row>
    <row r="369">
      <c r="A369" s="1332"/>
      <c r="B369" s="1332"/>
      <c r="C369" s="1332"/>
      <c r="D369" s="1332"/>
      <c r="E369" s="1332"/>
      <c r="F369" s="1332"/>
      <c r="G369" s="1332"/>
      <c r="H369" s="1332"/>
      <c r="I369" s="1332"/>
      <c r="J369" s="1332"/>
      <c r="K369" s="1332"/>
      <c r="L369" s="1332"/>
      <c r="M369" s="1332"/>
      <c r="N369" s="1332"/>
      <c r="O369" s="1332"/>
    </row>
    <row r="370">
      <c r="A370" s="1332"/>
      <c r="B370" s="1332"/>
      <c r="C370" s="1332"/>
      <c r="D370" s="1332"/>
      <c r="E370" s="1332"/>
      <c r="F370" s="1332"/>
      <c r="G370" s="1332"/>
      <c r="H370" s="1332"/>
      <c r="I370" s="1332"/>
      <c r="J370" s="1332"/>
      <c r="K370" s="1332"/>
      <c r="L370" s="1332"/>
      <c r="M370" s="1332"/>
      <c r="N370" s="1332"/>
      <c r="O370" s="1332"/>
    </row>
    <row r="371">
      <c r="A371" s="1332"/>
      <c r="B371" s="1332"/>
      <c r="C371" s="1332"/>
      <c r="D371" s="1332"/>
      <c r="E371" s="1332"/>
      <c r="F371" s="1332"/>
      <c r="G371" s="1332"/>
      <c r="H371" s="1332"/>
      <c r="I371" s="1332"/>
      <c r="J371" s="1332"/>
      <c r="K371" s="1332"/>
      <c r="L371" s="1332"/>
      <c r="M371" s="1332"/>
      <c r="N371" s="1332"/>
      <c r="O371" s="1332"/>
    </row>
    <row r="372">
      <c r="A372" s="1332"/>
      <c r="B372" s="1332"/>
      <c r="C372" s="1332"/>
      <c r="D372" s="1332"/>
      <c r="E372" s="1332"/>
      <c r="F372" s="1332"/>
      <c r="G372" s="1332"/>
      <c r="H372" s="1332"/>
      <c r="I372" s="1332"/>
      <c r="J372" s="1332"/>
      <c r="K372" s="1332"/>
      <c r="L372" s="1332"/>
      <c r="M372" s="1332"/>
      <c r="N372" s="1332"/>
      <c r="O372" s="1332"/>
    </row>
    <row r="373">
      <c r="A373" s="1332"/>
      <c r="B373" s="1332"/>
      <c r="C373" s="1332"/>
      <c r="D373" s="1332"/>
      <c r="E373" s="1332"/>
      <c r="F373" s="1332"/>
      <c r="G373" s="1332"/>
      <c r="H373" s="1332"/>
      <c r="I373" s="1332"/>
      <c r="J373" s="1332"/>
      <c r="K373" s="1332"/>
      <c r="L373" s="1332"/>
      <c r="M373" s="1332"/>
      <c r="N373" s="1332"/>
      <c r="O373" s="1332"/>
    </row>
    <row r="374">
      <c r="A374" s="1332"/>
      <c r="B374" s="1332"/>
      <c r="C374" s="1332"/>
      <c r="D374" s="1332"/>
      <c r="E374" s="1332"/>
      <c r="F374" s="1332"/>
      <c r="G374" s="1332"/>
      <c r="H374" s="1332"/>
      <c r="I374" s="1332"/>
      <c r="J374" s="1332"/>
      <c r="K374" s="1332"/>
      <c r="L374" s="1332"/>
      <c r="M374" s="1332"/>
      <c r="N374" s="1332"/>
      <c r="O374" s="1332"/>
    </row>
    <row r="375">
      <c r="A375" s="1332"/>
      <c r="B375" s="1332"/>
      <c r="C375" s="1332"/>
      <c r="D375" s="1332"/>
      <c r="E375" s="1332"/>
      <c r="F375" s="1332"/>
      <c r="G375" s="1332"/>
      <c r="H375" s="1332"/>
      <c r="I375" s="1332"/>
      <c r="J375" s="1332"/>
      <c r="K375" s="1332"/>
      <c r="L375" s="1332"/>
      <c r="M375" s="1332"/>
      <c r="N375" s="1332"/>
      <c r="O375" s="1332"/>
    </row>
    <row r="376">
      <c r="A376" s="1332"/>
      <c r="B376" s="1332"/>
      <c r="C376" s="1332"/>
      <c r="D376" s="1332"/>
      <c r="E376" s="1332"/>
      <c r="F376" s="1332"/>
      <c r="G376" s="1332"/>
      <c r="H376" s="1332"/>
      <c r="I376" s="1332"/>
      <c r="J376" s="1332"/>
      <c r="K376" s="1332"/>
      <c r="L376" s="1332"/>
      <c r="M376" s="1332"/>
      <c r="N376" s="1332"/>
      <c r="O376" s="1332"/>
    </row>
    <row r="377">
      <c r="A377" s="1332"/>
      <c r="B377" s="1332"/>
      <c r="C377" s="1332"/>
      <c r="D377" s="1332"/>
      <c r="E377" s="1332"/>
      <c r="F377" s="1332"/>
      <c r="G377" s="1332"/>
      <c r="H377" s="1332"/>
      <c r="I377" s="1332"/>
      <c r="J377" s="1332"/>
      <c r="K377" s="1332"/>
      <c r="L377" s="1332"/>
      <c r="M377" s="1332"/>
      <c r="N377" s="1332"/>
      <c r="O377" s="1332"/>
    </row>
    <row r="378">
      <c r="A378" s="1332"/>
      <c r="B378" s="1332"/>
      <c r="C378" s="1332"/>
      <c r="D378" s="1332"/>
      <c r="E378" s="1332"/>
      <c r="F378" s="1332"/>
      <c r="G378" s="1332"/>
      <c r="H378" s="1332"/>
      <c r="I378" s="1332"/>
      <c r="J378" s="1332"/>
      <c r="K378" s="1332"/>
      <c r="L378" s="1332"/>
      <c r="M378" s="1332"/>
      <c r="N378" s="1332"/>
      <c r="O378" s="1332"/>
    </row>
    <row r="379">
      <c r="A379" s="1332"/>
      <c r="B379" s="1332"/>
      <c r="C379" s="1332"/>
      <c r="D379" s="1332"/>
      <c r="E379" s="1332"/>
      <c r="F379" s="1332"/>
      <c r="G379" s="1332"/>
      <c r="H379" s="1332"/>
      <c r="I379" s="1332"/>
      <c r="J379" s="1332"/>
      <c r="K379" s="1332"/>
      <c r="L379" s="1332"/>
      <c r="M379" s="1332"/>
      <c r="N379" s="1332"/>
      <c r="O379" s="1332"/>
    </row>
    <row r="380">
      <c r="A380" s="1332"/>
      <c r="B380" s="1332"/>
      <c r="C380" s="1332"/>
      <c r="D380" s="1332"/>
      <c r="E380" s="1332"/>
      <c r="F380" s="1332"/>
      <c r="G380" s="1332"/>
      <c r="H380" s="1332"/>
      <c r="I380" s="1332"/>
      <c r="J380" s="1332"/>
      <c r="K380" s="1332"/>
      <c r="L380" s="1332"/>
      <c r="M380" s="1332"/>
      <c r="N380" s="1332"/>
      <c r="O380" s="1332"/>
    </row>
    <row r="381">
      <c r="A381" s="1332"/>
      <c r="B381" s="1332"/>
      <c r="C381" s="1332"/>
      <c r="D381" s="1332"/>
      <c r="E381" s="1332"/>
      <c r="F381" s="1332"/>
      <c r="G381" s="1332"/>
      <c r="H381" s="1332"/>
      <c r="I381" s="1332"/>
      <c r="J381" s="1332"/>
      <c r="K381" s="1332"/>
      <c r="L381" s="1332"/>
      <c r="M381" s="1332"/>
      <c r="N381" s="1332"/>
      <c r="O381" s="1332"/>
    </row>
    <row r="382">
      <c r="A382" s="1332"/>
      <c r="B382" s="1332"/>
      <c r="C382" s="1332"/>
      <c r="D382" s="1332"/>
      <c r="E382" s="1332"/>
      <c r="F382" s="1332"/>
      <c r="G382" s="1332"/>
      <c r="H382" s="1332"/>
      <c r="I382" s="1332"/>
      <c r="J382" s="1332"/>
      <c r="K382" s="1332"/>
      <c r="L382" s="1332"/>
      <c r="M382" s="1332"/>
      <c r="N382" s="1332"/>
      <c r="O382" s="1332"/>
    </row>
    <row r="383">
      <c r="A383" s="1332"/>
      <c r="B383" s="1332"/>
      <c r="C383" s="1332"/>
      <c r="D383" s="1332"/>
      <c r="E383" s="1332"/>
      <c r="F383" s="1332"/>
      <c r="G383" s="1332"/>
      <c r="H383" s="1332"/>
      <c r="I383" s="1332"/>
      <c r="J383" s="1332"/>
      <c r="K383" s="1332"/>
      <c r="L383" s="1332"/>
      <c r="M383" s="1332"/>
      <c r="N383" s="1332"/>
      <c r="O383" s="1332"/>
    </row>
    <row r="384">
      <c r="A384" s="1332"/>
      <c r="B384" s="1332"/>
      <c r="C384" s="1332"/>
      <c r="D384" s="1332"/>
      <c r="E384" s="1332"/>
      <c r="F384" s="1332"/>
      <c r="G384" s="1332"/>
      <c r="H384" s="1332"/>
      <c r="I384" s="1332"/>
      <c r="J384" s="1332"/>
      <c r="K384" s="1332"/>
      <c r="L384" s="1332"/>
      <c r="M384" s="1332"/>
      <c r="N384" s="1332"/>
      <c r="O384" s="1332"/>
    </row>
    <row r="385">
      <c r="A385" s="1332"/>
      <c r="B385" s="1332"/>
      <c r="C385" s="1332"/>
      <c r="D385" s="1332"/>
      <c r="E385" s="1332"/>
      <c r="F385" s="1332"/>
      <c r="G385" s="1332"/>
      <c r="H385" s="1332"/>
      <c r="I385" s="1332"/>
      <c r="J385" s="1332"/>
      <c r="K385" s="1332"/>
      <c r="L385" s="1332"/>
      <c r="M385" s="1332"/>
      <c r="N385" s="1332"/>
      <c r="O385" s="1332"/>
    </row>
    <row r="386">
      <c r="A386" s="1332"/>
      <c r="B386" s="1332"/>
      <c r="C386" s="1332"/>
      <c r="D386" s="1332"/>
      <c r="E386" s="1332"/>
      <c r="F386" s="1332"/>
      <c r="G386" s="1332"/>
      <c r="H386" s="1332"/>
      <c r="I386" s="1332"/>
      <c r="J386" s="1332"/>
      <c r="K386" s="1332"/>
      <c r="L386" s="1332"/>
      <c r="M386" s="1332"/>
      <c r="N386" s="1332"/>
      <c r="O386" s="1332"/>
    </row>
    <row r="387">
      <c r="A387" s="1332"/>
      <c r="B387" s="1332"/>
      <c r="C387" s="1332"/>
      <c r="D387" s="1332"/>
      <c r="E387" s="1332"/>
      <c r="F387" s="1332"/>
      <c r="G387" s="1332"/>
      <c r="H387" s="1332"/>
      <c r="I387" s="1332"/>
      <c r="J387" s="1332"/>
      <c r="K387" s="1332"/>
      <c r="L387" s="1332"/>
      <c r="M387" s="1332"/>
      <c r="N387" s="1332"/>
      <c r="O387" s="1332"/>
    </row>
    <row r="388">
      <c r="A388" s="1332"/>
      <c r="B388" s="1332"/>
      <c r="C388" s="1332"/>
      <c r="D388" s="1332"/>
      <c r="E388" s="1332"/>
      <c r="F388" s="1332"/>
      <c r="G388" s="1332"/>
      <c r="H388" s="1332"/>
      <c r="I388" s="1332"/>
      <c r="J388" s="1332"/>
      <c r="K388" s="1332"/>
      <c r="L388" s="1332"/>
      <c r="M388" s="1332"/>
      <c r="N388" s="1332"/>
      <c r="O388" s="1332"/>
    </row>
    <row r="389">
      <c r="A389" s="1332"/>
      <c r="B389" s="1332"/>
      <c r="C389" s="1332"/>
      <c r="D389" s="1332"/>
      <c r="E389" s="1332"/>
      <c r="F389" s="1332"/>
      <c r="G389" s="1332"/>
      <c r="H389" s="1332"/>
      <c r="I389" s="1332"/>
      <c r="J389" s="1332"/>
      <c r="K389" s="1332"/>
      <c r="L389" s="1332"/>
      <c r="M389" s="1332"/>
      <c r="N389" s="1332"/>
      <c r="O389" s="1332"/>
    </row>
    <row r="390">
      <c r="A390" s="1332"/>
      <c r="B390" s="1332"/>
      <c r="C390" s="1332"/>
      <c r="D390" s="1332"/>
      <c r="E390" s="1332"/>
      <c r="F390" s="1332"/>
      <c r="G390" s="1332"/>
      <c r="H390" s="1332"/>
      <c r="I390" s="1332"/>
      <c r="J390" s="1332"/>
      <c r="K390" s="1332"/>
      <c r="L390" s="1332"/>
      <c r="M390" s="1332"/>
      <c r="N390" s="1332"/>
      <c r="O390" s="1332"/>
    </row>
    <row r="391">
      <c r="A391" s="1332"/>
      <c r="B391" s="1332"/>
      <c r="C391" s="1332"/>
      <c r="D391" s="1332"/>
      <c r="E391" s="1332"/>
      <c r="F391" s="1332"/>
      <c r="G391" s="1332"/>
      <c r="H391" s="1332"/>
      <c r="I391" s="1332"/>
      <c r="J391" s="1332"/>
      <c r="K391" s="1332"/>
      <c r="L391" s="1332"/>
      <c r="M391" s="1332"/>
      <c r="N391" s="1332"/>
      <c r="O391" s="1332"/>
    </row>
    <row r="392">
      <c r="A392" s="1332"/>
      <c r="B392" s="1332"/>
      <c r="C392" s="1332"/>
      <c r="D392" s="1332"/>
      <c r="E392" s="1332"/>
      <c r="F392" s="1332"/>
      <c r="G392" s="1332"/>
      <c r="H392" s="1332"/>
      <c r="I392" s="1332"/>
      <c r="J392" s="1332"/>
      <c r="K392" s="1332"/>
      <c r="L392" s="1332"/>
      <c r="M392" s="1332"/>
      <c r="N392" s="1332"/>
      <c r="O392" s="1332"/>
    </row>
    <row r="393">
      <c r="A393" s="1332"/>
      <c r="B393" s="1332"/>
      <c r="C393" s="1332"/>
      <c r="D393" s="1332"/>
      <c r="E393" s="1332"/>
      <c r="F393" s="1332"/>
      <c r="G393" s="1332"/>
      <c r="H393" s="1332"/>
      <c r="I393" s="1332"/>
      <c r="J393" s="1332"/>
      <c r="K393" s="1332"/>
      <c r="L393" s="1332"/>
      <c r="M393" s="1332"/>
      <c r="N393" s="1332"/>
      <c r="O393" s="1332"/>
    </row>
    <row r="394">
      <c r="A394" s="1332"/>
      <c r="B394" s="1332"/>
      <c r="C394" s="1332"/>
      <c r="D394" s="1332"/>
      <c r="E394" s="1332"/>
      <c r="F394" s="1332"/>
      <c r="G394" s="1332"/>
      <c r="H394" s="1332"/>
      <c r="I394" s="1332"/>
      <c r="J394" s="1332"/>
      <c r="K394" s="1332"/>
      <c r="L394" s="1332"/>
      <c r="M394" s="1332"/>
      <c r="N394" s="1332"/>
      <c r="O394" s="1332"/>
    </row>
    <row r="395">
      <c r="A395" s="1332"/>
      <c r="B395" s="1332"/>
      <c r="C395" s="1332"/>
      <c r="D395" s="1332"/>
      <c r="E395" s="1332"/>
      <c r="F395" s="1332"/>
      <c r="G395" s="1332"/>
      <c r="H395" s="1332"/>
      <c r="I395" s="1332"/>
      <c r="J395" s="1332"/>
      <c r="K395" s="1332"/>
      <c r="L395" s="1332"/>
      <c r="M395" s="1332"/>
      <c r="N395" s="1332"/>
      <c r="O395" s="1332"/>
    </row>
    <row r="396">
      <c r="A396" s="1332"/>
      <c r="B396" s="1332"/>
      <c r="C396" s="1332"/>
      <c r="D396" s="1332"/>
      <c r="E396" s="1332"/>
      <c r="F396" s="1332"/>
      <c r="G396" s="1332"/>
      <c r="H396" s="1332"/>
      <c r="I396" s="1332"/>
      <c r="J396" s="1332"/>
      <c r="K396" s="1332"/>
      <c r="L396" s="1332"/>
      <c r="M396" s="1332"/>
      <c r="N396" s="1332"/>
      <c r="O396" s="1332"/>
    </row>
    <row r="397">
      <c r="A397" s="1332"/>
      <c r="B397" s="1332"/>
      <c r="C397" s="1332"/>
      <c r="D397" s="1332"/>
      <c r="E397" s="1332"/>
      <c r="F397" s="1332"/>
      <c r="G397" s="1332"/>
      <c r="H397" s="1332"/>
      <c r="I397" s="1332"/>
      <c r="J397" s="1332"/>
      <c r="K397" s="1332"/>
      <c r="L397" s="1332"/>
      <c r="M397" s="1332"/>
      <c r="N397" s="1332"/>
      <c r="O397" s="1332"/>
    </row>
    <row r="398">
      <c r="A398" s="1332"/>
      <c r="B398" s="1332"/>
      <c r="C398" s="1332"/>
      <c r="D398" s="1332"/>
      <c r="E398" s="1332"/>
      <c r="F398" s="1332"/>
      <c r="G398" s="1332"/>
      <c r="H398" s="1332"/>
      <c r="I398" s="1332"/>
      <c r="J398" s="1332"/>
      <c r="K398" s="1332"/>
      <c r="L398" s="1332"/>
      <c r="M398" s="1332"/>
      <c r="N398" s="1332"/>
      <c r="O398" s="1332"/>
    </row>
    <row r="399">
      <c r="A399" s="1332"/>
      <c r="B399" s="1332"/>
      <c r="C399" s="1332"/>
      <c r="D399" s="1332"/>
      <c r="E399" s="1332"/>
      <c r="F399" s="1332"/>
      <c r="G399" s="1332"/>
      <c r="H399" s="1332"/>
      <c r="I399" s="1332"/>
      <c r="J399" s="1332"/>
      <c r="K399" s="1332"/>
      <c r="L399" s="1332"/>
      <c r="M399" s="1332"/>
      <c r="N399" s="1332"/>
      <c r="O399" s="1332"/>
    </row>
    <row r="400">
      <c r="A400" s="1332"/>
      <c r="B400" s="1332"/>
      <c r="C400" s="1332"/>
      <c r="D400" s="1332"/>
      <c r="E400" s="1332"/>
      <c r="F400" s="1332"/>
      <c r="G400" s="1332"/>
      <c r="H400" s="1332"/>
      <c r="I400" s="1332"/>
      <c r="J400" s="1332"/>
      <c r="K400" s="1332"/>
      <c r="L400" s="1332"/>
      <c r="M400" s="1332"/>
      <c r="N400" s="1332"/>
      <c r="O400" s="1332"/>
    </row>
    <row r="401">
      <c r="A401" s="1332"/>
      <c r="B401" s="1332"/>
      <c r="C401" s="1332"/>
      <c r="D401" s="1332"/>
      <c r="E401" s="1332"/>
      <c r="F401" s="1332"/>
      <c r="G401" s="1332"/>
      <c r="H401" s="1332"/>
      <c r="I401" s="1332"/>
      <c r="J401" s="1332"/>
      <c r="K401" s="1332"/>
      <c r="L401" s="1332"/>
      <c r="M401" s="1332"/>
      <c r="N401" s="1332"/>
      <c r="O401" s="1332"/>
    </row>
    <row r="402">
      <c r="A402" s="1332"/>
      <c r="B402" s="1332"/>
      <c r="C402" s="1332"/>
      <c r="D402" s="1332"/>
      <c r="E402" s="1332"/>
      <c r="F402" s="1332"/>
      <c r="G402" s="1332"/>
      <c r="H402" s="1332"/>
      <c r="I402" s="1332"/>
      <c r="J402" s="1332"/>
      <c r="K402" s="1332"/>
      <c r="L402" s="1332"/>
      <c r="M402" s="1332"/>
      <c r="N402" s="1332"/>
      <c r="O402" s="1332"/>
    </row>
    <row r="403">
      <c r="A403" s="1332"/>
      <c r="B403" s="1332"/>
      <c r="C403" s="1332"/>
      <c r="D403" s="1332"/>
      <c r="E403" s="1332"/>
      <c r="F403" s="1332"/>
      <c r="G403" s="1332"/>
      <c r="H403" s="1332"/>
      <c r="I403" s="1332"/>
      <c r="J403" s="1332"/>
      <c r="K403" s="1332"/>
      <c r="L403" s="1332"/>
      <c r="M403" s="1332"/>
      <c r="N403" s="1332"/>
      <c r="O403" s="1332"/>
    </row>
    <row r="404">
      <c r="A404" s="1332"/>
      <c r="B404" s="1332"/>
      <c r="C404" s="1332"/>
      <c r="D404" s="1332"/>
      <c r="E404" s="1332"/>
      <c r="F404" s="1332"/>
      <c r="G404" s="1332"/>
      <c r="H404" s="1332"/>
      <c r="I404" s="1332"/>
      <c r="J404" s="1332"/>
      <c r="K404" s="1332"/>
      <c r="L404" s="1332"/>
      <c r="M404" s="1332"/>
      <c r="N404" s="1332"/>
      <c r="O404" s="1332"/>
    </row>
    <row r="405">
      <c r="A405" s="1332"/>
      <c r="B405" s="1332"/>
      <c r="C405" s="1332"/>
      <c r="D405" s="1332"/>
      <c r="E405" s="1332"/>
      <c r="F405" s="1332"/>
      <c r="G405" s="1332"/>
      <c r="H405" s="1332"/>
      <c r="I405" s="1332"/>
      <c r="J405" s="1332"/>
      <c r="K405" s="1332"/>
      <c r="L405" s="1332"/>
      <c r="M405" s="1332"/>
      <c r="N405" s="1332"/>
      <c r="O405" s="1332"/>
    </row>
    <row r="406">
      <c r="A406" s="1332"/>
      <c r="B406" s="1332"/>
      <c r="C406" s="1332"/>
      <c r="D406" s="1332"/>
      <c r="E406" s="1332"/>
      <c r="F406" s="1332"/>
      <c r="G406" s="1332"/>
      <c r="H406" s="1332"/>
      <c r="I406" s="1332"/>
      <c r="J406" s="1332"/>
      <c r="K406" s="1332"/>
      <c r="L406" s="1332"/>
      <c r="M406" s="1332"/>
      <c r="N406" s="1332"/>
      <c r="O406" s="1332"/>
    </row>
    <row r="407">
      <c r="A407" s="1332"/>
      <c r="B407" s="1332"/>
      <c r="C407" s="1332"/>
      <c r="D407" s="1332"/>
      <c r="E407" s="1332"/>
      <c r="F407" s="1332"/>
      <c r="G407" s="1332"/>
      <c r="H407" s="1332"/>
      <c r="I407" s="1332"/>
      <c r="J407" s="1332"/>
      <c r="K407" s="1332"/>
      <c r="L407" s="1332"/>
      <c r="M407" s="1332"/>
      <c r="N407" s="1332"/>
      <c r="O407" s="1332"/>
    </row>
    <row r="408">
      <c r="A408" s="1332"/>
      <c r="B408" s="1332"/>
      <c r="C408" s="1332"/>
      <c r="D408" s="1332"/>
      <c r="E408" s="1332"/>
      <c r="F408" s="1332"/>
      <c r="G408" s="1332"/>
      <c r="H408" s="1332"/>
      <c r="I408" s="1332"/>
      <c r="J408" s="1332"/>
      <c r="K408" s="1332"/>
      <c r="L408" s="1332"/>
      <c r="M408" s="1332"/>
      <c r="N408" s="1332"/>
      <c r="O408" s="1332"/>
    </row>
    <row r="409">
      <c r="A409" s="1332"/>
      <c r="B409" s="1332"/>
      <c r="C409" s="1332"/>
      <c r="D409" s="1332"/>
      <c r="E409" s="1332"/>
      <c r="F409" s="1332"/>
      <c r="G409" s="1332"/>
      <c r="H409" s="1332"/>
      <c r="I409" s="1332"/>
      <c r="J409" s="1332"/>
      <c r="K409" s="1332"/>
      <c r="L409" s="1332"/>
      <c r="M409" s="1332"/>
      <c r="N409" s="1332"/>
      <c r="O409" s="1332"/>
    </row>
    <row r="410">
      <c r="A410" s="1332"/>
      <c r="B410" s="1332"/>
      <c r="C410" s="1332"/>
      <c r="D410" s="1332"/>
      <c r="E410" s="1332"/>
      <c r="F410" s="1332"/>
      <c r="G410" s="1332"/>
      <c r="H410" s="1332"/>
      <c r="I410" s="1332"/>
      <c r="J410" s="1332"/>
      <c r="K410" s="1332"/>
      <c r="L410" s="1332"/>
      <c r="M410" s="1332"/>
      <c r="N410" s="1332"/>
      <c r="O410" s="1332"/>
    </row>
    <row r="411">
      <c r="A411" s="1332"/>
      <c r="B411" s="1332"/>
      <c r="C411" s="1332"/>
      <c r="D411" s="1332"/>
      <c r="E411" s="1332"/>
      <c r="F411" s="1332"/>
      <c r="G411" s="1332"/>
      <c r="H411" s="1332"/>
      <c r="I411" s="1332"/>
      <c r="J411" s="1332"/>
      <c r="K411" s="1332"/>
      <c r="L411" s="1332"/>
      <c r="M411" s="1332"/>
      <c r="N411" s="1332"/>
      <c r="O411" s="1332"/>
    </row>
    <row r="412">
      <c r="A412" s="1332"/>
      <c r="B412" s="1332"/>
      <c r="C412" s="1332"/>
      <c r="D412" s="1332"/>
      <c r="E412" s="1332"/>
      <c r="F412" s="1332"/>
      <c r="G412" s="1332"/>
      <c r="H412" s="1332"/>
      <c r="I412" s="1332"/>
      <c r="J412" s="1332"/>
      <c r="K412" s="1332"/>
      <c r="L412" s="1332"/>
      <c r="M412" s="1332"/>
      <c r="N412" s="1332"/>
      <c r="O412" s="1332"/>
    </row>
    <row r="413">
      <c r="A413" s="1332"/>
      <c r="B413" s="1332"/>
      <c r="C413" s="1332"/>
      <c r="D413" s="1332"/>
      <c r="E413" s="1332"/>
      <c r="F413" s="1332"/>
      <c r="G413" s="1332"/>
      <c r="H413" s="1332"/>
      <c r="I413" s="1332"/>
      <c r="J413" s="1332"/>
      <c r="K413" s="1332"/>
      <c r="L413" s="1332"/>
      <c r="M413" s="1332"/>
      <c r="N413" s="1332"/>
      <c r="O413" s="1332"/>
    </row>
    <row r="414">
      <c r="A414" s="1332"/>
      <c r="B414" s="1332"/>
      <c r="C414" s="1332"/>
      <c r="D414" s="1332"/>
      <c r="E414" s="1332"/>
      <c r="F414" s="1332"/>
      <c r="G414" s="1332"/>
      <c r="H414" s="1332"/>
      <c r="I414" s="1332"/>
      <c r="J414" s="1332"/>
      <c r="K414" s="1332"/>
      <c r="L414" s="1332"/>
      <c r="M414" s="1332"/>
      <c r="N414" s="1332"/>
      <c r="O414" s="1332"/>
    </row>
    <row r="415">
      <c r="A415" s="1332"/>
      <c r="B415" s="1332"/>
      <c r="C415" s="1332"/>
      <c r="D415" s="1332"/>
      <c r="E415" s="1332"/>
      <c r="F415" s="1332"/>
      <c r="G415" s="1332"/>
      <c r="H415" s="1332"/>
      <c r="I415" s="1332"/>
      <c r="J415" s="1332"/>
      <c r="K415" s="1332"/>
      <c r="L415" s="1332"/>
      <c r="M415" s="1332"/>
      <c r="N415" s="1332"/>
      <c r="O415" s="1332"/>
    </row>
    <row r="416">
      <c r="A416" s="1332"/>
      <c r="B416" s="1332"/>
      <c r="C416" s="1332"/>
      <c r="D416" s="1332"/>
      <c r="E416" s="1332"/>
      <c r="F416" s="1332"/>
      <c r="G416" s="1332"/>
      <c r="H416" s="1332"/>
      <c r="I416" s="1332"/>
      <c r="J416" s="1332"/>
      <c r="K416" s="1332"/>
      <c r="L416" s="1332"/>
      <c r="M416" s="1332"/>
      <c r="N416" s="1332"/>
      <c r="O416" s="1332"/>
    </row>
    <row r="417">
      <c r="A417" s="1332"/>
      <c r="B417" s="1332"/>
      <c r="C417" s="1332"/>
      <c r="D417" s="1332"/>
      <c r="E417" s="1332"/>
      <c r="F417" s="1332"/>
      <c r="G417" s="1332"/>
      <c r="H417" s="1332"/>
      <c r="I417" s="1332"/>
      <c r="J417" s="1332"/>
      <c r="K417" s="1332"/>
      <c r="L417" s="1332"/>
      <c r="M417" s="1332"/>
      <c r="N417" s="1332"/>
      <c r="O417" s="1332"/>
    </row>
    <row r="418">
      <c r="A418" s="1332"/>
      <c r="B418" s="1332"/>
      <c r="C418" s="1332"/>
      <c r="D418" s="1332"/>
      <c r="E418" s="1332"/>
      <c r="F418" s="1332"/>
      <c r="G418" s="1332"/>
      <c r="H418" s="1332"/>
      <c r="I418" s="1332"/>
      <c r="J418" s="1332"/>
      <c r="K418" s="1332"/>
      <c r="L418" s="1332"/>
      <c r="M418" s="1332"/>
      <c r="N418" s="1332"/>
      <c r="O418" s="1332"/>
    </row>
    <row r="419">
      <c r="A419" s="1332"/>
      <c r="B419" s="1332"/>
      <c r="C419" s="1332"/>
      <c r="D419" s="1332"/>
      <c r="E419" s="1332"/>
      <c r="F419" s="1332"/>
      <c r="G419" s="1332"/>
      <c r="H419" s="1332"/>
      <c r="I419" s="1332"/>
      <c r="J419" s="1332"/>
      <c r="K419" s="1332"/>
      <c r="L419" s="1332"/>
      <c r="M419" s="1332"/>
      <c r="N419" s="1332"/>
      <c r="O419" s="1332"/>
    </row>
    <row r="420">
      <c r="A420" s="1332"/>
      <c r="B420" s="1332"/>
      <c r="C420" s="1332"/>
      <c r="D420" s="1332"/>
      <c r="E420" s="1332"/>
      <c r="F420" s="1332"/>
      <c r="G420" s="1332"/>
      <c r="H420" s="1332"/>
      <c r="I420" s="1332"/>
      <c r="J420" s="1332"/>
      <c r="K420" s="1332"/>
      <c r="L420" s="1332"/>
      <c r="M420" s="1332"/>
      <c r="N420" s="1332"/>
      <c r="O420" s="1332"/>
    </row>
    <row r="421">
      <c r="A421" s="1332"/>
      <c r="B421" s="1332"/>
      <c r="C421" s="1332"/>
      <c r="D421" s="1332"/>
      <c r="E421" s="1332"/>
      <c r="F421" s="1332"/>
      <c r="G421" s="1332"/>
      <c r="H421" s="1332"/>
      <c r="I421" s="1332"/>
      <c r="J421" s="1332"/>
      <c r="K421" s="1332"/>
      <c r="L421" s="1332"/>
      <c r="M421" s="1332"/>
      <c r="N421" s="1332"/>
      <c r="O421" s="1332"/>
    </row>
    <row r="422">
      <c r="A422" s="1332"/>
      <c r="B422" s="1332"/>
      <c r="C422" s="1332"/>
      <c r="D422" s="1332"/>
      <c r="E422" s="1332"/>
      <c r="F422" s="1332"/>
      <c r="G422" s="1332"/>
      <c r="H422" s="1332"/>
      <c r="I422" s="1332"/>
      <c r="J422" s="1332"/>
      <c r="K422" s="1332"/>
      <c r="L422" s="1332"/>
      <c r="M422" s="1332"/>
      <c r="N422" s="1332"/>
      <c r="O422" s="1332"/>
    </row>
    <row r="423">
      <c r="A423" s="1332"/>
      <c r="B423" s="1332"/>
      <c r="C423" s="1332"/>
      <c r="D423" s="1332"/>
      <c r="E423" s="1332"/>
      <c r="F423" s="1332"/>
      <c r="G423" s="1332"/>
      <c r="H423" s="1332"/>
      <c r="I423" s="1332"/>
      <c r="J423" s="1332"/>
      <c r="K423" s="1332"/>
      <c r="L423" s="1332"/>
      <c r="M423" s="1332"/>
      <c r="N423" s="1332"/>
      <c r="O423" s="1332"/>
    </row>
    <row r="424">
      <c r="A424" s="1332"/>
      <c r="B424" s="1332"/>
      <c r="C424" s="1332"/>
      <c r="D424" s="1332"/>
      <c r="E424" s="1332"/>
      <c r="F424" s="1332"/>
      <c r="G424" s="1332"/>
      <c r="H424" s="1332"/>
      <c r="I424" s="1332"/>
      <c r="J424" s="1332"/>
      <c r="K424" s="1332"/>
      <c r="L424" s="1332"/>
      <c r="M424" s="1332"/>
      <c r="N424" s="1332"/>
      <c r="O424" s="1332"/>
    </row>
    <row r="425">
      <c r="A425" s="1332"/>
      <c r="B425" s="1332"/>
      <c r="C425" s="1332"/>
      <c r="D425" s="1332"/>
      <c r="E425" s="1332"/>
      <c r="F425" s="1332"/>
      <c r="G425" s="1332"/>
      <c r="H425" s="1332"/>
      <c r="I425" s="1332"/>
      <c r="J425" s="1332"/>
      <c r="K425" s="1332"/>
      <c r="L425" s="1332"/>
      <c r="M425" s="1332"/>
      <c r="N425" s="1332"/>
      <c r="O425" s="1332"/>
    </row>
    <row r="426">
      <c r="A426" s="1332"/>
      <c r="B426" s="1332"/>
      <c r="C426" s="1332"/>
      <c r="D426" s="1332"/>
      <c r="E426" s="1332"/>
      <c r="F426" s="1332"/>
      <c r="G426" s="1332"/>
      <c r="H426" s="1332"/>
      <c r="I426" s="1332"/>
      <c r="J426" s="1332"/>
      <c r="K426" s="1332"/>
      <c r="L426" s="1332"/>
      <c r="M426" s="1332"/>
      <c r="N426" s="1332"/>
      <c r="O426" s="1332"/>
    </row>
    <row r="427">
      <c r="A427" s="1332"/>
      <c r="B427" s="1332"/>
      <c r="C427" s="1332"/>
      <c r="D427" s="1332"/>
      <c r="E427" s="1332"/>
      <c r="F427" s="1332"/>
      <c r="G427" s="1332"/>
      <c r="H427" s="1332"/>
      <c r="I427" s="1332"/>
      <c r="J427" s="1332"/>
      <c r="K427" s="1332"/>
      <c r="L427" s="1332"/>
      <c r="M427" s="1332"/>
      <c r="N427" s="1332"/>
      <c r="O427" s="1332"/>
    </row>
    <row r="428">
      <c r="A428" s="1332"/>
      <c r="B428" s="1332"/>
      <c r="C428" s="1332"/>
      <c r="D428" s="1332"/>
      <c r="E428" s="1332"/>
      <c r="F428" s="1332"/>
      <c r="G428" s="1332"/>
      <c r="H428" s="1332"/>
      <c r="I428" s="1332"/>
      <c r="J428" s="1332"/>
      <c r="K428" s="1332"/>
      <c r="L428" s="1332"/>
      <c r="M428" s="1332"/>
      <c r="N428" s="1332"/>
      <c r="O428" s="1332"/>
    </row>
    <row r="429">
      <c r="A429" s="1332"/>
      <c r="B429" s="1332"/>
      <c r="C429" s="1332"/>
      <c r="D429" s="1332"/>
      <c r="E429" s="1332"/>
      <c r="F429" s="1332"/>
      <c r="G429" s="1332"/>
      <c r="H429" s="1332"/>
      <c r="I429" s="1332"/>
      <c r="J429" s="1332"/>
      <c r="K429" s="1332"/>
      <c r="L429" s="1332"/>
      <c r="M429" s="1332"/>
      <c r="N429" s="1332"/>
      <c r="O429" s="1332"/>
    </row>
    <row r="430">
      <c r="A430" s="1332"/>
      <c r="B430" s="1332"/>
      <c r="C430" s="1332"/>
      <c r="D430" s="1332"/>
      <c r="E430" s="1332"/>
      <c r="F430" s="1332"/>
      <c r="G430" s="1332"/>
      <c r="H430" s="1332"/>
      <c r="I430" s="1332"/>
      <c r="J430" s="1332"/>
      <c r="K430" s="1332"/>
      <c r="L430" s="1332"/>
      <c r="M430" s="1332"/>
      <c r="N430" s="1332"/>
      <c r="O430" s="1332"/>
    </row>
    <row r="431">
      <c r="A431" s="1332"/>
      <c r="B431" s="1332"/>
      <c r="C431" s="1332"/>
      <c r="D431" s="1332"/>
      <c r="E431" s="1332"/>
      <c r="F431" s="1332"/>
      <c r="G431" s="1332"/>
      <c r="H431" s="1332"/>
      <c r="I431" s="1332"/>
      <c r="J431" s="1332"/>
      <c r="K431" s="1332"/>
      <c r="L431" s="1332"/>
      <c r="M431" s="1332"/>
      <c r="N431" s="1332"/>
      <c r="O431" s="1332"/>
    </row>
    <row r="432">
      <c r="A432" s="1332"/>
      <c r="B432" s="1332"/>
      <c r="C432" s="1332"/>
      <c r="D432" s="1332"/>
      <c r="E432" s="1332"/>
      <c r="F432" s="1332"/>
      <c r="G432" s="1332"/>
      <c r="H432" s="1332"/>
      <c r="I432" s="1332"/>
      <c r="J432" s="1332"/>
      <c r="K432" s="1332"/>
      <c r="L432" s="1332"/>
      <c r="M432" s="1332"/>
      <c r="N432" s="1332"/>
      <c r="O432" s="1332"/>
    </row>
    <row r="433">
      <c r="A433" s="1332"/>
      <c r="B433" s="1332"/>
      <c r="C433" s="1332"/>
      <c r="D433" s="1332"/>
      <c r="E433" s="1332"/>
      <c r="F433" s="1332"/>
      <c r="G433" s="1332"/>
      <c r="H433" s="1332"/>
      <c r="I433" s="1332"/>
      <c r="J433" s="1332"/>
      <c r="K433" s="1332"/>
      <c r="L433" s="1332"/>
      <c r="M433" s="1332"/>
      <c r="N433" s="1332"/>
      <c r="O433" s="1332"/>
    </row>
    <row r="434">
      <c r="A434" s="1332"/>
      <c r="B434" s="1332"/>
      <c r="C434" s="1332"/>
      <c r="D434" s="1332"/>
      <c r="E434" s="1332"/>
      <c r="F434" s="1332"/>
      <c r="G434" s="1332"/>
      <c r="H434" s="1332"/>
      <c r="I434" s="1332"/>
      <c r="J434" s="1332"/>
      <c r="K434" s="1332"/>
      <c r="L434" s="1332"/>
      <c r="M434" s="1332"/>
      <c r="N434" s="1332"/>
      <c r="O434" s="1332"/>
    </row>
    <row r="435">
      <c r="A435" s="1332"/>
      <c r="B435" s="1332"/>
      <c r="C435" s="1332"/>
      <c r="D435" s="1332"/>
      <c r="E435" s="1332"/>
      <c r="F435" s="1332"/>
      <c r="G435" s="1332"/>
      <c r="H435" s="1332"/>
      <c r="I435" s="1332"/>
      <c r="J435" s="1332"/>
      <c r="K435" s="1332"/>
      <c r="L435" s="1332"/>
      <c r="M435" s="1332"/>
      <c r="N435" s="1332"/>
      <c r="O435" s="1332"/>
    </row>
    <row r="436">
      <c r="A436" s="1332"/>
      <c r="B436" s="1332"/>
      <c r="C436" s="1332"/>
      <c r="D436" s="1332"/>
      <c r="E436" s="1332"/>
      <c r="F436" s="1332"/>
      <c r="G436" s="1332"/>
      <c r="H436" s="1332"/>
      <c r="I436" s="1332"/>
      <c r="J436" s="1332"/>
      <c r="K436" s="1332"/>
      <c r="L436" s="1332"/>
      <c r="M436" s="1332"/>
      <c r="N436" s="1332"/>
      <c r="O436" s="1332"/>
    </row>
    <row r="437">
      <c r="A437" s="1332"/>
      <c r="B437" s="1332"/>
      <c r="C437" s="1332"/>
      <c r="D437" s="1332"/>
      <c r="E437" s="1332"/>
      <c r="F437" s="1332"/>
      <c r="G437" s="1332"/>
      <c r="H437" s="1332"/>
      <c r="I437" s="1332"/>
      <c r="J437" s="1332"/>
      <c r="K437" s="1332"/>
      <c r="L437" s="1332"/>
      <c r="M437" s="1332"/>
      <c r="N437" s="1332"/>
      <c r="O437" s="1332"/>
    </row>
    <row r="438">
      <c r="A438" s="1332"/>
      <c r="B438" s="1332"/>
      <c r="C438" s="1332"/>
      <c r="D438" s="1332"/>
      <c r="E438" s="1332"/>
      <c r="F438" s="1332"/>
      <c r="G438" s="1332"/>
      <c r="H438" s="1332"/>
      <c r="I438" s="1332"/>
      <c r="J438" s="1332"/>
      <c r="K438" s="1332"/>
      <c r="L438" s="1332"/>
      <c r="M438" s="1332"/>
      <c r="N438" s="1332"/>
      <c r="O438" s="1332"/>
    </row>
    <row r="439">
      <c r="A439" s="1332"/>
      <c r="B439" s="1332"/>
      <c r="C439" s="1332"/>
      <c r="D439" s="1332"/>
      <c r="E439" s="1332"/>
      <c r="F439" s="1332"/>
      <c r="G439" s="1332"/>
      <c r="H439" s="1332"/>
      <c r="I439" s="1332"/>
      <c r="J439" s="1332"/>
      <c r="K439" s="1332"/>
      <c r="L439" s="1332"/>
      <c r="M439" s="1332"/>
      <c r="N439" s="1332"/>
      <c r="O439" s="1332"/>
    </row>
    <row r="440">
      <c r="A440" s="1332"/>
      <c r="B440" s="1332"/>
      <c r="C440" s="1332"/>
      <c r="D440" s="1332"/>
      <c r="E440" s="1332"/>
      <c r="F440" s="1332"/>
      <c r="G440" s="1332"/>
      <c r="H440" s="1332"/>
      <c r="I440" s="1332"/>
      <c r="J440" s="1332"/>
      <c r="K440" s="1332"/>
      <c r="L440" s="1332"/>
      <c r="M440" s="1332"/>
      <c r="N440" s="1332"/>
      <c r="O440" s="1332"/>
    </row>
    <row r="441">
      <c r="A441" s="1332"/>
      <c r="B441" s="1332"/>
      <c r="C441" s="1332"/>
      <c r="D441" s="1332"/>
      <c r="E441" s="1332"/>
      <c r="F441" s="1332"/>
      <c r="G441" s="1332"/>
      <c r="H441" s="1332"/>
      <c r="I441" s="1332"/>
      <c r="J441" s="1332"/>
      <c r="K441" s="1332"/>
      <c r="L441" s="1332"/>
      <c r="M441" s="1332"/>
      <c r="N441" s="1332"/>
      <c r="O441" s="1332"/>
    </row>
    <row r="442">
      <c r="A442" s="1332"/>
      <c r="B442" s="1332"/>
      <c r="C442" s="1332"/>
      <c r="D442" s="1332"/>
      <c r="E442" s="1332"/>
      <c r="F442" s="1332"/>
      <c r="G442" s="1332"/>
      <c r="H442" s="1332"/>
      <c r="I442" s="1332"/>
      <c r="J442" s="1332"/>
      <c r="K442" s="1332"/>
      <c r="L442" s="1332"/>
      <c r="M442" s="1332"/>
      <c r="N442" s="1332"/>
      <c r="O442" s="1332"/>
    </row>
    <row r="443">
      <c r="A443" s="1332"/>
      <c r="B443" s="1332"/>
      <c r="C443" s="1332"/>
      <c r="D443" s="1332"/>
      <c r="E443" s="1332"/>
      <c r="F443" s="1332"/>
      <c r="G443" s="1332"/>
      <c r="H443" s="1332"/>
      <c r="I443" s="1332"/>
      <c r="J443" s="1332"/>
      <c r="K443" s="1332"/>
      <c r="L443" s="1332"/>
      <c r="M443" s="1332"/>
      <c r="N443" s="1332"/>
      <c r="O443" s="1332"/>
    </row>
    <row r="444">
      <c r="A444" s="1332"/>
      <c r="B444" s="1332"/>
      <c r="C444" s="1332"/>
      <c r="D444" s="1332"/>
      <c r="E444" s="1332"/>
      <c r="F444" s="1332"/>
      <c r="G444" s="1332"/>
      <c r="H444" s="1332"/>
      <c r="I444" s="1332"/>
      <c r="J444" s="1332"/>
      <c r="K444" s="1332"/>
      <c r="L444" s="1332"/>
      <c r="M444" s="1332"/>
      <c r="N444" s="1332"/>
      <c r="O444" s="1332"/>
    </row>
    <row r="445">
      <c r="A445" s="1332"/>
      <c r="B445" s="1332"/>
      <c r="C445" s="1332"/>
      <c r="D445" s="1332"/>
      <c r="E445" s="1332"/>
      <c r="F445" s="1332"/>
      <c r="G445" s="1332"/>
      <c r="H445" s="1332"/>
      <c r="I445" s="1332"/>
      <c r="J445" s="1332"/>
      <c r="K445" s="1332"/>
      <c r="L445" s="1332"/>
      <c r="M445" s="1332"/>
      <c r="N445" s="1332"/>
      <c r="O445" s="1332"/>
    </row>
    <row r="446">
      <c r="A446" s="1332"/>
      <c r="B446" s="1332"/>
      <c r="C446" s="1332"/>
      <c r="D446" s="1332"/>
      <c r="E446" s="1332"/>
      <c r="F446" s="1332"/>
      <c r="G446" s="1332"/>
      <c r="H446" s="1332"/>
      <c r="I446" s="1332"/>
      <c r="J446" s="1332"/>
      <c r="K446" s="1332"/>
      <c r="L446" s="1332"/>
      <c r="M446" s="1332"/>
      <c r="N446" s="1332"/>
      <c r="O446" s="1332"/>
    </row>
    <row r="447">
      <c r="A447" s="1332"/>
      <c r="B447" s="1332"/>
      <c r="C447" s="1332"/>
      <c r="D447" s="1332"/>
      <c r="E447" s="1332"/>
      <c r="F447" s="1332"/>
      <c r="G447" s="1332"/>
      <c r="H447" s="1332"/>
      <c r="I447" s="1332"/>
      <c r="J447" s="1332"/>
      <c r="K447" s="1332"/>
      <c r="L447" s="1332"/>
      <c r="M447" s="1332"/>
      <c r="N447" s="1332"/>
      <c r="O447" s="1332"/>
    </row>
    <row r="448">
      <c r="A448" s="1332"/>
      <c r="B448" s="1332"/>
      <c r="C448" s="1332"/>
      <c r="D448" s="1332"/>
      <c r="E448" s="1332"/>
      <c r="F448" s="1332"/>
      <c r="G448" s="1332"/>
      <c r="H448" s="1332"/>
      <c r="I448" s="1332"/>
      <c r="J448" s="1332"/>
      <c r="K448" s="1332"/>
      <c r="L448" s="1332"/>
      <c r="M448" s="1332"/>
      <c r="N448" s="1332"/>
      <c r="O448" s="1332"/>
    </row>
    <row r="449">
      <c r="A449" s="1332"/>
      <c r="B449" s="1332"/>
      <c r="C449" s="1332"/>
      <c r="D449" s="1332"/>
      <c r="E449" s="1332"/>
      <c r="F449" s="1332"/>
      <c r="G449" s="1332"/>
      <c r="H449" s="1332"/>
      <c r="I449" s="1332"/>
      <c r="J449" s="1332"/>
      <c r="K449" s="1332"/>
      <c r="L449" s="1332"/>
      <c r="M449" s="1332"/>
      <c r="N449" s="1332"/>
      <c r="O449" s="1332"/>
    </row>
    <row r="450">
      <c r="A450" s="1332"/>
      <c r="B450" s="1332"/>
      <c r="C450" s="1332"/>
      <c r="D450" s="1332"/>
      <c r="E450" s="1332"/>
      <c r="F450" s="1332"/>
      <c r="G450" s="1332"/>
      <c r="H450" s="1332"/>
      <c r="I450" s="1332"/>
      <c r="J450" s="1332"/>
      <c r="K450" s="1332"/>
      <c r="L450" s="1332"/>
      <c r="M450" s="1332"/>
      <c r="N450" s="1332"/>
      <c r="O450" s="1332"/>
    </row>
    <row r="451">
      <c r="A451" s="1332"/>
      <c r="B451" s="1332"/>
      <c r="C451" s="1332"/>
      <c r="D451" s="1332"/>
      <c r="E451" s="1332"/>
      <c r="F451" s="1332"/>
      <c r="G451" s="1332"/>
      <c r="H451" s="1332"/>
      <c r="I451" s="1332"/>
      <c r="J451" s="1332"/>
      <c r="K451" s="1332"/>
      <c r="L451" s="1332"/>
      <c r="M451" s="1332"/>
      <c r="N451" s="1332"/>
      <c r="O451" s="1332"/>
    </row>
    <row r="452">
      <c r="A452" s="1332"/>
      <c r="B452" s="1332"/>
      <c r="C452" s="1332"/>
      <c r="D452" s="1332"/>
      <c r="E452" s="1332"/>
      <c r="F452" s="1332"/>
      <c r="G452" s="1332"/>
      <c r="H452" s="1332"/>
      <c r="I452" s="1332"/>
      <c r="J452" s="1332"/>
      <c r="K452" s="1332"/>
      <c r="L452" s="1332"/>
      <c r="M452" s="1332"/>
      <c r="N452" s="1332"/>
      <c r="O452" s="1332"/>
    </row>
    <row r="453">
      <c r="A453" s="1332"/>
      <c r="B453" s="1332"/>
      <c r="C453" s="1332"/>
      <c r="D453" s="1332"/>
      <c r="E453" s="1332"/>
      <c r="F453" s="1332"/>
      <c r="G453" s="1332"/>
      <c r="H453" s="1332"/>
      <c r="I453" s="1332"/>
      <c r="J453" s="1332"/>
      <c r="K453" s="1332"/>
      <c r="L453" s="1332"/>
      <c r="M453" s="1332"/>
      <c r="N453" s="1332"/>
      <c r="O453" s="1332"/>
    </row>
    <row r="454">
      <c r="A454" s="1332"/>
      <c r="B454" s="1332"/>
      <c r="C454" s="1332"/>
      <c r="D454" s="1332"/>
      <c r="E454" s="1332"/>
      <c r="F454" s="1332"/>
      <c r="G454" s="1332"/>
      <c r="H454" s="1332"/>
      <c r="I454" s="1332"/>
      <c r="J454" s="1332"/>
      <c r="K454" s="1332"/>
      <c r="L454" s="1332"/>
      <c r="M454" s="1332"/>
      <c r="N454" s="1332"/>
      <c r="O454" s="1332"/>
    </row>
    <row r="455">
      <c r="A455" s="1332"/>
      <c r="B455" s="1332"/>
      <c r="C455" s="1332"/>
      <c r="D455" s="1332"/>
      <c r="E455" s="1332"/>
      <c r="F455" s="1332"/>
      <c r="G455" s="1332"/>
      <c r="H455" s="1332"/>
      <c r="I455" s="1332"/>
      <c r="J455" s="1332"/>
      <c r="K455" s="1332"/>
      <c r="L455" s="1332"/>
      <c r="M455" s="1332"/>
      <c r="N455" s="1332"/>
      <c r="O455" s="1332"/>
    </row>
    <row r="456">
      <c r="A456" s="1332"/>
      <c r="B456" s="1332"/>
      <c r="C456" s="1332"/>
      <c r="D456" s="1332"/>
      <c r="E456" s="1332"/>
      <c r="F456" s="1332"/>
      <c r="G456" s="1332"/>
      <c r="H456" s="1332"/>
      <c r="I456" s="1332"/>
      <c r="J456" s="1332"/>
      <c r="K456" s="1332"/>
      <c r="L456" s="1332"/>
      <c r="M456" s="1332"/>
      <c r="N456" s="1332"/>
      <c r="O456" s="1332"/>
    </row>
    <row r="457">
      <c r="A457" s="1332"/>
      <c r="B457" s="1332"/>
      <c r="C457" s="1332"/>
      <c r="D457" s="1332"/>
      <c r="E457" s="1332"/>
      <c r="F457" s="1332"/>
      <c r="G457" s="1332"/>
      <c r="H457" s="1332"/>
      <c r="I457" s="1332"/>
      <c r="J457" s="1332"/>
      <c r="K457" s="1332"/>
      <c r="L457" s="1332"/>
      <c r="M457" s="1332"/>
      <c r="N457" s="1332"/>
      <c r="O457" s="1332"/>
    </row>
    <row r="458">
      <c r="A458" s="1332"/>
      <c r="B458" s="1332"/>
      <c r="C458" s="1332"/>
      <c r="D458" s="1332"/>
      <c r="E458" s="1332"/>
      <c r="F458" s="1332"/>
      <c r="G458" s="1332"/>
      <c r="H458" s="1332"/>
      <c r="I458" s="1332"/>
      <c r="J458" s="1332"/>
      <c r="K458" s="1332"/>
      <c r="L458" s="1332"/>
      <c r="M458" s="1332"/>
      <c r="N458" s="1332"/>
      <c r="O458" s="1332"/>
    </row>
    <row r="459">
      <c r="A459" s="1332"/>
      <c r="B459" s="1332"/>
      <c r="C459" s="1332"/>
      <c r="D459" s="1332"/>
      <c r="E459" s="1332"/>
      <c r="F459" s="1332"/>
      <c r="G459" s="1332"/>
      <c r="H459" s="1332"/>
      <c r="I459" s="1332"/>
      <c r="J459" s="1332"/>
      <c r="K459" s="1332"/>
      <c r="L459" s="1332"/>
      <c r="M459" s="1332"/>
      <c r="N459" s="1332"/>
      <c r="O459" s="1332"/>
    </row>
    <row r="460">
      <c r="A460" s="1332"/>
      <c r="B460" s="1332"/>
      <c r="C460" s="1332"/>
      <c r="D460" s="1332"/>
      <c r="E460" s="1332"/>
      <c r="F460" s="1332"/>
      <c r="G460" s="1332"/>
      <c r="H460" s="1332"/>
      <c r="I460" s="1332"/>
      <c r="J460" s="1332"/>
      <c r="K460" s="1332"/>
      <c r="L460" s="1332"/>
      <c r="M460" s="1332"/>
      <c r="N460" s="1332"/>
      <c r="O460" s="1332"/>
    </row>
    <row r="461">
      <c r="A461" s="1332"/>
      <c r="B461" s="1332"/>
      <c r="C461" s="1332"/>
      <c r="D461" s="1332"/>
      <c r="E461" s="1332"/>
      <c r="F461" s="1332"/>
      <c r="G461" s="1332"/>
      <c r="H461" s="1332"/>
      <c r="I461" s="1332"/>
      <c r="J461" s="1332"/>
      <c r="K461" s="1332"/>
      <c r="L461" s="1332"/>
      <c r="M461" s="1332"/>
      <c r="N461" s="1332"/>
      <c r="O461" s="1332"/>
    </row>
    <row r="462">
      <c r="A462" s="1332"/>
      <c r="B462" s="1332"/>
      <c r="C462" s="1332"/>
      <c r="D462" s="1332"/>
      <c r="E462" s="1332"/>
      <c r="F462" s="1332"/>
      <c r="G462" s="1332"/>
      <c r="H462" s="1332"/>
      <c r="I462" s="1332"/>
      <c r="J462" s="1332"/>
      <c r="K462" s="1332"/>
      <c r="L462" s="1332"/>
      <c r="M462" s="1332"/>
      <c r="N462" s="1332"/>
      <c r="O462" s="1332"/>
    </row>
    <row r="463">
      <c r="A463" s="1332"/>
      <c r="B463" s="1332"/>
      <c r="C463" s="1332"/>
      <c r="D463" s="1332"/>
      <c r="E463" s="1332"/>
      <c r="F463" s="1332"/>
      <c r="G463" s="1332"/>
      <c r="H463" s="1332"/>
      <c r="I463" s="1332"/>
      <c r="J463" s="1332"/>
      <c r="K463" s="1332"/>
      <c r="L463" s="1332"/>
      <c r="M463" s="1332"/>
      <c r="N463" s="1332"/>
      <c r="O463" s="1332"/>
    </row>
    <row r="464">
      <c r="A464" s="1332"/>
      <c r="B464" s="1332"/>
      <c r="C464" s="1332"/>
      <c r="D464" s="1332"/>
      <c r="E464" s="1332"/>
      <c r="F464" s="1332"/>
      <c r="G464" s="1332"/>
      <c r="H464" s="1332"/>
      <c r="I464" s="1332"/>
      <c r="J464" s="1332"/>
      <c r="K464" s="1332"/>
      <c r="L464" s="1332"/>
      <c r="M464" s="1332"/>
      <c r="N464" s="1332"/>
      <c r="O464" s="1332"/>
    </row>
    <row r="465">
      <c r="A465" s="1332"/>
      <c r="B465" s="1332"/>
      <c r="C465" s="1332"/>
      <c r="D465" s="1332"/>
      <c r="E465" s="1332"/>
      <c r="F465" s="1332"/>
      <c r="G465" s="1332"/>
      <c r="H465" s="1332"/>
      <c r="I465" s="1332"/>
      <c r="J465" s="1332"/>
      <c r="K465" s="1332"/>
      <c r="L465" s="1332"/>
      <c r="M465" s="1332"/>
      <c r="N465" s="1332"/>
      <c r="O465" s="1332"/>
    </row>
    <row r="466">
      <c r="A466" s="1332"/>
      <c r="B466" s="1332"/>
      <c r="C466" s="1332"/>
      <c r="D466" s="1332"/>
      <c r="E466" s="1332"/>
      <c r="F466" s="1332"/>
      <c r="G466" s="1332"/>
      <c r="H466" s="1332"/>
      <c r="I466" s="1332"/>
      <c r="J466" s="1332"/>
      <c r="K466" s="1332"/>
      <c r="L466" s="1332"/>
      <c r="M466" s="1332"/>
      <c r="N466" s="1332"/>
      <c r="O466" s="1332"/>
    </row>
    <row r="467">
      <c r="A467" s="1332"/>
      <c r="B467" s="1332"/>
      <c r="C467" s="1332"/>
      <c r="D467" s="1332"/>
      <c r="E467" s="1332"/>
      <c r="F467" s="1332"/>
      <c r="G467" s="1332"/>
      <c r="H467" s="1332"/>
      <c r="I467" s="1332"/>
      <c r="J467" s="1332"/>
      <c r="K467" s="1332"/>
      <c r="L467" s="1332"/>
      <c r="M467" s="1332"/>
      <c r="N467" s="1332"/>
      <c r="O467" s="1332"/>
    </row>
    <row r="468">
      <c r="A468" s="1332"/>
      <c r="B468" s="1332"/>
      <c r="C468" s="1332"/>
      <c r="D468" s="1332"/>
      <c r="E468" s="1332"/>
      <c r="F468" s="1332"/>
      <c r="G468" s="1332"/>
      <c r="H468" s="1332"/>
      <c r="I468" s="1332"/>
      <c r="J468" s="1332"/>
      <c r="K468" s="1332"/>
      <c r="L468" s="1332"/>
      <c r="M468" s="1332"/>
      <c r="N468" s="1332"/>
      <c r="O468" s="1332"/>
    </row>
    <row r="469">
      <c r="A469" s="1332"/>
      <c r="B469" s="1332"/>
      <c r="C469" s="1332"/>
      <c r="D469" s="1332"/>
      <c r="E469" s="1332"/>
      <c r="F469" s="1332"/>
      <c r="G469" s="1332"/>
      <c r="H469" s="1332"/>
      <c r="I469" s="1332"/>
      <c r="J469" s="1332"/>
      <c r="K469" s="1332"/>
      <c r="L469" s="1332"/>
      <c r="M469" s="1332"/>
      <c r="N469" s="1332"/>
      <c r="O469" s="1332"/>
    </row>
    <row r="470">
      <c r="A470" s="1332"/>
      <c r="B470" s="1332"/>
      <c r="C470" s="1332"/>
      <c r="D470" s="1332"/>
      <c r="E470" s="1332"/>
      <c r="F470" s="1332"/>
      <c r="G470" s="1332"/>
      <c r="H470" s="1332"/>
      <c r="I470" s="1332"/>
      <c r="J470" s="1332"/>
      <c r="K470" s="1332"/>
      <c r="L470" s="1332"/>
      <c r="M470" s="1332"/>
      <c r="N470" s="1332"/>
      <c r="O470" s="1332"/>
    </row>
    <row r="471">
      <c r="A471" s="1332"/>
      <c r="B471" s="1332"/>
      <c r="C471" s="1332"/>
      <c r="D471" s="1332"/>
      <c r="E471" s="1332"/>
      <c r="F471" s="1332"/>
      <c r="G471" s="1332"/>
      <c r="H471" s="1332"/>
      <c r="I471" s="1332"/>
      <c r="J471" s="1332"/>
      <c r="K471" s="1332"/>
      <c r="L471" s="1332"/>
      <c r="M471" s="1332"/>
      <c r="N471" s="1332"/>
      <c r="O471" s="1332"/>
    </row>
    <row r="472">
      <c r="A472" s="1332"/>
      <c r="B472" s="1332"/>
      <c r="C472" s="1332"/>
      <c r="D472" s="1332"/>
      <c r="E472" s="1332"/>
      <c r="F472" s="1332"/>
      <c r="G472" s="1332"/>
      <c r="H472" s="1332"/>
      <c r="I472" s="1332"/>
      <c r="J472" s="1332"/>
      <c r="K472" s="1332"/>
      <c r="L472" s="1332"/>
      <c r="M472" s="1332"/>
      <c r="N472" s="1332"/>
      <c r="O472" s="1332"/>
    </row>
    <row r="473">
      <c r="A473" s="1332"/>
      <c r="B473" s="1332"/>
      <c r="C473" s="1332"/>
      <c r="D473" s="1332"/>
      <c r="E473" s="1332"/>
      <c r="F473" s="1332"/>
      <c r="G473" s="1332"/>
      <c r="H473" s="1332"/>
      <c r="I473" s="1332"/>
      <c r="J473" s="1332"/>
      <c r="K473" s="1332"/>
      <c r="L473" s="1332"/>
      <c r="M473" s="1332"/>
      <c r="N473" s="1332"/>
      <c r="O473" s="1332"/>
    </row>
    <row r="474">
      <c r="A474" s="1332"/>
      <c r="B474" s="1332"/>
      <c r="C474" s="1332"/>
      <c r="D474" s="1332"/>
      <c r="E474" s="1332"/>
      <c r="F474" s="1332"/>
      <c r="G474" s="1332"/>
      <c r="H474" s="1332"/>
      <c r="I474" s="1332"/>
      <c r="J474" s="1332"/>
      <c r="K474" s="1332"/>
      <c r="L474" s="1332"/>
      <c r="M474" s="1332"/>
      <c r="N474" s="1332"/>
      <c r="O474" s="1332"/>
    </row>
    <row r="475">
      <c r="A475" s="1332"/>
      <c r="B475" s="1332"/>
      <c r="C475" s="1332"/>
      <c r="D475" s="1332"/>
      <c r="E475" s="1332"/>
      <c r="F475" s="1332"/>
      <c r="G475" s="1332"/>
      <c r="H475" s="1332"/>
      <c r="I475" s="1332"/>
      <c r="J475" s="1332"/>
      <c r="K475" s="1332"/>
      <c r="L475" s="1332"/>
      <c r="M475" s="1332"/>
      <c r="N475" s="1332"/>
      <c r="O475" s="1332"/>
    </row>
    <row r="476">
      <c r="A476" s="1332"/>
      <c r="B476" s="1332"/>
      <c r="C476" s="1332"/>
      <c r="D476" s="1332"/>
      <c r="E476" s="1332"/>
      <c r="F476" s="1332"/>
      <c r="G476" s="1332"/>
      <c r="H476" s="1332"/>
      <c r="I476" s="1332"/>
      <c r="J476" s="1332"/>
      <c r="K476" s="1332"/>
      <c r="L476" s="1332"/>
      <c r="M476" s="1332"/>
      <c r="N476" s="1332"/>
      <c r="O476" s="1332"/>
    </row>
    <row r="477">
      <c r="A477" s="1332"/>
      <c r="B477" s="1332"/>
      <c r="C477" s="1332"/>
      <c r="D477" s="1332"/>
      <c r="E477" s="1332"/>
      <c r="F477" s="1332"/>
      <c r="G477" s="1332"/>
      <c r="H477" s="1332"/>
      <c r="I477" s="1332"/>
      <c r="J477" s="1332"/>
      <c r="K477" s="1332"/>
      <c r="L477" s="1332"/>
      <c r="M477" s="1332"/>
      <c r="N477" s="1332"/>
      <c r="O477" s="1332"/>
    </row>
    <row r="478">
      <c r="A478" s="1332"/>
      <c r="B478" s="1332"/>
      <c r="C478" s="1332"/>
      <c r="D478" s="1332"/>
      <c r="E478" s="1332"/>
      <c r="F478" s="1332"/>
      <c r="G478" s="1332"/>
      <c r="H478" s="1332"/>
      <c r="I478" s="1332"/>
      <c r="J478" s="1332"/>
      <c r="K478" s="1332"/>
      <c r="L478" s="1332"/>
      <c r="M478" s="1332"/>
      <c r="N478" s="1332"/>
      <c r="O478" s="1332"/>
    </row>
    <row r="479">
      <c r="A479" s="1332"/>
      <c r="B479" s="1332"/>
      <c r="C479" s="1332"/>
      <c r="D479" s="1332"/>
      <c r="E479" s="1332"/>
      <c r="F479" s="1332"/>
      <c r="G479" s="1332"/>
      <c r="H479" s="1332"/>
      <c r="I479" s="1332"/>
      <c r="J479" s="1332"/>
      <c r="K479" s="1332"/>
      <c r="L479" s="1332"/>
      <c r="M479" s="1332"/>
      <c r="N479" s="1332"/>
      <c r="O479" s="1332"/>
    </row>
    <row r="480">
      <c r="A480" s="1332"/>
      <c r="B480" s="1332"/>
      <c r="C480" s="1332"/>
      <c r="D480" s="1332"/>
      <c r="E480" s="1332"/>
      <c r="F480" s="1332"/>
      <c r="G480" s="1332"/>
      <c r="H480" s="1332"/>
      <c r="I480" s="1332"/>
      <c r="J480" s="1332"/>
      <c r="K480" s="1332"/>
      <c r="L480" s="1332"/>
      <c r="M480" s="1332"/>
      <c r="N480" s="1332"/>
      <c r="O480" s="1332"/>
    </row>
    <row r="481">
      <c r="A481" s="1332"/>
      <c r="B481" s="1332"/>
      <c r="C481" s="1332"/>
      <c r="D481" s="1332"/>
      <c r="E481" s="1332"/>
      <c r="F481" s="1332"/>
      <c r="G481" s="1332"/>
      <c r="H481" s="1332"/>
      <c r="I481" s="1332"/>
      <c r="J481" s="1332"/>
      <c r="K481" s="1332"/>
      <c r="L481" s="1332"/>
      <c r="M481" s="1332"/>
      <c r="N481" s="1332"/>
      <c r="O481" s="1332"/>
    </row>
    <row r="482">
      <c r="A482" s="1332"/>
      <c r="B482" s="1332"/>
      <c r="C482" s="1332"/>
      <c r="D482" s="1332"/>
      <c r="E482" s="1332"/>
      <c r="F482" s="1332"/>
      <c r="G482" s="1332"/>
      <c r="H482" s="1332"/>
      <c r="I482" s="1332"/>
      <c r="J482" s="1332"/>
      <c r="K482" s="1332"/>
      <c r="L482" s="1332"/>
      <c r="M482" s="1332"/>
      <c r="N482" s="1332"/>
      <c r="O482" s="1332"/>
    </row>
    <row r="483">
      <c r="A483" s="1332"/>
      <c r="B483" s="1332"/>
      <c r="C483" s="1332"/>
      <c r="D483" s="1332"/>
      <c r="E483" s="1332"/>
      <c r="F483" s="1332"/>
      <c r="G483" s="1332"/>
      <c r="H483" s="1332"/>
      <c r="I483" s="1332"/>
      <c r="J483" s="1332"/>
      <c r="K483" s="1332"/>
      <c r="L483" s="1332"/>
      <c r="M483" s="1332"/>
      <c r="N483" s="1332"/>
      <c r="O483" s="1332"/>
    </row>
    <row r="484">
      <c r="A484" s="1332"/>
      <c r="B484" s="1332"/>
      <c r="C484" s="1332"/>
      <c r="D484" s="1332"/>
      <c r="E484" s="1332"/>
      <c r="F484" s="1332"/>
      <c r="G484" s="1332"/>
      <c r="H484" s="1332"/>
      <c r="I484" s="1332"/>
      <c r="J484" s="1332"/>
      <c r="K484" s="1332"/>
      <c r="L484" s="1332"/>
      <c r="M484" s="1332"/>
      <c r="N484" s="1332"/>
      <c r="O484" s="1332"/>
    </row>
    <row r="485">
      <c r="A485" s="1332"/>
      <c r="B485" s="1332"/>
      <c r="C485" s="1332"/>
      <c r="D485" s="1332"/>
      <c r="E485" s="1332"/>
      <c r="F485" s="1332"/>
      <c r="G485" s="1332"/>
      <c r="H485" s="1332"/>
      <c r="I485" s="1332"/>
      <c r="J485" s="1332"/>
      <c r="K485" s="1332"/>
      <c r="L485" s="1332"/>
      <c r="M485" s="1332"/>
      <c r="N485" s="1332"/>
      <c r="O485" s="1332"/>
    </row>
    <row r="486">
      <c r="A486" s="1332"/>
      <c r="B486" s="1332"/>
      <c r="C486" s="1332"/>
      <c r="D486" s="1332"/>
      <c r="E486" s="1332"/>
      <c r="F486" s="1332"/>
      <c r="G486" s="1332"/>
      <c r="H486" s="1332"/>
      <c r="I486" s="1332"/>
      <c r="J486" s="1332"/>
      <c r="K486" s="1332"/>
      <c r="L486" s="1332"/>
      <c r="M486" s="1332"/>
      <c r="N486" s="1332"/>
      <c r="O486" s="1332"/>
    </row>
    <row r="487">
      <c r="A487" s="1332"/>
      <c r="B487" s="1332"/>
      <c r="C487" s="1332"/>
      <c r="D487" s="1332"/>
      <c r="E487" s="1332"/>
      <c r="F487" s="1332"/>
      <c r="G487" s="1332"/>
      <c r="H487" s="1332"/>
      <c r="I487" s="1332"/>
      <c r="J487" s="1332"/>
      <c r="K487" s="1332"/>
      <c r="L487" s="1332"/>
      <c r="M487" s="1332"/>
      <c r="N487" s="1332"/>
      <c r="O487" s="1332"/>
    </row>
    <row r="488">
      <c r="A488" s="1332"/>
      <c r="B488" s="1332"/>
      <c r="C488" s="1332"/>
      <c r="D488" s="1332"/>
      <c r="E488" s="1332"/>
      <c r="F488" s="1332"/>
      <c r="G488" s="1332"/>
      <c r="H488" s="1332"/>
      <c r="I488" s="1332"/>
      <c r="J488" s="1332"/>
      <c r="K488" s="1332"/>
      <c r="L488" s="1332"/>
      <c r="M488" s="1332"/>
      <c r="N488" s="1332"/>
      <c r="O488" s="1332"/>
    </row>
    <row r="489">
      <c r="A489" s="1332"/>
      <c r="B489" s="1332"/>
      <c r="C489" s="1332"/>
      <c r="D489" s="1332"/>
      <c r="E489" s="1332"/>
      <c r="F489" s="1332"/>
      <c r="G489" s="1332"/>
      <c r="H489" s="1332"/>
      <c r="I489" s="1332"/>
      <c r="J489" s="1332"/>
      <c r="K489" s="1332"/>
      <c r="L489" s="1332"/>
      <c r="M489" s="1332"/>
      <c r="N489" s="1332"/>
      <c r="O489" s="1332"/>
    </row>
    <row r="490">
      <c r="A490" s="1332"/>
      <c r="B490" s="1332"/>
      <c r="C490" s="1332"/>
      <c r="D490" s="1332"/>
      <c r="E490" s="1332"/>
      <c r="F490" s="1332"/>
      <c r="G490" s="1332"/>
      <c r="H490" s="1332"/>
      <c r="I490" s="1332"/>
      <c r="J490" s="1332"/>
      <c r="K490" s="1332"/>
      <c r="L490" s="1332"/>
      <c r="M490" s="1332"/>
      <c r="N490" s="1332"/>
      <c r="O490" s="1332"/>
    </row>
    <row r="491">
      <c r="A491" s="1332"/>
      <c r="B491" s="1332"/>
      <c r="C491" s="1332"/>
      <c r="D491" s="1332"/>
      <c r="E491" s="1332"/>
      <c r="F491" s="1332"/>
      <c r="G491" s="1332"/>
      <c r="H491" s="1332"/>
      <c r="I491" s="1332"/>
      <c r="J491" s="1332"/>
      <c r="K491" s="1332"/>
      <c r="L491" s="1332"/>
      <c r="M491" s="1332"/>
      <c r="N491" s="1332"/>
      <c r="O491" s="1332"/>
    </row>
    <row r="492">
      <c r="A492" s="1332"/>
      <c r="B492" s="1332"/>
      <c r="C492" s="1332"/>
      <c r="D492" s="1332"/>
      <c r="E492" s="1332"/>
      <c r="F492" s="1332"/>
      <c r="G492" s="1332"/>
      <c r="H492" s="1332"/>
      <c r="I492" s="1332"/>
      <c r="J492" s="1332"/>
      <c r="K492" s="1332"/>
      <c r="L492" s="1332"/>
      <c r="M492" s="1332"/>
      <c r="N492" s="1332"/>
      <c r="O492" s="1332"/>
    </row>
    <row r="493">
      <c r="A493" s="1332"/>
      <c r="B493" s="1332"/>
      <c r="C493" s="1332"/>
      <c r="D493" s="1332"/>
      <c r="E493" s="1332"/>
      <c r="F493" s="1332"/>
      <c r="G493" s="1332"/>
      <c r="H493" s="1332"/>
      <c r="I493" s="1332"/>
      <c r="J493" s="1332"/>
      <c r="K493" s="1332"/>
      <c r="L493" s="1332"/>
      <c r="M493" s="1332"/>
      <c r="N493" s="1332"/>
      <c r="O493" s="1332"/>
    </row>
    <row r="494">
      <c r="A494" s="1332"/>
      <c r="B494" s="1332"/>
      <c r="C494" s="1332"/>
      <c r="D494" s="1332"/>
      <c r="E494" s="1332"/>
      <c r="F494" s="1332"/>
      <c r="G494" s="1332"/>
      <c r="H494" s="1332"/>
      <c r="I494" s="1332"/>
      <c r="J494" s="1332"/>
      <c r="K494" s="1332"/>
      <c r="L494" s="1332"/>
      <c r="M494" s="1332"/>
      <c r="N494" s="1332"/>
      <c r="O494" s="1332"/>
    </row>
    <row r="495">
      <c r="A495" s="1332"/>
      <c r="B495" s="1332"/>
      <c r="C495" s="1332"/>
      <c r="D495" s="1332"/>
      <c r="E495" s="1332"/>
      <c r="F495" s="1332"/>
      <c r="G495" s="1332"/>
      <c r="H495" s="1332"/>
      <c r="I495" s="1332"/>
      <c r="J495" s="1332"/>
      <c r="K495" s="1332"/>
      <c r="L495" s="1332"/>
      <c r="M495" s="1332"/>
      <c r="N495" s="1332"/>
      <c r="O495" s="1332"/>
    </row>
    <row r="496">
      <c r="A496" s="1332"/>
      <c r="B496" s="1332"/>
      <c r="C496" s="1332"/>
      <c r="D496" s="1332"/>
      <c r="E496" s="1332"/>
      <c r="F496" s="1332"/>
      <c r="G496" s="1332"/>
      <c r="H496" s="1332"/>
      <c r="I496" s="1332"/>
      <c r="J496" s="1332"/>
      <c r="K496" s="1332"/>
      <c r="L496" s="1332"/>
      <c r="M496" s="1332"/>
      <c r="N496" s="1332"/>
      <c r="O496" s="1332"/>
    </row>
    <row r="497">
      <c r="A497" s="1332"/>
      <c r="B497" s="1332"/>
      <c r="C497" s="1332"/>
      <c r="D497" s="1332"/>
      <c r="E497" s="1332"/>
      <c r="F497" s="1332"/>
      <c r="G497" s="1332"/>
      <c r="H497" s="1332"/>
      <c r="I497" s="1332"/>
      <c r="J497" s="1332"/>
      <c r="K497" s="1332"/>
      <c r="L497" s="1332"/>
      <c r="M497" s="1332"/>
      <c r="N497" s="1332"/>
      <c r="O497" s="1332"/>
    </row>
    <row r="498">
      <c r="A498" s="1332"/>
      <c r="B498" s="1332"/>
      <c r="C498" s="1332"/>
      <c r="D498" s="1332"/>
      <c r="E498" s="1332"/>
      <c r="F498" s="1332"/>
      <c r="G498" s="1332"/>
      <c r="H498" s="1332"/>
      <c r="I498" s="1332"/>
      <c r="J498" s="1332"/>
      <c r="K498" s="1332"/>
      <c r="L498" s="1332"/>
      <c r="M498" s="1332"/>
      <c r="N498" s="1332"/>
      <c r="O498" s="1332"/>
    </row>
    <row r="499">
      <c r="A499" s="1332"/>
      <c r="B499" s="1332"/>
      <c r="C499" s="1332"/>
      <c r="D499" s="1332"/>
      <c r="E499" s="1332"/>
      <c r="F499" s="1332"/>
      <c r="G499" s="1332"/>
      <c r="H499" s="1332"/>
      <c r="I499" s="1332"/>
      <c r="J499" s="1332"/>
      <c r="K499" s="1332"/>
      <c r="L499" s="1332"/>
      <c r="M499" s="1332"/>
      <c r="N499" s="1332"/>
      <c r="O499" s="1332"/>
    </row>
    <row r="500">
      <c r="A500" s="1332"/>
      <c r="B500" s="1332"/>
      <c r="C500" s="1332"/>
      <c r="D500" s="1332"/>
      <c r="E500" s="1332"/>
      <c r="F500" s="1332"/>
      <c r="G500" s="1332"/>
      <c r="H500" s="1332"/>
      <c r="I500" s="1332"/>
      <c r="J500" s="1332"/>
      <c r="K500" s="1332"/>
      <c r="L500" s="1332"/>
      <c r="M500" s="1332"/>
      <c r="N500" s="1332"/>
      <c r="O500" s="1332"/>
    </row>
    <row r="501">
      <c r="A501" s="1332"/>
      <c r="B501" s="1332"/>
      <c r="C501" s="1332"/>
      <c r="D501" s="1332"/>
      <c r="E501" s="1332"/>
      <c r="F501" s="1332"/>
      <c r="G501" s="1332"/>
      <c r="H501" s="1332"/>
      <c r="I501" s="1332"/>
      <c r="J501" s="1332"/>
      <c r="K501" s="1332"/>
      <c r="L501" s="1332"/>
      <c r="M501" s="1332"/>
      <c r="N501" s="1332"/>
      <c r="O501" s="1332"/>
    </row>
    <row r="502">
      <c r="A502" s="1332"/>
      <c r="B502" s="1332"/>
      <c r="C502" s="1332"/>
      <c r="D502" s="1332"/>
      <c r="E502" s="1332"/>
      <c r="F502" s="1332"/>
      <c r="G502" s="1332"/>
      <c r="H502" s="1332"/>
      <c r="I502" s="1332"/>
      <c r="J502" s="1332"/>
      <c r="K502" s="1332"/>
      <c r="L502" s="1332"/>
      <c r="M502" s="1332"/>
      <c r="N502" s="1332"/>
      <c r="O502" s="1332"/>
    </row>
    <row r="503">
      <c r="A503" s="1332"/>
      <c r="B503" s="1332"/>
      <c r="C503" s="1332"/>
      <c r="D503" s="1332"/>
      <c r="E503" s="1332"/>
      <c r="F503" s="1332"/>
      <c r="G503" s="1332"/>
      <c r="H503" s="1332"/>
      <c r="I503" s="1332"/>
      <c r="J503" s="1332"/>
      <c r="K503" s="1332"/>
      <c r="L503" s="1332"/>
      <c r="M503" s="1332"/>
      <c r="N503" s="1332"/>
      <c r="O503" s="1332"/>
    </row>
    <row r="504">
      <c r="A504" s="1332"/>
      <c r="B504" s="1332"/>
      <c r="C504" s="1332"/>
      <c r="D504" s="1332"/>
      <c r="E504" s="1332"/>
      <c r="F504" s="1332"/>
      <c r="G504" s="1332"/>
      <c r="H504" s="1332"/>
      <c r="I504" s="1332"/>
      <c r="J504" s="1332"/>
      <c r="K504" s="1332"/>
      <c r="L504" s="1332"/>
      <c r="M504" s="1332"/>
      <c r="N504" s="1332"/>
      <c r="O504" s="1332"/>
    </row>
    <row r="505">
      <c r="A505" s="1332"/>
      <c r="B505" s="1332"/>
      <c r="C505" s="1332"/>
      <c r="D505" s="1332"/>
      <c r="E505" s="1332"/>
      <c r="F505" s="1332"/>
      <c r="G505" s="1332"/>
      <c r="H505" s="1332"/>
      <c r="I505" s="1332"/>
      <c r="J505" s="1332"/>
      <c r="K505" s="1332"/>
      <c r="L505" s="1332"/>
      <c r="M505" s="1332"/>
      <c r="N505" s="1332"/>
      <c r="O505" s="1332"/>
    </row>
    <row r="506">
      <c r="A506" s="1332"/>
      <c r="B506" s="1332"/>
      <c r="C506" s="1332"/>
      <c r="D506" s="1332"/>
      <c r="E506" s="1332"/>
      <c r="F506" s="1332"/>
      <c r="G506" s="1332"/>
      <c r="H506" s="1332"/>
      <c r="I506" s="1332"/>
      <c r="J506" s="1332"/>
      <c r="K506" s="1332"/>
      <c r="L506" s="1332"/>
      <c r="M506" s="1332"/>
      <c r="N506" s="1332"/>
      <c r="O506" s="1332"/>
    </row>
    <row r="507">
      <c r="A507" s="1332"/>
      <c r="B507" s="1332"/>
      <c r="C507" s="1332"/>
      <c r="D507" s="1332"/>
      <c r="E507" s="1332"/>
      <c r="F507" s="1332"/>
      <c r="G507" s="1332"/>
      <c r="H507" s="1332"/>
      <c r="I507" s="1332"/>
      <c r="J507" s="1332"/>
      <c r="K507" s="1332"/>
      <c r="L507" s="1332"/>
      <c r="M507" s="1332"/>
      <c r="N507" s="1332"/>
      <c r="O507" s="1332"/>
    </row>
    <row r="508">
      <c r="A508" s="1332"/>
      <c r="B508" s="1332"/>
      <c r="C508" s="1332"/>
      <c r="D508" s="1332"/>
      <c r="E508" s="1332"/>
      <c r="F508" s="1332"/>
      <c r="G508" s="1332"/>
      <c r="H508" s="1332"/>
      <c r="I508" s="1332"/>
      <c r="J508" s="1332"/>
      <c r="K508" s="1332"/>
      <c r="L508" s="1332"/>
      <c r="M508" s="1332"/>
      <c r="N508" s="1332"/>
      <c r="O508" s="1332"/>
    </row>
    <row r="509">
      <c r="A509" s="1332"/>
      <c r="B509" s="1332"/>
      <c r="C509" s="1332"/>
      <c r="D509" s="1332"/>
      <c r="E509" s="1332"/>
      <c r="F509" s="1332"/>
      <c r="G509" s="1332"/>
      <c r="H509" s="1332"/>
      <c r="I509" s="1332"/>
      <c r="J509" s="1332"/>
      <c r="K509" s="1332"/>
      <c r="L509" s="1332"/>
      <c r="M509" s="1332"/>
      <c r="N509" s="1332"/>
      <c r="O509" s="1332"/>
    </row>
    <row r="510">
      <c r="A510" s="1332"/>
      <c r="B510" s="1332"/>
      <c r="C510" s="1332"/>
      <c r="D510" s="1332"/>
      <c r="E510" s="1332"/>
      <c r="F510" s="1332"/>
      <c r="G510" s="1332"/>
      <c r="H510" s="1332"/>
      <c r="I510" s="1332"/>
      <c r="J510" s="1332"/>
      <c r="K510" s="1332"/>
      <c r="L510" s="1332"/>
      <c r="M510" s="1332"/>
      <c r="N510" s="1332"/>
      <c r="O510" s="1332"/>
    </row>
    <row r="511">
      <c r="A511" s="1332"/>
      <c r="B511" s="1332"/>
      <c r="C511" s="1332"/>
      <c r="D511" s="1332"/>
      <c r="E511" s="1332"/>
      <c r="F511" s="1332"/>
      <c r="G511" s="1332"/>
      <c r="H511" s="1332"/>
      <c r="I511" s="1332"/>
      <c r="J511" s="1332"/>
      <c r="K511" s="1332"/>
      <c r="L511" s="1332"/>
      <c r="M511" s="1332"/>
      <c r="N511" s="1332"/>
      <c r="O511" s="1332"/>
    </row>
    <row r="512">
      <c r="A512" s="1332"/>
      <c r="B512" s="1332"/>
      <c r="C512" s="1332"/>
      <c r="D512" s="1332"/>
      <c r="E512" s="1332"/>
      <c r="F512" s="1332"/>
      <c r="G512" s="1332"/>
      <c r="H512" s="1332"/>
      <c r="I512" s="1332"/>
      <c r="J512" s="1332"/>
      <c r="K512" s="1332"/>
      <c r="L512" s="1332"/>
      <c r="M512" s="1332"/>
      <c r="N512" s="1332"/>
      <c r="O512" s="1332"/>
    </row>
    <row r="513">
      <c r="A513" s="1332"/>
      <c r="B513" s="1332"/>
      <c r="C513" s="1332"/>
      <c r="D513" s="1332"/>
      <c r="E513" s="1332"/>
      <c r="F513" s="1332"/>
      <c r="G513" s="1332"/>
      <c r="H513" s="1332"/>
      <c r="I513" s="1332"/>
      <c r="J513" s="1332"/>
      <c r="K513" s="1332"/>
      <c r="L513" s="1332"/>
      <c r="M513" s="1332"/>
      <c r="N513" s="1332"/>
      <c r="O513" s="1332"/>
    </row>
    <row r="514">
      <c r="A514" s="1332"/>
      <c r="B514" s="1332"/>
      <c r="C514" s="1332"/>
      <c r="D514" s="1332"/>
      <c r="E514" s="1332"/>
      <c r="F514" s="1332"/>
      <c r="G514" s="1332"/>
      <c r="H514" s="1332"/>
      <c r="I514" s="1332"/>
      <c r="J514" s="1332"/>
      <c r="K514" s="1332"/>
      <c r="L514" s="1332"/>
      <c r="M514" s="1332"/>
      <c r="N514" s="1332"/>
      <c r="O514" s="1332"/>
    </row>
    <row r="515">
      <c r="A515" s="1332"/>
      <c r="B515" s="1332"/>
      <c r="C515" s="1332"/>
      <c r="D515" s="1332"/>
      <c r="E515" s="1332"/>
      <c r="F515" s="1332"/>
      <c r="G515" s="1332"/>
      <c r="H515" s="1332"/>
      <c r="I515" s="1332"/>
      <c r="J515" s="1332"/>
      <c r="K515" s="1332"/>
      <c r="L515" s="1332"/>
      <c r="M515" s="1332"/>
      <c r="N515" s="1332"/>
      <c r="O515" s="1332"/>
    </row>
    <row r="516">
      <c r="A516" s="1332"/>
      <c r="B516" s="1332"/>
      <c r="C516" s="1332"/>
      <c r="D516" s="1332"/>
      <c r="E516" s="1332"/>
      <c r="F516" s="1332"/>
      <c r="G516" s="1332"/>
      <c r="H516" s="1332"/>
      <c r="I516" s="1332"/>
      <c r="J516" s="1332"/>
      <c r="K516" s="1332"/>
      <c r="L516" s="1332"/>
      <c r="M516" s="1332"/>
      <c r="N516" s="1332"/>
      <c r="O516" s="1332"/>
    </row>
    <row r="517">
      <c r="A517" s="1332"/>
      <c r="B517" s="1332"/>
      <c r="C517" s="1332"/>
      <c r="D517" s="1332"/>
      <c r="E517" s="1332"/>
      <c r="F517" s="1332"/>
      <c r="G517" s="1332"/>
      <c r="H517" s="1332"/>
      <c r="I517" s="1332"/>
      <c r="J517" s="1332"/>
      <c r="K517" s="1332"/>
      <c r="L517" s="1332"/>
      <c r="M517" s="1332"/>
      <c r="N517" s="1332"/>
      <c r="O517" s="1332"/>
    </row>
    <row r="518">
      <c r="A518" s="1332"/>
      <c r="B518" s="1332"/>
      <c r="C518" s="1332"/>
      <c r="D518" s="1332"/>
      <c r="E518" s="1332"/>
      <c r="F518" s="1332"/>
      <c r="G518" s="1332"/>
      <c r="H518" s="1332"/>
      <c r="I518" s="1332"/>
      <c r="J518" s="1332"/>
      <c r="K518" s="1332"/>
      <c r="L518" s="1332"/>
      <c r="M518" s="1332"/>
      <c r="N518" s="1332"/>
      <c r="O518" s="1332"/>
    </row>
    <row r="519">
      <c r="A519" s="1332"/>
      <c r="B519" s="1332"/>
      <c r="C519" s="1332"/>
      <c r="D519" s="1332"/>
      <c r="E519" s="1332"/>
      <c r="F519" s="1332"/>
      <c r="G519" s="1332"/>
      <c r="H519" s="1332"/>
      <c r="I519" s="1332"/>
      <c r="J519" s="1332"/>
      <c r="K519" s="1332"/>
      <c r="L519" s="1332"/>
      <c r="M519" s="1332"/>
      <c r="N519" s="1332"/>
      <c r="O519" s="1332"/>
    </row>
    <row r="520">
      <c r="A520" s="1332"/>
      <c r="B520" s="1332"/>
      <c r="C520" s="1332"/>
      <c r="D520" s="1332"/>
      <c r="E520" s="1332"/>
      <c r="F520" s="1332"/>
      <c r="G520" s="1332"/>
      <c r="H520" s="1332"/>
      <c r="I520" s="1332"/>
      <c r="J520" s="1332"/>
      <c r="K520" s="1332"/>
      <c r="L520" s="1332"/>
      <c r="M520" s="1332"/>
      <c r="N520" s="1332"/>
      <c r="O520" s="1332"/>
    </row>
    <row r="521">
      <c r="A521" s="1332"/>
      <c r="B521" s="1332"/>
      <c r="C521" s="1332"/>
      <c r="D521" s="1332"/>
      <c r="E521" s="1332"/>
      <c r="F521" s="1332"/>
      <c r="G521" s="1332"/>
      <c r="H521" s="1332"/>
      <c r="I521" s="1332"/>
      <c r="J521" s="1332"/>
      <c r="K521" s="1332"/>
      <c r="L521" s="1332"/>
      <c r="M521" s="1332"/>
      <c r="N521" s="1332"/>
      <c r="O521" s="1332"/>
    </row>
    <row r="522">
      <c r="A522" s="1332"/>
      <c r="B522" s="1332"/>
      <c r="C522" s="1332"/>
      <c r="D522" s="1332"/>
      <c r="E522" s="1332"/>
      <c r="F522" s="1332"/>
      <c r="G522" s="1332"/>
      <c r="H522" s="1332"/>
      <c r="I522" s="1332"/>
      <c r="J522" s="1332"/>
      <c r="K522" s="1332"/>
      <c r="L522" s="1332"/>
      <c r="M522" s="1332"/>
      <c r="N522" s="1332"/>
      <c r="O522" s="1332"/>
    </row>
    <row r="523">
      <c r="A523" s="1332"/>
      <c r="B523" s="1332"/>
      <c r="C523" s="1332"/>
      <c r="D523" s="1332"/>
      <c r="E523" s="1332"/>
      <c r="F523" s="1332"/>
      <c r="G523" s="1332"/>
      <c r="H523" s="1332"/>
      <c r="I523" s="1332"/>
      <c r="J523" s="1332"/>
      <c r="K523" s="1332"/>
      <c r="L523" s="1332"/>
      <c r="M523" s="1332"/>
      <c r="N523" s="1332"/>
      <c r="O523" s="1332"/>
    </row>
    <row r="524">
      <c r="A524" s="1332"/>
      <c r="B524" s="1332"/>
      <c r="C524" s="1332"/>
      <c r="D524" s="1332"/>
      <c r="E524" s="1332"/>
      <c r="F524" s="1332"/>
      <c r="G524" s="1332"/>
      <c r="H524" s="1332"/>
      <c r="I524" s="1332"/>
      <c r="J524" s="1332"/>
      <c r="K524" s="1332"/>
      <c r="L524" s="1332"/>
      <c r="M524" s="1332"/>
      <c r="N524" s="1332"/>
      <c r="O524" s="1332"/>
    </row>
    <row r="525">
      <c r="A525" s="1332"/>
      <c r="B525" s="1332"/>
      <c r="C525" s="1332"/>
      <c r="D525" s="1332"/>
      <c r="E525" s="1332"/>
      <c r="F525" s="1332"/>
      <c r="G525" s="1332"/>
      <c r="H525" s="1332"/>
      <c r="I525" s="1332"/>
      <c r="J525" s="1332"/>
      <c r="K525" s="1332"/>
      <c r="L525" s="1332"/>
      <c r="M525" s="1332"/>
      <c r="N525" s="1332"/>
      <c r="O525" s="1332"/>
    </row>
    <row r="526">
      <c r="A526" s="1332"/>
      <c r="B526" s="1332"/>
      <c r="C526" s="1332"/>
      <c r="D526" s="1332"/>
      <c r="E526" s="1332"/>
      <c r="F526" s="1332"/>
      <c r="G526" s="1332"/>
      <c r="H526" s="1332"/>
      <c r="I526" s="1332"/>
      <c r="J526" s="1332"/>
      <c r="K526" s="1332"/>
      <c r="L526" s="1332"/>
      <c r="M526" s="1332"/>
      <c r="N526" s="1332"/>
      <c r="O526" s="1332"/>
    </row>
    <row r="527">
      <c r="A527" s="1332"/>
      <c r="B527" s="1332"/>
      <c r="C527" s="1332"/>
      <c r="D527" s="1332"/>
      <c r="E527" s="1332"/>
      <c r="F527" s="1332"/>
      <c r="G527" s="1332"/>
      <c r="H527" s="1332"/>
      <c r="I527" s="1332"/>
      <c r="J527" s="1332"/>
      <c r="K527" s="1332"/>
      <c r="L527" s="1332"/>
      <c r="M527" s="1332"/>
      <c r="N527" s="1332"/>
      <c r="O527" s="1332"/>
    </row>
    <row r="528">
      <c r="A528" s="1332"/>
      <c r="B528" s="1332"/>
      <c r="C528" s="1332"/>
      <c r="D528" s="1332"/>
      <c r="E528" s="1332"/>
      <c r="F528" s="1332"/>
      <c r="G528" s="1332"/>
      <c r="H528" s="1332"/>
      <c r="I528" s="1332"/>
      <c r="J528" s="1332"/>
      <c r="K528" s="1332"/>
      <c r="L528" s="1332"/>
      <c r="M528" s="1332"/>
      <c r="N528" s="1332"/>
      <c r="O528" s="1332"/>
    </row>
    <row r="529">
      <c r="A529" s="1332"/>
      <c r="B529" s="1332"/>
      <c r="C529" s="1332"/>
      <c r="D529" s="1332"/>
      <c r="E529" s="1332"/>
      <c r="F529" s="1332"/>
      <c r="G529" s="1332"/>
      <c r="H529" s="1332"/>
      <c r="I529" s="1332"/>
      <c r="J529" s="1332"/>
      <c r="K529" s="1332"/>
      <c r="L529" s="1332"/>
      <c r="M529" s="1332"/>
      <c r="N529" s="1332"/>
      <c r="O529" s="1332"/>
    </row>
    <row r="530">
      <c r="A530" s="1332"/>
      <c r="B530" s="1332"/>
      <c r="C530" s="1332"/>
      <c r="D530" s="1332"/>
      <c r="E530" s="1332"/>
      <c r="F530" s="1332"/>
      <c r="G530" s="1332"/>
      <c r="H530" s="1332"/>
      <c r="I530" s="1332"/>
      <c r="J530" s="1332"/>
      <c r="K530" s="1332"/>
      <c r="L530" s="1332"/>
      <c r="M530" s="1332"/>
      <c r="N530" s="1332"/>
      <c r="O530" s="1332"/>
    </row>
    <row r="531">
      <c r="A531" s="1332"/>
      <c r="B531" s="1332"/>
      <c r="C531" s="1332"/>
      <c r="D531" s="1332"/>
      <c r="E531" s="1332"/>
      <c r="F531" s="1332"/>
      <c r="G531" s="1332"/>
      <c r="H531" s="1332"/>
      <c r="I531" s="1332"/>
      <c r="J531" s="1332"/>
      <c r="K531" s="1332"/>
      <c r="L531" s="1332"/>
      <c r="M531" s="1332"/>
      <c r="N531" s="1332"/>
      <c r="O531" s="1332"/>
    </row>
    <row r="532">
      <c r="A532" s="1332"/>
      <c r="B532" s="1332"/>
      <c r="C532" s="1332"/>
      <c r="D532" s="1332"/>
      <c r="E532" s="1332"/>
      <c r="F532" s="1332"/>
      <c r="G532" s="1332"/>
      <c r="H532" s="1332"/>
      <c r="I532" s="1332"/>
      <c r="J532" s="1332"/>
      <c r="K532" s="1332"/>
      <c r="L532" s="1332"/>
      <c r="M532" s="1332"/>
      <c r="N532" s="1332"/>
      <c r="O532" s="1332"/>
    </row>
    <row r="533">
      <c r="A533" s="1332"/>
      <c r="B533" s="1332"/>
      <c r="C533" s="1332"/>
      <c r="D533" s="1332"/>
      <c r="E533" s="1332"/>
      <c r="F533" s="1332"/>
      <c r="G533" s="1332"/>
      <c r="H533" s="1332"/>
      <c r="I533" s="1332"/>
      <c r="J533" s="1332"/>
      <c r="K533" s="1332"/>
      <c r="L533" s="1332"/>
      <c r="M533" s="1332"/>
      <c r="N533" s="1332"/>
      <c r="O533" s="1332"/>
    </row>
    <row r="534">
      <c r="A534" s="1332"/>
      <c r="B534" s="1332"/>
      <c r="C534" s="1332"/>
      <c r="D534" s="1332"/>
      <c r="E534" s="1332"/>
      <c r="F534" s="1332"/>
      <c r="G534" s="1332"/>
      <c r="H534" s="1332"/>
      <c r="I534" s="1332"/>
      <c r="J534" s="1332"/>
      <c r="K534" s="1332"/>
      <c r="L534" s="1332"/>
      <c r="M534" s="1332"/>
      <c r="N534" s="1332"/>
      <c r="O534" s="1332"/>
    </row>
    <row r="535">
      <c r="A535" s="1332"/>
      <c r="B535" s="1332"/>
      <c r="C535" s="1332"/>
      <c r="D535" s="1332"/>
      <c r="E535" s="1332"/>
      <c r="F535" s="1332"/>
      <c r="G535" s="1332"/>
      <c r="H535" s="1332"/>
      <c r="I535" s="1332"/>
      <c r="J535" s="1332"/>
      <c r="K535" s="1332"/>
      <c r="L535" s="1332"/>
      <c r="M535" s="1332"/>
      <c r="N535" s="1332"/>
      <c r="O535" s="1332"/>
    </row>
    <row r="536">
      <c r="A536" s="1332"/>
      <c r="B536" s="1332"/>
      <c r="C536" s="1332"/>
      <c r="D536" s="1332"/>
      <c r="E536" s="1332"/>
      <c r="F536" s="1332"/>
      <c r="G536" s="1332"/>
      <c r="H536" s="1332"/>
      <c r="I536" s="1332"/>
      <c r="J536" s="1332"/>
      <c r="K536" s="1332"/>
      <c r="L536" s="1332"/>
      <c r="M536" s="1332"/>
      <c r="N536" s="1332"/>
      <c r="O536" s="1332"/>
    </row>
    <row r="537">
      <c r="A537" s="1332"/>
      <c r="B537" s="1332"/>
      <c r="C537" s="1332"/>
      <c r="D537" s="1332"/>
      <c r="E537" s="1332"/>
      <c r="F537" s="1332"/>
      <c r="G537" s="1332"/>
      <c r="H537" s="1332"/>
      <c r="I537" s="1332"/>
      <c r="J537" s="1332"/>
      <c r="K537" s="1332"/>
      <c r="L537" s="1332"/>
      <c r="M537" s="1332"/>
      <c r="N537" s="1332"/>
      <c r="O537" s="1332"/>
    </row>
    <row r="538">
      <c r="A538" s="1332"/>
      <c r="B538" s="1332"/>
      <c r="C538" s="1332"/>
      <c r="D538" s="1332"/>
      <c r="E538" s="1332"/>
      <c r="F538" s="1332"/>
      <c r="G538" s="1332"/>
      <c r="H538" s="1332"/>
      <c r="I538" s="1332"/>
      <c r="J538" s="1332"/>
      <c r="K538" s="1332"/>
      <c r="L538" s="1332"/>
      <c r="M538" s="1332"/>
      <c r="N538" s="1332"/>
      <c r="O538" s="1332"/>
    </row>
    <row r="539">
      <c r="A539" s="1332"/>
      <c r="B539" s="1332"/>
      <c r="C539" s="1332"/>
      <c r="D539" s="1332"/>
      <c r="E539" s="1332"/>
      <c r="F539" s="1332"/>
      <c r="G539" s="1332"/>
      <c r="H539" s="1332"/>
      <c r="I539" s="1332"/>
      <c r="J539" s="1332"/>
      <c r="K539" s="1332"/>
      <c r="L539" s="1332"/>
      <c r="M539" s="1332"/>
      <c r="N539" s="1332"/>
      <c r="O539" s="1332"/>
    </row>
    <row r="540">
      <c r="A540" s="1332"/>
      <c r="B540" s="1332"/>
      <c r="C540" s="1332"/>
      <c r="D540" s="1332"/>
      <c r="E540" s="1332"/>
      <c r="F540" s="1332"/>
      <c r="G540" s="1332"/>
      <c r="H540" s="1332"/>
      <c r="I540" s="1332"/>
      <c r="J540" s="1332"/>
      <c r="K540" s="1332"/>
      <c r="L540" s="1332"/>
      <c r="M540" s="1332"/>
      <c r="N540" s="1332"/>
      <c r="O540" s="1332"/>
    </row>
    <row r="541">
      <c r="A541" s="1332"/>
      <c r="B541" s="1332"/>
      <c r="C541" s="1332"/>
      <c r="D541" s="1332"/>
      <c r="E541" s="1332"/>
      <c r="F541" s="1332"/>
      <c r="G541" s="1332"/>
      <c r="H541" s="1332"/>
      <c r="I541" s="1332"/>
      <c r="J541" s="1332"/>
      <c r="K541" s="1332"/>
      <c r="L541" s="1332"/>
      <c r="M541" s="1332"/>
      <c r="N541" s="1332"/>
      <c r="O541" s="1332"/>
    </row>
    <row r="542">
      <c r="A542" s="1332"/>
      <c r="B542" s="1332"/>
      <c r="C542" s="1332"/>
      <c r="D542" s="1332"/>
      <c r="E542" s="1332"/>
      <c r="F542" s="1332"/>
      <c r="G542" s="1332"/>
      <c r="H542" s="1332"/>
      <c r="I542" s="1332"/>
      <c r="J542" s="1332"/>
      <c r="K542" s="1332"/>
      <c r="L542" s="1332"/>
      <c r="M542" s="1332"/>
      <c r="N542" s="1332"/>
      <c r="O542" s="1332"/>
    </row>
    <row r="543">
      <c r="A543" s="1332"/>
      <c r="B543" s="1332"/>
      <c r="C543" s="1332"/>
      <c r="D543" s="1332"/>
      <c r="E543" s="1332"/>
      <c r="F543" s="1332"/>
      <c r="G543" s="1332"/>
      <c r="H543" s="1332"/>
      <c r="I543" s="1332"/>
      <c r="J543" s="1332"/>
      <c r="K543" s="1332"/>
      <c r="L543" s="1332"/>
      <c r="M543" s="1332"/>
      <c r="N543" s="1332"/>
      <c r="O543" s="1332"/>
    </row>
    <row r="544">
      <c r="A544" s="1332"/>
      <c r="B544" s="1332"/>
      <c r="C544" s="1332"/>
      <c r="D544" s="1332"/>
      <c r="E544" s="1332"/>
      <c r="F544" s="1332"/>
      <c r="G544" s="1332"/>
      <c r="H544" s="1332"/>
      <c r="I544" s="1332"/>
      <c r="J544" s="1332"/>
      <c r="K544" s="1332"/>
      <c r="L544" s="1332"/>
      <c r="M544" s="1332"/>
      <c r="N544" s="1332"/>
      <c r="O544" s="1332"/>
    </row>
    <row r="545">
      <c r="A545" s="1332"/>
      <c r="B545" s="1332"/>
      <c r="C545" s="1332"/>
      <c r="D545" s="1332"/>
      <c r="E545" s="1332"/>
      <c r="F545" s="1332"/>
      <c r="G545" s="1332"/>
      <c r="H545" s="1332"/>
      <c r="I545" s="1332"/>
      <c r="J545" s="1332"/>
      <c r="K545" s="1332"/>
      <c r="L545" s="1332"/>
      <c r="M545" s="1332"/>
      <c r="N545" s="1332"/>
      <c r="O545" s="1332"/>
    </row>
    <row r="546">
      <c r="A546" s="1332"/>
      <c r="B546" s="1332"/>
      <c r="C546" s="1332"/>
      <c r="D546" s="1332"/>
      <c r="E546" s="1332"/>
      <c r="F546" s="1332"/>
      <c r="G546" s="1332"/>
      <c r="H546" s="1332"/>
      <c r="I546" s="1332"/>
      <c r="J546" s="1332"/>
      <c r="K546" s="1332"/>
      <c r="L546" s="1332"/>
      <c r="M546" s="1332"/>
      <c r="N546" s="1332"/>
      <c r="O546" s="1332"/>
    </row>
    <row r="547">
      <c r="A547" s="1332"/>
      <c r="B547" s="1332"/>
      <c r="C547" s="1332"/>
      <c r="D547" s="1332"/>
      <c r="E547" s="1332"/>
      <c r="F547" s="1332"/>
      <c r="G547" s="1332"/>
      <c r="H547" s="1332"/>
      <c r="I547" s="1332"/>
      <c r="J547" s="1332"/>
      <c r="K547" s="1332"/>
      <c r="L547" s="1332"/>
      <c r="M547" s="1332"/>
      <c r="N547" s="1332"/>
      <c r="O547" s="1332"/>
    </row>
    <row r="548">
      <c r="A548" s="1332"/>
      <c r="B548" s="1332"/>
      <c r="C548" s="1332"/>
      <c r="D548" s="1332"/>
      <c r="E548" s="1332"/>
      <c r="F548" s="1332"/>
      <c r="G548" s="1332"/>
      <c r="H548" s="1332"/>
      <c r="I548" s="1332"/>
      <c r="J548" s="1332"/>
      <c r="K548" s="1332"/>
      <c r="L548" s="1332"/>
      <c r="M548" s="1332"/>
      <c r="N548" s="1332"/>
      <c r="O548" s="1332"/>
    </row>
    <row r="549">
      <c r="A549" s="1332"/>
      <c r="B549" s="1332"/>
      <c r="C549" s="1332"/>
      <c r="D549" s="1332"/>
      <c r="E549" s="1332"/>
      <c r="F549" s="1332"/>
      <c r="G549" s="1332"/>
      <c r="H549" s="1332"/>
      <c r="I549" s="1332"/>
      <c r="J549" s="1332"/>
      <c r="K549" s="1332"/>
      <c r="L549" s="1332"/>
      <c r="M549" s="1332"/>
      <c r="N549" s="1332"/>
      <c r="O549" s="1332"/>
    </row>
    <row r="550">
      <c r="A550" s="1332"/>
      <c r="B550" s="1332"/>
      <c r="C550" s="1332"/>
      <c r="D550" s="1332"/>
      <c r="E550" s="1332"/>
      <c r="F550" s="1332"/>
      <c r="G550" s="1332"/>
      <c r="H550" s="1332"/>
      <c r="I550" s="1332"/>
      <c r="J550" s="1332"/>
      <c r="K550" s="1332"/>
      <c r="L550" s="1332"/>
      <c r="M550" s="1332"/>
      <c r="N550" s="1332"/>
      <c r="O550" s="1332"/>
    </row>
    <row r="551">
      <c r="A551" s="1332"/>
      <c r="B551" s="1332"/>
      <c r="C551" s="1332"/>
      <c r="D551" s="1332"/>
      <c r="E551" s="1332"/>
      <c r="F551" s="1332"/>
      <c r="G551" s="1332"/>
      <c r="H551" s="1332"/>
      <c r="I551" s="1332"/>
      <c r="J551" s="1332"/>
      <c r="K551" s="1332"/>
      <c r="L551" s="1332"/>
      <c r="M551" s="1332"/>
      <c r="N551" s="1332"/>
      <c r="O551" s="1332"/>
    </row>
    <row r="552">
      <c r="A552" s="1332"/>
      <c r="B552" s="1332"/>
      <c r="C552" s="1332"/>
      <c r="D552" s="1332"/>
      <c r="E552" s="1332"/>
      <c r="F552" s="1332"/>
      <c r="G552" s="1332"/>
      <c r="H552" s="1332"/>
      <c r="I552" s="1332"/>
      <c r="J552" s="1332"/>
      <c r="K552" s="1332"/>
      <c r="L552" s="1332"/>
      <c r="M552" s="1332"/>
      <c r="N552" s="1332"/>
      <c r="O552" s="1332"/>
    </row>
    <row r="553">
      <c r="A553" s="1332"/>
      <c r="B553" s="1332"/>
      <c r="C553" s="1332"/>
      <c r="D553" s="1332"/>
      <c r="E553" s="1332"/>
      <c r="F553" s="1332"/>
      <c r="G553" s="1332"/>
      <c r="H553" s="1332"/>
      <c r="I553" s="1332"/>
      <c r="J553" s="1332"/>
      <c r="K553" s="1332"/>
      <c r="L553" s="1332"/>
      <c r="M553" s="1332"/>
      <c r="N553" s="1332"/>
      <c r="O553" s="1332"/>
    </row>
    <row r="554">
      <c r="A554" s="1332"/>
      <c r="B554" s="1332"/>
      <c r="C554" s="1332"/>
      <c r="D554" s="1332"/>
      <c r="E554" s="1332"/>
      <c r="F554" s="1332"/>
      <c r="G554" s="1332"/>
      <c r="H554" s="1332"/>
      <c r="I554" s="1332"/>
      <c r="J554" s="1332"/>
      <c r="K554" s="1332"/>
      <c r="L554" s="1332"/>
      <c r="M554" s="1332"/>
      <c r="N554" s="1332"/>
      <c r="O554" s="1332"/>
    </row>
    <row r="555">
      <c r="A555" s="1332"/>
      <c r="B555" s="1332"/>
      <c r="C555" s="1332"/>
      <c r="D555" s="1332"/>
      <c r="E555" s="1332"/>
      <c r="F555" s="1332"/>
      <c r="G555" s="1332"/>
      <c r="H555" s="1332"/>
      <c r="I555" s="1332"/>
      <c r="J555" s="1332"/>
      <c r="K555" s="1332"/>
      <c r="L555" s="1332"/>
      <c r="M555" s="1332"/>
      <c r="N555" s="1332"/>
      <c r="O555" s="1332"/>
    </row>
    <row r="556">
      <c r="A556" s="1332"/>
      <c r="B556" s="1332"/>
      <c r="C556" s="1332"/>
      <c r="D556" s="1332"/>
      <c r="E556" s="1332"/>
      <c r="F556" s="1332"/>
      <c r="G556" s="1332"/>
      <c r="H556" s="1332"/>
      <c r="I556" s="1332"/>
      <c r="J556" s="1332"/>
      <c r="K556" s="1332"/>
      <c r="L556" s="1332"/>
      <c r="M556" s="1332"/>
      <c r="N556" s="1332"/>
      <c r="O556" s="1332"/>
    </row>
    <row r="557">
      <c r="A557" s="1332"/>
      <c r="B557" s="1332"/>
      <c r="C557" s="1332"/>
      <c r="D557" s="1332"/>
      <c r="E557" s="1332"/>
      <c r="F557" s="1332"/>
      <c r="G557" s="1332"/>
      <c r="H557" s="1332"/>
      <c r="I557" s="1332"/>
      <c r="J557" s="1332"/>
      <c r="K557" s="1332"/>
      <c r="L557" s="1332"/>
      <c r="M557" s="1332"/>
      <c r="N557" s="1332"/>
      <c r="O557" s="1332"/>
    </row>
    <row r="558">
      <c r="A558" s="1332"/>
      <c r="B558" s="1332"/>
      <c r="C558" s="1332"/>
      <c r="D558" s="1332"/>
      <c r="E558" s="1332"/>
      <c r="F558" s="1332"/>
      <c r="G558" s="1332"/>
      <c r="H558" s="1332"/>
      <c r="I558" s="1332"/>
      <c r="J558" s="1332"/>
      <c r="K558" s="1332"/>
      <c r="L558" s="1332"/>
      <c r="M558" s="1332"/>
      <c r="N558" s="1332"/>
      <c r="O558" s="1332"/>
    </row>
    <row r="559">
      <c r="A559" s="1332"/>
      <c r="B559" s="1332"/>
      <c r="C559" s="1332"/>
      <c r="D559" s="1332"/>
      <c r="E559" s="1332"/>
      <c r="F559" s="1332"/>
      <c r="G559" s="1332"/>
      <c r="H559" s="1332"/>
      <c r="I559" s="1332"/>
      <c r="J559" s="1332"/>
      <c r="K559" s="1332"/>
      <c r="L559" s="1332"/>
      <c r="M559" s="1332"/>
      <c r="N559" s="1332"/>
      <c r="O559" s="1332"/>
    </row>
    <row r="560">
      <c r="A560" s="1332"/>
      <c r="B560" s="1332"/>
      <c r="C560" s="1332"/>
      <c r="D560" s="1332"/>
      <c r="E560" s="1332"/>
      <c r="F560" s="1332"/>
      <c r="G560" s="1332"/>
      <c r="H560" s="1332"/>
      <c r="I560" s="1332"/>
      <c r="J560" s="1332"/>
      <c r="K560" s="1332"/>
      <c r="L560" s="1332"/>
      <c r="M560" s="1332"/>
      <c r="N560" s="1332"/>
      <c r="O560" s="1332"/>
    </row>
    <row r="561">
      <c r="A561" s="1332"/>
      <c r="B561" s="1332"/>
      <c r="C561" s="1332"/>
      <c r="D561" s="1332"/>
      <c r="E561" s="1332"/>
      <c r="F561" s="1332"/>
      <c r="G561" s="1332"/>
      <c r="H561" s="1332"/>
      <c r="I561" s="1332"/>
      <c r="J561" s="1332"/>
      <c r="K561" s="1332"/>
      <c r="L561" s="1332"/>
      <c r="M561" s="1332"/>
      <c r="N561" s="1332"/>
      <c r="O561" s="1332"/>
    </row>
    <row r="562">
      <c r="A562" s="1332"/>
      <c r="B562" s="1332"/>
      <c r="C562" s="1332"/>
      <c r="D562" s="1332"/>
      <c r="E562" s="1332"/>
      <c r="F562" s="1332"/>
      <c r="G562" s="1332"/>
      <c r="H562" s="1332"/>
      <c r="I562" s="1332"/>
      <c r="J562" s="1332"/>
      <c r="K562" s="1332"/>
      <c r="L562" s="1332"/>
      <c r="M562" s="1332"/>
      <c r="N562" s="1332"/>
      <c r="O562" s="1332"/>
    </row>
    <row r="563">
      <c r="A563" s="1332"/>
      <c r="B563" s="1332"/>
      <c r="C563" s="1332"/>
      <c r="D563" s="1332"/>
      <c r="E563" s="1332"/>
      <c r="F563" s="1332"/>
      <c r="G563" s="1332"/>
      <c r="H563" s="1332"/>
      <c r="I563" s="1332"/>
      <c r="J563" s="1332"/>
      <c r="K563" s="1332"/>
      <c r="L563" s="1332"/>
      <c r="M563" s="1332"/>
      <c r="N563" s="1332"/>
      <c r="O563" s="1332"/>
    </row>
    <row r="564">
      <c r="A564" s="1332"/>
      <c r="B564" s="1332"/>
      <c r="C564" s="1332"/>
      <c r="D564" s="1332"/>
      <c r="E564" s="1332"/>
      <c r="F564" s="1332"/>
      <c r="G564" s="1332"/>
      <c r="H564" s="1332"/>
      <c r="I564" s="1332"/>
      <c r="J564" s="1332"/>
      <c r="K564" s="1332"/>
      <c r="L564" s="1332"/>
      <c r="M564" s="1332"/>
      <c r="N564" s="1332"/>
      <c r="O564" s="1332"/>
    </row>
    <row r="565">
      <c r="A565" s="1332"/>
      <c r="B565" s="1332"/>
      <c r="C565" s="1332"/>
      <c r="D565" s="1332"/>
      <c r="E565" s="1332"/>
      <c r="F565" s="1332"/>
      <c r="G565" s="1332"/>
      <c r="H565" s="1332"/>
      <c r="I565" s="1332"/>
      <c r="J565" s="1332"/>
      <c r="K565" s="1332"/>
      <c r="L565" s="1332"/>
      <c r="M565" s="1332"/>
      <c r="N565" s="1332"/>
      <c r="O565" s="1332"/>
    </row>
    <row r="566">
      <c r="A566" s="1332"/>
      <c r="B566" s="1332"/>
      <c r="C566" s="1332"/>
      <c r="D566" s="1332"/>
      <c r="E566" s="1332"/>
      <c r="F566" s="1332"/>
      <c r="G566" s="1332"/>
      <c r="H566" s="1332"/>
      <c r="I566" s="1332"/>
      <c r="J566" s="1332"/>
      <c r="K566" s="1332"/>
      <c r="L566" s="1332"/>
      <c r="M566" s="1332"/>
      <c r="N566" s="1332"/>
      <c r="O566" s="1332"/>
    </row>
    <row r="567">
      <c r="A567" s="1332"/>
      <c r="B567" s="1332"/>
      <c r="C567" s="1332"/>
      <c r="D567" s="1332"/>
      <c r="E567" s="1332"/>
      <c r="F567" s="1332"/>
      <c r="G567" s="1332"/>
      <c r="H567" s="1332"/>
      <c r="I567" s="1332"/>
      <c r="J567" s="1332"/>
      <c r="K567" s="1332"/>
      <c r="L567" s="1332"/>
      <c r="M567" s="1332"/>
      <c r="N567" s="1332"/>
      <c r="O567" s="1332"/>
    </row>
    <row r="568">
      <c r="A568" s="1332"/>
      <c r="B568" s="1332"/>
      <c r="C568" s="1332"/>
      <c r="D568" s="1332"/>
      <c r="E568" s="1332"/>
      <c r="F568" s="1332"/>
      <c r="G568" s="1332"/>
      <c r="H568" s="1332"/>
      <c r="I568" s="1332"/>
      <c r="J568" s="1332"/>
      <c r="K568" s="1332"/>
      <c r="L568" s="1332"/>
      <c r="M568" s="1332"/>
      <c r="N568" s="1332"/>
      <c r="O568" s="1332"/>
    </row>
    <row r="569">
      <c r="A569" s="1332"/>
      <c r="B569" s="1332"/>
      <c r="C569" s="1332"/>
      <c r="D569" s="1332"/>
      <c r="E569" s="1332"/>
      <c r="F569" s="1332"/>
      <c r="G569" s="1332"/>
      <c r="H569" s="1332"/>
      <c r="I569" s="1332"/>
      <c r="J569" s="1332"/>
      <c r="K569" s="1332"/>
      <c r="L569" s="1332"/>
      <c r="M569" s="1332"/>
      <c r="N569" s="1332"/>
      <c r="O569" s="1332"/>
    </row>
    <row r="570">
      <c r="A570" s="1332"/>
      <c r="B570" s="1332"/>
      <c r="C570" s="1332"/>
      <c r="D570" s="1332"/>
      <c r="E570" s="1332"/>
      <c r="F570" s="1332"/>
      <c r="G570" s="1332"/>
      <c r="H570" s="1332"/>
      <c r="I570" s="1332"/>
      <c r="J570" s="1332"/>
      <c r="K570" s="1332"/>
      <c r="L570" s="1332"/>
      <c r="M570" s="1332"/>
      <c r="N570" s="1332"/>
      <c r="O570" s="1332"/>
    </row>
    <row r="571">
      <c r="A571" s="1332"/>
      <c r="B571" s="1332"/>
      <c r="C571" s="1332"/>
      <c r="D571" s="1332"/>
      <c r="E571" s="1332"/>
      <c r="F571" s="1332"/>
      <c r="G571" s="1332"/>
      <c r="H571" s="1332"/>
      <c r="I571" s="1332"/>
      <c r="J571" s="1332"/>
      <c r="K571" s="1332"/>
      <c r="L571" s="1332"/>
      <c r="M571" s="1332"/>
      <c r="N571" s="1332"/>
      <c r="O571" s="1332"/>
    </row>
    <row r="572">
      <c r="A572" s="1332"/>
      <c r="B572" s="1332"/>
      <c r="C572" s="1332"/>
      <c r="D572" s="1332"/>
      <c r="E572" s="1332"/>
      <c r="F572" s="1332"/>
      <c r="G572" s="1332"/>
      <c r="H572" s="1332"/>
      <c r="I572" s="1332"/>
      <c r="J572" s="1332"/>
      <c r="K572" s="1332"/>
      <c r="L572" s="1332"/>
      <c r="M572" s="1332"/>
      <c r="N572" s="1332"/>
      <c r="O572" s="1332"/>
    </row>
    <row r="573">
      <c r="A573" s="1332"/>
      <c r="B573" s="1332"/>
      <c r="C573" s="1332"/>
      <c r="D573" s="1332"/>
      <c r="E573" s="1332"/>
      <c r="F573" s="1332"/>
      <c r="G573" s="1332"/>
      <c r="H573" s="1332"/>
      <c r="I573" s="1332"/>
      <c r="J573" s="1332"/>
      <c r="K573" s="1332"/>
      <c r="L573" s="1332"/>
      <c r="M573" s="1332"/>
      <c r="N573" s="1332"/>
      <c r="O573" s="1332"/>
    </row>
    <row r="574">
      <c r="A574" s="1332"/>
      <c r="B574" s="1332"/>
      <c r="C574" s="1332"/>
      <c r="D574" s="1332"/>
      <c r="E574" s="1332"/>
      <c r="F574" s="1332"/>
      <c r="G574" s="1332"/>
      <c r="H574" s="1332"/>
      <c r="I574" s="1332"/>
      <c r="J574" s="1332"/>
      <c r="K574" s="1332"/>
      <c r="L574" s="1332"/>
      <c r="M574" s="1332"/>
      <c r="N574" s="1332"/>
      <c r="O574" s="1332"/>
    </row>
    <row r="575">
      <c r="A575" s="1332"/>
      <c r="B575" s="1332"/>
      <c r="C575" s="1332"/>
      <c r="D575" s="1332"/>
      <c r="E575" s="1332"/>
      <c r="F575" s="1332"/>
      <c r="G575" s="1332"/>
      <c r="H575" s="1332"/>
      <c r="I575" s="1332"/>
      <c r="J575" s="1332"/>
      <c r="K575" s="1332"/>
      <c r="L575" s="1332"/>
      <c r="M575" s="1332"/>
      <c r="N575" s="1332"/>
      <c r="O575" s="1332"/>
    </row>
    <row r="576">
      <c r="A576" s="1332"/>
      <c r="B576" s="1332"/>
      <c r="C576" s="1332"/>
      <c r="D576" s="1332"/>
      <c r="E576" s="1332"/>
      <c r="F576" s="1332"/>
      <c r="G576" s="1332"/>
      <c r="H576" s="1332"/>
      <c r="I576" s="1332"/>
      <c r="J576" s="1332"/>
      <c r="K576" s="1332"/>
      <c r="L576" s="1332"/>
      <c r="M576" s="1332"/>
      <c r="N576" s="1332"/>
      <c r="O576" s="1332"/>
    </row>
    <row r="577">
      <c r="A577" s="1332"/>
      <c r="B577" s="1332"/>
      <c r="C577" s="1332"/>
      <c r="D577" s="1332"/>
      <c r="E577" s="1332"/>
      <c r="F577" s="1332"/>
      <c r="G577" s="1332"/>
      <c r="H577" s="1332"/>
      <c r="I577" s="1332"/>
      <c r="J577" s="1332"/>
      <c r="K577" s="1332"/>
      <c r="L577" s="1332"/>
      <c r="M577" s="1332"/>
      <c r="N577" s="1332"/>
      <c r="O577" s="1332"/>
    </row>
    <row r="578">
      <c r="A578" s="1332"/>
      <c r="B578" s="1332"/>
      <c r="C578" s="1332"/>
      <c r="D578" s="1332"/>
      <c r="E578" s="1332"/>
      <c r="F578" s="1332"/>
      <c r="G578" s="1332"/>
      <c r="H578" s="1332"/>
      <c r="I578" s="1332"/>
      <c r="J578" s="1332"/>
      <c r="K578" s="1332"/>
      <c r="L578" s="1332"/>
      <c r="M578" s="1332"/>
      <c r="N578" s="1332"/>
      <c r="O578" s="1332"/>
    </row>
    <row r="579">
      <c r="A579" s="1332"/>
      <c r="B579" s="1332"/>
      <c r="C579" s="1332"/>
      <c r="D579" s="1332"/>
      <c r="E579" s="1332"/>
      <c r="F579" s="1332"/>
      <c r="G579" s="1332"/>
      <c r="H579" s="1332"/>
      <c r="I579" s="1332"/>
      <c r="J579" s="1332"/>
      <c r="K579" s="1332"/>
      <c r="L579" s="1332"/>
      <c r="M579" s="1332"/>
      <c r="N579" s="1332"/>
      <c r="O579" s="1332"/>
    </row>
    <row r="580">
      <c r="A580" s="1332"/>
      <c r="B580" s="1332"/>
      <c r="C580" s="1332"/>
      <c r="D580" s="1332"/>
      <c r="E580" s="1332"/>
      <c r="F580" s="1332"/>
      <c r="G580" s="1332"/>
      <c r="H580" s="1332"/>
      <c r="I580" s="1332"/>
      <c r="J580" s="1332"/>
      <c r="K580" s="1332"/>
      <c r="L580" s="1332"/>
      <c r="M580" s="1332"/>
      <c r="N580" s="1332"/>
      <c r="O580" s="1332"/>
    </row>
    <row r="581">
      <c r="A581" s="1332"/>
      <c r="B581" s="1332"/>
      <c r="C581" s="1332"/>
      <c r="D581" s="1332"/>
      <c r="E581" s="1332"/>
      <c r="F581" s="1332"/>
      <c r="G581" s="1332"/>
      <c r="H581" s="1332"/>
      <c r="I581" s="1332"/>
      <c r="J581" s="1332"/>
      <c r="K581" s="1332"/>
      <c r="L581" s="1332"/>
      <c r="M581" s="1332"/>
      <c r="N581" s="1332"/>
      <c r="O581" s="1332"/>
    </row>
    <row r="582">
      <c r="A582" s="1332"/>
      <c r="B582" s="1332"/>
      <c r="C582" s="1332"/>
      <c r="D582" s="1332"/>
      <c r="E582" s="1332"/>
      <c r="F582" s="1332"/>
      <c r="G582" s="1332"/>
      <c r="H582" s="1332"/>
      <c r="I582" s="1332"/>
      <c r="J582" s="1332"/>
      <c r="K582" s="1332"/>
      <c r="L582" s="1332"/>
      <c r="M582" s="1332"/>
      <c r="N582" s="1332"/>
      <c r="O582" s="1332"/>
    </row>
    <row r="583">
      <c r="A583" s="1332"/>
      <c r="B583" s="1332"/>
      <c r="C583" s="1332"/>
      <c r="D583" s="1332"/>
      <c r="E583" s="1332"/>
      <c r="F583" s="1332"/>
      <c r="G583" s="1332"/>
      <c r="H583" s="1332"/>
      <c r="I583" s="1332"/>
      <c r="J583" s="1332"/>
      <c r="K583" s="1332"/>
      <c r="L583" s="1332"/>
      <c r="M583" s="1332"/>
      <c r="N583" s="1332"/>
      <c r="O583" s="1332"/>
    </row>
    <row r="584">
      <c r="A584" s="1332"/>
      <c r="B584" s="1332"/>
      <c r="C584" s="1332"/>
      <c r="D584" s="1332"/>
      <c r="E584" s="1332"/>
      <c r="F584" s="1332"/>
      <c r="G584" s="1332"/>
      <c r="H584" s="1332"/>
      <c r="I584" s="1332"/>
      <c r="J584" s="1332"/>
      <c r="K584" s="1332"/>
      <c r="L584" s="1332"/>
      <c r="M584" s="1332"/>
      <c r="N584" s="1332"/>
      <c r="O584" s="1332"/>
    </row>
    <row r="585">
      <c r="A585" s="1332"/>
      <c r="B585" s="1332"/>
      <c r="C585" s="1332"/>
      <c r="D585" s="1332"/>
      <c r="E585" s="1332"/>
      <c r="F585" s="1332"/>
      <c r="G585" s="1332"/>
      <c r="H585" s="1332"/>
      <c r="I585" s="1332"/>
      <c r="J585" s="1332"/>
      <c r="K585" s="1332"/>
      <c r="L585" s="1332"/>
      <c r="M585" s="1332"/>
      <c r="N585" s="1332"/>
      <c r="O585" s="1332"/>
    </row>
    <row r="586">
      <c r="A586" s="1332"/>
      <c r="B586" s="1332"/>
      <c r="C586" s="1332"/>
      <c r="D586" s="1332"/>
      <c r="E586" s="1332"/>
      <c r="F586" s="1332"/>
      <c r="G586" s="1332"/>
      <c r="H586" s="1332"/>
      <c r="I586" s="1332"/>
      <c r="J586" s="1332"/>
      <c r="K586" s="1332"/>
      <c r="L586" s="1332"/>
      <c r="M586" s="1332"/>
      <c r="N586" s="1332"/>
      <c r="O586" s="1332"/>
    </row>
    <row r="587">
      <c r="A587" s="1332"/>
      <c r="B587" s="1332"/>
      <c r="C587" s="1332"/>
      <c r="D587" s="1332"/>
      <c r="E587" s="1332"/>
      <c r="F587" s="1332"/>
      <c r="G587" s="1332"/>
      <c r="H587" s="1332"/>
      <c r="I587" s="1332"/>
      <c r="J587" s="1332"/>
      <c r="K587" s="1332"/>
      <c r="L587" s="1332"/>
      <c r="M587" s="1332"/>
      <c r="N587" s="1332"/>
      <c r="O587" s="1332"/>
    </row>
    <row r="588">
      <c r="A588" s="1332"/>
      <c r="B588" s="1332"/>
      <c r="C588" s="1332"/>
      <c r="D588" s="1332"/>
      <c r="E588" s="1332"/>
      <c r="F588" s="1332"/>
      <c r="G588" s="1332"/>
      <c r="H588" s="1332"/>
      <c r="I588" s="1332"/>
      <c r="J588" s="1332"/>
      <c r="K588" s="1332"/>
      <c r="L588" s="1332"/>
      <c r="M588" s="1332"/>
      <c r="N588" s="1332"/>
      <c r="O588" s="1332"/>
    </row>
    <row r="589">
      <c r="A589" s="1332"/>
      <c r="B589" s="1332"/>
      <c r="C589" s="1332"/>
      <c r="D589" s="1332"/>
      <c r="E589" s="1332"/>
      <c r="F589" s="1332"/>
      <c r="G589" s="1332"/>
      <c r="H589" s="1332"/>
      <c r="I589" s="1332"/>
      <c r="J589" s="1332"/>
      <c r="K589" s="1332"/>
      <c r="L589" s="1332"/>
      <c r="M589" s="1332"/>
      <c r="N589" s="1332"/>
      <c r="O589" s="1332"/>
    </row>
    <row r="590">
      <c r="A590" s="1332"/>
      <c r="B590" s="1332"/>
      <c r="C590" s="1332"/>
      <c r="D590" s="1332"/>
      <c r="E590" s="1332"/>
      <c r="F590" s="1332"/>
      <c r="G590" s="1332"/>
      <c r="H590" s="1332"/>
      <c r="I590" s="1332"/>
      <c r="J590" s="1332"/>
      <c r="K590" s="1332"/>
      <c r="L590" s="1332"/>
      <c r="M590" s="1332"/>
      <c r="N590" s="1332"/>
      <c r="O590" s="1332"/>
    </row>
    <row r="591">
      <c r="A591" s="1332"/>
      <c r="B591" s="1332"/>
      <c r="C591" s="1332"/>
      <c r="D591" s="1332"/>
      <c r="E591" s="1332"/>
      <c r="F591" s="1332"/>
      <c r="G591" s="1332"/>
      <c r="H591" s="1332"/>
      <c r="I591" s="1332"/>
      <c r="J591" s="1332"/>
      <c r="K591" s="1332"/>
      <c r="L591" s="1332"/>
      <c r="M591" s="1332"/>
      <c r="N591" s="1332"/>
      <c r="O591" s="1332"/>
    </row>
    <row r="592">
      <c r="A592" s="1332"/>
      <c r="B592" s="1332"/>
      <c r="C592" s="1332"/>
      <c r="D592" s="1332"/>
      <c r="E592" s="1332"/>
      <c r="F592" s="1332"/>
      <c r="G592" s="1332"/>
      <c r="H592" s="1332"/>
      <c r="I592" s="1332"/>
      <c r="J592" s="1332"/>
      <c r="K592" s="1332"/>
      <c r="L592" s="1332"/>
      <c r="M592" s="1332"/>
      <c r="N592" s="1332"/>
      <c r="O592" s="1332"/>
    </row>
    <row r="593">
      <c r="A593" s="1332"/>
      <c r="B593" s="1332"/>
      <c r="C593" s="1332"/>
      <c r="D593" s="1332"/>
      <c r="E593" s="1332"/>
      <c r="F593" s="1332"/>
      <c r="G593" s="1332"/>
      <c r="H593" s="1332"/>
      <c r="I593" s="1332"/>
      <c r="J593" s="1332"/>
      <c r="K593" s="1332"/>
      <c r="L593" s="1332"/>
      <c r="M593" s="1332"/>
      <c r="N593" s="1332"/>
      <c r="O593" s="1332"/>
    </row>
    <row r="594">
      <c r="A594" s="1332"/>
      <c r="B594" s="1332"/>
      <c r="C594" s="1332"/>
      <c r="D594" s="1332"/>
      <c r="E594" s="1332"/>
      <c r="F594" s="1332"/>
      <c r="G594" s="1332"/>
      <c r="H594" s="1332"/>
      <c r="I594" s="1332"/>
      <c r="J594" s="1332"/>
      <c r="K594" s="1332"/>
      <c r="L594" s="1332"/>
      <c r="M594" s="1332"/>
      <c r="N594" s="1332"/>
      <c r="O594" s="1332"/>
    </row>
    <row r="595">
      <c r="A595" s="1332"/>
      <c r="B595" s="1332"/>
      <c r="C595" s="1332"/>
      <c r="D595" s="1332"/>
      <c r="E595" s="1332"/>
      <c r="F595" s="1332"/>
      <c r="G595" s="1332"/>
      <c r="H595" s="1332"/>
      <c r="I595" s="1332"/>
      <c r="J595" s="1332"/>
      <c r="K595" s="1332"/>
      <c r="L595" s="1332"/>
      <c r="M595" s="1332"/>
      <c r="N595" s="1332"/>
      <c r="O595" s="1332"/>
    </row>
    <row r="596">
      <c r="A596" s="1332"/>
      <c r="B596" s="1332"/>
      <c r="C596" s="1332"/>
      <c r="D596" s="1332"/>
      <c r="E596" s="1332"/>
      <c r="F596" s="1332"/>
      <c r="G596" s="1332"/>
      <c r="H596" s="1332"/>
      <c r="I596" s="1332"/>
      <c r="J596" s="1332"/>
      <c r="K596" s="1332"/>
      <c r="L596" s="1332"/>
      <c r="M596" s="1332"/>
      <c r="N596" s="1332"/>
      <c r="O596" s="1332"/>
    </row>
    <row r="597">
      <c r="A597" s="1332"/>
      <c r="B597" s="1332"/>
      <c r="C597" s="1332"/>
      <c r="D597" s="1332"/>
      <c r="E597" s="1332"/>
      <c r="F597" s="1332"/>
      <c r="G597" s="1332"/>
      <c r="H597" s="1332"/>
      <c r="I597" s="1332"/>
      <c r="J597" s="1332"/>
      <c r="K597" s="1332"/>
      <c r="L597" s="1332"/>
      <c r="M597" s="1332"/>
      <c r="N597" s="1332"/>
      <c r="O597" s="1332"/>
    </row>
    <row r="598">
      <c r="A598" s="1332"/>
      <c r="B598" s="1332"/>
      <c r="C598" s="1332"/>
      <c r="D598" s="1332"/>
      <c r="E598" s="1332"/>
      <c r="F598" s="1332"/>
      <c r="G598" s="1332"/>
      <c r="H598" s="1332"/>
      <c r="I598" s="1332"/>
      <c r="J598" s="1332"/>
      <c r="K598" s="1332"/>
      <c r="L598" s="1332"/>
      <c r="M598" s="1332"/>
      <c r="N598" s="1332"/>
      <c r="O598" s="1332"/>
    </row>
    <row r="599">
      <c r="A599" s="1332"/>
      <c r="B599" s="1332"/>
      <c r="C599" s="1332"/>
      <c r="D599" s="1332"/>
      <c r="E599" s="1332"/>
      <c r="F599" s="1332"/>
      <c r="G599" s="1332"/>
      <c r="H599" s="1332"/>
      <c r="I599" s="1332"/>
      <c r="J599" s="1332"/>
      <c r="K599" s="1332"/>
      <c r="L599" s="1332"/>
      <c r="M599" s="1332"/>
      <c r="N599" s="1332"/>
      <c r="O599" s="1332"/>
    </row>
    <row r="600">
      <c r="A600" s="1332"/>
      <c r="B600" s="1332"/>
      <c r="C600" s="1332"/>
      <c r="D600" s="1332"/>
      <c r="E600" s="1332"/>
      <c r="F600" s="1332"/>
      <c r="G600" s="1332"/>
      <c r="H600" s="1332"/>
      <c r="I600" s="1332"/>
      <c r="J600" s="1332"/>
      <c r="K600" s="1332"/>
      <c r="L600" s="1332"/>
      <c r="M600" s="1332"/>
      <c r="N600" s="1332"/>
      <c r="O600" s="1332"/>
    </row>
    <row r="601">
      <c r="A601" s="1332"/>
      <c r="B601" s="1332"/>
      <c r="C601" s="1332"/>
      <c r="D601" s="1332"/>
      <c r="E601" s="1332"/>
      <c r="F601" s="1332"/>
      <c r="G601" s="1332"/>
      <c r="H601" s="1332"/>
      <c r="I601" s="1332"/>
      <c r="J601" s="1332"/>
      <c r="K601" s="1332"/>
      <c r="L601" s="1332"/>
      <c r="M601" s="1332"/>
      <c r="N601" s="1332"/>
      <c r="O601" s="1332"/>
    </row>
    <row r="602">
      <c r="A602" s="1332"/>
      <c r="B602" s="1332"/>
      <c r="C602" s="1332"/>
      <c r="D602" s="1332"/>
      <c r="E602" s="1332"/>
      <c r="F602" s="1332"/>
      <c r="G602" s="1332"/>
      <c r="H602" s="1332"/>
      <c r="I602" s="1332"/>
      <c r="J602" s="1332"/>
      <c r="K602" s="1332"/>
      <c r="L602" s="1332"/>
      <c r="M602" s="1332"/>
      <c r="N602" s="1332"/>
      <c r="O602" s="1332"/>
    </row>
    <row r="603">
      <c r="A603" s="1332"/>
      <c r="B603" s="1332"/>
      <c r="C603" s="1332"/>
      <c r="D603" s="1332"/>
      <c r="E603" s="1332"/>
      <c r="F603" s="1332"/>
      <c r="G603" s="1332"/>
      <c r="H603" s="1332"/>
      <c r="I603" s="1332"/>
      <c r="J603" s="1332"/>
      <c r="K603" s="1332"/>
      <c r="L603" s="1332"/>
      <c r="M603" s="1332"/>
      <c r="N603" s="1332"/>
      <c r="O603" s="1332"/>
    </row>
    <row r="604">
      <c r="A604" s="1332"/>
      <c r="B604" s="1332"/>
      <c r="C604" s="1332"/>
      <c r="D604" s="1332"/>
      <c r="E604" s="1332"/>
      <c r="F604" s="1332"/>
      <c r="G604" s="1332"/>
      <c r="H604" s="1332"/>
      <c r="I604" s="1332"/>
      <c r="J604" s="1332"/>
      <c r="K604" s="1332"/>
      <c r="L604" s="1332"/>
      <c r="M604" s="1332"/>
      <c r="N604" s="1332"/>
      <c r="O604" s="1332"/>
    </row>
    <row r="605">
      <c r="A605" s="1332"/>
      <c r="B605" s="1332"/>
      <c r="C605" s="1332"/>
      <c r="D605" s="1332"/>
      <c r="E605" s="1332"/>
      <c r="F605" s="1332"/>
      <c r="G605" s="1332"/>
      <c r="H605" s="1332"/>
      <c r="I605" s="1332"/>
      <c r="J605" s="1332"/>
      <c r="K605" s="1332"/>
      <c r="L605" s="1332"/>
      <c r="M605" s="1332"/>
      <c r="N605" s="1332"/>
      <c r="O605" s="1332"/>
    </row>
    <row r="606">
      <c r="A606" s="1332"/>
      <c r="B606" s="1332"/>
      <c r="C606" s="1332"/>
      <c r="D606" s="1332"/>
      <c r="E606" s="1332"/>
      <c r="F606" s="1332"/>
      <c r="G606" s="1332"/>
      <c r="H606" s="1332"/>
      <c r="I606" s="1332"/>
      <c r="J606" s="1332"/>
      <c r="K606" s="1332"/>
      <c r="L606" s="1332"/>
      <c r="M606" s="1332"/>
      <c r="N606" s="1332"/>
      <c r="O606" s="1332"/>
    </row>
    <row r="607">
      <c r="A607" s="1332"/>
      <c r="B607" s="1332"/>
      <c r="C607" s="1332"/>
      <c r="D607" s="1332"/>
      <c r="E607" s="1332"/>
      <c r="F607" s="1332"/>
      <c r="G607" s="1332"/>
      <c r="H607" s="1332"/>
      <c r="I607" s="1332"/>
      <c r="J607" s="1332"/>
      <c r="K607" s="1332"/>
      <c r="L607" s="1332"/>
      <c r="M607" s="1332"/>
      <c r="N607" s="1332"/>
      <c r="O607" s="1332"/>
    </row>
    <row r="608">
      <c r="A608" s="1332"/>
      <c r="B608" s="1332"/>
      <c r="C608" s="1332"/>
      <c r="D608" s="1332"/>
      <c r="E608" s="1332"/>
      <c r="F608" s="1332"/>
      <c r="G608" s="1332"/>
      <c r="H608" s="1332"/>
      <c r="I608" s="1332"/>
      <c r="J608" s="1332"/>
      <c r="K608" s="1332"/>
      <c r="L608" s="1332"/>
      <c r="M608" s="1332"/>
      <c r="N608" s="1332"/>
      <c r="O608" s="1332"/>
    </row>
    <row r="609">
      <c r="A609" s="1332"/>
      <c r="B609" s="1332"/>
      <c r="C609" s="1332"/>
      <c r="D609" s="1332"/>
      <c r="E609" s="1332"/>
      <c r="F609" s="1332"/>
      <c r="G609" s="1332"/>
      <c r="H609" s="1332"/>
      <c r="I609" s="1332"/>
      <c r="J609" s="1332"/>
      <c r="K609" s="1332"/>
      <c r="L609" s="1332"/>
      <c r="M609" s="1332"/>
      <c r="N609" s="1332"/>
      <c r="O609" s="1332"/>
    </row>
    <row r="610">
      <c r="A610" s="1332"/>
      <c r="B610" s="1332"/>
      <c r="C610" s="1332"/>
      <c r="D610" s="1332"/>
      <c r="E610" s="1332"/>
      <c r="F610" s="1332"/>
      <c r="G610" s="1332"/>
      <c r="H610" s="1332"/>
      <c r="I610" s="1332"/>
      <c r="J610" s="1332"/>
      <c r="K610" s="1332"/>
      <c r="L610" s="1332"/>
      <c r="M610" s="1332"/>
      <c r="N610" s="1332"/>
      <c r="O610" s="1332"/>
    </row>
    <row r="611">
      <c r="A611" s="1332"/>
      <c r="B611" s="1332"/>
      <c r="C611" s="1332"/>
      <c r="D611" s="1332"/>
      <c r="E611" s="1332"/>
      <c r="F611" s="1332"/>
      <c r="G611" s="1332"/>
      <c r="H611" s="1332"/>
      <c r="I611" s="1332"/>
      <c r="J611" s="1332"/>
      <c r="K611" s="1332"/>
      <c r="L611" s="1332"/>
      <c r="M611" s="1332"/>
      <c r="N611" s="1332"/>
      <c r="O611" s="1332"/>
    </row>
    <row r="612">
      <c r="A612" s="1332"/>
      <c r="B612" s="1332"/>
      <c r="C612" s="1332"/>
      <c r="D612" s="1332"/>
      <c r="E612" s="1332"/>
      <c r="F612" s="1332"/>
      <c r="G612" s="1332"/>
      <c r="H612" s="1332"/>
      <c r="I612" s="1332"/>
      <c r="J612" s="1332"/>
      <c r="K612" s="1332"/>
      <c r="L612" s="1332"/>
      <c r="M612" s="1332"/>
      <c r="N612" s="1332"/>
      <c r="O612" s="1332"/>
    </row>
    <row r="613">
      <c r="A613" s="1332"/>
      <c r="B613" s="1332"/>
      <c r="C613" s="1332"/>
      <c r="D613" s="1332"/>
      <c r="E613" s="1332"/>
      <c r="F613" s="1332"/>
      <c r="G613" s="1332"/>
      <c r="H613" s="1332"/>
      <c r="I613" s="1332"/>
      <c r="J613" s="1332"/>
      <c r="K613" s="1332"/>
      <c r="L613" s="1332"/>
      <c r="M613" s="1332"/>
      <c r="N613" s="1332"/>
      <c r="O613" s="1332"/>
    </row>
    <row r="614">
      <c r="A614" s="1332"/>
      <c r="B614" s="1332"/>
      <c r="C614" s="1332"/>
      <c r="D614" s="1332"/>
      <c r="E614" s="1332"/>
      <c r="F614" s="1332"/>
      <c r="G614" s="1332"/>
      <c r="H614" s="1332"/>
      <c r="I614" s="1332"/>
      <c r="J614" s="1332"/>
      <c r="K614" s="1332"/>
      <c r="L614" s="1332"/>
      <c r="M614" s="1332"/>
      <c r="N614" s="1332"/>
      <c r="O614" s="1332"/>
    </row>
    <row r="615">
      <c r="A615" s="1332"/>
      <c r="B615" s="1332"/>
      <c r="C615" s="1332"/>
      <c r="D615" s="1332"/>
      <c r="E615" s="1332"/>
      <c r="F615" s="1332"/>
      <c r="G615" s="1332"/>
      <c r="H615" s="1332"/>
      <c r="I615" s="1332"/>
      <c r="J615" s="1332"/>
      <c r="K615" s="1332"/>
      <c r="L615" s="1332"/>
      <c r="M615" s="1332"/>
      <c r="N615" s="1332"/>
      <c r="O615" s="1332"/>
    </row>
    <row r="616">
      <c r="A616" s="1332"/>
      <c r="B616" s="1332"/>
      <c r="C616" s="1332"/>
      <c r="D616" s="1332"/>
      <c r="E616" s="1332"/>
      <c r="F616" s="1332"/>
      <c r="G616" s="1332"/>
      <c r="H616" s="1332"/>
      <c r="I616" s="1332"/>
      <c r="J616" s="1332"/>
      <c r="K616" s="1332"/>
      <c r="L616" s="1332"/>
      <c r="M616" s="1332"/>
      <c r="N616" s="1332"/>
      <c r="O616" s="1332"/>
    </row>
    <row r="617">
      <c r="A617" s="1332"/>
      <c r="B617" s="1332"/>
      <c r="C617" s="1332"/>
      <c r="D617" s="1332"/>
      <c r="E617" s="1332"/>
      <c r="F617" s="1332"/>
      <c r="G617" s="1332"/>
      <c r="H617" s="1332"/>
      <c r="I617" s="1332"/>
      <c r="J617" s="1332"/>
      <c r="K617" s="1332"/>
      <c r="L617" s="1332"/>
      <c r="M617" s="1332"/>
      <c r="N617" s="1332"/>
      <c r="O617" s="1332"/>
    </row>
    <row r="618">
      <c r="A618" s="1332"/>
      <c r="B618" s="1332"/>
      <c r="C618" s="1332"/>
      <c r="D618" s="1332"/>
      <c r="E618" s="1332"/>
      <c r="F618" s="1332"/>
      <c r="G618" s="1332"/>
      <c r="H618" s="1332"/>
      <c r="I618" s="1332"/>
      <c r="J618" s="1332"/>
      <c r="K618" s="1332"/>
      <c r="L618" s="1332"/>
      <c r="M618" s="1332"/>
      <c r="N618" s="1332"/>
      <c r="O618" s="1332"/>
    </row>
    <row r="619">
      <c r="A619" s="1332"/>
      <c r="B619" s="1332"/>
      <c r="C619" s="1332"/>
      <c r="D619" s="1332"/>
      <c r="E619" s="1332"/>
      <c r="F619" s="1332"/>
      <c r="G619" s="1332"/>
      <c r="H619" s="1332"/>
      <c r="I619" s="1332"/>
      <c r="J619" s="1332"/>
      <c r="K619" s="1332"/>
      <c r="L619" s="1332"/>
      <c r="M619" s="1332"/>
      <c r="N619" s="1332"/>
      <c r="O619" s="1332"/>
    </row>
    <row r="620">
      <c r="A620" s="1332"/>
      <c r="B620" s="1332"/>
      <c r="C620" s="1332"/>
      <c r="D620" s="1332"/>
      <c r="E620" s="1332"/>
      <c r="F620" s="1332"/>
      <c r="G620" s="1332"/>
      <c r="H620" s="1332"/>
      <c r="I620" s="1332"/>
      <c r="J620" s="1332"/>
      <c r="K620" s="1332"/>
      <c r="L620" s="1332"/>
      <c r="M620" s="1332"/>
      <c r="N620" s="1332"/>
      <c r="O620" s="1332"/>
    </row>
    <row r="621">
      <c r="A621" s="1332"/>
      <c r="B621" s="1332"/>
      <c r="C621" s="1332"/>
      <c r="D621" s="1332"/>
      <c r="E621" s="1332"/>
      <c r="F621" s="1332"/>
      <c r="G621" s="1332"/>
      <c r="H621" s="1332"/>
      <c r="I621" s="1332"/>
      <c r="J621" s="1332"/>
      <c r="K621" s="1332"/>
      <c r="L621" s="1332"/>
      <c r="M621" s="1332"/>
      <c r="N621" s="1332"/>
      <c r="O621" s="1332"/>
    </row>
    <row r="622">
      <c r="A622" s="1332"/>
      <c r="B622" s="1332"/>
      <c r="C622" s="1332"/>
      <c r="D622" s="1332"/>
      <c r="E622" s="1332"/>
      <c r="F622" s="1332"/>
      <c r="G622" s="1332"/>
      <c r="H622" s="1332"/>
      <c r="I622" s="1332"/>
      <c r="J622" s="1332"/>
      <c r="K622" s="1332"/>
      <c r="L622" s="1332"/>
      <c r="M622" s="1332"/>
      <c r="N622" s="1332"/>
      <c r="O622" s="1332"/>
    </row>
    <row r="623">
      <c r="A623" s="1332"/>
      <c r="B623" s="1332"/>
      <c r="C623" s="1332"/>
      <c r="D623" s="1332"/>
      <c r="E623" s="1332"/>
      <c r="F623" s="1332"/>
      <c r="G623" s="1332"/>
      <c r="H623" s="1332"/>
      <c r="I623" s="1332"/>
      <c r="J623" s="1332"/>
      <c r="K623" s="1332"/>
      <c r="L623" s="1332"/>
      <c r="M623" s="1332"/>
      <c r="N623" s="1332"/>
      <c r="O623" s="1332"/>
    </row>
    <row r="624">
      <c r="A624" s="1332"/>
      <c r="B624" s="1332"/>
      <c r="C624" s="1332"/>
      <c r="D624" s="1332"/>
      <c r="E624" s="1332"/>
      <c r="F624" s="1332"/>
      <c r="G624" s="1332"/>
      <c r="H624" s="1332"/>
      <c r="I624" s="1332"/>
      <c r="J624" s="1332"/>
      <c r="K624" s="1332"/>
      <c r="L624" s="1332"/>
      <c r="M624" s="1332"/>
      <c r="N624" s="1332"/>
      <c r="O624" s="1332"/>
    </row>
    <row r="625">
      <c r="A625" s="1332"/>
      <c r="B625" s="1332"/>
      <c r="C625" s="1332"/>
      <c r="D625" s="1332"/>
      <c r="E625" s="1332"/>
      <c r="F625" s="1332"/>
      <c r="G625" s="1332"/>
      <c r="H625" s="1332"/>
      <c r="I625" s="1332"/>
      <c r="J625" s="1332"/>
      <c r="K625" s="1332"/>
      <c r="L625" s="1332"/>
      <c r="M625" s="1332"/>
      <c r="N625" s="1332"/>
      <c r="O625" s="1332"/>
    </row>
    <row r="626">
      <c r="A626" s="1332"/>
      <c r="B626" s="1332"/>
      <c r="C626" s="1332"/>
      <c r="D626" s="1332"/>
      <c r="E626" s="1332"/>
      <c r="F626" s="1332"/>
      <c r="G626" s="1332"/>
      <c r="H626" s="1332"/>
      <c r="I626" s="1332"/>
      <c r="J626" s="1332"/>
      <c r="K626" s="1332"/>
      <c r="L626" s="1332"/>
      <c r="M626" s="1332"/>
      <c r="N626" s="1332"/>
      <c r="O626" s="1332"/>
    </row>
    <row r="627">
      <c r="A627" s="1332"/>
      <c r="B627" s="1332"/>
      <c r="C627" s="1332"/>
      <c r="D627" s="1332"/>
      <c r="E627" s="1332"/>
      <c r="F627" s="1332"/>
      <c r="G627" s="1332"/>
      <c r="H627" s="1332"/>
      <c r="I627" s="1332"/>
      <c r="J627" s="1332"/>
      <c r="K627" s="1332"/>
      <c r="L627" s="1332"/>
      <c r="M627" s="1332"/>
      <c r="N627" s="1332"/>
      <c r="O627" s="1332"/>
    </row>
    <row r="628">
      <c r="A628" s="1332"/>
      <c r="B628" s="1332"/>
      <c r="C628" s="1332"/>
      <c r="D628" s="1332"/>
      <c r="E628" s="1332"/>
      <c r="F628" s="1332"/>
      <c r="G628" s="1332"/>
      <c r="H628" s="1332"/>
      <c r="I628" s="1332"/>
      <c r="J628" s="1332"/>
      <c r="K628" s="1332"/>
      <c r="L628" s="1332"/>
      <c r="M628" s="1332"/>
      <c r="N628" s="1332"/>
      <c r="O628" s="1332"/>
    </row>
    <row r="629">
      <c r="A629" s="1332"/>
      <c r="B629" s="1332"/>
      <c r="C629" s="1332"/>
      <c r="D629" s="1332"/>
      <c r="E629" s="1332"/>
      <c r="F629" s="1332"/>
      <c r="G629" s="1332"/>
      <c r="H629" s="1332"/>
      <c r="I629" s="1332"/>
      <c r="J629" s="1332"/>
      <c r="K629" s="1332"/>
      <c r="L629" s="1332"/>
      <c r="M629" s="1332"/>
      <c r="N629" s="1332"/>
      <c r="O629" s="1332"/>
    </row>
    <row r="630">
      <c r="A630" s="1332"/>
      <c r="B630" s="1332"/>
      <c r="C630" s="1332"/>
      <c r="D630" s="1332"/>
      <c r="E630" s="1332"/>
      <c r="F630" s="1332"/>
      <c r="G630" s="1332"/>
      <c r="H630" s="1332"/>
      <c r="I630" s="1332"/>
      <c r="J630" s="1332"/>
      <c r="K630" s="1332"/>
      <c r="L630" s="1332"/>
      <c r="M630" s="1332"/>
      <c r="N630" s="1332"/>
      <c r="O630" s="1332"/>
    </row>
    <row r="631">
      <c r="A631" s="1332"/>
      <c r="B631" s="1332"/>
      <c r="C631" s="1332"/>
      <c r="D631" s="1332"/>
      <c r="E631" s="1332"/>
      <c r="F631" s="1332"/>
      <c r="G631" s="1332"/>
      <c r="H631" s="1332"/>
      <c r="I631" s="1332"/>
      <c r="J631" s="1332"/>
      <c r="K631" s="1332"/>
      <c r="L631" s="1332"/>
      <c r="M631" s="1332"/>
      <c r="N631" s="1332"/>
      <c r="O631" s="1332"/>
    </row>
    <row r="632">
      <c r="A632" s="1332"/>
      <c r="B632" s="1332"/>
      <c r="C632" s="1332"/>
      <c r="D632" s="1332"/>
      <c r="E632" s="1332"/>
      <c r="F632" s="1332"/>
      <c r="G632" s="1332"/>
      <c r="H632" s="1332"/>
      <c r="I632" s="1332"/>
      <c r="J632" s="1332"/>
      <c r="K632" s="1332"/>
      <c r="L632" s="1332"/>
      <c r="M632" s="1332"/>
      <c r="N632" s="1332"/>
      <c r="O632" s="1332"/>
    </row>
    <row r="633">
      <c r="A633" s="1332"/>
      <c r="B633" s="1332"/>
      <c r="C633" s="1332"/>
      <c r="D633" s="1332"/>
      <c r="E633" s="1332"/>
      <c r="F633" s="1332"/>
      <c r="G633" s="1332"/>
      <c r="H633" s="1332"/>
      <c r="I633" s="1332"/>
      <c r="J633" s="1332"/>
      <c r="K633" s="1332"/>
      <c r="L633" s="1332"/>
      <c r="M633" s="1332"/>
      <c r="N633" s="1332"/>
      <c r="O633" s="1332"/>
    </row>
    <row r="634">
      <c r="A634" s="1332"/>
      <c r="B634" s="1332"/>
      <c r="C634" s="1332"/>
      <c r="D634" s="1332"/>
      <c r="E634" s="1332"/>
      <c r="F634" s="1332"/>
      <c r="G634" s="1332"/>
      <c r="H634" s="1332"/>
      <c r="I634" s="1332"/>
      <c r="J634" s="1332"/>
      <c r="K634" s="1332"/>
      <c r="L634" s="1332"/>
      <c r="M634" s="1332"/>
      <c r="N634" s="1332"/>
      <c r="O634" s="1332"/>
    </row>
    <row r="635">
      <c r="A635" s="1332"/>
      <c r="B635" s="1332"/>
      <c r="C635" s="1332"/>
      <c r="D635" s="1332"/>
      <c r="E635" s="1332"/>
      <c r="F635" s="1332"/>
      <c r="G635" s="1332"/>
      <c r="H635" s="1332"/>
      <c r="I635" s="1332"/>
      <c r="J635" s="1332"/>
      <c r="K635" s="1332"/>
      <c r="L635" s="1332"/>
      <c r="M635" s="1332"/>
      <c r="N635" s="1332"/>
      <c r="O635" s="1332"/>
    </row>
    <row r="636">
      <c r="A636" s="1332"/>
      <c r="B636" s="1332"/>
      <c r="C636" s="1332"/>
      <c r="D636" s="1332"/>
      <c r="E636" s="1332"/>
      <c r="F636" s="1332"/>
      <c r="G636" s="1332"/>
      <c r="H636" s="1332"/>
      <c r="I636" s="1332"/>
      <c r="J636" s="1332"/>
      <c r="K636" s="1332"/>
      <c r="L636" s="1332"/>
      <c r="M636" s="1332"/>
      <c r="N636" s="1332"/>
      <c r="O636" s="1332"/>
    </row>
    <row r="637">
      <c r="A637" s="1332"/>
      <c r="B637" s="1332"/>
      <c r="C637" s="1332"/>
      <c r="D637" s="1332"/>
      <c r="E637" s="1332"/>
      <c r="F637" s="1332"/>
      <c r="G637" s="1332"/>
      <c r="H637" s="1332"/>
      <c r="I637" s="1332"/>
      <c r="J637" s="1332"/>
      <c r="K637" s="1332"/>
      <c r="L637" s="1332"/>
      <c r="M637" s="1332"/>
      <c r="N637" s="1332"/>
      <c r="O637" s="1332"/>
    </row>
    <row r="638">
      <c r="A638" s="1332"/>
      <c r="B638" s="1332"/>
      <c r="C638" s="1332"/>
      <c r="D638" s="1332"/>
      <c r="E638" s="1332"/>
      <c r="F638" s="1332"/>
      <c r="G638" s="1332"/>
      <c r="H638" s="1332"/>
      <c r="I638" s="1332"/>
      <c r="J638" s="1332"/>
      <c r="K638" s="1332"/>
      <c r="L638" s="1332"/>
      <c r="M638" s="1332"/>
      <c r="N638" s="1332"/>
      <c r="O638" s="1332"/>
    </row>
    <row r="639">
      <c r="A639" s="1332"/>
      <c r="B639" s="1332"/>
      <c r="C639" s="1332"/>
      <c r="D639" s="1332"/>
      <c r="E639" s="1332"/>
      <c r="F639" s="1332"/>
      <c r="G639" s="1332"/>
      <c r="H639" s="1332"/>
      <c r="I639" s="1332"/>
      <c r="J639" s="1332"/>
      <c r="K639" s="1332"/>
      <c r="L639" s="1332"/>
      <c r="M639" s="1332"/>
      <c r="N639" s="1332"/>
      <c r="O639" s="1332"/>
    </row>
    <row r="640">
      <c r="A640" s="1332"/>
      <c r="B640" s="1332"/>
      <c r="C640" s="1332"/>
      <c r="D640" s="1332"/>
      <c r="E640" s="1332"/>
      <c r="F640" s="1332"/>
      <c r="G640" s="1332"/>
      <c r="H640" s="1332"/>
      <c r="I640" s="1332"/>
      <c r="J640" s="1332"/>
      <c r="K640" s="1332"/>
      <c r="L640" s="1332"/>
      <c r="M640" s="1332"/>
      <c r="N640" s="1332"/>
      <c r="O640" s="1332"/>
    </row>
    <row r="641">
      <c r="A641" s="1332"/>
      <c r="B641" s="1332"/>
      <c r="C641" s="1332"/>
      <c r="D641" s="1332"/>
      <c r="E641" s="1332"/>
      <c r="F641" s="1332"/>
      <c r="G641" s="1332"/>
      <c r="H641" s="1332"/>
      <c r="I641" s="1332"/>
      <c r="J641" s="1332"/>
      <c r="K641" s="1332"/>
      <c r="L641" s="1332"/>
      <c r="M641" s="1332"/>
      <c r="N641" s="1332"/>
      <c r="O641" s="1332"/>
    </row>
    <row r="642">
      <c r="A642" s="1332"/>
      <c r="B642" s="1332"/>
      <c r="C642" s="1332"/>
      <c r="D642" s="1332"/>
      <c r="E642" s="1332"/>
      <c r="F642" s="1332"/>
      <c r="G642" s="1332"/>
      <c r="H642" s="1332"/>
      <c r="I642" s="1332"/>
      <c r="J642" s="1332"/>
      <c r="K642" s="1332"/>
      <c r="L642" s="1332"/>
      <c r="M642" s="1332"/>
      <c r="N642" s="1332"/>
      <c r="O642" s="1332"/>
    </row>
    <row r="643">
      <c r="A643" s="1332"/>
      <c r="B643" s="1332"/>
      <c r="C643" s="1332"/>
      <c r="D643" s="1332"/>
      <c r="E643" s="1332"/>
      <c r="F643" s="1332"/>
      <c r="G643" s="1332"/>
      <c r="H643" s="1332"/>
      <c r="I643" s="1332"/>
      <c r="J643" s="1332"/>
      <c r="K643" s="1332"/>
      <c r="L643" s="1332"/>
      <c r="M643" s="1332"/>
      <c r="N643" s="1332"/>
      <c r="O643" s="1332"/>
    </row>
    <row r="644">
      <c r="A644" s="1332"/>
      <c r="B644" s="1332"/>
      <c r="C644" s="1332"/>
      <c r="D644" s="1332"/>
      <c r="E644" s="1332"/>
      <c r="F644" s="1332"/>
      <c r="G644" s="1332"/>
      <c r="H644" s="1332"/>
      <c r="I644" s="1332"/>
      <c r="J644" s="1332"/>
      <c r="K644" s="1332"/>
      <c r="L644" s="1332"/>
      <c r="M644" s="1332"/>
      <c r="N644" s="1332"/>
      <c r="O644" s="1332"/>
    </row>
    <row r="645">
      <c r="A645" s="1332"/>
      <c r="B645" s="1332"/>
      <c r="C645" s="1332"/>
      <c r="D645" s="1332"/>
      <c r="E645" s="1332"/>
      <c r="F645" s="1332"/>
      <c r="G645" s="1332"/>
      <c r="H645" s="1332"/>
      <c r="I645" s="1332"/>
      <c r="J645" s="1332"/>
      <c r="K645" s="1332"/>
      <c r="L645" s="1332"/>
      <c r="M645" s="1332"/>
      <c r="N645" s="1332"/>
      <c r="O645" s="1332"/>
    </row>
    <row r="646">
      <c r="A646" s="1332"/>
      <c r="B646" s="1332"/>
      <c r="C646" s="1332"/>
      <c r="D646" s="1332"/>
      <c r="E646" s="1332"/>
      <c r="F646" s="1332"/>
      <c r="G646" s="1332"/>
      <c r="H646" s="1332"/>
      <c r="I646" s="1332"/>
      <c r="J646" s="1332"/>
      <c r="K646" s="1332"/>
      <c r="L646" s="1332"/>
      <c r="M646" s="1332"/>
      <c r="N646" s="1332"/>
      <c r="O646" s="1332"/>
    </row>
    <row r="647">
      <c r="A647" s="1332"/>
      <c r="B647" s="1332"/>
      <c r="C647" s="1332"/>
      <c r="D647" s="1332"/>
      <c r="E647" s="1332"/>
      <c r="F647" s="1332"/>
      <c r="G647" s="1332"/>
      <c r="H647" s="1332"/>
      <c r="I647" s="1332"/>
      <c r="J647" s="1332"/>
      <c r="K647" s="1332"/>
      <c r="L647" s="1332"/>
      <c r="M647" s="1332"/>
      <c r="N647" s="1332"/>
      <c r="O647" s="1332"/>
    </row>
    <row r="648">
      <c r="A648" s="1332"/>
      <c r="B648" s="1332"/>
      <c r="C648" s="1332"/>
      <c r="D648" s="1332"/>
      <c r="E648" s="1332"/>
      <c r="F648" s="1332"/>
      <c r="G648" s="1332"/>
      <c r="H648" s="1332"/>
      <c r="I648" s="1332"/>
      <c r="J648" s="1332"/>
      <c r="K648" s="1332"/>
      <c r="L648" s="1332"/>
      <c r="M648" s="1332"/>
      <c r="N648" s="1332"/>
      <c r="O648" s="1332"/>
    </row>
    <row r="649">
      <c r="A649" s="1332"/>
      <c r="B649" s="1332"/>
      <c r="C649" s="1332"/>
      <c r="D649" s="1332"/>
      <c r="E649" s="1332"/>
      <c r="F649" s="1332"/>
      <c r="G649" s="1332"/>
      <c r="H649" s="1332"/>
      <c r="I649" s="1332"/>
      <c r="J649" s="1332"/>
      <c r="K649" s="1332"/>
      <c r="L649" s="1332"/>
      <c r="M649" s="1332"/>
      <c r="N649" s="1332"/>
      <c r="O649" s="1332"/>
    </row>
    <row r="650">
      <c r="A650" s="1332"/>
      <c r="B650" s="1332"/>
      <c r="C650" s="1332"/>
      <c r="D650" s="1332"/>
      <c r="E650" s="1332"/>
      <c r="F650" s="1332"/>
      <c r="G650" s="1332"/>
      <c r="H650" s="1332"/>
      <c r="I650" s="1332"/>
      <c r="J650" s="1332"/>
      <c r="K650" s="1332"/>
      <c r="L650" s="1332"/>
      <c r="M650" s="1332"/>
      <c r="N650" s="1332"/>
      <c r="O650" s="1332"/>
    </row>
    <row r="651">
      <c r="A651" s="1332"/>
      <c r="B651" s="1332"/>
      <c r="C651" s="1332"/>
      <c r="D651" s="1332"/>
      <c r="E651" s="1332"/>
      <c r="F651" s="1332"/>
      <c r="G651" s="1332"/>
      <c r="H651" s="1332"/>
      <c r="I651" s="1332"/>
      <c r="J651" s="1332"/>
      <c r="K651" s="1332"/>
      <c r="L651" s="1332"/>
      <c r="M651" s="1332"/>
      <c r="N651" s="1332"/>
      <c r="O651" s="1332"/>
    </row>
    <row r="652">
      <c r="A652" s="1332"/>
      <c r="B652" s="1332"/>
      <c r="C652" s="1332"/>
      <c r="D652" s="1332"/>
      <c r="E652" s="1332"/>
      <c r="F652" s="1332"/>
      <c r="G652" s="1332"/>
      <c r="H652" s="1332"/>
      <c r="I652" s="1332"/>
      <c r="J652" s="1332"/>
      <c r="K652" s="1332"/>
      <c r="L652" s="1332"/>
      <c r="M652" s="1332"/>
      <c r="N652" s="1332"/>
      <c r="O652" s="1332"/>
    </row>
    <row r="653">
      <c r="A653" s="1332"/>
      <c r="B653" s="1332"/>
      <c r="C653" s="1332"/>
      <c r="D653" s="1332"/>
      <c r="E653" s="1332"/>
      <c r="F653" s="1332"/>
      <c r="G653" s="1332"/>
      <c r="H653" s="1332"/>
      <c r="I653" s="1332"/>
      <c r="J653" s="1332"/>
      <c r="K653" s="1332"/>
      <c r="L653" s="1332"/>
      <c r="M653" s="1332"/>
      <c r="N653" s="1332"/>
      <c r="O653" s="1332"/>
    </row>
    <row r="654">
      <c r="A654" s="1332"/>
      <c r="B654" s="1332"/>
      <c r="C654" s="1332"/>
      <c r="D654" s="1332"/>
      <c r="E654" s="1332"/>
      <c r="F654" s="1332"/>
      <c r="G654" s="1332"/>
      <c r="H654" s="1332"/>
      <c r="I654" s="1332"/>
      <c r="J654" s="1332"/>
      <c r="K654" s="1332"/>
      <c r="L654" s="1332"/>
      <c r="M654" s="1332"/>
      <c r="N654" s="1332"/>
      <c r="O654" s="1332"/>
    </row>
    <row r="655">
      <c r="A655" s="1332"/>
      <c r="B655" s="1332"/>
      <c r="C655" s="1332"/>
      <c r="D655" s="1332"/>
      <c r="E655" s="1332"/>
      <c r="F655" s="1332"/>
      <c r="G655" s="1332"/>
      <c r="H655" s="1332"/>
      <c r="I655" s="1332"/>
      <c r="J655" s="1332"/>
      <c r="K655" s="1332"/>
      <c r="L655" s="1332"/>
      <c r="M655" s="1332"/>
      <c r="N655" s="1332"/>
      <c r="O655" s="1332"/>
    </row>
    <row r="656">
      <c r="A656" s="1332"/>
      <c r="B656" s="1332"/>
      <c r="C656" s="1332"/>
      <c r="D656" s="1332"/>
      <c r="E656" s="1332"/>
      <c r="F656" s="1332"/>
      <c r="G656" s="1332"/>
      <c r="H656" s="1332"/>
      <c r="I656" s="1332"/>
      <c r="J656" s="1332"/>
      <c r="K656" s="1332"/>
      <c r="L656" s="1332"/>
      <c r="M656" s="1332"/>
      <c r="N656" s="1332"/>
      <c r="O656" s="1332"/>
    </row>
    <row r="657">
      <c r="A657" s="1332"/>
      <c r="B657" s="1332"/>
      <c r="C657" s="1332"/>
      <c r="D657" s="1332"/>
      <c r="E657" s="1332"/>
      <c r="F657" s="1332"/>
      <c r="G657" s="1332"/>
      <c r="H657" s="1332"/>
      <c r="I657" s="1332"/>
      <c r="J657" s="1332"/>
      <c r="K657" s="1332"/>
      <c r="L657" s="1332"/>
      <c r="M657" s="1332"/>
      <c r="N657" s="1332"/>
      <c r="O657" s="1332"/>
    </row>
    <row r="658">
      <c r="A658" s="1332"/>
      <c r="B658" s="1332"/>
      <c r="C658" s="1332"/>
      <c r="D658" s="1332"/>
      <c r="E658" s="1332"/>
      <c r="F658" s="1332"/>
      <c r="G658" s="1332"/>
      <c r="H658" s="1332"/>
      <c r="I658" s="1332"/>
      <c r="J658" s="1332"/>
      <c r="K658" s="1332"/>
      <c r="L658" s="1332"/>
      <c r="M658" s="1332"/>
      <c r="N658" s="1332"/>
      <c r="O658" s="1332"/>
    </row>
    <row r="659">
      <c r="A659" s="1332"/>
      <c r="B659" s="1332"/>
      <c r="C659" s="1332"/>
      <c r="D659" s="1332"/>
      <c r="E659" s="1332"/>
      <c r="F659" s="1332"/>
      <c r="G659" s="1332"/>
      <c r="H659" s="1332"/>
      <c r="I659" s="1332"/>
      <c r="J659" s="1332"/>
      <c r="K659" s="1332"/>
      <c r="L659" s="1332"/>
      <c r="M659" s="1332"/>
      <c r="N659" s="1332"/>
      <c r="O659" s="1332"/>
    </row>
    <row r="660">
      <c r="A660" s="1332"/>
      <c r="B660" s="1332"/>
      <c r="C660" s="1332"/>
      <c r="D660" s="1332"/>
      <c r="E660" s="1332"/>
      <c r="F660" s="1332"/>
      <c r="G660" s="1332"/>
      <c r="H660" s="1332"/>
      <c r="I660" s="1332"/>
      <c r="J660" s="1332"/>
      <c r="K660" s="1332"/>
      <c r="L660" s="1332"/>
      <c r="M660" s="1332"/>
      <c r="N660" s="1332"/>
      <c r="O660" s="1332"/>
    </row>
    <row r="661">
      <c r="A661" s="1332"/>
      <c r="B661" s="1332"/>
      <c r="C661" s="1332"/>
      <c r="D661" s="1332"/>
      <c r="E661" s="1332"/>
      <c r="F661" s="1332"/>
      <c r="G661" s="1332"/>
      <c r="H661" s="1332"/>
      <c r="I661" s="1332"/>
      <c r="J661" s="1332"/>
      <c r="K661" s="1332"/>
      <c r="L661" s="1332"/>
      <c r="M661" s="1332"/>
      <c r="N661" s="1332"/>
      <c r="O661" s="1332"/>
    </row>
    <row r="662">
      <c r="A662" s="1332"/>
      <c r="B662" s="1332"/>
      <c r="C662" s="1332"/>
      <c r="D662" s="1332"/>
      <c r="E662" s="1332"/>
      <c r="F662" s="1332"/>
      <c r="G662" s="1332"/>
      <c r="H662" s="1332"/>
      <c r="I662" s="1332"/>
      <c r="J662" s="1332"/>
      <c r="K662" s="1332"/>
      <c r="L662" s="1332"/>
      <c r="M662" s="1332"/>
      <c r="N662" s="1332"/>
      <c r="O662" s="1332"/>
    </row>
    <row r="663">
      <c r="A663" s="1332"/>
      <c r="B663" s="1332"/>
      <c r="C663" s="1332"/>
      <c r="D663" s="1332"/>
      <c r="E663" s="1332"/>
      <c r="F663" s="1332"/>
      <c r="G663" s="1332"/>
      <c r="H663" s="1332"/>
      <c r="I663" s="1332"/>
      <c r="J663" s="1332"/>
      <c r="K663" s="1332"/>
      <c r="L663" s="1332"/>
      <c r="M663" s="1332"/>
      <c r="N663" s="1332"/>
      <c r="O663" s="1332"/>
    </row>
    <row r="664">
      <c r="A664" s="1332"/>
      <c r="B664" s="1332"/>
      <c r="C664" s="1332"/>
      <c r="D664" s="1332"/>
      <c r="E664" s="1332"/>
      <c r="F664" s="1332"/>
      <c r="G664" s="1332"/>
      <c r="H664" s="1332"/>
      <c r="I664" s="1332"/>
      <c r="J664" s="1332"/>
      <c r="K664" s="1332"/>
      <c r="L664" s="1332"/>
      <c r="M664" s="1332"/>
      <c r="N664" s="1332"/>
      <c r="O664" s="1332"/>
    </row>
    <row r="665">
      <c r="A665" s="1332"/>
      <c r="B665" s="1332"/>
      <c r="C665" s="1332"/>
      <c r="D665" s="1332"/>
      <c r="E665" s="1332"/>
      <c r="F665" s="1332"/>
      <c r="G665" s="1332"/>
      <c r="H665" s="1332"/>
      <c r="I665" s="1332"/>
      <c r="J665" s="1332"/>
      <c r="K665" s="1332"/>
      <c r="L665" s="1332"/>
      <c r="M665" s="1332"/>
      <c r="N665" s="1332"/>
      <c r="O665" s="1332"/>
    </row>
    <row r="666">
      <c r="A666" s="1332"/>
      <c r="B666" s="1332"/>
      <c r="C666" s="1332"/>
      <c r="D666" s="1332"/>
      <c r="E666" s="1332"/>
      <c r="F666" s="1332"/>
      <c r="G666" s="1332"/>
      <c r="H666" s="1332"/>
      <c r="I666" s="1332"/>
      <c r="J666" s="1332"/>
      <c r="K666" s="1332"/>
      <c r="L666" s="1332"/>
      <c r="M666" s="1332"/>
      <c r="N666" s="1332"/>
      <c r="O666" s="1332"/>
    </row>
    <row r="667">
      <c r="A667" s="1332"/>
      <c r="B667" s="1332"/>
      <c r="C667" s="1332"/>
      <c r="D667" s="1332"/>
      <c r="E667" s="1332"/>
      <c r="F667" s="1332"/>
      <c r="G667" s="1332"/>
      <c r="H667" s="1332"/>
      <c r="I667" s="1332"/>
      <c r="J667" s="1332"/>
      <c r="K667" s="1332"/>
      <c r="L667" s="1332"/>
      <c r="M667" s="1332"/>
      <c r="N667" s="1332"/>
      <c r="O667" s="1332"/>
    </row>
    <row r="668">
      <c r="A668" s="1332"/>
      <c r="B668" s="1332"/>
      <c r="C668" s="1332"/>
      <c r="D668" s="1332"/>
      <c r="E668" s="1332"/>
      <c r="F668" s="1332"/>
      <c r="G668" s="1332"/>
      <c r="H668" s="1332"/>
      <c r="I668" s="1332"/>
      <c r="J668" s="1332"/>
      <c r="K668" s="1332"/>
      <c r="L668" s="1332"/>
      <c r="M668" s="1332"/>
      <c r="N668" s="1332"/>
      <c r="O668" s="1332"/>
    </row>
    <row r="669">
      <c r="A669" s="1332"/>
      <c r="B669" s="1332"/>
      <c r="C669" s="1332"/>
      <c r="D669" s="1332"/>
      <c r="E669" s="1332"/>
      <c r="F669" s="1332"/>
      <c r="G669" s="1332"/>
      <c r="H669" s="1332"/>
      <c r="I669" s="1332"/>
      <c r="J669" s="1332"/>
      <c r="K669" s="1332"/>
      <c r="L669" s="1332"/>
      <c r="M669" s="1332"/>
      <c r="N669" s="1332"/>
      <c r="O669" s="1332"/>
    </row>
    <row r="670">
      <c r="A670" s="1332"/>
      <c r="B670" s="1332"/>
      <c r="C670" s="1332"/>
      <c r="D670" s="1332"/>
      <c r="E670" s="1332"/>
      <c r="F670" s="1332"/>
      <c r="G670" s="1332"/>
      <c r="H670" s="1332"/>
      <c r="I670" s="1332"/>
      <c r="J670" s="1332"/>
      <c r="K670" s="1332"/>
      <c r="L670" s="1332"/>
      <c r="M670" s="1332"/>
      <c r="N670" s="1332"/>
      <c r="O670" s="1332"/>
    </row>
    <row r="671">
      <c r="A671" s="1332"/>
      <c r="B671" s="1332"/>
      <c r="C671" s="1332"/>
      <c r="D671" s="1332"/>
      <c r="E671" s="1332"/>
      <c r="F671" s="1332"/>
      <c r="G671" s="1332"/>
      <c r="H671" s="1332"/>
      <c r="I671" s="1332"/>
      <c r="J671" s="1332"/>
      <c r="K671" s="1332"/>
      <c r="L671" s="1332"/>
      <c r="M671" s="1332"/>
      <c r="N671" s="1332"/>
      <c r="O671" s="1332"/>
    </row>
    <row r="672">
      <c r="A672" s="1332"/>
      <c r="B672" s="1332"/>
      <c r="C672" s="1332"/>
      <c r="D672" s="1332"/>
      <c r="E672" s="1332"/>
      <c r="F672" s="1332"/>
      <c r="G672" s="1332"/>
      <c r="H672" s="1332"/>
      <c r="I672" s="1332"/>
      <c r="J672" s="1332"/>
      <c r="K672" s="1332"/>
      <c r="L672" s="1332"/>
      <c r="M672" s="1332"/>
      <c r="N672" s="1332"/>
      <c r="O672" s="1332"/>
    </row>
    <row r="673">
      <c r="A673" s="1332"/>
      <c r="B673" s="1332"/>
      <c r="C673" s="1332"/>
      <c r="D673" s="1332"/>
      <c r="E673" s="1332"/>
      <c r="F673" s="1332"/>
      <c r="G673" s="1332"/>
      <c r="H673" s="1332"/>
      <c r="I673" s="1332"/>
      <c r="J673" s="1332"/>
      <c r="K673" s="1332"/>
      <c r="L673" s="1332"/>
      <c r="M673" s="1332"/>
      <c r="N673" s="1332"/>
      <c r="O673" s="1332"/>
    </row>
    <row r="674">
      <c r="A674" s="1332"/>
      <c r="B674" s="1332"/>
      <c r="C674" s="1332"/>
      <c r="D674" s="1332"/>
      <c r="E674" s="1332"/>
      <c r="F674" s="1332"/>
      <c r="G674" s="1332"/>
      <c r="H674" s="1332"/>
      <c r="I674" s="1332"/>
      <c r="J674" s="1332"/>
      <c r="K674" s="1332"/>
      <c r="L674" s="1332"/>
      <c r="M674" s="1332"/>
      <c r="N674" s="1332"/>
      <c r="O674" s="1332"/>
    </row>
    <row r="675">
      <c r="A675" s="1332"/>
      <c r="B675" s="1332"/>
      <c r="C675" s="1332"/>
      <c r="D675" s="1332"/>
      <c r="E675" s="1332"/>
      <c r="F675" s="1332"/>
      <c r="G675" s="1332"/>
      <c r="H675" s="1332"/>
      <c r="I675" s="1332"/>
      <c r="J675" s="1332"/>
      <c r="K675" s="1332"/>
      <c r="L675" s="1332"/>
      <c r="M675" s="1332"/>
      <c r="N675" s="1332"/>
      <c r="O675" s="1332"/>
    </row>
    <row r="676">
      <c r="A676" s="1332"/>
      <c r="B676" s="1332"/>
      <c r="C676" s="1332"/>
      <c r="D676" s="1332"/>
      <c r="E676" s="1332"/>
      <c r="F676" s="1332"/>
      <c r="G676" s="1332"/>
      <c r="H676" s="1332"/>
      <c r="I676" s="1332"/>
      <c r="J676" s="1332"/>
      <c r="K676" s="1332"/>
      <c r="L676" s="1332"/>
      <c r="M676" s="1332"/>
      <c r="N676" s="1332"/>
      <c r="O676" s="1332"/>
    </row>
    <row r="677">
      <c r="A677" s="1332"/>
      <c r="B677" s="1332"/>
      <c r="C677" s="1332"/>
      <c r="D677" s="1332"/>
      <c r="E677" s="1332"/>
      <c r="F677" s="1332"/>
      <c r="G677" s="1332"/>
      <c r="H677" s="1332"/>
      <c r="I677" s="1332"/>
      <c r="J677" s="1332"/>
      <c r="K677" s="1332"/>
      <c r="L677" s="1332"/>
      <c r="M677" s="1332"/>
      <c r="N677" s="1332"/>
      <c r="O677" s="1332"/>
    </row>
    <row r="678">
      <c r="A678" s="1332"/>
      <c r="B678" s="1332"/>
      <c r="C678" s="1332"/>
      <c r="D678" s="1332"/>
      <c r="E678" s="1332"/>
      <c r="F678" s="1332"/>
      <c r="G678" s="1332"/>
      <c r="H678" s="1332"/>
      <c r="I678" s="1332"/>
      <c r="J678" s="1332"/>
      <c r="K678" s="1332"/>
      <c r="L678" s="1332"/>
      <c r="M678" s="1332"/>
      <c r="N678" s="1332"/>
      <c r="O678" s="1332"/>
    </row>
    <row r="679">
      <c r="A679" s="1332"/>
      <c r="B679" s="1332"/>
      <c r="C679" s="1332"/>
      <c r="D679" s="1332"/>
      <c r="E679" s="1332"/>
      <c r="F679" s="1332"/>
      <c r="G679" s="1332"/>
      <c r="H679" s="1332"/>
      <c r="I679" s="1332"/>
      <c r="J679" s="1332"/>
      <c r="K679" s="1332"/>
      <c r="L679" s="1332"/>
      <c r="M679" s="1332"/>
      <c r="N679" s="1332"/>
      <c r="O679" s="1332"/>
    </row>
    <row r="680">
      <c r="A680" s="1332"/>
      <c r="B680" s="1332"/>
      <c r="C680" s="1332"/>
      <c r="D680" s="1332"/>
      <c r="E680" s="1332"/>
      <c r="F680" s="1332"/>
      <c r="G680" s="1332"/>
      <c r="H680" s="1332"/>
      <c r="I680" s="1332"/>
      <c r="J680" s="1332"/>
      <c r="K680" s="1332"/>
      <c r="L680" s="1332"/>
      <c r="M680" s="1332"/>
      <c r="N680" s="1332"/>
      <c r="O680" s="1332"/>
    </row>
    <row r="681">
      <c r="A681" s="1332"/>
      <c r="B681" s="1332"/>
      <c r="C681" s="1332"/>
      <c r="D681" s="1332"/>
      <c r="E681" s="1332"/>
      <c r="F681" s="1332"/>
      <c r="G681" s="1332"/>
      <c r="H681" s="1332"/>
      <c r="I681" s="1332"/>
      <c r="J681" s="1332"/>
      <c r="K681" s="1332"/>
      <c r="L681" s="1332"/>
      <c r="M681" s="1332"/>
      <c r="N681" s="1332"/>
      <c r="O681" s="1332"/>
    </row>
    <row r="682">
      <c r="A682" s="1332"/>
      <c r="B682" s="1332"/>
      <c r="C682" s="1332"/>
      <c r="D682" s="1332"/>
      <c r="E682" s="1332"/>
      <c r="F682" s="1332"/>
      <c r="G682" s="1332"/>
      <c r="H682" s="1332"/>
      <c r="I682" s="1332"/>
      <c r="J682" s="1332"/>
      <c r="K682" s="1332"/>
      <c r="L682" s="1332"/>
      <c r="M682" s="1332"/>
      <c r="N682" s="1332"/>
      <c r="O682" s="1332"/>
    </row>
    <row r="683">
      <c r="A683" s="1332"/>
      <c r="B683" s="1332"/>
      <c r="C683" s="1332"/>
      <c r="D683" s="1332"/>
      <c r="E683" s="1332"/>
      <c r="F683" s="1332"/>
      <c r="G683" s="1332"/>
      <c r="H683" s="1332"/>
      <c r="I683" s="1332"/>
      <c r="J683" s="1332"/>
      <c r="K683" s="1332"/>
      <c r="L683" s="1332"/>
      <c r="M683" s="1332"/>
      <c r="N683" s="1332"/>
      <c r="O683" s="1332"/>
    </row>
    <row r="684">
      <c r="A684" s="1332"/>
      <c r="B684" s="1332"/>
      <c r="C684" s="1332"/>
      <c r="D684" s="1332"/>
      <c r="E684" s="1332"/>
      <c r="F684" s="1332"/>
      <c r="G684" s="1332"/>
      <c r="H684" s="1332"/>
      <c r="I684" s="1332"/>
      <c r="J684" s="1332"/>
      <c r="K684" s="1332"/>
      <c r="L684" s="1332"/>
      <c r="M684" s="1332"/>
      <c r="N684" s="1332"/>
      <c r="O684" s="1332"/>
    </row>
    <row r="685">
      <c r="A685" s="1332"/>
      <c r="B685" s="1332"/>
      <c r="C685" s="1332"/>
      <c r="D685" s="1332"/>
      <c r="E685" s="1332"/>
      <c r="F685" s="1332"/>
      <c r="G685" s="1332"/>
      <c r="H685" s="1332"/>
      <c r="I685" s="1332"/>
      <c r="J685" s="1332"/>
      <c r="K685" s="1332"/>
      <c r="L685" s="1332"/>
      <c r="M685" s="1332"/>
      <c r="N685" s="1332"/>
      <c r="O685" s="1332"/>
    </row>
    <row r="686">
      <c r="A686" s="1332"/>
      <c r="B686" s="1332"/>
      <c r="C686" s="1332"/>
      <c r="D686" s="1332"/>
      <c r="E686" s="1332"/>
      <c r="F686" s="1332"/>
      <c r="G686" s="1332"/>
      <c r="H686" s="1332"/>
      <c r="I686" s="1332"/>
      <c r="J686" s="1332"/>
      <c r="K686" s="1332"/>
      <c r="L686" s="1332"/>
      <c r="M686" s="1332"/>
      <c r="N686" s="1332"/>
      <c r="O686" s="1332"/>
    </row>
    <row r="687">
      <c r="A687" s="1332"/>
      <c r="B687" s="1332"/>
      <c r="C687" s="1332"/>
      <c r="D687" s="1332"/>
      <c r="E687" s="1332"/>
      <c r="F687" s="1332"/>
      <c r="G687" s="1332"/>
      <c r="H687" s="1332"/>
      <c r="I687" s="1332"/>
      <c r="J687" s="1332"/>
      <c r="K687" s="1332"/>
      <c r="L687" s="1332"/>
      <c r="M687" s="1332"/>
      <c r="N687" s="1332"/>
      <c r="O687" s="1332"/>
    </row>
    <row r="688">
      <c r="A688" s="1332"/>
      <c r="B688" s="1332"/>
      <c r="C688" s="1332"/>
      <c r="D688" s="1332"/>
      <c r="E688" s="1332"/>
      <c r="F688" s="1332"/>
      <c r="G688" s="1332"/>
      <c r="H688" s="1332"/>
      <c r="I688" s="1332"/>
      <c r="J688" s="1332"/>
      <c r="K688" s="1332"/>
      <c r="L688" s="1332"/>
      <c r="M688" s="1332"/>
      <c r="N688" s="1332"/>
      <c r="O688" s="1332"/>
    </row>
    <row r="689">
      <c r="A689" s="1332"/>
      <c r="B689" s="1332"/>
      <c r="C689" s="1332"/>
      <c r="D689" s="1332"/>
      <c r="E689" s="1332"/>
      <c r="F689" s="1332"/>
      <c r="G689" s="1332"/>
      <c r="H689" s="1332"/>
      <c r="I689" s="1332"/>
      <c r="J689" s="1332"/>
      <c r="K689" s="1332"/>
      <c r="L689" s="1332"/>
      <c r="M689" s="1332"/>
      <c r="N689" s="1332"/>
      <c r="O689" s="1332"/>
    </row>
    <row r="690">
      <c r="A690" s="1332"/>
      <c r="B690" s="1332"/>
      <c r="C690" s="1332"/>
      <c r="D690" s="1332"/>
      <c r="E690" s="1332"/>
      <c r="F690" s="1332"/>
      <c r="G690" s="1332"/>
      <c r="H690" s="1332"/>
      <c r="I690" s="1332"/>
      <c r="J690" s="1332"/>
      <c r="K690" s="1332"/>
      <c r="L690" s="1332"/>
      <c r="M690" s="1332"/>
      <c r="N690" s="1332"/>
      <c r="O690" s="1332"/>
    </row>
    <row r="691">
      <c r="A691" s="1332"/>
      <c r="B691" s="1332"/>
      <c r="C691" s="1332"/>
      <c r="D691" s="1332"/>
      <c r="E691" s="1332"/>
      <c r="F691" s="1332"/>
      <c r="G691" s="1332"/>
      <c r="H691" s="1332"/>
      <c r="I691" s="1332"/>
      <c r="J691" s="1332"/>
      <c r="K691" s="1332"/>
      <c r="L691" s="1332"/>
      <c r="M691" s="1332"/>
      <c r="N691" s="1332"/>
      <c r="O691" s="1332"/>
    </row>
    <row r="692">
      <c r="A692" s="1332"/>
      <c r="B692" s="1332"/>
      <c r="C692" s="1332"/>
      <c r="D692" s="1332"/>
      <c r="E692" s="1332"/>
      <c r="F692" s="1332"/>
      <c r="G692" s="1332"/>
      <c r="H692" s="1332"/>
      <c r="I692" s="1332"/>
      <c r="J692" s="1332"/>
      <c r="K692" s="1332"/>
      <c r="L692" s="1332"/>
      <c r="M692" s="1332"/>
      <c r="N692" s="1332"/>
      <c r="O692" s="1332"/>
    </row>
    <row r="693">
      <c r="A693" s="1332"/>
      <c r="B693" s="1332"/>
      <c r="C693" s="1332"/>
      <c r="D693" s="1332"/>
      <c r="E693" s="1332"/>
      <c r="F693" s="1332"/>
      <c r="G693" s="1332"/>
      <c r="H693" s="1332"/>
      <c r="I693" s="1332"/>
      <c r="J693" s="1332"/>
      <c r="K693" s="1332"/>
      <c r="L693" s="1332"/>
      <c r="M693" s="1332"/>
      <c r="N693" s="1332"/>
      <c r="O693" s="1332"/>
    </row>
    <row r="694">
      <c r="A694" s="1332"/>
      <c r="B694" s="1332"/>
      <c r="C694" s="1332"/>
      <c r="D694" s="1332"/>
      <c r="E694" s="1332"/>
      <c r="F694" s="1332"/>
      <c r="G694" s="1332"/>
      <c r="H694" s="1332"/>
      <c r="I694" s="1332"/>
      <c r="J694" s="1332"/>
      <c r="K694" s="1332"/>
      <c r="L694" s="1332"/>
      <c r="M694" s="1332"/>
      <c r="N694" s="1332"/>
      <c r="O694" s="1332"/>
    </row>
    <row r="695">
      <c r="A695" s="1332"/>
      <c r="B695" s="1332"/>
      <c r="C695" s="1332"/>
      <c r="D695" s="1332"/>
      <c r="E695" s="1332"/>
      <c r="F695" s="1332"/>
      <c r="G695" s="1332"/>
      <c r="H695" s="1332"/>
      <c r="I695" s="1332"/>
      <c r="J695" s="1332"/>
      <c r="K695" s="1332"/>
      <c r="L695" s="1332"/>
      <c r="M695" s="1332"/>
      <c r="N695" s="1332"/>
      <c r="O695" s="1332"/>
    </row>
    <row r="696">
      <c r="A696" s="1332"/>
      <c r="B696" s="1332"/>
      <c r="C696" s="1332"/>
      <c r="D696" s="1332"/>
      <c r="E696" s="1332"/>
      <c r="F696" s="1332"/>
      <c r="G696" s="1332"/>
      <c r="H696" s="1332"/>
      <c r="I696" s="1332"/>
      <c r="J696" s="1332"/>
      <c r="K696" s="1332"/>
      <c r="L696" s="1332"/>
      <c r="M696" s="1332"/>
      <c r="N696" s="1332"/>
      <c r="O696" s="1332"/>
    </row>
    <row r="697">
      <c r="A697" s="1332"/>
      <c r="B697" s="1332"/>
      <c r="C697" s="1332"/>
      <c r="D697" s="1332"/>
      <c r="E697" s="1332"/>
      <c r="F697" s="1332"/>
      <c r="G697" s="1332"/>
      <c r="H697" s="1332"/>
      <c r="I697" s="1332"/>
      <c r="J697" s="1332"/>
      <c r="K697" s="1332"/>
      <c r="L697" s="1332"/>
      <c r="M697" s="1332"/>
      <c r="N697" s="1332"/>
      <c r="O697" s="1332"/>
    </row>
    <row r="698">
      <c r="A698" s="1332"/>
      <c r="B698" s="1332"/>
      <c r="C698" s="1332"/>
      <c r="D698" s="1332"/>
      <c r="E698" s="1332"/>
      <c r="F698" s="1332"/>
      <c r="G698" s="1332"/>
      <c r="H698" s="1332"/>
      <c r="I698" s="1332"/>
      <c r="J698" s="1332"/>
      <c r="K698" s="1332"/>
      <c r="L698" s="1332"/>
      <c r="M698" s="1332"/>
      <c r="N698" s="1332"/>
      <c r="O698" s="1332"/>
    </row>
    <row r="699">
      <c r="A699" s="1332"/>
      <c r="B699" s="1332"/>
      <c r="C699" s="1332"/>
      <c r="D699" s="1332"/>
      <c r="E699" s="1332"/>
      <c r="F699" s="1332"/>
      <c r="G699" s="1332"/>
      <c r="H699" s="1332"/>
      <c r="I699" s="1332"/>
      <c r="J699" s="1332"/>
      <c r="K699" s="1332"/>
      <c r="L699" s="1332"/>
      <c r="M699" s="1332"/>
      <c r="N699" s="1332"/>
      <c r="O699" s="1332"/>
    </row>
    <row r="700">
      <c r="A700" s="1332"/>
      <c r="B700" s="1332"/>
      <c r="C700" s="1332"/>
      <c r="D700" s="1332"/>
      <c r="E700" s="1332"/>
      <c r="F700" s="1332"/>
      <c r="G700" s="1332"/>
      <c r="H700" s="1332"/>
      <c r="I700" s="1332"/>
      <c r="J700" s="1332"/>
      <c r="K700" s="1332"/>
      <c r="L700" s="1332"/>
      <c r="M700" s="1332"/>
      <c r="N700" s="1332"/>
      <c r="O700" s="1332"/>
    </row>
    <row r="701">
      <c r="A701" s="1332"/>
      <c r="B701" s="1332"/>
      <c r="C701" s="1332"/>
      <c r="D701" s="1332"/>
      <c r="E701" s="1332"/>
      <c r="F701" s="1332"/>
      <c r="G701" s="1332"/>
      <c r="H701" s="1332"/>
      <c r="I701" s="1332"/>
      <c r="J701" s="1332"/>
      <c r="K701" s="1332"/>
      <c r="L701" s="1332"/>
      <c r="M701" s="1332"/>
      <c r="N701" s="1332"/>
      <c r="O701" s="1332"/>
    </row>
    <row r="702">
      <c r="A702" s="1332"/>
      <c r="B702" s="1332"/>
      <c r="C702" s="1332"/>
      <c r="D702" s="1332"/>
      <c r="E702" s="1332"/>
      <c r="F702" s="1332"/>
      <c r="G702" s="1332"/>
      <c r="H702" s="1332"/>
      <c r="I702" s="1332"/>
      <c r="J702" s="1332"/>
      <c r="K702" s="1332"/>
      <c r="L702" s="1332"/>
      <c r="M702" s="1332"/>
      <c r="N702" s="1332"/>
      <c r="O702" s="1332"/>
    </row>
    <row r="703">
      <c r="A703" s="1332"/>
      <c r="B703" s="1332"/>
      <c r="C703" s="1332"/>
      <c r="D703" s="1332"/>
      <c r="E703" s="1332"/>
      <c r="F703" s="1332"/>
      <c r="G703" s="1332"/>
      <c r="H703" s="1332"/>
      <c r="I703" s="1332"/>
      <c r="J703" s="1332"/>
      <c r="K703" s="1332"/>
      <c r="L703" s="1332"/>
      <c r="M703" s="1332"/>
      <c r="N703" s="1332"/>
      <c r="O703" s="1332"/>
    </row>
    <row r="704">
      <c r="A704" s="1332"/>
      <c r="B704" s="1332"/>
      <c r="C704" s="1332"/>
      <c r="D704" s="1332"/>
      <c r="E704" s="1332"/>
      <c r="F704" s="1332"/>
      <c r="G704" s="1332"/>
      <c r="H704" s="1332"/>
      <c r="I704" s="1332"/>
      <c r="J704" s="1332"/>
      <c r="K704" s="1332"/>
      <c r="L704" s="1332"/>
      <c r="M704" s="1332"/>
      <c r="N704" s="1332"/>
      <c r="O704" s="1332"/>
    </row>
    <row r="705">
      <c r="A705" s="1332"/>
      <c r="B705" s="1332"/>
      <c r="C705" s="1332"/>
      <c r="D705" s="1332"/>
      <c r="E705" s="1332"/>
      <c r="F705" s="1332"/>
      <c r="G705" s="1332"/>
      <c r="H705" s="1332"/>
      <c r="I705" s="1332"/>
      <c r="J705" s="1332"/>
      <c r="K705" s="1332"/>
      <c r="L705" s="1332"/>
      <c r="M705" s="1332"/>
      <c r="N705" s="1332"/>
      <c r="O705" s="1332"/>
    </row>
    <row r="706">
      <c r="A706" s="1332"/>
      <c r="B706" s="1332"/>
      <c r="C706" s="1332"/>
      <c r="D706" s="1332"/>
      <c r="E706" s="1332"/>
      <c r="F706" s="1332"/>
      <c r="G706" s="1332"/>
      <c r="H706" s="1332"/>
      <c r="I706" s="1332"/>
      <c r="J706" s="1332"/>
      <c r="K706" s="1332"/>
      <c r="L706" s="1332"/>
      <c r="M706" s="1332"/>
      <c r="N706" s="1332"/>
      <c r="O706" s="1332"/>
    </row>
    <row r="707">
      <c r="A707" s="1332"/>
      <c r="B707" s="1332"/>
      <c r="C707" s="1332"/>
      <c r="D707" s="1332"/>
      <c r="E707" s="1332"/>
      <c r="F707" s="1332"/>
      <c r="G707" s="1332"/>
      <c r="H707" s="1332"/>
      <c r="I707" s="1332"/>
      <c r="J707" s="1332"/>
      <c r="K707" s="1332"/>
      <c r="L707" s="1332"/>
      <c r="M707" s="1332"/>
      <c r="N707" s="1332"/>
      <c r="O707" s="1332"/>
    </row>
    <row r="708">
      <c r="A708" s="1332"/>
      <c r="B708" s="1332"/>
      <c r="C708" s="1332"/>
      <c r="D708" s="1332"/>
      <c r="E708" s="1332"/>
      <c r="F708" s="1332"/>
      <c r="G708" s="1332"/>
      <c r="H708" s="1332"/>
      <c r="I708" s="1332"/>
      <c r="J708" s="1332"/>
      <c r="K708" s="1332"/>
      <c r="L708" s="1332"/>
      <c r="M708" s="1332"/>
      <c r="N708" s="1332"/>
      <c r="O708" s="1332"/>
    </row>
    <row r="709">
      <c r="A709" s="1332"/>
      <c r="B709" s="1332"/>
      <c r="C709" s="1332"/>
      <c r="D709" s="1332"/>
      <c r="E709" s="1332"/>
      <c r="F709" s="1332"/>
      <c r="G709" s="1332"/>
      <c r="H709" s="1332"/>
      <c r="I709" s="1332"/>
      <c r="J709" s="1332"/>
      <c r="K709" s="1332"/>
      <c r="L709" s="1332"/>
      <c r="M709" s="1332"/>
      <c r="N709" s="1332"/>
      <c r="O709" s="1332"/>
    </row>
    <row r="710">
      <c r="A710" s="1332"/>
      <c r="B710" s="1332"/>
      <c r="C710" s="1332"/>
      <c r="D710" s="1332"/>
      <c r="E710" s="1332"/>
      <c r="F710" s="1332"/>
      <c r="G710" s="1332"/>
      <c r="H710" s="1332"/>
      <c r="I710" s="1332"/>
      <c r="J710" s="1332"/>
      <c r="K710" s="1332"/>
      <c r="L710" s="1332"/>
      <c r="M710" s="1332"/>
      <c r="N710" s="1332"/>
      <c r="O710" s="1332"/>
    </row>
    <row r="711">
      <c r="A711" s="1332"/>
      <c r="B711" s="1332"/>
      <c r="C711" s="1332"/>
      <c r="D711" s="1332"/>
      <c r="E711" s="1332"/>
      <c r="F711" s="1332"/>
      <c r="G711" s="1332"/>
      <c r="H711" s="1332"/>
      <c r="I711" s="1332"/>
      <c r="J711" s="1332"/>
      <c r="K711" s="1332"/>
      <c r="L711" s="1332"/>
      <c r="M711" s="1332"/>
      <c r="N711" s="1332"/>
      <c r="O711" s="1332"/>
    </row>
    <row r="712">
      <c r="A712" s="1332"/>
      <c r="B712" s="1332"/>
      <c r="C712" s="1332"/>
      <c r="D712" s="1332"/>
      <c r="E712" s="1332"/>
      <c r="F712" s="1332"/>
      <c r="G712" s="1332"/>
      <c r="H712" s="1332"/>
      <c r="I712" s="1332"/>
      <c r="J712" s="1332"/>
      <c r="K712" s="1332"/>
      <c r="L712" s="1332"/>
      <c r="M712" s="1332"/>
      <c r="N712" s="1332"/>
      <c r="O712" s="1332"/>
    </row>
    <row r="713">
      <c r="A713" s="1332"/>
      <c r="B713" s="1332"/>
      <c r="C713" s="1332"/>
      <c r="D713" s="1332"/>
      <c r="E713" s="1332"/>
      <c r="F713" s="1332"/>
      <c r="G713" s="1332"/>
      <c r="H713" s="1332"/>
      <c r="I713" s="1332"/>
      <c r="J713" s="1332"/>
      <c r="K713" s="1332"/>
      <c r="L713" s="1332"/>
      <c r="M713" s="1332"/>
      <c r="N713" s="1332"/>
      <c r="O713" s="1332"/>
    </row>
    <row r="714">
      <c r="A714" s="1332"/>
      <c r="B714" s="1332"/>
      <c r="C714" s="1332"/>
      <c r="D714" s="1332"/>
      <c r="E714" s="1332"/>
      <c r="F714" s="1332"/>
      <c r="G714" s="1332"/>
      <c r="H714" s="1332"/>
      <c r="I714" s="1332"/>
      <c r="J714" s="1332"/>
      <c r="K714" s="1332"/>
      <c r="L714" s="1332"/>
      <c r="M714" s="1332"/>
      <c r="N714" s="1332"/>
      <c r="O714" s="1332"/>
    </row>
    <row r="715">
      <c r="A715" s="1332"/>
      <c r="B715" s="1332"/>
      <c r="C715" s="1332"/>
      <c r="D715" s="1332"/>
      <c r="E715" s="1332"/>
      <c r="F715" s="1332"/>
      <c r="G715" s="1332"/>
      <c r="H715" s="1332"/>
      <c r="I715" s="1332"/>
      <c r="J715" s="1332"/>
      <c r="K715" s="1332"/>
      <c r="L715" s="1332"/>
      <c r="M715" s="1332"/>
      <c r="N715" s="1332"/>
      <c r="O715" s="1332"/>
    </row>
    <row r="716">
      <c r="A716" s="1332"/>
      <c r="B716" s="1332"/>
      <c r="C716" s="1332"/>
      <c r="D716" s="1332"/>
      <c r="E716" s="1332"/>
      <c r="F716" s="1332"/>
      <c r="G716" s="1332"/>
      <c r="H716" s="1332"/>
      <c r="I716" s="1332"/>
      <c r="J716" s="1332"/>
      <c r="K716" s="1332"/>
      <c r="L716" s="1332"/>
      <c r="M716" s="1332"/>
      <c r="N716" s="1332"/>
      <c r="O716" s="1332"/>
    </row>
    <row r="717">
      <c r="A717" s="1332"/>
      <c r="B717" s="1332"/>
      <c r="C717" s="1332"/>
      <c r="D717" s="1332"/>
      <c r="E717" s="1332"/>
      <c r="F717" s="1332"/>
      <c r="G717" s="1332"/>
      <c r="H717" s="1332"/>
      <c r="I717" s="1332"/>
      <c r="J717" s="1332"/>
      <c r="K717" s="1332"/>
      <c r="L717" s="1332"/>
      <c r="M717" s="1332"/>
      <c r="N717" s="1332"/>
      <c r="O717" s="1332"/>
    </row>
    <row r="718">
      <c r="A718" s="1332"/>
      <c r="B718" s="1332"/>
      <c r="C718" s="1332"/>
      <c r="D718" s="1332"/>
      <c r="E718" s="1332"/>
      <c r="F718" s="1332"/>
      <c r="G718" s="1332"/>
      <c r="H718" s="1332"/>
      <c r="I718" s="1332"/>
      <c r="J718" s="1332"/>
      <c r="K718" s="1332"/>
      <c r="L718" s="1332"/>
      <c r="M718" s="1332"/>
      <c r="N718" s="1332"/>
      <c r="O718" s="1332"/>
    </row>
    <row r="719">
      <c r="A719" s="1332"/>
      <c r="B719" s="1332"/>
      <c r="C719" s="1332"/>
      <c r="D719" s="1332"/>
      <c r="E719" s="1332"/>
      <c r="F719" s="1332"/>
      <c r="G719" s="1332"/>
      <c r="H719" s="1332"/>
      <c r="I719" s="1332"/>
      <c r="J719" s="1332"/>
      <c r="K719" s="1332"/>
      <c r="L719" s="1332"/>
      <c r="M719" s="1332"/>
      <c r="N719" s="1332"/>
      <c r="O719" s="1332"/>
    </row>
    <row r="720">
      <c r="A720" s="1332"/>
      <c r="B720" s="1332"/>
      <c r="C720" s="1332"/>
      <c r="D720" s="1332"/>
      <c r="E720" s="1332"/>
      <c r="F720" s="1332"/>
      <c r="G720" s="1332"/>
      <c r="H720" s="1332"/>
      <c r="I720" s="1332"/>
      <c r="J720" s="1332"/>
      <c r="K720" s="1332"/>
      <c r="L720" s="1332"/>
      <c r="M720" s="1332"/>
      <c r="N720" s="1332"/>
      <c r="O720" s="1332"/>
    </row>
    <row r="721">
      <c r="A721" s="1332"/>
      <c r="B721" s="1332"/>
      <c r="C721" s="1332"/>
      <c r="D721" s="1332"/>
      <c r="E721" s="1332"/>
      <c r="F721" s="1332"/>
      <c r="G721" s="1332"/>
      <c r="H721" s="1332"/>
      <c r="I721" s="1332"/>
      <c r="J721" s="1332"/>
      <c r="K721" s="1332"/>
      <c r="L721" s="1332"/>
      <c r="M721" s="1332"/>
      <c r="N721" s="1332"/>
      <c r="O721" s="1332"/>
    </row>
    <row r="722">
      <c r="A722" s="1332"/>
      <c r="B722" s="1332"/>
      <c r="C722" s="1332"/>
      <c r="D722" s="1332"/>
      <c r="E722" s="1332"/>
      <c r="F722" s="1332"/>
      <c r="G722" s="1332"/>
      <c r="H722" s="1332"/>
      <c r="I722" s="1332"/>
      <c r="J722" s="1332"/>
      <c r="K722" s="1332"/>
      <c r="L722" s="1332"/>
      <c r="M722" s="1332"/>
      <c r="N722" s="1332"/>
      <c r="O722" s="1332"/>
    </row>
    <row r="723">
      <c r="A723" s="1332"/>
      <c r="B723" s="1332"/>
      <c r="C723" s="1332"/>
      <c r="D723" s="1332"/>
      <c r="E723" s="1332"/>
      <c r="F723" s="1332"/>
      <c r="G723" s="1332"/>
      <c r="H723" s="1332"/>
      <c r="I723" s="1332"/>
      <c r="J723" s="1332"/>
      <c r="K723" s="1332"/>
      <c r="L723" s="1332"/>
      <c r="M723" s="1332"/>
      <c r="N723" s="1332"/>
      <c r="O723" s="1332"/>
    </row>
    <row r="724">
      <c r="A724" s="1332"/>
      <c r="B724" s="1332"/>
      <c r="C724" s="1332"/>
      <c r="D724" s="1332"/>
      <c r="E724" s="1332"/>
      <c r="F724" s="1332"/>
      <c r="G724" s="1332"/>
      <c r="H724" s="1332"/>
      <c r="I724" s="1332"/>
      <c r="J724" s="1332"/>
      <c r="K724" s="1332"/>
      <c r="L724" s="1332"/>
      <c r="M724" s="1332"/>
      <c r="N724" s="1332"/>
      <c r="O724" s="1332"/>
    </row>
    <row r="725">
      <c r="A725" s="1332"/>
      <c r="B725" s="1332"/>
      <c r="C725" s="1332"/>
      <c r="D725" s="1332"/>
      <c r="E725" s="1332"/>
      <c r="F725" s="1332"/>
      <c r="G725" s="1332"/>
      <c r="H725" s="1332"/>
      <c r="I725" s="1332"/>
      <c r="J725" s="1332"/>
      <c r="K725" s="1332"/>
      <c r="L725" s="1332"/>
      <c r="M725" s="1332"/>
      <c r="N725" s="1332"/>
      <c r="O725" s="1332"/>
    </row>
    <row r="726">
      <c r="A726" s="1332"/>
      <c r="B726" s="1332"/>
      <c r="C726" s="1332"/>
      <c r="D726" s="1332"/>
      <c r="E726" s="1332"/>
      <c r="F726" s="1332"/>
      <c r="G726" s="1332"/>
      <c r="H726" s="1332"/>
      <c r="I726" s="1332"/>
      <c r="J726" s="1332"/>
      <c r="K726" s="1332"/>
      <c r="L726" s="1332"/>
      <c r="M726" s="1332"/>
      <c r="N726" s="1332"/>
      <c r="O726" s="1332"/>
    </row>
    <row r="727">
      <c r="A727" s="1332"/>
      <c r="B727" s="1332"/>
      <c r="C727" s="1332"/>
      <c r="D727" s="1332"/>
      <c r="E727" s="1332"/>
      <c r="F727" s="1332"/>
      <c r="G727" s="1332"/>
      <c r="H727" s="1332"/>
      <c r="I727" s="1332"/>
      <c r="J727" s="1332"/>
      <c r="K727" s="1332"/>
      <c r="L727" s="1332"/>
      <c r="M727" s="1332"/>
      <c r="N727" s="1332"/>
      <c r="O727" s="1332"/>
    </row>
    <row r="728">
      <c r="A728" s="1332"/>
      <c r="B728" s="1332"/>
      <c r="C728" s="1332"/>
      <c r="D728" s="1332"/>
      <c r="E728" s="1332"/>
      <c r="F728" s="1332"/>
      <c r="G728" s="1332"/>
      <c r="H728" s="1332"/>
      <c r="I728" s="1332"/>
      <c r="J728" s="1332"/>
      <c r="K728" s="1332"/>
      <c r="L728" s="1332"/>
      <c r="M728" s="1332"/>
      <c r="N728" s="1332"/>
      <c r="O728" s="1332"/>
    </row>
    <row r="729">
      <c r="A729" s="1332"/>
      <c r="B729" s="1332"/>
      <c r="C729" s="1332"/>
      <c r="D729" s="1332"/>
      <c r="E729" s="1332"/>
      <c r="F729" s="1332"/>
      <c r="G729" s="1332"/>
      <c r="H729" s="1332"/>
      <c r="I729" s="1332"/>
      <c r="J729" s="1332"/>
      <c r="K729" s="1332"/>
      <c r="L729" s="1332"/>
      <c r="M729" s="1332"/>
      <c r="N729" s="1332"/>
      <c r="O729" s="1332"/>
    </row>
    <row r="730">
      <c r="A730" s="1332"/>
      <c r="B730" s="1332"/>
      <c r="C730" s="1332"/>
      <c r="D730" s="1332"/>
      <c r="E730" s="1332"/>
      <c r="F730" s="1332"/>
      <c r="G730" s="1332"/>
      <c r="H730" s="1332"/>
      <c r="I730" s="1332"/>
      <c r="J730" s="1332"/>
      <c r="K730" s="1332"/>
      <c r="L730" s="1332"/>
      <c r="M730" s="1332"/>
      <c r="N730" s="1332"/>
      <c r="O730" s="1332"/>
    </row>
    <row r="731">
      <c r="A731" s="1332"/>
      <c r="B731" s="1332"/>
      <c r="C731" s="1332"/>
      <c r="D731" s="1332"/>
      <c r="E731" s="1332"/>
      <c r="F731" s="1332"/>
      <c r="G731" s="1332"/>
      <c r="H731" s="1332"/>
      <c r="I731" s="1332"/>
      <c r="J731" s="1332"/>
      <c r="K731" s="1332"/>
      <c r="L731" s="1332"/>
      <c r="M731" s="1332"/>
      <c r="N731" s="1332"/>
      <c r="O731" s="1332"/>
    </row>
    <row r="732">
      <c r="A732" s="1332"/>
      <c r="B732" s="1332"/>
      <c r="C732" s="1332"/>
      <c r="D732" s="1332"/>
      <c r="E732" s="1332"/>
      <c r="F732" s="1332"/>
      <c r="G732" s="1332"/>
      <c r="H732" s="1332"/>
      <c r="I732" s="1332"/>
      <c r="J732" s="1332"/>
      <c r="K732" s="1332"/>
      <c r="L732" s="1332"/>
      <c r="M732" s="1332"/>
      <c r="N732" s="1332"/>
      <c r="O732" s="1332"/>
    </row>
    <row r="733">
      <c r="A733" s="1332"/>
      <c r="B733" s="1332"/>
      <c r="C733" s="1332"/>
      <c r="D733" s="1332"/>
      <c r="E733" s="1332"/>
      <c r="F733" s="1332"/>
      <c r="G733" s="1332"/>
      <c r="H733" s="1332"/>
      <c r="I733" s="1332"/>
      <c r="J733" s="1332"/>
      <c r="K733" s="1332"/>
      <c r="L733" s="1332"/>
      <c r="M733" s="1332"/>
      <c r="N733" s="1332"/>
      <c r="O733" s="1332"/>
    </row>
    <row r="734">
      <c r="A734" s="1332"/>
      <c r="B734" s="1332"/>
      <c r="C734" s="1332"/>
      <c r="D734" s="1332"/>
      <c r="E734" s="1332"/>
      <c r="F734" s="1332"/>
      <c r="G734" s="1332"/>
      <c r="H734" s="1332"/>
      <c r="I734" s="1332"/>
      <c r="J734" s="1332"/>
      <c r="K734" s="1332"/>
      <c r="L734" s="1332"/>
      <c r="M734" s="1332"/>
      <c r="N734" s="1332"/>
      <c r="O734" s="1332"/>
    </row>
    <row r="735">
      <c r="A735" s="1332"/>
      <c r="B735" s="1332"/>
      <c r="C735" s="1332"/>
      <c r="D735" s="1332"/>
      <c r="E735" s="1332"/>
      <c r="F735" s="1332"/>
      <c r="G735" s="1332"/>
      <c r="H735" s="1332"/>
      <c r="I735" s="1332"/>
      <c r="J735" s="1332"/>
      <c r="K735" s="1332"/>
      <c r="L735" s="1332"/>
      <c r="M735" s="1332"/>
      <c r="N735" s="1332"/>
      <c r="O735" s="1332"/>
    </row>
    <row r="736">
      <c r="A736" s="1332"/>
      <c r="B736" s="1332"/>
      <c r="C736" s="1332"/>
      <c r="D736" s="1332"/>
      <c r="E736" s="1332"/>
      <c r="F736" s="1332"/>
      <c r="G736" s="1332"/>
      <c r="H736" s="1332"/>
      <c r="I736" s="1332"/>
      <c r="J736" s="1332"/>
      <c r="K736" s="1332"/>
      <c r="L736" s="1332"/>
      <c r="M736" s="1332"/>
      <c r="N736" s="1332"/>
      <c r="O736" s="1332"/>
    </row>
    <row r="737">
      <c r="A737" s="1332"/>
      <c r="B737" s="1332"/>
      <c r="C737" s="1332"/>
      <c r="D737" s="1332"/>
      <c r="E737" s="1332"/>
      <c r="F737" s="1332"/>
      <c r="G737" s="1332"/>
      <c r="H737" s="1332"/>
      <c r="I737" s="1332"/>
      <c r="J737" s="1332"/>
      <c r="K737" s="1332"/>
      <c r="L737" s="1332"/>
      <c r="M737" s="1332"/>
      <c r="N737" s="1332"/>
      <c r="O737" s="1332"/>
    </row>
    <row r="738">
      <c r="A738" s="1332"/>
      <c r="B738" s="1332"/>
      <c r="C738" s="1332"/>
      <c r="D738" s="1332"/>
      <c r="E738" s="1332"/>
      <c r="F738" s="1332"/>
      <c r="G738" s="1332"/>
      <c r="H738" s="1332"/>
      <c r="I738" s="1332"/>
      <c r="J738" s="1332"/>
      <c r="K738" s="1332"/>
      <c r="L738" s="1332"/>
      <c r="M738" s="1332"/>
      <c r="N738" s="1332"/>
      <c r="O738" s="1332"/>
    </row>
    <row r="739">
      <c r="A739" s="1332"/>
      <c r="B739" s="1332"/>
      <c r="C739" s="1332"/>
      <c r="D739" s="1332"/>
      <c r="E739" s="1332"/>
      <c r="F739" s="1332"/>
      <c r="G739" s="1332"/>
      <c r="H739" s="1332"/>
      <c r="I739" s="1332"/>
      <c r="J739" s="1332"/>
      <c r="K739" s="1332"/>
      <c r="L739" s="1332"/>
      <c r="M739" s="1332"/>
      <c r="N739" s="1332"/>
      <c r="O739" s="1332"/>
    </row>
    <row r="740">
      <c r="A740" s="1332"/>
      <c r="B740" s="1332"/>
      <c r="C740" s="1332"/>
      <c r="D740" s="1332"/>
      <c r="E740" s="1332"/>
      <c r="F740" s="1332"/>
      <c r="G740" s="1332"/>
      <c r="H740" s="1332"/>
      <c r="I740" s="1332"/>
      <c r="J740" s="1332"/>
      <c r="K740" s="1332"/>
      <c r="L740" s="1332"/>
      <c r="M740" s="1332"/>
      <c r="N740" s="1332"/>
      <c r="O740" s="1332"/>
    </row>
    <row r="741">
      <c r="A741" s="1332"/>
      <c r="B741" s="1332"/>
      <c r="C741" s="1332"/>
      <c r="D741" s="1332"/>
      <c r="E741" s="1332"/>
      <c r="F741" s="1332"/>
      <c r="G741" s="1332"/>
      <c r="H741" s="1332"/>
      <c r="I741" s="1332"/>
      <c r="J741" s="1332"/>
      <c r="K741" s="1332"/>
      <c r="L741" s="1332"/>
      <c r="M741" s="1332"/>
      <c r="N741" s="1332"/>
      <c r="O741" s="1332"/>
    </row>
    <row r="742">
      <c r="A742" s="1332"/>
      <c r="B742" s="1332"/>
      <c r="C742" s="1332"/>
      <c r="D742" s="1332"/>
      <c r="E742" s="1332"/>
      <c r="F742" s="1332"/>
      <c r="G742" s="1332"/>
      <c r="H742" s="1332"/>
      <c r="I742" s="1332"/>
      <c r="J742" s="1332"/>
      <c r="K742" s="1332"/>
      <c r="L742" s="1332"/>
      <c r="M742" s="1332"/>
      <c r="N742" s="1332"/>
      <c r="O742" s="1332"/>
    </row>
    <row r="743">
      <c r="A743" s="1332"/>
      <c r="B743" s="1332"/>
      <c r="C743" s="1332"/>
      <c r="D743" s="1332"/>
      <c r="E743" s="1332"/>
      <c r="F743" s="1332"/>
      <c r="G743" s="1332"/>
      <c r="H743" s="1332"/>
      <c r="I743" s="1332"/>
      <c r="J743" s="1332"/>
      <c r="K743" s="1332"/>
      <c r="L743" s="1332"/>
      <c r="M743" s="1332"/>
      <c r="N743" s="1332"/>
      <c r="O743" s="1332"/>
    </row>
    <row r="744">
      <c r="A744" s="1332"/>
      <c r="B744" s="1332"/>
      <c r="C744" s="1332"/>
      <c r="D744" s="1332"/>
      <c r="E744" s="1332"/>
      <c r="F744" s="1332"/>
      <c r="G744" s="1332"/>
      <c r="H744" s="1332"/>
      <c r="I744" s="1332"/>
      <c r="J744" s="1332"/>
      <c r="K744" s="1332"/>
      <c r="L744" s="1332"/>
      <c r="M744" s="1332"/>
      <c r="N744" s="1332"/>
      <c r="O744" s="1332"/>
    </row>
    <row r="745">
      <c r="A745" s="1332"/>
      <c r="B745" s="1332"/>
      <c r="C745" s="1332"/>
      <c r="D745" s="1332"/>
      <c r="E745" s="1332"/>
      <c r="F745" s="1332"/>
      <c r="G745" s="1332"/>
      <c r="H745" s="1332"/>
      <c r="I745" s="1332"/>
      <c r="J745" s="1332"/>
      <c r="K745" s="1332"/>
      <c r="L745" s="1332"/>
      <c r="M745" s="1332"/>
      <c r="N745" s="1332"/>
      <c r="O745" s="1332"/>
    </row>
    <row r="746">
      <c r="A746" s="1332"/>
      <c r="B746" s="1332"/>
      <c r="C746" s="1332"/>
      <c r="D746" s="1332"/>
      <c r="E746" s="1332"/>
      <c r="F746" s="1332"/>
      <c r="G746" s="1332"/>
      <c r="H746" s="1332"/>
      <c r="I746" s="1332"/>
      <c r="J746" s="1332"/>
      <c r="K746" s="1332"/>
      <c r="L746" s="1332"/>
      <c r="M746" s="1332"/>
      <c r="N746" s="1332"/>
      <c r="O746" s="1332"/>
    </row>
    <row r="747">
      <c r="A747" s="1332"/>
      <c r="B747" s="1332"/>
      <c r="C747" s="1332"/>
      <c r="D747" s="1332"/>
      <c r="E747" s="1332"/>
      <c r="F747" s="1332"/>
      <c r="G747" s="1332"/>
      <c r="H747" s="1332"/>
      <c r="I747" s="1332"/>
      <c r="J747" s="1332"/>
      <c r="K747" s="1332"/>
      <c r="L747" s="1332"/>
      <c r="M747" s="1332"/>
      <c r="N747" s="1332"/>
      <c r="O747" s="1332"/>
    </row>
    <row r="748">
      <c r="A748" s="1332"/>
      <c r="B748" s="1332"/>
      <c r="C748" s="1332"/>
      <c r="D748" s="1332"/>
      <c r="E748" s="1332"/>
      <c r="F748" s="1332"/>
      <c r="G748" s="1332"/>
      <c r="H748" s="1332"/>
      <c r="I748" s="1332"/>
      <c r="J748" s="1332"/>
      <c r="K748" s="1332"/>
      <c r="L748" s="1332"/>
      <c r="M748" s="1332"/>
      <c r="N748" s="1332"/>
      <c r="O748" s="1332"/>
    </row>
    <row r="749">
      <c r="A749" s="1332"/>
      <c r="B749" s="1332"/>
      <c r="C749" s="1332"/>
      <c r="D749" s="1332"/>
      <c r="E749" s="1332"/>
      <c r="F749" s="1332"/>
      <c r="G749" s="1332"/>
      <c r="H749" s="1332"/>
      <c r="I749" s="1332"/>
      <c r="J749" s="1332"/>
      <c r="K749" s="1332"/>
      <c r="L749" s="1332"/>
      <c r="M749" s="1332"/>
      <c r="N749" s="1332"/>
      <c r="O749" s="1332"/>
    </row>
    <row r="750">
      <c r="A750" s="1332"/>
      <c r="B750" s="1332"/>
      <c r="C750" s="1332"/>
      <c r="D750" s="1332"/>
      <c r="E750" s="1332"/>
      <c r="F750" s="1332"/>
      <c r="G750" s="1332"/>
      <c r="H750" s="1332"/>
      <c r="I750" s="1332"/>
      <c r="J750" s="1332"/>
      <c r="K750" s="1332"/>
      <c r="L750" s="1332"/>
      <c r="M750" s="1332"/>
      <c r="N750" s="1332"/>
      <c r="O750" s="1332"/>
    </row>
    <row r="751">
      <c r="A751" s="1332"/>
      <c r="B751" s="1332"/>
      <c r="C751" s="1332"/>
      <c r="D751" s="1332"/>
      <c r="E751" s="1332"/>
      <c r="F751" s="1332"/>
      <c r="G751" s="1332"/>
      <c r="H751" s="1332"/>
      <c r="I751" s="1332"/>
      <c r="J751" s="1332"/>
      <c r="K751" s="1332"/>
      <c r="L751" s="1332"/>
      <c r="M751" s="1332"/>
      <c r="N751" s="1332"/>
      <c r="O751" s="1332"/>
    </row>
    <row r="752">
      <c r="A752" s="1332"/>
      <c r="B752" s="1332"/>
      <c r="C752" s="1332"/>
      <c r="D752" s="1332"/>
      <c r="E752" s="1332"/>
      <c r="F752" s="1332"/>
      <c r="G752" s="1332"/>
      <c r="H752" s="1332"/>
      <c r="I752" s="1332"/>
      <c r="J752" s="1332"/>
      <c r="K752" s="1332"/>
      <c r="L752" s="1332"/>
      <c r="M752" s="1332"/>
      <c r="N752" s="1332"/>
      <c r="O752" s="1332"/>
    </row>
    <row r="753">
      <c r="A753" s="1332"/>
      <c r="B753" s="1332"/>
      <c r="C753" s="1332"/>
      <c r="D753" s="1332"/>
      <c r="E753" s="1332"/>
      <c r="F753" s="1332"/>
      <c r="G753" s="1332"/>
      <c r="H753" s="1332"/>
      <c r="I753" s="1332"/>
      <c r="J753" s="1332"/>
      <c r="K753" s="1332"/>
      <c r="L753" s="1332"/>
      <c r="M753" s="1332"/>
      <c r="N753" s="1332"/>
      <c r="O753" s="1332"/>
    </row>
    <row r="754">
      <c r="A754" s="1332"/>
      <c r="B754" s="1332"/>
      <c r="C754" s="1332"/>
      <c r="D754" s="1332"/>
      <c r="E754" s="1332"/>
      <c r="F754" s="1332"/>
      <c r="G754" s="1332"/>
      <c r="H754" s="1332"/>
      <c r="I754" s="1332"/>
      <c r="J754" s="1332"/>
      <c r="K754" s="1332"/>
      <c r="L754" s="1332"/>
      <c r="M754" s="1332"/>
      <c r="N754" s="1332"/>
      <c r="O754" s="1332"/>
    </row>
    <row r="755">
      <c r="A755" s="1332"/>
      <c r="B755" s="1332"/>
      <c r="C755" s="1332"/>
      <c r="D755" s="1332"/>
      <c r="E755" s="1332"/>
      <c r="F755" s="1332"/>
      <c r="G755" s="1332"/>
      <c r="H755" s="1332"/>
      <c r="I755" s="1332"/>
      <c r="J755" s="1332"/>
      <c r="K755" s="1332"/>
      <c r="L755" s="1332"/>
      <c r="M755" s="1332"/>
      <c r="N755" s="1332"/>
      <c r="O755" s="1332"/>
    </row>
    <row r="756">
      <c r="A756" s="1332"/>
      <c r="B756" s="1332"/>
      <c r="C756" s="1332"/>
      <c r="D756" s="1332"/>
      <c r="E756" s="1332"/>
      <c r="F756" s="1332"/>
      <c r="G756" s="1332"/>
      <c r="H756" s="1332"/>
      <c r="I756" s="1332"/>
      <c r="J756" s="1332"/>
      <c r="K756" s="1332"/>
      <c r="L756" s="1332"/>
      <c r="M756" s="1332"/>
      <c r="N756" s="1332"/>
      <c r="O756" s="1332"/>
    </row>
    <row r="757">
      <c r="A757" s="1332"/>
      <c r="B757" s="1332"/>
      <c r="C757" s="1332"/>
      <c r="D757" s="1332"/>
      <c r="E757" s="1332"/>
      <c r="F757" s="1332"/>
      <c r="G757" s="1332"/>
      <c r="H757" s="1332"/>
      <c r="I757" s="1332"/>
      <c r="J757" s="1332"/>
      <c r="K757" s="1332"/>
      <c r="L757" s="1332"/>
      <c r="M757" s="1332"/>
      <c r="N757" s="1332"/>
      <c r="O757" s="1332"/>
    </row>
    <row r="758">
      <c r="A758" s="1332"/>
      <c r="B758" s="1332"/>
      <c r="C758" s="1332"/>
      <c r="D758" s="1332"/>
      <c r="E758" s="1332"/>
      <c r="F758" s="1332"/>
      <c r="G758" s="1332"/>
      <c r="H758" s="1332"/>
      <c r="I758" s="1332"/>
      <c r="J758" s="1332"/>
      <c r="K758" s="1332"/>
      <c r="L758" s="1332"/>
      <c r="M758" s="1332"/>
      <c r="N758" s="1332"/>
      <c r="O758" s="1332"/>
    </row>
    <row r="759">
      <c r="A759" s="1332"/>
      <c r="B759" s="1332"/>
      <c r="C759" s="1332"/>
      <c r="D759" s="1332"/>
      <c r="E759" s="1332"/>
      <c r="F759" s="1332"/>
      <c r="G759" s="1332"/>
      <c r="H759" s="1332"/>
      <c r="I759" s="1332"/>
      <c r="J759" s="1332"/>
      <c r="K759" s="1332"/>
      <c r="L759" s="1332"/>
      <c r="M759" s="1332"/>
      <c r="N759" s="1332"/>
      <c r="O759" s="1332"/>
    </row>
    <row r="760">
      <c r="A760" s="1332"/>
      <c r="B760" s="1332"/>
      <c r="C760" s="1332"/>
      <c r="D760" s="1332"/>
      <c r="E760" s="1332"/>
      <c r="F760" s="1332"/>
      <c r="G760" s="1332"/>
      <c r="H760" s="1332"/>
      <c r="I760" s="1332"/>
      <c r="J760" s="1332"/>
      <c r="K760" s="1332"/>
      <c r="L760" s="1332"/>
      <c r="M760" s="1332"/>
      <c r="N760" s="1332"/>
      <c r="O760" s="1332"/>
    </row>
    <row r="761">
      <c r="A761" s="1332"/>
      <c r="B761" s="1332"/>
      <c r="C761" s="1332"/>
      <c r="D761" s="1332"/>
      <c r="E761" s="1332"/>
      <c r="F761" s="1332"/>
      <c r="G761" s="1332"/>
      <c r="H761" s="1332"/>
      <c r="I761" s="1332"/>
      <c r="J761" s="1332"/>
      <c r="K761" s="1332"/>
      <c r="L761" s="1332"/>
      <c r="M761" s="1332"/>
      <c r="N761" s="1332"/>
      <c r="O761" s="1332"/>
    </row>
    <row r="762">
      <c r="A762" s="1332"/>
      <c r="B762" s="1332"/>
      <c r="C762" s="1332"/>
      <c r="D762" s="1332"/>
      <c r="E762" s="1332"/>
      <c r="F762" s="1332"/>
      <c r="G762" s="1332"/>
      <c r="H762" s="1332"/>
      <c r="I762" s="1332"/>
      <c r="J762" s="1332"/>
      <c r="K762" s="1332"/>
      <c r="L762" s="1332"/>
      <c r="M762" s="1332"/>
      <c r="N762" s="1332"/>
      <c r="O762" s="1332"/>
    </row>
    <row r="763">
      <c r="A763" s="1332"/>
      <c r="B763" s="1332"/>
      <c r="C763" s="1332"/>
      <c r="D763" s="1332"/>
      <c r="E763" s="1332"/>
      <c r="F763" s="1332"/>
      <c r="G763" s="1332"/>
      <c r="H763" s="1332"/>
      <c r="I763" s="1332"/>
      <c r="J763" s="1332"/>
      <c r="K763" s="1332"/>
      <c r="L763" s="1332"/>
      <c r="M763" s="1332"/>
      <c r="N763" s="1332"/>
      <c r="O763" s="1332"/>
    </row>
    <row r="764">
      <c r="A764" s="1332"/>
      <c r="B764" s="1332"/>
      <c r="C764" s="1332"/>
      <c r="D764" s="1332"/>
      <c r="E764" s="1332"/>
      <c r="F764" s="1332"/>
      <c r="G764" s="1332"/>
      <c r="H764" s="1332"/>
      <c r="I764" s="1332"/>
      <c r="J764" s="1332"/>
      <c r="K764" s="1332"/>
      <c r="L764" s="1332"/>
      <c r="M764" s="1332"/>
      <c r="N764" s="1332"/>
      <c r="O764" s="1332"/>
    </row>
    <row r="765">
      <c r="A765" s="1332"/>
      <c r="B765" s="1332"/>
      <c r="C765" s="1332"/>
      <c r="D765" s="1332"/>
      <c r="E765" s="1332"/>
      <c r="F765" s="1332"/>
      <c r="G765" s="1332"/>
      <c r="H765" s="1332"/>
      <c r="I765" s="1332"/>
      <c r="J765" s="1332"/>
      <c r="K765" s="1332"/>
      <c r="L765" s="1332"/>
      <c r="M765" s="1332"/>
      <c r="N765" s="1332"/>
      <c r="O765" s="1332"/>
    </row>
    <row r="766">
      <c r="A766" s="1332"/>
      <c r="B766" s="1332"/>
      <c r="C766" s="1332"/>
      <c r="D766" s="1332"/>
      <c r="E766" s="1332"/>
      <c r="F766" s="1332"/>
      <c r="G766" s="1332"/>
      <c r="H766" s="1332"/>
      <c r="I766" s="1332"/>
      <c r="J766" s="1332"/>
      <c r="K766" s="1332"/>
      <c r="L766" s="1332"/>
      <c r="M766" s="1332"/>
      <c r="N766" s="1332"/>
      <c r="O766" s="1332"/>
    </row>
    <row r="767">
      <c r="A767" s="1332"/>
      <c r="B767" s="1332"/>
      <c r="C767" s="1332"/>
      <c r="D767" s="1332"/>
      <c r="E767" s="1332"/>
      <c r="F767" s="1332"/>
      <c r="G767" s="1332"/>
      <c r="H767" s="1332"/>
      <c r="I767" s="1332"/>
      <c r="J767" s="1332"/>
      <c r="K767" s="1332"/>
      <c r="L767" s="1332"/>
      <c r="M767" s="1332"/>
      <c r="N767" s="1332"/>
      <c r="O767" s="1332"/>
    </row>
    <row r="768">
      <c r="A768" s="1332"/>
      <c r="B768" s="1332"/>
      <c r="C768" s="1332"/>
      <c r="D768" s="1332"/>
      <c r="E768" s="1332"/>
      <c r="F768" s="1332"/>
      <c r="G768" s="1332"/>
      <c r="H768" s="1332"/>
      <c r="I768" s="1332"/>
      <c r="J768" s="1332"/>
      <c r="K768" s="1332"/>
      <c r="L768" s="1332"/>
      <c r="M768" s="1332"/>
      <c r="N768" s="1332"/>
      <c r="O768" s="1332"/>
    </row>
    <row r="769">
      <c r="A769" s="1332"/>
      <c r="B769" s="1332"/>
      <c r="C769" s="1332"/>
      <c r="D769" s="1332"/>
      <c r="E769" s="1332"/>
      <c r="F769" s="1332"/>
      <c r="G769" s="1332"/>
      <c r="H769" s="1332"/>
      <c r="I769" s="1332"/>
      <c r="J769" s="1332"/>
      <c r="K769" s="1332"/>
      <c r="L769" s="1332"/>
      <c r="M769" s="1332"/>
      <c r="N769" s="1332"/>
      <c r="O769" s="1332"/>
    </row>
    <row r="770">
      <c r="A770" s="1332"/>
      <c r="B770" s="1332"/>
      <c r="C770" s="1332"/>
      <c r="D770" s="1332"/>
      <c r="E770" s="1332"/>
      <c r="F770" s="1332"/>
      <c r="G770" s="1332"/>
      <c r="H770" s="1332"/>
      <c r="I770" s="1332"/>
      <c r="J770" s="1332"/>
      <c r="K770" s="1332"/>
      <c r="L770" s="1332"/>
      <c r="M770" s="1332"/>
      <c r="N770" s="1332"/>
      <c r="O770" s="1332"/>
    </row>
    <row r="771">
      <c r="A771" s="1332"/>
      <c r="B771" s="1332"/>
      <c r="C771" s="1332"/>
      <c r="D771" s="1332"/>
      <c r="E771" s="1332"/>
      <c r="F771" s="1332"/>
      <c r="G771" s="1332"/>
      <c r="H771" s="1332"/>
      <c r="I771" s="1332"/>
      <c r="J771" s="1332"/>
      <c r="K771" s="1332"/>
      <c r="L771" s="1332"/>
      <c r="M771" s="1332"/>
      <c r="N771" s="1332"/>
      <c r="O771" s="1332"/>
    </row>
    <row r="772">
      <c r="A772" s="1332"/>
      <c r="B772" s="1332"/>
      <c r="C772" s="1332"/>
      <c r="D772" s="1332"/>
      <c r="E772" s="1332"/>
      <c r="F772" s="1332"/>
      <c r="G772" s="1332"/>
      <c r="H772" s="1332"/>
      <c r="I772" s="1332"/>
      <c r="J772" s="1332"/>
      <c r="K772" s="1332"/>
      <c r="L772" s="1332"/>
      <c r="M772" s="1332"/>
      <c r="N772" s="1332"/>
      <c r="O772" s="1332"/>
    </row>
    <row r="773">
      <c r="A773" s="1332"/>
      <c r="B773" s="1332"/>
      <c r="C773" s="1332"/>
      <c r="D773" s="1332"/>
      <c r="E773" s="1332"/>
      <c r="F773" s="1332"/>
      <c r="G773" s="1332"/>
      <c r="H773" s="1332"/>
      <c r="I773" s="1332"/>
      <c r="J773" s="1332"/>
      <c r="K773" s="1332"/>
      <c r="L773" s="1332"/>
      <c r="M773" s="1332"/>
      <c r="N773" s="1332"/>
      <c r="O773" s="1332"/>
    </row>
    <row r="774">
      <c r="A774" s="1332"/>
      <c r="B774" s="1332"/>
      <c r="C774" s="1332"/>
      <c r="D774" s="1332"/>
      <c r="E774" s="1332"/>
      <c r="F774" s="1332"/>
      <c r="G774" s="1332"/>
      <c r="H774" s="1332"/>
      <c r="I774" s="1332"/>
      <c r="J774" s="1332"/>
      <c r="K774" s="1332"/>
      <c r="L774" s="1332"/>
      <c r="M774" s="1332"/>
      <c r="N774" s="1332"/>
      <c r="O774" s="1332"/>
    </row>
    <row r="775">
      <c r="A775" s="1332"/>
      <c r="B775" s="1332"/>
      <c r="C775" s="1332"/>
      <c r="D775" s="1332"/>
      <c r="E775" s="1332"/>
      <c r="F775" s="1332"/>
      <c r="G775" s="1332"/>
      <c r="H775" s="1332"/>
      <c r="I775" s="1332"/>
      <c r="J775" s="1332"/>
      <c r="K775" s="1332"/>
      <c r="L775" s="1332"/>
      <c r="M775" s="1332"/>
      <c r="N775" s="1332"/>
      <c r="O775" s="1332"/>
    </row>
    <row r="776">
      <c r="A776" s="1332"/>
      <c r="B776" s="1332"/>
      <c r="C776" s="1332"/>
      <c r="D776" s="1332"/>
      <c r="E776" s="1332"/>
      <c r="F776" s="1332"/>
      <c r="G776" s="1332"/>
      <c r="H776" s="1332"/>
      <c r="I776" s="1332"/>
      <c r="J776" s="1332"/>
      <c r="K776" s="1332"/>
      <c r="L776" s="1332"/>
      <c r="M776" s="1332"/>
      <c r="N776" s="1332"/>
      <c r="O776" s="1332"/>
    </row>
    <row r="777">
      <c r="A777" s="1332"/>
      <c r="B777" s="1332"/>
      <c r="C777" s="1332"/>
      <c r="D777" s="1332"/>
      <c r="E777" s="1332"/>
      <c r="F777" s="1332"/>
      <c r="G777" s="1332"/>
      <c r="H777" s="1332"/>
      <c r="I777" s="1332"/>
      <c r="J777" s="1332"/>
      <c r="K777" s="1332"/>
      <c r="L777" s="1332"/>
      <c r="M777" s="1332"/>
      <c r="N777" s="1332"/>
      <c r="O777" s="1332"/>
    </row>
    <row r="778">
      <c r="A778" s="1332"/>
      <c r="B778" s="1332"/>
      <c r="C778" s="1332"/>
      <c r="D778" s="1332"/>
      <c r="E778" s="1332"/>
      <c r="F778" s="1332"/>
      <c r="G778" s="1332"/>
      <c r="H778" s="1332"/>
      <c r="I778" s="1332"/>
      <c r="J778" s="1332"/>
      <c r="K778" s="1332"/>
      <c r="L778" s="1332"/>
      <c r="M778" s="1332"/>
      <c r="N778" s="1332"/>
      <c r="O778" s="1332"/>
    </row>
    <row r="779">
      <c r="A779" s="1332"/>
      <c r="B779" s="1332"/>
      <c r="C779" s="1332"/>
      <c r="D779" s="1332"/>
      <c r="E779" s="1332"/>
      <c r="F779" s="1332"/>
      <c r="G779" s="1332"/>
      <c r="H779" s="1332"/>
      <c r="I779" s="1332"/>
      <c r="J779" s="1332"/>
      <c r="K779" s="1332"/>
      <c r="L779" s="1332"/>
      <c r="M779" s="1332"/>
      <c r="N779" s="1332"/>
      <c r="O779" s="1332"/>
    </row>
    <row r="780">
      <c r="A780" s="1332"/>
      <c r="B780" s="1332"/>
      <c r="C780" s="1332"/>
      <c r="D780" s="1332"/>
      <c r="E780" s="1332"/>
      <c r="F780" s="1332"/>
      <c r="G780" s="1332"/>
      <c r="H780" s="1332"/>
      <c r="I780" s="1332"/>
      <c r="J780" s="1332"/>
      <c r="K780" s="1332"/>
      <c r="L780" s="1332"/>
      <c r="M780" s="1332"/>
      <c r="N780" s="1332"/>
      <c r="O780" s="1332"/>
    </row>
    <row r="781">
      <c r="A781" s="1332"/>
      <c r="B781" s="1332"/>
      <c r="C781" s="1332"/>
      <c r="D781" s="1332"/>
      <c r="E781" s="1332"/>
      <c r="F781" s="1332"/>
      <c r="G781" s="1332"/>
      <c r="H781" s="1332"/>
      <c r="I781" s="1332"/>
      <c r="J781" s="1332"/>
      <c r="K781" s="1332"/>
      <c r="L781" s="1332"/>
      <c r="M781" s="1332"/>
      <c r="N781" s="1332"/>
      <c r="O781" s="1332"/>
    </row>
    <row r="782">
      <c r="A782" s="1332"/>
      <c r="B782" s="1332"/>
      <c r="C782" s="1332"/>
      <c r="D782" s="1332"/>
      <c r="E782" s="1332"/>
      <c r="F782" s="1332"/>
      <c r="G782" s="1332"/>
      <c r="H782" s="1332"/>
      <c r="I782" s="1332"/>
      <c r="J782" s="1332"/>
      <c r="K782" s="1332"/>
      <c r="L782" s="1332"/>
      <c r="M782" s="1332"/>
      <c r="N782" s="1332"/>
      <c r="O782" s="1332"/>
    </row>
    <row r="783">
      <c r="A783" s="1332"/>
      <c r="B783" s="1332"/>
      <c r="C783" s="1332"/>
      <c r="D783" s="1332"/>
      <c r="E783" s="1332"/>
      <c r="F783" s="1332"/>
      <c r="G783" s="1332"/>
      <c r="H783" s="1332"/>
      <c r="I783" s="1332"/>
      <c r="J783" s="1332"/>
      <c r="K783" s="1332"/>
      <c r="L783" s="1332"/>
      <c r="M783" s="1332"/>
      <c r="N783" s="1332"/>
      <c r="O783" s="1332"/>
    </row>
    <row r="784">
      <c r="A784" s="1332"/>
      <c r="B784" s="1332"/>
      <c r="C784" s="1332"/>
      <c r="D784" s="1332"/>
      <c r="E784" s="1332"/>
      <c r="F784" s="1332"/>
      <c r="G784" s="1332"/>
      <c r="H784" s="1332"/>
      <c r="I784" s="1332"/>
      <c r="J784" s="1332"/>
      <c r="K784" s="1332"/>
      <c r="L784" s="1332"/>
      <c r="M784" s="1332"/>
      <c r="N784" s="1332"/>
      <c r="O784" s="1332"/>
    </row>
    <row r="785">
      <c r="A785" s="1332"/>
      <c r="B785" s="1332"/>
      <c r="C785" s="1332"/>
      <c r="D785" s="1332"/>
      <c r="E785" s="1332"/>
      <c r="F785" s="1332"/>
      <c r="G785" s="1332"/>
      <c r="H785" s="1332"/>
      <c r="I785" s="1332"/>
      <c r="J785" s="1332"/>
      <c r="K785" s="1332"/>
      <c r="L785" s="1332"/>
      <c r="M785" s="1332"/>
      <c r="N785" s="1332"/>
      <c r="O785" s="1332"/>
    </row>
    <row r="786">
      <c r="A786" s="1332"/>
      <c r="B786" s="1332"/>
      <c r="C786" s="1332"/>
      <c r="D786" s="1332"/>
      <c r="E786" s="1332"/>
      <c r="F786" s="1332"/>
      <c r="G786" s="1332"/>
      <c r="H786" s="1332"/>
      <c r="I786" s="1332"/>
      <c r="J786" s="1332"/>
      <c r="K786" s="1332"/>
      <c r="L786" s="1332"/>
      <c r="M786" s="1332"/>
      <c r="N786" s="1332"/>
      <c r="O786" s="1332"/>
    </row>
    <row r="787">
      <c r="A787" s="1332"/>
      <c r="B787" s="1332"/>
      <c r="C787" s="1332"/>
      <c r="D787" s="1332"/>
      <c r="E787" s="1332"/>
      <c r="F787" s="1332"/>
      <c r="G787" s="1332"/>
      <c r="H787" s="1332"/>
      <c r="I787" s="1332"/>
      <c r="J787" s="1332"/>
      <c r="K787" s="1332"/>
      <c r="L787" s="1332"/>
      <c r="M787" s="1332"/>
      <c r="N787" s="1332"/>
      <c r="O787" s="1332"/>
    </row>
    <row r="788">
      <c r="A788" s="1332"/>
      <c r="B788" s="1332"/>
      <c r="C788" s="1332"/>
      <c r="D788" s="1332"/>
      <c r="E788" s="1332"/>
      <c r="F788" s="1332"/>
      <c r="G788" s="1332"/>
      <c r="H788" s="1332"/>
      <c r="I788" s="1332"/>
      <c r="J788" s="1332"/>
      <c r="K788" s="1332"/>
      <c r="L788" s="1332"/>
      <c r="M788" s="1332"/>
      <c r="N788" s="1332"/>
      <c r="O788" s="1332"/>
    </row>
    <row r="789">
      <c r="A789" s="1332"/>
      <c r="B789" s="1332"/>
      <c r="C789" s="1332"/>
      <c r="D789" s="1332"/>
      <c r="E789" s="1332"/>
      <c r="F789" s="1332"/>
      <c r="G789" s="1332"/>
      <c r="H789" s="1332"/>
      <c r="I789" s="1332"/>
      <c r="J789" s="1332"/>
      <c r="K789" s="1332"/>
      <c r="L789" s="1332"/>
      <c r="M789" s="1332"/>
      <c r="N789" s="1332"/>
      <c r="O789" s="1332"/>
    </row>
    <row r="790">
      <c r="A790" s="1332"/>
      <c r="B790" s="1332"/>
      <c r="C790" s="1332"/>
      <c r="D790" s="1332"/>
      <c r="E790" s="1332"/>
      <c r="F790" s="1332"/>
      <c r="G790" s="1332"/>
      <c r="H790" s="1332"/>
      <c r="I790" s="1332"/>
      <c r="J790" s="1332"/>
      <c r="K790" s="1332"/>
      <c r="L790" s="1332"/>
      <c r="M790" s="1332"/>
      <c r="N790" s="1332"/>
      <c r="O790" s="1332"/>
    </row>
    <row r="791">
      <c r="A791" s="1332"/>
      <c r="B791" s="1332"/>
      <c r="C791" s="1332"/>
      <c r="D791" s="1332"/>
      <c r="E791" s="1332"/>
      <c r="F791" s="1332"/>
      <c r="G791" s="1332"/>
      <c r="H791" s="1332"/>
      <c r="I791" s="1332"/>
      <c r="J791" s="1332"/>
      <c r="K791" s="1332"/>
      <c r="L791" s="1332"/>
      <c r="M791" s="1332"/>
      <c r="N791" s="1332"/>
      <c r="O791" s="1332"/>
    </row>
    <row r="792">
      <c r="A792" s="1332"/>
      <c r="B792" s="1332"/>
      <c r="C792" s="1332"/>
      <c r="D792" s="1332"/>
      <c r="E792" s="1332"/>
      <c r="F792" s="1332"/>
      <c r="G792" s="1332"/>
      <c r="H792" s="1332"/>
      <c r="I792" s="1332"/>
      <c r="J792" s="1332"/>
      <c r="K792" s="1332"/>
      <c r="L792" s="1332"/>
      <c r="M792" s="1332"/>
      <c r="N792" s="1332"/>
      <c r="O792" s="1332"/>
    </row>
    <row r="793">
      <c r="A793" s="1332"/>
      <c r="B793" s="1332"/>
      <c r="C793" s="1332"/>
      <c r="D793" s="1332"/>
      <c r="E793" s="1332"/>
      <c r="F793" s="1332"/>
      <c r="G793" s="1332"/>
      <c r="H793" s="1332"/>
      <c r="I793" s="1332"/>
      <c r="J793" s="1332"/>
      <c r="K793" s="1332"/>
      <c r="L793" s="1332"/>
      <c r="M793" s="1332"/>
      <c r="N793" s="1332"/>
      <c r="O793" s="1332"/>
    </row>
    <row r="794">
      <c r="A794" s="1332"/>
      <c r="B794" s="1332"/>
      <c r="C794" s="1332"/>
      <c r="D794" s="1332"/>
      <c r="E794" s="1332"/>
      <c r="F794" s="1332"/>
      <c r="G794" s="1332"/>
      <c r="H794" s="1332"/>
      <c r="I794" s="1332"/>
      <c r="J794" s="1332"/>
      <c r="K794" s="1332"/>
      <c r="L794" s="1332"/>
      <c r="M794" s="1332"/>
      <c r="N794" s="1332"/>
      <c r="O794" s="1332"/>
    </row>
    <row r="795">
      <c r="A795" s="1332"/>
      <c r="B795" s="1332"/>
      <c r="C795" s="1332"/>
      <c r="D795" s="1332"/>
      <c r="E795" s="1332"/>
      <c r="F795" s="1332"/>
      <c r="G795" s="1332"/>
      <c r="H795" s="1332"/>
      <c r="I795" s="1332"/>
      <c r="J795" s="1332"/>
      <c r="K795" s="1332"/>
      <c r="L795" s="1332"/>
      <c r="M795" s="1332"/>
      <c r="N795" s="1332"/>
      <c r="O795" s="1332"/>
    </row>
    <row r="796">
      <c r="A796" s="1332"/>
      <c r="B796" s="1332"/>
      <c r="C796" s="1332"/>
      <c r="D796" s="1332"/>
      <c r="E796" s="1332"/>
      <c r="F796" s="1332"/>
      <c r="G796" s="1332"/>
      <c r="H796" s="1332"/>
      <c r="I796" s="1332"/>
      <c r="J796" s="1332"/>
      <c r="K796" s="1332"/>
      <c r="L796" s="1332"/>
      <c r="M796" s="1332"/>
      <c r="N796" s="1332"/>
      <c r="O796" s="1332"/>
    </row>
    <row r="797">
      <c r="A797" s="1332"/>
      <c r="B797" s="1332"/>
      <c r="C797" s="1332"/>
      <c r="D797" s="1332"/>
      <c r="E797" s="1332"/>
      <c r="F797" s="1332"/>
      <c r="G797" s="1332"/>
      <c r="H797" s="1332"/>
      <c r="I797" s="1332"/>
      <c r="J797" s="1332"/>
      <c r="K797" s="1332"/>
      <c r="L797" s="1332"/>
      <c r="M797" s="1332"/>
      <c r="N797" s="1332"/>
      <c r="O797" s="1332"/>
    </row>
    <row r="798">
      <c r="A798" s="1332"/>
      <c r="B798" s="1332"/>
      <c r="C798" s="1332"/>
      <c r="D798" s="1332"/>
      <c r="E798" s="1332"/>
      <c r="F798" s="1332"/>
      <c r="G798" s="1332"/>
      <c r="H798" s="1332"/>
      <c r="I798" s="1332"/>
      <c r="J798" s="1332"/>
      <c r="K798" s="1332"/>
      <c r="L798" s="1332"/>
      <c r="M798" s="1332"/>
      <c r="N798" s="1332"/>
      <c r="O798" s="1332"/>
    </row>
    <row r="799">
      <c r="A799" s="1332"/>
      <c r="B799" s="1332"/>
      <c r="C799" s="1332"/>
      <c r="D799" s="1332"/>
      <c r="E799" s="1332"/>
      <c r="F799" s="1332"/>
      <c r="G799" s="1332"/>
      <c r="H799" s="1332"/>
      <c r="I799" s="1332"/>
      <c r="J799" s="1332"/>
      <c r="K799" s="1332"/>
      <c r="L799" s="1332"/>
      <c r="M799" s="1332"/>
      <c r="N799" s="1332"/>
      <c r="O799" s="1332"/>
    </row>
    <row r="800">
      <c r="A800" s="1332"/>
      <c r="B800" s="1332"/>
      <c r="C800" s="1332"/>
      <c r="D800" s="1332"/>
      <c r="E800" s="1332"/>
      <c r="F800" s="1332"/>
      <c r="G800" s="1332"/>
      <c r="H800" s="1332"/>
      <c r="I800" s="1332"/>
      <c r="J800" s="1332"/>
      <c r="K800" s="1332"/>
      <c r="L800" s="1332"/>
      <c r="M800" s="1332"/>
      <c r="N800" s="1332"/>
      <c r="O800" s="1332"/>
    </row>
    <row r="801">
      <c r="A801" s="1332"/>
      <c r="B801" s="1332"/>
      <c r="C801" s="1332"/>
      <c r="D801" s="1332"/>
      <c r="E801" s="1332"/>
      <c r="F801" s="1332"/>
      <c r="G801" s="1332"/>
      <c r="H801" s="1332"/>
      <c r="I801" s="1332"/>
      <c r="J801" s="1332"/>
      <c r="K801" s="1332"/>
      <c r="L801" s="1332"/>
      <c r="M801" s="1332"/>
      <c r="N801" s="1332"/>
      <c r="O801" s="1332"/>
    </row>
    <row r="802">
      <c r="A802" s="1332"/>
      <c r="B802" s="1332"/>
      <c r="C802" s="1332"/>
      <c r="D802" s="1332"/>
      <c r="E802" s="1332"/>
      <c r="F802" s="1332"/>
      <c r="G802" s="1332"/>
      <c r="H802" s="1332"/>
      <c r="I802" s="1332"/>
      <c r="J802" s="1332"/>
      <c r="K802" s="1332"/>
      <c r="L802" s="1332"/>
      <c r="M802" s="1332"/>
      <c r="N802" s="1332"/>
      <c r="O802" s="1332"/>
    </row>
    <row r="803">
      <c r="A803" s="1332"/>
      <c r="B803" s="1332"/>
      <c r="C803" s="1332"/>
      <c r="D803" s="1332"/>
      <c r="E803" s="1332"/>
      <c r="F803" s="1332"/>
      <c r="G803" s="1332"/>
      <c r="H803" s="1332"/>
      <c r="I803" s="1332"/>
      <c r="J803" s="1332"/>
      <c r="K803" s="1332"/>
      <c r="L803" s="1332"/>
      <c r="M803" s="1332"/>
      <c r="N803" s="1332"/>
      <c r="O803" s="1332"/>
    </row>
    <row r="804">
      <c r="A804" s="1332"/>
      <c r="B804" s="1332"/>
      <c r="C804" s="1332"/>
      <c r="D804" s="1332"/>
      <c r="E804" s="1332"/>
      <c r="F804" s="1332"/>
      <c r="G804" s="1332"/>
      <c r="H804" s="1332"/>
      <c r="I804" s="1332"/>
      <c r="J804" s="1332"/>
      <c r="K804" s="1332"/>
      <c r="L804" s="1332"/>
      <c r="M804" s="1332"/>
      <c r="N804" s="1332"/>
      <c r="O804" s="1332"/>
    </row>
    <row r="805">
      <c r="A805" s="1332"/>
      <c r="B805" s="1332"/>
      <c r="C805" s="1332"/>
      <c r="D805" s="1332"/>
      <c r="E805" s="1332"/>
      <c r="F805" s="1332"/>
      <c r="G805" s="1332"/>
      <c r="H805" s="1332"/>
      <c r="I805" s="1332"/>
      <c r="J805" s="1332"/>
      <c r="K805" s="1332"/>
      <c r="L805" s="1332"/>
      <c r="M805" s="1332"/>
      <c r="N805" s="1332"/>
      <c r="O805" s="1332"/>
    </row>
    <row r="806">
      <c r="A806" s="1332"/>
      <c r="B806" s="1332"/>
      <c r="C806" s="1332"/>
      <c r="D806" s="1332"/>
      <c r="E806" s="1332"/>
      <c r="F806" s="1332"/>
      <c r="G806" s="1332"/>
      <c r="H806" s="1332"/>
      <c r="I806" s="1332"/>
      <c r="J806" s="1332"/>
      <c r="K806" s="1332"/>
      <c r="L806" s="1332"/>
      <c r="M806" s="1332"/>
      <c r="N806" s="1332"/>
      <c r="O806" s="1332"/>
    </row>
    <row r="807">
      <c r="A807" s="1332"/>
      <c r="B807" s="1332"/>
      <c r="C807" s="1332"/>
      <c r="D807" s="1332"/>
      <c r="E807" s="1332"/>
      <c r="F807" s="1332"/>
      <c r="G807" s="1332"/>
      <c r="H807" s="1332"/>
      <c r="I807" s="1332"/>
      <c r="J807" s="1332"/>
      <c r="K807" s="1332"/>
      <c r="L807" s="1332"/>
      <c r="M807" s="1332"/>
      <c r="N807" s="1332"/>
      <c r="O807" s="1332"/>
    </row>
    <row r="808">
      <c r="A808" s="1332"/>
      <c r="B808" s="1332"/>
      <c r="C808" s="1332"/>
      <c r="D808" s="1332"/>
      <c r="E808" s="1332"/>
      <c r="F808" s="1332"/>
      <c r="G808" s="1332"/>
      <c r="H808" s="1332"/>
      <c r="I808" s="1332"/>
      <c r="J808" s="1332"/>
      <c r="K808" s="1332"/>
      <c r="L808" s="1332"/>
      <c r="M808" s="1332"/>
      <c r="N808" s="1332"/>
      <c r="O808" s="1332"/>
    </row>
    <row r="809">
      <c r="A809" s="1332"/>
      <c r="B809" s="1332"/>
      <c r="C809" s="1332"/>
      <c r="D809" s="1332"/>
      <c r="E809" s="1332"/>
      <c r="F809" s="1332"/>
      <c r="G809" s="1332"/>
      <c r="H809" s="1332"/>
      <c r="I809" s="1332"/>
      <c r="J809" s="1332"/>
      <c r="K809" s="1332"/>
      <c r="L809" s="1332"/>
      <c r="M809" s="1332"/>
      <c r="N809" s="1332"/>
      <c r="O809" s="1332"/>
    </row>
    <row r="810">
      <c r="A810" s="1332"/>
      <c r="B810" s="1332"/>
      <c r="C810" s="1332"/>
      <c r="D810" s="1332"/>
      <c r="E810" s="1332"/>
      <c r="F810" s="1332"/>
      <c r="G810" s="1332"/>
      <c r="H810" s="1332"/>
      <c r="I810" s="1332"/>
      <c r="J810" s="1332"/>
      <c r="K810" s="1332"/>
      <c r="L810" s="1332"/>
      <c r="M810" s="1332"/>
      <c r="N810" s="1332"/>
      <c r="O810" s="1332"/>
    </row>
    <row r="811">
      <c r="A811" s="1332"/>
      <c r="B811" s="1332"/>
      <c r="C811" s="1332"/>
      <c r="D811" s="1332"/>
      <c r="E811" s="1332"/>
      <c r="F811" s="1332"/>
      <c r="G811" s="1332"/>
      <c r="H811" s="1332"/>
      <c r="I811" s="1332"/>
      <c r="J811" s="1332"/>
      <c r="K811" s="1332"/>
      <c r="L811" s="1332"/>
      <c r="M811" s="1332"/>
      <c r="N811" s="1332"/>
      <c r="O811" s="1332"/>
    </row>
    <row r="812">
      <c r="A812" s="1332"/>
      <c r="B812" s="1332"/>
      <c r="C812" s="1332"/>
      <c r="D812" s="1332"/>
      <c r="E812" s="1332"/>
      <c r="F812" s="1332"/>
      <c r="G812" s="1332"/>
      <c r="H812" s="1332"/>
      <c r="I812" s="1332"/>
      <c r="J812" s="1332"/>
      <c r="K812" s="1332"/>
      <c r="L812" s="1332"/>
      <c r="M812" s="1332"/>
      <c r="N812" s="1332"/>
      <c r="O812" s="1332"/>
    </row>
    <row r="813">
      <c r="A813" s="1332"/>
      <c r="B813" s="1332"/>
      <c r="C813" s="1332"/>
      <c r="D813" s="1332"/>
      <c r="E813" s="1332"/>
      <c r="F813" s="1332"/>
      <c r="G813" s="1332"/>
      <c r="H813" s="1332"/>
      <c r="I813" s="1332"/>
      <c r="J813" s="1332"/>
      <c r="K813" s="1332"/>
      <c r="L813" s="1332"/>
      <c r="M813" s="1332"/>
      <c r="N813" s="1332"/>
      <c r="O813" s="1332"/>
    </row>
    <row r="814">
      <c r="A814" s="1332"/>
      <c r="B814" s="1332"/>
      <c r="C814" s="1332"/>
      <c r="D814" s="1332"/>
      <c r="E814" s="1332"/>
      <c r="F814" s="1332"/>
      <c r="G814" s="1332"/>
      <c r="H814" s="1332"/>
      <c r="I814" s="1332"/>
      <c r="J814" s="1332"/>
      <c r="K814" s="1332"/>
      <c r="L814" s="1332"/>
      <c r="M814" s="1332"/>
      <c r="N814" s="1332"/>
      <c r="O814" s="1332"/>
    </row>
    <row r="815">
      <c r="A815" s="1332"/>
      <c r="B815" s="1332"/>
      <c r="C815" s="1332"/>
      <c r="D815" s="1332"/>
      <c r="E815" s="1332"/>
      <c r="F815" s="1332"/>
      <c r="G815" s="1332"/>
      <c r="H815" s="1332"/>
      <c r="I815" s="1332"/>
      <c r="J815" s="1332"/>
      <c r="K815" s="1332"/>
      <c r="L815" s="1332"/>
      <c r="M815" s="1332"/>
      <c r="N815" s="1332"/>
      <c r="O815" s="1332"/>
    </row>
    <row r="816">
      <c r="A816" s="1332"/>
      <c r="B816" s="1332"/>
      <c r="C816" s="1332"/>
      <c r="D816" s="1332"/>
      <c r="E816" s="1332"/>
      <c r="F816" s="1332"/>
      <c r="G816" s="1332"/>
      <c r="H816" s="1332"/>
      <c r="I816" s="1332"/>
      <c r="J816" s="1332"/>
      <c r="K816" s="1332"/>
      <c r="L816" s="1332"/>
      <c r="M816" s="1332"/>
      <c r="N816" s="1332"/>
      <c r="O816" s="1332"/>
    </row>
    <row r="817">
      <c r="A817" s="1332"/>
      <c r="B817" s="1332"/>
      <c r="C817" s="1332"/>
      <c r="D817" s="1332"/>
      <c r="E817" s="1332"/>
      <c r="F817" s="1332"/>
      <c r="G817" s="1332"/>
      <c r="H817" s="1332"/>
      <c r="I817" s="1332"/>
      <c r="J817" s="1332"/>
      <c r="K817" s="1332"/>
      <c r="L817" s="1332"/>
      <c r="M817" s="1332"/>
      <c r="N817" s="1332"/>
      <c r="O817" s="1332"/>
    </row>
    <row r="818">
      <c r="A818" s="1332"/>
      <c r="B818" s="1332"/>
      <c r="C818" s="1332"/>
      <c r="D818" s="1332"/>
      <c r="E818" s="1332"/>
      <c r="F818" s="1332"/>
      <c r="G818" s="1332"/>
      <c r="H818" s="1332"/>
      <c r="I818" s="1332"/>
      <c r="J818" s="1332"/>
      <c r="K818" s="1332"/>
      <c r="L818" s="1332"/>
      <c r="M818" s="1332"/>
      <c r="N818" s="1332"/>
      <c r="O818" s="1332"/>
    </row>
    <row r="819">
      <c r="A819" s="1332"/>
      <c r="B819" s="1332"/>
      <c r="C819" s="1332"/>
      <c r="D819" s="1332"/>
      <c r="E819" s="1332"/>
      <c r="F819" s="1332"/>
      <c r="G819" s="1332"/>
      <c r="H819" s="1332"/>
      <c r="I819" s="1332"/>
      <c r="J819" s="1332"/>
      <c r="K819" s="1332"/>
      <c r="L819" s="1332"/>
      <c r="M819" s="1332"/>
      <c r="N819" s="1332"/>
      <c r="O819" s="1332"/>
    </row>
    <row r="820">
      <c r="A820" s="1332"/>
      <c r="B820" s="1332"/>
      <c r="C820" s="1332"/>
      <c r="D820" s="1332"/>
      <c r="E820" s="1332"/>
      <c r="F820" s="1332"/>
      <c r="G820" s="1332"/>
      <c r="H820" s="1332"/>
      <c r="I820" s="1332"/>
      <c r="J820" s="1332"/>
      <c r="K820" s="1332"/>
      <c r="L820" s="1332"/>
      <c r="M820" s="1332"/>
      <c r="N820" s="1332"/>
      <c r="O820" s="1332"/>
    </row>
    <row r="821">
      <c r="A821" s="1332"/>
      <c r="B821" s="1332"/>
      <c r="C821" s="1332"/>
      <c r="D821" s="1332"/>
      <c r="E821" s="1332"/>
      <c r="F821" s="1332"/>
      <c r="G821" s="1332"/>
      <c r="H821" s="1332"/>
      <c r="I821" s="1332"/>
      <c r="J821" s="1332"/>
      <c r="K821" s="1332"/>
      <c r="L821" s="1332"/>
      <c r="M821" s="1332"/>
      <c r="N821" s="1332"/>
      <c r="O821" s="1332"/>
    </row>
    <row r="822">
      <c r="A822" s="1332"/>
      <c r="B822" s="1332"/>
      <c r="C822" s="1332"/>
      <c r="D822" s="1332"/>
      <c r="E822" s="1332"/>
      <c r="F822" s="1332"/>
      <c r="G822" s="1332"/>
      <c r="H822" s="1332"/>
      <c r="I822" s="1332"/>
      <c r="J822" s="1332"/>
      <c r="K822" s="1332"/>
      <c r="L822" s="1332"/>
      <c r="M822" s="1332"/>
      <c r="N822" s="1332"/>
      <c r="O822" s="1332"/>
    </row>
    <row r="823">
      <c r="A823" s="1332"/>
      <c r="B823" s="1332"/>
      <c r="C823" s="1332"/>
      <c r="D823" s="1332"/>
      <c r="E823" s="1332"/>
      <c r="F823" s="1332"/>
      <c r="G823" s="1332"/>
      <c r="H823" s="1332"/>
      <c r="I823" s="1332"/>
      <c r="J823" s="1332"/>
      <c r="K823" s="1332"/>
      <c r="L823" s="1332"/>
      <c r="M823" s="1332"/>
      <c r="N823" s="1332"/>
      <c r="O823" s="1332"/>
    </row>
    <row r="824">
      <c r="A824" s="1332"/>
      <c r="B824" s="1332"/>
      <c r="C824" s="1332"/>
      <c r="D824" s="1332"/>
      <c r="E824" s="1332"/>
      <c r="F824" s="1332"/>
      <c r="G824" s="1332"/>
      <c r="H824" s="1332"/>
      <c r="I824" s="1332"/>
      <c r="J824" s="1332"/>
      <c r="K824" s="1332"/>
      <c r="L824" s="1332"/>
      <c r="M824" s="1332"/>
      <c r="N824" s="1332"/>
      <c r="O824" s="1332"/>
    </row>
    <row r="825">
      <c r="A825" s="1332"/>
      <c r="B825" s="1332"/>
      <c r="C825" s="1332"/>
      <c r="D825" s="1332"/>
      <c r="E825" s="1332"/>
      <c r="F825" s="1332"/>
      <c r="G825" s="1332"/>
      <c r="H825" s="1332"/>
      <c r="I825" s="1332"/>
      <c r="J825" s="1332"/>
      <c r="K825" s="1332"/>
      <c r="L825" s="1332"/>
      <c r="M825" s="1332"/>
      <c r="N825" s="1332"/>
      <c r="O825" s="1332"/>
    </row>
    <row r="826">
      <c r="A826" s="1332"/>
      <c r="B826" s="1332"/>
      <c r="C826" s="1332"/>
      <c r="D826" s="1332"/>
      <c r="E826" s="1332"/>
      <c r="F826" s="1332"/>
      <c r="G826" s="1332"/>
      <c r="H826" s="1332"/>
      <c r="I826" s="1332"/>
      <c r="J826" s="1332"/>
      <c r="K826" s="1332"/>
      <c r="L826" s="1332"/>
      <c r="M826" s="1332"/>
      <c r="N826" s="1332"/>
      <c r="O826" s="1332"/>
    </row>
    <row r="827">
      <c r="A827" s="1332"/>
      <c r="B827" s="1332"/>
      <c r="C827" s="1332"/>
      <c r="D827" s="1332"/>
      <c r="E827" s="1332"/>
      <c r="F827" s="1332"/>
      <c r="G827" s="1332"/>
      <c r="H827" s="1332"/>
      <c r="I827" s="1332"/>
      <c r="J827" s="1332"/>
      <c r="K827" s="1332"/>
      <c r="L827" s="1332"/>
      <c r="M827" s="1332"/>
      <c r="N827" s="1332"/>
      <c r="O827" s="1332"/>
    </row>
    <row r="828">
      <c r="A828" s="1332"/>
      <c r="B828" s="1332"/>
      <c r="C828" s="1332"/>
      <c r="D828" s="1332"/>
      <c r="E828" s="1332"/>
      <c r="F828" s="1332"/>
      <c r="G828" s="1332"/>
      <c r="H828" s="1332"/>
      <c r="I828" s="1332"/>
      <c r="J828" s="1332"/>
      <c r="K828" s="1332"/>
      <c r="L828" s="1332"/>
      <c r="M828" s="1332"/>
      <c r="N828" s="1332"/>
      <c r="O828" s="1332"/>
    </row>
    <row r="829">
      <c r="A829" s="1332"/>
      <c r="B829" s="1332"/>
      <c r="C829" s="1332"/>
      <c r="D829" s="1332"/>
      <c r="E829" s="1332"/>
      <c r="F829" s="1332"/>
      <c r="G829" s="1332"/>
      <c r="H829" s="1332"/>
      <c r="I829" s="1332"/>
      <c r="J829" s="1332"/>
      <c r="K829" s="1332"/>
      <c r="L829" s="1332"/>
      <c r="M829" s="1332"/>
      <c r="N829" s="1332"/>
      <c r="O829" s="1332"/>
    </row>
    <row r="830">
      <c r="A830" s="1332"/>
      <c r="B830" s="1332"/>
      <c r="C830" s="1332"/>
      <c r="D830" s="1332"/>
      <c r="E830" s="1332"/>
      <c r="F830" s="1332"/>
      <c r="G830" s="1332"/>
      <c r="H830" s="1332"/>
      <c r="I830" s="1332"/>
      <c r="J830" s="1332"/>
      <c r="K830" s="1332"/>
      <c r="L830" s="1332"/>
      <c r="M830" s="1332"/>
      <c r="N830" s="1332"/>
      <c r="O830" s="1332"/>
    </row>
    <row r="831">
      <c r="A831" s="1332"/>
      <c r="B831" s="1332"/>
      <c r="C831" s="1332"/>
      <c r="D831" s="1332"/>
      <c r="E831" s="1332"/>
      <c r="F831" s="1332"/>
      <c r="G831" s="1332"/>
      <c r="H831" s="1332"/>
      <c r="I831" s="1332"/>
      <c r="J831" s="1332"/>
      <c r="K831" s="1332"/>
      <c r="L831" s="1332"/>
      <c r="M831" s="1332"/>
      <c r="N831" s="1332"/>
      <c r="O831" s="1332"/>
    </row>
    <row r="832">
      <c r="A832" s="1332"/>
      <c r="B832" s="1332"/>
      <c r="C832" s="1332"/>
      <c r="D832" s="1332"/>
      <c r="E832" s="1332"/>
      <c r="F832" s="1332"/>
      <c r="G832" s="1332"/>
      <c r="H832" s="1332"/>
      <c r="I832" s="1332"/>
      <c r="J832" s="1332"/>
      <c r="K832" s="1332"/>
      <c r="L832" s="1332"/>
      <c r="M832" s="1332"/>
      <c r="N832" s="1332"/>
      <c r="O832" s="1332"/>
    </row>
    <row r="833">
      <c r="A833" s="1332"/>
      <c r="B833" s="1332"/>
      <c r="C833" s="1332"/>
      <c r="D833" s="1332"/>
      <c r="E833" s="1332"/>
      <c r="F833" s="1332"/>
      <c r="G833" s="1332"/>
      <c r="H833" s="1332"/>
      <c r="I833" s="1332"/>
      <c r="J833" s="1332"/>
      <c r="K833" s="1332"/>
      <c r="L833" s="1332"/>
      <c r="M833" s="1332"/>
      <c r="N833" s="1332"/>
      <c r="O833" s="1332"/>
    </row>
    <row r="834">
      <c r="A834" s="1332"/>
      <c r="B834" s="1332"/>
      <c r="C834" s="1332"/>
      <c r="D834" s="1332"/>
      <c r="E834" s="1332"/>
      <c r="F834" s="1332"/>
      <c r="G834" s="1332"/>
      <c r="H834" s="1332"/>
      <c r="I834" s="1332"/>
      <c r="J834" s="1332"/>
      <c r="K834" s="1332"/>
      <c r="L834" s="1332"/>
      <c r="M834" s="1332"/>
      <c r="N834" s="1332"/>
      <c r="O834" s="1332"/>
    </row>
    <row r="835">
      <c r="A835" s="1332"/>
      <c r="B835" s="1332"/>
      <c r="C835" s="1332"/>
      <c r="D835" s="1332"/>
      <c r="E835" s="1332"/>
      <c r="F835" s="1332"/>
      <c r="G835" s="1332"/>
      <c r="H835" s="1332"/>
      <c r="I835" s="1332"/>
      <c r="J835" s="1332"/>
      <c r="K835" s="1332"/>
      <c r="L835" s="1332"/>
      <c r="M835" s="1332"/>
      <c r="N835" s="1332"/>
      <c r="O835" s="1332"/>
    </row>
    <row r="836">
      <c r="A836" s="1332"/>
      <c r="B836" s="1332"/>
      <c r="C836" s="1332"/>
      <c r="D836" s="1332"/>
      <c r="E836" s="1332"/>
      <c r="F836" s="1332"/>
      <c r="G836" s="1332"/>
      <c r="H836" s="1332"/>
      <c r="I836" s="1332"/>
      <c r="J836" s="1332"/>
      <c r="K836" s="1332"/>
      <c r="L836" s="1332"/>
      <c r="M836" s="1332"/>
      <c r="N836" s="1332"/>
      <c r="O836" s="1332"/>
    </row>
    <row r="837">
      <c r="A837" s="1332"/>
      <c r="B837" s="1332"/>
      <c r="C837" s="1332"/>
      <c r="D837" s="1332"/>
      <c r="E837" s="1332"/>
      <c r="F837" s="1332"/>
      <c r="G837" s="1332"/>
      <c r="H837" s="1332"/>
      <c r="I837" s="1332"/>
      <c r="J837" s="1332"/>
      <c r="K837" s="1332"/>
      <c r="L837" s="1332"/>
      <c r="M837" s="1332"/>
      <c r="N837" s="1332"/>
      <c r="O837" s="1332"/>
    </row>
    <row r="838">
      <c r="A838" s="1332"/>
      <c r="B838" s="1332"/>
      <c r="C838" s="1332"/>
      <c r="D838" s="1332"/>
      <c r="E838" s="1332"/>
      <c r="F838" s="1332"/>
      <c r="G838" s="1332"/>
      <c r="H838" s="1332"/>
      <c r="I838" s="1332"/>
      <c r="J838" s="1332"/>
      <c r="K838" s="1332"/>
      <c r="L838" s="1332"/>
      <c r="M838" s="1332"/>
      <c r="N838" s="1332"/>
      <c r="O838" s="1332"/>
    </row>
    <row r="839">
      <c r="A839" s="1332"/>
      <c r="B839" s="1332"/>
      <c r="C839" s="1332"/>
      <c r="D839" s="1332"/>
      <c r="E839" s="1332"/>
      <c r="F839" s="1332"/>
      <c r="G839" s="1332"/>
      <c r="H839" s="1332"/>
      <c r="I839" s="1332"/>
      <c r="J839" s="1332"/>
      <c r="K839" s="1332"/>
      <c r="L839" s="1332"/>
      <c r="M839" s="1332"/>
      <c r="N839" s="1332"/>
      <c r="O839" s="1332"/>
    </row>
    <row r="840">
      <c r="A840" s="1332"/>
      <c r="B840" s="1332"/>
      <c r="C840" s="1332"/>
      <c r="D840" s="1332"/>
      <c r="E840" s="1332"/>
      <c r="F840" s="1332"/>
      <c r="G840" s="1332"/>
      <c r="H840" s="1332"/>
      <c r="I840" s="1332"/>
      <c r="J840" s="1332"/>
      <c r="K840" s="1332"/>
      <c r="L840" s="1332"/>
      <c r="M840" s="1332"/>
      <c r="N840" s="1332"/>
      <c r="O840" s="1332"/>
    </row>
    <row r="841">
      <c r="A841" s="1332"/>
      <c r="B841" s="1332"/>
      <c r="C841" s="1332"/>
      <c r="D841" s="1332"/>
      <c r="E841" s="1332"/>
      <c r="F841" s="1332"/>
      <c r="G841" s="1332"/>
      <c r="H841" s="1332"/>
      <c r="I841" s="1332"/>
      <c r="J841" s="1332"/>
      <c r="K841" s="1332"/>
      <c r="L841" s="1332"/>
      <c r="M841" s="1332"/>
      <c r="N841" s="1332"/>
      <c r="O841" s="1332"/>
    </row>
    <row r="842">
      <c r="A842" s="1332"/>
      <c r="B842" s="1332"/>
      <c r="C842" s="1332"/>
      <c r="D842" s="1332"/>
      <c r="E842" s="1332"/>
      <c r="F842" s="1332"/>
      <c r="G842" s="1332"/>
      <c r="H842" s="1332"/>
      <c r="I842" s="1332"/>
      <c r="J842" s="1332"/>
      <c r="K842" s="1332"/>
      <c r="L842" s="1332"/>
      <c r="M842" s="1332"/>
      <c r="N842" s="1332"/>
      <c r="O842" s="1332"/>
    </row>
    <row r="843">
      <c r="A843" s="1332"/>
      <c r="B843" s="1332"/>
      <c r="C843" s="1332"/>
      <c r="D843" s="1332"/>
      <c r="E843" s="1332"/>
      <c r="F843" s="1332"/>
      <c r="G843" s="1332"/>
      <c r="H843" s="1332"/>
      <c r="I843" s="1332"/>
      <c r="J843" s="1332"/>
      <c r="K843" s="1332"/>
      <c r="L843" s="1332"/>
      <c r="M843" s="1332"/>
      <c r="N843" s="1332"/>
      <c r="O843" s="1332"/>
    </row>
    <row r="844">
      <c r="A844" s="1332"/>
      <c r="B844" s="1332"/>
      <c r="C844" s="1332"/>
      <c r="D844" s="1332"/>
      <c r="E844" s="1332"/>
      <c r="F844" s="1332"/>
      <c r="G844" s="1332"/>
      <c r="H844" s="1332"/>
      <c r="I844" s="1332"/>
      <c r="J844" s="1332"/>
      <c r="K844" s="1332"/>
      <c r="L844" s="1332"/>
      <c r="M844" s="1332"/>
      <c r="N844" s="1332"/>
      <c r="O844" s="1332"/>
    </row>
    <row r="845">
      <c r="A845" s="1332"/>
      <c r="B845" s="1332"/>
      <c r="C845" s="1332"/>
      <c r="D845" s="1332"/>
      <c r="E845" s="1332"/>
      <c r="F845" s="1332"/>
      <c r="G845" s="1332"/>
      <c r="H845" s="1332"/>
      <c r="I845" s="1332"/>
      <c r="J845" s="1332"/>
      <c r="K845" s="1332"/>
      <c r="L845" s="1332"/>
      <c r="M845" s="1332"/>
      <c r="N845" s="1332"/>
      <c r="O845" s="1332"/>
    </row>
    <row r="846">
      <c r="A846" s="1332"/>
      <c r="B846" s="1332"/>
      <c r="C846" s="1332"/>
      <c r="D846" s="1332"/>
      <c r="E846" s="1332"/>
      <c r="F846" s="1332"/>
      <c r="G846" s="1332"/>
      <c r="H846" s="1332"/>
      <c r="I846" s="1332"/>
      <c r="J846" s="1332"/>
      <c r="K846" s="1332"/>
      <c r="L846" s="1332"/>
      <c r="M846" s="1332"/>
      <c r="N846" s="1332"/>
      <c r="O846" s="1332"/>
    </row>
    <row r="847">
      <c r="A847" s="1332"/>
      <c r="B847" s="1332"/>
      <c r="C847" s="1332"/>
      <c r="D847" s="1332"/>
      <c r="E847" s="1332"/>
      <c r="F847" s="1332"/>
      <c r="G847" s="1332"/>
      <c r="H847" s="1332"/>
      <c r="I847" s="1332"/>
      <c r="J847" s="1332"/>
      <c r="K847" s="1332"/>
      <c r="L847" s="1332"/>
      <c r="M847" s="1332"/>
      <c r="N847" s="1332"/>
      <c r="O847" s="1332"/>
    </row>
    <row r="848">
      <c r="A848" s="1332"/>
      <c r="B848" s="1332"/>
      <c r="C848" s="1332"/>
      <c r="D848" s="1332"/>
      <c r="E848" s="1332"/>
      <c r="F848" s="1332"/>
      <c r="G848" s="1332"/>
      <c r="H848" s="1332"/>
      <c r="I848" s="1332"/>
      <c r="J848" s="1332"/>
      <c r="K848" s="1332"/>
      <c r="L848" s="1332"/>
      <c r="M848" s="1332"/>
      <c r="N848" s="1332"/>
      <c r="O848" s="1332"/>
    </row>
    <row r="849">
      <c r="A849" s="1332"/>
      <c r="B849" s="1332"/>
      <c r="C849" s="1332"/>
      <c r="D849" s="1332"/>
      <c r="E849" s="1332"/>
      <c r="F849" s="1332"/>
      <c r="G849" s="1332"/>
      <c r="H849" s="1332"/>
      <c r="I849" s="1332"/>
      <c r="J849" s="1332"/>
      <c r="K849" s="1332"/>
      <c r="L849" s="1332"/>
      <c r="M849" s="1332"/>
      <c r="N849" s="1332"/>
      <c r="O849" s="1332"/>
    </row>
    <row r="850">
      <c r="A850" s="1332"/>
      <c r="B850" s="1332"/>
      <c r="C850" s="1332"/>
      <c r="D850" s="1332"/>
      <c r="E850" s="1332"/>
      <c r="F850" s="1332"/>
      <c r="G850" s="1332"/>
      <c r="H850" s="1332"/>
      <c r="I850" s="1332"/>
      <c r="J850" s="1332"/>
      <c r="K850" s="1332"/>
      <c r="L850" s="1332"/>
      <c r="M850" s="1332"/>
      <c r="N850" s="1332"/>
      <c r="O850" s="1332"/>
    </row>
    <row r="851">
      <c r="A851" s="1332"/>
      <c r="B851" s="1332"/>
      <c r="C851" s="1332"/>
      <c r="D851" s="1332"/>
      <c r="E851" s="1332"/>
      <c r="F851" s="1332"/>
      <c r="G851" s="1332"/>
      <c r="H851" s="1332"/>
      <c r="I851" s="1332"/>
      <c r="J851" s="1332"/>
      <c r="K851" s="1332"/>
      <c r="L851" s="1332"/>
      <c r="M851" s="1332"/>
      <c r="N851" s="1332"/>
      <c r="O851" s="1332"/>
    </row>
    <row r="852">
      <c r="A852" s="1332"/>
      <c r="B852" s="1332"/>
      <c r="C852" s="1332"/>
      <c r="D852" s="1332"/>
      <c r="E852" s="1332"/>
      <c r="F852" s="1332"/>
      <c r="G852" s="1332"/>
      <c r="H852" s="1332"/>
      <c r="I852" s="1332"/>
      <c r="J852" s="1332"/>
      <c r="K852" s="1332"/>
      <c r="L852" s="1332"/>
      <c r="M852" s="1332"/>
      <c r="N852" s="1332"/>
      <c r="O852" s="1332"/>
    </row>
    <row r="853">
      <c r="A853" s="1332"/>
      <c r="B853" s="1332"/>
      <c r="C853" s="1332"/>
      <c r="D853" s="1332"/>
      <c r="E853" s="1332"/>
      <c r="F853" s="1332"/>
      <c r="G853" s="1332"/>
      <c r="H853" s="1332"/>
      <c r="I853" s="1332"/>
      <c r="J853" s="1332"/>
      <c r="K853" s="1332"/>
      <c r="L853" s="1332"/>
      <c r="M853" s="1332"/>
      <c r="N853" s="1332"/>
      <c r="O853" s="1332"/>
    </row>
    <row r="854">
      <c r="A854" s="1332"/>
      <c r="B854" s="1332"/>
      <c r="C854" s="1332"/>
      <c r="D854" s="1332"/>
      <c r="E854" s="1332"/>
      <c r="F854" s="1332"/>
      <c r="G854" s="1332"/>
      <c r="H854" s="1332"/>
      <c r="I854" s="1332"/>
      <c r="J854" s="1332"/>
      <c r="K854" s="1332"/>
      <c r="L854" s="1332"/>
      <c r="M854" s="1332"/>
      <c r="N854" s="1332"/>
      <c r="O854" s="1332"/>
    </row>
    <row r="855">
      <c r="A855" s="1332"/>
      <c r="B855" s="1332"/>
      <c r="C855" s="1332"/>
      <c r="D855" s="1332"/>
      <c r="E855" s="1332"/>
      <c r="F855" s="1332"/>
      <c r="G855" s="1332"/>
      <c r="H855" s="1332"/>
      <c r="I855" s="1332"/>
      <c r="J855" s="1332"/>
      <c r="K855" s="1332"/>
      <c r="L855" s="1332"/>
      <c r="M855" s="1332"/>
      <c r="N855" s="1332"/>
      <c r="O855" s="1332"/>
    </row>
    <row r="856">
      <c r="A856" s="1332"/>
      <c r="B856" s="1332"/>
      <c r="C856" s="1332"/>
      <c r="D856" s="1332"/>
      <c r="E856" s="1332"/>
      <c r="F856" s="1332"/>
      <c r="G856" s="1332"/>
      <c r="H856" s="1332"/>
      <c r="I856" s="1332"/>
      <c r="J856" s="1332"/>
      <c r="K856" s="1332"/>
      <c r="L856" s="1332"/>
      <c r="M856" s="1332"/>
      <c r="N856" s="1332"/>
      <c r="O856" s="1332"/>
    </row>
    <row r="857">
      <c r="A857" s="1332"/>
      <c r="B857" s="1332"/>
      <c r="C857" s="1332"/>
      <c r="D857" s="1332"/>
      <c r="E857" s="1332"/>
      <c r="F857" s="1332"/>
      <c r="G857" s="1332"/>
      <c r="H857" s="1332"/>
      <c r="I857" s="1332"/>
      <c r="J857" s="1332"/>
      <c r="K857" s="1332"/>
      <c r="L857" s="1332"/>
      <c r="M857" s="1332"/>
      <c r="N857" s="1332"/>
      <c r="O857" s="1332"/>
    </row>
    <row r="858">
      <c r="A858" s="1332"/>
      <c r="B858" s="1332"/>
      <c r="C858" s="1332"/>
      <c r="D858" s="1332"/>
      <c r="E858" s="1332"/>
      <c r="F858" s="1332"/>
      <c r="G858" s="1332"/>
      <c r="H858" s="1332"/>
      <c r="I858" s="1332"/>
      <c r="J858" s="1332"/>
      <c r="K858" s="1332"/>
      <c r="L858" s="1332"/>
      <c r="M858" s="1332"/>
      <c r="N858" s="1332"/>
      <c r="O858" s="1332"/>
    </row>
    <row r="859">
      <c r="A859" s="1332"/>
      <c r="B859" s="1332"/>
      <c r="C859" s="1332"/>
      <c r="D859" s="1332"/>
      <c r="E859" s="1332"/>
      <c r="F859" s="1332"/>
      <c r="G859" s="1332"/>
      <c r="H859" s="1332"/>
      <c r="I859" s="1332"/>
      <c r="J859" s="1332"/>
      <c r="K859" s="1332"/>
      <c r="L859" s="1332"/>
      <c r="M859" s="1332"/>
      <c r="N859" s="1332"/>
      <c r="O859" s="1332"/>
    </row>
    <row r="860">
      <c r="A860" s="1332"/>
      <c r="B860" s="1332"/>
      <c r="C860" s="1332"/>
      <c r="D860" s="1332"/>
      <c r="E860" s="1332"/>
      <c r="F860" s="1332"/>
      <c r="G860" s="1332"/>
      <c r="H860" s="1332"/>
      <c r="I860" s="1332"/>
      <c r="J860" s="1332"/>
      <c r="K860" s="1332"/>
      <c r="L860" s="1332"/>
      <c r="M860" s="1332"/>
      <c r="N860" s="1332"/>
      <c r="O860" s="1332"/>
    </row>
    <row r="861">
      <c r="A861" s="1332"/>
      <c r="B861" s="1332"/>
      <c r="C861" s="1332"/>
      <c r="D861" s="1332"/>
      <c r="E861" s="1332"/>
      <c r="F861" s="1332"/>
      <c r="G861" s="1332"/>
      <c r="H861" s="1332"/>
      <c r="I861" s="1332"/>
      <c r="J861" s="1332"/>
      <c r="K861" s="1332"/>
      <c r="L861" s="1332"/>
      <c r="M861" s="1332"/>
      <c r="N861" s="1332"/>
      <c r="O861" s="1332"/>
    </row>
    <row r="862">
      <c r="A862" s="1332"/>
      <c r="B862" s="1332"/>
      <c r="C862" s="1332"/>
      <c r="D862" s="1332"/>
      <c r="E862" s="1332"/>
      <c r="F862" s="1332"/>
      <c r="G862" s="1332"/>
      <c r="H862" s="1332"/>
      <c r="I862" s="1332"/>
      <c r="J862" s="1332"/>
      <c r="K862" s="1332"/>
      <c r="L862" s="1332"/>
      <c r="M862" s="1332"/>
      <c r="N862" s="1332"/>
      <c r="O862" s="1332"/>
    </row>
    <row r="863">
      <c r="A863" s="1332"/>
      <c r="B863" s="1332"/>
      <c r="C863" s="1332"/>
      <c r="D863" s="1332"/>
      <c r="E863" s="1332"/>
      <c r="F863" s="1332"/>
      <c r="G863" s="1332"/>
      <c r="H863" s="1332"/>
      <c r="I863" s="1332"/>
      <c r="J863" s="1332"/>
      <c r="K863" s="1332"/>
      <c r="L863" s="1332"/>
      <c r="M863" s="1332"/>
      <c r="N863" s="1332"/>
      <c r="O863" s="1332"/>
    </row>
    <row r="864">
      <c r="A864" s="1332"/>
      <c r="B864" s="1332"/>
      <c r="C864" s="1332"/>
      <c r="D864" s="1332"/>
      <c r="E864" s="1332"/>
      <c r="F864" s="1332"/>
      <c r="G864" s="1332"/>
      <c r="H864" s="1332"/>
      <c r="I864" s="1332"/>
      <c r="J864" s="1332"/>
      <c r="K864" s="1332"/>
      <c r="L864" s="1332"/>
      <c r="M864" s="1332"/>
      <c r="N864" s="1332"/>
      <c r="O864" s="1332"/>
    </row>
    <row r="865">
      <c r="A865" s="1332"/>
      <c r="B865" s="1332"/>
      <c r="C865" s="1332"/>
      <c r="D865" s="1332"/>
      <c r="E865" s="1332"/>
      <c r="F865" s="1332"/>
      <c r="G865" s="1332"/>
      <c r="H865" s="1332"/>
      <c r="I865" s="1332"/>
      <c r="J865" s="1332"/>
      <c r="K865" s="1332"/>
      <c r="L865" s="1332"/>
      <c r="M865" s="1332"/>
      <c r="N865" s="1332"/>
      <c r="O865" s="1332"/>
    </row>
    <row r="866">
      <c r="A866" s="1332"/>
      <c r="B866" s="1332"/>
      <c r="C866" s="1332"/>
      <c r="D866" s="1332"/>
      <c r="E866" s="1332"/>
      <c r="F866" s="1332"/>
      <c r="G866" s="1332"/>
      <c r="H866" s="1332"/>
      <c r="I866" s="1332"/>
      <c r="J866" s="1332"/>
      <c r="K866" s="1332"/>
      <c r="L866" s="1332"/>
      <c r="M866" s="1332"/>
      <c r="N866" s="1332"/>
      <c r="O866" s="1332"/>
    </row>
    <row r="867">
      <c r="A867" s="1332"/>
      <c r="B867" s="1332"/>
      <c r="C867" s="1332"/>
      <c r="D867" s="1332"/>
      <c r="E867" s="1332"/>
      <c r="F867" s="1332"/>
      <c r="G867" s="1332"/>
      <c r="H867" s="1332"/>
      <c r="I867" s="1332"/>
      <c r="J867" s="1332"/>
      <c r="K867" s="1332"/>
      <c r="L867" s="1332"/>
      <c r="M867" s="1332"/>
      <c r="N867" s="1332"/>
      <c r="O867" s="1332"/>
    </row>
    <row r="868">
      <c r="A868" s="1332"/>
      <c r="B868" s="1332"/>
      <c r="C868" s="1332"/>
      <c r="D868" s="1332"/>
      <c r="E868" s="1332"/>
      <c r="F868" s="1332"/>
      <c r="G868" s="1332"/>
      <c r="H868" s="1332"/>
      <c r="I868" s="1332"/>
      <c r="J868" s="1332"/>
      <c r="K868" s="1332"/>
      <c r="L868" s="1332"/>
      <c r="M868" s="1332"/>
      <c r="N868" s="1332"/>
      <c r="O868" s="1332"/>
    </row>
    <row r="869">
      <c r="A869" s="1332"/>
      <c r="B869" s="1332"/>
      <c r="C869" s="1332"/>
      <c r="D869" s="1332"/>
      <c r="E869" s="1332"/>
      <c r="F869" s="1332"/>
      <c r="G869" s="1332"/>
      <c r="H869" s="1332"/>
      <c r="I869" s="1332"/>
      <c r="J869" s="1332"/>
      <c r="K869" s="1332"/>
      <c r="L869" s="1332"/>
      <c r="M869" s="1332"/>
      <c r="N869" s="1332"/>
      <c r="O869" s="1332"/>
    </row>
    <row r="870">
      <c r="A870" s="1332"/>
      <c r="B870" s="1332"/>
      <c r="C870" s="1332"/>
      <c r="D870" s="1332"/>
      <c r="E870" s="1332"/>
      <c r="F870" s="1332"/>
      <c r="G870" s="1332"/>
      <c r="H870" s="1332"/>
      <c r="I870" s="1332"/>
      <c r="J870" s="1332"/>
      <c r="K870" s="1332"/>
      <c r="L870" s="1332"/>
      <c r="M870" s="1332"/>
      <c r="N870" s="1332"/>
      <c r="O870" s="1332"/>
    </row>
    <row r="871">
      <c r="A871" s="1332"/>
      <c r="B871" s="1332"/>
      <c r="C871" s="1332"/>
      <c r="D871" s="1332"/>
      <c r="E871" s="1332"/>
      <c r="F871" s="1332"/>
      <c r="G871" s="1332"/>
      <c r="H871" s="1332"/>
      <c r="I871" s="1332"/>
      <c r="J871" s="1332"/>
      <c r="K871" s="1332"/>
      <c r="L871" s="1332"/>
      <c r="M871" s="1332"/>
      <c r="N871" s="1332"/>
      <c r="O871" s="1332"/>
    </row>
    <row r="872">
      <c r="A872" s="1332"/>
      <c r="B872" s="1332"/>
      <c r="C872" s="1332"/>
      <c r="D872" s="1332"/>
      <c r="E872" s="1332"/>
      <c r="F872" s="1332"/>
      <c r="G872" s="1332"/>
      <c r="H872" s="1332"/>
      <c r="I872" s="1332"/>
      <c r="J872" s="1332"/>
      <c r="K872" s="1332"/>
      <c r="L872" s="1332"/>
      <c r="M872" s="1332"/>
      <c r="N872" s="1332"/>
      <c r="O872" s="1332"/>
    </row>
    <row r="873">
      <c r="A873" s="1332"/>
      <c r="B873" s="1332"/>
      <c r="C873" s="1332"/>
      <c r="D873" s="1332"/>
      <c r="E873" s="1332"/>
      <c r="F873" s="1332"/>
      <c r="G873" s="1332"/>
      <c r="H873" s="1332"/>
      <c r="I873" s="1332"/>
      <c r="J873" s="1332"/>
      <c r="K873" s="1332"/>
      <c r="L873" s="1332"/>
      <c r="M873" s="1332"/>
      <c r="N873" s="1332"/>
      <c r="O873" s="1332"/>
    </row>
    <row r="874">
      <c r="A874" s="1332"/>
      <c r="B874" s="1332"/>
      <c r="C874" s="1332"/>
      <c r="D874" s="1332"/>
      <c r="E874" s="1332"/>
      <c r="F874" s="1332"/>
      <c r="G874" s="1332"/>
      <c r="H874" s="1332"/>
      <c r="I874" s="1332"/>
      <c r="J874" s="1332"/>
      <c r="K874" s="1332"/>
      <c r="L874" s="1332"/>
      <c r="M874" s="1332"/>
      <c r="N874" s="1332"/>
      <c r="O874" s="1332"/>
    </row>
    <row r="875">
      <c r="A875" s="1332"/>
      <c r="B875" s="1332"/>
      <c r="C875" s="1332"/>
      <c r="D875" s="1332"/>
      <c r="E875" s="1332"/>
      <c r="F875" s="1332"/>
      <c r="G875" s="1332"/>
      <c r="H875" s="1332"/>
      <c r="I875" s="1332"/>
      <c r="J875" s="1332"/>
      <c r="K875" s="1332"/>
      <c r="L875" s="1332"/>
      <c r="M875" s="1332"/>
      <c r="N875" s="1332"/>
      <c r="O875" s="1332"/>
    </row>
    <row r="876">
      <c r="A876" s="1332"/>
      <c r="B876" s="1332"/>
      <c r="C876" s="1332"/>
      <c r="D876" s="1332"/>
      <c r="E876" s="1332"/>
      <c r="F876" s="1332"/>
      <c r="G876" s="1332"/>
      <c r="H876" s="1332"/>
      <c r="I876" s="1332"/>
      <c r="J876" s="1332"/>
      <c r="K876" s="1332"/>
      <c r="L876" s="1332"/>
      <c r="M876" s="1332"/>
      <c r="N876" s="1332"/>
      <c r="O876" s="1332"/>
    </row>
    <row r="877">
      <c r="A877" s="1332"/>
      <c r="B877" s="1332"/>
      <c r="C877" s="1332"/>
      <c r="D877" s="1332"/>
      <c r="E877" s="1332"/>
      <c r="F877" s="1332"/>
      <c r="G877" s="1332"/>
      <c r="H877" s="1332"/>
      <c r="I877" s="1332"/>
      <c r="J877" s="1332"/>
      <c r="K877" s="1332"/>
      <c r="L877" s="1332"/>
      <c r="M877" s="1332"/>
      <c r="N877" s="1332"/>
      <c r="O877" s="1332"/>
    </row>
    <row r="878">
      <c r="A878" s="1332"/>
      <c r="B878" s="1332"/>
      <c r="C878" s="1332"/>
      <c r="D878" s="1332"/>
      <c r="E878" s="1332"/>
      <c r="F878" s="1332"/>
      <c r="G878" s="1332"/>
      <c r="H878" s="1332"/>
      <c r="I878" s="1332"/>
      <c r="J878" s="1332"/>
      <c r="K878" s="1332"/>
      <c r="L878" s="1332"/>
      <c r="M878" s="1332"/>
      <c r="N878" s="1332"/>
      <c r="O878" s="1332"/>
    </row>
    <row r="879">
      <c r="A879" s="1332"/>
      <c r="B879" s="1332"/>
      <c r="C879" s="1332"/>
      <c r="D879" s="1332"/>
      <c r="E879" s="1332"/>
      <c r="F879" s="1332"/>
      <c r="G879" s="1332"/>
      <c r="H879" s="1332"/>
      <c r="I879" s="1332"/>
      <c r="J879" s="1332"/>
      <c r="K879" s="1332"/>
      <c r="L879" s="1332"/>
      <c r="M879" s="1332"/>
      <c r="N879" s="1332"/>
      <c r="O879" s="1332"/>
    </row>
    <row r="880">
      <c r="A880" s="1332"/>
      <c r="B880" s="1332"/>
      <c r="C880" s="1332"/>
      <c r="D880" s="1332"/>
      <c r="E880" s="1332"/>
      <c r="F880" s="1332"/>
      <c r="G880" s="1332"/>
      <c r="H880" s="1332"/>
      <c r="I880" s="1332"/>
      <c r="J880" s="1332"/>
      <c r="K880" s="1332"/>
      <c r="L880" s="1332"/>
      <c r="M880" s="1332"/>
      <c r="N880" s="1332"/>
      <c r="O880" s="1332"/>
    </row>
    <row r="881">
      <c r="A881" s="1332"/>
      <c r="B881" s="1332"/>
      <c r="C881" s="1332"/>
      <c r="D881" s="1332"/>
      <c r="E881" s="1332"/>
      <c r="F881" s="1332"/>
      <c r="G881" s="1332"/>
      <c r="H881" s="1332"/>
      <c r="I881" s="1332"/>
      <c r="J881" s="1332"/>
      <c r="K881" s="1332"/>
      <c r="L881" s="1332"/>
      <c r="M881" s="1332"/>
      <c r="N881" s="1332"/>
      <c r="O881" s="1332"/>
    </row>
    <row r="882">
      <c r="A882" s="1332"/>
      <c r="B882" s="1332"/>
      <c r="C882" s="1332"/>
      <c r="D882" s="1332"/>
      <c r="E882" s="1332"/>
      <c r="F882" s="1332"/>
      <c r="G882" s="1332"/>
      <c r="H882" s="1332"/>
      <c r="I882" s="1332"/>
      <c r="J882" s="1332"/>
      <c r="K882" s="1332"/>
      <c r="L882" s="1332"/>
      <c r="M882" s="1332"/>
      <c r="N882" s="1332"/>
      <c r="O882" s="1332"/>
    </row>
    <row r="883">
      <c r="A883" s="1332"/>
      <c r="B883" s="1332"/>
      <c r="C883" s="1332"/>
      <c r="D883" s="1332"/>
      <c r="E883" s="1332"/>
      <c r="F883" s="1332"/>
      <c r="G883" s="1332"/>
      <c r="H883" s="1332"/>
      <c r="I883" s="1332"/>
      <c r="J883" s="1332"/>
      <c r="K883" s="1332"/>
      <c r="L883" s="1332"/>
      <c r="M883" s="1332"/>
      <c r="N883" s="1332"/>
      <c r="O883" s="1332"/>
    </row>
    <row r="884">
      <c r="A884" s="1332"/>
      <c r="B884" s="1332"/>
      <c r="C884" s="1332"/>
      <c r="D884" s="1332"/>
      <c r="E884" s="1332"/>
      <c r="F884" s="1332"/>
      <c r="G884" s="1332"/>
      <c r="H884" s="1332"/>
      <c r="I884" s="1332"/>
      <c r="J884" s="1332"/>
      <c r="K884" s="1332"/>
      <c r="L884" s="1332"/>
      <c r="M884" s="1332"/>
      <c r="N884" s="1332"/>
      <c r="O884" s="1332"/>
    </row>
    <row r="885">
      <c r="A885" s="1332"/>
      <c r="B885" s="1332"/>
      <c r="C885" s="1332"/>
      <c r="D885" s="1332"/>
      <c r="E885" s="1332"/>
      <c r="F885" s="1332"/>
      <c r="G885" s="1332"/>
      <c r="H885" s="1332"/>
      <c r="I885" s="1332"/>
      <c r="J885" s="1332"/>
      <c r="K885" s="1332"/>
      <c r="L885" s="1332"/>
      <c r="M885" s="1332"/>
      <c r="N885" s="1332"/>
      <c r="O885" s="1332"/>
    </row>
    <row r="886">
      <c r="A886" s="1332"/>
      <c r="B886" s="1332"/>
      <c r="C886" s="1332"/>
      <c r="D886" s="1332"/>
      <c r="E886" s="1332"/>
      <c r="F886" s="1332"/>
      <c r="G886" s="1332"/>
      <c r="H886" s="1332"/>
      <c r="I886" s="1332"/>
      <c r="J886" s="1332"/>
      <c r="K886" s="1332"/>
      <c r="L886" s="1332"/>
      <c r="M886" s="1332"/>
      <c r="N886" s="1332"/>
      <c r="O886" s="1332"/>
    </row>
    <row r="887">
      <c r="A887" s="1332"/>
      <c r="B887" s="1332"/>
      <c r="C887" s="1332"/>
      <c r="D887" s="1332"/>
      <c r="E887" s="1332"/>
      <c r="F887" s="1332"/>
      <c r="G887" s="1332"/>
      <c r="H887" s="1332"/>
      <c r="I887" s="1332"/>
      <c r="J887" s="1332"/>
      <c r="K887" s="1332"/>
      <c r="L887" s="1332"/>
      <c r="M887" s="1332"/>
      <c r="N887" s="1332"/>
      <c r="O887" s="1332"/>
    </row>
    <row r="888">
      <c r="A888" s="1332"/>
      <c r="B888" s="1332"/>
      <c r="C888" s="1332"/>
      <c r="D888" s="1332"/>
      <c r="E888" s="1332"/>
      <c r="F888" s="1332"/>
      <c r="G888" s="1332"/>
      <c r="H888" s="1332"/>
      <c r="I888" s="1332"/>
      <c r="J888" s="1332"/>
      <c r="K888" s="1332"/>
      <c r="L888" s="1332"/>
      <c r="M888" s="1332"/>
      <c r="N888" s="1332"/>
      <c r="O888" s="1332"/>
    </row>
    <row r="889">
      <c r="A889" s="1332"/>
      <c r="B889" s="1332"/>
      <c r="C889" s="1332"/>
      <c r="D889" s="1332"/>
      <c r="E889" s="1332"/>
      <c r="F889" s="1332"/>
      <c r="G889" s="1332"/>
      <c r="H889" s="1332"/>
      <c r="I889" s="1332"/>
      <c r="J889" s="1332"/>
      <c r="K889" s="1332"/>
      <c r="L889" s="1332"/>
      <c r="M889" s="1332"/>
      <c r="N889" s="1332"/>
      <c r="O889" s="1332"/>
    </row>
    <row r="890">
      <c r="A890" s="1332"/>
      <c r="B890" s="1332"/>
      <c r="C890" s="1332"/>
      <c r="D890" s="1332"/>
      <c r="E890" s="1332"/>
      <c r="F890" s="1332"/>
      <c r="G890" s="1332"/>
      <c r="H890" s="1332"/>
      <c r="I890" s="1332"/>
      <c r="J890" s="1332"/>
      <c r="K890" s="1332"/>
      <c r="L890" s="1332"/>
      <c r="M890" s="1332"/>
      <c r="N890" s="1332"/>
      <c r="O890" s="1332"/>
    </row>
    <row r="891">
      <c r="A891" s="1332"/>
      <c r="B891" s="1332"/>
      <c r="C891" s="1332"/>
      <c r="D891" s="1332"/>
      <c r="E891" s="1332"/>
      <c r="F891" s="1332"/>
      <c r="G891" s="1332"/>
      <c r="H891" s="1332"/>
      <c r="I891" s="1332"/>
      <c r="J891" s="1332"/>
      <c r="K891" s="1332"/>
      <c r="L891" s="1332"/>
      <c r="M891" s="1332"/>
      <c r="N891" s="1332"/>
      <c r="O891" s="1332"/>
    </row>
    <row r="892">
      <c r="A892" s="1332"/>
      <c r="B892" s="1332"/>
      <c r="C892" s="1332"/>
      <c r="D892" s="1332"/>
      <c r="E892" s="1332"/>
      <c r="F892" s="1332"/>
      <c r="G892" s="1332"/>
      <c r="H892" s="1332"/>
      <c r="I892" s="1332"/>
      <c r="J892" s="1332"/>
      <c r="K892" s="1332"/>
      <c r="L892" s="1332"/>
      <c r="M892" s="1332"/>
      <c r="N892" s="1332"/>
      <c r="O892" s="1332"/>
    </row>
    <row r="893">
      <c r="A893" s="1332"/>
      <c r="B893" s="1332"/>
      <c r="C893" s="1332"/>
      <c r="D893" s="1332"/>
      <c r="E893" s="1332"/>
      <c r="F893" s="1332"/>
      <c r="G893" s="1332"/>
      <c r="H893" s="1332"/>
      <c r="I893" s="1332"/>
      <c r="J893" s="1332"/>
      <c r="K893" s="1332"/>
      <c r="L893" s="1332"/>
      <c r="M893" s="1332"/>
      <c r="N893" s="1332"/>
      <c r="O893" s="1332"/>
    </row>
    <row r="894">
      <c r="A894" s="1332"/>
      <c r="B894" s="1332"/>
      <c r="C894" s="1332"/>
      <c r="D894" s="1332"/>
      <c r="E894" s="1332"/>
      <c r="F894" s="1332"/>
      <c r="G894" s="1332"/>
      <c r="H894" s="1332"/>
      <c r="I894" s="1332"/>
      <c r="J894" s="1332"/>
      <c r="K894" s="1332"/>
      <c r="L894" s="1332"/>
      <c r="M894" s="1332"/>
      <c r="N894" s="1332"/>
      <c r="O894" s="1332"/>
    </row>
    <row r="895">
      <c r="A895" s="1332"/>
      <c r="B895" s="1332"/>
      <c r="C895" s="1332"/>
      <c r="D895" s="1332"/>
      <c r="E895" s="1332"/>
      <c r="F895" s="1332"/>
      <c r="G895" s="1332"/>
      <c r="H895" s="1332"/>
      <c r="I895" s="1332"/>
      <c r="J895" s="1332"/>
      <c r="K895" s="1332"/>
      <c r="L895" s="1332"/>
      <c r="M895" s="1332"/>
      <c r="N895" s="1332"/>
      <c r="O895" s="1332"/>
    </row>
    <row r="896">
      <c r="A896" s="1332"/>
      <c r="B896" s="1332"/>
      <c r="C896" s="1332"/>
      <c r="D896" s="1332"/>
      <c r="E896" s="1332"/>
      <c r="F896" s="1332"/>
      <c r="G896" s="1332"/>
      <c r="H896" s="1332"/>
      <c r="I896" s="1332"/>
      <c r="J896" s="1332"/>
      <c r="K896" s="1332"/>
      <c r="L896" s="1332"/>
      <c r="M896" s="1332"/>
      <c r="N896" s="1332"/>
      <c r="O896" s="1332"/>
    </row>
    <row r="897">
      <c r="A897" s="1332"/>
      <c r="B897" s="1332"/>
      <c r="C897" s="1332"/>
      <c r="D897" s="1332"/>
      <c r="E897" s="1332"/>
      <c r="F897" s="1332"/>
      <c r="G897" s="1332"/>
      <c r="H897" s="1332"/>
      <c r="I897" s="1332"/>
      <c r="J897" s="1332"/>
      <c r="K897" s="1332"/>
      <c r="L897" s="1332"/>
      <c r="M897" s="1332"/>
      <c r="N897" s="1332"/>
      <c r="O897" s="1332"/>
    </row>
    <row r="898">
      <c r="A898" s="1332"/>
      <c r="B898" s="1332"/>
      <c r="C898" s="1332"/>
      <c r="D898" s="1332"/>
      <c r="E898" s="1332"/>
      <c r="F898" s="1332"/>
      <c r="G898" s="1332"/>
      <c r="H898" s="1332"/>
      <c r="I898" s="1332"/>
      <c r="J898" s="1332"/>
      <c r="K898" s="1332"/>
      <c r="L898" s="1332"/>
      <c r="M898" s="1332"/>
      <c r="N898" s="1332"/>
      <c r="O898" s="1332"/>
    </row>
    <row r="899">
      <c r="A899" s="1332"/>
      <c r="B899" s="1332"/>
      <c r="C899" s="1332"/>
      <c r="D899" s="1332"/>
      <c r="E899" s="1332"/>
      <c r="F899" s="1332"/>
      <c r="G899" s="1332"/>
      <c r="H899" s="1332"/>
      <c r="I899" s="1332"/>
      <c r="J899" s="1332"/>
      <c r="K899" s="1332"/>
      <c r="L899" s="1332"/>
      <c r="M899" s="1332"/>
      <c r="N899" s="1332"/>
      <c r="O899" s="1332"/>
    </row>
    <row r="900">
      <c r="A900" s="1332"/>
      <c r="B900" s="1332"/>
      <c r="C900" s="1332"/>
      <c r="D900" s="1332"/>
      <c r="E900" s="1332"/>
      <c r="F900" s="1332"/>
      <c r="G900" s="1332"/>
      <c r="H900" s="1332"/>
      <c r="I900" s="1332"/>
      <c r="J900" s="1332"/>
      <c r="K900" s="1332"/>
      <c r="L900" s="1332"/>
      <c r="M900" s="1332"/>
      <c r="N900" s="1332"/>
      <c r="O900" s="1332"/>
    </row>
    <row r="901">
      <c r="A901" s="1332"/>
      <c r="B901" s="1332"/>
      <c r="C901" s="1332"/>
      <c r="D901" s="1332"/>
      <c r="E901" s="1332"/>
      <c r="F901" s="1332"/>
      <c r="G901" s="1332"/>
      <c r="H901" s="1332"/>
      <c r="I901" s="1332"/>
      <c r="J901" s="1332"/>
      <c r="K901" s="1332"/>
      <c r="L901" s="1332"/>
      <c r="M901" s="1332"/>
      <c r="N901" s="1332"/>
      <c r="O901" s="1332"/>
    </row>
    <row r="902">
      <c r="A902" s="1332"/>
      <c r="B902" s="1332"/>
      <c r="C902" s="1332"/>
      <c r="D902" s="1332"/>
      <c r="E902" s="1332"/>
      <c r="F902" s="1332"/>
      <c r="G902" s="1332"/>
      <c r="H902" s="1332"/>
      <c r="I902" s="1332"/>
      <c r="J902" s="1332"/>
      <c r="K902" s="1332"/>
      <c r="L902" s="1332"/>
      <c r="M902" s="1332"/>
      <c r="N902" s="1332"/>
      <c r="O902" s="1332"/>
    </row>
    <row r="903">
      <c r="A903" s="1332"/>
      <c r="B903" s="1332"/>
      <c r="C903" s="1332"/>
      <c r="D903" s="1332"/>
      <c r="E903" s="1332"/>
      <c r="F903" s="1332"/>
      <c r="G903" s="1332"/>
      <c r="H903" s="1332"/>
      <c r="I903" s="1332"/>
      <c r="J903" s="1332"/>
      <c r="K903" s="1332"/>
      <c r="L903" s="1332"/>
      <c r="M903" s="1332"/>
      <c r="N903" s="1332"/>
      <c r="O903" s="1332"/>
    </row>
    <row r="904">
      <c r="A904" s="1332"/>
      <c r="B904" s="1332"/>
      <c r="C904" s="1332"/>
      <c r="D904" s="1332"/>
      <c r="E904" s="1332"/>
      <c r="F904" s="1332"/>
      <c r="G904" s="1332"/>
      <c r="H904" s="1332"/>
      <c r="I904" s="1332"/>
      <c r="J904" s="1332"/>
      <c r="K904" s="1332"/>
      <c r="L904" s="1332"/>
      <c r="M904" s="1332"/>
      <c r="N904" s="1332"/>
      <c r="O904" s="1332"/>
    </row>
    <row r="905">
      <c r="A905" s="1332"/>
      <c r="B905" s="1332"/>
      <c r="C905" s="1332"/>
      <c r="D905" s="1332"/>
      <c r="E905" s="1332"/>
      <c r="F905" s="1332"/>
      <c r="G905" s="1332"/>
      <c r="H905" s="1332"/>
      <c r="I905" s="1332"/>
      <c r="J905" s="1332"/>
      <c r="K905" s="1332"/>
      <c r="L905" s="1332"/>
      <c r="M905" s="1332"/>
      <c r="N905" s="1332"/>
      <c r="O905" s="1332"/>
    </row>
    <row r="906">
      <c r="A906" s="1332"/>
      <c r="B906" s="1332"/>
      <c r="C906" s="1332"/>
      <c r="D906" s="1332"/>
      <c r="E906" s="1332"/>
      <c r="F906" s="1332"/>
      <c r="G906" s="1332"/>
      <c r="H906" s="1332"/>
      <c r="I906" s="1332"/>
      <c r="J906" s="1332"/>
      <c r="K906" s="1332"/>
      <c r="L906" s="1332"/>
      <c r="M906" s="1332"/>
      <c r="N906" s="1332"/>
      <c r="O906" s="1332"/>
    </row>
    <row r="907">
      <c r="A907" s="1332"/>
      <c r="B907" s="1332"/>
      <c r="C907" s="1332"/>
      <c r="D907" s="1332"/>
      <c r="E907" s="1332"/>
      <c r="F907" s="1332"/>
      <c r="G907" s="1332"/>
      <c r="H907" s="1332"/>
      <c r="I907" s="1332"/>
      <c r="J907" s="1332"/>
      <c r="K907" s="1332"/>
      <c r="L907" s="1332"/>
      <c r="M907" s="1332"/>
      <c r="N907" s="1332"/>
      <c r="O907" s="1332"/>
    </row>
    <row r="908">
      <c r="A908" s="1332"/>
      <c r="B908" s="1332"/>
      <c r="C908" s="1332"/>
      <c r="D908" s="1332"/>
      <c r="E908" s="1332"/>
      <c r="F908" s="1332"/>
      <c r="G908" s="1332"/>
      <c r="H908" s="1332"/>
      <c r="I908" s="1332"/>
      <c r="J908" s="1332"/>
      <c r="K908" s="1332"/>
      <c r="L908" s="1332"/>
      <c r="M908" s="1332"/>
      <c r="N908" s="1332"/>
      <c r="O908" s="1332"/>
    </row>
    <row r="909">
      <c r="A909" s="1332"/>
      <c r="B909" s="1332"/>
      <c r="C909" s="1332"/>
      <c r="D909" s="1332"/>
      <c r="E909" s="1332"/>
      <c r="F909" s="1332"/>
      <c r="G909" s="1332"/>
      <c r="H909" s="1332"/>
      <c r="I909" s="1332"/>
      <c r="J909" s="1332"/>
      <c r="K909" s="1332"/>
      <c r="L909" s="1332"/>
      <c r="M909" s="1332"/>
      <c r="N909" s="1332"/>
      <c r="O909" s="1332"/>
    </row>
    <row r="910">
      <c r="A910" s="1332"/>
      <c r="B910" s="1332"/>
      <c r="C910" s="1332"/>
      <c r="D910" s="1332"/>
      <c r="E910" s="1332"/>
      <c r="F910" s="1332"/>
      <c r="G910" s="1332"/>
      <c r="H910" s="1332"/>
      <c r="I910" s="1332"/>
      <c r="J910" s="1332"/>
      <c r="K910" s="1332"/>
      <c r="L910" s="1332"/>
      <c r="M910" s="1332"/>
      <c r="N910" s="1332"/>
      <c r="O910" s="1332"/>
    </row>
    <row r="911">
      <c r="A911" s="1332"/>
      <c r="B911" s="1332"/>
      <c r="C911" s="1332"/>
      <c r="D911" s="1332"/>
      <c r="E911" s="1332"/>
      <c r="F911" s="1332"/>
      <c r="G911" s="1332"/>
      <c r="H911" s="1332"/>
      <c r="I911" s="1332"/>
      <c r="J911" s="1332"/>
      <c r="K911" s="1332"/>
      <c r="L911" s="1332"/>
      <c r="M911" s="1332"/>
      <c r="N911" s="1332"/>
      <c r="O911" s="1332"/>
    </row>
    <row r="912">
      <c r="A912" s="1332"/>
      <c r="B912" s="1332"/>
      <c r="C912" s="1332"/>
      <c r="D912" s="1332"/>
      <c r="E912" s="1332"/>
      <c r="F912" s="1332"/>
      <c r="G912" s="1332"/>
      <c r="H912" s="1332"/>
      <c r="I912" s="1332"/>
      <c r="J912" s="1332"/>
      <c r="K912" s="1332"/>
      <c r="L912" s="1332"/>
      <c r="M912" s="1332"/>
      <c r="N912" s="1332"/>
      <c r="O912" s="1332"/>
    </row>
    <row r="913">
      <c r="A913" s="1332"/>
      <c r="B913" s="1332"/>
      <c r="C913" s="1332"/>
      <c r="D913" s="1332"/>
      <c r="E913" s="1332"/>
      <c r="F913" s="1332"/>
      <c r="G913" s="1332"/>
      <c r="H913" s="1332"/>
      <c r="I913" s="1332"/>
      <c r="J913" s="1332"/>
      <c r="K913" s="1332"/>
      <c r="L913" s="1332"/>
      <c r="M913" s="1332"/>
      <c r="N913" s="1332"/>
      <c r="O913" s="1332"/>
    </row>
    <row r="914">
      <c r="A914" s="1332"/>
      <c r="B914" s="1332"/>
      <c r="C914" s="1332"/>
      <c r="D914" s="1332"/>
      <c r="E914" s="1332"/>
      <c r="F914" s="1332"/>
      <c r="G914" s="1332"/>
      <c r="H914" s="1332"/>
      <c r="I914" s="1332"/>
      <c r="J914" s="1332"/>
      <c r="K914" s="1332"/>
      <c r="L914" s="1332"/>
      <c r="M914" s="1332"/>
      <c r="N914" s="1332"/>
      <c r="O914" s="1332"/>
    </row>
    <row r="915">
      <c r="A915" s="1332"/>
      <c r="B915" s="1332"/>
      <c r="C915" s="1332"/>
      <c r="D915" s="1332"/>
      <c r="E915" s="1332"/>
      <c r="F915" s="1332"/>
      <c r="G915" s="1332"/>
      <c r="H915" s="1332"/>
      <c r="I915" s="1332"/>
      <c r="J915" s="1332"/>
      <c r="K915" s="1332"/>
      <c r="L915" s="1332"/>
      <c r="M915" s="1332"/>
      <c r="N915" s="1332"/>
      <c r="O915" s="1332"/>
    </row>
    <row r="916">
      <c r="A916" s="1332"/>
      <c r="B916" s="1332"/>
      <c r="C916" s="1332"/>
      <c r="D916" s="1332"/>
      <c r="E916" s="1332"/>
      <c r="F916" s="1332"/>
      <c r="G916" s="1332"/>
      <c r="H916" s="1332"/>
      <c r="I916" s="1332"/>
      <c r="J916" s="1332"/>
      <c r="K916" s="1332"/>
      <c r="L916" s="1332"/>
      <c r="M916" s="1332"/>
      <c r="N916" s="1332"/>
      <c r="O916" s="1332"/>
    </row>
    <row r="917">
      <c r="A917" s="1332"/>
      <c r="B917" s="1332"/>
      <c r="C917" s="1332"/>
      <c r="D917" s="1332"/>
      <c r="E917" s="1332"/>
      <c r="F917" s="1332"/>
      <c r="G917" s="1332"/>
      <c r="H917" s="1332"/>
      <c r="I917" s="1332"/>
      <c r="J917" s="1332"/>
      <c r="K917" s="1332"/>
      <c r="L917" s="1332"/>
      <c r="M917" s="1332"/>
      <c r="N917" s="1332"/>
      <c r="O917" s="1332"/>
    </row>
    <row r="918">
      <c r="A918" s="1332"/>
      <c r="B918" s="1332"/>
      <c r="C918" s="1332"/>
      <c r="D918" s="1332"/>
      <c r="E918" s="1332"/>
      <c r="F918" s="1332"/>
      <c r="G918" s="1332"/>
      <c r="H918" s="1332"/>
      <c r="I918" s="1332"/>
      <c r="J918" s="1332"/>
      <c r="K918" s="1332"/>
      <c r="L918" s="1332"/>
      <c r="M918" s="1332"/>
      <c r="N918" s="1332"/>
      <c r="O918" s="1332"/>
    </row>
    <row r="919">
      <c r="A919" s="1332"/>
      <c r="B919" s="1332"/>
      <c r="C919" s="1332"/>
      <c r="D919" s="1332"/>
      <c r="E919" s="1332"/>
      <c r="F919" s="1332"/>
      <c r="G919" s="1332"/>
      <c r="H919" s="1332"/>
      <c r="I919" s="1332"/>
      <c r="J919" s="1332"/>
      <c r="K919" s="1332"/>
      <c r="L919" s="1332"/>
      <c r="M919" s="1332"/>
      <c r="N919" s="1332"/>
      <c r="O919" s="1332"/>
    </row>
    <row r="920">
      <c r="A920" s="1332"/>
      <c r="B920" s="1332"/>
      <c r="C920" s="1332"/>
      <c r="D920" s="1332"/>
      <c r="E920" s="1332"/>
      <c r="F920" s="1332"/>
      <c r="G920" s="1332"/>
      <c r="H920" s="1332"/>
      <c r="I920" s="1332"/>
      <c r="J920" s="1332"/>
      <c r="K920" s="1332"/>
      <c r="L920" s="1332"/>
      <c r="M920" s="1332"/>
      <c r="N920" s="1332"/>
      <c r="O920" s="1332"/>
    </row>
    <row r="921">
      <c r="A921" s="1332"/>
      <c r="B921" s="1332"/>
      <c r="C921" s="1332"/>
      <c r="D921" s="1332"/>
      <c r="E921" s="1332"/>
      <c r="F921" s="1332"/>
      <c r="G921" s="1332"/>
      <c r="H921" s="1332"/>
      <c r="I921" s="1332"/>
      <c r="J921" s="1332"/>
      <c r="K921" s="1332"/>
      <c r="L921" s="1332"/>
      <c r="M921" s="1332"/>
      <c r="N921" s="1332"/>
      <c r="O921" s="1332"/>
    </row>
    <row r="922">
      <c r="A922" s="1332"/>
      <c r="B922" s="1332"/>
      <c r="C922" s="1332"/>
      <c r="D922" s="1332"/>
      <c r="E922" s="1332"/>
      <c r="F922" s="1332"/>
      <c r="G922" s="1332"/>
      <c r="H922" s="1332"/>
      <c r="I922" s="1332"/>
      <c r="J922" s="1332"/>
      <c r="K922" s="1332"/>
      <c r="L922" s="1332"/>
      <c r="M922" s="1332"/>
      <c r="N922" s="1332"/>
      <c r="O922" s="1332"/>
    </row>
    <row r="923">
      <c r="A923" s="1332"/>
      <c r="B923" s="1332"/>
      <c r="C923" s="1332"/>
      <c r="D923" s="1332"/>
      <c r="E923" s="1332"/>
      <c r="F923" s="1332"/>
      <c r="G923" s="1332"/>
      <c r="H923" s="1332"/>
      <c r="I923" s="1332"/>
      <c r="J923" s="1332"/>
      <c r="K923" s="1332"/>
      <c r="L923" s="1332"/>
      <c r="M923" s="1332"/>
      <c r="N923" s="1332"/>
      <c r="O923" s="1332"/>
    </row>
    <row r="924">
      <c r="A924" s="1332"/>
      <c r="B924" s="1332"/>
      <c r="C924" s="1332"/>
      <c r="D924" s="1332"/>
      <c r="E924" s="1332"/>
      <c r="F924" s="1332"/>
      <c r="G924" s="1332"/>
      <c r="H924" s="1332"/>
      <c r="I924" s="1332"/>
      <c r="J924" s="1332"/>
      <c r="K924" s="1332"/>
      <c r="L924" s="1332"/>
      <c r="M924" s="1332"/>
      <c r="N924" s="1332"/>
      <c r="O924" s="1332"/>
    </row>
    <row r="925">
      <c r="A925" s="1332"/>
      <c r="B925" s="1332"/>
      <c r="C925" s="1332"/>
      <c r="D925" s="1332"/>
      <c r="E925" s="1332"/>
      <c r="F925" s="1332"/>
      <c r="G925" s="1332"/>
      <c r="H925" s="1332"/>
      <c r="I925" s="1332"/>
      <c r="J925" s="1332"/>
      <c r="K925" s="1332"/>
      <c r="L925" s="1332"/>
      <c r="M925" s="1332"/>
      <c r="N925" s="1332"/>
      <c r="O925" s="1332"/>
    </row>
    <row r="926">
      <c r="A926" s="1332"/>
      <c r="B926" s="1332"/>
      <c r="C926" s="1332"/>
      <c r="D926" s="1332"/>
      <c r="E926" s="1332"/>
      <c r="F926" s="1332"/>
      <c r="G926" s="1332"/>
      <c r="H926" s="1332"/>
      <c r="I926" s="1332"/>
      <c r="J926" s="1332"/>
      <c r="K926" s="1332"/>
      <c r="L926" s="1332"/>
      <c r="M926" s="1332"/>
      <c r="N926" s="1332"/>
      <c r="O926" s="1332"/>
    </row>
    <row r="927">
      <c r="A927" s="1332"/>
      <c r="B927" s="1332"/>
      <c r="C927" s="1332"/>
      <c r="D927" s="1332"/>
      <c r="E927" s="1332"/>
      <c r="F927" s="1332"/>
      <c r="G927" s="1332"/>
      <c r="H927" s="1332"/>
      <c r="I927" s="1332"/>
      <c r="J927" s="1332"/>
      <c r="K927" s="1332"/>
      <c r="L927" s="1332"/>
      <c r="M927" s="1332"/>
      <c r="N927" s="1332"/>
      <c r="O927" s="1332"/>
    </row>
    <row r="928">
      <c r="A928" s="1332"/>
      <c r="B928" s="1332"/>
      <c r="C928" s="1332"/>
      <c r="D928" s="1332"/>
      <c r="E928" s="1332"/>
      <c r="F928" s="1332"/>
      <c r="G928" s="1332"/>
      <c r="H928" s="1332"/>
      <c r="I928" s="1332"/>
      <c r="J928" s="1332"/>
      <c r="K928" s="1332"/>
      <c r="L928" s="1332"/>
      <c r="M928" s="1332"/>
      <c r="N928" s="1332"/>
      <c r="O928" s="1332"/>
    </row>
    <row r="929">
      <c r="A929" s="1332"/>
      <c r="B929" s="1332"/>
      <c r="C929" s="1332"/>
      <c r="D929" s="1332"/>
      <c r="E929" s="1332"/>
      <c r="F929" s="1332"/>
      <c r="G929" s="1332"/>
      <c r="H929" s="1332"/>
      <c r="I929" s="1332"/>
      <c r="J929" s="1332"/>
      <c r="K929" s="1332"/>
      <c r="L929" s="1332"/>
      <c r="M929" s="1332"/>
      <c r="N929" s="1332"/>
      <c r="O929" s="1332"/>
    </row>
    <row r="930">
      <c r="A930" s="1332"/>
      <c r="B930" s="1332"/>
      <c r="C930" s="1332"/>
      <c r="D930" s="1332"/>
      <c r="E930" s="1332"/>
      <c r="F930" s="1332"/>
      <c r="G930" s="1332"/>
      <c r="H930" s="1332"/>
      <c r="I930" s="1332"/>
      <c r="J930" s="1332"/>
      <c r="K930" s="1332"/>
      <c r="L930" s="1332"/>
      <c r="M930" s="1332"/>
      <c r="N930" s="1332"/>
      <c r="O930" s="1332"/>
    </row>
    <row r="931">
      <c r="A931" s="1332"/>
      <c r="B931" s="1332"/>
      <c r="C931" s="1332"/>
      <c r="D931" s="1332"/>
      <c r="E931" s="1332"/>
      <c r="F931" s="1332"/>
      <c r="G931" s="1332"/>
      <c r="H931" s="1332"/>
      <c r="I931" s="1332"/>
      <c r="J931" s="1332"/>
      <c r="K931" s="1332"/>
      <c r="L931" s="1332"/>
      <c r="M931" s="1332"/>
      <c r="N931" s="1332"/>
      <c r="O931" s="1332"/>
    </row>
    <row r="932">
      <c r="A932" s="1332"/>
      <c r="B932" s="1332"/>
      <c r="C932" s="1332"/>
      <c r="D932" s="1332"/>
      <c r="E932" s="1332"/>
      <c r="F932" s="1332"/>
      <c r="G932" s="1332"/>
      <c r="H932" s="1332"/>
      <c r="I932" s="1332"/>
      <c r="J932" s="1332"/>
      <c r="K932" s="1332"/>
      <c r="L932" s="1332"/>
      <c r="M932" s="1332"/>
      <c r="N932" s="1332"/>
      <c r="O932" s="1332"/>
    </row>
    <row r="933">
      <c r="A933" s="1332"/>
      <c r="B933" s="1332"/>
      <c r="C933" s="1332"/>
      <c r="D933" s="1332"/>
      <c r="E933" s="1332"/>
      <c r="F933" s="1332"/>
      <c r="G933" s="1332"/>
      <c r="H933" s="1332"/>
      <c r="I933" s="1332"/>
      <c r="J933" s="1332"/>
      <c r="K933" s="1332"/>
      <c r="L933" s="1332"/>
      <c r="M933" s="1332"/>
      <c r="N933" s="1332"/>
      <c r="O933" s="1332"/>
    </row>
    <row r="934">
      <c r="A934" s="1332"/>
      <c r="B934" s="1332"/>
      <c r="C934" s="1332"/>
      <c r="D934" s="1332"/>
      <c r="E934" s="1332"/>
      <c r="F934" s="1332"/>
      <c r="G934" s="1332"/>
      <c r="H934" s="1332"/>
      <c r="I934" s="1332"/>
      <c r="J934" s="1332"/>
      <c r="K934" s="1332"/>
      <c r="L934" s="1332"/>
      <c r="M934" s="1332"/>
      <c r="N934" s="1332"/>
      <c r="O934" s="1332"/>
    </row>
    <row r="935">
      <c r="A935" s="1332"/>
      <c r="B935" s="1332"/>
      <c r="C935" s="1332"/>
      <c r="D935" s="1332"/>
      <c r="E935" s="1332"/>
      <c r="F935" s="1332"/>
      <c r="G935" s="1332"/>
      <c r="H935" s="1332"/>
      <c r="I935" s="1332"/>
      <c r="J935" s="1332"/>
      <c r="K935" s="1332"/>
      <c r="L935" s="1332"/>
      <c r="M935" s="1332"/>
      <c r="N935" s="1332"/>
      <c r="O935" s="1332"/>
    </row>
    <row r="936">
      <c r="A936" s="1332"/>
      <c r="B936" s="1332"/>
      <c r="C936" s="1332"/>
      <c r="D936" s="1332"/>
      <c r="E936" s="1332"/>
      <c r="F936" s="1332"/>
      <c r="G936" s="1332"/>
      <c r="H936" s="1332"/>
      <c r="I936" s="1332"/>
      <c r="J936" s="1332"/>
      <c r="K936" s="1332"/>
      <c r="L936" s="1332"/>
      <c r="M936" s="1332"/>
      <c r="N936" s="1332"/>
      <c r="O936" s="1332"/>
    </row>
    <row r="937">
      <c r="A937" s="1332"/>
      <c r="B937" s="1332"/>
      <c r="C937" s="1332"/>
      <c r="D937" s="1332"/>
      <c r="E937" s="1332"/>
      <c r="F937" s="1332"/>
      <c r="G937" s="1332"/>
      <c r="H937" s="1332"/>
      <c r="I937" s="1332"/>
      <c r="J937" s="1332"/>
      <c r="K937" s="1332"/>
      <c r="L937" s="1332"/>
      <c r="M937" s="1332"/>
      <c r="N937" s="1332"/>
      <c r="O937" s="1332"/>
    </row>
    <row r="938">
      <c r="A938" s="1332"/>
      <c r="B938" s="1332"/>
      <c r="C938" s="1332"/>
      <c r="D938" s="1332"/>
      <c r="E938" s="1332"/>
      <c r="F938" s="1332"/>
      <c r="G938" s="1332"/>
      <c r="H938" s="1332"/>
      <c r="I938" s="1332"/>
      <c r="J938" s="1332"/>
      <c r="K938" s="1332"/>
      <c r="L938" s="1332"/>
      <c r="M938" s="1332"/>
      <c r="N938" s="1332"/>
      <c r="O938" s="1332"/>
    </row>
    <row r="939">
      <c r="A939" s="1332"/>
      <c r="B939" s="1332"/>
      <c r="C939" s="1332"/>
      <c r="D939" s="1332"/>
      <c r="E939" s="1332"/>
      <c r="F939" s="1332"/>
      <c r="G939" s="1332"/>
      <c r="H939" s="1332"/>
      <c r="I939" s="1332"/>
      <c r="J939" s="1332"/>
      <c r="K939" s="1332"/>
      <c r="L939" s="1332"/>
      <c r="M939" s="1332"/>
      <c r="N939" s="1332"/>
      <c r="O939" s="1332"/>
    </row>
    <row r="940">
      <c r="A940" s="1332"/>
      <c r="B940" s="1332"/>
      <c r="C940" s="1332"/>
      <c r="D940" s="1332"/>
      <c r="E940" s="1332"/>
      <c r="F940" s="1332"/>
      <c r="G940" s="1332"/>
      <c r="H940" s="1332"/>
      <c r="I940" s="1332"/>
      <c r="J940" s="1332"/>
      <c r="K940" s="1332"/>
      <c r="L940" s="1332"/>
      <c r="M940" s="1332"/>
      <c r="N940" s="1332"/>
      <c r="O940" s="1332"/>
    </row>
    <row r="941">
      <c r="A941" s="1332"/>
      <c r="B941" s="1332"/>
      <c r="C941" s="1332"/>
      <c r="D941" s="1332"/>
      <c r="E941" s="1332"/>
      <c r="F941" s="1332"/>
      <c r="G941" s="1332"/>
      <c r="H941" s="1332"/>
      <c r="I941" s="1332"/>
      <c r="J941" s="1332"/>
      <c r="K941" s="1332"/>
      <c r="L941" s="1332"/>
      <c r="M941" s="1332"/>
      <c r="N941" s="1332"/>
      <c r="O941" s="1332"/>
    </row>
    <row r="942">
      <c r="A942" s="1332"/>
      <c r="B942" s="1332"/>
      <c r="C942" s="1332"/>
      <c r="D942" s="1332"/>
      <c r="E942" s="1332"/>
      <c r="F942" s="1332"/>
      <c r="G942" s="1332"/>
      <c r="H942" s="1332"/>
      <c r="I942" s="1332"/>
      <c r="J942" s="1332"/>
      <c r="K942" s="1332"/>
      <c r="L942" s="1332"/>
      <c r="M942" s="1332"/>
      <c r="N942" s="1332"/>
      <c r="O942" s="1332"/>
    </row>
    <row r="943">
      <c r="A943" s="1332"/>
      <c r="B943" s="1332"/>
      <c r="C943" s="1332"/>
      <c r="D943" s="1332"/>
      <c r="E943" s="1332"/>
      <c r="F943" s="1332"/>
      <c r="G943" s="1332"/>
      <c r="H943" s="1332"/>
      <c r="I943" s="1332"/>
      <c r="J943" s="1332"/>
      <c r="K943" s="1332"/>
      <c r="L943" s="1332"/>
      <c r="M943" s="1332"/>
      <c r="N943" s="1332"/>
      <c r="O943" s="1332"/>
    </row>
    <row r="944">
      <c r="A944" s="1332"/>
      <c r="B944" s="1332"/>
      <c r="C944" s="1332"/>
      <c r="D944" s="1332"/>
      <c r="E944" s="1332"/>
      <c r="F944" s="1332"/>
      <c r="G944" s="1332"/>
      <c r="H944" s="1332"/>
      <c r="I944" s="1332"/>
      <c r="J944" s="1332"/>
      <c r="K944" s="1332"/>
      <c r="L944" s="1332"/>
      <c r="M944" s="1332"/>
      <c r="N944" s="1332"/>
      <c r="O944" s="1332"/>
    </row>
    <row r="945">
      <c r="A945" s="1332"/>
      <c r="B945" s="1332"/>
      <c r="C945" s="1332"/>
      <c r="D945" s="1332"/>
      <c r="E945" s="1332"/>
      <c r="F945" s="1332"/>
      <c r="G945" s="1332"/>
      <c r="H945" s="1332"/>
      <c r="I945" s="1332"/>
      <c r="J945" s="1332"/>
      <c r="K945" s="1332"/>
      <c r="L945" s="1332"/>
      <c r="M945" s="1332"/>
      <c r="N945" s="1332"/>
      <c r="O945" s="1332"/>
    </row>
    <row r="946">
      <c r="A946" s="1332"/>
      <c r="B946" s="1332"/>
      <c r="C946" s="1332"/>
      <c r="D946" s="1332"/>
      <c r="E946" s="1332"/>
      <c r="F946" s="1332"/>
      <c r="G946" s="1332"/>
      <c r="H946" s="1332"/>
      <c r="I946" s="1332"/>
      <c r="J946" s="1332"/>
      <c r="K946" s="1332"/>
      <c r="L946" s="1332"/>
      <c r="M946" s="1332"/>
      <c r="N946" s="1332"/>
      <c r="O946" s="1332"/>
    </row>
    <row r="947">
      <c r="A947" s="1332"/>
      <c r="B947" s="1332"/>
      <c r="C947" s="1332"/>
      <c r="D947" s="1332"/>
      <c r="E947" s="1332"/>
      <c r="F947" s="1332"/>
      <c r="G947" s="1332"/>
      <c r="H947" s="1332"/>
      <c r="I947" s="1332"/>
      <c r="J947" s="1332"/>
      <c r="K947" s="1332"/>
      <c r="L947" s="1332"/>
      <c r="M947" s="1332"/>
      <c r="N947" s="1332"/>
      <c r="O947" s="1332"/>
    </row>
    <row r="948">
      <c r="A948" s="1332"/>
      <c r="B948" s="1332"/>
      <c r="C948" s="1332"/>
      <c r="D948" s="1332"/>
      <c r="E948" s="1332"/>
      <c r="F948" s="1332"/>
      <c r="G948" s="1332"/>
      <c r="H948" s="1332"/>
      <c r="I948" s="1332"/>
      <c r="J948" s="1332"/>
      <c r="K948" s="1332"/>
      <c r="L948" s="1332"/>
      <c r="M948" s="1332"/>
      <c r="N948" s="1332"/>
      <c r="O948" s="1332"/>
    </row>
    <row r="949">
      <c r="A949" s="1332"/>
      <c r="B949" s="1332"/>
      <c r="C949" s="1332"/>
      <c r="D949" s="1332"/>
      <c r="E949" s="1332"/>
      <c r="F949" s="1332"/>
      <c r="G949" s="1332"/>
      <c r="H949" s="1332"/>
      <c r="I949" s="1332"/>
      <c r="J949" s="1332"/>
      <c r="K949" s="1332"/>
      <c r="L949" s="1332"/>
      <c r="M949" s="1332"/>
      <c r="N949" s="1332"/>
      <c r="O949" s="1332"/>
    </row>
    <row r="950">
      <c r="A950" s="1332"/>
      <c r="B950" s="1332"/>
      <c r="C950" s="1332"/>
      <c r="D950" s="1332"/>
      <c r="E950" s="1332"/>
      <c r="F950" s="1332"/>
      <c r="G950" s="1332"/>
      <c r="H950" s="1332"/>
      <c r="I950" s="1332"/>
      <c r="J950" s="1332"/>
      <c r="K950" s="1332"/>
      <c r="L950" s="1332"/>
      <c r="M950" s="1332"/>
      <c r="N950" s="1332"/>
      <c r="O950" s="1332"/>
    </row>
    <row r="951">
      <c r="A951" s="1332"/>
      <c r="B951" s="1332"/>
      <c r="C951" s="1332"/>
      <c r="D951" s="1332"/>
      <c r="E951" s="1332"/>
      <c r="F951" s="1332"/>
      <c r="G951" s="1332"/>
      <c r="H951" s="1332"/>
      <c r="I951" s="1332"/>
      <c r="J951" s="1332"/>
      <c r="K951" s="1332"/>
      <c r="L951" s="1332"/>
      <c r="M951" s="1332"/>
      <c r="N951" s="1332"/>
      <c r="O951" s="1332"/>
    </row>
    <row r="952">
      <c r="A952" s="1332"/>
      <c r="B952" s="1332"/>
      <c r="C952" s="1332"/>
      <c r="D952" s="1332"/>
      <c r="E952" s="1332"/>
      <c r="F952" s="1332"/>
      <c r="G952" s="1332"/>
      <c r="H952" s="1332"/>
      <c r="I952" s="1332"/>
      <c r="J952" s="1332"/>
      <c r="K952" s="1332"/>
      <c r="L952" s="1332"/>
      <c r="M952" s="1332"/>
      <c r="N952" s="1332"/>
      <c r="O952" s="1332"/>
    </row>
    <row r="953">
      <c r="A953" s="1332"/>
      <c r="B953" s="1332"/>
      <c r="C953" s="1332"/>
      <c r="D953" s="1332"/>
      <c r="E953" s="1332"/>
      <c r="F953" s="1332"/>
      <c r="G953" s="1332"/>
      <c r="H953" s="1332"/>
      <c r="I953" s="1332"/>
      <c r="J953" s="1332"/>
      <c r="K953" s="1332"/>
      <c r="L953" s="1332"/>
      <c r="M953" s="1332"/>
      <c r="N953" s="1332"/>
      <c r="O953" s="1332"/>
    </row>
    <row r="954">
      <c r="A954" s="1332"/>
      <c r="B954" s="1332"/>
      <c r="C954" s="1332"/>
      <c r="D954" s="1332"/>
      <c r="E954" s="1332"/>
      <c r="F954" s="1332"/>
      <c r="G954" s="1332"/>
      <c r="H954" s="1332"/>
      <c r="I954" s="1332"/>
      <c r="J954" s="1332"/>
      <c r="K954" s="1332"/>
      <c r="L954" s="1332"/>
      <c r="M954" s="1332"/>
      <c r="N954" s="1332"/>
      <c r="O954" s="1332"/>
    </row>
    <row r="955">
      <c r="A955" s="1332"/>
      <c r="B955" s="1332"/>
      <c r="C955" s="1332"/>
      <c r="D955" s="1332"/>
      <c r="E955" s="1332"/>
      <c r="F955" s="1332"/>
      <c r="G955" s="1332"/>
      <c r="H955" s="1332"/>
      <c r="I955" s="1332"/>
      <c r="J955" s="1332"/>
      <c r="K955" s="1332"/>
      <c r="L955" s="1332"/>
      <c r="M955" s="1332"/>
      <c r="N955" s="1332"/>
      <c r="O955" s="1332"/>
    </row>
    <row r="956">
      <c r="A956" s="1332"/>
      <c r="B956" s="1332"/>
      <c r="C956" s="1332"/>
      <c r="D956" s="1332"/>
      <c r="E956" s="1332"/>
      <c r="F956" s="1332"/>
      <c r="G956" s="1332"/>
      <c r="H956" s="1332"/>
      <c r="I956" s="1332"/>
      <c r="J956" s="1332"/>
      <c r="K956" s="1332"/>
      <c r="L956" s="1332"/>
      <c r="M956" s="1332"/>
      <c r="N956" s="1332"/>
      <c r="O956" s="1332"/>
    </row>
    <row r="957">
      <c r="A957" s="1332"/>
      <c r="B957" s="1332"/>
      <c r="C957" s="1332"/>
      <c r="D957" s="1332"/>
      <c r="E957" s="1332"/>
      <c r="F957" s="1332"/>
      <c r="G957" s="1332"/>
      <c r="H957" s="1332"/>
      <c r="I957" s="1332"/>
      <c r="J957" s="1332"/>
      <c r="K957" s="1332"/>
      <c r="L957" s="1332"/>
      <c r="M957" s="1332"/>
      <c r="N957" s="1332"/>
      <c r="O957" s="1332"/>
    </row>
    <row r="958">
      <c r="A958" s="1332"/>
      <c r="B958" s="1332"/>
      <c r="C958" s="1332"/>
      <c r="D958" s="1332"/>
      <c r="E958" s="1332"/>
      <c r="F958" s="1332"/>
      <c r="G958" s="1332"/>
      <c r="H958" s="1332"/>
      <c r="I958" s="1332"/>
      <c r="J958" s="1332"/>
      <c r="K958" s="1332"/>
      <c r="L958" s="1332"/>
      <c r="M958" s="1332"/>
      <c r="N958" s="1332"/>
      <c r="O958" s="1332"/>
    </row>
    <row r="959">
      <c r="A959" s="1332"/>
      <c r="B959" s="1332"/>
      <c r="C959" s="1332"/>
      <c r="D959" s="1332"/>
      <c r="E959" s="1332"/>
      <c r="F959" s="1332"/>
      <c r="G959" s="1332"/>
      <c r="H959" s="1332"/>
      <c r="I959" s="1332"/>
      <c r="J959" s="1332"/>
      <c r="K959" s="1332"/>
      <c r="L959" s="1332"/>
      <c r="M959" s="1332"/>
      <c r="N959" s="1332"/>
      <c r="O959" s="1332"/>
    </row>
    <row r="960">
      <c r="A960" s="1332"/>
      <c r="B960" s="1332"/>
      <c r="C960" s="1332"/>
      <c r="D960" s="1332"/>
      <c r="E960" s="1332"/>
      <c r="F960" s="1332"/>
      <c r="G960" s="1332"/>
      <c r="H960" s="1332"/>
      <c r="I960" s="1332"/>
      <c r="J960" s="1332"/>
      <c r="K960" s="1332"/>
      <c r="L960" s="1332"/>
      <c r="M960" s="1332"/>
      <c r="N960" s="1332"/>
      <c r="O960" s="1332"/>
    </row>
    <row r="961">
      <c r="A961" s="1332"/>
      <c r="B961" s="1332"/>
      <c r="C961" s="1332"/>
      <c r="D961" s="1332"/>
      <c r="E961" s="1332"/>
      <c r="F961" s="1332"/>
      <c r="G961" s="1332"/>
      <c r="H961" s="1332"/>
      <c r="I961" s="1332"/>
      <c r="J961" s="1332"/>
      <c r="K961" s="1332"/>
      <c r="L961" s="1332"/>
      <c r="M961" s="1332"/>
      <c r="N961" s="1332"/>
      <c r="O961" s="1332"/>
    </row>
    <row r="962">
      <c r="A962" s="1332"/>
      <c r="B962" s="1332"/>
      <c r="C962" s="1332"/>
      <c r="D962" s="1332"/>
      <c r="E962" s="1332"/>
      <c r="F962" s="1332"/>
      <c r="G962" s="1332"/>
      <c r="H962" s="1332"/>
      <c r="I962" s="1332"/>
      <c r="J962" s="1332"/>
      <c r="K962" s="1332"/>
      <c r="L962" s="1332"/>
      <c r="M962" s="1332"/>
      <c r="N962" s="1332"/>
      <c r="O962" s="1332"/>
    </row>
    <row r="963">
      <c r="A963" s="1332"/>
      <c r="B963" s="1332"/>
      <c r="C963" s="1332"/>
      <c r="D963" s="1332"/>
      <c r="E963" s="1332"/>
      <c r="F963" s="1332"/>
      <c r="G963" s="1332"/>
      <c r="H963" s="1332"/>
      <c r="I963" s="1332"/>
      <c r="J963" s="1332"/>
      <c r="K963" s="1332"/>
      <c r="L963" s="1332"/>
      <c r="M963" s="1332"/>
      <c r="N963" s="1332"/>
      <c r="O963" s="1332"/>
    </row>
    <row r="964">
      <c r="A964" s="1332"/>
      <c r="B964" s="1332"/>
      <c r="C964" s="1332"/>
      <c r="D964" s="1332"/>
      <c r="E964" s="1332"/>
      <c r="F964" s="1332"/>
      <c r="G964" s="1332"/>
      <c r="H964" s="1332"/>
      <c r="I964" s="1332"/>
      <c r="J964" s="1332"/>
      <c r="K964" s="1332"/>
      <c r="L964" s="1332"/>
      <c r="M964" s="1332"/>
      <c r="N964" s="1332"/>
      <c r="O964" s="1332"/>
    </row>
    <row r="965">
      <c r="A965" s="1332"/>
      <c r="B965" s="1332"/>
      <c r="C965" s="1332"/>
      <c r="D965" s="1332"/>
      <c r="E965" s="1332"/>
      <c r="F965" s="1332"/>
      <c r="G965" s="1332"/>
      <c r="H965" s="1332"/>
      <c r="I965" s="1332"/>
      <c r="J965" s="1332"/>
      <c r="K965" s="1332"/>
      <c r="L965" s="1332"/>
      <c r="M965" s="1332"/>
      <c r="N965" s="1332"/>
      <c r="O965" s="1332"/>
    </row>
    <row r="966">
      <c r="A966" s="1332"/>
      <c r="B966" s="1332"/>
      <c r="C966" s="1332"/>
      <c r="D966" s="1332"/>
      <c r="E966" s="1332"/>
      <c r="F966" s="1332"/>
      <c r="G966" s="1332"/>
      <c r="H966" s="1332"/>
      <c r="I966" s="1332"/>
      <c r="J966" s="1332"/>
      <c r="K966" s="1332"/>
      <c r="L966" s="1332"/>
      <c r="M966" s="1332"/>
      <c r="N966" s="1332"/>
      <c r="O966" s="1332"/>
    </row>
    <row r="967">
      <c r="A967" s="1332"/>
      <c r="B967" s="1332"/>
      <c r="C967" s="1332"/>
      <c r="D967" s="1332"/>
      <c r="E967" s="1332"/>
      <c r="F967" s="1332"/>
      <c r="G967" s="1332"/>
      <c r="H967" s="1332"/>
      <c r="I967" s="1332"/>
      <c r="J967" s="1332"/>
      <c r="K967" s="1332"/>
      <c r="L967" s="1332"/>
      <c r="M967" s="1332"/>
      <c r="N967" s="1332"/>
      <c r="O967" s="1332"/>
    </row>
    <row r="968">
      <c r="A968" s="1332"/>
      <c r="B968" s="1332"/>
      <c r="C968" s="1332"/>
      <c r="D968" s="1332"/>
      <c r="E968" s="1332"/>
      <c r="F968" s="1332"/>
      <c r="G968" s="1332"/>
      <c r="H968" s="1332"/>
      <c r="I968" s="1332"/>
      <c r="J968" s="1332"/>
      <c r="K968" s="1332"/>
      <c r="L968" s="1332"/>
      <c r="M968" s="1332"/>
      <c r="N968" s="1332"/>
      <c r="O968" s="1332"/>
    </row>
    <row r="969">
      <c r="A969" s="1332"/>
      <c r="B969" s="1332"/>
      <c r="C969" s="1332"/>
      <c r="D969" s="1332"/>
      <c r="E969" s="1332"/>
      <c r="F969" s="1332"/>
      <c r="G969" s="1332"/>
      <c r="H969" s="1332"/>
      <c r="I969" s="1332"/>
      <c r="J969" s="1332"/>
      <c r="K969" s="1332"/>
      <c r="L969" s="1332"/>
      <c r="M969" s="1332"/>
      <c r="N969" s="1332"/>
      <c r="O969" s="1332"/>
    </row>
    <row r="970">
      <c r="A970" s="1332"/>
      <c r="B970" s="1332"/>
      <c r="C970" s="1332"/>
      <c r="D970" s="1332"/>
      <c r="E970" s="1332"/>
      <c r="F970" s="1332"/>
      <c r="G970" s="1332"/>
      <c r="H970" s="1332"/>
      <c r="I970" s="1332"/>
      <c r="J970" s="1332"/>
      <c r="K970" s="1332"/>
      <c r="L970" s="1332"/>
      <c r="M970" s="1332"/>
      <c r="N970" s="1332"/>
      <c r="O970" s="1332"/>
    </row>
    <row r="971">
      <c r="A971" s="1332"/>
      <c r="B971" s="1332"/>
      <c r="C971" s="1332"/>
      <c r="D971" s="1332"/>
      <c r="E971" s="1332"/>
      <c r="F971" s="1332"/>
      <c r="G971" s="1332"/>
      <c r="H971" s="1332"/>
      <c r="I971" s="1332"/>
      <c r="J971" s="1332"/>
      <c r="K971" s="1332"/>
      <c r="L971" s="1332"/>
      <c r="M971" s="1332"/>
      <c r="N971" s="1332"/>
      <c r="O971" s="1332"/>
    </row>
    <row r="972">
      <c r="A972" s="1332"/>
      <c r="B972" s="1332"/>
      <c r="C972" s="1332"/>
      <c r="D972" s="1332"/>
      <c r="E972" s="1332"/>
      <c r="F972" s="1332"/>
      <c r="G972" s="1332"/>
      <c r="H972" s="1332"/>
      <c r="I972" s="1332"/>
      <c r="J972" s="1332"/>
      <c r="K972" s="1332"/>
      <c r="L972" s="1332"/>
      <c r="M972" s="1332"/>
      <c r="N972" s="1332"/>
      <c r="O972" s="1332"/>
    </row>
    <row r="973">
      <c r="A973" s="1332"/>
      <c r="B973" s="1332"/>
      <c r="C973" s="1332"/>
      <c r="D973" s="1332"/>
      <c r="E973" s="1332"/>
      <c r="F973" s="1332"/>
      <c r="G973" s="1332"/>
      <c r="H973" s="1332"/>
      <c r="I973" s="1332"/>
      <c r="J973" s="1332"/>
      <c r="K973" s="1332"/>
      <c r="L973" s="1332"/>
      <c r="M973" s="1332"/>
      <c r="N973" s="1332"/>
      <c r="O973" s="1332"/>
    </row>
    <row r="974">
      <c r="A974" s="1332"/>
      <c r="B974" s="1332"/>
      <c r="C974" s="1332"/>
      <c r="D974" s="1332"/>
      <c r="E974" s="1332"/>
      <c r="F974" s="1332"/>
      <c r="G974" s="1332"/>
      <c r="H974" s="1332"/>
      <c r="I974" s="1332"/>
      <c r="J974" s="1332"/>
      <c r="K974" s="1332"/>
      <c r="L974" s="1332"/>
      <c r="M974" s="1332"/>
      <c r="N974" s="1332"/>
      <c r="O974" s="1332"/>
    </row>
    <row r="975">
      <c r="A975" s="1332"/>
      <c r="B975" s="1332"/>
      <c r="C975" s="1332"/>
      <c r="D975" s="1332"/>
      <c r="E975" s="1332"/>
      <c r="F975" s="1332"/>
      <c r="G975" s="1332"/>
      <c r="H975" s="1332"/>
      <c r="I975" s="1332"/>
      <c r="J975" s="1332"/>
      <c r="K975" s="1332"/>
      <c r="L975" s="1332"/>
      <c r="M975" s="1332"/>
      <c r="N975" s="1332"/>
      <c r="O975" s="1332"/>
    </row>
    <row r="976">
      <c r="A976" s="1332"/>
      <c r="B976" s="1332"/>
      <c r="C976" s="1332"/>
      <c r="D976" s="1332"/>
      <c r="E976" s="1332"/>
      <c r="F976" s="1332"/>
      <c r="G976" s="1332"/>
      <c r="H976" s="1332"/>
      <c r="I976" s="1332"/>
      <c r="J976" s="1332"/>
      <c r="K976" s="1332"/>
      <c r="L976" s="1332"/>
      <c r="M976" s="1332"/>
      <c r="N976" s="1332"/>
      <c r="O976" s="1332"/>
    </row>
    <row r="977">
      <c r="A977" s="1332"/>
      <c r="B977" s="1332"/>
      <c r="C977" s="1332"/>
      <c r="D977" s="1332"/>
      <c r="E977" s="1332"/>
      <c r="F977" s="1332"/>
      <c r="G977" s="1332"/>
      <c r="H977" s="1332"/>
      <c r="I977" s="1332"/>
      <c r="J977" s="1332"/>
      <c r="K977" s="1332"/>
      <c r="L977" s="1332"/>
      <c r="M977" s="1332"/>
      <c r="N977" s="1332"/>
      <c r="O977" s="1332"/>
    </row>
    <row r="978">
      <c r="A978" s="1332"/>
      <c r="B978" s="1332"/>
      <c r="C978" s="1332"/>
      <c r="D978" s="1332"/>
      <c r="E978" s="1332"/>
      <c r="F978" s="1332"/>
      <c r="G978" s="1332"/>
      <c r="H978" s="1332"/>
      <c r="I978" s="1332"/>
      <c r="J978" s="1332"/>
      <c r="K978" s="1332"/>
      <c r="L978" s="1332"/>
      <c r="M978" s="1332"/>
      <c r="N978" s="1332"/>
      <c r="O978" s="1332"/>
    </row>
    <row r="979">
      <c r="A979" s="1332"/>
      <c r="B979" s="1332"/>
      <c r="C979" s="1332"/>
      <c r="D979" s="1332"/>
      <c r="E979" s="1332"/>
      <c r="F979" s="1332"/>
      <c r="G979" s="1332"/>
      <c r="H979" s="1332"/>
      <c r="I979" s="1332"/>
      <c r="J979" s="1332"/>
      <c r="K979" s="1332"/>
      <c r="L979" s="1332"/>
      <c r="M979" s="1332"/>
      <c r="N979" s="1332"/>
      <c r="O979" s="1332"/>
    </row>
    <row r="980">
      <c r="A980" s="1332"/>
      <c r="B980" s="1332"/>
      <c r="C980" s="1332"/>
      <c r="D980" s="1332"/>
      <c r="E980" s="1332"/>
      <c r="F980" s="1332"/>
      <c r="G980" s="1332"/>
      <c r="H980" s="1332"/>
      <c r="I980" s="1332"/>
      <c r="J980" s="1332"/>
      <c r="K980" s="1332"/>
      <c r="L980" s="1332"/>
      <c r="M980" s="1332"/>
      <c r="N980" s="1332"/>
      <c r="O980" s="1332"/>
    </row>
  </sheetData>
  <mergeCells count="1">
    <mergeCell ref="K2:O2"/>
  </mergeCells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67.25"/>
    <col customWidth="1" min="3" max="3" width="16.0"/>
    <col customWidth="1" min="4" max="4" width="19.63"/>
    <col customWidth="1" min="5" max="5" width="16.0"/>
    <col customWidth="1" min="6" max="6" width="34.88"/>
  </cols>
  <sheetData>
    <row r="1">
      <c r="A1" s="963" t="s">
        <v>1171</v>
      </c>
      <c r="B1" s="963"/>
      <c r="C1" s="963"/>
      <c r="D1" s="1223"/>
      <c r="E1" s="965"/>
      <c r="F1" s="966"/>
    </row>
    <row r="2">
      <c r="A2" s="970" t="s">
        <v>1088</v>
      </c>
      <c r="B2" s="970" t="s">
        <v>356</v>
      </c>
      <c r="C2" s="970" t="s">
        <v>352</v>
      </c>
      <c r="D2" s="970" t="s">
        <v>1090</v>
      </c>
      <c r="E2" s="1224"/>
      <c r="F2" s="1224"/>
    </row>
    <row r="3">
      <c r="A3" s="1338" t="s">
        <v>1172</v>
      </c>
      <c r="B3" s="1339"/>
      <c r="C3" s="1340" t="s">
        <v>1173</v>
      </c>
      <c r="D3" s="1341">
        <v>43525.0</v>
      </c>
      <c r="E3" s="1342"/>
      <c r="F3" s="1343"/>
    </row>
    <row r="4">
      <c r="A4" s="1242" t="s">
        <v>1174</v>
      </c>
      <c r="B4" s="1245" t="s">
        <v>1175</v>
      </c>
      <c r="C4" s="1243" t="s">
        <v>1173</v>
      </c>
      <c r="D4" s="1244">
        <v>43525.0</v>
      </c>
      <c r="E4" s="1246"/>
      <c r="F4" s="596"/>
    </row>
    <row r="5">
      <c r="A5" s="1242" t="s">
        <v>1176</v>
      </c>
      <c r="B5" s="1245" t="s">
        <v>1177</v>
      </c>
      <c r="C5" s="1243" t="s">
        <v>592</v>
      </c>
      <c r="D5" s="1244">
        <v>43525.0</v>
      </c>
      <c r="E5" s="1253"/>
      <c r="F5" s="996"/>
    </row>
    <row r="6">
      <c r="A6" s="1242" t="s">
        <v>1178</v>
      </c>
      <c r="B6" s="1245" t="s">
        <v>1179</v>
      </c>
      <c r="C6" s="1243" t="s">
        <v>592</v>
      </c>
      <c r="D6" s="1244">
        <v>43556.0</v>
      </c>
      <c r="E6" s="1253"/>
      <c r="F6" s="996"/>
    </row>
    <row r="7">
      <c r="A7" s="1242" t="s">
        <v>1180</v>
      </c>
      <c r="B7" s="1245"/>
      <c r="C7" s="1243" t="s">
        <v>592</v>
      </c>
      <c r="D7" s="1244">
        <v>43556.0</v>
      </c>
      <c r="E7" s="1246"/>
      <c r="F7" s="596"/>
    </row>
    <row r="8">
      <c r="A8" s="1242" t="s">
        <v>1181</v>
      </c>
      <c r="B8" s="1245"/>
      <c r="C8" s="1243" t="s">
        <v>592</v>
      </c>
      <c r="D8" s="1244">
        <v>43556.0</v>
      </c>
      <c r="E8" s="1246"/>
      <c r="F8" s="596"/>
    </row>
    <row r="9">
      <c r="A9" s="1242" t="s">
        <v>1182</v>
      </c>
      <c r="B9" s="1245" t="s">
        <v>1183</v>
      </c>
      <c r="C9" s="1243" t="s">
        <v>592</v>
      </c>
      <c r="D9" s="1244">
        <v>43556.0</v>
      </c>
      <c r="E9" s="1246"/>
      <c r="F9" s="596"/>
    </row>
    <row r="10">
      <c r="A10" s="1242" t="s">
        <v>1184</v>
      </c>
      <c r="B10" s="1245"/>
      <c r="C10" s="1243" t="s">
        <v>592</v>
      </c>
      <c r="D10" s="1244">
        <v>43556.0</v>
      </c>
      <c r="E10" s="1246"/>
      <c r="F10" s="596"/>
    </row>
    <row r="11">
      <c r="A11" s="1247" t="s">
        <v>1185</v>
      </c>
      <c r="B11" s="1245" t="s">
        <v>1186</v>
      </c>
      <c r="C11" s="1243" t="s">
        <v>592</v>
      </c>
      <c r="D11" s="1244">
        <v>43556.0</v>
      </c>
      <c r="E11" s="1257"/>
      <c r="F11" s="627"/>
    </row>
    <row r="12">
      <c r="A12" s="1247" t="s">
        <v>1187</v>
      </c>
      <c r="B12" s="1245"/>
      <c r="C12" s="1243" t="s">
        <v>592</v>
      </c>
      <c r="D12" s="1244">
        <v>43556.0</v>
      </c>
      <c r="E12" s="1253"/>
      <c r="F12" s="596"/>
    </row>
    <row r="13">
      <c r="A13" s="980" t="s">
        <v>1188</v>
      </c>
      <c r="B13" s="1245" t="s">
        <v>1189</v>
      </c>
      <c r="C13" s="1243" t="s">
        <v>592</v>
      </c>
      <c r="D13" s="1244">
        <v>43556.0</v>
      </c>
      <c r="E13" s="1257"/>
      <c r="F13" s="631"/>
    </row>
    <row r="14">
      <c r="A14" s="1258" t="s">
        <v>1190</v>
      </c>
      <c r="B14" s="109" t="s">
        <v>1191</v>
      </c>
      <c r="C14" s="1243" t="s">
        <v>592</v>
      </c>
      <c r="D14" s="1244">
        <v>43556.0</v>
      </c>
      <c r="E14" s="966"/>
      <c r="F14" s="966"/>
    </row>
    <row r="15">
      <c r="A15" s="1258" t="s">
        <v>1192</v>
      </c>
      <c r="B15" s="1259" t="s">
        <v>1193</v>
      </c>
      <c r="C15" s="1243" t="s">
        <v>592</v>
      </c>
      <c r="D15" s="1244">
        <v>43556.0</v>
      </c>
      <c r="E15" s="966"/>
      <c r="F15" s="966"/>
    </row>
    <row r="16">
      <c r="A16" s="980" t="s">
        <v>1194</v>
      </c>
      <c r="B16" s="354" t="s">
        <v>1195</v>
      </c>
      <c r="C16" s="1243" t="s">
        <v>592</v>
      </c>
      <c r="D16" s="1244">
        <v>43556.0</v>
      </c>
      <c r="E16" s="1009"/>
      <c r="F16" s="1010"/>
    </row>
    <row r="17">
      <c r="A17" s="1242" t="s">
        <v>1196</v>
      </c>
      <c r="B17" s="354" t="s">
        <v>1197</v>
      </c>
      <c r="C17" s="1243" t="s">
        <v>592</v>
      </c>
      <c r="D17" s="1244">
        <v>43556.0</v>
      </c>
      <c r="E17" s="1009"/>
      <c r="F17" s="1010"/>
    </row>
    <row r="18">
      <c r="A18" s="1242" t="s">
        <v>1198</v>
      </c>
      <c r="B18" s="354"/>
      <c r="C18" s="1243" t="s">
        <v>592</v>
      </c>
      <c r="D18" s="1260">
        <v>43618.0</v>
      </c>
      <c r="E18" s="1009"/>
      <c r="F18" s="1010"/>
    </row>
    <row r="19">
      <c r="A19" s="1261"/>
      <c r="B19" s="1242"/>
      <c r="C19" s="980"/>
      <c r="D19" s="1035"/>
      <c r="E19" s="1262"/>
      <c r="F19" s="1262"/>
    </row>
    <row r="20">
      <c r="A20" s="1263"/>
      <c r="B20" s="671"/>
      <c r="D20" s="1240"/>
      <c r="E20" s="632"/>
      <c r="F20" s="665"/>
    </row>
    <row r="21">
      <c r="A21" s="1263"/>
      <c r="B21" s="679" t="s">
        <v>1199</v>
      </c>
      <c r="D21" s="1264"/>
      <c r="E21" s="655"/>
      <c r="F21" s="655"/>
    </row>
    <row r="22">
      <c r="A22" s="1263"/>
      <c r="B22" s="1265" t="s">
        <v>1200</v>
      </c>
      <c r="D22" s="1264"/>
      <c r="E22" s="655"/>
      <c r="F22" s="665"/>
    </row>
    <row r="23">
      <c r="A23" s="1266"/>
      <c r="B23" s="1265" t="s">
        <v>1201</v>
      </c>
      <c r="C23" s="1267"/>
      <c r="D23" s="1268"/>
      <c r="E23" s="664"/>
      <c r="F23" s="664"/>
    </row>
    <row r="24">
      <c r="A24" s="110"/>
      <c r="B24" s="679" t="s">
        <v>1202</v>
      </c>
      <c r="D24" s="1237"/>
      <c r="E24" s="655"/>
      <c r="F24" s="665"/>
    </row>
    <row r="25">
      <c r="A25" s="108"/>
      <c r="B25" s="1267"/>
      <c r="C25" s="1267"/>
      <c r="D25" s="1269"/>
      <c r="E25" s="664"/>
      <c r="F25" s="578"/>
    </row>
    <row r="26">
      <c r="A26" s="1061" t="s">
        <v>1203</v>
      </c>
      <c r="D26" s="1237"/>
      <c r="E26" s="655"/>
      <c r="F26" s="655"/>
    </row>
    <row r="27">
      <c r="A27" s="1078" t="s">
        <v>1091</v>
      </c>
      <c r="B27" s="1078" t="s">
        <v>1116</v>
      </c>
      <c r="C27" s="1077"/>
      <c r="D27" s="1344"/>
      <c r="E27" s="1229"/>
      <c r="F27" s="1229"/>
    </row>
    <row r="28">
      <c r="A28" s="110" t="s">
        <v>1204</v>
      </c>
      <c r="B28" s="113" t="s">
        <v>1205</v>
      </c>
      <c r="D28" s="1237"/>
      <c r="E28" s="655"/>
      <c r="F28" s="655"/>
    </row>
    <row r="29">
      <c r="A29" s="110" t="s">
        <v>1092</v>
      </c>
      <c r="B29" s="110" t="s">
        <v>1206</v>
      </c>
      <c r="D29" s="1237"/>
      <c r="E29" s="655"/>
      <c r="F29" s="655"/>
    </row>
    <row r="30">
      <c r="A30" s="110" t="s">
        <v>1108</v>
      </c>
      <c r="B30" s="464">
        <v>1200.0</v>
      </c>
      <c r="D30" s="1237"/>
      <c r="E30" s="655"/>
      <c r="F30" s="655"/>
    </row>
    <row r="31">
      <c r="A31" s="110" t="s">
        <v>1115</v>
      </c>
      <c r="B31" s="110" t="s">
        <v>1116</v>
      </c>
      <c r="D31" s="1237"/>
      <c r="E31" s="655"/>
      <c r="F31" s="655"/>
    </row>
    <row r="32">
      <c r="D32" s="1237"/>
      <c r="E32" s="655"/>
      <c r="F32" s="655"/>
    </row>
    <row r="33">
      <c r="D33" s="1237"/>
      <c r="E33" s="655"/>
      <c r="F33" s="655"/>
    </row>
    <row r="34">
      <c r="D34" s="1237"/>
      <c r="E34" s="655"/>
      <c r="F34" s="655"/>
    </row>
    <row r="35">
      <c r="D35" s="1237"/>
      <c r="E35" s="655"/>
      <c r="F35" s="655"/>
    </row>
    <row r="36">
      <c r="D36" s="1237"/>
      <c r="E36" s="655"/>
      <c r="F36" s="655"/>
    </row>
    <row r="37">
      <c r="D37" s="1237"/>
      <c r="E37" s="655"/>
      <c r="F37" s="655"/>
    </row>
    <row r="38">
      <c r="D38" s="1237"/>
      <c r="E38" s="655"/>
      <c r="F38" s="655"/>
    </row>
    <row r="39">
      <c r="D39" s="1237"/>
      <c r="E39" s="655"/>
      <c r="F39" s="655"/>
    </row>
    <row r="40">
      <c r="D40" s="1237"/>
      <c r="E40" s="655"/>
      <c r="F40" s="655"/>
    </row>
    <row r="41">
      <c r="D41" s="1237"/>
      <c r="E41" s="655"/>
      <c r="F41" s="655"/>
    </row>
    <row r="42">
      <c r="D42" s="1237"/>
      <c r="E42" s="655"/>
      <c r="F42" s="655"/>
    </row>
    <row r="43">
      <c r="D43" s="1237"/>
      <c r="E43" s="655"/>
      <c r="F43" s="655"/>
    </row>
    <row r="44">
      <c r="D44" s="1237"/>
      <c r="E44" s="655"/>
      <c r="F44" s="655"/>
    </row>
    <row r="45">
      <c r="D45" s="1237"/>
      <c r="E45" s="655"/>
      <c r="F45" s="655"/>
    </row>
    <row r="46">
      <c r="D46" s="1237"/>
      <c r="E46" s="655"/>
      <c r="F46" s="655"/>
    </row>
    <row r="47">
      <c r="D47" s="1237"/>
      <c r="E47" s="655"/>
      <c r="F47" s="655"/>
    </row>
    <row r="48">
      <c r="D48" s="1237"/>
      <c r="E48" s="655"/>
      <c r="F48" s="655"/>
    </row>
    <row r="49">
      <c r="D49" s="1237"/>
      <c r="E49" s="655"/>
      <c r="F49" s="655"/>
    </row>
    <row r="50">
      <c r="D50" s="1237"/>
      <c r="E50" s="655"/>
      <c r="F50" s="655"/>
    </row>
    <row r="51">
      <c r="D51" s="1237"/>
      <c r="E51" s="655"/>
      <c r="F51" s="655"/>
    </row>
    <row r="52">
      <c r="D52" s="1237"/>
      <c r="E52" s="655"/>
      <c r="F52" s="655"/>
    </row>
    <row r="53">
      <c r="D53" s="1237"/>
      <c r="E53" s="655"/>
      <c r="F53" s="655"/>
    </row>
    <row r="54">
      <c r="D54" s="1237"/>
      <c r="E54" s="655"/>
      <c r="F54" s="655"/>
    </row>
    <row r="55">
      <c r="D55" s="1237"/>
      <c r="E55" s="655"/>
      <c r="F55" s="655"/>
    </row>
    <row r="56">
      <c r="D56" s="1237"/>
      <c r="E56" s="655"/>
      <c r="F56" s="655"/>
    </row>
    <row r="57">
      <c r="D57" s="1237"/>
      <c r="E57" s="655"/>
      <c r="F57" s="655"/>
    </row>
    <row r="58">
      <c r="D58" s="1237"/>
      <c r="E58" s="655"/>
      <c r="F58" s="655"/>
    </row>
    <row r="59">
      <c r="D59" s="1237"/>
      <c r="E59" s="655"/>
      <c r="F59" s="655"/>
    </row>
    <row r="60">
      <c r="D60" s="1237"/>
      <c r="E60" s="655"/>
      <c r="F60" s="655"/>
    </row>
    <row r="61">
      <c r="D61" s="1237"/>
      <c r="E61" s="655"/>
      <c r="F61" s="655"/>
    </row>
    <row r="62">
      <c r="D62" s="1237"/>
      <c r="E62" s="655"/>
      <c r="F62" s="655"/>
    </row>
    <row r="63">
      <c r="D63" s="1237"/>
      <c r="E63" s="655"/>
      <c r="F63" s="655"/>
    </row>
    <row r="64">
      <c r="D64" s="1237"/>
      <c r="E64" s="655"/>
      <c r="F64" s="655"/>
    </row>
    <row r="65">
      <c r="D65" s="1237"/>
      <c r="E65" s="655"/>
      <c r="F65" s="655"/>
    </row>
    <row r="66">
      <c r="D66" s="1237"/>
      <c r="E66" s="655"/>
      <c r="F66" s="655"/>
    </row>
    <row r="67">
      <c r="D67" s="1237"/>
      <c r="E67" s="655"/>
      <c r="F67" s="655"/>
    </row>
    <row r="68">
      <c r="D68" s="1237"/>
      <c r="E68" s="655"/>
      <c r="F68" s="655"/>
    </row>
    <row r="69">
      <c r="D69" s="1237"/>
      <c r="E69" s="655"/>
      <c r="F69" s="655"/>
    </row>
    <row r="70">
      <c r="D70" s="1237"/>
      <c r="E70" s="655"/>
      <c r="F70" s="655"/>
    </row>
    <row r="71">
      <c r="D71" s="1237"/>
      <c r="E71" s="655"/>
      <c r="F71" s="655"/>
    </row>
    <row r="72">
      <c r="D72" s="1237"/>
      <c r="E72" s="655"/>
      <c r="F72" s="655"/>
    </row>
    <row r="73">
      <c r="D73" s="1237"/>
      <c r="E73" s="655"/>
      <c r="F73" s="655"/>
    </row>
    <row r="74">
      <c r="D74" s="1237"/>
      <c r="E74" s="655"/>
      <c r="F74" s="655"/>
    </row>
    <row r="75">
      <c r="D75" s="1237"/>
      <c r="E75" s="655"/>
      <c r="F75" s="655"/>
    </row>
    <row r="76">
      <c r="D76" s="1237"/>
      <c r="E76" s="655"/>
      <c r="F76" s="655"/>
    </row>
    <row r="77">
      <c r="D77" s="1237"/>
      <c r="E77" s="655"/>
      <c r="F77" s="655"/>
    </row>
    <row r="78">
      <c r="D78" s="1237"/>
      <c r="E78" s="655"/>
      <c r="F78" s="655"/>
    </row>
    <row r="79">
      <c r="D79" s="1237"/>
      <c r="E79" s="655"/>
      <c r="F79" s="655"/>
    </row>
    <row r="80">
      <c r="D80" s="1237"/>
      <c r="E80" s="655"/>
      <c r="F80" s="655"/>
    </row>
    <row r="81">
      <c r="D81" s="1237"/>
      <c r="E81" s="655"/>
      <c r="F81" s="655"/>
    </row>
    <row r="82">
      <c r="D82" s="1237"/>
      <c r="E82" s="655"/>
      <c r="F82" s="655"/>
    </row>
    <row r="83">
      <c r="D83" s="1237"/>
      <c r="E83" s="655"/>
      <c r="F83" s="655"/>
    </row>
    <row r="84">
      <c r="D84" s="1237"/>
      <c r="E84" s="655"/>
      <c r="F84" s="655"/>
    </row>
    <row r="85">
      <c r="D85" s="1237"/>
      <c r="E85" s="655"/>
      <c r="F85" s="655"/>
    </row>
    <row r="86">
      <c r="D86" s="1237"/>
      <c r="E86" s="655"/>
      <c r="F86" s="655"/>
    </row>
    <row r="87">
      <c r="D87" s="1237"/>
      <c r="E87" s="655"/>
      <c r="F87" s="655"/>
    </row>
    <row r="88">
      <c r="D88" s="1237"/>
      <c r="E88" s="655"/>
      <c r="F88" s="655"/>
    </row>
    <row r="89">
      <c r="D89" s="1237"/>
      <c r="E89" s="655"/>
      <c r="F89" s="655"/>
    </row>
    <row r="90">
      <c r="D90" s="1237"/>
      <c r="E90" s="655"/>
      <c r="F90" s="655"/>
    </row>
    <row r="91">
      <c r="D91" s="1237"/>
      <c r="E91" s="655"/>
      <c r="F91" s="655"/>
    </row>
    <row r="92">
      <c r="D92" s="1237"/>
      <c r="E92" s="655"/>
      <c r="F92" s="655"/>
    </row>
    <row r="93">
      <c r="D93" s="1237"/>
      <c r="E93" s="655"/>
      <c r="F93" s="655"/>
    </row>
    <row r="94">
      <c r="D94" s="1237"/>
      <c r="E94" s="655"/>
      <c r="F94" s="655"/>
    </row>
    <row r="95">
      <c r="D95" s="1237"/>
      <c r="E95" s="655"/>
      <c r="F95" s="655"/>
    </row>
    <row r="96">
      <c r="D96" s="1237"/>
      <c r="E96" s="655"/>
      <c r="F96" s="655"/>
    </row>
    <row r="97">
      <c r="D97" s="1237"/>
      <c r="E97" s="655"/>
      <c r="F97" s="655"/>
    </row>
    <row r="98">
      <c r="D98" s="1237"/>
      <c r="E98" s="655"/>
      <c r="F98" s="655"/>
    </row>
    <row r="99">
      <c r="D99" s="1237"/>
      <c r="E99" s="655"/>
      <c r="F99" s="655"/>
    </row>
    <row r="100">
      <c r="D100" s="1237"/>
      <c r="E100" s="655"/>
      <c r="F100" s="655"/>
    </row>
    <row r="101">
      <c r="D101" s="1237"/>
      <c r="E101" s="655"/>
      <c r="F101" s="655"/>
    </row>
    <row r="102">
      <c r="D102" s="1237"/>
      <c r="E102" s="655"/>
      <c r="F102" s="655"/>
    </row>
    <row r="103">
      <c r="D103" s="1237"/>
      <c r="E103" s="655"/>
      <c r="F103" s="655"/>
    </row>
    <row r="104">
      <c r="D104" s="1237"/>
      <c r="E104" s="655"/>
      <c r="F104" s="655"/>
    </row>
    <row r="105">
      <c r="D105" s="1237"/>
      <c r="E105" s="655"/>
      <c r="F105" s="655"/>
    </row>
    <row r="106">
      <c r="D106" s="1237"/>
      <c r="E106" s="655"/>
      <c r="F106" s="655"/>
    </row>
    <row r="107">
      <c r="D107" s="1237"/>
      <c r="E107" s="655"/>
      <c r="F107" s="655"/>
    </row>
    <row r="108">
      <c r="D108" s="1237"/>
      <c r="E108" s="655"/>
      <c r="F108" s="655"/>
    </row>
    <row r="109">
      <c r="D109" s="1237"/>
      <c r="E109" s="655"/>
      <c r="F109" s="655"/>
    </row>
    <row r="110">
      <c r="D110" s="1237"/>
      <c r="E110" s="655"/>
      <c r="F110" s="655"/>
    </row>
    <row r="111">
      <c r="D111" s="1237"/>
      <c r="E111" s="655"/>
      <c r="F111" s="655"/>
    </row>
    <row r="112">
      <c r="D112" s="1237"/>
      <c r="E112" s="655"/>
      <c r="F112" s="655"/>
    </row>
    <row r="113">
      <c r="D113" s="1237"/>
      <c r="E113" s="655"/>
      <c r="F113" s="655"/>
    </row>
    <row r="114">
      <c r="D114" s="1237"/>
      <c r="E114" s="655"/>
      <c r="F114" s="655"/>
    </row>
    <row r="115">
      <c r="D115" s="1237"/>
      <c r="E115" s="655"/>
      <c r="F115" s="655"/>
    </row>
    <row r="116">
      <c r="D116" s="1237"/>
      <c r="E116" s="655"/>
      <c r="F116" s="655"/>
    </row>
    <row r="117">
      <c r="D117" s="1237"/>
      <c r="E117" s="655"/>
      <c r="F117" s="655"/>
    </row>
    <row r="118">
      <c r="D118" s="1237"/>
      <c r="E118" s="655"/>
      <c r="F118" s="655"/>
    </row>
    <row r="119">
      <c r="D119" s="1237"/>
      <c r="E119" s="655"/>
      <c r="F119" s="655"/>
    </row>
    <row r="120">
      <c r="D120" s="1237"/>
      <c r="E120" s="655"/>
      <c r="F120" s="655"/>
    </row>
    <row r="121">
      <c r="D121" s="1237"/>
      <c r="E121" s="655"/>
      <c r="F121" s="655"/>
    </row>
    <row r="122">
      <c r="D122" s="1237"/>
      <c r="E122" s="655"/>
      <c r="F122" s="655"/>
    </row>
    <row r="123">
      <c r="D123" s="1237"/>
      <c r="E123" s="655"/>
      <c r="F123" s="655"/>
    </row>
    <row r="124">
      <c r="D124" s="1237"/>
      <c r="E124" s="655"/>
      <c r="F124" s="655"/>
    </row>
    <row r="125">
      <c r="D125" s="1237"/>
      <c r="E125" s="655"/>
      <c r="F125" s="655"/>
    </row>
    <row r="126">
      <c r="D126" s="1237"/>
      <c r="E126" s="655"/>
      <c r="F126" s="655"/>
    </row>
    <row r="127">
      <c r="D127" s="1237"/>
      <c r="E127" s="655"/>
      <c r="F127" s="655"/>
    </row>
    <row r="128">
      <c r="D128" s="1237"/>
      <c r="E128" s="655"/>
      <c r="F128" s="655"/>
    </row>
    <row r="129">
      <c r="D129" s="1237"/>
      <c r="E129" s="655"/>
      <c r="F129" s="655"/>
    </row>
    <row r="130">
      <c r="D130" s="1237"/>
      <c r="E130" s="655"/>
      <c r="F130" s="655"/>
    </row>
    <row r="131">
      <c r="D131" s="1237"/>
      <c r="E131" s="655"/>
      <c r="F131" s="655"/>
    </row>
    <row r="132">
      <c r="D132" s="1237"/>
      <c r="E132" s="655"/>
      <c r="F132" s="655"/>
    </row>
    <row r="133">
      <c r="D133" s="1237"/>
      <c r="E133" s="655"/>
      <c r="F133" s="655"/>
    </row>
    <row r="134">
      <c r="D134" s="1237"/>
      <c r="E134" s="655"/>
      <c r="F134" s="655"/>
    </row>
    <row r="135">
      <c r="D135" s="1237"/>
      <c r="E135" s="655"/>
      <c r="F135" s="655"/>
    </row>
    <row r="136">
      <c r="D136" s="1237"/>
      <c r="E136" s="655"/>
      <c r="F136" s="655"/>
    </row>
    <row r="137">
      <c r="D137" s="1237"/>
      <c r="E137" s="655"/>
      <c r="F137" s="655"/>
    </row>
    <row r="138">
      <c r="D138" s="1237"/>
      <c r="E138" s="655"/>
      <c r="F138" s="655"/>
    </row>
    <row r="139">
      <c r="D139" s="1237"/>
      <c r="E139" s="655"/>
      <c r="F139" s="655"/>
    </row>
    <row r="140">
      <c r="D140" s="1237"/>
      <c r="E140" s="655"/>
      <c r="F140" s="655"/>
    </row>
    <row r="141">
      <c r="D141" s="1237"/>
      <c r="E141" s="655"/>
      <c r="F141" s="655"/>
    </row>
    <row r="142">
      <c r="D142" s="1237"/>
      <c r="E142" s="655"/>
      <c r="F142" s="655"/>
    </row>
    <row r="143">
      <c r="D143" s="1237"/>
      <c r="E143" s="655"/>
      <c r="F143" s="655"/>
    </row>
    <row r="144">
      <c r="D144" s="1237"/>
      <c r="E144" s="655"/>
      <c r="F144" s="655"/>
    </row>
    <row r="145">
      <c r="D145" s="1237"/>
      <c r="E145" s="655"/>
      <c r="F145" s="655"/>
    </row>
    <row r="146">
      <c r="D146" s="1237"/>
      <c r="E146" s="655"/>
      <c r="F146" s="655"/>
    </row>
    <row r="147">
      <c r="D147" s="1237"/>
      <c r="E147" s="655"/>
      <c r="F147" s="655"/>
    </row>
    <row r="148">
      <c r="D148" s="1237"/>
      <c r="E148" s="655"/>
      <c r="F148" s="655"/>
    </row>
    <row r="149">
      <c r="D149" s="1237"/>
      <c r="E149" s="655"/>
      <c r="F149" s="655"/>
    </row>
    <row r="150">
      <c r="D150" s="1237"/>
      <c r="E150" s="655"/>
      <c r="F150" s="655"/>
    </row>
    <row r="151">
      <c r="D151" s="1237"/>
      <c r="E151" s="655"/>
      <c r="F151" s="655"/>
    </row>
    <row r="152">
      <c r="D152" s="1237"/>
      <c r="E152" s="655"/>
      <c r="F152" s="655"/>
    </row>
    <row r="153">
      <c r="D153" s="1237"/>
      <c r="E153" s="655"/>
      <c r="F153" s="655"/>
    </row>
    <row r="154">
      <c r="D154" s="1237"/>
      <c r="E154" s="655"/>
      <c r="F154" s="655"/>
    </row>
    <row r="155">
      <c r="D155" s="1237"/>
      <c r="E155" s="655"/>
      <c r="F155" s="655"/>
    </row>
    <row r="156">
      <c r="D156" s="1237"/>
      <c r="E156" s="655"/>
      <c r="F156" s="655"/>
    </row>
    <row r="157">
      <c r="D157" s="1237"/>
      <c r="E157" s="655"/>
      <c r="F157" s="655"/>
    </row>
    <row r="158">
      <c r="D158" s="1237"/>
      <c r="E158" s="655"/>
      <c r="F158" s="655"/>
    </row>
    <row r="159">
      <c r="D159" s="1237"/>
      <c r="E159" s="655"/>
      <c r="F159" s="655"/>
    </row>
    <row r="160">
      <c r="D160" s="1237"/>
      <c r="E160" s="655"/>
      <c r="F160" s="655"/>
    </row>
    <row r="161">
      <c r="D161" s="1237"/>
      <c r="E161" s="655"/>
      <c r="F161" s="655"/>
    </row>
    <row r="162">
      <c r="D162" s="1237"/>
      <c r="E162" s="655"/>
      <c r="F162" s="655"/>
    </row>
    <row r="163">
      <c r="D163" s="1237"/>
      <c r="E163" s="655"/>
      <c r="F163" s="655"/>
    </row>
    <row r="164">
      <c r="D164" s="1237"/>
      <c r="E164" s="655"/>
      <c r="F164" s="655"/>
    </row>
    <row r="165">
      <c r="D165" s="1237"/>
      <c r="E165" s="655"/>
      <c r="F165" s="655"/>
    </row>
    <row r="166">
      <c r="D166" s="1237"/>
      <c r="E166" s="655"/>
      <c r="F166" s="655"/>
    </row>
    <row r="167">
      <c r="D167" s="1237"/>
      <c r="E167" s="655"/>
      <c r="F167" s="655"/>
    </row>
    <row r="168">
      <c r="D168" s="1237"/>
      <c r="E168" s="655"/>
      <c r="F168" s="655"/>
    </row>
    <row r="169">
      <c r="D169" s="1237"/>
      <c r="E169" s="655"/>
      <c r="F169" s="655"/>
    </row>
    <row r="170">
      <c r="D170" s="1237"/>
      <c r="E170" s="655"/>
      <c r="F170" s="655"/>
    </row>
    <row r="171">
      <c r="D171" s="1237"/>
      <c r="E171" s="655"/>
      <c r="F171" s="655"/>
    </row>
    <row r="172">
      <c r="D172" s="1237"/>
      <c r="E172" s="655"/>
      <c r="F172" s="655"/>
    </row>
    <row r="173">
      <c r="D173" s="1237"/>
      <c r="E173" s="655"/>
      <c r="F173" s="655"/>
    </row>
    <row r="174">
      <c r="D174" s="1237"/>
      <c r="E174" s="655"/>
      <c r="F174" s="655"/>
    </row>
    <row r="175">
      <c r="D175" s="1237"/>
      <c r="E175" s="655"/>
      <c r="F175" s="655"/>
    </row>
    <row r="176">
      <c r="D176" s="1237"/>
      <c r="E176" s="655"/>
      <c r="F176" s="655"/>
    </row>
    <row r="177">
      <c r="D177" s="1237"/>
      <c r="E177" s="655"/>
      <c r="F177" s="655"/>
    </row>
    <row r="178">
      <c r="D178" s="1237"/>
      <c r="E178" s="655"/>
      <c r="F178" s="655"/>
    </row>
    <row r="179">
      <c r="D179" s="1237"/>
      <c r="E179" s="655"/>
      <c r="F179" s="655"/>
    </row>
    <row r="180">
      <c r="D180" s="1237"/>
      <c r="E180" s="655"/>
      <c r="F180" s="655"/>
    </row>
    <row r="181">
      <c r="D181" s="1237"/>
      <c r="E181" s="655"/>
      <c r="F181" s="655"/>
    </row>
    <row r="182">
      <c r="D182" s="1237"/>
      <c r="E182" s="655"/>
      <c r="F182" s="655"/>
    </row>
    <row r="183">
      <c r="D183" s="1237"/>
      <c r="E183" s="655"/>
      <c r="F183" s="655"/>
    </row>
    <row r="184">
      <c r="D184" s="1237"/>
      <c r="E184" s="655"/>
      <c r="F184" s="655"/>
    </row>
    <row r="185">
      <c r="D185" s="1237"/>
      <c r="E185" s="655"/>
      <c r="F185" s="655"/>
    </row>
    <row r="186">
      <c r="D186" s="1237"/>
      <c r="E186" s="655"/>
      <c r="F186" s="655"/>
    </row>
    <row r="187">
      <c r="D187" s="1237"/>
      <c r="E187" s="655"/>
      <c r="F187" s="655"/>
    </row>
    <row r="188">
      <c r="D188" s="1237"/>
      <c r="E188" s="655"/>
      <c r="F188" s="655"/>
    </row>
    <row r="189">
      <c r="D189" s="1237"/>
      <c r="E189" s="655"/>
      <c r="F189" s="655"/>
    </row>
    <row r="190">
      <c r="D190" s="1237"/>
      <c r="E190" s="655"/>
      <c r="F190" s="655"/>
    </row>
    <row r="191">
      <c r="D191" s="1237"/>
      <c r="E191" s="655"/>
      <c r="F191" s="655"/>
    </row>
    <row r="192">
      <c r="D192" s="1237"/>
      <c r="E192" s="655"/>
      <c r="F192" s="655"/>
    </row>
    <row r="193">
      <c r="D193" s="1237"/>
      <c r="E193" s="655"/>
      <c r="F193" s="655"/>
    </row>
    <row r="194">
      <c r="D194" s="1237"/>
      <c r="E194" s="655"/>
      <c r="F194" s="655"/>
    </row>
    <row r="195">
      <c r="D195" s="1237"/>
      <c r="E195" s="655"/>
      <c r="F195" s="655"/>
    </row>
    <row r="196">
      <c r="D196" s="1237"/>
      <c r="E196" s="655"/>
      <c r="F196" s="655"/>
    </row>
    <row r="197">
      <c r="D197" s="1237"/>
      <c r="E197" s="655"/>
      <c r="F197" s="655"/>
    </row>
    <row r="198">
      <c r="D198" s="1237"/>
      <c r="E198" s="655"/>
      <c r="F198" s="655"/>
    </row>
    <row r="199">
      <c r="D199" s="1237"/>
      <c r="E199" s="655"/>
      <c r="F199" s="655"/>
    </row>
    <row r="200">
      <c r="D200" s="1237"/>
      <c r="E200" s="655"/>
      <c r="F200" s="655"/>
    </row>
    <row r="201">
      <c r="D201" s="1237"/>
      <c r="E201" s="655"/>
      <c r="F201" s="655"/>
    </row>
    <row r="202">
      <c r="D202" s="1237"/>
      <c r="E202" s="655"/>
      <c r="F202" s="655"/>
    </row>
    <row r="203">
      <c r="D203" s="1237"/>
      <c r="E203" s="655"/>
      <c r="F203" s="655"/>
    </row>
    <row r="204">
      <c r="D204" s="1237"/>
      <c r="E204" s="655"/>
      <c r="F204" s="655"/>
    </row>
    <row r="205">
      <c r="D205" s="1237"/>
      <c r="E205" s="655"/>
      <c r="F205" s="655"/>
    </row>
    <row r="206">
      <c r="D206" s="1237"/>
      <c r="E206" s="655"/>
      <c r="F206" s="655"/>
    </row>
    <row r="207">
      <c r="D207" s="1237"/>
      <c r="E207" s="655"/>
      <c r="F207" s="655"/>
    </row>
    <row r="208">
      <c r="D208" s="1237"/>
      <c r="E208" s="655"/>
      <c r="F208" s="655"/>
    </row>
    <row r="209">
      <c r="D209" s="1237"/>
      <c r="E209" s="655"/>
      <c r="F209" s="655"/>
    </row>
    <row r="210">
      <c r="D210" s="1237"/>
      <c r="E210" s="655"/>
      <c r="F210" s="655"/>
    </row>
    <row r="211">
      <c r="D211" s="1237"/>
      <c r="E211" s="655"/>
      <c r="F211" s="655"/>
    </row>
    <row r="212">
      <c r="D212" s="1237"/>
      <c r="E212" s="655"/>
      <c r="F212" s="655"/>
    </row>
    <row r="213">
      <c r="D213" s="1237"/>
      <c r="E213" s="655"/>
      <c r="F213" s="655"/>
    </row>
    <row r="214">
      <c r="D214" s="1237"/>
      <c r="E214" s="655"/>
      <c r="F214" s="655"/>
    </row>
    <row r="215">
      <c r="D215" s="1237"/>
      <c r="E215" s="655"/>
      <c r="F215" s="655"/>
    </row>
    <row r="216">
      <c r="D216" s="1237"/>
      <c r="E216" s="655"/>
      <c r="F216" s="655"/>
    </row>
    <row r="217">
      <c r="D217" s="1237"/>
      <c r="E217" s="655"/>
      <c r="F217" s="655"/>
    </row>
    <row r="218">
      <c r="D218" s="1237"/>
      <c r="E218" s="655"/>
      <c r="F218" s="655"/>
    </row>
    <row r="219">
      <c r="D219" s="1237"/>
      <c r="E219" s="655"/>
      <c r="F219" s="655"/>
    </row>
    <row r="220">
      <c r="D220" s="1237"/>
      <c r="E220" s="655"/>
      <c r="F220" s="655"/>
    </row>
    <row r="221">
      <c r="D221" s="1237"/>
      <c r="E221" s="655"/>
      <c r="F221" s="655"/>
    </row>
    <row r="222">
      <c r="D222" s="1237"/>
      <c r="E222" s="655"/>
      <c r="F222" s="655"/>
    </row>
    <row r="223">
      <c r="D223" s="1237"/>
      <c r="E223" s="655"/>
      <c r="F223" s="655"/>
    </row>
    <row r="224">
      <c r="D224" s="1237"/>
      <c r="E224" s="655"/>
      <c r="F224" s="655"/>
    </row>
    <row r="225">
      <c r="D225" s="1237"/>
      <c r="E225" s="655"/>
      <c r="F225" s="655"/>
    </row>
    <row r="226">
      <c r="D226" s="1237"/>
      <c r="E226" s="655"/>
      <c r="F226" s="655"/>
    </row>
    <row r="227">
      <c r="D227" s="1237"/>
      <c r="E227" s="655"/>
      <c r="F227" s="655"/>
    </row>
    <row r="228">
      <c r="D228" s="1237"/>
      <c r="E228" s="655"/>
      <c r="F228" s="655"/>
    </row>
    <row r="229">
      <c r="D229" s="1237"/>
      <c r="E229" s="655"/>
      <c r="F229" s="655"/>
    </row>
    <row r="230">
      <c r="D230" s="1237"/>
      <c r="E230" s="655"/>
      <c r="F230" s="655"/>
    </row>
    <row r="231">
      <c r="D231" s="1237"/>
      <c r="E231" s="655"/>
      <c r="F231" s="655"/>
    </row>
    <row r="232">
      <c r="D232" s="1237"/>
      <c r="E232" s="655"/>
      <c r="F232" s="655"/>
    </row>
    <row r="233">
      <c r="D233" s="1237"/>
      <c r="E233" s="655"/>
      <c r="F233" s="655"/>
    </row>
    <row r="234">
      <c r="D234" s="1237"/>
      <c r="E234" s="655"/>
      <c r="F234" s="655"/>
    </row>
    <row r="235">
      <c r="D235" s="1237"/>
      <c r="E235" s="655"/>
      <c r="F235" s="655"/>
    </row>
    <row r="236">
      <c r="D236" s="1237"/>
      <c r="E236" s="655"/>
      <c r="F236" s="655"/>
    </row>
    <row r="237">
      <c r="D237" s="1237"/>
      <c r="E237" s="655"/>
      <c r="F237" s="655"/>
    </row>
    <row r="238">
      <c r="D238" s="1237"/>
      <c r="E238" s="655"/>
      <c r="F238" s="655"/>
    </row>
    <row r="239">
      <c r="D239" s="1237"/>
      <c r="E239" s="655"/>
      <c r="F239" s="655"/>
    </row>
    <row r="240">
      <c r="D240" s="1237"/>
      <c r="E240" s="655"/>
      <c r="F240" s="655"/>
    </row>
    <row r="241">
      <c r="D241" s="1237"/>
      <c r="E241" s="655"/>
      <c r="F241" s="655"/>
    </row>
    <row r="242">
      <c r="D242" s="1237"/>
      <c r="E242" s="655"/>
      <c r="F242" s="655"/>
    </row>
    <row r="243">
      <c r="D243" s="1237"/>
      <c r="E243" s="655"/>
      <c r="F243" s="655"/>
    </row>
    <row r="244">
      <c r="D244" s="1237"/>
      <c r="E244" s="655"/>
      <c r="F244" s="655"/>
    </row>
    <row r="245">
      <c r="D245" s="1237"/>
      <c r="E245" s="655"/>
      <c r="F245" s="655"/>
    </row>
    <row r="246">
      <c r="D246" s="1237"/>
      <c r="E246" s="655"/>
      <c r="F246" s="655"/>
    </row>
    <row r="247">
      <c r="D247" s="1237"/>
      <c r="E247" s="655"/>
      <c r="F247" s="655"/>
    </row>
    <row r="248">
      <c r="D248" s="1237"/>
      <c r="E248" s="655"/>
      <c r="F248" s="655"/>
    </row>
    <row r="249">
      <c r="D249" s="1237"/>
      <c r="E249" s="655"/>
      <c r="F249" s="655"/>
    </row>
    <row r="250">
      <c r="D250" s="1237"/>
      <c r="E250" s="655"/>
      <c r="F250" s="655"/>
    </row>
    <row r="251">
      <c r="D251" s="1237"/>
      <c r="E251" s="655"/>
      <c r="F251" s="655"/>
    </row>
    <row r="252">
      <c r="D252" s="1237"/>
      <c r="E252" s="655"/>
      <c r="F252" s="655"/>
    </row>
    <row r="253">
      <c r="D253" s="1237"/>
      <c r="E253" s="655"/>
      <c r="F253" s="655"/>
    </row>
    <row r="254">
      <c r="D254" s="1237"/>
      <c r="E254" s="655"/>
      <c r="F254" s="655"/>
    </row>
    <row r="255">
      <c r="D255" s="1237"/>
      <c r="E255" s="655"/>
      <c r="F255" s="655"/>
    </row>
    <row r="256">
      <c r="D256" s="1237"/>
      <c r="E256" s="655"/>
      <c r="F256" s="655"/>
    </row>
    <row r="257">
      <c r="D257" s="1237"/>
      <c r="E257" s="655"/>
      <c r="F257" s="655"/>
    </row>
    <row r="258">
      <c r="D258" s="1237"/>
      <c r="E258" s="655"/>
      <c r="F258" s="655"/>
    </row>
    <row r="259">
      <c r="D259" s="1237"/>
      <c r="E259" s="655"/>
      <c r="F259" s="655"/>
    </row>
    <row r="260">
      <c r="D260" s="1237"/>
      <c r="E260" s="655"/>
      <c r="F260" s="655"/>
    </row>
    <row r="261">
      <c r="D261" s="1237"/>
      <c r="E261" s="655"/>
      <c r="F261" s="655"/>
    </row>
    <row r="262">
      <c r="D262" s="1237"/>
      <c r="E262" s="655"/>
      <c r="F262" s="655"/>
    </row>
    <row r="263">
      <c r="D263" s="1237"/>
      <c r="E263" s="655"/>
      <c r="F263" s="655"/>
    </row>
    <row r="264">
      <c r="D264" s="1237"/>
      <c r="E264" s="655"/>
      <c r="F264" s="655"/>
    </row>
    <row r="265">
      <c r="D265" s="1237"/>
      <c r="E265" s="655"/>
      <c r="F265" s="655"/>
    </row>
    <row r="266">
      <c r="D266" s="1237"/>
      <c r="E266" s="655"/>
      <c r="F266" s="655"/>
    </row>
    <row r="267">
      <c r="D267" s="1237"/>
      <c r="E267" s="655"/>
      <c r="F267" s="655"/>
    </row>
    <row r="268">
      <c r="D268" s="1237"/>
      <c r="E268" s="655"/>
      <c r="F268" s="655"/>
    </row>
    <row r="269">
      <c r="D269" s="1237"/>
      <c r="E269" s="655"/>
      <c r="F269" s="655"/>
    </row>
    <row r="270">
      <c r="D270" s="1237"/>
      <c r="E270" s="655"/>
      <c r="F270" s="655"/>
    </row>
    <row r="271">
      <c r="D271" s="1237"/>
      <c r="E271" s="655"/>
      <c r="F271" s="655"/>
    </row>
    <row r="272">
      <c r="D272" s="1237"/>
      <c r="E272" s="655"/>
      <c r="F272" s="655"/>
    </row>
    <row r="273">
      <c r="D273" s="1237"/>
      <c r="E273" s="655"/>
      <c r="F273" s="655"/>
    </row>
    <row r="274">
      <c r="D274" s="1237"/>
      <c r="E274" s="655"/>
      <c r="F274" s="655"/>
    </row>
    <row r="275">
      <c r="D275" s="1237"/>
      <c r="E275" s="655"/>
      <c r="F275" s="655"/>
    </row>
    <row r="276">
      <c r="D276" s="1237"/>
      <c r="E276" s="655"/>
      <c r="F276" s="655"/>
    </row>
    <row r="277">
      <c r="D277" s="1237"/>
      <c r="E277" s="655"/>
      <c r="F277" s="655"/>
    </row>
    <row r="278">
      <c r="D278" s="1237"/>
      <c r="E278" s="655"/>
      <c r="F278" s="655"/>
    </row>
    <row r="279">
      <c r="D279" s="1237"/>
      <c r="E279" s="655"/>
      <c r="F279" s="655"/>
    </row>
    <row r="280">
      <c r="D280" s="1237"/>
      <c r="E280" s="655"/>
      <c r="F280" s="655"/>
    </row>
    <row r="281">
      <c r="D281" s="1237"/>
      <c r="E281" s="655"/>
      <c r="F281" s="655"/>
    </row>
    <row r="282">
      <c r="D282" s="1237"/>
      <c r="E282" s="655"/>
      <c r="F282" s="655"/>
    </row>
    <row r="283">
      <c r="D283" s="1237"/>
      <c r="E283" s="655"/>
      <c r="F283" s="655"/>
    </row>
    <row r="284">
      <c r="D284" s="1237"/>
      <c r="E284" s="655"/>
      <c r="F284" s="655"/>
    </row>
    <row r="285">
      <c r="D285" s="1237"/>
      <c r="E285" s="655"/>
      <c r="F285" s="655"/>
    </row>
    <row r="286">
      <c r="D286" s="1237"/>
      <c r="E286" s="655"/>
      <c r="F286" s="655"/>
    </row>
    <row r="287">
      <c r="D287" s="1237"/>
      <c r="E287" s="655"/>
      <c r="F287" s="655"/>
    </row>
    <row r="288">
      <c r="D288" s="1237"/>
      <c r="E288" s="655"/>
      <c r="F288" s="655"/>
    </row>
    <row r="289">
      <c r="D289" s="1237"/>
      <c r="E289" s="655"/>
      <c r="F289" s="655"/>
    </row>
    <row r="290">
      <c r="D290" s="1237"/>
      <c r="E290" s="655"/>
      <c r="F290" s="655"/>
    </row>
    <row r="291">
      <c r="D291" s="1237"/>
      <c r="E291" s="655"/>
      <c r="F291" s="655"/>
    </row>
    <row r="292">
      <c r="D292" s="1237"/>
      <c r="E292" s="655"/>
      <c r="F292" s="655"/>
    </row>
    <row r="293">
      <c r="D293" s="1237"/>
      <c r="E293" s="655"/>
      <c r="F293" s="655"/>
    </row>
    <row r="294">
      <c r="D294" s="1237"/>
      <c r="E294" s="655"/>
      <c r="F294" s="655"/>
    </row>
    <row r="295">
      <c r="D295" s="1237"/>
      <c r="E295" s="655"/>
      <c r="F295" s="655"/>
    </row>
    <row r="296">
      <c r="D296" s="1237"/>
      <c r="E296" s="655"/>
      <c r="F296" s="655"/>
    </row>
    <row r="297">
      <c r="D297" s="1237"/>
      <c r="E297" s="655"/>
      <c r="F297" s="655"/>
    </row>
    <row r="298">
      <c r="D298" s="1237"/>
      <c r="E298" s="655"/>
      <c r="F298" s="655"/>
    </row>
    <row r="299">
      <c r="D299" s="1237"/>
      <c r="E299" s="655"/>
      <c r="F299" s="655"/>
    </row>
    <row r="300">
      <c r="D300" s="1237"/>
      <c r="E300" s="655"/>
      <c r="F300" s="655"/>
    </row>
    <row r="301">
      <c r="D301" s="1237"/>
      <c r="E301" s="655"/>
      <c r="F301" s="655"/>
    </row>
    <row r="302">
      <c r="D302" s="1237"/>
      <c r="E302" s="655"/>
      <c r="F302" s="655"/>
    </row>
    <row r="303">
      <c r="D303" s="1237"/>
      <c r="E303" s="655"/>
      <c r="F303" s="655"/>
    </row>
    <row r="304">
      <c r="D304" s="1237"/>
      <c r="E304" s="655"/>
      <c r="F304" s="655"/>
    </row>
    <row r="305">
      <c r="D305" s="1237"/>
      <c r="E305" s="655"/>
      <c r="F305" s="655"/>
    </row>
    <row r="306">
      <c r="D306" s="1237"/>
      <c r="E306" s="655"/>
      <c r="F306" s="655"/>
    </row>
    <row r="307">
      <c r="D307" s="1237"/>
      <c r="E307" s="655"/>
      <c r="F307" s="655"/>
    </row>
    <row r="308">
      <c r="D308" s="1237"/>
      <c r="E308" s="655"/>
      <c r="F308" s="655"/>
    </row>
    <row r="309">
      <c r="D309" s="1237"/>
      <c r="E309" s="655"/>
      <c r="F309" s="655"/>
    </row>
    <row r="310">
      <c r="D310" s="1237"/>
      <c r="E310" s="655"/>
      <c r="F310" s="655"/>
    </row>
    <row r="311">
      <c r="D311" s="1237"/>
      <c r="E311" s="655"/>
      <c r="F311" s="655"/>
    </row>
    <row r="312">
      <c r="D312" s="1237"/>
      <c r="E312" s="655"/>
      <c r="F312" s="655"/>
    </row>
    <row r="313">
      <c r="D313" s="1237"/>
      <c r="E313" s="655"/>
      <c r="F313" s="655"/>
    </row>
    <row r="314">
      <c r="D314" s="1237"/>
      <c r="E314" s="655"/>
      <c r="F314" s="655"/>
    </row>
    <row r="315">
      <c r="D315" s="1237"/>
      <c r="E315" s="655"/>
      <c r="F315" s="655"/>
    </row>
    <row r="316">
      <c r="D316" s="1237"/>
      <c r="E316" s="655"/>
      <c r="F316" s="655"/>
    </row>
    <row r="317">
      <c r="D317" s="1237"/>
      <c r="E317" s="655"/>
      <c r="F317" s="655"/>
    </row>
    <row r="318">
      <c r="D318" s="1237"/>
      <c r="E318" s="655"/>
      <c r="F318" s="655"/>
    </row>
    <row r="319">
      <c r="D319" s="1237"/>
      <c r="E319" s="655"/>
      <c r="F319" s="655"/>
    </row>
    <row r="320">
      <c r="D320" s="1237"/>
      <c r="E320" s="655"/>
      <c r="F320" s="655"/>
    </row>
    <row r="321">
      <c r="D321" s="1237"/>
      <c r="E321" s="655"/>
      <c r="F321" s="655"/>
    </row>
    <row r="322">
      <c r="D322" s="1237"/>
      <c r="E322" s="655"/>
      <c r="F322" s="655"/>
    </row>
    <row r="323">
      <c r="D323" s="1237"/>
      <c r="E323" s="655"/>
      <c r="F323" s="655"/>
    </row>
    <row r="324">
      <c r="D324" s="1237"/>
      <c r="E324" s="655"/>
      <c r="F324" s="655"/>
    </row>
    <row r="325">
      <c r="D325" s="1237"/>
      <c r="E325" s="655"/>
      <c r="F325" s="655"/>
    </row>
    <row r="326">
      <c r="D326" s="1237"/>
      <c r="E326" s="655"/>
      <c r="F326" s="655"/>
    </row>
    <row r="327">
      <c r="D327" s="1237"/>
      <c r="E327" s="655"/>
      <c r="F327" s="655"/>
    </row>
    <row r="328">
      <c r="D328" s="1237"/>
      <c r="E328" s="655"/>
      <c r="F328" s="655"/>
    </row>
    <row r="329">
      <c r="D329" s="1237"/>
      <c r="E329" s="655"/>
      <c r="F329" s="655"/>
    </row>
    <row r="330">
      <c r="D330" s="1237"/>
      <c r="E330" s="655"/>
      <c r="F330" s="655"/>
    </row>
    <row r="331">
      <c r="D331" s="1237"/>
      <c r="E331" s="655"/>
      <c r="F331" s="655"/>
    </row>
    <row r="332">
      <c r="D332" s="1237"/>
      <c r="E332" s="655"/>
      <c r="F332" s="655"/>
    </row>
    <row r="333">
      <c r="D333" s="1237"/>
      <c r="E333" s="655"/>
      <c r="F333" s="655"/>
    </row>
    <row r="334">
      <c r="D334" s="1237"/>
      <c r="E334" s="655"/>
      <c r="F334" s="655"/>
    </row>
    <row r="335">
      <c r="D335" s="1237"/>
      <c r="E335" s="655"/>
      <c r="F335" s="655"/>
    </row>
    <row r="336">
      <c r="D336" s="1237"/>
      <c r="E336" s="655"/>
      <c r="F336" s="655"/>
    </row>
    <row r="337">
      <c r="D337" s="1237"/>
      <c r="E337" s="655"/>
      <c r="F337" s="655"/>
    </row>
    <row r="338">
      <c r="D338" s="1237"/>
      <c r="E338" s="655"/>
      <c r="F338" s="655"/>
    </row>
    <row r="339">
      <c r="D339" s="1237"/>
      <c r="E339" s="655"/>
      <c r="F339" s="655"/>
    </row>
    <row r="340">
      <c r="D340" s="1237"/>
      <c r="E340" s="655"/>
      <c r="F340" s="655"/>
    </row>
    <row r="341">
      <c r="D341" s="1237"/>
      <c r="E341" s="655"/>
      <c r="F341" s="655"/>
    </row>
    <row r="342">
      <c r="D342" s="1237"/>
      <c r="E342" s="655"/>
      <c r="F342" s="655"/>
    </row>
    <row r="343">
      <c r="D343" s="1237"/>
      <c r="E343" s="655"/>
      <c r="F343" s="655"/>
    </row>
    <row r="344">
      <c r="D344" s="1237"/>
      <c r="E344" s="655"/>
      <c r="F344" s="655"/>
    </row>
    <row r="345">
      <c r="D345" s="1237"/>
      <c r="E345" s="655"/>
      <c r="F345" s="655"/>
    </row>
    <row r="346">
      <c r="D346" s="1237"/>
      <c r="E346" s="655"/>
      <c r="F346" s="655"/>
    </row>
    <row r="347">
      <c r="D347" s="1237"/>
      <c r="E347" s="655"/>
      <c r="F347" s="655"/>
    </row>
    <row r="348">
      <c r="D348" s="1237"/>
      <c r="E348" s="655"/>
      <c r="F348" s="655"/>
    </row>
    <row r="349">
      <c r="D349" s="1237"/>
      <c r="E349" s="655"/>
      <c r="F349" s="655"/>
    </row>
    <row r="350">
      <c r="D350" s="1237"/>
      <c r="E350" s="655"/>
      <c r="F350" s="655"/>
    </row>
    <row r="351">
      <c r="D351" s="1237"/>
      <c r="E351" s="655"/>
      <c r="F351" s="655"/>
    </row>
    <row r="352">
      <c r="D352" s="1237"/>
      <c r="E352" s="655"/>
      <c r="F352" s="655"/>
    </row>
    <row r="353">
      <c r="D353" s="1237"/>
      <c r="E353" s="655"/>
      <c r="F353" s="655"/>
    </row>
    <row r="354">
      <c r="D354" s="1237"/>
      <c r="E354" s="655"/>
      <c r="F354" s="655"/>
    </row>
    <row r="355">
      <c r="D355" s="1237"/>
      <c r="E355" s="655"/>
      <c r="F355" s="655"/>
    </row>
    <row r="356">
      <c r="D356" s="1237"/>
      <c r="E356" s="655"/>
      <c r="F356" s="655"/>
    </row>
    <row r="357">
      <c r="D357" s="1237"/>
      <c r="E357" s="655"/>
      <c r="F357" s="655"/>
    </row>
    <row r="358">
      <c r="D358" s="1237"/>
      <c r="E358" s="655"/>
      <c r="F358" s="655"/>
    </row>
    <row r="359">
      <c r="D359" s="1237"/>
      <c r="E359" s="655"/>
      <c r="F359" s="655"/>
    </row>
    <row r="360">
      <c r="D360" s="1237"/>
      <c r="E360" s="655"/>
      <c r="F360" s="655"/>
    </row>
    <row r="361">
      <c r="D361" s="1237"/>
      <c r="E361" s="655"/>
      <c r="F361" s="655"/>
    </row>
    <row r="362">
      <c r="D362" s="1237"/>
      <c r="E362" s="655"/>
      <c r="F362" s="655"/>
    </row>
    <row r="363">
      <c r="D363" s="1237"/>
      <c r="E363" s="655"/>
      <c r="F363" s="655"/>
    </row>
    <row r="364">
      <c r="D364" s="1237"/>
      <c r="E364" s="655"/>
      <c r="F364" s="655"/>
    </row>
    <row r="365">
      <c r="D365" s="1237"/>
      <c r="E365" s="655"/>
      <c r="F365" s="655"/>
    </row>
    <row r="366">
      <c r="D366" s="1237"/>
      <c r="E366" s="655"/>
      <c r="F366" s="655"/>
    </row>
    <row r="367">
      <c r="D367" s="1237"/>
      <c r="E367" s="655"/>
      <c r="F367" s="655"/>
    </row>
    <row r="368">
      <c r="D368" s="1237"/>
      <c r="E368" s="655"/>
      <c r="F368" s="655"/>
    </row>
    <row r="369">
      <c r="D369" s="1237"/>
      <c r="E369" s="655"/>
      <c r="F369" s="655"/>
    </row>
    <row r="370">
      <c r="D370" s="1237"/>
      <c r="E370" s="655"/>
      <c r="F370" s="655"/>
    </row>
    <row r="371">
      <c r="D371" s="1237"/>
      <c r="E371" s="655"/>
      <c r="F371" s="655"/>
    </row>
    <row r="372">
      <c r="D372" s="1237"/>
      <c r="E372" s="655"/>
      <c r="F372" s="655"/>
    </row>
    <row r="373">
      <c r="D373" s="1237"/>
      <c r="E373" s="655"/>
      <c r="F373" s="655"/>
    </row>
    <row r="374">
      <c r="D374" s="1237"/>
      <c r="E374" s="655"/>
      <c r="F374" s="655"/>
    </row>
    <row r="375">
      <c r="D375" s="1237"/>
      <c r="E375" s="655"/>
      <c r="F375" s="655"/>
    </row>
    <row r="376">
      <c r="D376" s="1237"/>
      <c r="E376" s="655"/>
      <c r="F376" s="655"/>
    </row>
    <row r="377">
      <c r="D377" s="1237"/>
      <c r="E377" s="655"/>
      <c r="F377" s="655"/>
    </row>
    <row r="378">
      <c r="D378" s="1237"/>
      <c r="E378" s="655"/>
      <c r="F378" s="655"/>
    </row>
    <row r="379">
      <c r="D379" s="1237"/>
      <c r="E379" s="655"/>
      <c r="F379" s="655"/>
    </row>
    <row r="380">
      <c r="D380" s="1237"/>
      <c r="E380" s="655"/>
      <c r="F380" s="655"/>
    </row>
    <row r="381">
      <c r="D381" s="1237"/>
      <c r="E381" s="655"/>
      <c r="F381" s="655"/>
    </row>
    <row r="382">
      <c r="D382" s="1237"/>
      <c r="E382" s="655"/>
      <c r="F382" s="655"/>
    </row>
    <row r="383">
      <c r="D383" s="1237"/>
      <c r="E383" s="655"/>
      <c r="F383" s="655"/>
    </row>
    <row r="384">
      <c r="D384" s="1237"/>
      <c r="E384" s="655"/>
      <c r="F384" s="655"/>
    </row>
    <row r="385">
      <c r="D385" s="1237"/>
      <c r="E385" s="655"/>
      <c r="F385" s="655"/>
    </row>
    <row r="386">
      <c r="D386" s="1237"/>
      <c r="E386" s="655"/>
      <c r="F386" s="655"/>
    </row>
    <row r="387">
      <c r="D387" s="1237"/>
      <c r="E387" s="655"/>
      <c r="F387" s="655"/>
    </row>
    <row r="388">
      <c r="D388" s="1237"/>
      <c r="E388" s="655"/>
      <c r="F388" s="655"/>
    </row>
    <row r="389">
      <c r="D389" s="1237"/>
      <c r="E389" s="655"/>
      <c r="F389" s="655"/>
    </row>
    <row r="390">
      <c r="D390" s="1237"/>
      <c r="E390" s="655"/>
      <c r="F390" s="655"/>
    </row>
    <row r="391">
      <c r="D391" s="1237"/>
      <c r="E391" s="655"/>
      <c r="F391" s="655"/>
    </row>
    <row r="392">
      <c r="D392" s="1237"/>
      <c r="E392" s="655"/>
      <c r="F392" s="655"/>
    </row>
    <row r="393">
      <c r="D393" s="1237"/>
      <c r="E393" s="655"/>
      <c r="F393" s="655"/>
    </row>
    <row r="394">
      <c r="D394" s="1237"/>
      <c r="E394" s="655"/>
      <c r="F394" s="655"/>
    </row>
    <row r="395">
      <c r="D395" s="1237"/>
      <c r="E395" s="655"/>
      <c r="F395" s="655"/>
    </row>
    <row r="396">
      <c r="D396" s="1237"/>
      <c r="E396" s="655"/>
      <c r="F396" s="655"/>
    </row>
    <row r="397">
      <c r="D397" s="1237"/>
      <c r="E397" s="655"/>
      <c r="F397" s="655"/>
    </row>
    <row r="398">
      <c r="D398" s="1237"/>
      <c r="E398" s="655"/>
      <c r="F398" s="655"/>
    </row>
    <row r="399">
      <c r="D399" s="1237"/>
      <c r="E399" s="655"/>
      <c r="F399" s="655"/>
    </row>
    <row r="400">
      <c r="D400" s="1237"/>
      <c r="E400" s="655"/>
      <c r="F400" s="655"/>
    </row>
    <row r="401">
      <c r="D401" s="1237"/>
      <c r="E401" s="655"/>
      <c r="F401" s="655"/>
    </row>
    <row r="402">
      <c r="D402" s="1237"/>
      <c r="E402" s="655"/>
      <c r="F402" s="655"/>
    </row>
    <row r="403">
      <c r="D403" s="1237"/>
      <c r="E403" s="655"/>
      <c r="F403" s="655"/>
    </row>
    <row r="404">
      <c r="D404" s="1237"/>
      <c r="E404" s="655"/>
      <c r="F404" s="655"/>
    </row>
    <row r="405">
      <c r="D405" s="1237"/>
      <c r="E405" s="655"/>
      <c r="F405" s="655"/>
    </row>
    <row r="406">
      <c r="D406" s="1237"/>
      <c r="E406" s="655"/>
      <c r="F406" s="655"/>
    </row>
    <row r="407">
      <c r="D407" s="1237"/>
      <c r="E407" s="655"/>
      <c r="F407" s="655"/>
    </row>
    <row r="408">
      <c r="D408" s="1237"/>
      <c r="E408" s="655"/>
      <c r="F408" s="655"/>
    </row>
    <row r="409">
      <c r="D409" s="1237"/>
      <c r="E409" s="655"/>
      <c r="F409" s="655"/>
    </row>
    <row r="410">
      <c r="D410" s="1237"/>
      <c r="E410" s="655"/>
      <c r="F410" s="655"/>
    </row>
    <row r="411">
      <c r="D411" s="1237"/>
      <c r="E411" s="655"/>
      <c r="F411" s="655"/>
    </row>
    <row r="412">
      <c r="D412" s="1237"/>
      <c r="E412" s="655"/>
      <c r="F412" s="655"/>
    </row>
    <row r="413">
      <c r="D413" s="1237"/>
      <c r="E413" s="655"/>
      <c r="F413" s="655"/>
    </row>
    <row r="414">
      <c r="D414" s="1237"/>
      <c r="E414" s="655"/>
      <c r="F414" s="655"/>
    </row>
    <row r="415">
      <c r="D415" s="1237"/>
      <c r="E415" s="655"/>
      <c r="F415" s="655"/>
    </row>
    <row r="416">
      <c r="D416" s="1237"/>
      <c r="E416" s="655"/>
      <c r="F416" s="655"/>
    </row>
    <row r="417">
      <c r="D417" s="1237"/>
      <c r="E417" s="655"/>
      <c r="F417" s="655"/>
    </row>
    <row r="418">
      <c r="D418" s="1237"/>
      <c r="E418" s="655"/>
      <c r="F418" s="655"/>
    </row>
    <row r="419">
      <c r="D419" s="1237"/>
      <c r="E419" s="655"/>
      <c r="F419" s="655"/>
    </row>
    <row r="420">
      <c r="D420" s="1237"/>
      <c r="E420" s="655"/>
      <c r="F420" s="655"/>
    </row>
    <row r="421">
      <c r="D421" s="1237"/>
      <c r="E421" s="655"/>
      <c r="F421" s="655"/>
    </row>
    <row r="422">
      <c r="D422" s="1237"/>
      <c r="E422" s="655"/>
      <c r="F422" s="655"/>
    </row>
    <row r="423">
      <c r="D423" s="1237"/>
      <c r="E423" s="655"/>
      <c r="F423" s="655"/>
    </row>
    <row r="424">
      <c r="D424" s="1237"/>
      <c r="E424" s="655"/>
      <c r="F424" s="655"/>
    </row>
    <row r="425">
      <c r="D425" s="1237"/>
      <c r="E425" s="655"/>
      <c r="F425" s="655"/>
    </row>
    <row r="426">
      <c r="D426" s="1237"/>
      <c r="E426" s="655"/>
      <c r="F426" s="655"/>
    </row>
    <row r="427">
      <c r="D427" s="1237"/>
      <c r="E427" s="655"/>
      <c r="F427" s="655"/>
    </row>
    <row r="428">
      <c r="D428" s="1237"/>
      <c r="E428" s="655"/>
      <c r="F428" s="655"/>
    </row>
    <row r="429">
      <c r="D429" s="1237"/>
      <c r="E429" s="655"/>
      <c r="F429" s="655"/>
    </row>
    <row r="430">
      <c r="D430" s="1237"/>
      <c r="E430" s="655"/>
      <c r="F430" s="655"/>
    </row>
    <row r="431">
      <c r="D431" s="1237"/>
      <c r="E431" s="655"/>
      <c r="F431" s="655"/>
    </row>
    <row r="432">
      <c r="D432" s="1237"/>
      <c r="E432" s="655"/>
      <c r="F432" s="655"/>
    </row>
    <row r="433">
      <c r="D433" s="1237"/>
      <c r="E433" s="655"/>
      <c r="F433" s="655"/>
    </row>
    <row r="434">
      <c r="D434" s="1237"/>
      <c r="E434" s="655"/>
      <c r="F434" s="655"/>
    </row>
    <row r="435">
      <c r="D435" s="1237"/>
      <c r="E435" s="655"/>
      <c r="F435" s="655"/>
    </row>
    <row r="436">
      <c r="D436" s="1237"/>
      <c r="E436" s="655"/>
      <c r="F436" s="655"/>
    </row>
    <row r="437">
      <c r="D437" s="1237"/>
      <c r="E437" s="655"/>
      <c r="F437" s="655"/>
    </row>
    <row r="438">
      <c r="D438" s="1237"/>
      <c r="E438" s="655"/>
      <c r="F438" s="655"/>
    </row>
    <row r="439">
      <c r="D439" s="1237"/>
      <c r="E439" s="655"/>
      <c r="F439" s="655"/>
    </row>
    <row r="440">
      <c r="D440" s="1237"/>
      <c r="E440" s="655"/>
      <c r="F440" s="655"/>
    </row>
    <row r="441">
      <c r="D441" s="1237"/>
      <c r="E441" s="655"/>
      <c r="F441" s="655"/>
    </row>
    <row r="442">
      <c r="D442" s="1237"/>
      <c r="E442" s="655"/>
      <c r="F442" s="655"/>
    </row>
    <row r="443">
      <c r="D443" s="1237"/>
      <c r="E443" s="655"/>
      <c r="F443" s="655"/>
    </row>
    <row r="444">
      <c r="D444" s="1237"/>
      <c r="E444" s="655"/>
      <c r="F444" s="655"/>
    </row>
    <row r="445">
      <c r="D445" s="1237"/>
      <c r="E445" s="655"/>
      <c r="F445" s="655"/>
    </row>
    <row r="446">
      <c r="D446" s="1237"/>
      <c r="E446" s="655"/>
      <c r="F446" s="655"/>
    </row>
    <row r="447">
      <c r="D447" s="1237"/>
      <c r="E447" s="655"/>
      <c r="F447" s="655"/>
    </row>
    <row r="448">
      <c r="D448" s="1237"/>
      <c r="E448" s="655"/>
      <c r="F448" s="655"/>
    </row>
    <row r="449">
      <c r="D449" s="1237"/>
      <c r="E449" s="655"/>
      <c r="F449" s="655"/>
    </row>
    <row r="450">
      <c r="D450" s="1237"/>
      <c r="E450" s="655"/>
      <c r="F450" s="655"/>
    </row>
    <row r="451">
      <c r="D451" s="1237"/>
      <c r="E451" s="655"/>
      <c r="F451" s="655"/>
    </row>
    <row r="452">
      <c r="D452" s="1237"/>
      <c r="E452" s="655"/>
      <c r="F452" s="655"/>
    </row>
    <row r="453">
      <c r="D453" s="1237"/>
      <c r="E453" s="655"/>
      <c r="F453" s="655"/>
    </row>
    <row r="454">
      <c r="D454" s="1237"/>
      <c r="E454" s="655"/>
      <c r="F454" s="655"/>
    </row>
    <row r="455">
      <c r="D455" s="1237"/>
      <c r="E455" s="655"/>
      <c r="F455" s="655"/>
    </row>
    <row r="456">
      <c r="D456" s="1237"/>
      <c r="E456" s="655"/>
      <c r="F456" s="655"/>
    </row>
    <row r="457">
      <c r="D457" s="1237"/>
      <c r="E457" s="655"/>
      <c r="F457" s="655"/>
    </row>
    <row r="458">
      <c r="D458" s="1237"/>
      <c r="E458" s="655"/>
      <c r="F458" s="655"/>
    </row>
    <row r="459">
      <c r="D459" s="1237"/>
      <c r="E459" s="655"/>
      <c r="F459" s="655"/>
    </row>
    <row r="460">
      <c r="D460" s="1237"/>
      <c r="E460" s="655"/>
      <c r="F460" s="655"/>
    </row>
    <row r="461">
      <c r="D461" s="1237"/>
      <c r="E461" s="655"/>
      <c r="F461" s="655"/>
    </row>
    <row r="462">
      <c r="D462" s="1237"/>
      <c r="E462" s="655"/>
      <c r="F462" s="655"/>
    </row>
    <row r="463">
      <c r="D463" s="1237"/>
      <c r="E463" s="655"/>
      <c r="F463" s="655"/>
    </row>
    <row r="464">
      <c r="D464" s="1237"/>
      <c r="E464" s="655"/>
      <c r="F464" s="655"/>
    </row>
    <row r="465">
      <c r="D465" s="1237"/>
      <c r="E465" s="655"/>
      <c r="F465" s="655"/>
    </row>
    <row r="466">
      <c r="D466" s="1237"/>
      <c r="E466" s="655"/>
      <c r="F466" s="655"/>
    </row>
    <row r="467">
      <c r="D467" s="1237"/>
      <c r="E467" s="655"/>
      <c r="F467" s="655"/>
    </row>
    <row r="468">
      <c r="D468" s="1237"/>
      <c r="E468" s="655"/>
      <c r="F468" s="655"/>
    </row>
    <row r="469">
      <c r="D469" s="1237"/>
      <c r="E469" s="655"/>
      <c r="F469" s="655"/>
    </row>
    <row r="470">
      <c r="D470" s="1237"/>
      <c r="E470" s="655"/>
      <c r="F470" s="655"/>
    </row>
    <row r="471">
      <c r="D471" s="1237"/>
      <c r="E471" s="655"/>
      <c r="F471" s="655"/>
    </row>
    <row r="472">
      <c r="D472" s="1237"/>
      <c r="E472" s="655"/>
      <c r="F472" s="655"/>
    </row>
    <row r="473">
      <c r="D473" s="1237"/>
      <c r="E473" s="655"/>
      <c r="F473" s="655"/>
    </row>
    <row r="474">
      <c r="D474" s="1237"/>
      <c r="E474" s="655"/>
      <c r="F474" s="655"/>
    </row>
    <row r="475">
      <c r="D475" s="1237"/>
      <c r="E475" s="655"/>
      <c r="F475" s="655"/>
    </row>
    <row r="476">
      <c r="D476" s="1237"/>
      <c r="E476" s="655"/>
      <c r="F476" s="655"/>
    </row>
    <row r="477">
      <c r="D477" s="1237"/>
      <c r="E477" s="655"/>
      <c r="F477" s="655"/>
    </row>
    <row r="478">
      <c r="D478" s="1237"/>
      <c r="E478" s="655"/>
      <c r="F478" s="655"/>
    </row>
    <row r="479">
      <c r="D479" s="1237"/>
      <c r="E479" s="655"/>
      <c r="F479" s="655"/>
    </row>
    <row r="480">
      <c r="D480" s="1237"/>
      <c r="E480" s="655"/>
      <c r="F480" s="655"/>
    </row>
    <row r="481">
      <c r="D481" s="1237"/>
      <c r="E481" s="655"/>
      <c r="F481" s="655"/>
    </row>
    <row r="482">
      <c r="D482" s="1237"/>
      <c r="E482" s="655"/>
      <c r="F482" s="655"/>
    </row>
    <row r="483">
      <c r="D483" s="1237"/>
      <c r="E483" s="655"/>
      <c r="F483" s="655"/>
    </row>
    <row r="484">
      <c r="D484" s="1237"/>
      <c r="E484" s="655"/>
      <c r="F484" s="655"/>
    </row>
    <row r="485">
      <c r="D485" s="1237"/>
      <c r="E485" s="655"/>
      <c r="F485" s="655"/>
    </row>
    <row r="486">
      <c r="D486" s="1237"/>
      <c r="E486" s="655"/>
      <c r="F486" s="655"/>
    </row>
    <row r="487">
      <c r="D487" s="1237"/>
      <c r="E487" s="655"/>
      <c r="F487" s="655"/>
    </row>
    <row r="488">
      <c r="D488" s="1237"/>
      <c r="E488" s="655"/>
      <c r="F488" s="655"/>
    </row>
    <row r="489">
      <c r="D489" s="1237"/>
      <c r="E489" s="655"/>
      <c r="F489" s="655"/>
    </row>
    <row r="490">
      <c r="D490" s="1237"/>
      <c r="E490" s="655"/>
      <c r="F490" s="655"/>
    </row>
    <row r="491">
      <c r="D491" s="1237"/>
      <c r="E491" s="655"/>
      <c r="F491" s="655"/>
    </row>
    <row r="492">
      <c r="D492" s="1237"/>
      <c r="E492" s="655"/>
      <c r="F492" s="655"/>
    </row>
    <row r="493">
      <c r="D493" s="1237"/>
      <c r="E493" s="655"/>
      <c r="F493" s="655"/>
    </row>
    <row r="494">
      <c r="D494" s="1237"/>
      <c r="E494" s="655"/>
      <c r="F494" s="655"/>
    </row>
    <row r="495">
      <c r="D495" s="1237"/>
      <c r="E495" s="655"/>
      <c r="F495" s="655"/>
    </row>
    <row r="496">
      <c r="D496" s="1237"/>
      <c r="E496" s="655"/>
      <c r="F496" s="655"/>
    </row>
    <row r="497">
      <c r="D497" s="1237"/>
      <c r="E497" s="655"/>
      <c r="F497" s="655"/>
    </row>
    <row r="498">
      <c r="D498" s="1237"/>
      <c r="E498" s="655"/>
      <c r="F498" s="655"/>
    </row>
    <row r="499">
      <c r="D499" s="1237"/>
      <c r="E499" s="655"/>
      <c r="F499" s="655"/>
    </row>
    <row r="500">
      <c r="D500" s="1237"/>
      <c r="E500" s="655"/>
      <c r="F500" s="655"/>
    </row>
    <row r="501">
      <c r="D501" s="1237"/>
      <c r="E501" s="655"/>
      <c r="F501" s="655"/>
    </row>
    <row r="502">
      <c r="D502" s="1237"/>
      <c r="E502" s="655"/>
      <c r="F502" s="655"/>
    </row>
    <row r="503">
      <c r="D503" s="1237"/>
      <c r="E503" s="655"/>
      <c r="F503" s="655"/>
    </row>
    <row r="504">
      <c r="D504" s="1237"/>
      <c r="E504" s="655"/>
      <c r="F504" s="655"/>
    </row>
    <row r="505">
      <c r="D505" s="1237"/>
      <c r="E505" s="655"/>
      <c r="F505" s="655"/>
    </row>
    <row r="506">
      <c r="D506" s="1237"/>
      <c r="E506" s="655"/>
      <c r="F506" s="655"/>
    </row>
    <row r="507">
      <c r="D507" s="1237"/>
      <c r="E507" s="655"/>
      <c r="F507" s="655"/>
    </row>
    <row r="508">
      <c r="D508" s="1237"/>
      <c r="E508" s="655"/>
      <c r="F508" s="655"/>
    </row>
    <row r="509">
      <c r="D509" s="1237"/>
      <c r="E509" s="655"/>
      <c r="F509" s="655"/>
    </row>
    <row r="510">
      <c r="D510" s="1237"/>
      <c r="E510" s="655"/>
      <c r="F510" s="655"/>
    </row>
    <row r="511">
      <c r="D511" s="1237"/>
      <c r="E511" s="655"/>
      <c r="F511" s="655"/>
    </row>
    <row r="512">
      <c r="D512" s="1237"/>
      <c r="E512" s="655"/>
      <c r="F512" s="655"/>
    </row>
    <row r="513">
      <c r="D513" s="1237"/>
      <c r="E513" s="655"/>
      <c r="F513" s="655"/>
    </row>
    <row r="514">
      <c r="D514" s="1237"/>
      <c r="E514" s="655"/>
      <c r="F514" s="655"/>
    </row>
    <row r="515">
      <c r="D515" s="1237"/>
      <c r="E515" s="655"/>
      <c r="F515" s="655"/>
    </row>
    <row r="516">
      <c r="D516" s="1237"/>
      <c r="E516" s="655"/>
      <c r="F516" s="655"/>
    </row>
    <row r="517">
      <c r="D517" s="1237"/>
      <c r="E517" s="655"/>
      <c r="F517" s="655"/>
    </row>
    <row r="518">
      <c r="D518" s="1237"/>
      <c r="E518" s="655"/>
      <c r="F518" s="655"/>
    </row>
    <row r="519">
      <c r="D519" s="1237"/>
      <c r="E519" s="655"/>
      <c r="F519" s="655"/>
    </row>
    <row r="520">
      <c r="D520" s="1237"/>
      <c r="E520" s="655"/>
      <c r="F520" s="655"/>
    </row>
    <row r="521">
      <c r="D521" s="1237"/>
      <c r="E521" s="655"/>
      <c r="F521" s="655"/>
    </row>
    <row r="522">
      <c r="D522" s="1237"/>
      <c r="E522" s="655"/>
      <c r="F522" s="655"/>
    </row>
    <row r="523">
      <c r="D523" s="1237"/>
      <c r="E523" s="655"/>
      <c r="F523" s="655"/>
    </row>
    <row r="524">
      <c r="D524" s="1237"/>
      <c r="E524" s="655"/>
      <c r="F524" s="655"/>
    </row>
    <row r="525">
      <c r="D525" s="1237"/>
      <c r="E525" s="655"/>
      <c r="F525" s="655"/>
    </row>
    <row r="526">
      <c r="D526" s="1237"/>
      <c r="E526" s="655"/>
      <c r="F526" s="655"/>
    </row>
    <row r="527">
      <c r="D527" s="1237"/>
      <c r="E527" s="655"/>
      <c r="F527" s="655"/>
    </row>
    <row r="528">
      <c r="D528" s="1237"/>
      <c r="E528" s="655"/>
      <c r="F528" s="655"/>
    </row>
    <row r="529">
      <c r="D529" s="1237"/>
      <c r="E529" s="655"/>
      <c r="F529" s="655"/>
    </row>
    <row r="530">
      <c r="D530" s="1237"/>
      <c r="E530" s="655"/>
      <c r="F530" s="655"/>
    </row>
    <row r="531">
      <c r="D531" s="1237"/>
      <c r="E531" s="655"/>
      <c r="F531" s="655"/>
    </row>
    <row r="532">
      <c r="D532" s="1237"/>
      <c r="E532" s="655"/>
      <c r="F532" s="655"/>
    </row>
    <row r="533">
      <c r="D533" s="1237"/>
      <c r="E533" s="655"/>
      <c r="F533" s="655"/>
    </row>
    <row r="534">
      <c r="D534" s="1237"/>
      <c r="E534" s="655"/>
      <c r="F534" s="655"/>
    </row>
    <row r="535">
      <c r="D535" s="1237"/>
      <c r="E535" s="655"/>
      <c r="F535" s="655"/>
    </row>
    <row r="536">
      <c r="D536" s="1237"/>
      <c r="E536" s="655"/>
      <c r="F536" s="655"/>
    </row>
    <row r="537">
      <c r="D537" s="1237"/>
      <c r="E537" s="655"/>
      <c r="F537" s="655"/>
    </row>
    <row r="538">
      <c r="D538" s="1237"/>
      <c r="E538" s="655"/>
      <c r="F538" s="655"/>
    </row>
    <row r="539">
      <c r="D539" s="1237"/>
      <c r="E539" s="655"/>
      <c r="F539" s="655"/>
    </row>
    <row r="540">
      <c r="D540" s="1237"/>
      <c r="E540" s="655"/>
      <c r="F540" s="655"/>
    </row>
    <row r="541">
      <c r="D541" s="1237"/>
      <c r="E541" s="655"/>
      <c r="F541" s="655"/>
    </row>
    <row r="542">
      <c r="D542" s="1237"/>
      <c r="E542" s="655"/>
      <c r="F542" s="655"/>
    </row>
    <row r="543">
      <c r="D543" s="1237"/>
      <c r="E543" s="655"/>
      <c r="F543" s="655"/>
    </row>
    <row r="544">
      <c r="D544" s="1237"/>
      <c r="E544" s="655"/>
      <c r="F544" s="655"/>
    </row>
    <row r="545">
      <c r="D545" s="1237"/>
      <c r="E545" s="655"/>
      <c r="F545" s="655"/>
    </row>
    <row r="546">
      <c r="D546" s="1237"/>
      <c r="E546" s="655"/>
      <c r="F546" s="655"/>
    </row>
    <row r="547">
      <c r="D547" s="1237"/>
      <c r="E547" s="655"/>
      <c r="F547" s="655"/>
    </row>
    <row r="548">
      <c r="D548" s="1237"/>
      <c r="E548" s="655"/>
      <c r="F548" s="655"/>
    </row>
    <row r="549">
      <c r="D549" s="1237"/>
      <c r="E549" s="655"/>
      <c r="F549" s="655"/>
    </row>
    <row r="550">
      <c r="D550" s="1237"/>
      <c r="E550" s="655"/>
      <c r="F550" s="655"/>
    </row>
    <row r="551">
      <c r="D551" s="1237"/>
      <c r="E551" s="655"/>
      <c r="F551" s="655"/>
    </row>
    <row r="552">
      <c r="D552" s="1237"/>
      <c r="E552" s="655"/>
      <c r="F552" s="655"/>
    </row>
    <row r="553">
      <c r="D553" s="1237"/>
      <c r="E553" s="655"/>
      <c r="F553" s="655"/>
    </row>
    <row r="554">
      <c r="D554" s="1237"/>
      <c r="E554" s="655"/>
      <c r="F554" s="655"/>
    </row>
    <row r="555">
      <c r="D555" s="1237"/>
      <c r="E555" s="655"/>
      <c r="F555" s="655"/>
    </row>
    <row r="556">
      <c r="D556" s="1237"/>
      <c r="E556" s="655"/>
      <c r="F556" s="655"/>
    </row>
    <row r="557">
      <c r="D557" s="1237"/>
      <c r="E557" s="655"/>
      <c r="F557" s="655"/>
    </row>
    <row r="558">
      <c r="D558" s="1237"/>
      <c r="E558" s="655"/>
      <c r="F558" s="655"/>
    </row>
    <row r="559">
      <c r="D559" s="1237"/>
      <c r="E559" s="655"/>
      <c r="F559" s="655"/>
    </row>
    <row r="560">
      <c r="D560" s="1237"/>
      <c r="E560" s="655"/>
      <c r="F560" s="655"/>
    </row>
    <row r="561">
      <c r="D561" s="1237"/>
      <c r="E561" s="655"/>
      <c r="F561" s="655"/>
    </row>
    <row r="562">
      <c r="D562" s="1237"/>
      <c r="E562" s="655"/>
      <c r="F562" s="655"/>
    </row>
    <row r="563">
      <c r="D563" s="1237"/>
      <c r="E563" s="655"/>
      <c r="F563" s="655"/>
    </row>
    <row r="564">
      <c r="D564" s="1237"/>
      <c r="E564" s="655"/>
      <c r="F564" s="655"/>
    </row>
    <row r="565">
      <c r="D565" s="1237"/>
      <c r="E565" s="655"/>
      <c r="F565" s="655"/>
    </row>
    <row r="566">
      <c r="D566" s="1237"/>
      <c r="E566" s="655"/>
      <c r="F566" s="655"/>
    </row>
    <row r="567">
      <c r="D567" s="1237"/>
      <c r="E567" s="655"/>
      <c r="F567" s="655"/>
    </row>
    <row r="568">
      <c r="D568" s="1237"/>
      <c r="E568" s="655"/>
      <c r="F568" s="655"/>
    </row>
    <row r="569">
      <c r="D569" s="1237"/>
      <c r="E569" s="655"/>
      <c r="F569" s="655"/>
    </row>
    <row r="570">
      <c r="D570" s="1237"/>
      <c r="E570" s="655"/>
      <c r="F570" s="655"/>
    </row>
    <row r="571">
      <c r="D571" s="1237"/>
      <c r="E571" s="655"/>
      <c r="F571" s="655"/>
    </row>
    <row r="572">
      <c r="D572" s="1237"/>
      <c r="E572" s="655"/>
      <c r="F572" s="655"/>
    </row>
    <row r="573">
      <c r="D573" s="1237"/>
      <c r="E573" s="655"/>
      <c r="F573" s="655"/>
    </row>
    <row r="574">
      <c r="D574" s="1237"/>
      <c r="E574" s="655"/>
      <c r="F574" s="655"/>
    </row>
    <row r="575">
      <c r="D575" s="1237"/>
      <c r="E575" s="655"/>
      <c r="F575" s="655"/>
    </row>
    <row r="576">
      <c r="D576" s="1237"/>
      <c r="E576" s="655"/>
      <c r="F576" s="655"/>
    </row>
    <row r="577">
      <c r="D577" s="1237"/>
      <c r="E577" s="655"/>
      <c r="F577" s="655"/>
    </row>
    <row r="578">
      <c r="D578" s="1237"/>
      <c r="E578" s="655"/>
      <c r="F578" s="655"/>
    </row>
    <row r="579">
      <c r="D579" s="1237"/>
      <c r="E579" s="655"/>
      <c r="F579" s="655"/>
    </row>
    <row r="580">
      <c r="D580" s="1237"/>
      <c r="E580" s="655"/>
      <c r="F580" s="655"/>
    </row>
    <row r="581">
      <c r="D581" s="1237"/>
      <c r="E581" s="655"/>
      <c r="F581" s="655"/>
    </row>
    <row r="582">
      <c r="D582" s="1237"/>
      <c r="E582" s="655"/>
      <c r="F582" s="655"/>
    </row>
    <row r="583">
      <c r="D583" s="1237"/>
      <c r="E583" s="655"/>
      <c r="F583" s="655"/>
    </row>
    <row r="584">
      <c r="D584" s="1237"/>
      <c r="E584" s="655"/>
      <c r="F584" s="655"/>
    </row>
    <row r="585">
      <c r="D585" s="1237"/>
      <c r="E585" s="655"/>
      <c r="F585" s="655"/>
    </row>
    <row r="586">
      <c r="D586" s="1237"/>
      <c r="E586" s="655"/>
      <c r="F586" s="655"/>
    </row>
    <row r="587">
      <c r="D587" s="1237"/>
      <c r="E587" s="655"/>
      <c r="F587" s="655"/>
    </row>
    <row r="588">
      <c r="D588" s="1237"/>
      <c r="E588" s="655"/>
      <c r="F588" s="655"/>
    </row>
    <row r="589">
      <c r="D589" s="1237"/>
      <c r="E589" s="655"/>
      <c r="F589" s="655"/>
    </row>
    <row r="590">
      <c r="D590" s="1237"/>
      <c r="E590" s="655"/>
      <c r="F590" s="655"/>
    </row>
    <row r="591">
      <c r="D591" s="1237"/>
      <c r="E591" s="655"/>
      <c r="F591" s="655"/>
    </row>
    <row r="592">
      <c r="D592" s="1237"/>
      <c r="E592" s="655"/>
      <c r="F592" s="655"/>
    </row>
    <row r="593">
      <c r="D593" s="1237"/>
      <c r="E593" s="655"/>
      <c r="F593" s="655"/>
    </row>
    <row r="594">
      <c r="D594" s="1237"/>
      <c r="E594" s="655"/>
      <c r="F594" s="655"/>
    </row>
    <row r="595">
      <c r="D595" s="1237"/>
      <c r="E595" s="655"/>
      <c r="F595" s="655"/>
    </row>
    <row r="596">
      <c r="D596" s="1237"/>
      <c r="E596" s="655"/>
      <c r="F596" s="655"/>
    </row>
    <row r="597">
      <c r="D597" s="1237"/>
      <c r="E597" s="655"/>
      <c r="F597" s="655"/>
    </row>
    <row r="598">
      <c r="D598" s="1237"/>
      <c r="E598" s="655"/>
      <c r="F598" s="655"/>
    </row>
    <row r="599">
      <c r="D599" s="1237"/>
      <c r="E599" s="655"/>
      <c r="F599" s="655"/>
    </row>
    <row r="600">
      <c r="D600" s="1237"/>
      <c r="E600" s="655"/>
      <c r="F600" s="655"/>
    </row>
    <row r="601">
      <c r="D601" s="1237"/>
      <c r="E601" s="655"/>
      <c r="F601" s="655"/>
    </row>
    <row r="602">
      <c r="D602" s="1237"/>
      <c r="E602" s="655"/>
      <c r="F602" s="655"/>
    </row>
    <row r="603">
      <c r="D603" s="1237"/>
      <c r="E603" s="655"/>
      <c r="F603" s="655"/>
    </row>
    <row r="604">
      <c r="D604" s="1237"/>
      <c r="E604" s="655"/>
      <c r="F604" s="655"/>
    </row>
    <row r="605">
      <c r="D605" s="1237"/>
      <c r="E605" s="655"/>
      <c r="F605" s="655"/>
    </row>
    <row r="606">
      <c r="D606" s="1237"/>
      <c r="E606" s="655"/>
      <c r="F606" s="655"/>
    </row>
    <row r="607">
      <c r="D607" s="1237"/>
      <c r="E607" s="655"/>
      <c r="F607" s="655"/>
    </row>
    <row r="608">
      <c r="D608" s="1237"/>
      <c r="E608" s="655"/>
      <c r="F608" s="655"/>
    </row>
    <row r="609">
      <c r="D609" s="1237"/>
      <c r="E609" s="655"/>
      <c r="F609" s="655"/>
    </row>
    <row r="610">
      <c r="D610" s="1237"/>
      <c r="E610" s="655"/>
      <c r="F610" s="655"/>
    </row>
    <row r="611">
      <c r="D611" s="1237"/>
      <c r="E611" s="655"/>
      <c r="F611" s="655"/>
    </row>
    <row r="612">
      <c r="D612" s="1237"/>
      <c r="E612" s="655"/>
      <c r="F612" s="655"/>
    </row>
    <row r="613">
      <c r="D613" s="1237"/>
      <c r="E613" s="655"/>
      <c r="F613" s="655"/>
    </row>
    <row r="614">
      <c r="D614" s="1237"/>
      <c r="E614" s="655"/>
      <c r="F614" s="655"/>
    </row>
    <row r="615">
      <c r="D615" s="1237"/>
      <c r="E615" s="655"/>
      <c r="F615" s="655"/>
    </row>
    <row r="616">
      <c r="D616" s="1237"/>
      <c r="E616" s="655"/>
      <c r="F616" s="655"/>
    </row>
    <row r="617">
      <c r="D617" s="1237"/>
      <c r="E617" s="655"/>
      <c r="F617" s="655"/>
    </row>
    <row r="618">
      <c r="D618" s="1237"/>
      <c r="E618" s="655"/>
      <c r="F618" s="655"/>
    </row>
    <row r="619">
      <c r="D619" s="1237"/>
      <c r="E619" s="655"/>
      <c r="F619" s="655"/>
    </row>
    <row r="620">
      <c r="D620" s="1237"/>
      <c r="E620" s="655"/>
      <c r="F620" s="655"/>
    </row>
    <row r="621">
      <c r="D621" s="1237"/>
      <c r="E621" s="655"/>
      <c r="F621" s="655"/>
    </row>
    <row r="622">
      <c r="D622" s="1237"/>
      <c r="E622" s="655"/>
      <c r="F622" s="655"/>
    </row>
    <row r="623">
      <c r="D623" s="1237"/>
      <c r="E623" s="655"/>
      <c r="F623" s="655"/>
    </row>
    <row r="624">
      <c r="D624" s="1237"/>
      <c r="E624" s="655"/>
      <c r="F624" s="655"/>
    </row>
    <row r="625">
      <c r="D625" s="1237"/>
      <c r="E625" s="655"/>
      <c r="F625" s="655"/>
    </row>
    <row r="626">
      <c r="D626" s="1237"/>
      <c r="E626" s="655"/>
      <c r="F626" s="655"/>
    </row>
    <row r="627">
      <c r="D627" s="1237"/>
      <c r="E627" s="655"/>
      <c r="F627" s="655"/>
    </row>
    <row r="628">
      <c r="D628" s="1237"/>
      <c r="E628" s="655"/>
      <c r="F628" s="655"/>
    </row>
    <row r="629">
      <c r="D629" s="1237"/>
      <c r="E629" s="655"/>
      <c r="F629" s="655"/>
    </row>
    <row r="630">
      <c r="D630" s="1237"/>
      <c r="E630" s="655"/>
      <c r="F630" s="655"/>
    </row>
    <row r="631">
      <c r="D631" s="1237"/>
      <c r="E631" s="655"/>
      <c r="F631" s="655"/>
    </row>
    <row r="632">
      <c r="D632" s="1237"/>
      <c r="E632" s="655"/>
      <c r="F632" s="655"/>
    </row>
    <row r="633">
      <c r="D633" s="1237"/>
      <c r="E633" s="655"/>
      <c r="F633" s="655"/>
    </row>
    <row r="634">
      <c r="D634" s="1237"/>
      <c r="E634" s="655"/>
      <c r="F634" s="655"/>
    </row>
    <row r="635">
      <c r="D635" s="1237"/>
      <c r="E635" s="655"/>
      <c r="F635" s="655"/>
    </row>
    <row r="636">
      <c r="D636" s="1237"/>
      <c r="E636" s="655"/>
      <c r="F636" s="655"/>
    </row>
    <row r="637">
      <c r="D637" s="1237"/>
      <c r="E637" s="655"/>
      <c r="F637" s="655"/>
    </row>
    <row r="638">
      <c r="D638" s="1237"/>
      <c r="E638" s="655"/>
      <c r="F638" s="655"/>
    </row>
    <row r="639">
      <c r="D639" s="1237"/>
      <c r="E639" s="655"/>
      <c r="F639" s="655"/>
    </row>
    <row r="640">
      <c r="D640" s="1237"/>
      <c r="E640" s="655"/>
      <c r="F640" s="655"/>
    </row>
    <row r="641">
      <c r="D641" s="1237"/>
      <c r="E641" s="655"/>
      <c r="F641" s="655"/>
    </row>
    <row r="642">
      <c r="D642" s="1237"/>
      <c r="E642" s="655"/>
      <c r="F642" s="655"/>
    </row>
    <row r="643">
      <c r="D643" s="1237"/>
      <c r="E643" s="655"/>
      <c r="F643" s="655"/>
    </row>
    <row r="644">
      <c r="D644" s="1237"/>
      <c r="E644" s="655"/>
      <c r="F644" s="655"/>
    </row>
    <row r="645">
      <c r="D645" s="1237"/>
      <c r="E645" s="655"/>
      <c r="F645" s="655"/>
    </row>
    <row r="646">
      <c r="D646" s="1237"/>
      <c r="E646" s="655"/>
      <c r="F646" s="655"/>
    </row>
    <row r="647">
      <c r="D647" s="1237"/>
      <c r="E647" s="655"/>
      <c r="F647" s="655"/>
    </row>
    <row r="648">
      <c r="D648" s="1237"/>
      <c r="E648" s="655"/>
      <c r="F648" s="655"/>
    </row>
    <row r="649">
      <c r="D649" s="1237"/>
      <c r="E649" s="655"/>
      <c r="F649" s="655"/>
    </row>
    <row r="650">
      <c r="D650" s="1237"/>
      <c r="E650" s="655"/>
      <c r="F650" s="655"/>
    </row>
    <row r="651">
      <c r="D651" s="1237"/>
      <c r="E651" s="655"/>
      <c r="F651" s="655"/>
    </row>
    <row r="652">
      <c r="D652" s="1237"/>
      <c r="E652" s="655"/>
      <c r="F652" s="655"/>
    </row>
    <row r="653">
      <c r="D653" s="1237"/>
      <c r="E653" s="655"/>
      <c r="F653" s="655"/>
    </row>
    <row r="654">
      <c r="D654" s="1237"/>
      <c r="E654" s="655"/>
      <c r="F654" s="655"/>
    </row>
    <row r="655">
      <c r="D655" s="1237"/>
      <c r="E655" s="655"/>
      <c r="F655" s="655"/>
    </row>
    <row r="656">
      <c r="D656" s="1237"/>
      <c r="E656" s="655"/>
      <c r="F656" s="655"/>
    </row>
    <row r="657">
      <c r="D657" s="1237"/>
      <c r="E657" s="655"/>
      <c r="F657" s="655"/>
    </row>
    <row r="658">
      <c r="D658" s="1237"/>
      <c r="E658" s="655"/>
      <c r="F658" s="655"/>
    </row>
    <row r="659">
      <c r="D659" s="1237"/>
      <c r="E659" s="655"/>
      <c r="F659" s="655"/>
    </row>
    <row r="660">
      <c r="D660" s="1237"/>
      <c r="E660" s="655"/>
      <c r="F660" s="655"/>
    </row>
    <row r="661">
      <c r="D661" s="1237"/>
      <c r="E661" s="655"/>
      <c r="F661" s="655"/>
    </row>
    <row r="662">
      <c r="D662" s="1237"/>
      <c r="E662" s="655"/>
      <c r="F662" s="655"/>
    </row>
    <row r="663">
      <c r="D663" s="1237"/>
      <c r="E663" s="655"/>
      <c r="F663" s="655"/>
    </row>
    <row r="664">
      <c r="D664" s="1237"/>
      <c r="E664" s="655"/>
      <c r="F664" s="655"/>
    </row>
    <row r="665">
      <c r="D665" s="1237"/>
      <c r="E665" s="655"/>
      <c r="F665" s="655"/>
    </row>
    <row r="666">
      <c r="D666" s="1237"/>
      <c r="E666" s="655"/>
      <c r="F666" s="655"/>
    </row>
    <row r="667">
      <c r="D667" s="1237"/>
      <c r="E667" s="655"/>
      <c r="F667" s="655"/>
    </row>
    <row r="668">
      <c r="D668" s="1237"/>
      <c r="E668" s="655"/>
      <c r="F668" s="655"/>
    </row>
    <row r="669">
      <c r="D669" s="1237"/>
      <c r="E669" s="655"/>
      <c r="F669" s="655"/>
    </row>
    <row r="670">
      <c r="D670" s="1237"/>
      <c r="E670" s="655"/>
      <c r="F670" s="655"/>
    </row>
    <row r="671">
      <c r="D671" s="1237"/>
      <c r="E671" s="655"/>
      <c r="F671" s="655"/>
    </row>
    <row r="672">
      <c r="D672" s="1237"/>
      <c r="E672" s="655"/>
      <c r="F672" s="655"/>
    </row>
    <row r="673">
      <c r="D673" s="1237"/>
      <c r="E673" s="655"/>
      <c r="F673" s="655"/>
    </row>
    <row r="674">
      <c r="D674" s="1237"/>
      <c r="E674" s="655"/>
      <c r="F674" s="655"/>
    </row>
    <row r="675">
      <c r="D675" s="1237"/>
      <c r="E675" s="655"/>
      <c r="F675" s="655"/>
    </row>
    <row r="676">
      <c r="D676" s="1237"/>
      <c r="E676" s="655"/>
      <c r="F676" s="655"/>
    </row>
    <row r="677">
      <c r="D677" s="1237"/>
      <c r="E677" s="655"/>
      <c r="F677" s="655"/>
    </row>
    <row r="678">
      <c r="D678" s="1237"/>
      <c r="E678" s="655"/>
      <c r="F678" s="655"/>
    </row>
    <row r="679">
      <c r="D679" s="1237"/>
      <c r="E679" s="655"/>
      <c r="F679" s="655"/>
    </row>
    <row r="680">
      <c r="D680" s="1237"/>
      <c r="E680" s="655"/>
      <c r="F680" s="655"/>
    </row>
    <row r="681">
      <c r="D681" s="1237"/>
      <c r="E681" s="655"/>
      <c r="F681" s="655"/>
    </row>
    <row r="682">
      <c r="D682" s="1237"/>
      <c r="E682" s="655"/>
      <c r="F682" s="655"/>
    </row>
    <row r="683">
      <c r="D683" s="1237"/>
      <c r="E683" s="655"/>
      <c r="F683" s="655"/>
    </row>
    <row r="684">
      <c r="D684" s="1237"/>
      <c r="E684" s="655"/>
      <c r="F684" s="655"/>
    </row>
    <row r="685">
      <c r="D685" s="1237"/>
      <c r="E685" s="655"/>
      <c r="F685" s="655"/>
    </row>
    <row r="686">
      <c r="D686" s="1237"/>
      <c r="E686" s="655"/>
      <c r="F686" s="655"/>
    </row>
    <row r="687">
      <c r="D687" s="1237"/>
      <c r="E687" s="655"/>
      <c r="F687" s="655"/>
    </row>
    <row r="688">
      <c r="D688" s="1237"/>
      <c r="E688" s="655"/>
      <c r="F688" s="655"/>
    </row>
    <row r="689">
      <c r="D689" s="1237"/>
      <c r="E689" s="655"/>
      <c r="F689" s="655"/>
    </row>
    <row r="690">
      <c r="D690" s="1237"/>
      <c r="E690" s="655"/>
      <c r="F690" s="655"/>
    </row>
    <row r="691">
      <c r="D691" s="1237"/>
      <c r="E691" s="655"/>
      <c r="F691" s="655"/>
    </row>
    <row r="692">
      <c r="D692" s="1237"/>
      <c r="E692" s="655"/>
      <c r="F692" s="655"/>
    </row>
    <row r="693">
      <c r="D693" s="1237"/>
      <c r="E693" s="655"/>
      <c r="F693" s="655"/>
    </row>
    <row r="694">
      <c r="D694" s="1237"/>
      <c r="E694" s="655"/>
      <c r="F694" s="655"/>
    </row>
    <row r="695">
      <c r="D695" s="1237"/>
      <c r="E695" s="655"/>
      <c r="F695" s="655"/>
    </row>
    <row r="696">
      <c r="D696" s="1237"/>
      <c r="E696" s="655"/>
      <c r="F696" s="655"/>
    </row>
    <row r="697">
      <c r="D697" s="1237"/>
      <c r="E697" s="655"/>
      <c r="F697" s="655"/>
    </row>
    <row r="698">
      <c r="D698" s="1237"/>
      <c r="E698" s="655"/>
      <c r="F698" s="655"/>
    </row>
    <row r="699">
      <c r="D699" s="1237"/>
      <c r="E699" s="655"/>
      <c r="F699" s="655"/>
    </row>
    <row r="700">
      <c r="D700" s="1237"/>
      <c r="E700" s="655"/>
      <c r="F700" s="655"/>
    </row>
    <row r="701">
      <c r="D701" s="1237"/>
      <c r="E701" s="655"/>
      <c r="F701" s="655"/>
    </row>
    <row r="702">
      <c r="D702" s="1237"/>
      <c r="E702" s="655"/>
      <c r="F702" s="655"/>
    </row>
    <row r="703">
      <c r="D703" s="1237"/>
      <c r="E703" s="655"/>
      <c r="F703" s="655"/>
    </row>
    <row r="704">
      <c r="D704" s="1237"/>
      <c r="E704" s="655"/>
      <c r="F704" s="655"/>
    </row>
    <row r="705">
      <c r="D705" s="1237"/>
      <c r="E705" s="655"/>
      <c r="F705" s="655"/>
    </row>
    <row r="706">
      <c r="D706" s="1237"/>
      <c r="E706" s="655"/>
      <c r="F706" s="655"/>
    </row>
    <row r="707">
      <c r="D707" s="1237"/>
      <c r="E707" s="655"/>
      <c r="F707" s="655"/>
    </row>
    <row r="708">
      <c r="D708" s="1237"/>
      <c r="E708" s="655"/>
      <c r="F708" s="655"/>
    </row>
    <row r="709">
      <c r="D709" s="1237"/>
      <c r="E709" s="655"/>
      <c r="F709" s="655"/>
    </row>
    <row r="710">
      <c r="D710" s="1237"/>
      <c r="E710" s="655"/>
      <c r="F710" s="655"/>
    </row>
    <row r="711">
      <c r="D711" s="1237"/>
      <c r="E711" s="655"/>
      <c r="F711" s="655"/>
    </row>
    <row r="712">
      <c r="D712" s="1237"/>
      <c r="E712" s="655"/>
      <c r="F712" s="655"/>
    </row>
    <row r="713">
      <c r="D713" s="1237"/>
      <c r="E713" s="655"/>
      <c r="F713" s="655"/>
    </row>
    <row r="714">
      <c r="D714" s="1237"/>
      <c r="E714" s="655"/>
      <c r="F714" s="655"/>
    </row>
    <row r="715">
      <c r="D715" s="1237"/>
      <c r="E715" s="655"/>
      <c r="F715" s="655"/>
    </row>
    <row r="716">
      <c r="D716" s="1237"/>
      <c r="E716" s="655"/>
      <c r="F716" s="655"/>
    </row>
    <row r="717">
      <c r="D717" s="1237"/>
      <c r="E717" s="655"/>
      <c r="F717" s="655"/>
    </row>
    <row r="718">
      <c r="D718" s="1237"/>
      <c r="E718" s="655"/>
      <c r="F718" s="655"/>
    </row>
    <row r="719">
      <c r="D719" s="1237"/>
      <c r="E719" s="655"/>
      <c r="F719" s="655"/>
    </row>
    <row r="720">
      <c r="D720" s="1237"/>
      <c r="E720" s="655"/>
      <c r="F720" s="655"/>
    </row>
    <row r="721">
      <c r="D721" s="1237"/>
      <c r="E721" s="655"/>
      <c r="F721" s="655"/>
    </row>
    <row r="722">
      <c r="D722" s="1237"/>
      <c r="E722" s="655"/>
      <c r="F722" s="655"/>
    </row>
    <row r="723">
      <c r="D723" s="1237"/>
      <c r="E723" s="655"/>
      <c r="F723" s="655"/>
    </row>
    <row r="724">
      <c r="D724" s="1237"/>
      <c r="E724" s="655"/>
      <c r="F724" s="655"/>
    </row>
    <row r="725">
      <c r="D725" s="1237"/>
      <c r="E725" s="655"/>
      <c r="F725" s="655"/>
    </row>
    <row r="726">
      <c r="D726" s="1237"/>
      <c r="E726" s="655"/>
      <c r="F726" s="655"/>
    </row>
    <row r="727">
      <c r="D727" s="1237"/>
      <c r="E727" s="655"/>
      <c r="F727" s="655"/>
    </row>
    <row r="728">
      <c r="D728" s="1237"/>
      <c r="E728" s="655"/>
      <c r="F728" s="655"/>
    </row>
    <row r="729">
      <c r="D729" s="1237"/>
      <c r="E729" s="655"/>
      <c r="F729" s="655"/>
    </row>
    <row r="730">
      <c r="D730" s="1237"/>
      <c r="E730" s="655"/>
      <c r="F730" s="655"/>
    </row>
    <row r="731">
      <c r="D731" s="1237"/>
      <c r="E731" s="655"/>
      <c r="F731" s="655"/>
    </row>
    <row r="732">
      <c r="D732" s="1237"/>
      <c r="E732" s="655"/>
      <c r="F732" s="655"/>
    </row>
    <row r="733">
      <c r="D733" s="1237"/>
      <c r="E733" s="655"/>
      <c r="F733" s="655"/>
    </row>
    <row r="734">
      <c r="D734" s="1237"/>
      <c r="E734" s="655"/>
      <c r="F734" s="655"/>
    </row>
    <row r="735">
      <c r="D735" s="1237"/>
      <c r="E735" s="655"/>
      <c r="F735" s="655"/>
    </row>
    <row r="736">
      <c r="D736" s="1237"/>
      <c r="E736" s="655"/>
      <c r="F736" s="655"/>
    </row>
    <row r="737">
      <c r="D737" s="1237"/>
      <c r="E737" s="655"/>
      <c r="F737" s="655"/>
    </row>
    <row r="738">
      <c r="D738" s="1237"/>
      <c r="E738" s="655"/>
      <c r="F738" s="655"/>
    </row>
    <row r="739">
      <c r="D739" s="1237"/>
      <c r="E739" s="655"/>
      <c r="F739" s="655"/>
    </row>
    <row r="740">
      <c r="D740" s="1237"/>
      <c r="E740" s="655"/>
      <c r="F740" s="655"/>
    </row>
    <row r="741">
      <c r="D741" s="1237"/>
      <c r="E741" s="655"/>
      <c r="F741" s="655"/>
    </row>
    <row r="742">
      <c r="D742" s="1237"/>
      <c r="E742" s="655"/>
      <c r="F742" s="655"/>
    </row>
    <row r="743">
      <c r="D743" s="1237"/>
      <c r="E743" s="655"/>
      <c r="F743" s="655"/>
    </row>
    <row r="744">
      <c r="D744" s="1237"/>
      <c r="E744" s="655"/>
      <c r="F744" s="655"/>
    </row>
    <row r="745">
      <c r="D745" s="1237"/>
      <c r="E745" s="655"/>
      <c r="F745" s="655"/>
    </row>
    <row r="746">
      <c r="D746" s="1237"/>
      <c r="E746" s="655"/>
      <c r="F746" s="655"/>
    </row>
    <row r="747">
      <c r="D747" s="1237"/>
      <c r="E747" s="655"/>
      <c r="F747" s="655"/>
    </row>
    <row r="748">
      <c r="D748" s="1237"/>
      <c r="E748" s="655"/>
      <c r="F748" s="655"/>
    </row>
    <row r="749">
      <c r="D749" s="1237"/>
      <c r="E749" s="655"/>
      <c r="F749" s="655"/>
    </row>
    <row r="750">
      <c r="D750" s="1237"/>
      <c r="E750" s="655"/>
      <c r="F750" s="655"/>
    </row>
    <row r="751">
      <c r="D751" s="1237"/>
      <c r="E751" s="655"/>
      <c r="F751" s="655"/>
    </row>
    <row r="752">
      <c r="D752" s="1237"/>
      <c r="E752" s="655"/>
      <c r="F752" s="655"/>
    </row>
    <row r="753">
      <c r="D753" s="1237"/>
      <c r="E753" s="655"/>
      <c r="F753" s="655"/>
    </row>
    <row r="754">
      <c r="D754" s="1237"/>
      <c r="E754" s="655"/>
      <c r="F754" s="655"/>
    </row>
    <row r="755">
      <c r="D755" s="1237"/>
      <c r="E755" s="655"/>
      <c r="F755" s="655"/>
    </row>
    <row r="756">
      <c r="D756" s="1237"/>
      <c r="E756" s="655"/>
      <c r="F756" s="655"/>
    </row>
    <row r="757">
      <c r="D757" s="1237"/>
      <c r="E757" s="655"/>
      <c r="F757" s="655"/>
    </row>
    <row r="758">
      <c r="D758" s="1237"/>
      <c r="E758" s="655"/>
      <c r="F758" s="655"/>
    </row>
    <row r="759">
      <c r="D759" s="1237"/>
      <c r="E759" s="655"/>
      <c r="F759" s="655"/>
    </row>
    <row r="760">
      <c r="D760" s="1237"/>
      <c r="E760" s="655"/>
      <c r="F760" s="655"/>
    </row>
    <row r="761">
      <c r="D761" s="1237"/>
      <c r="E761" s="655"/>
      <c r="F761" s="655"/>
    </row>
    <row r="762">
      <c r="D762" s="1237"/>
      <c r="E762" s="655"/>
      <c r="F762" s="655"/>
    </row>
    <row r="763">
      <c r="D763" s="1237"/>
      <c r="E763" s="655"/>
      <c r="F763" s="655"/>
    </row>
    <row r="764">
      <c r="D764" s="1237"/>
      <c r="E764" s="655"/>
      <c r="F764" s="655"/>
    </row>
    <row r="765">
      <c r="D765" s="1237"/>
      <c r="E765" s="655"/>
      <c r="F765" s="655"/>
    </row>
    <row r="766">
      <c r="D766" s="1237"/>
      <c r="E766" s="655"/>
      <c r="F766" s="655"/>
    </row>
    <row r="767">
      <c r="D767" s="1237"/>
      <c r="E767" s="655"/>
      <c r="F767" s="655"/>
    </row>
    <row r="768">
      <c r="D768" s="1237"/>
      <c r="E768" s="655"/>
      <c r="F768" s="655"/>
    </row>
    <row r="769">
      <c r="D769" s="1237"/>
      <c r="E769" s="655"/>
      <c r="F769" s="655"/>
    </row>
    <row r="770">
      <c r="D770" s="1237"/>
      <c r="E770" s="655"/>
      <c r="F770" s="655"/>
    </row>
    <row r="771">
      <c r="D771" s="1237"/>
      <c r="E771" s="655"/>
      <c r="F771" s="655"/>
    </row>
    <row r="772">
      <c r="D772" s="1237"/>
      <c r="E772" s="655"/>
      <c r="F772" s="655"/>
    </row>
    <row r="773">
      <c r="D773" s="1237"/>
      <c r="E773" s="655"/>
      <c r="F773" s="655"/>
    </row>
    <row r="774">
      <c r="D774" s="1237"/>
      <c r="E774" s="655"/>
      <c r="F774" s="655"/>
    </row>
    <row r="775">
      <c r="D775" s="1237"/>
      <c r="E775" s="655"/>
      <c r="F775" s="655"/>
    </row>
    <row r="776">
      <c r="D776" s="1237"/>
      <c r="E776" s="655"/>
      <c r="F776" s="655"/>
    </row>
    <row r="777">
      <c r="D777" s="1237"/>
      <c r="E777" s="655"/>
      <c r="F777" s="655"/>
    </row>
    <row r="778">
      <c r="D778" s="1237"/>
      <c r="E778" s="655"/>
      <c r="F778" s="655"/>
    </row>
    <row r="779">
      <c r="D779" s="1237"/>
      <c r="E779" s="655"/>
      <c r="F779" s="655"/>
    </row>
    <row r="780">
      <c r="D780" s="1237"/>
      <c r="E780" s="655"/>
      <c r="F780" s="655"/>
    </row>
    <row r="781">
      <c r="D781" s="1237"/>
      <c r="E781" s="655"/>
      <c r="F781" s="655"/>
    </row>
    <row r="782">
      <c r="D782" s="1237"/>
      <c r="E782" s="655"/>
      <c r="F782" s="655"/>
    </row>
    <row r="783">
      <c r="D783" s="1237"/>
      <c r="E783" s="655"/>
      <c r="F783" s="655"/>
    </row>
    <row r="784">
      <c r="D784" s="1237"/>
      <c r="E784" s="655"/>
      <c r="F784" s="655"/>
    </row>
    <row r="785">
      <c r="D785" s="1237"/>
      <c r="E785" s="655"/>
      <c r="F785" s="655"/>
    </row>
    <row r="786">
      <c r="D786" s="1237"/>
      <c r="E786" s="655"/>
      <c r="F786" s="655"/>
    </row>
    <row r="787">
      <c r="D787" s="1237"/>
      <c r="E787" s="655"/>
      <c r="F787" s="655"/>
    </row>
    <row r="788">
      <c r="D788" s="1237"/>
      <c r="E788" s="655"/>
      <c r="F788" s="655"/>
    </row>
    <row r="789">
      <c r="D789" s="1237"/>
      <c r="E789" s="655"/>
      <c r="F789" s="655"/>
    </row>
    <row r="790">
      <c r="D790" s="1237"/>
      <c r="E790" s="655"/>
      <c r="F790" s="655"/>
    </row>
    <row r="791">
      <c r="D791" s="1237"/>
      <c r="E791" s="655"/>
      <c r="F791" s="655"/>
    </row>
    <row r="792">
      <c r="D792" s="1237"/>
      <c r="E792" s="655"/>
      <c r="F792" s="655"/>
    </row>
    <row r="793">
      <c r="D793" s="1237"/>
      <c r="E793" s="655"/>
      <c r="F793" s="655"/>
    </row>
    <row r="794">
      <c r="D794" s="1237"/>
      <c r="E794" s="655"/>
      <c r="F794" s="655"/>
    </row>
    <row r="795">
      <c r="D795" s="1237"/>
      <c r="E795" s="655"/>
      <c r="F795" s="655"/>
    </row>
    <row r="796">
      <c r="D796" s="1237"/>
      <c r="E796" s="655"/>
      <c r="F796" s="655"/>
    </row>
    <row r="797">
      <c r="D797" s="1237"/>
      <c r="E797" s="655"/>
      <c r="F797" s="655"/>
    </row>
    <row r="798">
      <c r="D798" s="1237"/>
      <c r="E798" s="655"/>
      <c r="F798" s="655"/>
    </row>
    <row r="799">
      <c r="D799" s="1237"/>
      <c r="E799" s="655"/>
      <c r="F799" s="655"/>
    </row>
    <row r="800">
      <c r="D800" s="1237"/>
      <c r="E800" s="655"/>
      <c r="F800" s="655"/>
    </row>
    <row r="801">
      <c r="D801" s="1237"/>
      <c r="E801" s="655"/>
      <c r="F801" s="655"/>
    </row>
    <row r="802">
      <c r="D802" s="1237"/>
      <c r="E802" s="655"/>
      <c r="F802" s="655"/>
    </row>
    <row r="803">
      <c r="D803" s="1237"/>
      <c r="E803" s="655"/>
      <c r="F803" s="655"/>
    </row>
    <row r="804">
      <c r="D804" s="1237"/>
      <c r="E804" s="655"/>
      <c r="F804" s="655"/>
    </row>
    <row r="805">
      <c r="D805" s="1237"/>
      <c r="E805" s="655"/>
      <c r="F805" s="655"/>
    </row>
    <row r="806">
      <c r="D806" s="1237"/>
      <c r="E806" s="655"/>
      <c r="F806" s="655"/>
    </row>
    <row r="807">
      <c r="D807" s="1237"/>
      <c r="E807" s="655"/>
      <c r="F807" s="655"/>
    </row>
    <row r="808">
      <c r="D808" s="1237"/>
      <c r="E808" s="655"/>
      <c r="F808" s="655"/>
    </row>
    <row r="809">
      <c r="D809" s="1237"/>
      <c r="E809" s="655"/>
      <c r="F809" s="655"/>
    </row>
    <row r="810">
      <c r="D810" s="1237"/>
      <c r="E810" s="655"/>
      <c r="F810" s="655"/>
    </row>
    <row r="811">
      <c r="D811" s="1237"/>
      <c r="E811" s="655"/>
      <c r="F811" s="655"/>
    </row>
    <row r="812">
      <c r="D812" s="1237"/>
      <c r="E812" s="655"/>
      <c r="F812" s="655"/>
    </row>
    <row r="813">
      <c r="D813" s="1237"/>
      <c r="E813" s="655"/>
      <c r="F813" s="655"/>
    </row>
    <row r="814">
      <c r="D814" s="1237"/>
      <c r="E814" s="655"/>
      <c r="F814" s="655"/>
    </row>
    <row r="815">
      <c r="D815" s="1237"/>
      <c r="E815" s="655"/>
      <c r="F815" s="655"/>
    </row>
    <row r="816">
      <c r="D816" s="1237"/>
      <c r="E816" s="655"/>
      <c r="F816" s="655"/>
    </row>
    <row r="817">
      <c r="D817" s="1237"/>
      <c r="E817" s="655"/>
      <c r="F817" s="655"/>
    </row>
    <row r="818">
      <c r="D818" s="1237"/>
      <c r="E818" s="655"/>
      <c r="F818" s="655"/>
    </row>
    <row r="819">
      <c r="D819" s="1237"/>
      <c r="E819" s="655"/>
      <c r="F819" s="655"/>
    </row>
    <row r="820">
      <c r="D820" s="1237"/>
      <c r="E820" s="655"/>
      <c r="F820" s="655"/>
    </row>
    <row r="821">
      <c r="D821" s="1237"/>
      <c r="E821" s="655"/>
      <c r="F821" s="655"/>
    </row>
    <row r="822">
      <c r="D822" s="1237"/>
      <c r="E822" s="655"/>
      <c r="F822" s="655"/>
    </row>
    <row r="823">
      <c r="D823" s="1237"/>
      <c r="E823" s="655"/>
      <c r="F823" s="655"/>
    </row>
    <row r="824">
      <c r="D824" s="1237"/>
      <c r="E824" s="655"/>
      <c r="F824" s="655"/>
    </row>
    <row r="825">
      <c r="D825" s="1237"/>
      <c r="E825" s="655"/>
      <c r="F825" s="655"/>
    </row>
    <row r="826">
      <c r="D826" s="1237"/>
      <c r="E826" s="655"/>
      <c r="F826" s="655"/>
    </row>
    <row r="827">
      <c r="D827" s="1237"/>
      <c r="E827" s="655"/>
      <c r="F827" s="655"/>
    </row>
    <row r="828">
      <c r="D828" s="1237"/>
      <c r="E828" s="655"/>
      <c r="F828" s="655"/>
    </row>
    <row r="829">
      <c r="D829" s="1237"/>
      <c r="E829" s="655"/>
      <c r="F829" s="655"/>
    </row>
    <row r="830">
      <c r="D830" s="1237"/>
      <c r="E830" s="655"/>
      <c r="F830" s="655"/>
    </row>
    <row r="831">
      <c r="D831" s="1237"/>
      <c r="E831" s="655"/>
      <c r="F831" s="655"/>
    </row>
    <row r="832">
      <c r="D832" s="1237"/>
      <c r="E832" s="655"/>
      <c r="F832" s="655"/>
    </row>
    <row r="833">
      <c r="D833" s="1237"/>
      <c r="E833" s="655"/>
      <c r="F833" s="655"/>
    </row>
    <row r="834">
      <c r="D834" s="1237"/>
      <c r="E834" s="655"/>
      <c r="F834" s="655"/>
    </row>
    <row r="835">
      <c r="D835" s="1237"/>
      <c r="E835" s="655"/>
      <c r="F835" s="655"/>
    </row>
    <row r="836">
      <c r="D836" s="1237"/>
      <c r="E836" s="655"/>
      <c r="F836" s="655"/>
    </row>
    <row r="837">
      <c r="D837" s="1237"/>
      <c r="E837" s="655"/>
      <c r="F837" s="655"/>
    </row>
    <row r="838">
      <c r="D838" s="1237"/>
      <c r="E838" s="655"/>
      <c r="F838" s="655"/>
    </row>
    <row r="839">
      <c r="D839" s="1237"/>
      <c r="E839" s="655"/>
      <c r="F839" s="655"/>
    </row>
    <row r="840">
      <c r="D840" s="1237"/>
      <c r="E840" s="655"/>
      <c r="F840" s="655"/>
    </row>
    <row r="841">
      <c r="D841" s="1237"/>
      <c r="E841" s="655"/>
      <c r="F841" s="655"/>
    </row>
    <row r="842">
      <c r="D842" s="1237"/>
      <c r="E842" s="655"/>
      <c r="F842" s="655"/>
    </row>
    <row r="843">
      <c r="D843" s="1237"/>
      <c r="E843" s="655"/>
      <c r="F843" s="655"/>
    </row>
    <row r="844">
      <c r="D844" s="1237"/>
      <c r="E844" s="655"/>
      <c r="F844" s="655"/>
    </row>
    <row r="845">
      <c r="D845" s="1237"/>
      <c r="E845" s="655"/>
      <c r="F845" s="655"/>
    </row>
    <row r="846">
      <c r="D846" s="1237"/>
      <c r="E846" s="655"/>
      <c r="F846" s="655"/>
    </row>
    <row r="847">
      <c r="D847" s="1237"/>
      <c r="E847" s="655"/>
      <c r="F847" s="655"/>
    </row>
    <row r="848">
      <c r="D848" s="1237"/>
      <c r="E848" s="655"/>
      <c r="F848" s="655"/>
    </row>
    <row r="849">
      <c r="D849" s="1237"/>
      <c r="E849" s="655"/>
      <c r="F849" s="655"/>
    </row>
    <row r="850">
      <c r="D850" s="1237"/>
      <c r="E850" s="655"/>
      <c r="F850" s="655"/>
    </row>
    <row r="851">
      <c r="D851" s="1237"/>
      <c r="E851" s="655"/>
      <c r="F851" s="655"/>
    </row>
    <row r="852">
      <c r="D852" s="1237"/>
      <c r="E852" s="655"/>
      <c r="F852" s="655"/>
    </row>
    <row r="853">
      <c r="D853" s="1237"/>
      <c r="E853" s="655"/>
      <c r="F853" s="655"/>
    </row>
    <row r="854">
      <c r="D854" s="1237"/>
      <c r="E854" s="655"/>
      <c r="F854" s="655"/>
    </row>
    <row r="855">
      <c r="D855" s="1237"/>
      <c r="E855" s="655"/>
      <c r="F855" s="655"/>
    </row>
    <row r="856">
      <c r="D856" s="1237"/>
      <c r="E856" s="655"/>
      <c r="F856" s="655"/>
    </row>
    <row r="857">
      <c r="D857" s="1237"/>
      <c r="E857" s="655"/>
      <c r="F857" s="655"/>
    </row>
    <row r="858">
      <c r="D858" s="1237"/>
      <c r="E858" s="655"/>
      <c r="F858" s="655"/>
    </row>
    <row r="859">
      <c r="D859" s="1237"/>
      <c r="E859" s="655"/>
      <c r="F859" s="655"/>
    </row>
    <row r="860">
      <c r="D860" s="1237"/>
      <c r="E860" s="655"/>
      <c r="F860" s="655"/>
    </row>
    <row r="861">
      <c r="D861" s="1237"/>
      <c r="E861" s="655"/>
      <c r="F861" s="655"/>
    </row>
    <row r="862">
      <c r="D862" s="1237"/>
      <c r="E862" s="655"/>
      <c r="F862" s="655"/>
    </row>
    <row r="863">
      <c r="D863" s="1237"/>
      <c r="E863" s="655"/>
      <c r="F863" s="655"/>
    </row>
    <row r="864">
      <c r="D864" s="1237"/>
      <c r="E864" s="655"/>
      <c r="F864" s="655"/>
    </row>
    <row r="865">
      <c r="D865" s="1237"/>
      <c r="E865" s="655"/>
      <c r="F865" s="655"/>
    </row>
    <row r="866">
      <c r="D866" s="1237"/>
      <c r="E866" s="655"/>
      <c r="F866" s="655"/>
    </row>
    <row r="867">
      <c r="D867" s="1237"/>
      <c r="E867" s="655"/>
      <c r="F867" s="655"/>
    </row>
    <row r="868">
      <c r="D868" s="1237"/>
      <c r="E868" s="655"/>
      <c r="F868" s="655"/>
    </row>
    <row r="869">
      <c r="D869" s="1237"/>
      <c r="E869" s="655"/>
      <c r="F869" s="655"/>
    </row>
    <row r="870">
      <c r="D870" s="1237"/>
      <c r="E870" s="655"/>
      <c r="F870" s="655"/>
    </row>
    <row r="871">
      <c r="D871" s="1237"/>
      <c r="E871" s="655"/>
      <c r="F871" s="655"/>
    </row>
    <row r="872">
      <c r="D872" s="1237"/>
      <c r="E872" s="655"/>
      <c r="F872" s="655"/>
    </row>
    <row r="873">
      <c r="D873" s="1237"/>
      <c r="E873" s="655"/>
      <c r="F873" s="655"/>
    </row>
    <row r="874">
      <c r="D874" s="1237"/>
      <c r="E874" s="655"/>
      <c r="F874" s="655"/>
    </row>
    <row r="875">
      <c r="D875" s="1237"/>
      <c r="E875" s="655"/>
      <c r="F875" s="655"/>
    </row>
    <row r="876">
      <c r="D876" s="1237"/>
      <c r="E876" s="655"/>
      <c r="F876" s="655"/>
    </row>
    <row r="877">
      <c r="D877" s="1237"/>
      <c r="E877" s="655"/>
      <c r="F877" s="655"/>
    </row>
    <row r="878">
      <c r="D878" s="1237"/>
      <c r="E878" s="655"/>
      <c r="F878" s="655"/>
    </row>
    <row r="879">
      <c r="D879" s="1237"/>
      <c r="E879" s="655"/>
      <c r="F879" s="655"/>
    </row>
    <row r="880">
      <c r="D880" s="1237"/>
      <c r="E880" s="655"/>
      <c r="F880" s="655"/>
    </row>
    <row r="881">
      <c r="D881" s="1237"/>
      <c r="E881" s="655"/>
      <c r="F881" s="655"/>
    </row>
    <row r="882">
      <c r="D882" s="1237"/>
      <c r="E882" s="655"/>
      <c r="F882" s="655"/>
    </row>
    <row r="883">
      <c r="D883" s="1237"/>
      <c r="E883" s="655"/>
      <c r="F883" s="655"/>
    </row>
    <row r="884">
      <c r="D884" s="1237"/>
      <c r="E884" s="655"/>
      <c r="F884" s="655"/>
    </row>
    <row r="885">
      <c r="D885" s="1237"/>
      <c r="E885" s="655"/>
      <c r="F885" s="655"/>
    </row>
    <row r="886">
      <c r="D886" s="1237"/>
      <c r="E886" s="655"/>
      <c r="F886" s="655"/>
    </row>
    <row r="887">
      <c r="D887" s="1237"/>
      <c r="E887" s="655"/>
      <c r="F887" s="655"/>
    </row>
    <row r="888">
      <c r="D888" s="1237"/>
      <c r="E888" s="655"/>
      <c r="F888" s="655"/>
    </row>
    <row r="889">
      <c r="D889" s="1237"/>
      <c r="E889" s="655"/>
      <c r="F889" s="655"/>
    </row>
    <row r="890">
      <c r="D890" s="1237"/>
      <c r="E890" s="655"/>
      <c r="F890" s="655"/>
    </row>
    <row r="891">
      <c r="D891" s="1237"/>
      <c r="E891" s="655"/>
      <c r="F891" s="655"/>
    </row>
    <row r="892">
      <c r="D892" s="1237"/>
      <c r="E892" s="655"/>
      <c r="F892" s="655"/>
    </row>
    <row r="893">
      <c r="D893" s="1237"/>
      <c r="E893" s="655"/>
      <c r="F893" s="655"/>
    </row>
    <row r="894">
      <c r="D894" s="1237"/>
      <c r="E894" s="655"/>
      <c r="F894" s="655"/>
    </row>
    <row r="895">
      <c r="D895" s="1237"/>
      <c r="E895" s="655"/>
      <c r="F895" s="655"/>
    </row>
    <row r="896">
      <c r="D896" s="1237"/>
      <c r="E896" s="655"/>
      <c r="F896" s="655"/>
    </row>
    <row r="897">
      <c r="D897" s="1237"/>
      <c r="E897" s="655"/>
      <c r="F897" s="655"/>
    </row>
    <row r="898">
      <c r="D898" s="1237"/>
      <c r="E898" s="655"/>
      <c r="F898" s="655"/>
    </row>
    <row r="899">
      <c r="D899" s="1237"/>
      <c r="E899" s="655"/>
      <c r="F899" s="655"/>
    </row>
    <row r="900">
      <c r="D900" s="1237"/>
      <c r="E900" s="655"/>
      <c r="F900" s="655"/>
    </row>
    <row r="901">
      <c r="D901" s="1237"/>
      <c r="E901" s="655"/>
      <c r="F901" s="655"/>
    </row>
    <row r="902">
      <c r="D902" s="1237"/>
      <c r="E902" s="655"/>
      <c r="F902" s="655"/>
    </row>
    <row r="903">
      <c r="D903" s="1237"/>
      <c r="E903" s="655"/>
      <c r="F903" s="655"/>
    </row>
    <row r="904">
      <c r="D904" s="1237"/>
      <c r="E904" s="655"/>
      <c r="F904" s="655"/>
    </row>
    <row r="905">
      <c r="D905" s="1237"/>
      <c r="E905" s="655"/>
      <c r="F905" s="655"/>
    </row>
    <row r="906">
      <c r="D906" s="1237"/>
      <c r="E906" s="655"/>
      <c r="F906" s="655"/>
    </row>
    <row r="907">
      <c r="D907" s="1237"/>
      <c r="E907" s="655"/>
      <c r="F907" s="655"/>
    </row>
    <row r="908">
      <c r="D908" s="1237"/>
      <c r="E908" s="655"/>
      <c r="F908" s="655"/>
    </row>
    <row r="909">
      <c r="D909" s="1237"/>
      <c r="E909" s="655"/>
      <c r="F909" s="655"/>
    </row>
    <row r="910">
      <c r="D910" s="1237"/>
      <c r="E910" s="655"/>
      <c r="F910" s="655"/>
    </row>
    <row r="911">
      <c r="D911" s="1237"/>
      <c r="E911" s="655"/>
      <c r="F911" s="655"/>
    </row>
    <row r="912">
      <c r="D912" s="1237"/>
      <c r="E912" s="655"/>
      <c r="F912" s="655"/>
    </row>
    <row r="913">
      <c r="D913" s="1237"/>
      <c r="E913" s="655"/>
      <c r="F913" s="655"/>
    </row>
    <row r="914">
      <c r="D914" s="1237"/>
      <c r="E914" s="655"/>
      <c r="F914" s="655"/>
    </row>
    <row r="915">
      <c r="D915" s="1237"/>
      <c r="E915" s="655"/>
      <c r="F915" s="655"/>
    </row>
    <row r="916">
      <c r="D916" s="1237"/>
      <c r="E916" s="655"/>
      <c r="F916" s="655"/>
    </row>
    <row r="917">
      <c r="D917" s="1237"/>
      <c r="E917" s="655"/>
      <c r="F917" s="655"/>
    </row>
    <row r="918">
      <c r="D918" s="1237"/>
      <c r="E918" s="655"/>
      <c r="F918" s="655"/>
    </row>
    <row r="919">
      <c r="D919" s="1237"/>
      <c r="E919" s="655"/>
      <c r="F919" s="655"/>
    </row>
    <row r="920">
      <c r="D920" s="1237"/>
      <c r="E920" s="655"/>
      <c r="F920" s="655"/>
    </row>
    <row r="921">
      <c r="D921" s="1237"/>
      <c r="E921" s="655"/>
      <c r="F921" s="655"/>
    </row>
    <row r="922">
      <c r="D922" s="1237"/>
      <c r="E922" s="655"/>
      <c r="F922" s="655"/>
    </row>
    <row r="923">
      <c r="D923" s="1237"/>
      <c r="E923" s="655"/>
      <c r="F923" s="655"/>
    </row>
    <row r="924">
      <c r="D924" s="1237"/>
      <c r="E924" s="655"/>
      <c r="F924" s="655"/>
    </row>
    <row r="925">
      <c r="D925" s="1237"/>
      <c r="E925" s="655"/>
      <c r="F925" s="655"/>
    </row>
    <row r="926">
      <c r="D926" s="1237"/>
      <c r="E926" s="655"/>
      <c r="F926" s="655"/>
    </row>
    <row r="927">
      <c r="D927" s="1237"/>
      <c r="E927" s="655"/>
      <c r="F927" s="655"/>
    </row>
    <row r="928">
      <c r="D928" s="1237"/>
      <c r="E928" s="655"/>
      <c r="F928" s="655"/>
    </row>
    <row r="929">
      <c r="D929" s="1237"/>
      <c r="E929" s="655"/>
      <c r="F929" s="655"/>
    </row>
    <row r="930">
      <c r="D930" s="1237"/>
      <c r="E930" s="655"/>
      <c r="F930" s="655"/>
    </row>
    <row r="931">
      <c r="D931" s="1237"/>
      <c r="E931" s="655"/>
      <c r="F931" s="655"/>
    </row>
    <row r="932">
      <c r="D932" s="1237"/>
      <c r="E932" s="655"/>
      <c r="F932" s="655"/>
    </row>
    <row r="933">
      <c r="D933" s="1237"/>
      <c r="E933" s="655"/>
      <c r="F933" s="655"/>
    </row>
    <row r="934">
      <c r="D934" s="1237"/>
      <c r="E934" s="655"/>
      <c r="F934" s="655"/>
    </row>
    <row r="935">
      <c r="D935" s="1237"/>
      <c r="E935" s="655"/>
      <c r="F935" s="655"/>
    </row>
    <row r="936">
      <c r="D936" s="1237"/>
      <c r="E936" s="655"/>
      <c r="F936" s="655"/>
    </row>
    <row r="937">
      <c r="D937" s="1237"/>
      <c r="E937" s="655"/>
      <c r="F937" s="655"/>
    </row>
    <row r="938">
      <c r="D938" s="1237"/>
      <c r="E938" s="655"/>
      <c r="F938" s="655"/>
    </row>
    <row r="939">
      <c r="D939" s="1237"/>
      <c r="E939" s="655"/>
      <c r="F939" s="655"/>
    </row>
    <row r="940">
      <c r="D940" s="1237"/>
      <c r="E940" s="655"/>
      <c r="F940" s="655"/>
    </row>
    <row r="941">
      <c r="D941" s="1237"/>
      <c r="E941" s="655"/>
      <c r="F941" s="655"/>
    </row>
    <row r="942">
      <c r="D942" s="1237"/>
      <c r="E942" s="655"/>
      <c r="F942" s="655"/>
    </row>
    <row r="943">
      <c r="D943" s="1237"/>
      <c r="E943" s="655"/>
      <c r="F943" s="655"/>
    </row>
    <row r="944">
      <c r="D944" s="1237"/>
      <c r="E944" s="655"/>
      <c r="F944" s="655"/>
    </row>
    <row r="945">
      <c r="D945" s="1237"/>
      <c r="E945" s="655"/>
      <c r="F945" s="655"/>
    </row>
    <row r="946">
      <c r="D946" s="1237"/>
      <c r="E946" s="655"/>
      <c r="F946" s="655"/>
    </row>
    <row r="947">
      <c r="D947" s="1237"/>
      <c r="E947" s="655"/>
      <c r="F947" s="655"/>
    </row>
    <row r="948">
      <c r="D948" s="1237"/>
      <c r="E948" s="655"/>
      <c r="F948" s="655"/>
    </row>
    <row r="949">
      <c r="D949" s="1237"/>
      <c r="E949" s="655"/>
      <c r="F949" s="655"/>
    </row>
    <row r="950">
      <c r="D950" s="1237"/>
      <c r="E950" s="655"/>
      <c r="F950" s="655"/>
    </row>
    <row r="951">
      <c r="D951" s="1237"/>
      <c r="E951" s="655"/>
      <c r="F951" s="655"/>
    </row>
    <row r="952">
      <c r="D952" s="1237"/>
      <c r="E952" s="655"/>
      <c r="F952" s="655"/>
    </row>
    <row r="953">
      <c r="D953" s="1237"/>
      <c r="E953" s="655"/>
      <c r="F953" s="655"/>
    </row>
    <row r="954">
      <c r="D954" s="1237"/>
      <c r="E954" s="655"/>
      <c r="F954" s="655"/>
    </row>
    <row r="955">
      <c r="D955" s="1237"/>
      <c r="E955" s="655"/>
      <c r="F955" s="655"/>
    </row>
    <row r="956">
      <c r="D956" s="1237"/>
      <c r="E956" s="655"/>
      <c r="F956" s="655"/>
    </row>
    <row r="957">
      <c r="D957" s="1237"/>
      <c r="E957" s="655"/>
      <c r="F957" s="655"/>
    </row>
    <row r="958">
      <c r="D958" s="1237"/>
      <c r="E958" s="655"/>
      <c r="F958" s="655"/>
    </row>
    <row r="959">
      <c r="D959" s="1237"/>
      <c r="E959" s="655"/>
      <c r="F959" s="655"/>
    </row>
    <row r="960">
      <c r="D960" s="1237"/>
      <c r="E960" s="655"/>
      <c r="F960" s="655"/>
    </row>
    <row r="961">
      <c r="D961" s="1237"/>
      <c r="E961" s="655"/>
      <c r="F961" s="655"/>
    </row>
    <row r="962">
      <c r="D962" s="1237"/>
      <c r="E962" s="655"/>
      <c r="F962" s="655"/>
    </row>
    <row r="963">
      <c r="D963" s="1237"/>
      <c r="E963" s="655"/>
      <c r="F963" s="655"/>
    </row>
    <row r="964">
      <c r="D964" s="1237"/>
      <c r="E964" s="655"/>
      <c r="F964" s="655"/>
    </row>
    <row r="965">
      <c r="D965" s="1237"/>
      <c r="E965" s="655"/>
      <c r="F965" s="655"/>
    </row>
    <row r="966">
      <c r="D966" s="1237"/>
      <c r="E966" s="655"/>
      <c r="F966" s="655"/>
    </row>
    <row r="967">
      <c r="D967" s="1237"/>
      <c r="E967" s="655"/>
      <c r="F967" s="655"/>
    </row>
    <row r="968">
      <c r="D968" s="1237"/>
      <c r="E968" s="655"/>
      <c r="F968" s="655"/>
    </row>
    <row r="969">
      <c r="D969" s="1237"/>
      <c r="E969" s="655"/>
      <c r="F969" s="655"/>
    </row>
    <row r="970">
      <c r="D970" s="1237"/>
      <c r="E970" s="655"/>
      <c r="F970" s="655"/>
    </row>
    <row r="971">
      <c r="D971" s="1237"/>
      <c r="E971" s="655"/>
      <c r="F971" s="655"/>
    </row>
    <row r="972">
      <c r="D972" s="1237"/>
      <c r="E972" s="655"/>
      <c r="F972" s="655"/>
    </row>
    <row r="973">
      <c r="D973" s="1237"/>
      <c r="E973" s="655"/>
      <c r="F973" s="655"/>
    </row>
    <row r="974">
      <c r="D974" s="1237"/>
      <c r="E974" s="655"/>
      <c r="F974" s="655"/>
    </row>
    <row r="975">
      <c r="D975" s="1237"/>
      <c r="E975" s="655"/>
      <c r="F975" s="655"/>
    </row>
    <row r="976">
      <c r="D976" s="1237"/>
      <c r="E976" s="655"/>
      <c r="F976" s="655"/>
    </row>
    <row r="977">
      <c r="D977" s="1237"/>
      <c r="E977" s="655"/>
      <c r="F977" s="655"/>
    </row>
    <row r="978">
      <c r="D978" s="1237"/>
      <c r="E978" s="655"/>
      <c r="F978" s="655"/>
    </row>
    <row r="979">
      <c r="D979" s="1237"/>
      <c r="E979" s="655"/>
      <c r="F979" s="655"/>
    </row>
    <row r="980">
      <c r="D980" s="1237"/>
      <c r="E980" s="655"/>
      <c r="F980" s="655"/>
    </row>
    <row r="981">
      <c r="D981" s="1237"/>
      <c r="E981" s="655"/>
      <c r="F981" s="655"/>
    </row>
    <row r="982">
      <c r="D982" s="1237"/>
      <c r="E982" s="655"/>
      <c r="F982" s="655"/>
    </row>
    <row r="983">
      <c r="D983" s="1237"/>
      <c r="E983" s="655"/>
      <c r="F983" s="655"/>
    </row>
    <row r="984">
      <c r="D984" s="1237"/>
      <c r="E984" s="655"/>
      <c r="F984" s="655"/>
    </row>
    <row r="985">
      <c r="D985" s="1237"/>
      <c r="E985" s="655"/>
      <c r="F985" s="655"/>
    </row>
    <row r="986">
      <c r="D986" s="1237"/>
      <c r="E986" s="655"/>
      <c r="F986" s="655"/>
    </row>
    <row r="987">
      <c r="D987" s="1237"/>
      <c r="E987" s="655"/>
      <c r="F987" s="655"/>
    </row>
    <row r="988">
      <c r="D988" s="1237"/>
      <c r="E988" s="655"/>
      <c r="F988" s="655"/>
    </row>
    <row r="989">
      <c r="D989" s="1237"/>
      <c r="E989" s="655"/>
      <c r="F989" s="655"/>
    </row>
    <row r="990">
      <c r="D990" s="1237"/>
      <c r="E990" s="655"/>
      <c r="F990" s="655"/>
    </row>
    <row r="991">
      <c r="D991" s="1237"/>
      <c r="E991" s="655"/>
      <c r="F991" s="655"/>
    </row>
    <row r="992">
      <c r="D992" s="1237"/>
      <c r="E992" s="655"/>
      <c r="F992" s="655"/>
    </row>
    <row r="993">
      <c r="D993" s="1237"/>
      <c r="E993" s="655"/>
      <c r="F993" s="655"/>
    </row>
    <row r="994">
      <c r="D994" s="1237"/>
      <c r="E994" s="655"/>
      <c r="F994" s="655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2.38"/>
    <col customWidth="1" min="3" max="3" width="13.63"/>
    <col customWidth="1" min="4" max="4" width="8.5"/>
    <col customWidth="1" min="5" max="5" width="6.38"/>
    <col customWidth="1" min="6" max="6" width="6.0"/>
    <col customWidth="1" min="7" max="7" width="8.75"/>
    <col customWidth="1" min="8" max="8" width="9.75"/>
  </cols>
  <sheetData>
    <row r="1">
      <c r="A1" s="1345" t="s">
        <v>1207</v>
      </c>
      <c r="I1" s="1346"/>
      <c r="J1" s="1346"/>
      <c r="K1" s="1332"/>
      <c r="L1" s="1332"/>
      <c r="M1" s="1332"/>
      <c r="N1" s="1332"/>
      <c r="O1" s="1332"/>
      <c r="P1" s="1332"/>
      <c r="Q1" s="1332"/>
      <c r="R1" s="1332"/>
      <c r="S1" s="1332"/>
      <c r="T1" s="1332"/>
      <c r="U1" s="1332"/>
      <c r="V1" s="1332"/>
      <c r="W1" s="1332"/>
      <c r="X1" s="1332"/>
      <c r="Y1" s="1332"/>
      <c r="Z1" s="1332"/>
      <c r="AA1" s="1332"/>
      <c r="AB1" s="1332"/>
    </row>
    <row r="2">
      <c r="A2" s="1345" t="s">
        <v>1208</v>
      </c>
      <c r="I2" s="1346"/>
      <c r="J2" s="1346"/>
      <c r="K2" s="1332"/>
      <c r="L2" s="1332"/>
      <c r="M2" s="1332"/>
      <c r="N2" s="1332"/>
      <c r="O2" s="1332"/>
      <c r="P2" s="1332"/>
      <c r="Q2" s="1332"/>
      <c r="R2" s="1332"/>
      <c r="S2" s="1332"/>
      <c r="T2" s="1332"/>
      <c r="U2" s="1332"/>
      <c r="V2" s="1332"/>
      <c r="W2" s="1332"/>
      <c r="X2" s="1332"/>
      <c r="Y2" s="1332"/>
      <c r="Z2" s="1332"/>
      <c r="AA2" s="1332"/>
      <c r="AB2" s="1332"/>
    </row>
    <row r="3">
      <c r="A3" s="1332"/>
      <c r="B3" s="1347" t="s">
        <v>1209</v>
      </c>
      <c r="C3" s="1348"/>
      <c r="D3" s="1348"/>
      <c r="E3" s="1348"/>
      <c r="F3" s="1348"/>
      <c r="G3" s="1349"/>
      <c r="H3" s="1350" t="s">
        <v>1210</v>
      </c>
      <c r="I3" s="1346"/>
      <c r="J3" s="1346"/>
      <c r="K3" s="1332"/>
      <c r="L3" s="1332"/>
      <c r="M3" s="1332"/>
      <c r="N3" s="1332"/>
      <c r="O3" s="1332"/>
      <c r="P3" s="1332"/>
      <c r="Q3" s="1332"/>
      <c r="R3" s="1332"/>
      <c r="S3" s="1332"/>
      <c r="T3" s="1332"/>
      <c r="U3" s="1332"/>
      <c r="V3" s="1332"/>
      <c r="W3" s="1332"/>
      <c r="X3" s="1332"/>
      <c r="Y3" s="1332"/>
      <c r="Z3" s="1332"/>
      <c r="AA3" s="1332"/>
      <c r="AB3" s="1332"/>
    </row>
    <row r="4">
      <c r="A4" s="1351" t="s">
        <v>355</v>
      </c>
      <c r="B4" s="1352" t="s">
        <v>1211</v>
      </c>
      <c r="C4" s="1352" t="s">
        <v>1212</v>
      </c>
      <c r="D4" s="1353" t="s">
        <v>1213</v>
      </c>
      <c r="E4" s="1351" t="s">
        <v>1214</v>
      </c>
      <c r="F4" s="1351" t="s">
        <v>956</v>
      </c>
      <c r="G4" s="1354" t="s">
        <v>1215</v>
      </c>
      <c r="H4" s="1355" t="s">
        <v>1216</v>
      </c>
      <c r="I4" s="1356"/>
      <c r="J4" s="1356"/>
      <c r="K4" s="1356"/>
      <c r="L4" s="1356"/>
      <c r="M4" s="1356"/>
      <c r="N4" s="1356"/>
      <c r="O4" s="1356"/>
      <c r="P4" s="1356"/>
      <c r="Q4" s="1356"/>
      <c r="R4" s="1356"/>
      <c r="S4" s="1356"/>
      <c r="T4" s="1356"/>
      <c r="U4" s="1356"/>
      <c r="V4" s="1356"/>
      <c r="W4" s="1356"/>
      <c r="X4" s="1356"/>
      <c r="Y4" s="1356"/>
      <c r="Z4" s="1356"/>
      <c r="AA4" s="1356"/>
      <c r="AB4" s="1356"/>
    </row>
    <row r="5">
      <c r="A5" s="1357" t="s">
        <v>1217</v>
      </c>
      <c r="B5" s="1358">
        <f>(1-$B$8) * 0.6</f>
        <v>0.54</v>
      </c>
      <c r="C5" s="1359">
        <v>0.525</v>
      </c>
      <c r="D5" s="1360">
        <v>0.55</v>
      </c>
      <c r="E5" s="1361" t="str">
        <f t="shared" ref="E5:E9" si="1"> $H5 / $H$10</f>
        <v>#N/A</v>
      </c>
      <c r="F5" s="1362" t="str">
        <f t="shared" ref="F5:F9" si="2">$E5-$D5</f>
        <v>#N/A</v>
      </c>
      <c r="G5" s="1363">
        <f t="shared" ref="G5:G9" si="3">MIN(5%,$D5*25%)</f>
        <v>0.05</v>
      </c>
      <c r="H5" s="1364" t="str">
        <f t="shared" ref="H5:H9" si="4">SUMIF(Holdings!$D:$D,"=" &amp; $A5,Holdings!$H:$H)</f>
        <v>#N/A</v>
      </c>
      <c r="I5" s="1365"/>
      <c r="J5" s="1366"/>
      <c r="K5" s="1332"/>
      <c r="L5" s="1332"/>
      <c r="M5" s="1332"/>
      <c r="N5" s="1332"/>
      <c r="O5" s="1332"/>
      <c r="P5" s="1332"/>
      <c r="Q5" s="1332"/>
      <c r="R5" s="1332"/>
      <c r="S5" s="1332"/>
      <c r="T5" s="1332"/>
      <c r="U5" s="1332"/>
      <c r="V5" s="1332"/>
      <c r="W5" s="1332"/>
      <c r="X5" s="1332"/>
      <c r="Y5" s="1332"/>
      <c r="Z5" s="1332"/>
      <c r="AA5" s="1332"/>
      <c r="AB5" s="1332"/>
    </row>
    <row r="6">
      <c r="A6" s="1357" t="s">
        <v>1218</v>
      </c>
      <c r="B6" s="1367">
        <f>(1-$B$8) * 0.3</f>
        <v>0.27</v>
      </c>
      <c r="C6" s="1359">
        <v>0.225</v>
      </c>
      <c r="D6" s="1360">
        <v>0.25</v>
      </c>
      <c r="E6" s="1361" t="str">
        <f t="shared" si="1"/>
        <v>#N/A</v>
      </c>
      <c r="F6" s="1362" t="str">
        <f t="shared" si="2"/>
        <v>#N/A</v>
      </c>
      <c r="G6" s="1363">
        <f t="shared" si="3"/>
        <v>0.05</v>
      </c>
      <c r="H6" s="1364" t="str">
        <f t="shared" si="4"/>
        <v>#N/A</v>
      </c>
      <c r="I6" s="1368"/>
      <c r="J6" s="1366"/>
      <c r="K6" s="1332"/>
      <c r="L6" s="1332"/>
      <c r="M6" s="1332"/>
      <c r="N6" s="1332"/>
      <c r="O6" s="1332"/>
      <c r="P6" s="1332"/>
      <c r="Q6" s="1332"/>
      <c r="R6" s="1332"/>
      <c r="S6" s="1332"/>
      <c r="T6" s="1332"/>
      <c r="U6" s="1332"/>
      <c r="V6" s="1332"/>
      <c r="W6" s="1332"/>
      <c r="X6" s="1332"/>
      <c r="Y6" s="1332"/>
      <c r="Z6" s="1332"/>
      <c r="AA6" s="1332"/>
      <c r="AB6" s="1332"/>
    </row>
    <row r="7">
      <c r="A7" s="1357" t="s">
        <v>1219</v>
      </c>
      <c r="B7" s="1369">
        <f>(1-$B$8) * 0.1</f>
        <v>0.09</v>
      </c>
      <c r="C7" s="1359">
        <v>0.115</v>
      </c>
      <c r="D7" s="1360">
        <v>0.1</v>
      </c>
      <c r="E7" s="1361" t="str">
        <f t="shared" si="1"/>
        <v>#N/A</v>
      </c>
      <c r="F7" s="1362" t="str">
        <f t="shared" si="2"/>
        <v>#N/A</v>
      </c>
      <c r="G7" s="1363">
        <f t="shared" si="3"/>
        <v>0.025</v>
      </c>
      <c r="H7" s="1364" t="str">
        <f t="shared" si="4"/>
        <v>#N/A</v>
      </c>
      <c r="I7" s="1365"/>
      <c r="J7" s="1366"/>
      <c r="K7" s="1332"/>
      <c r="L7" s="1332"/>
      <c r="M7" s="1332"/>
      <c r="N7" s="1332"/>
      <c r="O7" s="1332"/>
      <c r="P7" s="1332"/>
      <c r="Q7" s="1332"/>
      <c r="R7" s="1332"/>
      <c r="S7" s="1332"/>
      <c r="T7" s="1332"/>
      <c r="U7" s="1332"/>
      <c r="V7" s="1332"/>
      <c r="W7" s="1332"/>
      <c r="X7" s="1332"/>
      <c r="Y7" s="1332"/>
      <c r="Z7" s="1332"/>
      <c r="AA7" s="1332"/>
      <c r="AB7" s="1332"/>
    </row>
    <row r="8">
      <c r="A8" s="1370" t="s">
        <v>1220</v>
      </c>
      <c r="B8" s="1371">
        <v>0.1</v>
      </c>
      <c r="C8" s="1372">
        <v>0.126</v>
      </c>
      <c r="D8" s="1360">
        <v>0.08</v>
      </c>
      <c r="E8" s="1361" t="str">
        <f t="shared" si="1"/>
        <v>#N/A</v>
      </c>
      <c r="F8" s="1362" t="str">
        <f t="shared" si="2"/>
        <v>#N/A</v>
      </c>
      <c r="G8" s="1363">
        <f t="shared" si="3"/>
        <v>0.02</v>
      </c>
      <c r="H8" s="1364" t="str">
        <f t="shared" si="4"/>
        <v>#N/A</v>
      </c>
      <c r="I8" s="1365"/>
      <c r="J8" s="1366"/>
      <c r="K8" s="1332"/>
      <c r="L8" s="1332"/>
      <c r="M8" s="1332"/>
      <c r="N8" s="1332"/>
      <c r="O8" s="1332"/>
      <c r="P8" s="1332"/>
      <c r="Q8" s="1332"/>
      <c r="R8" s="1332"/>
      <c r="S8" s="1332"/>
      <c r="T8" s="1332"/>
      <c r="U8" s="1332"/>
      <c r="V8" s="1332"/>
      <c r="W8" s="1332"/>
      <c r="X8" s="1332"/>
      <c r="Y8" s="1332"/>
      <c r="Z8" s="1332"/>
      <c r="AA8" s="1332"/>
      <c r="AB8" s="1332"/>
    </row>
    <row r="9">
      <c r="A9" s="1373" t="s">
        <v>1168</v>
      </c>
      <c r="B9" s="1374">
        <v>0.0</v>
      </c>
      <c r="C9" s="1359">
        <v>0.009</v>
      </c>
      <c r="D9" s="1360">
        <v>0.02</v>
      </c>
      <c r="E9" s="1361" t="str">
        <f t="shared" si="1"/>
        <v>#N/A</v>
      </c>
      <c r="F9" s="1362" t="str">
        <f t="shared" si="2"/>
        <v>#N/A</v>
      </c>
      <c r="G9" s="1363">
        <f t="shared" si="3"/>
        <v>0.005</v>
      </c>
      <c r="H9" s="1364" t="str">
        <f t="shared" si="4"/>
        <v>#N/A</v>
      </c>
      <c r="I9" s="1366"/>
      <c r="J9" s="1332"/>
      <c r="K9" s="1332"/>
      <c r="L9" s="1332"/>
      <c r="M9" s="1332"/>
      <c r="N9" s="1332"/>
      <c r="O9" s="1332"/>
      <c r="P9" s="1332"/>
      <c r="Q9" s="1332"/>
      <c r="R9" s="1332"/>
      <c r="S9" s="1332"/>
      <c r="T9" s="1332"/>
      <c r="U9" s="1332"/>
      <c r="V9" s="1332"/>
      <c r="W9" s="1332"/>
      <c r="X9" s="1332"/>
      <c r="Y9" s="1332"/>
      <c r="Z9" s="1332"/>
      <c r="AA9" s="1332"/>
      <c r="AB9" s="1332"/>
    </row>
    <row r="10">
      <c r="A10" s="1332"/>
      <c r="B10" s="1366"/>
      <c r="C10" s="1366"/>
      <c r="D10" s="1375"/>
      <c r="E10" s="1332"/>
      <c r="F10" s="1332"/>
      <c r="G10" s="1376"/>
      <c r="H10" s="1377" t="str">
        <f>SUM($H5:$H9)</f>
        <v>#N/A</v>
      </c>
      <c r="I10" s="1332"/>
      <c r="J10" s="1332"/>
      <c r="K10" s="1332"/>
      <c r="L10" s="1332"/>
      <c r="M10" s="1332"/>
      <c r="N10" s="1332"/>
      <c r="O10" s="1332"/>
      <c r="P10" s="1332"/>
      <c r="Q10" s="1332"/>
      <c r="R10" s="1332"/>
      <c r="S10" s="1332"/>
      <c r="T10" s="1332"/>
      <c r="U10" s="1332"/>
      <c r="V10" s="1332"/>
      <c r="W10" s="1332"/>
      <c r="X10" s="1332"/>
      <c r="Y10" s="1332"/>
      <c r="Z10" s="1332"/>
      <c r="AA10" s="1332"/>
      <c r="AB10" s="1332"/>
    </row>
    <row r="11">
      <c r="A11" s="1332"/>
      <c r="B11" s="1366"/>
      <c r="C11" s="1366"/>
      <c r="D11" s="1375"/>
      <c r="E11" s="1332"/>
      <c r="F11" s="1332"/>
      <c r="G11" s="1378"/>
      <c r="H11" s="1378"/>
      <c r="I11" s="1332"/>
      <c r="J11" s="1332"/>
      <c r="K11" s="1332"/>
      <c r="L11" s="1332"/>
      <c r="M11" s="1332"/>
      <c r="N11" s="1332"/>
      <c r="O11" s="1332"/>
      <c r="P11" s="1332"/>
      <c r="Q11" s="1332"/>
      <c r="R11" s="1332"/>
      <c r="S11" s="1332"/>
      <c r="T11" s="1332"/>
      <c r="U11" s="1332"/>
      <c r="V11" s="1332"/>
      <c r="W11" s="1332"/>
      <c r="X11" s="1332"/>
      <c r="Y11" s="1332"/>
      <c r="Z11" s="1332"/>
      <c r="AA11" s="1332"/>
      <c r="AB11" s="1332"/>
    </row>
    <row r="12">
      <c r="A12" s="1332"/>
      <c r="B12" s="1366"/>
      <c r="C12" s="1366"/>
      <c r="D12" s="1375"/>
      <c r="E12" s="1332"/>
      <c r="F12" s="1332"/>
      <c r="G12" s="1378"/>
      <c r="H12" s="1378"/>
      <c r="I12" s="1332"/>
      <c r="J12" s="1332"/>
      <c r="K12" s="1332"/>
      <c r="L12" s="1332"/>
      <c r="M12" s="1332"/>
      <c r="N12" s="1332"/>
      <c r="O12" s="1332"/>
      <c r="P12" s="1332"/>
      <c r="Q12" s="1332"/>
      <c r="R12" s="1332"/>
      <c r="S12" s="1332"/>
      <c r="T12" s="1332"/>
      <c r="U12" s="1332"/>
      <c r="V12" s="1332"/>
      <c r="W12" s="1332"/>
      <c r="X12" s="1332"/>
      <c r="Y12" s="1332"/>
      <c r="Z12" s="1332"/>
      <c r="AA12" s="1332"/>
      <c r="AB12" s="1332"/>
    </row>
    <row r="13">
      <c r="A13" s="1332"/>
      <c r="B13" s="1366"/>
      <c r="C13" s="1366"/>
      <c r="D13" s="1375"/>
      <c r="E13" s="1332"/>
      <c r="F13" s="1332"/>
      <c r="G13" s="1378"/>
      <c r="H13" s="1378"/>
      <c r="I13" s="1332"/>
      <c r="J13" s="1332"/>
      <c r="K13" s="1332"/>
      <c r="L13" s="1332"/>
      <c r="M13" s="1332"/>
      <c r="N13" s="1332"/>
      <c r="O13" s="1332"/>
      <c r="P13" s="1332"/>
      <c r="Q13" s="1332"/>
      <c r="R13" s="1332"/>
      <c r="S13" s="1332"/>
      <c r="T13" s="1332"/>
      <c r="U13" s="1332"/>
      <c r="V13" s="1332"/>
      <c r="W13" s="1332"/>
      <c r="X13" s="1332"/>
      <c r="Y13" s="1332"/>
      <c r="Z13" s="1332"/>
      <c r="AA13" s="1332"/>
      <c r="AB13" s="1332"/>
    </row>
    <row r="14">
      <c r="A14" s="1332"/>
      <c r="B14" s="1366"/>
      <c r="C14" s="1366"/>
      <c r="D14" s="1375"/>
      <c r="E14" s="1332"/>
      <c r="F14" s="1332"/>
      <c r="G14" s="1378"/>
      <c r="H14" s="1378"/>
      <c r="I14" s="1332"/>
      <c r="J14" s="1332"/>
      <c r="K14" s="1332"/>
      <c r="L14" s="1332"/>
      <c r="M14" s="1332"/>
      <c r="N14" s="1332"/>
      <c r="O14" s="1332"/>
      <c r="P14" s="1332"/>
      <c r="Q14" s="1332"/>
      <c r="R14" s="1332"/>
      <c r="S14" s="1332"/>
      <c r="T14" s="1332"/>
      <c r="U14" s="1332"/>
      <c r="V14" s="1332"/>
      <c r="W14" s="1332"/>
      <c r="X14" s="1332"/>
      <c r="Y14" s="1332"/>
      <c r="Z14" s="1332"/>
      <c r="AA14" s="1332"/>
      <c r="AB14" s="1332"/>
    </row>
    <row r="15">
      <c r="A15" s="1332"/>
      <c r="B15" s="1366"/>
      <c r="C15" s="1366"/>
      <c r="D15" s="1375"/>
      <c r="E15" s="1332"/>
      <c r="F15" s="1332"/>
      <c r="G15" s="1378"/>
      <c r="H15" s="1378"/>
      <c r="I15" s="1332"/>
      <c r="J15" s="1332"/>
      <c r="K15" s="1332"/>
      <c r="L15" s="1332"/>
      <c r="M15" s="1332"/>
      <c r="N15" s="1332"/>
      <c r="O15" s="1332"/>
      <c r="P15" s="1332"/>
      <c r="Q15" s="1332"/>
      <c r="R15" s="1332"/>
      <c r="S15" s="1332"/>
      <c r="T15" s="1332"/>
      <c r="U15" s="1332"/>
      <c r="V15" s="1332"/>
      <c r="W15" s="1332"/>
      <c r="X15" s="1332"/>
      <c r="Y15" s="1332"/>
      <c r="Z15" s="1332"/>
      <c r="AA15" s="1332"/>
      <c r="AB15" s="1332"/>
    </row>
    <row r="16">
      <c r="A16" s="1332"/>
      <c r="B16" s="1366"/>
      <c r="C16" s="1366"/>
      <c r="D16" s="1375"/>
      <c r="E16" s="1332"/>
      <c r="F16" s="1332"/>
      <c r="G16" s="1378"/>
      <c r="H16" s="1378"/>
      <c r="I16" s="1332"/>
      <c r="J16" s="1332"/>
      <c r="K16" s="1332"/>
      <c r="L16" s="1332"/>
      <c r="M16" s="1332"/>
      <c r="N16" s="1332"/>
      <c r="O16" s="1332"/>
      <c r="P16" s="1332"/>
      <c r="Q16" s="1332"/>
      <c r="R16" s="1332"/>
      <c r="S16" s="1332"/>
      <c r="T16" s="1332"/>
      <c r="U16" s="1332"/>
      <c r="V16" s="1332"/>
      <c r="W16" s="1332"/>
      <c r="X16" s="1332"/>
      <c r="Y16" s="1332"/>
      <c r="Z16" s="1332"/>
      <c r="AA16" s="1332"/>
      <c r="AB16" s="1332"/>
    </row>
    <row r="17">
      <c r="A17" s="1332"/>
      <c r="B17" s="1366"/>
      <c r="C17" s="1366"/>
      <c r="D17" s="1375"/>
      <c r="E17" s="1332"/>
      <c r="F17" s="1332"/>
      <c r="G17" s="1378"/>
      <c r="H17" s="1378"/>
      <c r="I17" s="1332"/>
      <c r="J17" s="1332"/>
      <c r="K17" s="1332"/>
      <c r="L17" s="1332"/>
      <c r="M17" s="1332"/>
      <c r="N17" s="1332"/>
      <c r="O17" s="1332"/>
      <c r="P17" s="1332"/>
      <c r="Q17" s="1332"/>
      <c r="R17" s="1332"/>
      <c r="S17" s="1332"/>
      <c r="T17" s="1332"/>
      <c r="U17" s="1332"/>
      <c r="V17" s="1332"/>
      <c r="W17" s="1332"/>
      <c r="X17" s="1332"/>
      <c r="Y17" s="1332"/>
      <c r="Z17" s="1332"/>
      <c r="AA17" s="1332"/>
      <c r="AB17" s="1332"/>
    </row>
    <row r="18">
      <c r="A18" s="1332"/>
      <c r="B18" s="1366"/>
      <c r="C18" s="1366"/>
      <c r="D18" s="1375"/>
      <c r="E18" s="1332"/>
      <c r="F18" s="1332"/>
      <c r="G18" s="1378"/>
      <c r="H18" s="1378"/>
      <c r="I18" s="1332"/>
      <c r="J18" s="1332"/>
      <c r="K18" s="1332"/>
      <c r="L18" s="1332"/>
      <c r="M18" s="1332"/>
      <c r="N18" s="1332"/>
      <c r="O18" s="1332"/>
      <c r="P18" s="1332"/>
      <c r="Q18" s="1332"/>
      <c r="R18" s="1332"/>
      <c r="S18" s="1332"/>
      <c r="T18" s="1332"/>
      <c r="U18" s="1332"/>
      <c r="V18" s="1332"/>
      <c r="W18" s="1332"/>
      <c r="X18" s="1332"/>
      <c r="Y18" s="1332"/>
      <c r="Z18" s="1332"/>
      <c r="AA18" s="1332"/>
      <c r="AB18" s="1332"/>
    </row>
    <row r="19">
      <c r="A19" s="1332"/>
      <c r="B19" s="1366"/>
      <c r="C19" s="1366"/>
      <c r="D19" s="1375"/>
      <c r="E19" s="1332"/>
      <c r="F19" s="1332"/>
      <c r="G19" s="1378"/>
      <c r="H19" s="1378"/>
      <c r="I19" s="1332"/>
      <c r="J19" s="1332"/>
      <c r="K19" s="1332"/>
      <c r="L19" s="1332"/>
      <c r="M19" s="1332"/>
      <c r="N19" s="1332"/>
      <c r="O19" s="1332"/>
      <c r="P19" s="1332"/>
      <c r="Q19" s="1332"/>
      <c r="R19" s="1332"/>
      <c r="S19" s="1332"/>
      <c r="T19" s="1332"/>
      <c r="U19" s="1332"/>
      <c r="V19" s="1332"/>
      <c r="W19" s="1332"/>
      <c r="X19" s="1332"/>
      <c r="Y19" s="1332"/>
      <c r="Z19" s="1332"/>
      <c r="AA19" s="1332"/>
      <c r="AB19" s="1332"/>
    </row>
    <row r="20">
      <c r="A20" s="1332"/>
      <c r="B20" s="1366"/>
      <c r="C20" s="1366"/>
      <c r="D20" s="1375"/>
      <c r="E20" s="1332"/>
      <c r="F20" s="1332"/>
      <c r="G20" s="1378"/>
      <c r="H20" s="1378"/>
      <c r="I20" s="1332"/>
      <c r="J20" s="1332"/>
      <c r="K20" s="1332"/>
      <c r="L20" s="1332"/>
      <c r="M20" s="1332"/>
      <c r="N20" s="1332"/>
      <c r="O20" s="1332"/>
      <c r="P20" s="1332"/>
      <c r="Q20" s="1332"/>
      <c r="R20" s="1332"/>
      <c r="S20" s="1332"/>
      <c r="T20" s="1332"/>
      <c r="U20" s="1332"/>
      <c r="V20" s="1332"/>
      <c r="W20" s="1332"/>
      <c r="X20" s="1332"/>
      <c r="Y20" s="1332"/>
      <c r="Z20" s="1332"/>
      <c r="AA20" s="1332"/>
      <c r="AB20" s="1332"/>
    </row>
    <row r="21">
      <c r="A21" s="1332"/>
      <c r="B21" s="1366"/>
      <c r="C21" s="1366"/>
      <c r="D21" s="1375"/>
      <c r="E21" s="1332"/>
      <c r="F21" s="1332"/>
      <c r="G21" s="1378"/>
      <c r="H21" s="1378"/>
      <c r="I21" s="1332"/>
      <c r="J21" s="1332"/>
      <c r="K21" s="1332"/>
      <c r="L21" s="1332"/>
      <c r="M21" s="1332"/>
      <c r="N21" s="1332"/>
      <c r="O21" s="1332"/>
      <c r="P21" s="1332"/>
      <c r="Q21" s="1332"/>
      <c r="R21" s="1332"/>
      <c r="S21" s="1332"/>
      <c r="T21" s="1332"/>
      <c r="U21" s="1332"/>
      <c r="V21" s="1332"/>
      <c r="W21" s="1332"/>
      <c r="X21" s="1332"/>
      <c r="Y21" s="1332"/>
      <c r="Z21" s="1332"/>
      <c r="AA21" s="1332"/>
      <c r="AB21" s="1332"/>
    </row>
    <row r="22">
      <c r="A22" s="1332"/>
      <c r="B22" s="1366"/>
      <c r="C22" s="1366"/>
      <c r="D22" s="1375"/>
      <c r="E22" s="1332"/>
      <c r="F22" s="1332"/>
      <c r="G22" s="1378"/>
      <c r="H22" s="1378"/>
      <c r="I22" s="1332"/>
      <c r="J22" s="1332"/>
      <c r="K22" s="1332"/>
      <c r="L22" s="1332"/>
      <c r="M22" s="1332"/>
      <c r="N22" s="1332"/>
      <c r="O22" s="1332"/>
      <c r="P22" s="1332"/>
      <c r="Q22" s="1332"/>
      <c r="R22" s="1332"/>
      <c r="S22" s="1332"/>
      <c r="T22" s="1332"/>
      <c r="U22" s="1332"/>
      <c r="V22" s="1332"/>
      <c r="W22" s="1332"/>
      <c r="X22" s="1332"/>
      <c r="Y22" s="1332"/>
      <c r="Z22" s="1332"/>
      <c r="AA22" s="1332"/>
      <c r="AB22" s="1332"/>
    </row>
    <row r="23">
      <c r="A23" s="1332"/>
      <c r="B23" s="1366"/>
      <c r="C23" s="1366"/>
      <c r="D23" s="1375"/>
      <c r="E23" s="1332"/>
      <c r="F23" s="1332"/>
      <c r="G23" s="1378"/>
      <c r="H23" s="1378"/>
      <c r="I23" s="1332"/>
      <c r="J23" s="1332"/>
      <c r="K23" s="1332"/>
      <c r="L23" s="1332"/>
      <c r="M23" s="1332"/>
      <c r="N23" s="1332"/>
      <c r="O23" s="1332"/>
      <c r="P23" s="1332"/>
      <c r="Q23" s="1332"/>
      <c r="R23" s="1332"/>
      <c r="S23" s="1332"/>
      <c r="T23" s="1332"/>
      <c r="U23" s="1332"/>
      <c r="V23" s="1332"/>
      <c r="W23" s="1332"/>
      <c r="X23" s="1332"/>
      <c r="Y23" s="1332"/>
      <c r="Z23" s="1332"/>
      <c r="AA23" s="1332"/>
      <c r="AB23" s="1332"/>
    </row>
    <row r="24">
      <c r="A24" s="1332"/>
      <c r="B24" s="1366"/>
      <c r="C24" s="1366"/>
      <c r="D24" s="1375"/>
      <c r="E24" s="1332"/>
      <c r="F24" s="1332"/>
      <c r="G24" s="1378"/>
      <c r="H24" s="1378"/>
      <c r="I24" s="1332"/>
      <c r="J24" s="1332"/>
      <c r="K24" s="1332"/>
      <c r="L24" s="1332"/>
      <c r="M24" s="1332"/>
      <c r="N24" s="1332"/>
      <c r="O24" s="1332"/>
      <c r="P24" s="1332"/>
      <c r="Q24" s="1332"/>
      <c r="R24" s="1332"/>
      <c r="S24" s="1332"/>
      <c r="T24" s="1332"/>
      <c r="U24" s="1332"/>
      <c r="V24" s="1332"/>
      <c r="W24" s="1332"/>
      <c r="X24" s="1332"/>
      <c r="Y24" s="1332"/>
      <c r="Z24" s="1332"/>
      <c r="AA24" s="1332"/>
      <c r="AB24" s="1332"/>
    </row>
    <row r="25">
      <c r="A25" s="1332"/>
      <c r="B25" s="1366"/>
      <c r="C25" s="1366"/>
      <c r="D25" s="1375"/>
      <c r="E25" s="1332"/>
      <c r="F25" s="1332"/>
      <c r="G25" s="1378"/>
      <c r="H25" s="1378"/>
      <c r="I25" s="1332"/>
      <c r="J25" s="1332"/>
      <c r="K25" s="1332"/>
      <c r="L25" s="1332"/>
      <c r="M25" s="1332"/>
      <c r="N25" s="1332"/>
      <c r="O25" s="1332"/>
      <c r="P25" s="1332"/>
      <c r="Q25" s="1332"/>
      <c r="R25" s="1332"/>
      <c r="S25" s="1332"/>
      <c r="T25" s="1332"/>
      <c r="U25" s="1332"/>
      <c r="V25" s="1332"/>
      <c r="W25" s="1332"/>
      <c r="X25" s="1332"/>
      <c r="Y25" s="1332"/>
      <c r="Z25" s="1332"/>
      <c r="AA25" s="1332"/>
      <c r="AB25" s="1332"/>
    </row>
    <row r="26">
      <c r="A26" s="1332"/>
      <c r="B26" s="1366"/>
      <c r="C26" s="1366"/>
      <c r="D26" s="1375"/>
      <c r="E26" s="1332"/>
      <c r="F26" s="1332"/>
      <c r="G26" s="1378"/>
      <c r="H26" s="1378"/>
      <c r="I26" s="1332"/>
      <c r="J26" s="1332"/>
      <c r="K26" s="1332"/>
      <c r="L26" s="1332"/>
      <c r="M26" s="1332"/>
      <c r="N26" s="1332"/>
      <c r="O26" s="1332"/>
      <c r="P26" s="1332"/>
      <c r="Q26" s="1332"/>
      <c r="R26" s="1332"/>
      <c r="S26" s="1332"/>
      <c r="T26" s="1332"/>
      <c r="U26" s="1332"/>
      <c r="V26" s="1332"/>
      <c r="W26" s="1332"/>
      <c r="X26" s="1332"/>
      <c r="Y26" s="1332"/>
      <c r="Z26" s="1332"/>
      <c r="AA26" s="1332"/>
      <c r="AB26" s="1332"/>
    </row>
    <row r="27">
      <c r="A27" s="1332"/>
      <c r="B27" s="1366"/>
      <c r="C27" s="1366"/>
      <c r="D27" s="1375"/>
      <c r="E27" s="1332"/>
      <c r="F27" s="1332"/>
      <c r="G27" s="1378"/>
      <c r="H27" s="1378"/>
      <c r="I27" s="1332"/>
      <c r="J27" s="1332"/>
      <c r="K27" s="1332"/>
      <c r="L27" s="1332"/>
      <c r="M27" s="1332"/>
      <c r="N27" s="1332"/>
      <c r="O27" s="1332"/>
      <c r="P27" s="1332"/>
      <c r="Q27" s="1332"/>
      <c r="R27" s="1332"/>
      <c r="S27" s="1332"/>
      <c r="T27" s="1332"/>
      <c r="U27" s="1332"/>
      <c r="V27" s="1332"/>
      <c r="W27" s="1332"/>
      <c r="X27" s="1332"/>
      <c r="Y27" s="1332"/>
      <c r="Z27" s="1332"/>
      <c r="AA27" s="1332"/>
      <c r="AB27" s="1332"/>
    </row>
    <row r="28">
      <c r="A28" s="1332"/>
      <c r="B28" s="1366"/>
      <c r="C28" s="1366"/>
      <c r="D28" s="1375"/>
      <c r="E28" s="1332"/>
      <c r="F28" s="1332"/>
      <c r="G28" s="1378"/>
      <c r="H28" s="1378"/>
      <c r="I28" s="1332"/>
      <c r="J28" s="1332"/>
      <c r="K28" s="1332"/>
      <c r="L28" s="1332"/>
      <c r="M28" s="1332"/>
      <c r="N28" s="1332"/>
      <c r="O28" s="1332"/>
      <c r="P28" s="1332"/>
      <c r="Q28" s="1332"/>
      <c r="R28" s="1332"/>
      <c r="S28" s="1332"/>
      <c r="T28" s="1332"/>
      <c r="U28" s="1332"/>
      <c r="V28" s="1332"/>
      <c r="W28" s="1332"/>
      <c r="X28" s="1332"/>
      <c r="Y28" s="1332"/>
      <c r="Z28" s="1332"/>
      <c r="AA28" s="1332"/>
      <c r="AB28" s="1332"/>
    </row>
    <row r="29">
      <c r="A29" s="1332"/>
      <c r="B29" s="1366"/>
      <c r="C29" s="1366"/>
      <c r="D29" s="1375"/>
      <c r="E29" s="1332"/>
      <c r="F29" s="1332"/>
      <c r="G29" s="1378"/>
      <c r="H29" s="1378"/>
      <c r="I29" s="1332"/>
      <c r="J29" s="1332"/>
      <c r="K29" s="1332"/>
      <c r="L29" s="1332"/>
      <c r="M29" s="1332"/>
      <c r="N29" s="1332"/>
      <c r="O29" s="1332"/>
      <c r="P29" s="1332"/>
      <c r="Q29" s="1332"/>
      <c r="R29" s="1332"/>
      <c r="S29" s="1332"/>
      <c r="T29" s="1332"/>
      <c r="U29" s="1332"/>
      <c r="V29" s="1332"/>
      <c r="W29" s="1332"/>
      <c r="X29" s="1332"/>
      <c r="Y29" s="1332"/>
      <c r="Z29" s="1332"/>
      <c r="AA29" s="1332"/>
      <c r="AB29" s="1332"/>
    </row>
    <row r="30">
      <c r="A30" s="1379" t="s">
        <v>1221</v>
      </c>
      <c r="E30" s="1379"/>
      <c r="F30" s="1379"/>
      <c r="G30" s="1378"/>
      <c r="H30" s="1378"/>
      <c r="I30" s="1332"/>
      <c r="J30" s="1332"/>
      <c r="K30" s="1332"/>
      <c r="L30" s="1332"/>
      <c r="M30" s="1332"/>
      <c r="N30" s="1332"/>
      <c r="O30" s="1332"/>
      <c r="P30" s="1332"/>
      <c r="Q30" s="1332"/>
      <c r="R30" s="1332"/>
      <c r="S30" s="1332"/>
      <c r="T30" s="1332"/>
      <c r="U30" s="1332"/>
      <c r="V30" s="1332"/>
      <c r="W30" s="1332"/>
      <c r="X30" s="1332"/>
      <c r="Y30" s="1332"/>
      <c r="Z30" s="1332"/>
      <c r="AA30" s="1332"/>
      <c r="AB30" s="1332"/>
    </row>
    <row r="31">
      <c r="A31" s="1380" t="str">
        <f>HYPERLINK("http://www.doughroller.net/investing/an-awesome-and-free-investment-tracking-spreadsheet/","Here's the article describing this spreadsheet")</f>
        <v>Here's the article describing this spreadsheet</v>
      </c>
      <c r="E31" s="1332"/>
      <c r="F31" s="1332"/>
      <c r="G31" s="1378"/>
      <c r="H31" s="1378"/>
      <c r="I31" s="1332"/>
      <c r="J31" s="1332"/>
      <c r="K31" s="1332"/>
      <c r="L31" s="1332"/>
      <c r="M31" s="1332"/>
      <c r="N31" s="1332"/>
      <c r="O31" s="1332"/>
      <c r="P31" s="1332"/>
      <c r="Q31" s="1332"/>
      <c r="R31" s="1332"/>
      <c r="S31" s="1332"/>
      <c r="T31" s="1332"/>
      <c r="U31" s="1332"/>
      <c r="V31" s="1332"/>
      <c r="W31" s="1332"/>
      <c r="X31" s="1332"/>
      <c r="Y31" s="1332"/>
      <c r="Z31" s="1332"/>
      <c r="AA31" s="1332"/>
      <c r="AB31" s="1332"/>
    </row>
    <row r="32">
      <c r="A32" s="1380" t="str">
        <f>HYPERLINK("http://www.doughroller.net/go.php?id=Personal_Capital&amp;p=spreadsheet1","Personal Capital--My favorite Budget/Investing Tool (it's free)")</f>
        <v>Personal Capital--My favorite Budget/Investing Tool (it's free)</v>
      </c>
      <c r="E32" s="1332"/>
      <c r="F32" s="1332"/>
      <c r="G32" s="1378"/>
      <c r="H32" s="1378"/>
      <c r="I32" s="1332"/>
      <c r="J32" s="1332"/>
      <c r="K32" s="1332"/>
      <c r="L32" s="1332"/>
      <c r="M32" s="1332"/>
      <c r="N32" s="1332"/>
      <c r="O32" s="1332"/>
      <c r="P32" s="1332"/>
      <c r="Q32" s="1332"/>
      <c r="R32" s="1332"/>
      <c r="S32" s="1332"/>
      <c r="T32" s="1332"/>
      <c r="U32" s="1332"/>
      <c r="V32" s="1332"/>
      <c r="W32" s="1332"/>
      <c r="X32" s="1332"/>
      <c r="Y32" s="1332"/>
      <c r="Z32" s="1332"/>
      <c r="AA32" s="1332"/>
      <c r="AB32" s="1332"/>
    </row>
    <row r="33">
      <c r="A33" s="1332"/>
      <c r="B33" s="1366"/>
      <c r="C33" s="1366"/>
      <c r="D33" s="1375"/>
      <c r="E33" s="1332"/>
      <c r="F33" s="1332"/>
      <c r="G33" s="1378"/>
      <c r="H33" s="1378"/>
      <c r="I33" s="1332"/>
      <c r="J33" s="1332"/>
      <c r="K33" s="1332"/>
      <c r="L33" s="1332"/>
      <c r="M33" s="1332"/>
      <c r="N33" s="1332"/>
      <c r="O33" s="1332"/>
      <c r="P33" s="1332"/>
      <c r="Q33" s="1332"/>
      <c r="R33" s="1332"/>
      <c r="S33" s="1332"/>
      <c r="T33" s="1332"/>
      <c r="U33" s="1332"/>
      <c r="V33" s="1332"/>
      <c r="W33" s="1332"/>
      <c r="X33" s="1332"/>
      <c r="Y33" s="1332"/>
      <c r="Z33" s="1332"/>
      <c r="AA33" s="1332"/>
      <c r="AB33" s="1332"/>
    </row>
    <row r="34">
      <c r="A34" s="1332"/>
      <c r="B34" s="1366"/>
      <c r="C34" s="1366"/>
      <c r="D34" s="1375"/>
      <c r="E34" s="1332"/>
      <c r="F34" s="1332"/>
      <c r="G34" s="1378"/>
      <c r="H34" s="1378"/>
      <c r="I34" s="1332"/>
      <c r="J34" s="1332"/>
      <c r="K34" s="1332"/>
      <c r="L34" s="1332"/>
      <c r="M34" s="1332"/>
      <c r="N34" s="1332"/>
      <c r="O34" s="1332"/>
      <c r="P34" s="1332"/>
      <c r="Q34" s="1332"/>
      <c r="R34" s="1332"/>
      <c r="S34" s="1332"/>
      <c r="T34" s="1332"/>
      <c r="U34" s="1332"/>
      <c r="V34" s="1332"/>
      <c r="W34" s="1332"/>
      <c r="X34" s="1332"/>
      <c r="Y34" s="1332"/>
      <c r="Z34" s="1332"/>
      <c r="AA34" s="1332"/>
      <c r="AB34" s="1332"/>
    </row>
    <row r="35">
      <c r="A35" s="1332"/>
      <c r="B35" s="1366"/>
      <c r="C35" s="1366"/>
      <c r="D35" s="1375"/>
      <c r="E35" s="1332"/>
      <c r="F35" s="1332"/>
      <c r="G35" s="1378"/>
      <c r="H35" s="1378"/>
      <c r="I35" s="1332"/>
      <c r="J35" s="1332"/>
      <c r="K35" s="1332"/>
      <c r="L35" s="1332"/>
      <c r="M35" s="1332"/>
      <c r="N35" s="1332"/>
      <c r="O35" s="1332"/>
      <c r="P35" s="1332"/>
      <c r="Q35" s="1332"/>
      <c r="R35" s="1332"/>
      <c r="S35" s="1332"/>
      <c r="T35" s="1332"/>
      <c r="U35" s="1332"/>
      <c r="V35" s="1332"/>
      <c r="W35" s="1332"/>
      <c r="X35" s="1332"/>
      <c r="Y35" s="1332"/>
      <c r="Z35" s="1332"/>
      <c r="AA35" s="1332"/>
      <c r="AB35" s="1332"/>
    </row>
    <row r="36">
      <c r="A36" s="1332"/>
      <c r="B36" s="1366"/>
      <c r="C36" s="1366"/>
      <c r="D36" s="1375"/>
      <c r="E36" s="1332"/>
      <c r="F36" s="1332"/>
      <c r="G36" s="1378"/>
      <c r="H36" s="1378"/>
      <c r="I36" s="1332"/>
      <c r="J36" s="1332"/>
      <c r="K36" s="1332"/>
      <c r="L36" s="1332"/>
      <c r="M36" s="1332"/>
      <c r="N36" s="1332"/>
      <c r="O36" s="1332"/>
      <c r="P36" s="1332"/>
      <c r="Q36" s="1332"/>
      <c r="R36" s="1332"/>
      <c r="S36" s="1332"/>
      <c r="T36" s="1332"/>
      <c r="U36" s="1332"/>
      <c r="V36" s="1332"/>
      <c r="W36" s="1332"/>
      <c r="X36" s="1332"/>
      <c r="Y36" s="1332"/>
      <c r="Z36" s="1332"/>
      <c r="AA36" s="1332"/>
      <c r="AB36" s="1332"/>
    </row>
    <row r="37">
      <c r="A37" s="1332"/>
      <c r="B37" s="1366"/>
      <c r="C37" s="1366"/>
      <c r="D37" s="1375"/>
      <c r="E37" s="1332"/>
      <c r="F37" s="1332"/>
      <c r="G37" s="1378"/>
      <c r="H37" s="1378"/>
      <c r="I37" s="1332"/>
      <c r="J37" s="1332"/>
      <c r="K37" s="1332"/>
      <c r="L37" s="1332"/>
      <c r="M37" s="1332"/>
      <c r="N37" s="1332"/>
      <c r="O37" s="1332"/>
      <c r="P37" s="1332"/>
      <c r="Q37" s="1332"/>
      <c r="R37" s="1332"/>
      <c r="S37" s="1332"/>
      <c r="T37" s="1332"/>
      <c r="U37" s="1332"/>
      <c r="V37" s="1332"/>
      <c r="W37" s="1332"/>
      <c r="X37" s="1332"/>
      <c r="Y37" s="1332"/>
      <c r="Z37" s="1332"/>
      <c r="AA37" s="1332"/>
      <c r="AB37" s="1332"/>
    </row>
    <row r="38">
      <c r="A38" s="1332"/>
      <c r="B38" s="1366"/>
      <c r="C38" s="1366"/>
      <c r="D38" s="1375"/>
      <c r="E38" s="1332"/>
      <c r="F38" s="1332"/>
      <c r="G38" s="1378"/>
      <c r="H38" s="1378"/>
      <c r="I38" s="1332"/>
      <c r="J38" s="1332"/>
      <c r="K38" s="1332"/>
      <c r="L38" s="1332"/>
      <c r="M38" s="1332"/>
      <c r="N38" s="1332"/>
      <c r="O38" s="1332"/>
      <c r="P38" s="1332"/>
      <c r="Q38" s="1332"/>
      <c r="R38" s="1332"/>
      <c r="S38" s="1332"/>
      <c r="T38" s="1332"/>
      <c r="U38" s="1332"/>
      <c r="V38" s="1332"/>
      <c r="W38" s="1332"/>
      <c r="X38" s="1332"/>
      <c r="Y38" s="1332"/>
      <c r="Z38" s="1332"/>
      <c r="AA38" s="1332"/>
      <c r="AB38" s="1332"/>
    </row>
    <row r="39">
      <c r="A39" s="1332"/>
      <c r="B39" s="1366"/>
      <c r="C39" s="1366"/>
      <c r="D39" s="1375"/>
      <c r="E39" s="1332"/>
      <c r="F39" s="1332"/>
      <c r="G39" s="1378"/>
      <c r="H39" s="1378"/>
      <c r="I39" s="1332"/>
      <c r="J39" s="1332"/>
      <c r="K39" s="1332"/>
      <c r="L39" s="1332"/>
      <c r="M39" s="1332"/>
      <c r="N39" s="1332"/>
      <c r="O39" s="1332"/>
      <c r="P39" s="1332"/>
      <c r="Q39" s="1332"/>
      <c r="R39" s="1332"/>
      <c r="S39" s="1332"/>
      <c r="T39" s="1332"/>
      <c r="U39" s="1332"/>
      <c r="V39" s="1332"/>
      <c r="W39" s="1332"/>
      <c r="X39" s="1332"/>
      <c r="Y39" s="1332"/>
      <c r="Z39" s="1332"/>
      <c r="AA39" s="1332"/>
      <c r="AB39" s="1332"/>
    </row>
    <row r="40">
      <c r="A40" s="1332"/>
      <c r="B40" s="1366"/>
      <c r="C40" s="1366"/>
      <c r="D40" s="1375"/>
      <c r="E40" s="1332"/>
      <c r="F40" s="1332"/>
      <c r="G40" s="1378"/>
      <c r="H40" s="1378"/>
      <c r="I40" s="1332"/>
      <c r="J40" s="1332"/>
      <c r="K40" s="1332"/>
      <c r="L40" s="1332"/>
      <c r="M40" s="1332"/>
      <c r="N40" s="1332"/>
      <c r="O40" s="1332"/>
      <c r="P40" s="1332"/>
      <c r="Q40" s="1332"/>
      <c r="R40" s="1332"/>
      <c r="S40" s="1332"/>
      <c r="T40" s="1332"/>
      <c r="U40" s="1332"/>
      <c r="V40" s="1332"/>
      <c r="W40" s="1332"/>
      <c r="X40" s="1332"/>
      <c r="Y40" s="1332"/>
      <c r="Z40" s="1332"/>
      <c r="AA40" s="1332"/>
      <c r="AB40" s="1332"/>
    </row>
    <row r="41">
      <c r="A41" s="1332"/>
      <c r="B41" s="1366"/>
      <c r="C41" s="1366"/>
      <c r="D41" s="1375"/>
      <c r="E41" s="1332"/>
      <c r="F41" s="1332"/>
      <c r="G41" s="1378"/>
      <c r="H41" s="1378"/>
      <c r="I41" s="1332"/>
      <c r="J41" s="1332"/>
      <c r="K41" s="1332"/>
      <c r="L41" s="1332"/>
      <c r="M41" s="1332"/>
      <c r="N41" s="1332"/>
      <c r="O41" s="1332"/>
      <c r="P41" s="1332"/>
      <c r="Q41" s="1332"/>
      <c r="R41" s="1332"/>
      <c r="S41" s="1332"/>
      <c r="T41" s="1332"/>
      <c r="U41" s="1332"/>
      <c r="V41" s="1332"/>
      <c r="W41" s="1332"/>
      <c r="X41" s="1332"/>
      <c r="Y41" s="1332"/>
      <c r="Z41" s="1332"/>
      <c r="AA41" s="1332"/>
      <c r="AB41" s="1332"/>
    </row>
    <row r="42">
      <c r="A42" s="1332"/>
      <c r="B42" s="1366"/>
      <c r="C42" s="1366"/>
      <c r="D42" s="1375"/>
      <c r="E42" s="1332"/>
      <c r="F42" s="1332"/>
      <c r="G42" s="1378"/>
      <c r="H42" s="1378"/>
      <c r="I42" s="1332"/>
      <c r="J42" s="1332"/>
      <c r="K42" s="1332"/>
      <c r="L42" s="1332"/>
      <c r="M42" s="1332"/>
      <c r="N42" s="1332"/>
      <c r="O42" s="1332"/>
      <c r="P42" s="1332"/>
      <c r="Q42" s="1332"/>
      <c r="R42" s="1332"/>
      <c r="S42" s="1332"/>
      <c r="T42" s="1332"/>
      <c r="U42" s="1332"/>
      <c r="V42" s="1332"/>
      <c r="W42" s="1332"/>
      <c r="X42" s="1332"/>
      <c r="Y42" s="1332"/>
      <c r="Z42" s="1332"/>
      <c r="AA42" s="1332"/>
      <c r="AB42" s="1332"/>
    </row>
    <row r="43">
      <c r="A43" s="1332"/>
      <c r="B43" s="1366"/>
      <c r="C43" s="1366"/>
      <c r="D43" s="1375"/>
      <c r="E43" s="1332"/>
      <c r="F43" s="1332"/>
      <c r="G43" s="1378"/>
      <c r="H43" s="1378"/>
      <c r="I43" s="1332"/>
      <c r="J43" s="1332"/>
      <c r="K43" s="1332"/>
      <c r="L43" s="1332"/>
      <c r="M43" s="1332"/>
      <c r="N43" s="1332"/>
      <c r="O43" s="1332"/>
      <c r="P43" s="1332"/>
      <c r="Q43" s="1332"/>
      <c r="R43" s="1332"/>
      <c r="S43" s="1332"/>
      <c r="T43" s="1332"/>
      <c r="U43" s="1332"/>
      <c r="V43" s="1332"/>
      <c r="W43" s="1332"/>
      <c r="X43" s="1332"/>
      <c r="Y43" s="1332"/>
      <c r="Z43" s="1332"/>
      <c r="AA43" s="1332"/>
      <c r="AB43" s="1332"/>
    </row>
    <row r="44">
      <c r="A44" s="1332"/>
      <c r="B44" s="1366"/>
      <c r="C44" s="1366"/>
      <c r="D44" s="1375"/>
      <c r="E44" s="1332"/>
      <c r="F44" s="1332"/>
      <c r="G44" s="1378"/>
      <c r="H44" s="1378"/>
      <c r="I44" s="1332"/>
      <c r="J44" s="1332"/>
      <c r="K44" s="1332"/>
      <c r="L44" s="1332"/>
      <c r="M44" s="1332"/>
      <c r="N44" s="1332"/>
      <c r="O44" s="1332"/>
      <c r="P44" s="1332"/>
      <c r="Q44" s="1332"/>
      <c r="R44" s="1332"/>
      <c r="S44" s="1332"/>
      <c r="T44" s="1332"/>
      <c r="U44" s="1332"/>
      <c r="V44" s="1332"/>
      <c r="W44" s="1332"/>
      <c r="X44" s="1332"/>
      <c r="Y44" s="1332"/>
      <c r="Z44" s="1332"/>
      <c r="AA44" s="1332"/>
      <c r="AB44" s="1332"/>
    </row>
    <row r="45">
      <c r="A45" s="1332"/>
      <c r="B45" s="1366"/>
      <c r="C45" s="1366"/>
      <c r="D45" s="1375"/>
      <c r="E45" s="1332"/>
      <c r="F45" s="1332"/>
      <c r="G45" s="1378"/>
      <c r="H45" s="1378"/>
      <c r="I45" s="1332"/>
      <c r="J45" s="1332"/>
      <c r="K45" s="1332"/>
      <c r="L45" s="1332"/>
      <c r="M45" s="1332"/>
      <c r="N45" s="1332"/>
      <c r="O45" s="1332"/>
      <c r="P45" s="1332"/>
      <c r="Q45" s="1332"/>
      <c r="R45" s="1332"/>
      <c r="S45" s="1332"/>
      <c r="T45" s="1332"/>
      <c r="U45" s="1332"/>
      <c r="V45" s="1332"/>
      <c r="W45" s="1332"/>
      <c r="X45" s="1332"/>
      <c r="Y45" s="1332"/>
      <c r="Z45" s="1332"/>
      <c r="AA45" s="1332"/>
      <c r="AB45" s="1332"/>
    </row>
    <row r="46">
      <c r="A46" s="1332"/>
      <c r="B46" s="1366"/>
      <c r="C46" s="1366"/>
      <c r="D46" s="1375"/>
      <c r="E46" s="1332"/>
      <c r="F46" s="1332"/>
      <c r="G46" s="1378"/>
      <c r="H46" s="1378"/>
      <c r="I46" s="1332"/>
      <c r="J46" s="1332"/>
      <c r="K46" s="1332"/>
      <c r="L46" s="1332"/>
      <c r="M46" s="1332"/>
      <c r="N46" s="1332"/>
      <c r="O46" s="1332"/>
      <c r="P46" s="1332"/>
      <c r="Q46" s="1332"/>
      <c r="R46" s="1332"/>
      <c r="S46" s="1332"/>
      <c r="T46" s="1332"/>
      <c r="U46" s="1332"/>
      <c r="V46" s="1332"/>
      <c r="W46" s="1332"/>
      <c r="X46" s="1332"/>
      <c r="Y46" s="1332"/>
      <c r="Z46" s="1332"/>
      <c r="AA46" s="1332"/>
      <c r="AB46" s="1332"/>
    </row>
    <row r="47">
      <c r="A47" s="1332"/>
      <c r="B47" s="1366"/>
      <c r="C47" s="1366"/>
      <c r="D47" s="1375"/>
      <c r="E47" s="1332"/>
      <c r="F47" s="1332"/>
      <c r="G47" s="1378"/>
      <c r="H47" s="1378"/>
      <c r="I47" s="1332"/>
      <c r="J47" s="1332"/>
      <c r="K47" s="1332"/>
      <c r="L47" s="1332"/>
      <c r="M47" s="1332"/>
      <c r="N47" s="1332"/>
      <c r="O47" s="1332"/>
      <c r="P47" s="1332"/>
      <c r="Q47" s="1332"/>
      <c r="R47" s="1332"/>
      <c r="S47" s="1332"/>
      <c r="T47" s="1332"/>
      <c r="U47" s="1332"/>
      <c r="V47" s="1332"/>
      <c r="W47" s="1332"/>
      <c r="X47" s="1332"/>
      <c r="Y47" s="1332"/>
      <c r="Z47" s="1332"/>
      <c r="AA47" s="1332"/>
      <c r="AB47" s="1332"/>
    </row>
    <row r="48">
      <c r="A48" s="1332"/>
      <c r="B48" s="1366"/>
      <c r="C48" s="1366"/>
      <c r="D48" s="1375"/>
      <c r="E48" s="1332"/>
      <c r="F48" s="1332"/>
      <c r="G48" s="1378"/>
      <c r="H48" s="1378"/>
      <c r="I48" s="1332"/>
      <c r="J48" s="1332"/>
      <c r="K48" s="1332"/>
      <c r="L48" s="1332"/>
      <c r="M48" s="1332"/>
      <c r="N48" s="1332"/>
      <c r="O48" s="1332"/>
      <c r="P48" s="1332"/>
      <c r="Q48" s="1332"/>
      <c r="R48" s="1332"/>
      <c r="S48" s="1332"/>
      <c r="T48" s="1332"/>
      <c r="U48" s="1332"/>
      <c r="V48" s="1332"/>
      <c r="W48" s="1332"/>
      <c r="X48" s="1332"/>
      <c r="Y48" s="1332"/>
      <c r="Z48" s="1332"/>
      <c r="AA48" s="1332"/>
      <c r="AB48" s="1332"/>
    </row>
    <row r="49">
      <c r="A49" s="1332"/>
      <c r="B49" s="1366"/>
      <c r="C49" s="1366"/>
      <c r="D49" s="1375"/>
      <c r="E49" s="1332"/>
      <c r="F49" s="1332"/>
      <c r="G49" s="1378"/>
      <c r="H49" s="1378"/>
      <c r="I49" s="1332"/>
      <c r="J49" s="1332"/>
      <c r="K49" s="1332"/>
      <c r="L49" s="1332"/>
      <c r="M49" s="1332"/>
      <c r="N49" s="1332"/>
      <c r="O49" s="1332"/>
      <c r="P49" s="1332"/>
      <c r="Q49" s="1332"/>
      <c r="R49" s="1332"/>
      <c r="S49" s="1332"/>
      <c r="T49" s="1332"/>
      <c r="U49" s="1332"/>
      <c r="V49" s="1332"/>
      <c r="W49" s="1332"/>
      <c r="X49" s="1332"/>
      <c r="Y49" s="1332"/>
      <c r="Z49" s="1332"/>
      <c r="AA49" s="1332"/>
      <c r="AB49" s="1332"/>
    </row>
    <row r="50">
      <c r="A50" s="1332"/>
      <c r="B50" s="1366"/>
      <c r="C50" s="1366"/>
      <c r="D50" s="1375"/>
      <c r="E50" s="1332"/>
      <c r="F50" s="1332"/>
      <c r="G50" s="1378"/>
      <c r="H50" s="1378"/>
      <c r="I50" s="1332"/>
      <c r="J50" s="1332"/>
      <c r="K50" s="1332"/>
      <c r="L50" s="1332"/>
      <c r="M50" s="1332"/>
      <c r="N50" s="1332"/>
      <c r="O50" s="1332"/>
      <c r="P50" s="1332"/>
      <c r="Q50" s="1332"/>
      <c r="R50" s="1332"/>
      <c r="S50" s="1332"/>
      <c r="T50" s="1332"/>
      <c r="U50" s="1332"/>
      <c r="V50" s="1332"/>
      <c r="W50" s="1332"/>
      <c r="X50" s="1332"/>
      <c r="Y50" s="1332"/>
      <c r="Z50" s="1332"/>
      <c r="AA50" s="1332"/>
      <c r="AB50" s="1332"/>
    </row>
    <row r="51">
      <c r="A51" s="1332"/>
      <c r="B51" s="1366"/>
      <c r="C51" s="1366"/>
      <c r="D51" s="1375"/>
      <c r="E51" s="1332"/>
      <c r="F51" s="1332"/>
      <c r="G51" s="1378"/>
      <c r="H51" s="1378"/>
      <c r="I51" s="1332"/>
      <c r="J51" s="1332"/>
      <c r="K51" s="1332"/>
      <c r="L51" s="1332"/>
      <c r="M51" s="1332"/>
      <c r="N51" s="1332"/>
      <c r="O51" s="1332"/>
      <c r="P51" s="1332"/>
      <c r="Q51" s="1332"/>
      <c r="R51" s="1332"/>
      <c r="S51" s="1332"/>
      <c r="T51" s="1332"/>
      <c r="U51" s="1332"/>
      <c r="V51" s="1332"/>
      <c r="W51" s="1332"/>
      <c r="X51" s="1332"/>
      <c r="Y51" s="1332"/>
      <c r="Z51" s="1332"/>
      <c r="AA51" s="1332"/>
      <c r="AB51" s="1332"/>
    </row>
    <row r="52">
      <c r="A52" s="1332"/>
      <c r="B52" s="1366"/>
      <c r="C52" s="1366"/>
      <c r="D52" s="1375"/>
      <c r="E52" s="1332"/>
      <c r="F52" s="1332"/>
      <c r="G52" s="1378"/>
      <c r="H52" s="1378"/>
      <c r="I52" s="1332"/>
      <c r="J52" s="1332"/>
      <c r="K52" s="1332"/>
      <c r="L52" s="1332"/>
      <c r="M52" s="1332"/>
      <c r="N52" s="1332"/>
      <c r="O52" s="1332"/>
      <c r="P52" s="1332"/>
      <c r="Q52" s="1332"/>
      <c r="R52" s="1332"/>
      <c r="S52" s="1332"/>
      <c r="T52" s="1332"/>
      <c r="U52" s="1332"/>
      <c r="V52" s="1332"/>
      <c r="W52" s="1332"/>
      <c r="X52" s="1332"/>
      <c r="Y52" s="1332"/>
      <c r="Z52" s="1332"/>
      <c r="AA52" s="1332"/>
      <c r="AB52" s="1332"/>
    </row>
    <row r="53">
      <c r="A53" s="1332"/>
      <c r="B53" s="1366"/>
      <c r="C53" s="1366"/>
      <c r="D53" s="1375"/>
      <c r="E53" s="1332"/>
      <c r="F53" s="1332"/>
      <c r="G53" s="1378"/>
      <c r="H53" s="1378"/>
      <c r="I53" s="1332"/>
      <c r="J53" s="1332"/>
      <c r="K53" s="1332"/>
      <c r="L53" s="1332"/>
      <c r="M53" s="1332"/>
      <c r="N53" s="1332"/>
      <c r="O53" s="1332"/>
      <c r="P53" s="1332"/>
      <c r="Q53" s="1332"/>
      <c r="R53" s="1332"/>
      <c r="S53" s="1332"/>
      <c r="T53" s="1332"/>
      <c r="U53" s="1332"/>
      <c r="V53" s="1332"/>
      <c r="W53" s="1332"/>
      <c r="X53" s="1332"/>
      <c r="Y53" s="1332"/>
      <c r="Z53" s="1332"/>
      <c r="AA53" s="1332"/>
      <c r="AB53" s="1332"/>
    </row>
    <row r="54">
      <c r="A54" s="1332"/>
      <c r="B54" s="1366"/>
      <c r="C54" s="1366"/>
      <c r="D54" s="1375"/>
      <c r="E54" s="1332"/>
      <c r="F54" s="1332"/>
      <c r="G54" s="1378"/>
      <c r="H54" s="1378"/>
      <c r="I54" s="1332"/>
      <c r="J54" s="1332"/>
      <c r="K54" s="1332"/>
      <c r="L54" s="1332"/>
      <c r="M54" s="1332"/>
      <c r="N54" s="1332"/>
      <c r="O54" s="1332"/>
      <c r="P54" s="1332"/>
      <c r="Q54" s="1332"/>
      <c r="R54" s="1332"/>
      <c r="S54" s="1332"/>
      <c r="T54" s="1332"/>
      <c r="U54" s="1332"/>
      <c r="V54" s="1332"/>
      <c r="W54" s="1332"/>
      <c r="X54" s="1332"/>
      <c r="Y54" s="1332"/>
      <c r="Z54" s="1332"/>
      <c r="AA54" s="1332"/>
      <c r="AB54" s="1332"/>
    </row>
    <row r="55">
      <c r="A55" s="1332"/>
      <c r="B55" s="1366"/>
      <c r="C55" s="1366"/>
      <c r="D55" s="1375"/>
      <c r="E55" s="1332"/>
      <c r="F55" s="1332"/>
      <c r="G55" s="1378"/>
      <c r="H55" s="1378"/>
      <c r="I55" s="1332"/>
      <c r="J55" s="1332"/>
      <c r="K55" s="1332"/>
      <c r="L55" s="1332"/>
      <c r="M55" s="1332"/>
      <c r="N55" s="1332"/>
      <c r="O55" s="1332"/>
      <c r="P55" s="1332"/>
      <c r="Q55" s="1332"/>
      <c r="R55" s="1332"/>
      <c r="S55" s="1332"/>
      <c r="T55" s="1332"/>
      <c r="U55" s="1332"/>
      <c r="V55" s="1332"/>
      <c r="W55" s="1332"/>
      <c r="X55" s="1332"/>
      <c r="Y55" s="1332"/>
      <c r="Z55" s="1332"/>
      <c r="AA55" s="1332"/>
      <c r="AB55" s="1332"/>
    </row>
    <row r="56">
      <c r="A56" s="1332"/>
      <c r="B56" s="1366"/>
      <c r="C56" s="1366"/>
      <c r="D56" s="1375"/>
      <c r="E56" s="1332"/>
      <c r="F56" s="1332"/>
      <c r="G56" s="1378"/>
      <c r="H56" s="1378"/>
      <c r="I56" s="1332"/>
      <c r="J56" s="1332"/>
      <c r="K56" s="1332"/>
      <c r="L56" s="1332"/>
      <c r="M56" s="1332"/>
      <c r="N56" s="1332"/>
      <c r="O56" s="1332"/>
      <c r="P56" s="1332"/>
      <c r="Q56" s="1332"/>
      <c r="R56" s="1332"/>
      <c r="S56" s="1332"/>
      <c r="T56" s="1332"/>
      <c r="U56" s="1332"/>
      <c r="V56" s="1332"/>
      <c r="W56" s="1332"/>
      <c r="X56" s="1332"/>
      <c r="Y56" s="1332"/>
      <c r="Z56" s="1332"/>
      <c r="AA56" s="1332"/>
      <c r="AB56" s="1332"/>
    </row>
    <row r="57">
      <c r="A57" s="1332"/>
      <c r="B57" s="1366"/>
      <c r="C57" s="1366"/>
      <c r="D57" s="1375"/>
      <c r="E57" s="1332"/>
      <c r="F57" s="1332"/>
      <c r="G57" s="1378"/>
      <c r="H57" s="1378"/>
      <c r="I57" s="1332"/>
      <c r="J57" s="1332"/>
      <c r="K57" s="1332"/>
      <c r="L57" s="1332"/>
      <c r="M57" s="1332"/>
      <c r="N57" s="1332"/>
      <c r="O57" s="1332"/>
      <c r="P57" s="1332"/>
      <c r="Q57" s="1332"/>
      <c r="R57" s="1332"/>
      <c r="S57" s="1332"/>
      <c r="T57" s="1332"/>
      <c r="U57" s="1332"/>
      <c r="V57" s="1332"/>
      <c r="W57" s="1332"/>
      <c r="X57" s="1332"/>
      <c r="Y57" s="1332"/>
      <c r="Z57" s="1332"/>
      <c r="AA57" s="1332"/>
      <c r="AB57" s="1332"/>
    </row>
    <row r="58">
      <c r="A58" s="1332"/>
      <c r="B58" s="1366"/>
      <c r="C58" s="1366"/>
      <c r="D58" s="1375"/>
      <c r="E58" s="1332"/>
      <c r="F58" s="1332"/>
      <c r="G58" s="1378"/>
      <c r="H58" s="1378"/>
      <c r="I58" s="1332"/>
      <c r="J58" s="1332"/>
      <c r="K58" s="1332"/>
      <c r="L58" s="1332"/>
      <c r="M58" s="1332"/>
      <c r="N58" s="1332"/>
      <c r="O58" s="1332"/>
      <c r="P58" s="1332"/>
      <c r="Q58" s="1332"/>
      <c r="R58" s="1332"/>
      <c r="S58" s="1332"/>
      <c r="T58" s="1332"/>
      <c r="U58" s="1332"/>
      <c r="V58" s="1332"/>
      <c r="W58" s="1332"/>
      <c r="X58" s="1332"/>
      <c r="Y58" s="1332"/>
      <c r="Z58" s="1332"/>
      <c r="AA58" s="1332"/>
      <c r="AB58" s="1332"/>
    </row>
    <row r="59">
      <c r="A59" s="1332"/>
      <c r="B59" s="1366"/>
      <c r="C59" s="1366"/>
      <c r="D59" s="1375"/>
      <c r="E59" s="1332"/>
      <c r="F59" s="1332"/>
      <c r="G59" s="1378"/>
      <c r="H59" s="1378"/>
      <c r="I59" s="1332"/>
      <c r="J59" s="1332"/>
      <c r="K59" s="1332"/>
      <c r="L59" s="1332"/>
      <c r="M59" s="1332"/>
      <c r="N59" s="1332"/>
      <c r="O59" s="1332"/>
      <c r="P59" s="1332"/>
      <c r="Q59" s="1332"/>
      <c r="R59" s="1332"/>
      <c r="S59" s="1332"/>
      <c r="T59" s="1332"/>
      <c r="U59" s="1332"/>
      <c r="V59" s="1332"/>
      <c r="W59" s="1332"/>
      <c r="X59" s="1332"/>
      <c r="Y59" s="1332"/>
      <c r="Z59" s="1332"/>
      <c r="AA59" s="1332"/>
      <c r="AB59" s="1332"/>
    </row>
    <row r="60">
      <c r="A60" s="1332"/>
      <c r="B60" s="1366"/>
      <c r="C60" s="1366"/>
      <c r="D60" s="1375"/>
      <c r="E60" s="1332"/>
      <c r="F60" s="1332"/>
      <c r="G60" s="1378"/>
      <c r="H60" s="1378"/>
      <c r="I60" s="1332"/>
      <c r="J60" s="1332"/>
      <c r="K60" s="1332"/>
      <c r="L60" s="1332"/>
      <c r="M60" s="1332"/>
      <c r="N60" s="1332"/>
      <c r="O60" s="1332"/>
      <c r="P60" s="1332"/>
      <c r="Q60" s="1332"/>
      <c r="R60" s="1332"/>
      <c r="S60" s="1332"/>
      <c r="T60" s="1332"/>
      <c r="U60" s="1332"/>
      <c r="V60" s="1332"/>
      <c r="W60" s="1332"/>
      <c r="X60" s="1332"/>
      <c r="Y60" s="1332"/>
      <c r="Z60" s="1332"/>
      <c r="AA60" s="1332"/>
      <c r="AB60" s="1332"/>
    </row>
    <row r="61">
      <c r="A61" s="1332"/>
      <c r="B61" s="1366"/>
      <c r="C61" s="1366"/>
      <c r="D61" s="1375"/>
      <c r="E61" s="1332"/>
      <c r="F61" s="1332"/>
      <c r="G61" s="1378"/>
      <c r="H61" s="1378"/>
      <c r="I61" s="1332"/>
      <c r="J61" s="1332"/>
      <c r="K61" s="1332"/>
      <c r="L61" s="1332"/>
      <c r="M61" s="1332"/>
      <c r="N61" s="1332"/>
      <c r="O61" s="1332"/>
      <c r="P61" s="1332"/>
      <c r="Q61" s="1332"/>
      <c r="R61" s="1332"/>
      <c r="S61" s="1332"/>
      <c r="T61" s="1332"/>
      <c r="U61" s="1332"/>
      <c r="V61" s="1332"/>
      <c r="W61" s="1332"/>
      <c r="X61" s="1332"/>
      <c r="Y61" s="1332"/>
      <c r="Z61" s="1332"/>
      <c r="AA61" s="1332"/>
      <c r="AB61" s="1332"/>
    </row>
    <row r="62">
      <c r="A62" s="1332"/>
      <c r="B62" s="1366"/>
      <c r="C62" s="1366"/>
      <c r="D62" s="1375"/>
      <c r="E62" s="1332"/>
      <c r="F62" s="1332"/>
      <c r="G62" s="1378"/>
      <c r="H62" s="1378"/>
      <c r="I62" s="1332"/>
      <c r="J62" s="1332"/>
      <c r="K62" s="1332"/>
      <c r="L62" s="1332"/>
      <c r="M62" s="1332"/>
      <c r="N62" s="1332"/>
      <c r="O62" s="1332"/>
      <c r="P62" s="1332"/>
      <c r="Q62" s="1332"/>
      <c r="R62" s="1332"/>
      <c r="S62" s="1332"/>
      <c r="T62" s="1332"/>
      <c r="U62" s="1332"/>
      <c r="V62" s="1332"/>
      <c r="W62" s="1332"/>
      <c r="X62" s="1332"/>
      <c r="Y62" s="1332"/>
      <c r="Z62" s="1332"/>
      <c r="AA62" s="1332"/>
      <c r="AB62" s="1332"/>
    </row>
    <row r="63">
      <c r="A63" s="1332"/>
      <c r="B63" s="1366"/>
      <c r="C63" s="1366"/>
      <c r="D63" s="1375"/>
      <c r="E63" s="1332"/>
      <c r="F63" s="1332"/>
      <c r="G63" s="1378"/>
      <c r="H63" s="1378"/>
      <c r="I63" s="1332"/>
      <c r="J63" s="1332"/>
      <c r="K63" s="1332"/>
      <c r="L63" s="1332"/>
      <c r="M63" s="1332"/>
      <c r="N63" s="1332"/>
      <c r="O63" s="1332"/>
      <c r="P63" s="1332"/>
      <c r="Q63" s="1332"/>
      <c r="R63" s="1332"/>
      <c r="S63" s="1332"/>
      <c r="T63" s="1332"/>
      <c r="U63" s="1332"/>
      <c r="V63" s="1332"/>
      <c r="W63" s="1332"/>
      <c r="X63" s="1332"/>
      <c r="Y63" s="1332"/>
      <c r="Z63" s="1332"/>
      <c r="AA63" s="1332"/>
      <c r="AB63" s="1332"/>
    </row>
    <row r="64">
      <c r="A64" s="1332"/>
      <c r="B64" s="1366"/>
      <c r="C64" s="1366"/>
      <c r="D64" s="1375"/>
      <c r="E64" s="1332"/>
      <c r="F64" s="1332"/>
      <c r="G64" s="1378"/>
      <c r="H64" s="1378"/>
      <c r="I64" s="1332"/>
      <c r="J64" s="1332"/>
      <c r="K64" s="1332"/>
      <c r="L64" s="1332"/>
      <c r="M64" s="1332"/>
      <c r="N64" s="1332"/>
      <c r="O64" s="1332"/>
      <c r="P64" s="1332"/>
      <c r="Q64" s="1332"/>
      <c r="R64" s="1332"/>
      <c r="S64" s="1332"/>
      <c r="T64" s="1332"/>
      <c r="U64" s="1332"/>
      <c r="V64" s="1332"/>
      <c r="W64" s="1332"/>
      <c r="X64" s="1332"/>
      <c r="Y64" s="1332"/>
      <c r="Z64" s="1332"/>
      <c r="AA64" s="1332"/>
      <c r="AB64" s="1332"/>
    </row>
    <row r="65">
      <c r="A65" s="1332"/>
      <c r="B65" s="1366"/>
      <c r="C65" s="1366"/>
      <c r="D65" s="1375"/>
      <c r="E65" s="1332"/>
      <c r="F65" s="1332"/>
      <c r="G65" s="1378"/>
      <c r="H65" s="1378"/>
      <c r="I65" s="1332"/>
      <c r="J65" s="1332"/>
      <c r="K65" s="1332"/>
      <c r="L65" s="1332"/>
      <c r="M65" s="1332"/>
      <c r="N65" s="1332"/>
      <c r="O65" s="1332"/>
      <c r="P65" s="1332"/>
      <c r="Q65" s="1332"/>
      <c r="R65" s="1332"/>
      <c r="S65" s="1332"/>
      <c r="T65" s="1332"/>
      <c r="U65" s="1332"/>
      <c r="V65" s="1332"/>
      <c r="W65" s="1332"/>
      <c r="X65" s="1332"/>
      <c r="Y65" s="1332"/>
      <c r="Z65" s="1332"/>
      <c r="AA65" s="1332"/>
      <c r="AB65" s="1332"/>
    </row>
    <row r="66">
      <c r="A66" s="1332"/>
      <c r="B66" s="1366"/>
      <c r="C66" s="1366"/>
      <c r="D66" s="1375"/>
      <c r="E66" s="1332"/>
      <c r="F66" s="1332"/>
      <c r="G66" s="1378"/>
      <c r="H66" s="1378"/>
      <c r="I66" s="1332"/>
      <c r="J66" s="1332"/>
      <c r="K66" s="1332"/>
      <c r="L66" s="1332"/>
      <c r="M66" s="1332"/>
      <c r="N66" s="1332"/>
      <c r="O66" s="1332"/>
      <c r="P66" s="1332"/>
      <c r="Q66" s="1332"/>
      <c r="R66" s="1332"/>
      <c r="S66" s="1332"/>
      <c r="T66" s="1332"/>
      <c r="U66" s="1332"/>
      <c r="V66" s="1332"/>
      <c r="W66" s="1332"/>
      <c r="X66" s="1332"/>
      <c r="Y66" s="1332"/>
      <c r="Z66" s="1332"/>
      <c r="AA66" s="1332"/>
      <c r="AB66" s="1332"/>
    </row>
    <row r="67">
      <c r="A67" s="1332"/>
      <c r="B67" s="1366"/>
      <c r="C67" s="1366"/>
      <c r="D67" s="1375"/>
      <c r="E67" s="1332"/>
      <c r="F67" s="1332"/>
      <c r="G67" s="1378"/>
      <c r="H67" s="1378"/>
      <c r="I67" s="1332"/>
      <c r="J67" s="1332"/>
      <c r="K67" s="1332"/>
      <c r="L67" s="1332"/>
      <c r="M67" s="1332"/>
      <c r="N67" s="1332"/>
      <c r="O67" s="1332"/>
      <c r="P67" s="1332"/>
      <c r="Q67" s="1332"/>
      <c r="R67" s="1332"/>
      <c r="S67" s="1332"/>
      <c r="T67" s="1332"/>
      <c r="U67" s="1332"/>
      <c r="V67" s="1332"/>
      <c r="W67" s="1332"/>
      <c r="X67" s="1332"/>
      <c r="Y67" s="1332"/>
      <c r="Z67" s="1332"/>
      <c r="AA67" s="1332"/>
      <c r="AB67" s="1332"/>
    </row>
    <row r="68">
      <c r="A68" s="1332"/>
      <c r="B68" s="1366"/>
      <c r="C68" s="1366"/>
      <c r="D68" s="1375"/>
      <c r="E68" s="1332"/>
      <c r="F68" s="1332"/>
      <c r="G68" s="1378"/>
      <c r="H68" s="1378"/>
      <c r="I68" s="1332"/>
      <c r="J68" s="1332"/>
      <c r="K68" s="1332"/>
      <c r="L68" s="1332"/>
      <c r="M68" s="1332"/>
      <c r="N68" s="1332"/>
      <c r="O68" s="1332"/>
      <c r="P68" s="1332"/>
      <c r="Q68" s="1332"/>
      <c r="R68" s="1332"/>
      <c r="S68" s="1332"/>
      <c r="T68" s="1332"/>
      <c r="U68" s="1332"/>
      <c r="V68" s="1332"/>
      <c r="W68" s="1332"/>
      <c r="X68" s="1332"/>
      <c r="Y68" s="1332"/>
      <c r="Z68" s="1332"/>
      <c r="AA68" s="1332"/>
      <c r="AB68" s="1332"/>
    </row>
    <row r="69">
      <c r="A69" s="1332"/>
      <c r="B69" s="1366"/>
      <c r="C69" s="1366"/>
      <c r="D69" s="1375"/>
      <c r="E69" s="1332"/>
      <c r="F69" s="1332"/>
      <c r="G69" s="1378"/>
      <c r="H69" s="1378"/>
      <c r="I69" s="1332"/>
      <c r="J69" s="1332"/>
      <c r="K69" s="1332"/>
      <c r="L69" s="1332"/>
      <c r="M69" s="1332"/>
      <c r="N69" s="1332"/>
      <c r="O69" s="1332"/>
      <c r="P69" s="1332"/>
      <c r="Q69" s="1332"/>
      <c r="R69" s="1332"/>
      <c r="S69" s="1332"/>
      <c r="T69" s="1332"/>
      <c r="U69" s="1332"/>
      <c r="V69" s="1332"/>
      <c r="W69" s="1332"/>
      <c r="X69" s="1332"/>
      <c r="Y69" s="1332"/>
      <c r="Z69" s="1332"/>
      <c r="AA69" s="1332"/>
      <c r="AB69" s="1332"/>
    </row>
    <row r="70">
      <c r="A70" s="1332"/>
      <c r="B70" s="1366"/>
      <c r="C70" s="1366"/>
      <c r="D70" s="1375"/>
      <c r="E70" s="1332"/>
      <c r="F70" s="1332"/>
      <c r="G70" s="1378"/>
      <c r="H70" s="1378"/>
      <c r="I70" s="1332"/>
      <c r="J70" s="1332"/>
      <c r="K70" s="1332"/>
      <c r="L70" s="1332"/>
      <c r="M70" s="1332"/>
      <c r="N70" s="1332"/>
      <c r="O70" s="1332"/>
      <c r="P70" s="1332"/>
      <c r="Q70" s="1332"/>
      <c r="R70" s="1332"/>
      <c r="S70" s="1332"/>
      <c r="T70" s="1332"/>
      <c r="U70" s="1332"/>
      <c r="V70" s="1332"/>
      <c r="W70" s="1332"/>
      <c r="X70" s="1332"/>
      <c r="Y70" s="1332"/>
      <c r="Z70" s="1332"/>
      <c r="AA70" s="1332"/>
      <c r="AB70" s="1332"/>
    </row>
    <row r="71">
      <c r="A71" s="1332"/>
      <c r="B71" s="1366"/>
      <c r="C71" s="1366"/>
      <c r="D71" s="1375"/>
      <c r="E71" s="1332"/>
      <c r="F71" s="1332"/>
      <c r="G71" s="1378"/>
      <c r="H71" s="1378"/>
      <c r="I71" s="1332"/>
      <c r="J71" s="1332"/>
      <c r="K71" s="1332"/>
      <c r="L71" s="1332"/>
      <c r="M71" s="1332"/>
      <c r="N71" s="1332"/>
      <c r="O71" s="1332"/>
      <c r="P71" s="1332"/>
      <c r="Q71" s="1332"/>
      <c r="R71" s="1332"/>
      <c r="S71" s="1332"/>
      <c r="T71" s="1332"/>
      <c r="U71" s="1332"/>
      <c r="V71" s="1332"/>
      <c r="W71" s="1332"/>
      <c r="X71" s="1332"/>
      <c r="Y71" s="1332"/>
      <c r="Z71" s="1332"/>
      <c r="AA71" s="1332"/>
      <c r="AB71" s="1332"/>
    </row>
    <row r="72">
      <c r="A72" s="1332"/>
      <c r="B72" s="1366"/>
      <c r="C72" s="1366"/>
      <c r="D72" s="1375"/>
      <c r="E72" s="1332"/>
      <c r="F72" s="1332"/>
      <c r="G72" s="1378"/>
      <c r="H72" s="1378"/>
      <c r="I72" s="1332"/>
      <c r="J72" s="1332"/>
      <c r="K72" s="1332"/>
      <c r="L72" s="1332"/>
      <c r="M72" s="1332"/>
      <c r="N72" s="1332"/>
      <c r="O72" s="1332"/>
      <c r="P72" s="1332"/>
      <c r="Q72" s="1332"/>
      <c r="R72" s="1332"/>
      <c r="S72" s="1332"/>
      <c r="T72" s="1332"/>
      <c r="U72" s="1332"/>
      <c r="V72" s="1332"/>
      <c r="W72" s="1332"/>
      <c r="X72" s="1332"/>
      <c r="Y72" s="1332"/>
      <c r="Z72" s="1332"/>
      <c r="AA72" s="1332"/>
      <c r="AB72" s="1332"/>
    </row>
    <row r="73">
      <c r="A73" s="1332"/>
      <c r="B73" s="1366"/>
      <c r="C73" s="1366"/>
      <c r="D73" s="1375"/>
      <c r="E73" s="1332"/>
      <c r="F73" s="1332"/>
      <c r="G73" s="1378"/>
      <c r="H73" s="1378"/>
      <c r="I73" s="1332"/>
      <c r="J73" s="1332"/>
      <c r="K73" s="1332"/>
      <c r="L73" s="1332"/>
      <c r="M73" s="1332"/>
      <c r="N73" s="1332"/>
      <c r="O73" s="1332"/>
      <c r="P73" s="1332"/>
      <c r="Q73" s="1332"/>
      <c r="R73" s="1332"/>
      <c r="S73" s="1332"/>
      <c r="T73" s="1332"/>
      <c r="U73" s="1332"/>
      <c r="V73" s="1332"/>
      <c r="W73" s="1332"/>
      <c r="X73" s="1332"/>
      <c r="Y73" s="1332"/>
      <c r="Z73" s="1332"/>
      <c r="AA73" s="1332"/>
      <c r="AB73" s="1332"/>
    </row>
    <row r="74">
      <c r="A74" s="1332"/>
      <c r="B74" s="1366"/>
      <c r="C74" s="1366"/>
      <c r="D74" s="1375"/>
      <c r="E74" s="1332"/>
      <c r="F74" s="1332"/>
      <c r="G74" s="1378"/>
      <c r="H74" s="1378"/>
      <c r="I74" s="1332"/>
      <c r="J74" s="1332"/>
      <c r="K74" s="1332"/>
      <c r="L74" s="1332"/>
      <c r="M74" s="1332"/>
      <c r="N74" s="1332"/>
      <c r="O74" s="1332"/>
      <c r="P74" s="1332"/>
      <c r="Q74" s="1332"/>
      <c r="R74" s="1332"/>
      <c r="S74" s="1332"/>
      <c r="T74" s="1332"/>
      <c r="U74" s="1332"/>
      <c r="V74" s="1332"/>
      <c r="W74" s="1332"/>
      <c r="X74" s="1332"/>
      <c r="Y74" s="1332"/>
      <c r="Z74" s="1332"/>
      <c r="AA74" s="1332"/>
      <c r="AB74" s="1332"/>
    </row>
    <row r="75">
      <c r="A75" s="1332"/>
      <c r="B75" s="1366"/>
      <c r="C75" s="1366"/>
      <c r="D75" s="1375"/>
      <c r="E75" s="1332"/>
      <c r="F75" s="1332"/>
      <c r="G75" s="1378"/>
      <c r="H75" s="1378"/>
      <c r="I75" s="1332"/>
      <c r="J75" s="1332"/>
      <c r="K75" s="1332"/>
      <c r="L75" s="1332"/>
      <c r="M75" s="1332"/>
      <c r="N75" s="1332"/>
      <c r="O75" s="1332"/>
      <c r="P75" s="1332"/>
      <c r="Q75" s="1332"/>
      <c r="R75" s="1332"/>
      <c r="S75" s="1332"/>
      <c r="T75" s="1332"/>
      <c r="U75" s="1332"/>
      <c r="V75" s="1332"/>
      <c r="W75" s="1332"/>
      <c r="X75" s="1332"/>
      <c r="Y75" s="1332"/>
      <c r="Z75" s="1332"/>
      <c r="AA75" s="1332"/>
      <c r="AB75" s="1332"/>
    </row>
    <row r="76">
      <c r="A76" s="1332"/>
      <c r="B76" s="1366"/>
      <c r="C76" s="1366"/>
      <c r="D76" s="1375"/>
      <c r="E76" s="1332"/>
      <c r="F76" s="1332"/>
      <c r="G76" s="1378"/>
      <c r="H76" s="1378"/>
      <c r="I76" s="1332"/>
      <c r="J76" s="1332"/>
      <c r="K76" s="1332"/>
      <c r="L76" s="1332"/>
      <c r="M76" s="1332"/>
      <c r="N76" s="1332"/>
      <c r="O76" s="1332"/>
      <c r="P76" s="1332"/>
      <c r="Q76" s="1332"/>
      <c r="R76" s="1332"/>
      <c r="S76" s="1332"/>
      <c r="T76" s="1332"/>
      <c r="U76" s="1332"/>
      <c r="V76" s="1332"/>
      <c r="W76" s="1332"/>
      <c r="X76" s="1332"/>
      <c r="Y76" s="1332"/>
      <c r="Z76" s="1332"/>
      <c r="AA76" s="1332"/>
      <c r="AB76" s="1332"/>
    </row>
    <row r="77">
      <c r="A77" s="1332"/>
      <c r="B77" s="1366"/>
      <c r="C77" s="1366"/>
      <c r="D77" s="1375"/>
      <c r="E77" s="1332"/>
      <c r="F77" s="1332"/>
      <c r="G77" s="1378"/>
      <c r="H77" s="1378"/>
      <c r="I77" s="1332"/>
      <c r="J77" s="1332"/>
      <c r="K77" s="1332"/>
      <c r="L77" s="1332"/>
      <c r="M77" s="1332"/>
      <c r="N77" s="1332"/>
      <c r="O77" s="1332"/>
      <c r="P77" s="1332"/>
      <c r="Q77" s="1332"/>
      <c r="R77" s="1332"/>
      <c r="S77" s="1332"/>
      <c r="T77" s="1332"/>
      <c r="U77" s="1332"/>
      <c r="V77" s="1332"/>
      <c r="W77" s="1332"/>
      <c r="X77" s="1332"/>
      <c r="Y77" s="1332"/>
      <c r="Z77" s="1332"/>
      <c r="AA77" s="1332"/>
      <c r="AB77" s="1332"/>
    </row>
    <row r="78">
      <c r="A78" s="1332"/>
      <c r="B78" s="1366"/>
      <c r="C78" s="1366"/>
      <c r="D78" s="1375"/>
      <c r="E78" s="1332"/>
      <c r="F78" s="1332"/>
      <c r="G78" s="1378"/>
      <c r="H78" s="1378"/>
      <c r="I78" s="1332"/>
      <c r="J78" s="1332"/>
      <c r="K78" s="1332"/>
      <c r="L78" s="1332"/>
      <c r="M78" s="1332"/>
      <c r="N78" s="1332"/>
      <c r="O78" s="1332"/>
      <c r="P78" s="1332"/>
      <c r="Q78" s="1332"/>
      <c r="R78" s="1332"/>
      <c r="S78" s="1332"/>
      <c r="T78" s="1332"/>
      <c r="U78" s="1332"/>
      <c r="V78" s="1332"/>
      <c r="W78" s="1332"/>
      <c r="X78" s="1332"/>
      <c r="Y78" s="1332"/>
      <c r="Z78" s="1332"/>
      <c r="AA78" s="1332"/>
      <c r="AB78" s="1332"/>
    </row>
    <row r="79">
      <c r="A79" s="1332"/>
      <c r="B79" s="1366"/>
      <c r="C79" s="1366"/>
      <c r="D79" s="1375"/>
      <c r="E79" s="1332"/>
      <c r="F79" s="1332"/>
      <c r="G79" s="1378"/>
      <c r="H79" s="1378"/>
      <c r="I79" s="1332"/>
      <c r="J79" s="1332"/>
      <c r="K79" s="1332"/>
      <c r="L79" s="1332"/>
      <c r="M79" s="1332"/>
      <c r="N79" s="1332"/>
      <c r="O79" s="1332"/>
      <c r="P79" s="1332"/>
      <c r="Q79" s="1332"/>
      <c r="R79" s="1332"/>
      <c r="S79" s="1332"/>
      <c r="T79" s="1332"/>
      <c r="U79" s="1332"/>
      <c r="V79" s="1332"/>
      <c r="W79" s="1332"/>
      <c r="X79" s="1332"/>
      <c r="Y79" s="1332"/>
      <c r="Z79" s="1332"/>
      <c r="AA79" s="1332"/>
      <c r="AB79" s="1332"/>
    </row>
    <row r="80">
      <c r="A80" s="1332"/>
      <c r="B80" s="1366"/>
      <c r="C80" s="1366"/>
      <c r="D80" s="1375"/>
      <c r="E80" s="1332"/>
      <c r="F80" s="1332"/>
      <c r="G80" s="1378"/>
      <c r="H80" s="1378"/>
      <c r="I80" s="1332"/>
      <c r="J80" s="1332"/>
      <c r="K80" s="1332"/>
      <c r="L80" s="1332"/>
      <c r="M80" s="1332"/>
      <c r="N80" s="1332"/>
      <c r="O80" s="1332"/>
      <c r="P80" s="1332"/>
      <c r="Q80" s="1332"/>
      <c r="R80" s="1332"/>
      <c r="S80" s="1332"/>
      <c r="T80" s="1332"/>
      <c r="U80" s="1332"/>
      <c r="V80" s="1332"/>
      <c r="W80" s="1332"/>
      <c r="X80" s="1332"/>
      <c r="Y80" s="1332"/>
      <c r="Z80" s="1332"/>
      <c r="AA80" s="1332"/>
      <c r="AB80" s="1332"/>
    </row>
    <row r="81">
      <c r="A81" s="1332"/>
      <c r="B81" s="1366"/>
      <c r="C81" s="1366"/>
      <c r="D81" s="1375"/>
      <c r="E81" s="1332"/>
      <c r="F81" s="1332"/>
      <c r="G81" s="1378"/>
      <c r="H81" s="1378"/>
      <c r="I81" s="1332"/>
      <c r="J81" s="1332"/>
      <c r="K81" s="1332"/>
      <c r="L81" s="1332"/>
      <c r="M81" s="1332"/>
      <c r="N81" s="1332"/>
      <c r="O81" s="1332"/>
      <c r="P81" s="1332"/>
      <c r="Q81" s="1332"/>
      <c r="R81" s="1332"/>
      <c r="S81" s="1332"/>
      <c r="T81" s="1332"/>
      <c r="U81" s="1332"/>
      <c r="V81" s="1332"/>
      <c r="W81" s="1332"/>
      <c r="X81" s="1332"/>
      <c r="Y81" s="1332"/>
      <c r="Z81" s="1332"/>
      <c r="AA81" s="1332"/>
      <c r="AB81" s="1332"/>
    </row>
    <row r="82">
      <c r="A82" s="1332"/>
      <c r="B82" s="1366"/>
      <c r="C82" s="1366"/>
      <c r="D82" s="1375"/>
      <c r="E82" s="1332"/>
      <c r="F82" s="1332"/>
      <c r="G82" s="1378"/>
      <c r="H82" s="1378"/>
      <c r="I82" s="1332"/>
      <c r="J82" s="1332"/>
      <c r="K82" s="1332"/>
      <c r="L82" s="1332"/>
      <c r="M82" s="1332"/>
      <c r="N82" s="1332"/>
      <c r="O82" s="1332"/>
      <c r="P82" s="1332"/>
      <c r="Q82" s="1332"/>
      <c r="R82" s="1332"/>
      <c r="S82" s="1332"/>
      <c r="T82" s="1332"/>
      <c r="U82" s="1332"/>
      <c r="V82" s="1332"/>
      <c r="W82" s="1332"/>
      <c r="X82" s="1332"/>
      <c r="Y82" s="1332"/>
      <c r="Z82" s="1332"/>
      <c r="AA82" s="1332"/>
      <c r="AB82" s="1332"/>
    </row>
    <row r="83">
      <c r="A83" s="1332"/>
      <c r="B83" s="1366"/>
      <c r="C83" s="1366"/>
      <c r="D83" s="1375"/>
      <c r="E83" s="1332"/>
      <c r="F83" s="1332"/>
      <c r="G83" s="1378"/>
      <c r="H83" s="1378"/>
      <c r="I83" s="1332"/>
      <c r="J83" s="1332"/>
      <c r="K83" s="1332"/>
      <c r="L83" s="1332"/>
      <c r="M83" s="1332"/>
      <c r="N83" s="1332"/>
      <c r="O83" s="1332"/>
      <c r="P83" s="1332"/>
      <c r="Q83" s="1332"/>
      <c r="R83" s="1332"/>
      <c r="S83" s="1332"/>
      <c r="T83" s="1332"/>
      <c r="U83" s="1332"/>
      <c r="V83" s="1332"/>
      <c r="W83" s="1332"/>
      <c r="X83" s="1332"/>
      <c r="Y83" s="1332"/>
      <c r="Z83" s="1332"/>
      <c r="AA83" s="1332"/>
      <c r="AB83" s="1332"/>
    </row>
    <row r="84">
      <c r="A84" s="1332"/>
      <c r="B84" s="1366"/>
      <c r="C84" s="1366"/>
      <c r="D84" s="1375"/>
      <c r="E84" s="1332"/>
      <c r="F84" s="1332"/>
      <c r="G84" s="1378"/>
      <c r="H84" s="1378"/>
      <c r="I84" s="1332"/>
      <c r="J84" s="1332"/>
      <c r="K84" s="1332"/>
      <c r="L84" s="1332"/>
      <c r="M84" s="1332"/>
      <c r="N84" s="1332"/>
      <c r="O84" s="1332"/>
      <c r="P84" s="1332"/>
      <c r="Q84" s="1332"/>
      <c r="R84" s="1332"/>
      <c r="S84" s="1332"/>
      <c r="T84" s="1332"/>
      <c r="U84" s="1332"/>
      <c r="V84" s="1332"/>
      <c r="W84" s="1332"/>
      <c r="X84" s="1332"/>
      <c r="Y84" s="1332"/>
      <c r="Z84" s="1332"/>
      <c r="AA84" s="1332"/>
      <c r="AB84" s="1332"/>
    </row>
    <row r="85">
      <c r="A85" s="1332"/>
      <c r="B85" s="1366"/>
      <c r="C85" s="1366"/>
      <c r="D85" s="1375"/>
      <c r="E85" s="1332"/>
      <c r="F85" s="1332"/>
      <c r="G85" s="1378"/>
      <c r="H85" s="1378"/>
      <c r="I85" s="1332"/>
      <c r="J85" s="1332"/>
      <c r="K85" s="1332"/>
      <c r="L85" s="1332"/>
      <c r="M85" s="1332"/>
      <c r="N85" s="1332"/>
      <c r="O85" s="1332"/>
      <c r="P85" s="1332"/>
      <c r="Q85" s="1332"/>
      <c r="R85" s="1332"/>
      <c r="S85" s="1332"/>
      <c r="T85" s="1332"/>
      <c r="U85" s="1332"/>
      <c r="V85" s="1332"/>
      <c r="W85" s="1332"/>
      <c r="X85" s="1332"/>
      <c r="Y85" s="1332"/>
      <c r="Z85" s="1332"/>
      <c r="AA85" s="1332"/>
      <c r="AB85" s="1332"/>
    </row>
    <row r="86">
      <c r="A86" s="1332"/>
      <c r="B86" s="1366"/>
      <c r="C86" s="1366"/>
      <c r="D86" s="1375"/>
      <c r="E86" s="1332"/>
      <c r="F86" s="1332"/>
      <c r="G86" s="1378"/>
      <c r="H86" s="1378"/>
      <c r="I86" s="1332"/>
      <c r="J86" s="1332"/>
      <c r="K86" s="1332"/>
      <c r="L86" s="1332"/>
      <c r="M86" s="1332"/>
      <c r="N86" s="1332"/>
      <c r="O86" s="1332"/>
      <c r="P86" s="1332"/>
      <c r="Q86" s="1332"/>
      <c r="R86" s="1332"/>
      <c r="S86" s="1332"/>
      <c r="T86" s="1332"/>
      <c r="U86" s="1332"/>
      <c r="V86" s="1332"/>
      <c r="W86" s="1332"/>
      <c r="X86" s="1332"/>
      <c r="Y86" s="1332"/>
      <c r="Z86" s="1332"/>
      <c r="AA86" s="1332"/>
      <c r="AB86" s="1332"/>
    </row>
    <row r="87">
      <c r="A87" s="1332"/>
      <c r="B87" s="1366"/>
      <c r="C87" s="1366"/>
      <c r="D87" s="1375"/>
      <c r="E87" s="1332"/>
      <c r="F87" s="1332"/>
      <c r="G87" s="1378"/>
      <c r="H87" s="1378"/>
      <c r="I87" s="1332"/>
      <c r="J87" s="1332"/>
      <c r="K87" s="1332"/>
      <c r="L87" s="1332"/>
      <c r="M87" s="1332"/>
      <c r="N87" s="1332"/>
      <c r="O87" s="1332"/>
      <c r="P87" s="1332"/>
      <c r="Q87" s="1332"/>
      <c r="R87" s="1332"/>
      <c r="S87" s="1332"/>
      <c r="T87" s="1332"/>
      <c r="U87" s="1332"/>
      <c r="V87" s="1332"/>
      <c r="W87" s="1332"/>
      <c r="X87" s="1332"/>
      <c r="Y87" s="1332"/>
      <c r="Z87" s="1332"/>
      <c r="AA87" s="1332"/>
      <c r="AB87" s="1332"/>
    </row>
    <row r="88">
      <c r="A88" s="1332"/>
      <c r="B88" s="1366"/>
      <c r="C88" s="1366"/>
      <c r="D88" s="1375"/>
      <c r="E88" s="1332"/>
      <c r="F88" s="1332"/>
      <c r="G88" s="1378"/>
      <c r="H88" s="1378"/>
      <c r="I88" s="1332"/>
      <c r="J88" s="1332"/>
      <c r="K88" s="1332"/>
      <c r="L88" s="1332"/>
      <c r="M88" s="1332"/>
      <c r="N88" s="1332"/>
      <c r="O88" s="1332"/>
      <c r="P88" s="1332"/>
      <c r="Q88" s="1332"/>
      <c r="R88" s="1332"/>
      <c r="S88" s="1332"/>
      <c r="T88" s="1332"/>
      <c r="U88" s="1332"/>
      <c r="V88" s="1332"/>
      <c r="W88" s="1332"/>
      <c r="X88" s="1332"/>
      <c r="Y88" s="1332"/>
      <c r="Z88" s="1332"/>
      <c r="AA88" s="1332"/>
      <c r="AB88" s="1332"/>
    </row>
    <row r="89">
      <c r="A89" s="1332"/>
      <c r="B89" s="1366"/>
      <c r="C89" s="1366"/>
      <c r="D89" s="1375"/>
      <c r="E89" s="1332"/>
      <c r="F89" s="1332"/>
      <c r="G89" s="1378"/>
      <c r="H89" s="1378"/>
      <c r="I89" s="1332"/>
      <c r="J89" s="1332"/>
      <c r="K89" s="1332"/>
      <c r="L89" s="1332"/>
      <c r="M89" s="1332"/>
      <c r="N89" s="1332"/>
      <c r="O89" s="1332"/>
      <c r="P89" s="1332"/>
      <c r="Q89" s="1332"/>
      <c r="R89" s="1332"/>
      <c r="S89" s="1332"/>
      <c r="T89" s="1332"/>
      <c r="U89" s="1332"/>
      <c r="V89" s="1332"/>
      <c r="W89" s="1332"/>
      <c r="X89" s="1332"/>
      <c r="Y89" s="1332"/>
      <c r="Z89" s="1332"/>
      <c r="AA89" s="1332"/>
      <c r="AB89" s="1332"/>
    </row>
    <row r="90">
      <c r="A90" s="1332"/>
      <c r="B90" s="1366"/>
      <c r="C90" s="1366"/>
      <c r="D90" s="1375"/>
      <c r="E90" s="1332"/>
      <c r="F90" s="1332"/>
      <c r="G90" s="1378"/>
      <c r="H90" s="1378"/>
      <c r="I90" s="1332"/>
      <c r="J90" s="1332"/>
      <c r="K90" s="1332"/>
      <c r="L90" s="1332"/>
      <c r="M90" s="1332"/>
      <c r="N90" s="1332"/>
      <c r="O90" s="1332"/>
      <c r="P90" s="1332"/>
      <c r="Q90" s="1332"/>
      <c r="R90" s="1332"/>
      <c r="S90" s="1332"/>
      <c r="T90" s="1332"/>
      <c r="U90" s="1332"/>
      <c r="V90" s="1332"/>
      <c r="W90" s="1332"/>
      <c r="X90" s="1332"/>
      <c r="Y90" s="1332"/>
      <c r="Z90" s="1332"/>
      <c r="AA90" s="1332"/>
      <c r="AB90" s="1332"/>
    </row>
    <row r="91">
      <c r="A91" s="1332"/>
      <c r="B91" s="1366"/>
      <c r="C91" s="1366"/>
      <c r="D91" s="1375"/>
      <c r="E91" s="1332"/>
      <c r="F91" s="1332"/>
      <c r="G91" s="1378"/>
      <c r="H91" s="1378"/>
      <c r="I91" s="1332"/>
      <c r="J91" s="1332"/>
      <c r="K91" s="1332"/>
      <c r="L91" s="1332"/>
      <c r="M91" s="1332"/>
      <c r="N91" s="1332"/>
      <c r="O91" s="1332"/>
      <c r="P91" s="1332"/>
      <c r="Q91" s="1332"/>
      <c r="R91" s="1332"/>
      <c r="S91" s="1332"/>
      <c r="T91" s="1332"/>
      <c r="U91" s="1332"/>
      <c r="V91" s="1332"/>
      <c r="W91" s="1332"/>
      <c r="X91" s="1332"/>
      <c r="Y91" s="1332"/>
      <c r="Z91" s="1332"/>
      <c r="AA91" s="1332"/>
      <c r="AB91" s="1332"/>
    </row>
    <row r="92">
      <c r="A92" s="1332"/>
      <c r="B92" s="1366"/>
      <c r="C92" s="1366"/>
      <c r="D92" s="1375"/>
      <c r="E92" s="1332"/>
      <c r="F92" s="1332"/>
      <c r="G92" s="1378"/>
      <c r="H92" s="1378"/>
      <c r="I92" s="1332"/>
      <c r="J92" s="1332"/>
      <c r="K92" s="1332"/>
      <c r="L92" s="1332"/>
      <c r="M92" s="1332"/>
      <c r="N92" s="1332"/>
      <c r="O92" s="1332"/>
      <c r="P92" s="1332"/>
      <c r="Q92" s="1332"/>
      <c r="R92" s="1332"/>
      <c r="S92" s="1332"/>
      <c r="T92" s="1332"/>
      <c r="U92" s="1332"/>
      <c r="V92" s="1332"/>
      <c r="W92" s="1332"/>
      <c r="X92" s="1332"/>
      <c r="Y92" s="1332"/>
      <c r="Z92" s="1332"/>
      <c r="AA92" s="1332"/>
      <c r="AB92" s="1332"/>
    </row>
    <row r="93">
      <c r="A93" s="1332"/>
      <c r="B93" s="1366"/>
      <c r="C93" s="1366"/>
      <c r="D93" s="1375"/>
      <c r="E93" s="1332"/>
      <c r="F93" s="1332"/>
      <c r="G93" s="1378"/>
      <c r="H93" s="1378"/>
      <c r="I93" s="1332"/>
      <c r="J93" s="1332"/>
      <c r="K93" s="1332"/>
      <c r="L93" s="1332"/>
      <c r="M93" s="1332"/>
      <c r="N93" s="1332"/>
      <c r="O93" s="1332"/>
      <c r="P93" s="1332"/>
      <c r="Q93" s="1332"/>
      <c r="R93" s="1332"/>
      <c r="S93" s="1332"/>
      <c r="T93" s="1332"/>
      <c r="U93" s="1332"/>
      <c r="V93" s="1332"/>
      <c r="W93" s="1332"/>
      <c r="X93" s="1332"/>
      <c r="Y93" s="1332"/>
      <c r="Z93" s="1332"/>
      <c r="AA93" s="1332"/>
      <c r="AB93" s="1332"/>
    </row>
    <row r="94">
      <c r="A94" s="1332"/>
      <c r="B94" s="1366"/>
      <c r="C94" s="1366"/>
      <c r="D94" s="1375"/>
      <c r="E94" s="1332"/>
      <c r="F94" s="1332"/>
      <c r="G94" s="1378"/>
      <c r="H94" s="1378"/>
      <c r="I94" s="1332"/>
      <c r="J94" s="1332"/>
      <c r="K94" s="1332"/>
      <c r="L94" s="1332"/>
      <c r="M94" s="1332"/>
      <c r="N94" s="1332"/>
      <c r="O94" s="1332"/>
      <c r="P94" s="1332"/>
      <c r="Q94" s="1332"/>
      <c r="R94" s="1332"/>
      <c r="S94" s="1332"/>
      <c r="T94" s="1332"/>
      <c r="U94" s="1332"/>
      <c r="V94" s="1332"/>
      <c r="W94" s="1332"/>
      <c r="X94" s="1332"/>
      <c r="Y94" s="1332"/>
      <c r="Z94" s="1332"/>
      <c r="AA94" s="1332"/>
      <c r="AB94" s="1332"/>
    </row>
    <row r="95">
      <c r="A95" s="1332"/>
      <c r="B95" s="1366"/>
      <c r="C95" s="1366"/>
      <c r="D95" s="1375"/>
      <c r="E95" s="1332"/>
      <c r="F95" s="1332"/>
      <c r="G95" s="1378"/>
      <c r="H95" s="1378"/>
      <c r="I95" s="1332"/>
      <c r="J95" s="1332"/>
      <c r="K95" s="1332"/>
      <c r="L95" s="1332"/>
      <c r="M95" s="1332"/>
      <c r="N95" s="1332"/>
      <c r="O95" s="1332"/>
      <c r="P95" s="1332"/>
      <c r="Q95" s="1332"/>
      <c r="R95" s="1332"/>
      <c r="S95" s="1332"/>
      <c r="T95" s="1332"/>
      <c r="U95" s="1332"/>
      <c r="V95" s="1332"/>
      <c r="W95" s="1332"/>
      <c r="X95" s="1332"/>
      <c r="Y95" s="1332"/>
      <c r="Z95" s="1332"/>
      <c r="AA95" s="1332"/>
      <c r="AB95" s="1332"/>
    </row>
    <row r="96">
      <c r="A96" s="1332"/>
      <c r="B96" s="1366"/>
      <c r="C96" s="1366"/>
      <c r="D96" s="1375"/>
      <c r="E96" s="1332"/>
      <c r="F96" s="1332"/>
      <c r="G96" s="1378"/>
      <c r="H96" s="1378"/>
      <c r="I96" s="1332"/>
      <c r="J96" s="1332"/>
      <c r="K96" s="1332"/>
      <c r="L96" s="1332"/>
      <c r="M96" s="1332"/>
      <c r="N96" s="1332"/>
      <c r="O96" s="1332"/>
      <c r="P96" s="1332"/>
      <c r="Q96" s="1332"/>
      <c r="R96" s="1332"/>
      <c r="S96" s="1332"/>
      <c r="T96" s="1332"/>
      <c r="U96" s="1332"/>
      <c r="V96" s="1332"/>
      <c r="W96" s="1332"/>
      <c r="X96" s="1332"/>
      <c r="Y96" s="1332"/>
      <c r="Z96" s="1332"/>
      <c r="AA96" s="1332"/>
      <c r="AB96" s="1332"/>
    </row>
    <row r="97">
      <c r="A97" s="1332"/>
      <c r="B97" s="1366"/>
      <c r="C97" s="1366"/>
      <c r="D97" s="1375"/>
      <c r="E97" s="1332"/>
      <c r="F97" s="1332"/>
      <c r="G97" s="1378"/>
      <c r="H97" s="1378"/>
      <c r="I97" s="1332"/>
      <c r="J97" s="1332"/>
      <c r="K97" s="1332"/>
      <c r="L97" s="1332"/>
      <c r="M97" s="1332"/>
      <c r="N97" s="1332"/>
      <c r="O97" s="1332"/>
      <c r="P97" s="1332"/>
      <c r="Q97" s="1332"/>
      <c r="R97" s="1332"/>
      <c r="S97" s="1332"/>
      <c r="T97" s="1332"/>
      <c r="U97" s="1332"/>
      <c r="V97" s="1332"/>
      <c r="W97" s="1332"/>
      <c r="X97" s="1332"/>
      <c r="Y97" s="1332"/>
      <c r="Z97" s="1332"/>
      <c r="AA97" s="1332"/>
      <c r="AB97" s="1332"/>
    </row>
    <row r="98">
      <c r="A98" s="1332"/>
      <c r="B98" s="1366"/>
      <c r="C98" s="1366"/>
      <c r="D98" s="1375"/>
      <c r="E98" s="1332"/>
      <c r="F98" s="1332"/>
      <c r="G98" s="1378"/>
      <c r="H98" s="1378"/>
      <c r="I98" s="1332"/>
      <c r="J98" s="1332"/>
      <c r="K98" s="1332"/>
      <c r="L98" s="1332"/>
      <c r="M98" s="1332"/>
      <c r="N98" s="1332"/>
      <c r="O98" s="1332"/>
      <c r="P98" s="1332"/>
      <c r="Q98" s="1332"/>
      <c r="R98" s="1332"/>
      <c r="S98" s="1332"/>
      <c r="T98" s="1332"/>
      <c r="U98" s="1332"/>
      <c r="V98" s="1332"/>
      <c r="W98" s="1332"/>
      <c r="X98" s="1332"/>
      <c r="Y98" s="1332"/>
      <c r="Z98" s="1332"/>
      <c r="AA98" s="1332"/>
      <c r="AB98" s="1332"/>
    </row>
    <row r="99">
      <c r="A99" s="1332"/>
      <c r="B99" s="1366"/>
      <c r="C99" s="1366"/>
      <c r="D99" s="1375"/>
      <c r="E99" s="1332"/>
      <c r="F99" s="1332"/>
      <c r="G99" s="1378"/>
      <c r="H99" s="1378"/>
      <c r="I99" s="1332"/>
      <c r="J99" s="1332"/>
      <c r="K99" s="1332"/>
      <c r="L99" s="1332"/>
      <c r="M99" s="1332"/>
      <c r="N99" s="1332"/>
      <c r="O99" s="1332"/>
      <c r="P99" s="1332"/>
      <c r="Q99" s="1332"/>
      <c r="R99" s="1332"/>
      <c r="S99" s="1332"/>
      <c r="T99" s="1332"/>
      <c r="U99" s="1332"/>
      <c r="V99" s="1332"/>
      <c r="W99" s="1332"/>
      <c r="X99" s="1332"/>
      <c r="Y99" s="1332"/>
      <c r="Z99" s="1332"/>
      <c r="AA99" s="1332"/>
      <c r="AB99" s="1332"/>
    </row>
    <row r="100">
      <c r="A100" s="1332"/>
      <c r="B100" s="1366"/>
      <c r="C100" s="1366"/>
      <c r="D100" s="1375"/>
      <c r="E100" s="1332"/>
      <c r="F100" s="1332"/>
      <c r="G100" s="1378"/>
      <c r="H100" s="1378"/>
      <c r="I100" s="1332"/>
      <c r="J100" s="1332"/>
      <c r="K100" s="1332"/>
      <c r="L100" s="1332"/>
      <c r="M100" s="1332"/>
      <c r="N100" s="1332"/>
      <c r="O100" s="1332"/>
      <c r="P100" s="1332"/>
      <c r="Q100" s="1332"/>
      <c r="R100" s="1332"/>
      <c r="S100" s="1332"/>
      <c r="T100" s="1332"/>
      <c r="U100" s="1332"/>
      <c r="V100" s="1332"/>
      <c r="W100" s="1332"/>
      <c r="X100" s="1332"/>
      <c r="Y100" s="1332"/>
      <c r="Z100" s="1332"/>
      <c r="AA100" s="1332"/>
      <c r="AB100" s="1332"/>
    </row>
    <row r="101">
      <c r="A101" s="1332"/>
      <c r="B101" s="1366"/>
      <c r="C101" s="1366"/>
      <c r="D101" s="1375"/>
      <c r="E101" s="1332"/>
      <c r="F101" s="1332"/>
      <c r="G101" s="1378"/>
      <c r="H101" s="1378"/>
      <c r="I101" s="1332"/>
      <c r="J101" s="1332"/>
      <c r="K101" s="1332"/>
      <c r="L101" s="1332"/>
      <c r="M101" s="1332"/>
      <c r="N101" s="1332"/>
      <c r="O101" s="1332"/>
      <c r="P101" s="1332"/>
      <c r="Q101" s="1332"/>
      <c r="R101" s="1332"/>
      <c r="S101" s="1332"/>
      <c r="T101" s="1332"/>
      <c r="U101" s="1332"/>
      <c r="V101" s="1332"/>
      <c r="W101" s="1332"/>
      <c r="X101" s="1332"/>
      <c r="Y101" s="1332"/>
      <c r="Z101" s="1332"/>
      <c r="AA101" s="1332"/>
      <c r="AB101" s="1332"/>
    </row>
    <row r="102">
      <c r="A102" s="1332"/>
      <c r="B102" s="1366"/>
      <c r="C102" s="1366"/>
      <c r="D102" s="1375"/>
      <c r="E102" s="1332"/>
      <c r="F102" s="1332"/>
      <c r="G102" s="1378"/>
      <c r="H102" s="1378"/>
      <c r="I102" s="1332"/>
      <c r="J102" s="1332"/>
      <c r="K102" s="1332"/>
      <c r="L102" s="1332"/>
      <c r="M102" s="1332"/>
      <c r="N102" s="1332"/>
      <c r="O102" s="1332"/>
      <c r="P102" s="1332"/>
      <c r="Q102" s="1332"/>
      <c r="R102" s="1332"/>
      <c r="S102" s="1332"/>
      <c r="T102" s="1332"/>
      <c r="U102" s="1332"/>
      <c r="V102" s="1332"/>
      <c r="W102" s="1332"/>
      <c r="X102" s="1332"/>
      <c r="Y102" s="1332"/>
      <c r="Z102" s="1332"/>
      <c r="AA102" s="1332"/>
      <c r="AB102" s="1332"/>
    </row>
    <row r="103">
      <c r="A103" s="1332"/>
      <c r="B103" s="1366"/>
      <c r="C103" s="1366"/>
      <c r="D103" s="1375"/>
      <c r="E103" s="1332"/>
      <c r="F103" s="1332"/>
      <c r="G103" s="1378"/>
      <c r="H103" s="1378"/>
      <c r="I103" s="1332"/>
      <c r="J103" s="1332"/>
      <c r="K103" s="1332"/>
      <c r="L103" s="1332"/>
      <c r="M103" s="1332"/>
      <c r="N103" s="1332"/>
      <c r="O103" s="1332"/>
      <c r="P103" s="1332"/>
      <c r="Q103" s="1332"/>
      <c r="R103" s="1332"/>
      <c r="S103" s="1332"/>
      <c r="T103" s="1332"/>
      <c r="U103" s="1332"/>
      <c r="V103" s="1332"/>
      <c r="W103" s="1332"/>
      <c r="X103" s="1332"/>
      <c r="Y103" s="1332"/>
      <c r="Z103" s="1332"/>
      <c r="AA103" s="1332"/>
      <c r="AB103" s="1332"/>
    </row>
    <row r="104">
      <c r="A104" s="1332"/>
      <c r="B104" s="1366"/>
      <c r="C104" s="1366"/>
      <c r="D104" s="1375"/>
      <c r="E104" s="1332"/>
      <c r="F104" s="1332"/>
      <c r="G104" s="1378"/>
      <c r="H104" s="1378"/>
      <c r="I104" s="1332"/>
      <c r="J104" s="1332"/>
      <c r="K104" s="1332"/>
      <c r="L104" s="1332"/>
      <c r="M104" s="1332"/>
      <c r="N104" s="1332"/>
      <c r="O104" s="1332"/>
      <c r="P104" s="1332"/>
      <c r="Q104" s="1332"/>
      <c r="R104" s="1332"/>
      <c r="S104" s="1332"/>
      <c r="T104" s="1332"/>
      <c r="U104" s="1332"/>
      <c r="V104" s="1332"/>
      <c r="W104" s="1332"/>
      <c r="X104" s="1332"/>
      <c r="Y104" s="1332"/>
      <c r="Z104" s="1332"/>
      <c r="AA104" s="1332"/>
      <c r="AB104" s="1332"/>
    </row>
    <row r="105">
      <c r="A105" s="1332"/>
      <c r="B105" s="1366"/>
      <c r="C105" s="1366"/>
      <c r="D105" s="1375"/>
      <c r="E105" s="1332"/>
      <c r="F105" s="1332"/>
      <c r="G105" s="1378"/>
      <c r="H105" s="1378"/>
      <c r="I105" s="1332"/>
      <c r="J105" s="1332"/>
      <c r="K105" s="1332"/>
      <c r="L105" s="1332"/>
      <c r="M105" s="1332"/>
      <c r="N105" s="1332"/>
      <c r="O105" s="1332"/>
      <c r="P105" s="1332"/>
      <c r="Q105" s="1332"/>
      <c r="R105" s="1332"/>
      <c r="S105" s="1332"/>
      <c r="T105" s="1332"/>
      <c r="U105" s="1332"/>
      <c r="V105" s="1332"/>
      <c r="W105" s="1332"/>
      <c r="X105" s="1332"/>
      <c r="Y105" s="1332"/>
      <c r="Z105" s="1332"/>
      <c r="AA105" s="1332"/>
      <c r="AB105" s="1332"/>
    </row>
    <row r="106">
      <c r="A106" s="1332"/>
      <c r="B106" s="1366"/>
      <c r="C106" s="1366"/>
      <c r="D106" s="1375"/>
      <c r="E106" s="1332"/>
      <c r="F106" s="1332"/>
      <c r="G106" s="1378"/>
      <c r="H106" s="1378"/>
      <c r="I106" s="1332"/>
      <c r="J106" s="1332"/>
      <c r="K106" s="1332"/>
      <c r="L106" s="1332"/>
      <c r="M106" s="1332"/>
      <c r="N106" s="1332"/>
      <c r="O106" s="1332"/>
      <c r="P106" s="1332"/>
      <c r="Q106" s="1332"/>
      <c r="R106" s="1332"/>
      <c r="S106" s="1332"/>
      <c r="T106" s="1332"/>
      <c r="U106" s="1332"/>
      <c r="V106" s="1332"/>
      <c r="W106" s="1332"/>
      <c r="X106" s="1332"/>
      <c r="Y106" s="1332"/>
      <c r="Z106" s="1332"/>
      <c r="AA106" s="1332"/>
      <c r="AB106" s="1332"/>
    </row>
    <row r="107">
      <c r="A107" s="1332"/>
      <c r="B107" s="1366"/>
      <c r="C107" s="1366"/>
      <c r="D107" s="1375"/>
      <c r="E107" s="1332"/>
      <c r="F107" s="1332"/>
      <c r="G107" s="1378"/>
      <c r="H107" s="1378"/>
      <c r="I107" s="1332"/>
      <c r="J107" s="1332"/>
      <c r="K107" s="1332"/>
      <c r="L107" s="1332"/>
      <c r="M107" s="1332"/>
      <c r="N107" s="1332"/>
      <c r="O107" s="1332"/>
      <c r="P107" s="1332"/>
      <c r="Q107" s="1332"/>
      <c r="R107" s="1332"/>
      <c r="S107" s="1332"/>
      <c r="T107" s="1332"/>
      <c r="U107" s="1332"/>
      <c r="V107" s="1332"/>
      <c r="W107" s="1332"/>
      <c r="X107" s="1332"/>
      <c r="Y107" s="1332"/>
      <c r="Z107" s="1332"/>
      <c r="AA107" s="1332"/>
      <c r="AB107" s="1332"/>
    </row>
    <row r="108">
      <c r="A108" s="1332"/>
      <c r="B108" s="1366"/>
      <c r="C108" s="1366"/>
      <c r="D108" s="1375"/>
      <c r="E108" s="1332"/>
      <c r="F108" s="1332"/>
      <c r="G108" s="1378"/>
      <c r="H108" s="1378"/>
      <c r="I108" s="1332"/>
      <c r="J108" s="1332"/>
      <c r="K108" s="1332"/>
      <c r="L108" s="1332"/>
      <c r="M108" s="1332"/>
      <c r="N108" s="1332"/>
      <c r="O108" s="1332"/>
      <c r="P108" s="1332"/>
      <c r="Q108" s="1332"/>
      <c r="R108" s="1332"/>
      <c r="S108" s="1332"/>
      <c r="T108" s="1332"/>
      <c r="U108" s="1332"/>
      <c r="V108" s="1332"/>
      <c r="W108" s="1332"/>
      <c r="X108" s="1332"/>
      <c r="Y108" s="1332"/>
      <c r="Z108" s="1332"/>
      <c r="AA108" s="1332"/>
      <c r="AB108" s="1332"/>
    </row>
    <row r="109">
      <c r="A109" s="1332"/>
      <c r="B109" s="1366"/>
      <c r="C109" s="1366"/>
      <c r="D109" s="1375"/>
      <c r="E109" s="1332"/>
      <c r="F109" s="1332"/>
      <c r="G109" s="1378"/>
      <c r="H109" s="1378"/>
      <c r="I109" s="1332"/>
      <c r="J109" s="1332"/>
      <c r="K109" s="1332"/>
      <c r="L109" s="1332"/>
      <c r="M109" s="1332"/>
      <c r="N109" s="1332"/>
      <c r="O109" s="1332"/>
      <c r="P109" s="1332"/>
      <c r="Q109" s="1332"/>
      <c r="R109" s="1332"/>
      <c r="S109" s="1332"/>
      <c r="T109" s="1332"/>
      <c r="U109" s="1332"/>
      <c r="V109" s="1332"/>
      <c r="W109" s="1332"/>
      <c r="X109" s="1332"/>
      <c r="Y109" s="1332"/>
      <c r="Z109" s="1332"/>
      <c r="AA109" s="1332"/>
      <c r="AB109" s="1332"/>
    </row>
    <row r="110">
      <c r="A110" s="1332"/>
      <c r="B110" s="1366"/>
      <c r="C110" s="1366"/>
      <c r="D110" s="1375"/>
      <c r="E110" s="1332"/>
      <c r="F110" s="1332"/>
      <c r="G110" s="1378"/>
      <c r="H110" s="1378"/>
      <c r="I110" s="1332"/>
      <c r="J110" s="1332"/>
      <c r="K110" s="1332"/>
      <c r="L110" s="1332"/>
      <c r="M110" s="1332"/>
      <c r="N110" s="1332"/>
      <c r="O110" s="1332"/>
      <c r="P110" s="1332"/>
      <c r="Q110" s="1332"/>
      <c r="R110" s="1332"/>
      <c r="S110" s="1332"/>
      <c r="T110" s="1332"/>
      <c r="U110" s="1332"/>
      <c r="V110" s="1332"/>
      <c r="W110" s="1332"/>
      <c r="X110" s="1332"/>
      <c r="Y110" s="1332"/>
      <c r="Z110" s="1332"/>
      <c r="AA110" s="1332"/>
      <c r="AB110" s="1332"/>
    </row>
    <row r="111">
      <c r="A111" s="1332"/>
      <c r="B111" s="1366"/>
      <c r="C111" s="1366"/>
      <c r="D111" s="1375"/>
      <c r="E111" s="1332"/>
      <c r="F111" s="1332"/>
      <c r="G111" s="1378"/>
      <c r="H111" s="1378"/>
      <c r="I111" s="1332"/>
      <c r="J111" s="1332"/>
      <c r="K111" s="1332"/>
      <c r="L111" s="1332"/>
      <c r="M111" s="1332"/>
      <c r="N111" s="1332"/>
      <c r="O111" s="1332"/>
      <c r="P111" s="1332"/>
      <c r="Q111" s="1332"/>
      <c r="R111" s="1332"/>
      <c r="S111" s="1332"/>
      <c r="T111" s="1332"/>
      <c r="U111" s="1332"/>
      <c r="V111" s="1332"/>
      <c r="W111" s="1332"/>
      <c r="X111" s="1332"/>
      <c r="Y111" s="1332"/>
      <c r="Z111" s="1332"/>
      <c r="AA111" s="1332"/>
      <c r="AB111" s="1332"/>
    </row>
    <row r="112">
      <c r="A112" s="1332"/>
      <c r="B112" s="1366"/>
      <c r="C112" s="1366"/>
      <c r="D112" s="1375"/>
      <c r="E112" s="1332"/>
      <c r="F112" s="1332"/>
      <c r="G112" s="1378"/>
      <c r="H112" s="1378"/>
      <c r="I112" s="1332"/>
      <c r="J112" s="1332"/>
      <c r="K112" s="1332"/>
      <c r="L112" s="1332"/>
      <c r="M112" s="1332"/>
      <c r="N112" s="1332"/>
      <c r="O112" s="1332"/>
      <c r="P112" s="1332"/>
      <c r="Q112" s="1332"/>
      <c r="R112" s="1332"/>
      <c r="S112" s="1332"/>
      <c r="T112" s="1332"/>
      <c r="U112" s="1332"/>
      <c r="V112" s="1332"/>
      <c r="W112" s="1332"/>
      <c r="X112" s="1332"/>
      <c r="Y112" s="1332"/>
      <c r="Z112" s="1332"/>
      <c r="AA112" s="1332"/>
      <c r="AB112" s="1332"/>
    </row>
    <row r="113">
      <c r="A113" s="1332"/>
      <c r="B113" s="1366"/>
      <c r="C113" s="1366"/>
      <c r="D113" s="1375"/>
      <c r="E113" s="1332"/>
      <c r="F113" s="1332"/>
      <c r="G113" s="1378"/>
      <c r="H113" s="1378"/>
      <c r="I113" s="1332"/>
      <c r="J113" s="1332"/>
      <c r="K113" s="1332"/>
      <c r="L113" s="1332"/>
      <c r="M113" s="1332"/>
      <c r="N113" s="1332"/>
      <c r="O113" s="1332"/>
      <c r="P113" s="1332"/>
      <c r="Q113" s="1332"/>
      <c r="R113" s="1332"/>
      <c r="S113" s="1332"/>
      <c r="T113" s="1332"/>
      <c r="U113" s="1332"/>
      <c r="V113" s="1332"/>
      <c r="W113" s="1332"/>
      <c r="X113" s="1332"/>
      <c r="Y113" s="1332"/>
      <c r="Z113" s="1332"/>
      <c r="AA113" s="1332"/>
      <c r="AB113" s="1332"/>
    </row>
    <row r="114">
      <c r="A114" s="1332"/>
      <c r="B114" s="1366"/>
      <c r="C114" s="1366"/>
      <c r="D114" s="1375"/>
      <c r="E114" s="1332"/>
      <c r="F114" s="1332"/>
      <c r="G114" s="1378"/>
      <c r="H114" s="1378"/>
      <c r="I114" s="1332"/>
      <c r="J114" s="1332"/>
      <c r="K114" s="1332"/>
      <c r="L114" s="1332"/>
      <c r="M114" s="1332"/>
      <c r="N114" s="1332"/>
      <c r="O114" s="1332"/>
      <c r="P114" s="1332"/>
      <c r="Q114" s="1332"/>
      <c r="R114" s="1332"/>
      <c r="S114" s="1332"/>
      <c r="T114" s="1332"/>
      <c r="U114" s="1332"/>
      <c r="V114" s="1332"/>
      <c r="W114" s="1332"/>
      <c r="X114" s="1332"/>
      <c r="Y114" s="1332"/>
      <c r="Z114" s="1332"/>
      <c r="AA114" s="1332"/>
      <c r="AB114" s="1332"/>
    </row>
    <row r="115">
      <c r="A115" s="1332"/>
      <c r="B115" s="1366"/>
      <c r="C115" s="1366"/>
      <c r="D115" s="1375"/>
      <c r="E115" s="1332"/>
      <c r="F115" s="1332"/>
      <c r="G115" s="1378"/>
      <c r="H115" s="1378"/>
      <c r="I115" s="1332"/>
      <c r="J115" s="1332"/>
      <c r="K115" s="1332"/>
      <c r="L115" s="1332"/>
      <c r="M115" s="1332"/>
      <c r="N115" s="1332"/>
      <c r="O115" s="1332"/>
      <c r="P115" s="1332"/>
      <c r="Q115" s="1332"/>
      <c r="R115" s="1332"/>
      <c r="S115" s="1332"/>
      <c r="T115" s="1332"/>
      <c r="U115" s="1332"/>
      <c r="V115" s="1332"/>
      <c r="W115" s="1332"/>
      <c r="X115" s="1332"/>
      <c r="Y115" s="1332"/>
      <c r="Z115" s="1332"/>
      <c r="AA115" s="1332"/>
      <c r="AB115" s="1332"/>
    </row>
    <row r="116">
      <c r="A116" s="1332"/>
      <c r="B116" s="1366"/>
      <c r="C116" s="1366"/>
      <c r="D116" s="1375"/>
      <c r="E116" s="1332"/>
      <c r="F116" s="1332"/>
      <c r="G116" s="1378"/>
      <c r="H116" s="1378"/>
      <c r="I116" s="1332"/>
      <c r="J116" s="1332"/>
      <c r="K116" s="1332"/>
      <c r="L116" s="1332"/>
      <c r="M116" s="1332"/>
      <c r="N116" s="1332"/>
      <c r="O116" s="1332"/>
      <c r="P116" s="1332"/>
      <c r="Q116" s="1332"/>
      <c r="R116" s="1332"/>
      <c r="S116" s="1332"/>
      <c r="T116" s="1332"/>
      <c r="U116" s="1332"/>
      <c r="V116" s="1332"/>
      <c r="W116" s="1332"/>
      <c r="X116" s="1332"/>
      <c r="Y116" s="1332"/>
      <c r="Z116" s="1332"/>
      <c r="AA116" s="1332"/>
      <c r="AB116" s="1332"/>
    </row>
    <row r="117">
      <c r="A117" s="1332"/>
      <c r="B117" s="1366"/>
      <c r="C117" s="1366"/>
      <c r="D117" s="1375"/>
      <c r="E117" s="1332"/>
      <c r="F117" s="1332"/>
      <c r="G117" s="1378"/>
      <c r="H117" s="1378"/>
      <c r="I117" s="1332"/>
      <c r="J117" s="1332"/>
      <c r="K117" s="1332"/>
      <c r="L117" s="1332"/>
      <c r="M117" s="1332"/>
      <c r="N117" s="1332"/>
      <c r="O117" s="1332"/>
      <c r="P117" s="1332"/>
      <c r="Q117" s="1332"/>
      <c r="R117" s="1332"/>
      <c r="S117" s="1332"/>
      <c r="T117" s="1332"/>
      <c r="U117" s="1332"/>
      <c r="V117" s="1332"/>
      <c r="W117" s="1332"/>
      <c r="X117" s="1332"/>
      <c r="Y117" s="1332"/>
      <c r="Z117" s="1332"/>
      <c r="AA117" s="1332"/>
      <c r="AB117" s="1332"/>
    </row>
    <row r="118">
      <c r="A118" s="1332"/>
      <c r="B118" s="1366"/>
      <c r="C118" s="1366"/>
      <c r="D118" s="1375"/>
      <c r="E118" s="1332"/>
      <c r="F118" s="1332"/>
      <c r="G118" s="1378"/>
      <c r="H118" s="1378"/>
      <c r="I118" s="1332"/>
      <c r="J118" s="1332"/>
      <c r="K118" s="1332"/>
      <c r="L118" s="1332"/>
      <c r="M118" s="1332"/>
      <c r="N118" s="1332"/>
      <c r="O118" s="1332"/>
      <c r="P118" s="1332"/>
      <c r="Q118" s="1332"/>
      <c r="R118" s="1332"/>
      <c r="S118" s="1332"/>
      <c r="T118" s="1332"/>
      <c r="U118" s="1332"/>
      <c r="V118" s="1332"/>
      <c r="W118" s="1332"/>
      <c r="X118" s="1332"/>
      <c r="Y118" s="1332"/>
      <c r="Z118" s="1332"/>
      <c r="AA118" s="1332"/>
      <c r="AB118" s="1332"/>
    </row>
    <row r="119">
      <c r="A119" s="1332"/>
      <c r="B119" s="1366"/>
      <c r="C119" s="1366"/>
      <c r="D119" s="1375"/>
      <c r="E119" s="1332"/>
      <c r="F119" s="1332"/>
      <c r="G119" s="1378"/>
      <c r="H119" s="1378"/>
      <c r="I119" s="1332"/>
      <c r="J119" s="1332"/>
      <c r="K119" s="1332"/>
      <c r="L119" s="1332"/>
      <c r="M119" s="1332"/>
      <c r="N119" s="1332"/>
      <c r="O119" s="1332"/>
      <c r="P119" s="1332"/>
      <c r="Q119" s="1332"/>
      <c r="R119" s="1332"/>
      <c r="S119" s="1332"/>
      <c r="T119" s="1332"/>
      <c r="U119" s="1332"/>
      <c r="V119" s="1332"/>
      <c r="W119" s="1332"/>
      <c r="X119" s="1332"/>
      <c r="Y119" s="1332"/>
      <c r="Z119" s="1332"/>
      <c r="AA119" s="1332"/>
      <c r="AB119" s="1332"/>
    </row>
    <row r="120">
      <c r="A120" s="1332"/>
      <c r="B120" s="1366"/>
      <c r="C120" s="1366"/>
      <c r="D120" s="1375"/>
      <c r="E120" s="1332"/>
      <c r="F120" s="1332"/>
      <c r="G120" s="1378"/>
      <c r="H120" s="1378"/>
      <c r="I120" s="1332"/>
      <c r="J120" s="1332"/>
      <c r="K120" s="1332"/>
      <c r="L120" s="1332"/>
      <c r="M120" s="1332"/>
      <c r="N120" s="1332"/>
      <c r="O120" s="1332"/>
      <c r="P120" s="1332"/>
      <c r="Q120" s="1332"/>
      <c r="R120" s="1332"/>
      <c r="S120" s="1332"/>
      <c r="T120" s="1332"/>
      <c r="U120" s="1332"/>
      <c r="V120" s="1332"/>
      <c r="W120" s="1332"/>
      <c r="X120" s="1332"/>
      <c r="Y120" s="1332"/>
      <c r="Z120" s="1332"/>
      <c r="AA120" s="1332"/>
      <c r="AB120" s="1332"/>
    </row>
    <row r="121">
      <c r="A121" s="1332"/>
      <c r="B121" s="1366"/>
      <c r="C121" s="1366"/>
      <c r="D121" s="1375"/>
      <c r="E121" s="1332"/>
      <c r="F121" s="1332"/>
      <c r="G121" s="1378"/>
      <c r="H121" s="1378"/>
      <c r="I121" s="1332"/>
      <c r="J121" s="1332"/>
      <c r="K121" s="1332"/>
      <c r="L121" s="1332"/>
      <c r="M121" s="1332"/>
      <c r="N121" s="1332"/>
      <c r="O121" s="1332"/>
      <c r="P121" s="1332"/>
      <c r="Q121" s="1332"/>
      <c r="R121" s="1332"/>
      <c r="S121" s="1332"/>
      <c r="T121" s="1332"/>
      <c r="U121" s="1332"/>
      <c r="V121" s="1332"/>
      <c r="W121" s="1332"/>
      <c r="X121" s="1332"/>
      <c r="Y121" s="1332"/>
      <c r="Z121" s="1332"/>
      <c r="AA121" s="1332"/>
      <c r="AB121" s="1332"/>
    </row>
    <row r="122">
      <c r="A122" s="1332"/>
      <c r="B122" s="1366"/>
      <c r="C122" s="1366"/>
      <c r="D122" s="1375"/>
      <c r="E122" s="1332"/>
      <c r="F122" s="1332"/>
      <c r="G122" s="1378"/>
      <c r="H122" s="1378"/>
      <c r="I122" s="1332"/>
      <c r="J122" s="1332"/>
      <c r="K122" s="1332"/>
      <c r="L122" s="1332"/>
      <c r="M122" s="1332"/>
      <c r="N122" s="1332"/>
      <c r="O122" s="1332"/>
      <c r="P122" s="1332"/>
      <c r="Q122" s="1332"/>
      <c r="R122" s="1332"/>
      <c r="S122" s="1332"/>
      <c r="T122" s="1332"/>
      <c r="U122" s="1332"/>
      <c r="V122" s="1332"/>
      <c r="W122" s="1332"/>
      <c r="X122" s="1332"/>
      <c r="Y122" s="1332"/>
      <c r="Z122" s="1332"/>
      <c r="AA122" s="1332"/>
      <c r="AB122" s="1332"/>
    </row>
    <row r="123">
      <c r="A123" s="1332"/>
      <c r="B123" s="1366"/>
      <c r="C123" s="1366"/>
      <c r="D123" s="1375"/>
      <c r="E123" s="1332"/>
      <c r="F123" s="1332"/>
      <c r="G123" s="1378"/>
      <c r="H123" s="1378"/>
      <c r="I123" s="1332"/>
      <c r="J123" s="1332"/>
      <c r="K123" s="1332"/>
      <c r="L123" s="1332"/>
      <c r="M123" s="1332"/>
      <c r="N123" s="1332"/>
      <c r="O123" s="1332"/>
      <c r="P123" s="1332"/>
      <c r="Q123" s="1332"/>
      <c r="R123" s="1332"/>
      <c r="S123" s="1332"/>
      <c r="T123" s="1332"/>
      <c r="U123" s="1332"/>
      <c r="V123" s="1332"/>
      <c r="W123" s="1332"/>
      <c r="X123" s="1332"/>
      <c r="Y123" s="1332"/>
      <c r="Z123" s="1332"/>
      <c r="AA123" s="1332"/>
      <c r="AB123" s="1332"/>
    </row>
    <row r="124">
      <c r="A124" s="1332"/>
      <c r="B124" s="1366"/>
      <c r="C124" s="1366"/>
      <c r="D124" s="1375"/>
      <c r="E124" s="1332"/>
      <c r="F124" s="1332"/>
      <c r="G124" s="1378"/>
      <c r="H124" s="1378"/>
      <c r="I124" s="1332"/>
      <c r="J124" s="1332"/>
      <c r="K124" s="1332"/>
      <c r="L124" s="1332"/>
      <c r="M124" s="1332"/>
      <c r="N124" s="1332"/>
      <c r="O124" s="1332"/>
      <c r="P124" s="1332"/>
      <c r="Q124" s="1332"/>
      <c r="R124" s="1332"/>
      <c r="S124" s="1332"/>
      <c r="T124" s="1332"/>
      <c r="U124" s="1332"/>
      <c r="V124" s="1332"/>
      <c r="W124" s="1332"/>
      <c r="X124" s="1332"/>
      <c r="Y124" s="1332"/>
      <c r="Z124" s="1332"/>
      <c r="AA124" s="1332"/>
      <c r="AB124" s="1332"/>
    </row>
    <row r="125">
      <c r="A125" s="1332"/>
      <c r="B125" s="1366"/>
      <c r="C125" s="1366"/>
      <c r="D125" s="1375"/>
      <c r="E125" s="1332"/>
      <c r="F125" s="1332"/>
      <c r="G125" s="1378"/>
      <c r="H125" s="1378"/>
      <c r="I125" s="1332"/>
      <c r="J125" s="1332"/>
      <c r="K125" s="1332"/>
      <c r="L125" s="1332"/>
      <c r="M125" s="1332"/>
      <c r="N125" s="1332"/>
      <c r="O125" s="1332"/>
      <c r="P125" s="1332"/>
      <c r="Q125" s="1332"/>
      <c r="R125" s="1332"/>
      <c r="S125" s="1332"/>
      <c r="T125" s="1332"/>
      <c r="U125" s="1332"/>
      <c r="V125" s="1332"/>
      <c r="W125" s="1332"/>
      <c r="X125" s="1332"/>
      <c r="Y125" s="1332"/>
      <c r="Z125" s="1332"/>
      <c r="AA125" s="1332"/>
      <c r="AB125" s="1332"/>
    </row>
    <row r="126">
      <c r="A126" s="1332"/>
      <c r="B126" s="1366"/>
      <c r="C126" s="1366"/>
      <c r="D126" s="1375"/>
      <c r="E126" s="1332"/>
      <c r="F126" s="1332"/>
      <c r="G126" s="1378"/>
      <c r="H126" s="1378"/>
      <c r="I126" s="1332"/>
      <c r="J126" s="1332"/>
      <c r="K126" s="1332"/>
      <c r="L126" s="1332"/>
      <c r="M126" s="1332"/>
      <c r="N126" s="1332"/>
      <c r="O126" s="1332"/>
      <c r="P126" s="1332"/>
      <c r="Q126" s="1332"/>
      <c r="R126" s="1332"/>
      <c r="S126" s="1332"/>
      <c r="T126" s="1332"/>
      <c r="U126" s="1332"/>
      <c r="V126" s="1332"/>
      <c r="W126" s="1332"/>
      <c r="X126" s="1332"/>
      <c r="Y126" s="1332"/>
      <c r="Z126" s="1332"/>
      <c r="AA126" s="1332"/>
      <c r="AB126" s="1332"/>
    </row>
    <row r="127">
      <c r="A127" s="1332"/>
      <c r="B127" s="1366"/>
      <c r="C127" s="1366"/>
      <c r="D127" s="1375"/>
      <c r="E127" s="1332"/>
      <c r="F127" s="1332"/>
      <c r="G127" s="1378"/>
      <c r="H127" s="1378"/>
      <c r="I127" s="1332"/>
      <c r="J127" s="1332"/>
      <c r="K127" s="1332"/>
      <c r="L127" s="1332"/>
      <c r="M127" s="1332"/>
      <c r="N127" s="1332"/>
      <c r="O127" s="1332"/>
      <c r="P127" s="1332"/>
      <c r="Q127" s="1332"/>
      <c r="R127" s="1332"/>
      <c r="S127" s="1332"/>
      <c r="T127" s="1332"/>
      <c r="U127" s="1332"/>
      <c r="V127" s="1332"/>
      <c r="W127" s="1332"/>
      <c r="X127" s="1332"/>
      <c r="Y127" s="1332"/>
      <c r="Z127" s="1332"/>
      <c r="AA127" s="1332"/>
      <c r="AB127" s="1332"/>
    </row>
    <row r="128">
      <c r="A128" s="1332"/>
      <c r="B128" s="1366"/>
      <c r="C128" s="1366"/>
      <c r="D128" s="1375"/>
      <c r="E128" s="1332"/>
      <c r="F128" s="1332"/>
      <c r="G128" s="1378"/>
      <c r="H128" s="1378"/>
      <c r="I128" s="1332"/>
      <c r="J128" s="1332"/>
      <c r="K128" s="1332"/>
      <c r="L128" s="1332"/>
      <c r="M128" s="1332"/>
      <c r="N128" s="1332"/>
      <c r="O128" s="1332"/>
      <c r="P128" s="1332"/>
      <c r="Q128" s="1332"/>
      <c r="R128" s="1332"/>
      <c r="S128" s="1332"/>
      <c r="T128" s="1332"/>
      <c r="U128" s="1332"/>
      <c r="V128" s="1332"/>
      <c r="W128" s="1332"/>
      <c r="X128" s="1332"/>
      <c r="Y128" s="1332"/>
      <c r="Z128" s="1332"/>
      <c r="AA128" s="1332"/>
      <c r="AB128" s="1332"/>
    </row>
    <row r="129">
      <c r="A129" s="1332"/>
      <c r="B129" s="1366"/>
      <c r="C129" s="1366"/>
      <c r="D129" s="1375"/>
      <c r="E129" s="1332"/>
      <c r="F129" s="1332"/>
      <c r="G129" s="1378"/>
      <c r="H129" s="1378"/>
      <c r="I129" s="1332"/>
      <c r="J129" s="1332"/>
      <c r="K129" s="1332"/>
      <c r="L129" s="1332"/>
      <c r="M129" s="1332"/>
      <c r="N129" s="1332"/>
      <c r="O129" s="1332"/>
      <c r="P129" s="1332"/>
      <c r="Q129" s="1332"/>
      <c r="R129" s="1332"/>
      <c r="S129" s="1332"/>
      <c r="T129" s="1332"/>
      <c r="U129" s="1332"/>
      <c r="V129" s="1332"/>
      <c r="W129" s="1332"/>
      <c r="X129" s="1332"/>
      <c r="Y129" s="1332"/>
      <c r="Z129" s="1332"/>
      <c r="AA129" s="1332"/>
      <c r="AB129" s="1332"/>
    </row>
    <row r="130">
      <c r="A130" s="1332"/>
      <c r="B130" s="1366"/>
      <c r="C130" s="1366"/>
      <c r="D130" s="1375"/>
      <c r="E130" s="1332"/>
      <c r="F130" s="1332"/>
      <c r="G130" s="1378"/>
      <c r="H130" s="1378"/>
      <c r="I130" s="1332"/>
      <c r="J130" s="1332"/>
      <c r="K130" s="1332"/>
      <c r="L130" s="1332"/>
      <c r="M130" s="1332"/>
      <c r="N130" s="1332"/>
      <c r="O130" s="1332"/>
      <c r="P130" s="1332"/>
      <c r="Q130" s="1332"/>
      <c r="R130" s="1332"/>
      <c r="S130" s="1332"/>
      <c r="T130" s="1332"/>
      <c r="U130" s="1332"/>
      <c r="V130" s="1332"/>
      <c r="W130" s="1332"/>
      <c r="X130" s="1332"/>
      <c r="Y130" s="1332"/>
      <c r="Z130" s="1332"/>
      <c r="AA130" s="1332"/>
      <c r="AB130" s="1332"/>
    </row>
    <row r="131">
      <c r="A131" s="1332"/>
      <c r="B131" s="1366"/>
      <c r="C131" s="1366"/>
      <c r="D131" s="1375"/>
      <c r="E131" s="1332"/>
      <c r="F131" s="1332"/>
      <c r="G131" s="1378"/>
      <c r="H131" s="1378"/>
      <c r="I131" s="1332"/>
      <c r="J131" s="1332"/>
      <c r="K131" s="1332"/>
      <c r="L131" s="1332"/>
      <c r="M131" s="1332"/>
      <c r="N131" s="1332"/>
      <c r="O131" s="1332"/>
      <c r="P131" s="1332"/>
      <c r="Q131" s="1332"/>
      <c r="R131" s="1332"/>
      <c r="S131" s="1332"/>
      <c r="T131" s="1332"/>
      <c r="U131" s="1332"/>
      <c r="V131" s="1332"/>
      <c r="W131" s="1332"/>
      <c r="X131" s="1332"/>
      <c r="Y131" s="1332"/>
      <c r="Z131" s="1332"/>
      <c r="AA131" s="1332"/>
      <c r="AB131" s="1332"/>
    </row>
    <row r="132">
      <c r="A132" s="1332"/>
      <c r="B132" s="1366"/>
      <c r="C132" s="1366"/>
      <c r="D132" s="1375"/>
      <c r="E132" s="1332"/>
      <c r="F132" s="1332"/>
      <c r="G132" s="1378"/>
      <c r="H132" s="1378"/>
      <c r="I132" s="1332"/>
      <c r="J132" s="1332"/>
      <c r="K132" s="1332"/>
      <c r="L132" s="1332"/>
      <c r="M132" s="1332"/>
      <c r="N132" s="1332"/>
      <c r="O132" s="1332"/>
      <c r="P132" s="1332"/>
      <c r="Q132" s="1332"/>
      <c r="R132" s="1332"/>
      <c r="S132" s="1332"/>
      <c r="T132" s="1332"/>
      <c r="U132" s="1332"/>
      <c r="V132" s="1332"/>
      <c r="W132" s="1332"/>
      <c r="X132" s="1332"/>
      <c r="Y132" s="1332"/>
      <c r="Z132" s="1332"/>
      <c r="AA132" s="1332"/>
      <c r="AB132" s="1332"/>
    </row>
    <row r="133">
      <c r="A133" s="1332"/>
      <c r="B133" s="1366"/>
      <c r="C133" s="1366"/>
      <c r="D133" s="1375"/>
      <c r="E133" s="1332"/>
      <c r="F133" s="1332"/>
      <c r="G133" s="1378"/>
      <c r="H133" s="1378"/>
      <c r="I133" s="1332"/>
      <c r="J133" s="1332"/>
      <c r="K133" s="1332"/>
      <c r="L133" s="1332"/>
      <c r="M133" s="1332"/>
      <c r="N133" s="1332"/>
      <c r="O133" s="1332"/>
      <c r="P133" s="1332"/>
      <c r="Q133" s="1332"/>
      <c r="R133" s="1332"/>
      <c r="S133" s="1332"/>
      <c r="T133" s="1332"/>
      <c r="U133" s="1332"/>
      <c r="V133" s="1332"/>
      <c r="W133" s="1332"/>
      <c r="X133" s="1332"/>
      <c r="Y133" s="1332"/>
      <c r="Z133" s="1332"/>
      <c r="AA133" s="1332"/>
      <c r="AB133" s="1332"/>
    </row>
    <row r="134">
      <c r="A134" s="1332"/>
      <c r="B134" s="1366"/>
      <c r="C134" s="1366"/>
      <c r="D134" s="1375"/>
      <c r="E134" s="1332"/>
      <c r="F134" s="1332"/>
      <c r="G134" s="1378"/>
      <c r="H134" s="1378"/>
      <c r="I134" s="1332"/>
      <c r="J134" s="1332"/>
      <c r="K134" s="1332"/>
      <c r="L134" s="1332"/>
      <c r="M134" s="1332"/>
      <c r="N134" s="1332"/>
      <c r="O134" s="1332"/>
      <c r="P134" s="1332"/>
      <c r="Q134" s="1332"/>
      <c r="R134" s="1332"/>
      <c r="S134" s="1332"/>
      <c r="T134" s="1332"/>
      <c r="U134" s="1332"/>
      <c r="V134" s="1332"/>
      <c r="W134" s="1332"/>
      <c r="X134" s="1332"/>
      <c r="Y134" s="1332"/>
      <c r="Z134" s="1332"/>
      <c r="AA134" s="1332"/>
      <c r="AB134" s="1332"/>
    </row>
    <row r="135">
      <c r="A135" s="1332"/>
      <c r="B135" s="1366"/>
      <c r="C135" s="1366"/>
      <c r="D135" s="1375"/>
      <c r="E135" s="1332"/>
      <c r="F135" s="1332"/>
      <c r="G135" s="1378"/>
      <c r="H135" s="1378"/>
      <c r="I135" s="1332"/>
      <c r="J135" s="1332"/>
      <c r="K135" s="1332"/>
      <c r="L135" s="1332"/>
      <c r="M135" s="1332"/>
      <c r="N135" s="1332"/>
      <c r="O135" s="1332"/>
      <c r="P135" s="1332"/>
      <c r="Q135" s="1332"/>
      <c r="R135" s="1332"/>
      <c r="S135" s="1332"/>
      <c r="T135" s="1332"/>
      <c r="U135" s="1332"/>
      <c r="V135" s="1332"/>
      <c r="W135" s="1332"/>
      <c r="X135" s="1332"/>
      <c r="Y135" s="1332"/>
      <c r="Z135" s="1332"/>
      <c r="AA135" s="1332"/>
      <c r="AB135" s="1332"/>
    </row>
    <row r="136">
      <c r="A136" s="1332"/>
      <c r="B136" s="1366"/>
      <c r="C136" s="1366"/>
      <c r="D136" s="1375"/>
      <c r="E136" s="1332"/>
      <c r="F136" s="1332"/>
      <c r="G136" s="1378"/>
      <c r="H136" s="1378"/>
      <c r="I136" s="1332"/>
      <c r="J136" s="1332"/>
      <c r="K136" s="1332"/>
      <c r="L136" s="1332"/>
      <c r="M136" s="1332"/>
      <c r="N136" s="1332"/>
      <c r="O136" s="1332"/>
      <c r="P136" s="1332"/>
      <c r="Q136" s="1332"/>
      <c r="R136" s="1332"/>
      <c r="S136" s="1332"/>
      <c r="T136" s="1332"/>
      <c r="U136" s="1332"/>
      <c r="V136" s="1332"/>
      <c r="W136" s="1332"/>
      <c r="X136" s="1332"/>
      <c r="Y136" s="1332"/>
      <c r="Z136" s="1332"/>
      <c r="AA136" s="1332"/>
      <c r="AB136" s="1332"/>
    </row>
    <row r="137">
      <c r="A137" s="1332"/>
      <c r="B137" s="1366"/>
      <c r="C137" s="1366"/>
      <c r="D137" s="1375"/>
      <c r="E137" s="1332"/>
      <c r="F137" s="1332"/>
      <c r="G137" s="1378"/>
      <c r="H137" s="1378"/>
      <c r="I137" s="1332"/>
      <c r="J137" s="1332"/>
      <c r="K137" s="1332"/>
      <c r="L137" s="1332"/>
      <c r="M137" s="1332"/>
      <c r="N137" s="1332"/>
      <c r="O137" s="1332"/>
      <c r="P137" s="1332"/>
      <c r="Q137" s="1332"/>
      <c r="R137" s="1332"/>
      <c r="S137" s="1332"/>
      <c r="T137" s="1332"/>
      <c r="U137" s="1332"/>
      <c r="V137" s="1332"/>
      <c r="W137" s="1332"/>
      <c r="X137" s="1332"/>
      <c r="Y137" s="1332"/>
      <c r="Z137" s="1332"/>
      <c r="AA137" s="1332"/>
      <c r="AB137" s="1332"/>
    </row>
    <row r="138">
      <c r="A138" s="1332"/>
      <c r="B138" s="1366"/>
      <c r="C138" s="1366"/>
      <c r="D138" s="1375"/>
      <c r="E138" s="1332"/>
      <c r="F138" s="1332"/>
      <c r="G138" s="1378"/>
      <c r="H138" s="1378"/>
      <c r="I138" s="1332"/>
      <c r="J138" s="1332"/>
      <c r="K138" s="1332"/>
      <c r="L138" s="1332"/>
      <c r="M138" s="1332"/>
      <c r="N138" s="1332"/>
      <c r="O138" s="1332"/>
      <c r="P138" s="1332"/>
      <c r="Q138" s="1332"/>
      <c r="R138" s="1332"/>
      <c r="S138" s="1332"/>
      <c r="T138" s="1332"/>
      <c r="U138" s="1332"/>
      <c r="V138" s="1332"/>
      <c r="W138" s="1332"/>
      <c r="X138" s="1332"/>
      <c r="Y138" s="1332"/>
      <c r="Z138" s="1332"/>
      <c r="AA138" s="1332"/>
      <c r="AB138" s="1332"/>
    </row>
    <row r="139">
      <c r="A139" s="1332"/>
      <c r="B139" s="1366"/>
      <c r="C139" s="1366"/>
      <c r="D139" s="1375"/>
      <c r="E139" s="1332"/>
      <c r="F139" s="1332"/>
      <c r="G139" s="1378"/>
      <c r="H139" s="1378"/>
      <c r="I139" s="1332"/>
      <c r="J139" s="1332"/>
      <c r="K139" s="1332"/>
      <c r="L139" s="1332"/>
      <c r="M139" s="1332"/>
      <c r="N139" s="1332"/>
      <c r="O139" s="1332"/>
      <c r="P139" s="1332"/>
      <c r="Q139" s="1332"/>
      <c r="R139" s="1332"/>
      <c r="S139" s="1332"/>
      <c r="T139" s="1332"/>
      <c r="U139" s="1332"/>
      <c r="V139" s="1332"/>
      <c r="W139" s="1332"/>
      <c r="X139" s="1332"/>
      <c r="Y139" s="1332"/>
      <c r="Z139" s="1332"/>
      <c r="AA139" s="1332"/>
      <c r="AB139" s="1332"/>
    </row>
    <row r="140">
      <c r="A140" s="1332"/>
      <c r="B140" s="1366"/>
      <c r="C140" s="1366"/>
      <c r="D140" s="1375"/>
      <c r="E140" s="1332"/>
      <c r="F140" s="1332"/>
      <c r="G140" s="1378"/>
      <c r="H140" s="1378"/>
      <c r="I140" s="1332"/>
      <c r="J140" s="1332"/>
      <c r="K140" s="1332"/>
      <c r="L140" s="1332"/>
      <c r="M140" s="1332"/>
      <c r="N140" s="1332"/>
      <c r="O140" s="1332"/>
      <c r="P140" s="1332"/>
      <c r="Q140" s="1332"/>
      <c r="R140" s="1332"/>
      <c r="S140" s="1332"/>
      <c r="T140" s="1332"/>
      <c r="U140" s="1332"/>
      <c r="V140" s="1332"/>
      <c r="W140" s="1332"/>
      <c r="X140" s="1332"/>
      <c r="Y140" s="1332"/>
      <c r="Z140" s="1332"/>
      <c r="AA140" s="1332"/>
      <c r="AB140" s="1332"/>
    </row>
    <row r="141">
      <c r="A141" s="1332"/>
      <c r="B141" s="1366"/>
      <c r="C141" s="1366"/>
      <c r="D141" s="1375"/>
      <c r="E141" s="1332"/>
      <c r="F141" s="1332"/>
      <c r="G141" s="1378"/>
      <c r="H141" s="1378"/>
      <c r="I141" s="1332"/>
      <c r="J141" s="1332"/>
      <c r="K141" s="1332"/>
      <c r="L141" s="1332"/>
      <c r="M141" s="1332"/>
      <c r="N141" s="1332"/>
      <c r="O141" s="1332"/>
      <c r="P141" s="1332"/>
      <c r="Q141" s="1332"/>
      <c r="R141" s="1332"/>
      <c r="S141" s="1332"/>
      <c r="T141" s="1332"/>
      <c r="U141" s="1332"/>
      <c r="V141" s="1332"/>
      <c r="W141" s="1332"/>
      <c r="X141" s="1332"/>
      <c r="Y141" s="1332"/>
      <c r="Z141" s="1332"/>
      <c r="AA141" s="1332"/>
      <c r="AB141" s="1332"/>
    </row>
    <row r="142">
      <c r="A142" s="1332"/>
      <c r="B142" s="1366"/>
      <c r="C142" s="1366"/>
      <c r="D142" s="1375"/>
      <c r="E142" s="1332"/>
      <c r="F142" s="1332"/>
      <c r="G142" s="1378"/>
      <c r="H142" s="1378"/>
      <c r="I142" s="1332"/>
      <c r="J142" s="1332"/>
      <c r="K142" s="1332"/>
      <c r="L142" s="1332"/>
      <c r="M142" s="1332"/>
      <c r="N142" s="1332"/>
      <c r="O142" s="1332"/>
      <c r="P142" s="1332"/>
      <c r="Q142" s="1332"/>
      <c r="R142" s="1332"/>
      <c r="S142" s="1332"/>
      <c r="T142" s="1332"/>
      <c r="U142" s="1332"/>
      <c r="V142" s="1332"/>
      <c r="W142" s="1332"/>
      <c r="X142" s="1332"/>
      <c r="Y142" s="1332"/>
      <c r="Z142" s="1332"/>
      <c r="AA142" s="1332"/>
      <c r="AB142" s="1332"/>
    </row>
    <row r="143">
      <c r="A143" s="1332"/>
      <c r="B143" s="1366"/>
      <c r="C143" s="1366"/>
      <c r="D143" s="1375"/>
      <c r="E143" s="1332"/>
      <c r="F143" s="1332"/>
      <c r="G143" s="1378"/>
      <c r="H143" s="1378"/>
      <c r="I143" s="1332"/>
      <c r="J143" s="1332"/>
      <c r="K143" s="1332"/>
      <c r="L143" s="1332"/>
      <c r="M143" s="1332"/>
      <c r="N143" s="1332"/>
      <c r="O143" s="1332"/>
      <c r="P143" s="1332"/>
      <c r="Q143" s="1332"/>
      <c r="R143" s="1332"/>
      <c r="S143" s="1332"/>
      <c r="T143" s="1332"/>
      <c r="U143" s="1332"/>
      <c r="V143" s="1332"/>
      <c r="W143" s="1332"/>
      <c r="X143" s="1332"/>
      <c r="Y143" s="1332"/>
      <c r="Z143" s="1332"/>
      <c r="AA143" s="1332"/>
      <c r="AB143" s="1332"/>
    </row>
    <row r="144">
      <c r="A144" s="1332"/>
      <c r="B144" s="1366"/>
      <c r="C144" s="1366"/>
      <c r="D144" s="1375"/>
      <c r="E144" s="1332"/>
      <c r="F144" s="1332"/>
      <c r="G144" s="1378"/>
      <c r="H144" s="1378"/>
      <c r="I144" s="1332"/>
      <c r="J144" s="1332"/>
      <c r="K144" s="1332"/>
      <c r="L144" s="1332"/>
      <c r="M144" s="1332"/>
      <c r="N144" s="1332"/>
      <c r="O144" s="1332"/>
      <c r="P144" s="1332"/>
      <c r="Q144" s="1332"/>
      <c r="R144" s="1332"/>
      <c r="S144" s="1332"/>
      <c r="T144" s="1332"/>
      <c r="U144" s="1332"/>
      <c r="V144" s="1332"/>
      <c r="W144" s="1332"/>
      <c r="X144" s="1332"/>
      <c r="Y144" s="1332"/>
      <c r="Z144" s="1332"/>
      <c r="AA144" s="1332"/>
      <c r="AB144" s="1332"/>
    </row>
    <row r="145">
      <c r="A145" s="1332"/>
      <c r="B145" s="1366"/>
      <c r="C145" s="1366"/>
      <c r="D145" s="1375"/>
      <c r="E145" s="1332"/>
      <c r="F145" s="1332"/>
      <c r="G145" s="1378"/>
      <c r="H145" s="1378"/>
      <c r="I145" s="1332"/>
      <c r="J145" s="1332"/>
      <c r="K145" s="1332"/>
      <c r="L145" s="1332"/>
      <c r="M145" s="1332"/>
      <c r="N145" s="1332"/>
      <c r="O145" s="1332"/>
      <c r="P145" s="1332"/>
      <c r="Q145" s="1332"/>
      <c r="R145" s="1332"/>
      <c r="S145" s="1332"/>
      <c r="T145" s="1332"/>
      <c r="U145" s="1332"/>
      <c r="V145" s="1332"/>
      <c r="W145" s="1332"/>
      <c r="X145" s="1332"/>
      <c r="Y145" s="1332"/>
      <c r="Z145" s="1332"/>
      <c r="AA145" s="1332"/>
      <c r="AB145" s="1332"/>
    </row>
    <row r="146">
      <c r="A146" s="1332"/>
      <c r="B146" s="1366"/>
      <c r="C146" s="1366"/>
      <c r="D146" s="1375"/>
      <c r="E146" s="1332"/>
      <c r="F146" s="1332"/>
      <c r="G146" s="1378"/>
      <c r="H146" s="1378"/>
      <c r="I146" s="1332"/>
      <c r="J146" s="1332"/>
      <c r="K146" s="1332"/>
      <c r="L146" s="1332"/>
      <c r="M146" s="1332"/>
      <c r="N146" s="1332"/>
      <c r="O146" s="1332"/>
      <c r="P146" s="1332"/>
      <c r="Q146" s="1332"/>
      <c r="R146" s="1332"/>
      <c r="S146" s="1332"/>
      <c r="T146" s="1332"/>
      <c r="U146" s="1332"/>
      <c r="V146" s="1332"/>
      <c r="W146" s="1332"/>
      <c r="X146" s="1332"/>
      <c r="Y146" s="1332"/>
      <c r="Z146" s="1332"/>
      <c r="AA146" s="1332"/>
      <c r="AB146" s="1332"/>
    </row>
    <row r="147">
      <c r="A147" s="1332"/>
      <c r="B147" s="1366"/>
      <c r="C147" s="1366"/>
      <c r="D147" s="1375"/>
      <c r="E147" s="1332"/>
      <c r="F147" s="1332"/>
      <c r="G147" s="1378"/>
      <c r="H147" s="1378"/>
      <c r="I147" s="1332"/>
      <c r="J147" s="1332"/>
      <c r="K147" s="1332"/>
      <c r="L147" s="1332"/>
      <c r="M147" s="1332"/>
      <c r="N147" s="1332"/>
      <c r="O147" s="1332"/>
      <c r="P147" s="1332"/>
      <c r="Q147" s="1332"/>
      <c r="R147" s="1332"/>
      <c r="S147" s="1332"/>
      <c r="T147" s="1332"/>
      <c r="U147" s="1332"/>
      <c r="V147" s="1332"/>
      <c r="W147" s="1332"/>
      <c r="X147" s="1332"/>
      <c r="Y147" s="1332"/>
      <c r="Z147" s="1332"/>
      <c r="AA147" s="1332"/>
      <c r="AB147" s="1332"/>
    </row>
    <row r="148">
      <c r="A148" s="1332"/>
      <c r="B148" s="1366"/>
      <c r="C148" s="1366"/>
      <c r="D148" s="1375"/>
      <c r="E148" s="1332"/>
      <c r="F148" s="1332"/>
      <c r="G148" s="1378"/>
      <c r="H148" s="1378"/>
      <c r="I148" s="1332"/>
      <c r="J148" s="1332"/>
      <c r="K148" s="1332"/>
      <c r="L148" s="1332"/>
      <c r="M148" s="1332"/>
      <c r="N148" s="1332"/>
      <c r="O148" s="1332"/>
      <c r="P148" s="1332"/>
      <c r="Q148" s="1332"/>
      <c r="R148" s="1332"/>
      <c r="S148" s="1332"/>
      <c r="T148" s="1332"/>
      <c r="U148" s="1332"/>
      <c r="V148" s="1332"/>
      <c r="W148" s="1332"/>
      <c r="X148" s="1332"/>
      <c r="Y148" s="1332"/>
      <c r="Z148" s="1332"/>
      <c r="AA148" s="1332"/>
      <c r="AB148" s="1332"/>
    </row>
    <row r="149">
      <c r="A149" s="1332"/>
      <c r="B149" s="1366"/>
      <c r="C149" s="1366"/>
      <c r="D149" s="1375"/>
      <c r="E149" s="1332"/>
      <c r="F149" s="1332"/>
      <c r="G149" s="1378"/>
      <c r="H149" s="1378"/>
      <c r="I149" s="1332"/>
      <c r="J149" s="1332"/>
      <c r="K149" s="1332"/>
      <c r="L149" s="1332"/>
      <c r="M149" s="1332"/>
      <c r="N149" s="1332"/>
      <c r="O149" s="1332"/>
      <c r="P149" s="1332"/>
      <c r="Q149" s="1332"/>
      <c r="R149" s="1332"/>
      <c r="S149" s="1332"/>
      <c r="T149" s="1332"/>
      <c r="U149" s="1332"/>
      <c r="V149" s="1332"/>
      <c r="W149" s="1332"/>
      <c r="X149" s="1332"/>
      <c r="Y149" s="1332"/>
      <c r="Z149" s="1332"/>
      <c r="AA149" s="1332"/>
      <c r="AB149" s="1332"/>
    </row>
    <row r="150">
      <c r="A150" s="1332"/>
      <c r="B150" s="1366"/>
      <c r="C150" s="1366"/>
      <c r="D150" s="1375"/>
      <c r="E150" s="1332"/>
      <c r="F150" s="1332"/>
      <c r="G150" s="1378"/>
      <c r="H150" s="1378"/>
      <c r="I150" s="1332"/>
      <c r="J150" s="1332"/>
      <c r="K150" s="1332"/>
      <c r="L150" s="1332"/>
      <c r="M150" s="1332"/>
      <c r="N150" s="1332"/>
      <c r="O150" s="1332"/>
      <c r="P150" s="1332"/>
      <c r="Q150" s="1332"/>
      <c r="R150" s="1332"/>
      <c r="S150" s="1332"/>
      <c r="T150" s="1332"/>
      <c r="U150" s="1332"/>
      <c r="V150" s="1332"/>
      <c r="W150" s="1332"/>
      <c r="X150" s="1332"/>
      <c r="Y150" s="1332"/>
      <c r="Z150" s="1332"/>
      <c r="AA150" s="1332"/>
      <c r="AB150" s="1332"/>
    </row>
    <row r="151">
      <c r="A151" s="1332"/>
      <c r="B151" s="1366"/>
      <c r="C151" s="1366"/>
      <c r="D151" s="1375"/>
      <c r="E151" s="1332"/>
      <c r="F151" s="1332"/>
      <c r="G151" s="1378"/>
      <c r="H151" s="1378"/>
      <c r="I151" s="1332"/>
      <c r="J151" s="1332"/>
      <c r="K151" s="1332"/>
      <c r="L151" s="1332"/>
      <c r="M151" s="1332"/>
      <c r="N151" s="1332"/>
      <c r="O151" s="1332"/>
      <c r="P151" s="1332"/>
      <c r="Q151" s="1332"/>
      <c r="R151" s="1332"/>
      <c r="S151" s="1332"/>
      <c r="T151" s="1332"/>
      <c r="U151" s="1332"/>
      <c r="V151" s="1332"/>
      <c r="W151" s="1332"/>
      <c r="X151" s="1332"/>
      <c r="Y151" s="1332"/>
      <c r="Z151" s="1332"/>
      <c r="AA151" s="1332"/>
      <c r="AB151" s="1332"/>
    </row>
    <row r="152">
      <c r="A152" s="1332"/>
      <c r="B152" s="1366"/>
      <c r="C152" s="1366"/>
      <c r="D152" s="1375"/>
      <c r="E152" s="1332"/>
      <c r="F152" s="1332"/>
      <c r="G152" s="1378"/>
      <c r="H152" s="1378"/>
      <c r="I152" s="1332"/>
      <c r="J152" s="1332"/>
      <c r="K152" s="1332"/>
      <c r="L152" s="1332"/>
      <c r="M152" s="1332"/>
      <c r="N152" s="1332"/>
      <c r="O152" s="1332"/>
      <c r="P152" s="1332"/>
      <c r="Q152" s="1332"/>
      <c r="R152" s="1332"/>
      <c r="S152" s="1332"/>
      <c r="T152" s="1332"/>
      <c r="U152" s="1332"/>
      <c r="V152" s="1332"/>
      <c r="W152" s="1332"/>
      <c r="X152" s="1332"/>
      <c r="Y152" s="1332"/>
      <c r="Z152" s="1332"/>
      <c r="AA152" s="1332"/>
      <c r="AB152" s="1332"/>
    </row>
    <row r="153">
      <c r="A153" s="1332"/>
      <c r="B153" s="1366"/>
      <c r="C153" s="1366"/>
      <c r="D153" s="1375"/>
      <c r="E153" s="1332"/>
      <c r="F153" s="1332"/>
      <c r="G153" s="1378"/>
      <c r="H153" s="1378"/>
      <c r="I153" s="1332"/>
      <c r="J153" s="1332"/>
      <c r="K153" s="1332"/>
      <c r="L153" s="1332"/>
      <c r="M153" s="1332"/>
      <c r="N153" s="1332"/>
      <c r="O153" s="1332"/>
      <c r="P153" s="1332"/>
      <c r="Q153" s="1332"/>
      <c r="R153" s="1332"/>
      <c r="S153" s="1332"/>
      <c r="T153" s="1332"/>
      <c r="U153" s="1332"/>
      <c r="V153" s="1332"/>
      <c r="W153" s="1332"/>
      <c r="X153" s="1332"/>
      <c r="Y153" s="1332"/>
      <c r="Z153" s="1332"/>
      <c r="AA153" s="1332"/>
      <c r="AB153" s="1332"/>
    </row>
    <row r="154">
      <c r="A154" s="1332"/>
      <c r="B154" s="1366"/>
      <c r="C154" s="1366"/>
      <c r="D154" s="1375"/>
      <c r="E154" s="1332"/>
      <c r="F154" s="1332"/>
      <c r="G154" s="1378"/>
      <c r="H154" s="1378"/>
      <c r="I154" s="1332"/>
      <c r="J154" s="1332"/>
      <c r="K154" s="1332"/>
      <c r="L154" s="1332"/>
      <c r="M154" s="1332"/>
      <c r="N154" s="1332"/>
      <c r="O154" s="1332"/>
      <c r="P154" s="1332"/>
      <c r="Q154" s="1332"/>
      <c r="R154" s="1332"/>
      <c r="S154" s="1332"/>
      <c r="T154" s="1332"/>
      <c r="U154" s="1332"/>
      <c r="V154" s="1332"/>
      <c r="W154" s="1332"/>
      <c r="X154" s="1332"/>
      <c r="Y154" s="1332"/>
      <c r="Z154" s="1332"/>
      <c r="AA154" s="1332"/>
      <c r="AB154" s="1332"/>
    </row>
    <row r="155">
      <c r="A155" s="1332"/>
      <c r="B155" s="1366"/>
      <c r="C155" s="1366"/>
      <c r="D155" s="1375"/>
      <c r="E155" s="1332"/>
      <c r="F155" s="1332"/>
      <c r="G155" s="1378"/>
      <c r="H155" s="1378"/>
      <c r="I155" s="1332"/>
      <c r="J155" s="1332"/>
      <c r="K155" s="1332"/>
      <c r="L155" s="1332"/>
      <c r="M155" s="1332"/>
      <c r="N155" s="1332"/>
      <c r="O155" s="1332"/>
      <c r="P155" s="1332"/>
      <c r="Q155" s="1332"/>
      <c r="R155" s="1332"/>
      <c r="S155" s="1332"/>
      <c r="T155" s="1332"/>
      <c r="U155" s="1332"/>
      <c r="V155" s="1332"/>
      <c r="W155" s="1332"/>
      <c r="X155" s="1332"/>
      <c r="Y155" s="1332"/>
      <c r="Z155" s="1332"/>
      <c r="AA155" s="1332"/>
      <c r="AB155" s="1332"/>
    </row>
    <row r="156">
      <c r="A156" s="1332"/>
      <c r="B156" s="1366"/>
      <c r="C156" s="1366"/>
      <c r="D156" s="1375"/>
      <c r="E156" s="1332"/>
      <c r="F156" s="1332"/>
      <c r="G156" s="1378"/>
      <c r="H156" s="1378"/>
      <c r="I156" s="1332"/>
      <c r="J156" s="1332"/>
      <c r="K156" s="1332"/>
      <c r="L156" s="1332"/>
      <c r="M156" s="1332"/>
      <c r="N156" s="1332"/>
      <c r="O156" s="1332"/>
      <c r="P156" s="1332"/>
      <c r="Q156" s="1332"/>
      <c r="R156" s="1332"/>
      <c r="S156" s="1332"/>
      <c r="T156" s="1332"/>
      <c r="U156" s="1332"/>
      <c r="V156" s="1332"/>
      <c r="W156" s="1332"/>
      <c r="X156" s="1332"/>
      <c r="Y156" s="1332"/>
      <c r="Z156" s="1332"/>
      <c r="AA156" s="1332"/>
      <c r="AB156" s="1332"/>
    </row>
    <row r="157">
      <c r="A157" s="1332"/>
      <c r="B157" s="1366"/>
      <c r="C157" s="1366"/>
      <c r="D157" s="1375"/>
      <c r="E157" s="1332"/>
      <c r="F157" s="1332"/>
      <c r="G157" s="1378"/>
      <c r="H157" s="1378"/>
      <c r="I157" s="1332"/>
      <c r="J157" s="1332"/>
      <c r="K157" s="1332"/>
      <c r="L157" s="1332"/>
      <c r="M157" s="1332"/>
      <c r="N157" s="1332"/>
      <c r="O157" s="1332"/>
      <c r="P157" s="1332"/>
      <c r="Q157" s="1332"/>
      <c r="R157" s="1332"/>
      <c r="S157" s="1332"/>
      <c r="T157" s="1332"/>
      <c r="U157" s="1332"/>
      <c r="V157" s="1332"/>
      <c r="W157" s="1332"/>
      <c r="X157" s="1332"/>
      <c r="Y157" s="1332"/>
      <c r="Z157" s="1332"/>
      <c r="AA157" s="1332"/>
      <c r="AB157" s="1332"/>
    </row>
    <row r="158">
      <c r="A158" s="1332"/>
      <c r="B158" s="1366"/>
      <c r="C158" s="1366"/>
      <c r="D158" s="1375"/>
      <c r="E158" s="1332"/>
      <c r="F158" s="1332"/>
      <c r="G158" s="1378"/>
      <c r="H158" s="1378"/>
      <c r="I158" s="1332"/>
      <c r="J158" s="1332"/>
      <c r="K158" s="1332"/>
      <c r="L158" s="1332"/>
      <c r="M158" s="1332"/>
      <c r="N158" s="1332"/>
      <c r="O158" s="1332"/>
      <c r="P158" s="1332"/>
      <c r="Q158" s="1332"/>
      <c r="R158" s="1332"/>
      <c r="S158" s="1332"/>
      <c r="T158" s="1332"/>
      <c r="U158" s="1332"/>
      <c r="V158" s="1332"/>
      <c r="W158" s="1332"/>
      <c r="X158" s="1332"/>
      <c r="Y158" s="1332"/>
      <c r="Z158" s="1332"/>
      <c r="AA158" s="1332"/>
      <c r="AB158" s="1332"/>
    </row>
    <row r="159">
      <c r="A159" s="1332"/>
      <c r="B159" s="1366"/>
      <c r="C159" s="1366"/>
      <c r="D159" s="1375"/>
      <c r="E159" s="1332"/>
      <c r="F159" s="1332"/>
      <c r="G159" s="1378"/>
      <c r="H159" s="1378"/>
      <c r="I159" s="1332"/>
      <c r="J159" s="1332"/>
      <c r="K159" s="1332"/>
      <c r="L159" s="1332"/>
      <c r="M159" s="1332"/>
      <c r="N159" s="1332"/>
      <c r="O159" s="1332"/>
      <c r="P159" s="1332"/>
      <c r="Q159" s="1332"/>
      <c r="R159" s="1332"/>
      <c r="S159" s="1332"/>
      <c r="T159" s="1332"/>
      <c r="U159" s="1332"/>
      <c r="V159" s="1332"/>
      <c r="W159" s="1332"/>
      <c r="X159" s="1332"/>
      <c r="Y159" s="1332"/>
      <c r="Z159" s="1332"/>
      <c r="AA159" s="1332"/>
      <c r="AB159" s="1332"/>
    </row>
    <row r="160">
      <c r="A160" s="1332"/>
      <c r="B160" s="1366"/>
      <c r="C160" s="1366"/>
      <c r="D160" s="1375"/>
      <c r="E160" s="1332"/>
      <c r="F160" s="1332"/>
      <c r="G160" s="1378"/>
      <c r="H160" s="1378"/>
      <c r="I160" s="1332"/>
      <c r="J160" s="1332"/>
      <c r="K160" s="1332"/>
      <c r="L160" s="1332"/>
      <c r="M160" s="1332"/>
      <c r="N160" s="1332"/>
      <c r="O160" s="1332"/>
      <c r="P160" s="1332"/>
      <c r="Q160" s="1332"/>
      <c r="R160" s="1332"/>
      <c r="S160" s="1332"/>
      <c r="T160" s="1332"/>
      <c r="U160" s="1332"/>
      <c r="V160" s="1332"/>
      <c r="W160" s="1332"/>
      <c r="X160" s="1332"/>
      <c r="Y160" s="1332"/>
      <c r="Z160" s="1332"/>
      <c r="AA160" s="1332"/>
      <c r="AB160" s="1332"/>
    </row>
    <row r="161">
      <c r="A161" s="1332"/>
      <c r="B161" s="1366"/>
      <c r="C161" s="1366"/>
      <c r="D161" s="1375"/>
      <c r="E161" s="1332"/>
      <c r="F161" s="1332"/>
      <c r="G161" s="1378"/>
      <c r="H161" s="1378"/>
      <c r="I161" s="1332"/>
      <c r="J161" s="1332"/>
      <c r="K161" s="1332"/>
      <c r="L161" s="1332"/>
      <c r="M161" s="1332"/>
      <c r="N161" s="1332"/>
      <c r="O161" s="1332"/>
      <c r="P161" s="1332"/>
      <c r="Q161" s="1332"/>
      <c r="R161" s="1332"/>
      <c r="S161" s="1332"/>
      <c r="T161" s="1332"/>
      <c r="U161" s="1332"/>
      <c r="V161" s="1332"/>
      <c r="W161" s="1332"/>
      <c r="X161" s="1332"/>
      <c r="Y161" s="1332"/>
      <c r="Z161" s="1332"/>
      <c r="AA161" s="1332"/>
      <c r="AB161" s="1332"/>
    </row>
    <row r="162">
      <c r="A162" s="1332"/>
      <c r="B162" s="1366"/>
      <c r="C162" s="1366"/>
      <c r="D162" s="1375"/>
      <c r="E162" s="1332"/>
      <c r="F162" s="1332"/>
      <c r="G162" s="1378"/>
      <c r="H162" s="1378"/>
      <c r="I162" s="1332"/>
      <c r="J162" s="1332"/>
      <c r="K162" s="1332"/>
      <c r="L162" s="1332"/>
      <c r="M162" s="1332"/>
      <c r="N162" s="1332"/>
      <c r="O162" s="1332"/>
      <c r="P162" s="1332"/>
      <c r="Q162" s="1332"/>
      <c r="R162" s="1332"/>
      <c r="S162" s="1332"/>
      <c r="T162" s="1332"/>
      <c r="U162" s="1332"/>
      <c r="V162" s="1332"/>
      <c r="W162" s="1332"/>
      <c r="X162" s="1332"/>
      <c r="Y162" s="1332"/>
      <c r="Z162" s="1332"/>
      <c r="AA162" s="1332"/>
      <c r="AB162" s="1332"/>
    </row>
    <row r="163">
      <c r="A163" s="1332"/>
      <c r="B163" s="1366"/>
      <c r="C163" s="1366"/>
      <c r="D163" s="1375"/>
      <c r="E163" s="1332"/>
      <c r="F163" s="1332"/>
      <c r="G163" s="1378"/>
      <c r="H163" s="1378"/>
      <c r="I163" s="1332"/>
      <c r="J163" s="1332"/>
      <c r="K163" s="1332"/>
      <c r="L163" s="1332"/>
      <c r="M163" s="1332"/>
      <c r="N163" s="1332"/>
      <c r="O163" s="1332"/>
      <c r="P163" s="1332"/>
      <c r="Q163" s="1332"/>
      <c r="R163" s="1332"/>
      <c r="S163" s="1332"/>
      <c r="T163" s="1332"/>
      <c r="U163" s="1332"/>
      <c r="V163" s="1332"/>
      <c r="W163" s="1332"/>
      <c r="X163" s="1332"/>
      <c r="Y163" s="1332"/>
      <c r="Z163" s="1332"/>
      <c r="AA163" s="1332"/>
      <c r="AB163" s="1332"/>
    </row>
    <row r="164">
      <c r="A164" s="1332"/>
      <c r="B164" s="1366"/>
      <c r="C164" s="1366"/>
      <c r="D164" s="1375"/>
      <c r="E164" s="1332"/>
      <c r="F164" s="1332"/>
      <c r="G164" s="1378"/>
      <c r="H164" s="1378"/>
      <c r="I164" s="1332"/>
      <c r="J164" s="1332"/>
      <c r="K164" s="1332"/>
      <c r="L164" s="1332"/>
      <c r="M164" s="1332"/>
      <c r="N164" s="1332"/>
      <c r="O164" s="1332"/>
      <c r="P164" s="1332"/>
      <c r="Q164" s="1332"/>
      <c r="R164" s="1332"/>
      <c r="S164" s="1332"/>
      <c r="T164" s="1332"/>
      <c r="U164" s="1332"/>
      <c r="V164" s="1332"/>
      <c r="W164" s="1332"/>
      <c r="X164" s="1332"/>
      <c r="Y164" s="1332"/>
      <c r="Z164" s="1332"/>
      <c r="AA164" s="1332"/>
      <c r="AB164" s="1332"/>
    </row>
    <row r="165">
      <c r="A165" s="1332"/>
      <c r="B165" s="1366"/>
      <c r="C165" s="1366"/>
      <c r="D165" s="1375"/>
      <c r="E165" s="1332"/>
      <c r="F165" s="1332"/>
      <c r="G165" s="1378"/>
      <c r="H165" s="1378"/>
      <c r="I165" s="1332"/>
      <c r="J165" s="1332"/>
      <c r="K165" s="1332"/>
      <c r="L165" s="1332"/>
      <c r="M165" s="1332"/>
      <c r="N165" s="1332"/>
      <c r="O165" s="1332"/>
      <c r="P165" s="1332"/>
      <c r="Q165" s="1332"/>
      <c r="R165" s="1332"/>
      <c r="S165" s="1332"/>
      <c r="T165" s="1332"/>
      <c r="U165" s="1332"/>
      <c r="V165" s="1332"/>
      <c r="W165" s="1332"/>
      <c r="X165" s="1332"/>
      <c r="Y165" s="1332"/>
      <c r="Z165" s="1332"/>
      <c r="AA165" s="1332"/>
      <c r="AB165" s="1332"/>
    </row>
    <row r="166">
      <c r="A166" s="1332"/>
      <c r="B166" s="1366"/>
      <c r="C166" s="1366"/>
      <c r="D166" s="1375"/>
      <c r="E166" s="1332"/>
      <c r="F166" s="1332"/>
      <c r="G166" s="1378"/>
      <c r="H166" s="1378"/>
      <c r="I166" s="1332"/>
      <c r="J166" s="1332"/>
      <c r="K166" s="1332"/>
      <c r="L166" s="1332"/>
      <c r="M166" s="1332"/>
      <c r="N166" s="1332"/>
      <c r="O166" s="1332"/>
      <c r="P166" s="1332"/>
      <c r="Q166" s="1332"/>
      <c r="R166" s="1332"/>
      <c r="S166" s="1332"/>
      <c r="T166" s="1332"/>
      <c r="U166" s="1332"/>
      <c r="V166" s="1332"/>
      <c r="W166" s="1332"/>
      <c r="X166" s="1332"/>
      <c r="Y166" s="1332"/>
      <c r="Z166" s="1332"/>
      <c r="AA166" s="1332"/>
      <c r="AB166" s="1332"/>
    </row>
    <row r="167">
      <c r="A167" s="1332"/>
      <c r="B167" s="1366"/>
      <c r="C167" s="1366"/>
      <c r="D167" s="1375"/>
      <c r="E167" s="1332"/>
      <c r="F167" s="1332"/>
      <c r="G167" s="1378"/>
      <c r="H167" s="1378"/>
      <c r="I167" s="1332"/>
      <c r="J167" s="1332"/>
      <c r="K167" s="1332"/>
      <c r="L167" s="1332"/>
      <c r="M167" s="1332"/>
      <c r="N167" s="1332"/>
      <c r="O167" s="1332"/>
      <c r="P167" s="1332"/>
      <c r="Q167" s="1332"/>
      <c r="R167" s="1332"/>
      <c r="S167" s="1332"/>
      <c r="T167" s="1332"/>
      <c r="U167" s="1332"/>
      <c r="V167" s="1332"/>
      <c r="W167" s="1332"/>
      <c r="X167" s="1332"/>
      <c r="Y167" s="1332"/>
      <c r="Z167" s="1332"/>
      <c r="AA167" s="1332"/>
      <c r="AB167" s="1332"/>
    </row>
    <row r="168">
      <c r="A168" s="1332"/>
      <c r="B168" s="1366"/>
      <c r="C168" s="1366"/>
      <c r="D168" s="1375"/>
      <c r="E168" s="1332"/>
      <c r="F168" s="1332"/>
      <c r="G168" s="1378"/>
      <c r="H168" s="1378"/>
      <c r="I168" s="1332"/>
      <c r="J168" s="1332"/>
      <c r="K168" s="1332"/>
      <c r="L168" s="1332"/>
      <c r="M168" s="1332"/>
      <c r="N168" s="1332"/>
      <c r="O168" s="1332"/>
      <c r="P168" s="1332"/>
      <c r="Q168" s="1332"/>
      <c r="R168" s="1332"/>
      <c r="S168" s="1332"/>
      <c r="T168" s="1332"/>
      <c r="U168" s="1332"/>
      <c r="V168" s="1332"/>
      <c r="W168" s="1332"/>
      <c r="X168" s="1332"/>
      <c r="Y168" s="1332"/>
      <c r="Z168" s="1332"/>
      <c r="AA168" s="1332"/>
      <c r="AB168" s="1332"/>
    </row>
    <row r="169">
      <c r="A169" s="1332"/>
      <c r="B169" s="1366"/>
      <c r="C169" s="1366"/>
      <c r="D169" s="1375"/>
      <c r="E169" s="1332"/>
      <c r="F169" s="1332"/>
      <c r="G169" s="1378"/>
      <c r="H169" s="1378"/>
      <c r="I169" s="1332"/>
      <c r="J169" s="1332"/>
      <c r="K169" s="1332"/>
      <c r="L169" s="1332"/>
      <c r="M169" s="1332"/>
      <c r="N169" s="1332"/>
      <c r="O169" s="1332"/>
      <c r="P169" s="1332"/>
      <c r="Q169" s="1332"/>
      <c r="R169" s="1332"/>
      <c r="S169" s="1332"/>
      <c r="T169" s="1332"/>
      <c r="U169" s="1332"/>
      <c r="V169" s="1332"/>
      <c r="W169" s="1332"/>
      <c r="X169" s="1332"/>
      <c r="Y169" s="1332"/>
      <c r="Z169" s="1332"/>
      <c r="AA169" s="1332"/>
      <c r="AB169" s="1332"/>
    </row>
    <row r="170">
      <c r="A170" s="1332"/>
      <c r="B170" s="1366"/>
      <c r="C170" s="1366"/>
      <c r="D170" s="1375"/>
      <c r="E170" s="1332"/>
      <c r="F170" s="1332"/>
      <c r="G170" s="1378"/>
      <c r="H170" s="1378"/>
      <c r="I170" s="1332"/>
      <c r="J170" s="1332"/>
      <c r="K170" s="1332"/>
      <c r="L170" s="1332"/>
      <c r="M170" s="1332"/>
      <c r="N170" s="1332"/>
      <c r="O170" s="1332"/>
      <c r="P170" s="1332"/>
      <c r="Q170" s="1332"/>
      <c r="R170" s="1332"/>
      <c r="S170" s="1332"/>
      <c r="T170" s="1332"/>
      <c r="U170" s="1332"/>
      <c r="V170" s="1332"/>
      <c r="W170" s="1332"/>
      <c r="X170" s="1332"/>
      <c r="Y170" s="1332"/>
      <c r="Z170" s="1332"/>
      <c r="AA170" s="1332"/>
      <c r="AB170" s="1332"/>
    </row>
    <row r="171">
      <c r="A171" s="1332"/>
      <c r="B171" s="1366"/>
      <c r="C171" s="1366"/>
      <c r="D171" s="1375"/>
      <c r="E171" s="1332"/>
      <c r="F171" s="1332"/>
      <c r="G171" s="1378"/>
      <c r="H171" s="1378"/>
      <c r="I171" s="1332"/>
      <c r="J171" s="1332"/>
      <c r="K171" s="1332"/>
      <c r="L171" s="1332"/>
      <c r="M171" s="1332"/>
      <c r="N171" s="1332"/>
      <c r="O171" s="1332"/>
      <c r="P171" s="1332"/>
      <c r="Q171" s="1332"/>
      <c r="R171" s="1332"/>
      <c r="S171" s="1332"/>
      <c r="T171" s="1332"/>
      <c r="U171" s="1332"/>
      <c r="V171" s="1332"/>
      <c r="W171" s="1332"/>
      <c r="X171" s="1332"/>
      <c r="Y171" s="1332"/>
      <c r="Z171" s="1332"/>
      <c r="AA171" s="1332"/>
      <c r="AB171" s="1332"/>
    </row>
    <row r="172">
      <c r="A172" s="1332"/>
      <c r="B172" s="1366"/>
      <c r="C172" s="1366"/>
      <c r="D172" s="1375"/>
      <c r="E172" s="1332"/>
      <c r="F172" s="1332"/>
      <c r="G172" s="1378"/>
      <c r="H172" s="1378"/>
      <c r="I172" s="1332"/>
      <c r="J172" s="1332"/>
      <c r="K172" s="1332"/>
      <c r="L172" s="1332"/>
      <c r="M172" s="1332"/>
      <c r="N172" s="1332"/>
      <c r="O172" s="1332"/>
      <c r="P172" s="1332"/>
      <c r="Q172" s="1332"/>
      <c r="R172" s="1332"/>
      <c r="S172" s="1332"/>
      <c r="T172" s="1332"/>
      <c r="U172" s="1332"/>
      <c r="V172" s="1332"/>
      <c r="W172" s="1332"/>
      <c r="X172" s="1332"/>
      <c r="Y172" s="1332"/>
      <c r="Z172" s="1332"/>
      <c r="AA172" s="1332"/>
      <c r="AB172" s="1332"/>
    </row>
    <row r="173">
      <c r="A173" s="1332"/>
      <c r="B173" s="1366"/>
      <c r="C173" s="1366"/>
      <c r="D173" s="1375"/>
      <c r="E173" s="1332"/>
      <c r="F173" s="1332"/>
      <c r="G173" s="1378"/>
      <c r="H173" s="1378"/>
      <c r="I173" s="1332"/>
      <c r="J173" s="1332"/>
      <c r="K173" s="1332"/>
      <c r="L173" s="1332"/>
      <c r="M173" s="1332"/>
      <c r="N173" s="1332"/>
      <c r="O173" s="1332"/>
      <c r="P173" s="1332"/>
      <c r="Q173" s="1332"/>
      <c r="R173" s="1332"/>
      <c r="S173" s="1332"/>
      <c r="T173" s="1332"/>
      <c r="U173" s="1332"/>
      <c r="V173" s="1332"/>
      <c r="W173" s="1332"/>
      <c r="X173" s="1332"/>
      <c r="Y173" s="1332"/>
      <c r="Z173" s="1332"/>
      <c r="AA173" s="1332"/>
      <c r="AB173" s="1332"/>
    </row>
    <row r="174">
      <c r="A174" s="1332"/>
      <c r="B174" s="1366"/>
      <c r="C174" s="1366"/>
      <c r="D174" s="1375"/>
      <c r="E174" s="1332"/>
      <c r="F174" s="1332"/>
      <c r="G174" s="1378"/>
      <c r="H174" s="1378"/>
      <c r="I174" s="1332"/>
      <c r="J174" s="1332"/>
      <c r="K174" s="1332"/>
      <c r="L174" s="1332"/>
      <c r="M174" s="1332"/>
      <c r="N174" s="1332"/>
      <c r="O174" s="1332"/>
      <c r="P174" s="1332"/>
      <c r="Q174" s="1332"/>
      <c r="R174" s="1332"/>
      <c r="S174" s="1332"/>
      <c r="T174" s="1332"/>
      <c r="U174" s="1332"/>
      <c r="V174" s="1332"/>
      <c r="W174" s="1332"/>
      <c r="X174" s="1332"/>
      <c r="Y174" s="1332"/>
      <c r="Z174" s="1332"/>
      <c r="AA174" s="1332"/>
      <c r="AB174" s="1332"/>
    </row>
    <row r="175">
      <c r="A175" s="1332"/>
      <c r="B175" s="1366"/>
      <c r="C175" s="1366"/>
      <c r="D175" s="1375"/>
      <c r="E175" s="1332"/>
      <c r="F175" s="1332"/>
      <c r="G175" s="1378"/>
      <c r="H175" s="1378"/>
      <c r="I175" s="1332"/>
      <c r="J175" s="1332"/>
      <c r="K175" s="1332"/>
      <c r="L175" s="1332"/>
      <c r="M175" s="1332"/>
      <c r="N175" s="1332"/>
      <c r="O175" s="1332"/>
      <c r="P175" s="1332"/>
      <c r="Q175" s="1332"/>
      <c r="R175" s="1332"/>
      <c r="S175" s="1332"/>
      <c r="T175" s="1332"/>
      <c r="U175" s="1332"/>
      <c r="V175" s="1332"/>
      <c r="W175" s="1332"/>
      <c r="X175" s="1332"/>
      <c r="Y175" s="1332"/>
      <c r="Z175" s="1332"/>
      <c r="AA175" s="1332"/>
      <c r="AB175" s="1332"/>
    </row>
    <row r="176">
      <c r="A176" s="1332"/>
      <c r="B176" s="1366"/>
      <c r="C176" s="1366"/>
      <c r="D176" s="1375"/>
      <c r="E176" s="1332"/>
      <c r="F176" s="1332"/>
      <c r="G176" s="1378"/>
      <c r="H176" s="1378"/>
      <c r="I176" s="1332"/>
      <c r="J176" s="1332"/>
      <c r="K176" s="1332"/>
      <c r="L176" s="1332"/>
      <c r="M176" s="1332"/>
      <c r="N176" s="1332"/>
      <c r="O176" s="1332"/>
      <c r="P176" s="1332"/>
      <c r="Q176" s="1332"/>
      <c r="R176" s="1332"/>
      <c r="S176" s="1332"/>
      <c r="T176" s="1332"/>
      <c r="U176" s="1332"/>
      <c r="V176" s="1332"/>
      <c r="W176" s="1332"/>
      <c r="X176" s="1332"/>
      <c r="Y176" s="1332"/>
      <c r="Z176" s="1332"/>
      <c r="AA176" s="1332"/>
      <c r="AB176" s="1332"/>
    </row>
    <row r="177">
      <c r="A177" s="1332"/>
      <c r="B177" s="1366"/>
      <c r="C177" s="1366"/>
      <c r="D177" s="1375"/>
      <c r="E177" s="1332"/>
      <c r="F177" s="1332"/>
      <c r="G177" s="1378"/>
      <c r="H177" s="1378"/>
      <c r="I177" s="1332"/>
      <c r="J177" s="1332"/>
      <c r="K177" s="1332"/>
      <c r="L177" s="1332"/>
      <c r="M177" s="1332"/>
      <c r="N177" s="1332"/>
      <c r="O177" s="1332"/>
      <c r="P177" s="1332"/>
      <c r="Q177" s="1332"/>
      <c r="R177" s="1332"/>
      <c r="S177" s="1332"/>
      <c r="T177" s="1332"/>
      <c r="U177" s="1332"/>
      <c r="V177" s="1332"/>
      <c r="W177" s="1332"/>
      <c r="X177" s="1332"/>
      <c r="Y177" s="1332"/>
      <c r="Z177" s="1332"/>
      <c r="AA177" s="1332"/>
      <c r="AB177" s="1332"/>
    </row>
    <row r="178">
      <c r="A178" s="1332"/>
      <c r="B178" s="1366"/>
      <c r="C178" s="1366"/>
      <c r="D178" s="1375"/>
      <c r="E178" s="1332"/>
      <c r="F178" s="1332"/>
      <c r="G178" s="1378"/>
      <c r="H178" s="1378"/>
      <c r="I178" s="1332"/>
      <c r="J178" s="1332"/>
      <c r="K178" s="1332"/>
      <c r="L178" s="1332"/>
      <c r="M178" s="1332"/>
      <c r="N178" s="1332"/>
      <c r="O178" s="1332"/>
      <c r="P178" s="1332"/>
      <c r="Q178" s="1332"/>
      <c r="R178" s="1332"/>
      <c r="S178" s="1332"/>
      <c r="T178" s="1332"/>
      <c r="U178" s="1332"/>
      <c r="V178" s="1332"/>
      <c r="W178" s="1332"/>
      <c r="X178" s="1332"/>
      <c r="Y178" s="1332"/>
      <c r="Z178" s="1332"/>
      <c r="AA178" s="1332"/>
      <c r="AB178" s="1332"/>
    </row>
    <row r="179">
      <c r="A179" s="1332"/>
      <c r="B179" s="1366"/>
      <c r="C179" s="1366"/>
      <c r="D179" s="1375"/>
      <c r="E179" s="1332"/>
      <c r="F179" s="1332"/>
      <c r="G179" s="1378"/>
      <c r="H179" s="1378"/>
      <c r="I179" s="1332"/>
      <c r="J179" s="1332"/>
      <c r="K179" s="1332"/>
      <c r="L179" s="1332"/>
      <c r="M179" s="1332"/>
      <c r="N179" s="1332"/>
      <c r="O179" s="1332"/>
      <c r="P179" s="1332"/>
      <c r="Q179" s="1332"/>
      <c r="R179" s="1332"/>
      <c r="S179" s="1332"/>
      <c r="T179" s="1332"/>
      <c r="U179" s="1332"/>
      <c r="V179" s="1332"/>
      <c r="W179" s="1332"/>
      <c r="X179" s="1332"/>
      <c r="Y179" s="1332"/>
      <c r="Z179" s="1332"/>
      <c r="AA179" s="1332"/>
      <c r="AB179" s="1332"/>
    </row>
    <row r="180">
      <c r="A180" s="1332"/>
      <c r="B180" s="1366"/>
      <c r="C180" s="1366"/>
      <c r="D180" s="1375"/>
      <c r="E180" s="1332"/>
      <c r="F180" s="1332"/>
      <c r="G180" s="1378"/>
      <c r="H180" s="1378"/>
      <c r="I180" s="1332"/>
      <c r="J180" s="1332"/>
      <c r="K180" s="1332"/>
      <c r="L180" s="1332"/>
      <c r="M180" s="1332"/>
      <c r="N180" s="1332"/>
      <c r="O180" s="1332"/>
      <c r="P180" s="1332"/>
      <c r="Q180" s="1332"/>
      <c r="R180" s="1332"/>
      <c r="S180" s="1332"/>
      <c r="T180" s="1332"/>
      <c r="U180" s="1332"/>
      <c r="V180" s="1332"/>
      <c r="W180" s="1332"/>
      <c r="X180" s="1332"/>
      <c r="Y180" s="1332"/>
      <c r="Z180" s="1332"/>
      <c r="AA180" s="1332"/>
      <c r="AB180" s="1332"/>
    </row>
    <row r="181">
      <c r="A181" s="1332"/>
      <c r="B181" s="1366"/>
      <c r="C181" s="1366"/>
      <c r="D181" s="1375"/>
      <c r="E181" s="1332"/>
      <c r="F181" s="1332"/>
      <c r="G181" s="1378"/>
      <c r="H181" s="1378"/>
      <c r="I181" s="1332"/>
      <c r="J181" s="1332"/>
      <c r="K181" s="1332"/>
      <c r="L181" s="1332"/>
      <c r="M181" s="1332"/>
      <c r="N181" s="1332"/>
      <c r="O181" s="1332"/>
      <c r="P181" s="1332"/>
      <c r="Q181" s="1332"/>
      <c r="R181" s="1332"/>
      <c r="S181" s="1332"/>
      <c r="T181" s="1332"/>
      <c r="U181" s="1332"/>
      <c r="V181" s="1332"/>
      <c r="W181" s="1332"/>
      <c r="X181" s="1332"/>
      <c r="Y181" s="1332"/>
      <c r="Z181" s="1332"/>
      <c r="AA181" s="1332"/>
      <c r="AB181" s="1332"/>
    </row>
    <row r="182">
      <c r="A182" s="1332"/>
      <c r="B182" s="1366"/>
      <c r="C182" s="1366"/>
      <c r="D182" s="1375"/>
      <c r="E182" s="1332"/>
      <c r="F182" s="1332"/>
      <c r="G182" s="1378"/>
      <c r="H182" s="1378"/>
      <c r="I182" s="1332"/>
      <c r="J182" s="1332"/>
      <c r="K182" s="1332"/>
      <c r="L182" s="1332"/>
      <c r="M182" s="1332"/>
      <c r="N182" s="1332"/>
      <c r="O182" s="1332"/>
      <c r="P182" s="1332"/>
      <c r="Q182" s="1332"/>
      <c r="R182" s="1332"/>
      <c r="S182" s="1332"/>
      <c r="T182" s="1332"/>
      <c r="U182" s="1332"/>
      <c r="V182" s="1332"/>
      <c r="W182" s="1332"/>
      <c r="X182" s="1332"/>
      <c r="Y182" s="1332"/>
      <c r="Z182" s="1332"/>
      <c r="AA182" s="1332"/>
      <c r="AB182" s="1332"/>
    </row>
    <row r="183">
      <c r="A183" s="1332"/>
      <c r="B183" s="1366"/>
      <c r="C183" s="1366"/>
      <c r="D183" s="1375"/>
      <c r="E183" s="1332"/>
      <c r="F183" s="1332"/>
      <c r="G183" s="1378"/>
      <c r="H183" s="1378"/>
      <c r="I183" s="1332"/>
      <c r="J183" s="1332"/>
      <c r="K183" s="1332"/>
      <c r="L183" s="1332"/>
      <c r="M183" s="1332"/>
      <c r="N183" s="1332"/>
      <c r="O183" s="1332"/>
      <c r="P183" s="1332"/>
      <c r="Q183" s="1332"/>
      <c r="R183" s="1332"/>
      <c r="S183" s="1332"/>
      <c r="T183" s="1332"/>
      <c r="U183" s="1332"/>
      <c r="V183" s="1332"/>
      <c r="W183" s="1332"/>
      <c r="X183" s="1332"/>
      <c r="Y183" s="1332"/>
      <c r="Z183" s="1332"/>
      <c r="AA183" s="1332"/>
      <c r="AB183" s="1332"/>
    </row>
    <row r="184">
      <c r="A184" s="1332"/>
      <c r="B184" s="1366"/>
      <c r="C184" s="1366"/>
      <c r="D184" s="1375"/>
      <c r="E184" s="1332"/>
      <c r="F184" s="1332"/>
      <c r="G184" s="1378"/>
      <c r="H184" s="1378"/>
      <c r="I184" s="1332"/>
      <c r="J184" s="1332"/>
      <c r="K184" s="1332"/>
      <c r="L184" s="1332"/>
      <c r="M184" s="1332"/>
      <c r="N184" s="1332"/>
      <c r="O184" s="1332"/>
      <c r="P184" s="1332"/>
      <c r="Q184" s="1332"/>
      <c r="R184" s="1332"/>
      <c r="S184" s="1332"/>
      <c r="T184" s="1332"/>
      <c r="U184" s="1332"/>
      <c r="V184" s="1332"/>
      <c r="W184" s="1332"/>
      <c r="X184" s="1332"/>
      <c r="Y184" s="1332"/>
      <c r="Z184" s="1332"/>
      <c r="AA184" s="1332"/>
      <c r="AB184" s="1332"/>
    </row>
    <row r="185">
      <c r="A185" s="1332"/>
      <c r="B185" s="1366"/>
      <c r="C185" s="1366"/>
      <c r="D185" s="1375"/>
      <c r="E185" s="1332"/>
      <c r="F185" s="1332"/>
      <c r="G185" s="1378"/>
      <c r="H185" s="1378"/>
      <c r="I185" s="1332"/>
      <c r="J185" s="1332"/>
      <c r="K185" s="1332"/>
      <c r="L185" s="1332"/>
      <c r="M185" s="1332"/>
      <c r="N185" s="1332"/>
      <c r="O185" s="1332"/>
      <c r="P185" s="1332"/>
      <c r="Q185" s="1332"/>
      <c r="R185" s="1332"/>
      <c r="S185" s="1332"/>
      <c r="T185" s="1332"/>
      <c r="U185" s="1332"/>
      <c r="V185" s="1332"/>
      <c r="W185" s="1332"/>
      <c r="X185" s="1332"/>
      <c r="Y185" s="1332"/>
      <c r="Z185" s="1332"/>
      <c r="AA185" s="1332"/>
      <c r="AB185" s="1332"/>
    </row>
    <row r="186">
      <c r="A186" s="1332"/>
      <c r="B186" s="1366"/>
      <c r="C186" s="1366"/>
      <c r="D186" s="1375"/>
      <c r="E186" s="1332"/>
      <c r="F186" s="1332"/>
      <c r="G186" s="1378"/>
      <c r="H186" s="1378"/>
      <c r="I186" s="1332"/>
      <c r="J186" s="1332"/>
      <c r="K186" s="1332"/>
      <c r="L186" s="1332"/>
      <c r="M186" s="1332"/>
      <c r="N186" s="1332"/>
      <c r="O186" s="1332"/>
      <c r="P186" s="1332"/>
      <c r="Q186" s="1332"/>
      <c r="R186" s="1332"/>
      <c r="S186" s="1332"/>
      <c r="T186" s="1332"/>
      <c r="U186" s="1332"/>
      <c r="V186" s="1332"/>
      <c r="W186" s="1332"/>
      <c r="X186" s="1332"/>
      <c r="Y186" s="1332"/>
      <c r="Z186" s="1332"/>
      <c r="AA186" s="1332"/>
      <c r="AB186" s="1332"/>
    </row>
    <row r="187">
      <c r="A187" s="1332"/>
      <c r="B187" s="1366"/>
      <c r="C187" s="1366"/>
      <c r="D187" s="1375"/>
      <c r="E187" s="1332"/>
      <c r="F187" s="1332"/>
      <c r="G187" s="1378"/>
      <c r="H187" s="1378"/>
      <c r="I187" s="1332"/>
      <c r="J187" s="1332"/>
      <c r="K187" s="1332"/>
      <c r="L187" s="1332"/>
      <c r="M187" s="1332"/>
      <c r="N187" s="1332"/>
      <c r="O187" s="1332"/>
      <c r="P187" s="1332"/>
      <c r="Q187" s="1332"/>
      <c r="R187" s="1332"/>
      <c r="S187" s="1332"/>
      <c r="T187" s="1332"/>
      <c r="U187" s="1332"/>
      <c r="V187" s="1332"/>
      <c r="W187" s="1332"/>
      <c r="X187" s="1332"/>
      <c r="Y187" s="1332"/>
      <c r="Z187" s="1332"/>
      <c r="AA187" s="1332"/>
      <c r="AB187" s="1332"/>
    </row>
    <row r="188">
      <c r="A188" s="1332"/>
      <c r="B188" s="1366"/>
      <c r="C188" s="1366"/>
      <c r="D188" s="1375"/>
      <c r="E188" s="1332"/>
      <c r="F188" s="1332"/>
      <c r="G188" s="1378"/>
      <c r="H188" s="1378"/>
      <c r="I188" s="1332"/>
      <c r="J188" s="1332"/>
      <c r="K188" s="1332"/>
      <c r="L188" s="1332"/>
      <c r="M188" s="1332"/>
      <c r="N188" s="1332"/>
      <c r="O188" s="1332"/>
      <c r="P188" s="1332"/>
      <c r="Q188" s="1332"/>
      <c r="R188" s="1332"/>
      <c r="S188" s="1332"/>
      <c r="T188" s="1332"/>
      <c r="U188" s="1332"/>
      <c r="V188" s="1332"/>
      <c r="W188" s="1332"/>
      <c r="X188" s="1332"/>
      <c r="Y188" s="1332"/>
      <c r="Z188" s="1332"/>
      <c r="AA188" s="1332"/>
      <c r="AB188" s="1332"/>
    </row>
    <row r="189">
      <c r="A189" s="1332"/>
      <c r="B189" s="1366"/>
      <c r="C189" s="1366"/>
      <c r="D189" s="1375"/>
      <c r="E189" s="1332"/>
      <c r="F189" s="1332"/>
      <c r="G189" s="1378"/>
      <c r="H189" s="1378"/>
      <c r="I189" s="1332"/>
      <c r="J189" s="1332"/>
      <c r="K189" s="1332"/>
      <c r="L189" s="1332"/>
      <c r="M189" s="1332"/>
      <c r="N189" s="1332"/>
      <c r="O189" s="1332"/>
      <c r="P189" s="1332"/>
      <c r="Q189" s="1332"/>
      <c r="R189" s="1332"/>
      <c r="S189" s="1332"/>
      <c r="T189" s="1332"/>
      <c r="U189" s="1332"/>
      <c r="V189" s="1332"/>
      <c r="W189" s="1332"/>
      <c r="X189" s="1332"/>
      <c r="Y189" s="1332"/>
      <c r="Z189" s="1332"/>
      <c r="AA189" s="1332"/>
      <c r="AB189" s="1332"/>
    </row>
    <row r="190">
      <c r="A190" s="1332"/>
      <c r="B190" s="1366"/>
      <c r="C190" s="1366"/>
      <c r="D190" s="1375"/>
      <c r="E190" s="1332"/>
      <c r="F190" s="1332"/>
      <c r="G190" s="1378"/>
      <c r="H190" s="1378"/>
      <c r="I190" s="1332"/>
      <c r="J190" s="1332"/>
      <c r="K190" s="1332"/>
      <c r="L190" s="1332"/>
      <c r="M190" s="1332"/>
      <c r="N190" s="1332"/>
      <c r="O190" s="1332"/>
      <c r="P190" s="1332"/>
      <c r="Q190" s="1332"/>
      <c r="R190" s="1332"/>
      <c r="S190" s="1332"/>
      <c r="T190" s="1332"/>
      <c r="U190" s="1332"/>
      <c r="V190" s="1332"/>
      <c r="W190" s="1332"/>
      <c r="X190" s="1332"/>
      <c r="Y190" s="1332"/>
      <c r="Z190" s="1332"/>
      <c r="AA190" s="1332"/>
      <c r="AB190" s="1332"/>
    </row>
    <row r="191">
      <c r="A191" s="1332"/>
      <c r="B191" s="1366"/>
      <c r="C191" s="1366"/>
      <c r="D191" s="1375"/>
      <c r="E191" s="1332"/>
      <c r="F191" s="1332"/>
      <c r="G191" s="1378"/>
      <c r="H191" s="1378"/>
      <c r="I191" s="1332"/>
      <c r="J191" s="1332"/>
      <c r="K191" s="1332"/>
      <c r="L191" s="1332"/>
      <c r="M191" s="1332"/>
      <c r="N191" s="1332"/>
      <c r="O191" s="1332"/>
      <c r="P191" s="1332"/>
      <c r="Q191" s="1332"/>
      <c r="R191" s="1332"/>
      <c r="S191" s="1332"/>
      <c r="T191" s="1332"/>
      <c r="U191" s="1332"/>
      <c r="V191" s="1332"/>
      <c r="W191" s="1332"/>
      <c r="X191" s="1332"/>
      <c r="Y191" s="1332"/>
      <c r="Z191" s="1332"/>
      <c r="AA191" s="1332"/>
      <c r="AB191" s="1332"/>
    </row>
    <row r="192">
      <c r="A192" s="1332"/>
      <c r="B192" s="1366"/>
      <c r="C192" s="1366"/>
      <c r="D192" s="1375"/>
      <c r="E192" s="1332"/>
      <c r="F192" s="1332"/>
      <c r="G192" s="1378"/>
      <c r="H192" s="1378"/>
      <c r="I192" s="1332"/>
      <c r="J192" s="1332"/>
      <c r="K192" s="1332"/>
      <c r="L192" s="1332"/>
      <c r="M192" s="1332"/>
      <c r="N192" s="1332"/>
      <c r="O192" s="1332"/>
      <c r="P192" s="1332"/>
      <c r="Q192" s="1332"/>
      <c r="R192" s="1332"/>
      <c r="S192" s="1332"/>
      <c r="T192" s="1332"/>
      <c r="U192" s="1332"/>
      <c r="V192" s="1332"/>
      <c r="W192" s="1332"/>
      <c r="X192" s="1332"/>
      <c r="Y192" s="1332"/>
      <c r="Z192" s="1332"/>
      <c r="AA192" s="1332"/>
      <c r="AB192" s="1332"/>
    </row>
    <row r="193">
      <c r="A193" s="1332"/>
      <c r="B193" s="1366"/>
      <c r="C193" s="1366"/>
      <c r="D193" s="1375"/>
      <c r="E193" s="1332"/>
      <c r="F193" s="1332"/>
      <c r="G193" s="1378"/>
      <c r="H193" s="1378"/>
      <c r="I193" s="1332"/>
      <c r="J193" s="1332"/>
      <c r="K193" s="1332"/>
      <c r="L193" s="1332"/>
      <c r="M193" s="1332"/>
      <c r="N193" s="1332"/>
      <c r="O193" s="1332"/>
      <c r="P193" s="1332"/>
      <c r="Q193" s="1332"/>
      <c r="R193" s="1332"/>
      <c r="S193" s="1332"/>
      <c r="T193" s="1332"/>
      <c r="U193" s="1332"/>
      <c r="V193" s="1332"/>
      <c r="W193" s="1332"/>
      <c r="X193" s="1332"/>
      <c r="Y193" s="1332"/>
      <c r="Z193" s="1332"/>
      <c r="AA193" s="1332"/>
      <c r="AB193" s="1332"/>
    </row>
    <row r="194">
      <c r="A194" s="1332"/>
      <c r="B194" s="1366"/>
      <c r="C194" s="1366"/>
      <c r="D194" s="1375"/>
      <c r="E194" s="1332"/>
      <c r="F194" s="1332"/>
      <c r="G194" s="1378"/>
      <c r="H194" s="1378"/>
      <c r="I194" s="1332"/>
      <c r="J194" s="1332"/>
      <c r="K194" s="1332"/>
      <c r="L194" s="1332"/>
      <c r="M194" s="1332"/>
      <c r="N194" s="1332"/>
      <c r="O194" s="1332"/>
      <c r="P194" s="1332"/>
      <c r="Q194" s="1332"/>
      <c r="R194" s="1332"/>
      <c r="S194" s="1332"/>
      <c r="T194" s="1332"/>
      <c r="U194" s="1332"/>
      <c r="V194" s="1332"/>
      <c r="W194" s="1332"/>
      <c r="X194" s="1332"/>
      <c r="Y194" s="1332"/>
      <c r="Z194" s="1332"/>
      <c r="AA194" s="1332"/>
      <c r="AB194" s="1332"/>
    </row>
    <row r="195">
      <c r="A195" s="1332"/>
      <c r="B195" s="1366"/>
      <c r="C195" s="1366"/>
      <c r="D195" s="1375"/>
      <c r="E195" s="1332"/>
      <c r="F195" s="1332"/>
      <c r="G195" s="1378"/>
      <c r="H195" s="1378"/>
      <c r="I195" s="1332"/>
      <c r="J195" s="1332"/>
      <c r="K195" s="1332"/>
      <c r="L195" s="1332"/>
      <c r="M195" s="1332"/>
      <c r="N195" s="1332"/>
      <c r="O195" s="1332"/>
      <c r="P195" s="1332"/>
      <c r="Q195" s="1332"/>
      <c r="R195" s="1332"/>
      <c r="S195" s="1332"/>
      <c r="T195" s="1332"/>
      <c r="U195" s="1332"/>
      <c r="V195" s="1332"/>
      <c r="W195" s="1332"/>
      <c r="X195" s="1332"/>
      <c r="Y195" s="1332"/>
      <c r="Z195" s="1332"/>
      <c r="AA195" s="1332"/>
      <c r="AB195" s="1332"/>
    </row>
    <row r="196">
      <c r="A196" s="1332"/>
      <c r="B196" s="1366"/>
      <c r="C196" s="1366"/>
      <c r="D196" s="1375"/>
      <c r="E196" s="1332"/>
      <c r="F196" s="1332"/>
      <c r="G196" s="1378"/>
      <c r="H196" s="1378"/>
      <c r="I196" s="1332"/>
      <c r="J196" s="1332"/>
      <c r="K196" s="1332"/>
      <c r="L196" s="1332"/>
      <c r="M196" s="1332"/>
      <c r="N196" s="1332"/>
      <c r="O196" s="1332"/>
      <c r="P196" s="1332"/>
      <c r="Q196" s="1332"/>
      <c r="R196" s="1332"/>
      <c r="S196" s="1332"/>
      <c r="T196" s="1332"/>
      <c r="U196" s="1332"/>
      <c r="V196" s="1332"/>
      <c r="W196" s="1332"/>
      <c r="X196" s="1332"/>
      <c r="Y196" s="1332"/>
      <c r="Z196" s="1332"/>
      <c r="AA196" s="1332"/>
      <c r="AB196" s="1332"/>
    </row>
    <row r="197">
      <c r="A197" s="1332"/>
      <c r="B197" s="1366"/>
      <c r="C197" s="1366"/>
      <c r="D197" s="1375"/>
      <c r="E197" s="1332"/>
      <c r="F197" s="1332"/>
      <c r="G197" s="1378"/>
      <c r="H197" s="1378"/>
      <c r="I197" s="1332"/>
      <c r="J197" s="1332"/>
      <c r="K197" s="1332"/>
      <c r="L197" s="1332"/>
      <c r="M197" s="1332"/>
      <c r="N197" s="1332"/>
      <c r="O197" s="1332"/>
      <c r="P197" s="1332"/>
      <c r="Q197" s="1332"/>
      <c r="R197" s="1332"/>
      <c r="S197" s="1332"/>
      <c r="T197" s="1332"/>
      <c r="U197" s="1332"/>
      <c r="V197" s="1332"/>
      <c r="W197" s="1332"/>
      <c r="X197" s="1332"/>
      <c r="Y197" s="1332"/>
      <c r="Z197" s="1332"/>
      <c r="AA197" s="1332"/>
      <c r="AB197" s="1332"/>
    </row>
    <row r="198">
      <c r="A198" s="1332"/>
      <c r="B198" s="1366"/>
      <c r="C198" s="1366"/>
      <c r="D198" s="1375"/>
      <c r="E198" s="1332"/>
      <c r="F198" s="1332"/>
      <c r="G198" s="1378"/>
      <c r="H198" s="1378"/>
      <c r="I198" s="1332"/>
      <c r="J198" s="1332"/>
      <c r="K198" s="1332"/>
      <c r="L198" s="1332"/>
      <c r="M198" s="1332"/>
      <c r="N198" s="1332"/>
      <c r="O198" s="1332"/>
      <c r="P198" s="1332"/>
      <c r="Q198" s="1332"/>
      <c r="R198" s="1332"/>
      <c r="S198" s="1332"/>
      <c r="T198" s="1332"/>
      <c r="U198" s="1332"/>
      <c r="V198" s="1332"/>
      <c r="W198" s="1332"/>
      <c r="X198" s="1332"/>
      <c r="Y198" s="1332"/>
      <c r="Z198" s="1332"/>
      <c r="AA198" s="1332"/>
      <c r="AB198" s="1332"/>
    </row>
    <row r="199">
      <c r="A199" s="1332"/>
      <c r="B199" s="1366"/>
      <c r="C199" s="1366"/>
      <c r="D199" s="1375"/>
      <c r="E199" s="1332"/>
      <c r="F199" s="1332"/>
      <c r="G199" s="1378"/>
      <c r="H199" s="1378"/>
      <c r="I199" s="1332"/>
      <c r="J199" s="1332"/>
      <c r="K199" s="1332"/>
      <c r="L199" s="1332"/>
      <c r="M199" s="1332"/>
      <c r="N199" s="1332"/>
      <c r="O199" s="1332"/>
      <c r="P199" s="1332"/>
      <c r="Q199" s="1332"/>
      <c r="R199" s="1332"/>
      <c r="S199" s="1332"/>
      <c r="T199" s="1332"/>
      <c r="U199" s="1332"/>
      <c r="V199" s="1332"/>
      <c r="W199" s="1332"/>
      <c r="X199" s="1332"/>
      <c r="Y199" s="1332"/>
      <c r="Z199" s="1332"/>
      <c r="AA199" s="1332"/>
      <c r="AB199" s="1332"/>
    </row>
    <row r="200">
      <c r="A200" s="1332"/>
      <c r="B200" s="1366"/>
      <c r="C200" s="1366"/>
      <c r="D200" s="1375"/>
      <c r="E200" s="1332"/>
      <c r="F200" s="1332"/>
      <c r="G200" s="1378"/>
      <c r="H200" s="1378"/>
      <c r="I200" s="1332"/>
      <c r="J200" s="1332"/>
      <c r="K200" s="1332"/>
      <c r="L200" s="1332"/>
      <c r="M200" s="1332"/>
      <c r="N200" s="1332"/>
      <c r="O200" s="1332"/>
      <c r="P200" s="1332"/>
      <c r="Q200" s="1332"/>
      <c r="R200" s="1332"/>
      <c r="S200" s="1332"/>
      <c r="T200" s="1332"/>
      <c r="U200" s="1332"/>
      <c r="V200" s="1332"/>
      <c r="W200" s="1332"/>
      <c r="X200" s="1332"/>
      <c r="Y200" s="1332"/>
      <c r="Z200" s="1332"/>
      <c r="AA200" s="1332"/>
      <c r="AB200" s="1332"/>
    </row>
    <row r="201">
      <c r="A201" s="1332"/>
      <c r="B201" s="1366"/>
      <c r="C201" s="1366"/>
      <c r="D201" s="1375"/>
      <c r="E201" s="1332"/>
      <c r="F201" s="1332"/>
      <c r="G201" s="1378"/>
      <c r="H201" s="1378"/>
      <c r="I201" s="1332"/>
      <c r="J201" s="1332"/>
      <c r="K201" s="1332"/>
      <c r="L201" s="1332"/>
      <c r="M201" s="1332"/>
      <c r="N201" s="1332"/>
      <c r="O201" s="1332"/>
      <c r="P201" s="1332"/>
      <c r="Q201" s="1332"/>
      <c r="R201" s="1332"/>
      <c r="S201" s="1332"/>
      <c r="T201" s="1332"/>
      <c r="U201" s="1332"/>
      <c r="V201" s="1332"/>
      <c r="W201" s="1332"/>
      <c r="X201" s="1332"/>
      <c r="Y201" s="1332"/>
      <c r="Z201" s="1332"/>
      <c r="AA201" s="1332"/>
      <c r="AB201" s="1332"/>
    </row>
    <row r="202">
      <c r="A202" s="1332"/>
      <c r="B202" s="1366"/>
      <c r="C202" s="1366"/>
      <c r="D202" s="1375"/>
      <c r="E202" s="1332"/>
      <c r="F202" s="1332"/>
      <c r="G202" s="1378"/>
      <c r="H202" s="1378"/>
      <c r="I202" s="1332"/>
      <c r="J202" s="1332"/>
      <c r="K202" s="1332"/>
      <c r="L202" s="1332"/>
      <c r="M202" s="1332"/>
      <c r="N202" s="1332"/>
      <c r="O202" s="1332"/>
      <c r="P202" s="1332"/>
      <c r="Q202" s="1332"/>
      <c r="R202" s="1332"/>
      <c r="S202" s="1332"/>
      <c r="T202" s="1332"/>
      <c r="U202" s="1332"/>
      <c r="V202" s="1332"/>
      <c r="W202" s="1332"/>
      <c r="X202" s="1332"/>
      <c r="Y202" s="1332"/>
      <c r="Z202" s="1332"/>
      <c r="AA202" s="1332"/>
      <c r="AB202" s="1332"/>
    </row>
    <row r="203">
      <c r="A203" s="1332"/>
      <c r="B203" s="1366"/>
      <c r="C203" s="1366"/>
      <c r="D203" s="1375"/>
      <c r="E203" s="1332"/>
      <c r="F203" s="1332"/>
      <c r="G203" s="1378"/>
      <c r="H203" s="1378"/>
      <c r="I203" s="1332"/>
      <c r="J203" s="1332"/>
      <c r="K203" s="1332"/>
      <c r="L203" s="1332"/>
      <c r="M203" s="1332"/>
      <c r="N203" s="1332"/>
      <c r="O203" s="1332"/>
      <c r="P203" s="1332"/>
      <c r="Q203" s="1332"/>
      <c r="R203" s="1332"/>
      <c r="S203" s="1332"/>
      <c r="T203" s="1332"/>
      <c r="U203" s="1332"/>
      <c r="V203" s="1332"/>
      <c r="W203" s="1332"/>
      <c r="X203" s="1332"/>
      <c r="Y203" s="1332"/>
      <c r="Z203" s="1332"/>
      <c r="AA203" s="1332"/>
      <c r="AB203" s="1332"/>
    </row>
    <row r="204">
      <c r="A204" s="1332"/>
      <c r="B204" s="1366"/>
      <c r="C204" s="1366"/>
      <c r="D204" s="1375"/>
      <c r="E204" s="1332"/>
      <c r="F204" s="1332"/>
      <c r="G204" s="1378"/>
      <c r="H204" s="1378"/>
      <c r="I204" s="1332"/>
      <c r="J204" s="1332"/>
      <c r="K204" s="1332"/>
      <c r="L204" s="1332"/>
      <c r="M204" s="1332"/>
      <c r="N204" s="1332"/>
      <c r="O204" s="1332"/>
      <c r="P204" s="1332"/>
      <c r="Q204" s="1332"/>
      <c r="R204" s="1332"/>
      <c r="S204" s="1332"/>
      <c r="T204" s="1332"/>
      <c r="U204" s="1332"/>
      <c r="V204" s="1332"/>
      <c r="W204" s="1332"/>
      <c r="X204" s="1332"/>
      <c r="Y204" s="1332"/>
      <c r="Z204" s="1332"/>
      <c r="AA204" s="1332"/>
      <c r="AB204" s="1332"/>
    </row>
    <row r="205">
      <c r="A205" s="1332"/>
      <c r="B205" s="1366"/>
      <c r="C205" s="1366"/>
      <c r="D205" s="1375"/>
      <c r="E205" s="1332"/>
      <c r="F205" s="1332"/>
      <c r="G205" s="1378"/>
      <c r="H205" s="1378"/>
      <c r="I205" s="1332"/>
      <c r="J205" s="1332"/>
      <c r="K205" s="1332"/>
      <c r="L205" s="1332"/>
      <c r="M205" s="1332"/>
      <c r="N205" s="1332"/>
      <c r="O205" s="1332"/>
      <c r="P205" s="1332"/>
      <c r="Q205" s="1332"/>
      <c r="R205" s="1332"/>
      <c r="S205" s="1332"/>
      <c r="T205" s="1332"/>
      <c r="U205" s="1332"/>
      <c r="V205" s="1332"/>
      <c r="W205" s="1332"/>
      <c r="X205" s="1332"/>
      <c r="Y205" s="1332"/>
      <c r="Z205" s="1332"/>
      <c r="AA205" s="1332"/>
      <c r="AB205" s="1332"/>
    </row>
    <row r="206">
      <c r="A206" s="1332"/>
      <c r="B206" s="1366"/>
      <c r="C206" s="1366"/>
      <c r="D206" s="1375"/>
      <c r="E206" s="1332"/>
      <c r="F206" s="1332"/>
      <c r="G206" s="1378"/>
      <c r="H206" s="1378"/>
      <c r="I206" s="1332"/>
      <c r="J206" s="1332"/>
      <c r="K206" s="1332"/>
      <c r="L206" s="1332"/>
      <c r="M206" s="1332"/>
      <c r="N206" s="1332"/>
      <c r="O206" s="1332"/>
      <c r="P206" s="1332"/>
      <c r="Q206" s="1332"/>
      <c r="R206" s="1332"/>
      <c r="S206" s="1332"/>
      <c r="T206" s="1332"/>
      <c r="U206" s="1332"/>
      <c r="V206" s="1332"/>
      <c r="W206" s="1332"/>
      <c r="X206" s="1332"/>
      <c r="Y206" s="1332"/>
      <c r="Z206" s="1332"/>
      <c r="AA206" s="1332"/>
      <c r="AB206" s="1332"/>
    </row>
    <row r="207">
      <c r="A207" s="1332"/>
      <c r="B207" s="1366"/>
      <c r="C207" s="1366"/>
      <c r="D207" s="1375"/>
      <c r="E207" s="1332"/>
      <c r="F207" s="1332"/>
      <c r="G207" s="1378"/>
      <c r="H207" s="1378"/>
      <c r="I207" s="1332"/>
      <c r="J207" s="1332"/>
      <c r="K207" s="1332"/>
      <c r="L207" s="1332"/>
      <c r="M207" s="1332"/>
      <c r="N207" s="1332"/>
      <c r="O207" s="1332"/>
      <c r="P207" s="1332"/>
      <c r="Q207" s="1332"/>
      <c r="R207" s="1332"/>
      <c r="S207" s="1332"/>
      <c r="T207" s="1332"/>
      <c r="U207" s="1332"/>
      <c r="V207" s="1332"/>
      <c r="W207" s="1332"/>
      <c r="X207" s="1332"/>
      <c r="Y207" s="1332"/>
      <c r="Z207" s="1332"/>
      <c r="AA207" s="1332"/>
      <c r="AB207" s="1332"/>
    </row>
    <row r="208">
      <c r="A208" s="1332"/>
      <c r="B208" s="1366"/>
      <c r="C208" s="1366"/>
      <c r="D208" s="1375"/>
      <c r="E208" s="1332"/>
      <c r="F208" s="1332"/>
      <c r="G208" s="1378"/>
      <c r="H208" s="1378"/>
      <c r="I208" s="1332"/>
      <c r="J208" s="1332"/>
      <c r="K208" s="1332"/>
      <c r="L208" s="1332"/>
      <c r="M208" s="1332"/>
      <c r="N208" s="1332"/>
      <c r="O208" s="1332"/>
      <c r="P208" s="1332"/>
      <c r="Q208" s="1332"/>
      <c r="R208" s="1332"/>
      <c r="S208" s="1332"/>
      <c r="T208" s="1332"/>
      <c r="U208" s="1332"/>
      <c r="V208" s="1332"/>
      <c r="W208" s="1332"/>
      <c r="X208" s="1332"/>
      <c r="Y208" s="1332"/>
      <c r="Z208" s="1332"/>
      <c r="AA208" s="1332"/>
      <c r="AB208" s="1332"/>
    </row>
    <row r="209">
      <c r="A209" s="1332"/>
      <c r="B209" s="1366"/>
      <c r="C209" s="1366"/>
      <c r="D209" s="1375"/>
      <c r="E209" s="1332"/>
      <c r="F209" s="1332"/>
      <c r="G209" s="1378"/>
      <c r="H209" s="1378"/>
      <c r="I209" s="1332"/>
      <c r="J209" s="1332"/>
      <c r="K209" s="1332"/>
      <c r="L209" s="1332"/>
      <c r="M209" s="1332"/>
      <c r="N209" s="1332"/>
      <c r="O209" s="1332"/>
      <c r="P209" s="1332"/>
      <c r="Q209" s="1332"/>
      <c r="R209" s="1332"/>
      <c r="S209" s="1332"/>
      <c r="T209" s="1332"/>
      <c r="U209" s="1332"/>
      <c r="V209" s="1332"/>
      <c r="W209" s="1332"/>
      <c r="X209" s="1332"/>
      <c r="Y209" s="1332"/>
      <c r="Z209" s="1332"/>
      <c r="AA209" s="1332"/>
      <c r="AB209" s="1332"/>
    </row>
    <row r="210">
      <c r="A210" s="1332"/>
      <c r="B210" s="1366"/>
      <c r="C210" s="1366"/>
      <c r="D210" s="1375"/>
      <c r="E210" s="1332"/>
      <c r="F210" s="1332"/>
      <c r="G210" s="1378"/>
      <c r="H210" s="1378"/>
      <c r="I210" s="1332"/>
      <c r="J210" s="1332"/>
      <c r="K210" s="1332"/>
      <c r="L210" s="1332"/>
      <c r="M210" s="1332"/>
      <c r="N210" s="1332"/>
      <c r="O210" s="1332"/>
      <c r="P210" s="1332"/>
      <c r="Q210" s="1332"/>
      <c r="R210" s="1332"/>
      <c r="S210" s="1332"/>
      <c r="T210" s="1332"/>
      <c r="U210" s="1332"/>
      <c r="V210" s="1332"/>
      <c r="W210" s="1332"/>
      <c r="X210" s="1332"/>
      <c r="Y210" s="1332"/>
      <c r="Z210" s="1332"/>
      <c r="AA210" s="1332"/>
      <c r="AB210" s="1332"/>
    </row>
    <row r="211">
      <c r="A211" s="1332"/>
      <c r="B211" s="1366"/>
      <c r="C211" s="1366"/>
      <c r="D211" s="1375"/>
      <c r="E211" s="1332"/>
      <c r="F211" s="1332"/>
      <c r="G211" s="1378"/>
      <c r="H211" s="1378"/>
      <c r="I211" s="1332"/>
      <c r="J211" s="1332"/>
      <c r="K211" s="1332"/>
      <c r="L211" s="1332"/>
      <c r="M211" s="1332"/>
      <c r="N211" s="1332"/>
      <c r="O211" s="1332"/>
      <c r="P211" s="1332"/>
      <c r="Q211" s="1332"/>
      <c r="R211" s="1332"/>
      <c r="S211" s="1332"/>
      <c r="T211" s="1332"/>
      <c r="U211" s="1332"/>
      <c r="V211" s="1332"/>
      <c r="W211" s="1332"/>
      <c r="X211" s="1332"/>
      <c r="Y211" s="1332"/>
      <c r="Z211" s="1332"/>
      <c r="AA211" s="1332"/>
      <c r="AB211" s="1332"/>
    </row>
    <row r="212">
      <c r="A212" s="1332"/>
      <c r="B212" s="1366"/>
      <c r="C212" s="1366"/>
      <c r="D212" s="1375"/>
      <c r="E212" s="1332"/>
      <c r="F212" s="1332"/>
      <c r="G212" s="1378"/>
      <c r="H212" s="1378"/>
      <c r="I212" s="1332"/>
      <c r="J212" s="1332"/>
      <c r="K212" s="1332"/>
      <c r="L212" s="1332"/>
      <c r="M212" s="1332"/>
      <c r="N212" s="1332"/>
      <c r="O212" s="1332"/>
      <c r="P212" s="1332"/>
      <c r="Q212" s="1332"/>
      <c r="R212" s="1332"/>
      <c r="S212" s="1332"/>
      <c r="T212" s="1332"/>
      <c r="U212" s="1332"/>
      <c r="V212" s="1332"/>
      <c r="W212" s="1332"/>
      <c r="X212" s="1332"/>
      <c r="Y212" s="1332"/>
      <c r="Z212" s="1332"/>
      <c r="AA212" s="1332"/>
      <c r="AB212" s="1332"/>
    </row>
    <row r="213">
      <c r="A213" s="1332"/>
      <c r="B213" s="1366"/>
      <c r="C213" s="1366"/>
      <c r="D213" s="1375"/>
      <c r="E213" s="1332"/>
      <c r="F213" s="1332"/>
      <c r="G213" s="1378"/>
      <c r="H213" s="1378"/>
      <c r="I213" s="1332"/>
      <c r="J213" s="1332"/>
      <c r="K213" s="1332"/>
      <c r="L213" s="1332"/>
      <c r="M213" s="1332"/>
      <c r="N213" s="1332"/>
      <c r="O213" s="1332"/>
      <c r="P213" s="1332"/>
      <c r="Q213" s="1332"/>
      <c r="R213" s="1332"/>
      <c r="S213" s="1332"/>
      <c r="T213" s="1332"/>
      <c r="U213" s="1332"/>
      <c r="V213" s="1332"/>
      <c r="W213" s="1332"/>
      <c r="X213" s="1332"/>
      <c r="Y213" s="1332"/>
      <c r="Z213" s="1332"/>
      <c r="AA213" s="1332"/>
      <c r="AB213" s="1332"/>
    </row>
    <row r="214">
      <c r="A214" s="1332"/>
      <c r="B214" s="1366"/>
      <c r="C214" s="1366"/>
      <c r="D214" s="1375"/>
      <c r="E214" s="1332"/>
      <c r="F214" s="1332"/>
      <c r="G214" s="1378"/>
      <c r="H214" s="1378"/>
      <c r="I214" s="1332"/>
      <c r="J214" s="1332"/>
      <c r="K214" s="1332"/>
      <c r="L214" s="1332"/>
      <c r="M214" s="1332"/>
      <c r="N214" s="1332"/>
      <c r="O214" s="1332"/>
      <c r="P214" s="1332"/>
      <c r="Q214" s="1332"/>
      <c r="R214" s="1332"/>
      <c r="S214" s="1332"/>
      <c r="T214" s="1332"/>
      <c r="U214" s="1332"/>
      <c r="V214" s="1332"/>
      <c r="W214" s="1332"/>
      <c r="X214" s="1332"/>
      <c r="Y214" s="1332"/>
      <c r="Z214" s="1332"/>
      <c r="AA214" s="1332"/>
      <c r="AB214" s="1332"/>
    </row>
    <row r="215">
      <c r="A215" s="1332"/>
      <c r="B215" s="1366"/>
      <c r="C215" s="1366"/>
      <c r="D215" s="1375"/>
      <c r="E215" s="1332"/>
      <c r="F215" s="1332"/>
      <c r="G215" s="1378"/>
      <c r="H215" s="1378"/>
      <c r="I215" s="1332"/>
      <c r="J215" s="1332"/>
      <c r="K215" s="1332"/>
      <c r="L215" s="1332"/>
      <c r="M215" s="1332"/>
      <c r="N215" s="1332"/>
      <c r="O215" s="1332"/>
      <c r="P215" s="1332"/>
      <c r="Q215" s="1332"/>
      <c r="R215" s="1332"/>
      <c r="S215" s="1332"/>
      <c r="T215" s="1332"/>
      <c r="U215" s="1332"/>
      <c r="V215" s="1332"/>
      <c r="W215" s="1332"/>
      <c r="X215" s="1332"/>
      <c r="Y215" s="1332"/>
      <c r="Z215" s="1332"/>
      <c r="AA215" s="1332"/>
      <c r="AB215" s="1332"/>
    </row>
    <row r="216">
      <c r="A216" s="1332"/>
      <c r="B216" s="1366"/>
      <c r="C216" s="1366"/>
      <c r="D216" s="1375"/>
      <c r="E216" s="1332"/>
      <c r="F216" s="1332"/>
      <c r="G216" s="1378"/>
      <c r="H216" s="1378"/>
      <c r="I216" s="1332"/>
      <c r="J216" s="1332"/>
      <c r="K216" s="1332"/>
      <c r="L216" s="1332"/>
      <c r="M216" s="1332"/>
      <c r="N216" s="1332"/>
      <c r="O216" s="1332"/>
      <c r="P216" s="1332"/>
      <c r="Q216" s="1332"/>
      <c r="R216" s="1332"/>
      <c r="S216" s="1332"/>
      <c r="T216" s="1332"/>
      <c r="U216" s="1332"/>
      <c r="V216" s="1332"/>
      <c r="W216" s="1332"/>
      <c r="X216" s="1332"/>
      <c r="Y216" s="1332"/>
      <c r="Z216" s="1332"/>
      <c r="AA216" s="1332"/>
      <c r="AB216" s="1332"/>
    </row>
    <row r="217">
      <c r="A217" s="1332"/>
      <c r="B217" s="1366"/>
      <c r="C217" s="1366"/>
      <c r="D217" s="1375"/>
      <c r="E217" s="1332"/>
      <c r="F217" s="1332"/>
      <c r="G217" s="1378"/>
      <c r="H217" s="1378"/>
      <c r="I217" s="1332"/>
      <c r="J217" s="1332"/>
      <c r="K217" s="1332"/>
      <c r="L217" s="1332"/>
      <c r="M217" s="1332"/>
      <c r="N217" s="1332"/>
      <c r="O217" s="1332"/>
      <c r="P217" s="1332"/>
      <c r="Q217" s="1332"/>
      <c r="R217" s="1332"/>
      <c r="S217" s="1332"/>
      <c r="T217" s="1332"/>
      <c r="U217" s="1332"/>
      <c r="V217" s="1332"/>
      <c r="W217" s="1332"/>
      <c r="X217" s="1332"/>
      <c r="Y217" s="1332"/>
      <c r="Z217" s="1332"/>
      <c r="AA217" s="1332"/>
      <c r="AB217" s="1332"/>
    </row>
    <row r="218">
      <c r="A218" s="1332"/>
      <c r="B218" s="1366"/>
      <c r="C218" s="1366"/>
      <c r="D218" s="1375"/>
      <c r="E218" s="1332"/>
      <c r="F218" s="1332"/>
      <c r="G218" s="1378"/>
      <c r="H218" s="1378"/>
      <c r="I218" s="1332"/>
      <c r="J218" s="1332"/>
      <c r="K218" s="1332"/>
      <c r="L218" s="1332"/>
      <c r="M218" s="1332"/>
      <c r="N218" s="1332"/>
      <c r="O218" s="1332"/>
      <c r="P218" s="1332"/>
      <c r="Q218" s="1332"/>
      <c r="R218" s="1332"/>
      <c r="S218" s="1332"/>
      <c r="T218" s="1332"/>
      <c r="U218" s="1332"/>
      <c r="V218" s="1332"/>
      <c r="W218" s="1332"/>
      <c r="X218" s="1332"/>
      <c r="Y218" s="1332"/>
      <c r="Z218" s="1332"/>
      <c r="AA218" s="1332"/>
      <c r="AB218" s="1332"/>
    </row>
    <row r="219">
      <c r="A219" s="1332"/>
      <c r="B219" s="1366"/>
      <c r="C219" s="1366"/>
      <c r="D219" s="1375"/>
      <c r="E219" s="1332"/>
      <c r="F219" s="1332"/>
      <c r="G219" s="1378"/>
      <c r="H219" s="1378"/>
      <c r="I219" s="1332"/>
      <c r="J219" s="1332"/>
      <c r="K219" s="1332"/>
      <c r="L219" s="1332"/>
      <c r="M219" s="1332"/>
      <c r="N219" s="1332"/>
      <c r="O219" s="1332"/>
      <c r="P219" s="1332"/>
      <c r="Q219" s="1332"/>
      <c r="R219" s="1332"/>
      <c r="S219" s="1332"/>
      <c r="T219" s="1332"/>
      <c r="U219" s="1332"/>
      <c r="V219" s="1332"/>
      <c r="W219" s="1332"/>
      <c r="X219" s="1332"/>
      <c r="Y219" s="1332"/>
      <c r="Z219" s="1332"/>
      <c r="AA219" s="1332"/>
      <c r="AB219" s="1332"/>
    </row>
    <row r="220">
      <c r="A220" s="1332"/>
      <c r="B220" s="1366"/>
      <c r="C220" s="1366"/>
      <c r="D220" s="1375"/>
      <c r="E220" s="1332"/>
      <c r="F220" s="1332"/>
      <c r="G220" s="1378"/>
      <c r="H220" s="1378"/>
      <c r="I220" s="1332"/>
      <c r="J220" s="1332"/>
      <c r="K220" s="1332"/>
      <c r="L220" s="1332"/>
      <c r="M220" s="1332"/>
      <c r="N220" s="1332"/>
      <c r="O220" s="1332"/>
      <c r="P220" s="1332"/>
      <c r="Q220" s="1332"/>
      <c r="R220" s="1332"/>
      <c r="S220" s="1332"/>
      <c r="T220" s="1332"/>
      <c r="U220" s="1332"/>
      <c r="V220" s="1332"/>
      <c r="W220" s="1332"/>
      <c r="X220" s="1332"/>
      <c r="Y220" s="1332"/>
      <c r="Z220" s="1332"/>
      <c r="AA220" s="1332"/>
      <c r="AB220" s="1332"/>
    </row>
    <row r="221">
      <c r="A221" s="1332"/>
      <c r="B221" s="1366"/>
      <c r="C221" s="1366"/>
      <c r="D221" s="1375"/>
      <c r="E221" s="1332"/>
      <c r="F221" s="1332"/>
      <c r="G221" s="1378"/>
      <c r="H221" s="1378"/>
      <c r="I221" s="1332"/>
      <c r="J221" s="1332"/>
      <c r="K221" s="1332"/>
      <c r="L221" s="1332"/>
      <c r="M221" s="1332"/>
      <c r="N221" s="1332"/>
      <c r="O221" s="1332"/>
      <c r="P221" s="1332"/>
      <c r="Q221" s="1332"/>
      <c r="R221" s="1332"/>
      <c r="S221" s="1332"/>
      <c r="T221" s="1332"/>
      <c r="U221" s="1332"/>
      <c r="V221" s="1332"/>
      <c r="W221" s="1332"/>
      <c r="X221" s="1332"/>
      <c r="Y221" s="1332"/>
      <c r="Z221" s="1332"/>
      <c r="AA221" s="1332"/>
      <c r="AB221" s="1332"/>
    </row>
    <row r="222">
      <c r="A222" s="1332"/>
      <c r="B222" s="1366"/>
      <c r="C222" s="1366"/>
      <c r="D222" s="1375"/>
      <c r="E222" s="1332"/>
      <c r="F222" s="1332"/>
      <c r="G222" s="1378"/>
      <c r="H222" s="1378"/>
      <c r="I222" s="1332"/>
      <c r="J222" s="1332"/>
      <c r="K222" s="1332"/>
      <c r="L222" s="1332"/>
      <c r="M222" s="1332"/>
      <c r="N222" s="1332"/>
      <c r="O222" s="1332"/>
      <c r="P222" s="1332"/>
      <c r="Q222" s="1332"/>
      <c r="R222" s="1332"/>
      <c r="S222" s="1332"/>
      <c r="T222" s="1332"/>
      <c r="U222" s="1332"/>
      <c r="V222" s="1332"/>
      <c r="W222" s="1332"/>
      <c r="X222" s="1332"/>
      <c r="Y222" s="1332"/>
      <c r="Z222" s="1332"/>
      <c r="AA222" s="1332"/>
      <c r="AB222" s="1332"/>
    </row>
    <row r="223">
      <c r="A223" s="1332"/>
      <c r="B223" s="1366"/>
      <c r="C223" s="1366"/>
      <c r="D223" s="1375"/>
      <c r="E223" s="1332"/>
      <c r="F223" s="1332"/>
      <c r="G223" s="1378"/>
      <c r="H223" s="1378"/>
      <c r="I223" s="1332"/>
      <c r="J223" s="1332"/>
      <c r="K223" s="1332"/>
      <c r="L223" s="1332"/>
      <c r="M223" s="1332"/>
      <c r="N223" s="1332"/>
      <c r="O223" s="1332"/>
      <c r="P223" s="1332"/>
      <c r="Q223" s="1332"/>
      <c r="R223" s="1332"/>
      <c r="S223" s="1332"/>
      <c r="T223" s="1332"/>
      <c r="U223" s="1332"/>
      <c r="V223" s="1332"/>
      <c r="W223" s="1332"/>
      <c r="X223" s="1332"/>
      <c r="Y223" s="1332"/>
      <c r="Z223" s="1332"/>
      <c r="AA223" s="1332"/>
      <c r="AB223" s="1332"/>
    </row>
    <row r="224">
      <c r="A224" s="1332"/>
      <c r="B224" s="1366"/>
      <c r="C224" s="1366"/>
      <c r="D224" s="1375"/>
      <c r="E224" s="1332"/>
      <c r="F224" s="1332"/>
      <c r="G224" s="1378"/>
      <c r="H224" s="1378"/>
      <c r="I224" s="1332"/>
      <c r="J224" s="1332"/>
      <c r="K224" s="1332"/>
      <c r="L224" s="1332"/>
      <c r="M224" s="1332"/>
      <c r="N224" s="1332"/>
      <c r="O224" s="1332"/>
      <c r="P224" s="1332"/>
      <c r="Q224" s="1332"/>
      <c r="R224" s="1332"/>
      <c r="S224" s="1332"/>
      <c r="T224" s="1332"/>
      <c r="U224" s="1332"/>
      <c r="V224" s="1332"/>
      <c r="W224" s="1332"/>
      <c r="X224" s="1332"/>
      <c r="Y224" s="1332"/>
      <c r="Z224" s="1332"/>
      <c r="AA224" s="1332"/>
      <c r="AB224" s="1332"/>
    </row>
    <row r="225">
      <c r="A225" s="1332"/>
      <c r="B225" s="1366"/>
      <c r="C225" s="1366"/>
      <c r="D225" s="1375"/>
      <c r="E225" s="1332"/>
      <c r="F225" s="1332"/>
      <c r="G225" s="1378"/>
      <c r="H225" s="1378"/>
      <c r="I225" s="1332"/>
      <c r="J225" s="1332"/>
      <c r="K225" s="1332"/>
      <c r="L225" s="1332"/>
      <c r="M225" s="1332"/>
      <c r="N225" s="1332"/>
      <c r="O225" s="1332"/>
      <c r="P225" s="1332"/>
      <c r="Q225" s="1332"/>
      <c r="R225" s="1332"/>
      <c r="S225" s="1332"/>
      <c r="T225" s="1332"/>
      <c r="U225" s="1332"/>
      <c r="V225" s="1332"/>
      <c r="W225" s="1332"/>
      <c r="X225" s="1332"/>
      <c r="Y225" s="1332"/>
      <c r="Z225" s="1332"/>
      <c r="AA225" s="1332"/>
      <c r="AB225" s="1332"/>
    </row>
    <row r="226">
      <c r="A226" s="1332"/>
      <c r="B226" s="1366"/>
      <c r="C226" s="1366"/>
      <c r="D226" s="1375"/>
      <c r="E226" s="1332"/>
      <c r="F226" s="1332"/>
      <c r="G226" s="1378"/>
      <c r="H226" s="1378"/>
      <c r="I226" s="1332"/>
      <c r="J226" s="1332"/>
      <c r="K226" s="1332"/>
      <c r="L226" s="1332"/>
      <c r="M226" s="1332"/>
      <c r="N226" s="1332"/>
      <c r="O226" s="1332"/>
      <c r="P226" s="1332"/>
      <c r="Q226" s="1332"/>
      <c r="R226" s="1332"/>
      <c r="S226" s="1332"/>
      <c r="T226" s="1332"/>
      <c r="U226" s="1332"/>
      <c r="V226" s="1332"/>
      <c r="W226" s="1332"/>
      <c r="X226" s="1332"/>
      <c r="Y226" s="1332"/>
      <c r="Z226" s="1332"/>
      <c r="AA226" s="1332"/>
      <c r="AB226" s="1332"/>
    </row>
    <row r="227">
      <c r="A227" s="1332"/>
      <c r="B227" s="1366"/>
      <c r="C227" s="1366"/>
      <c r="D227" s="1375"/>
      <c r="E227" s="1332"/>
      <c r="F227" s="1332"/>
      <c r="G227" s="1378"/>
      <c r="H227" s="1378"/>
      <c r="I227" s="1332"/>
      <c r="J227" s="1332"/>
      <c r="K227" s="1332"/>
      <c r="L227" s="1332"/>
      <c r="M227" s="1332"/>
      <c r="N227" s="1332"/>
      <c r="O227" s="1332"/>
      <c r="P227" s="1332"/>
      <c r="Q227" s="1332"/>
      <c r="R227" s="1332"/>
      <c r="S227" s="1332"/>
      <c r="T227" s="1332"/>
      <c r="U227" s="1332"/>
      <c r="V227" s="1332"/>
      <c r="W227" s="1332"/>
      <c r="X227" s="1332"/>
      <c r="Y227" s="1332"/>
      <c r="Z227" s="1332"/>
      <c r="AA227" s="1332"/>
      <c r="AB227" s="1332"/>
    </row>
    <row r="228">
      <c r="A228" s="1332"/>
      <c r="B228" s="1366"/>
      <c r="C228" s="1366"/>
      <c r="D228" s="1375"/>
      <c r="E228" s="1332"/>
      <c r="F228" s="1332"/>
      <c r="G228" s="1378"/>
      <c r="H228" s="1378"/>
      <c r="I228" s="1332"/>
      <c r="J228" s="1332"/>
      <c r="K228" s="1332"/>
      <c r="L228" s="1332"/>
      <c r="M228" s="1332"/>
      <c r="N228" s="1332"/>
      <c r="O228" s="1332"/>
      <c r="P228" s="1332"/>
      <c r="Q228" s="1332"/>
      <c r="R228" s="1332"/>
      <c r="S228" s="1332"/>
      <c r="T228" s="1332"/>
      <c r="U228" s="1332"/>
      <c r="V228" s="1332"/>
      <c r="W228" s="1332"/>
      <c r="X228" s="1332"/>
      <c r="Y228" s="1332"/>
      <c r="Z228" s="1332"/>
      <c r="AA228" s="1332"/>
      <c r="AB228" s="1332"/>
    </row>
    <row r="229">
      <c r="A229" s="1332"/>
      <c r="B229" s="1366"/>
      <c r="C229" s="1366"/>
      <c r="D229" s="1375"/>
      <c r="E229" s="1332"/>
      <c r="F229" s="1332"/>
      <c r="G229" s="1378"/>
      <c r="H229" s="1378"/>
      <c r="I229" s="1332"/>
      <c r="J229" s="1332"/>
      <c r="K229" s="1332"/>
      <c r="L229" s="1332"/>
      <c r="M229" s="1332"/>
      <c r="N229" s="1332"/>
      <c r="O229" s="1332"/>
      <c r="P229" s="1332"/>
      <c r="Q229" s="1332"/>
      <c r="R229" s="1332"/>
      <c r="S229" s="1332"/>
      <c r="T229" s="1332"/>
      <c r="U229" s="1332"/>
      <c r="V229" s="1332"/>
      <c r="W229" s="1332"/>
      <c r="X229" s="1332"/>
      <c r="Y229" s="1332"/>
      <c r="Z229" s="1332"/>
      <c r="AA229" s="1332"/>
      <c r="AB229" s="1332"/>
    </row>
    <row r="230">
      <c r="A230" s="1332"/>
      <c r="B230" s="1366"/>
      <c r="C230" s="1366"/>
      <c r="D230" s="1375"/>
      <c r="E230" s="1332"/>
      <c r="F230" s="1332"/>
      <c r="G230" s="1378"/>
      <c r="H230" s="1378"/>
      <c r="I230" s="1332"/>
      <c r="J230" s="1332"/>
      <c r="K230" s="1332"/>
      <c r="L230" s="1332"/>
      <c r="M230" s="1332"/>
      <c r="N230" s="1332"/>
      <c r="O230" s="1332"/>
      <c r="P230" s="1332"/>
      <c r="Q230" s="1332"/>
      <c r="R230" s="1332"/>
      <c r="S230" s="1332"/>
      <c r="T230" s="1332"/>
      <c r="U230" s="1332"/>
      <c r="V230" s="1332"/>
      <c r="W230" s="1332"/>
      <c r="X230" s="1332"/>
      <c r="Y230" s="1332"/>
      <c r="Z230" s="1332"/>
      <c r="AA230" s="1332"/>
      <c r="AB230" s="1332"/>
    </row>
    <row r="231">
      <c r="A231" s="1332"/>
      <c r="B231" s="1366"/>
      <c r="C231" s="1366"/>
      <c r="D231" s="1375"/>
      <c r="E231" s="1332"/>
      <c r="F231" s="1332"/>
      <c r="G231" s="1378"/>
      <c r="H231" s="1378"/>
      <c r="I231" s="1332"/>
      <c r="J231" s="1332"/>
      <c r="K231" s="1332"/>
      <c r="L231" s="1332"/>
      <c r="M231" s="1332"/>
      <c r="N231" s="1332"/>
      <c r="O231" s="1332"/>
      <c r="P231" s="1332"/>
      <c r="Q231" s="1332"/>
      <c r="R231" s="1332"/>
      <c r="S231" s="1332"/>
      <c r="T231" s="1332"/>
      <c r="U231" s="1332"/>
      <c r="V231" s="1332"/>
      <c r="W231" s="1332"/>
      <c r="X231" s="1332"/>
      <c r="Y231" s="1332"/>
      <c r="Z231" s="1332"/>
      <c r="AA231" s="1332"/>
      <c r="AB231" s="1332"/>
    </row>
    <row r="232">
      <c r="A232" s="1332"/>
      <c r="B232" s="1366"/>
      <c r="C232" s="1366"/>
      <c r="D232" s="1375"/>
      <c r="E232" s="1332"/>
      <c r="F232" s="1332"/>
      <c r="G232" s="1378"/>
      <c r="H232" s="1378"/>
      <c r="I232" s="1332"/>
      <c r="J232" s="1332"/>
      <c r="K232" s="1332"/>
      <c r="L232" s="1332"/>
      <c r="M232" s="1332"/>
      <c r="N232" s="1332"/>
      <c r="O232" s="1332"/>
      <c r="P232" s="1332"/>
      <c r="Q232" s="1332"/>
      <c r="R232" s="1332"/>
      <c r="S232" s="1332"/>
      <c r="T232" s="1332"/>
      <c r="U232" s="1332"/>
      <c r="V232" s="1332"/>
      <c r="W232" s="1332"/>
      <c r="X232" s="1332"/>
      <c r="Y232" s="1332"/>
      <c r="Z232" s="1332"/>
      <c r="AA232" s="1332"/>
      <c r="AB232" s="1332"/>
    </row>
    <row r="233">
      <c r="A233" s="1332"/>
      <c r="B233" s="1366"/>
      <c r="C233" s="1366"/>
      <c r="D233" s="1375"/>
      <c r="E233" s="1332"/>
      <c r="F233" s="1332"/>
      <c r="G233" s="1378"/>
      <c r="H233" s="1378"/>
      <c r="I233" s="1332"/>
      <c r="J233" s="1332"/>
      <c r="K233" s="1332"/>
      <c r="L233" s="1332"/>
      <c r="M233" s="1332"/>
      <c r="N233" s="1332"/>
      <c r="O233" s="1332"/>
      <c r="P233" s="1332"/>
      <c r="Q233" s="1332"/>
      <c r="R233" s="1332"/>
      <c r="S233" s="1332"/>
      <c r="T233" s="1332"/>
      <c r="U233" s="1332"/>
      <c r="V233" s="1332"/>
      <c r="W233" s="1332"/>
      <c r="X233" s="1332"/>
      <c r="Y233" s="1332"/>
      <c r="Z233" s="1332"/>
      <c r="AA233" s="1332"/>
      <c r="AB233" s="1332"/>
    </row>
    <row r="234">
      <c r="A234" s="1332"/>
      <c r="B234" s="1366"/>
      <c r="C234" s="1366"/>
      <c r="D234" s="1375"/>
      <c r="E234" s="1332"/>
      <c r="F234" s="1332"/>
      <c r="G234" s="1378"/>
      <c r="H234" s="1378"/>
      <c r="I234" s="1332"/>
      <c r="J234" s="1332"/>
      <c r="K234" s="1332"/>
      <c r="L234" s="1332"/>
      <c r="M234" s="1332"/>
      <c r="N234" s="1332"/>
      <c r="O234" s="1332"/>
      <c r="P234" s="1332"/>
      <c r="Q234" s="1332"/>
      <c r="R234" s="1332"/>
      <c r="S234" s="1332"/>
      <c r="T234" s="1332"/>
      <c r="U234" s="1332"/>
      <c r="V234" s="1332"/>
      <c r="W234" s="1332"/>
      <c r="X234" s="1332"/>
      <c r="Y234" s="1332"/>
      <c r="Z234" s="1332"/>
      <c r="AA234" s="1332"/>
      <c r="AB234" s="1332"/>
    </row>
    <row r="235">
      <c r="A235" s="1332"/>
      <c r="B235" s="1366"/>
      <c r="C235" s="1366"/>
      <c r="D235" s="1375"/>
      <c r="E235" s="1332"/>
      <c r="F235" s="1332"/>
      <c r="G235" s="1378"/>
      <c r="H235" s="1378"/>
      <c r="I235" s="1332"/>
      <c r="J235" s="1332"/>
      <c r="K235" s="1332"/>
      <c r="L235" s="1332"/>
      <c r="M235" s="1332"/>
      <c r="N235" s="1332"/>
      <c r="O235" s="1332"/>
      <c r="P235" s="1332"/>
      <c r="Q235" s="1332"/>
      <c r="R235" s="1332"/>
      <c r="S235" s="1332"/>
      <c r="T235" s="1332"/>
      <c r="U235" s="1332"/>
      <c r="V235" s="1332"/>
      <c r="W235" s="1332"/>
      <c r="X235" s="1332"/>
      <c r="Y235" s="1332"/>
      <c r="Z235" s="1332"/>
      <c r="AA235" s="1332"/>
      <c r="AB235" s="1332"/>
    </row>
    <row r="236">
      <c r="A236" s="1332"/>
      <c r="B236" s="1366"/>
      <c r="C236" s="1366"/>
      <c r="D236" s="1375"/>
      <c r="E236" s="1332"/>
      <c r="F236" s="1332"/>
      <c r="G236" s="1378"/>
      <c r="H236" s="1378"/>
      <c r="I236" s="1332"/>
      <c r="J236" s="1332"/>
      <c r="K236" s="1332"/>
      <c r="L236" s="1332"/>
      <c r="M236" s="1332"/>
      <c r="N236" s="1332"/>
      <c r="O236" s="1332"/>
      <c r="P236" s="1332"/>
      <c r="Q236" s="1332"/>
      <c r="R236" s="1332"/>
      <c r="S236" s="1332"/>
      <c r="T236" s="1332"/>
      <c r="U236" s="1332"/>
      <c r="V236" s="1332"/>
      <c r="W236" s="1332"/>
      <c r="X236" s="1332"/>
      <c r="Y236" s="1332"/>
      <c r="Z236" s="1332"/>
      <c r="AA236" s="1332"/>
      <c r="AB236" s="1332"/>
    </row>
    <row r="237">
      <c r="A237" s="1332"/>
      <c r="B237" s="1366"/>
      <c r="C237" s="1366"/>
      <c r="D237" s="1375"/>
      <c r="E237" s="1332"/>
      <c r="F237" s="1332"/>
      <c r="G237" s="1378"/>
      <c r="H237" s="1378"/>
      <c r="I237" s="1332"/>
      <c r="J237" s="1332"/>
      <c r="K237" s="1332"/>
      <c r="L237" s="1332"/>
      <c r="M237" s="1332"/>
      <c r="N237" s="1332"/>
      <c r="O237" s="1332"/>
      <c r="P237" s="1332"/>
      <c r="Q237" s="1332"/>
      <c r="R237" s="1332"/>
      <c r="S237" s="1332"/>
      <c r="T237" s="1332"/>
      <c r="U237" s="1332"/>
      <c r="V237" s="1332"/>
      <c r="W237" s="1332"/>
      <c r="X237" s="1332"/>
      <c r="Y237" s="1332"/>
      <c r="Z237" s="1332"/>
      <c r="AA237" s="1332"/>
      <c r="AB237" s="1332"/>
    </row>
    <row r="238">
      <c r="A238" s="1332"/>
      <c r="B238" s="1366"/>
      <c r="C238" s="1366"/>
      <c r="D238" s="1375"/>
      <c r="E238" s="1332"/>
      <c r="F238" s="1332"/>
      <c r="G238" s="1378"/>
      <c r="H238" s="1378"/>
      <c r="I238" s="1332"/>
      <c r="J238" s="1332"/>
      <c r="K238" s="1332"/>
      <c r="L238" s="1332"/>
      <c r="M238" s="1332"/>
      <c r="N238" s="1332"/>
      <c r="O238" s="1332"/>
      <c r="P238" s="1332"/>
      <c r="Q238" s="1332"/>
      <c r="R238" s="1332"/>
      <c r="S238" s="1332"/>
      <c r="T238" s="1332"/>
      <c r="U238" s="1332"/>
      <c r="V238" s="1332"/>
      <c r="W238" s="1332"/>
      <c r="X238" s="1332"/>
      <c r="Y238" s="1332"/>
      <c r="Z238" s="1332"/>
      <c r="AA238" s="1332"/>
      <c r="AB238" s="1332"/>
    </row>
    <row r="239">
      <c r="A239" s="1332"/>
      <c r="B239" s="1366"/>
      <c r="C239" s="1366"/>
      <c r="D239" s="1375"/>
      <c r="E239" s="1332"/>
      <c r="F239" s="1332"/>
      <c r="G239" s="1378"/>
      <c r="H239" s="1378"/>
      <c r="I239" s="1332"/>
      <c r="J239" s="1332"/>
      <c r="K239" s="1332"/>
      <c r="L239" s="1332"/>
      <c r="M239" s="1332"/>
      <c r="N239" s="1332"/>
      <c r="O239" s="1332"/>
      <c r="P239" s="1332"/>
      <c r="Q239" s="1332"/>
      <c r="R239" s="1332"/>
      <c r="S239" s="1332"/>
      <c r="T239" s="1332"/>
      <c r="U239" s="1332"/>
      <c r="V239" s="1332"/>
      <c r="W239" s="1332"/>
      <c r="X239" s="1332"/>
      <c r="Y239" s="1332"/>
      <c r="Z239" s="1332"/>
      <c r="AA239" s="1332"/>
      <c r="AB239" s="1332"/>
    </row>
    <row r="240">
      <c r="A240" s="1332"/>
      <c r="B240" s="1366"/>
      <c r="C240" s="1366"/>
      <c r="D240" s="1375"/>
      <c r="E240" s="1332"/>
      <c r="F240" s="1332"/>
      <c r="G240" s="1378"/>
      <c r="H240" s="1378"/>
      <c r="I240" s="1332"/>
      <c r="J240" s="1332"/>
      <c r="K240" s="1332"/>
      <c r="L240" s="1332"/>
      <c r="M240" s="1332"/>
      <c r="N240" s="1332"/>
      <c r="O240" s="1332"/>
      <c r="P240" s="1332"/>
      <c r="Q240" s="1332"/>
      <c r="R240" s="1332"/>
      <c r="S240" s="1332"/>
      <c r="T240" s="1332"/>
      <c r="U240" s="1332"/>
      <c r="V240" s="1332"/>
      <c r="W240" s="1332"/>
      <c r="X240" s="1332"/>
      <c r="Y240" s="1332"/>
      <c r="Z240" s="1332"/>
      <c r="AA240" s="1332"/>
      <c r="AB240" s="1332"/>
    </row>
    <row r="241">
      <c r="A241" s="1332"/>
      <c r="B241" s="1366"/>
      <c r="C241" s="1366"/>
      <c r="D241" s="1375"/>
      <c r="E241" s="1332"/>
      <c r="F241" s="1332"/>
      <c r="G241" s="1378"/>
      <c r="H241" s="1378"/>
      <c r="I241" s="1332"/>
      <c r="J241" s="1332"/>
      <c r="K241" s="1332"/>
      <c r="L241" s="1332"/>
      <c r="M241" s="1332"/>
      <c r="N241" s="1332"/>
      <c r="O241" s="1332"/>
      <c r="P241" s="1332"/>
      <c r="Q241" s="1332"/>
      <c r="R241" s="1332"/>
      <c r="S241" s="1332"/>
      <c r="T241" s="1332"/>
      <c r="U241" s="1332"/>
      <c r="V241" s="1332"/>
      <c r="W241" s="1332"/>
      <c r="X241" s="1332"/>
      <c r="Y241" s="1332"/>
      <c r="Z241" s="1332"/>
      <c r="AA241" s="1332"/>
      <c r="AB241" s="1332"/>
    </row>
    <row r="242">
      <c r="A242" s="1332"/>
      <c r="B242" s="1366"/>
      <c r="C242" s="1366"/>
      <c r="D242" s="1375"/>
      <c r="E242" s="1332"/>
      <c r="F242" s="1332"/>
      <c r="G242" s="1378"/>
      <c r="H242" s="1378"/>
      <c r="I242" s="1332"/>
      <c r="J242" s="1332"/>
      <c r="K242" s="1332"/>
      <c r="L242" s="1332"/>
      <c r="M242" s="1332"/>
      <c r="N242" s="1332"/>
      <c r="O242" s="1332"/>
      <c r="P242" s="1332"/>
      <c r="Q242" s="1332"/>
      <c r="R242" s="1332"/>
      <c r="S242" s="1332"/>
      <c r="T242" s="1332"/>
      <c r="U242" s="1332"/>
      <c r="V242" s="1332"/>
      <c r="W242" s="1332"/>
      <c r="X242" s="1332"/>
      <c r="Y242" s="1332"/>
      <c r="Z242" s="1332"/>
      <c r="AA242" s="1332"/>
      <c r="AB242" s="1332"/>
    </row>
    <row r="243">
      <c r="A243" s="1332"/>
      <c r="B243" s="1366"/>
      <c r="C243" s="1366"/>
      <c r="D243" s="1375"/>
      <c r="E243" s="1332"/>
      <c r="F243" s="1332"/>
      <c r="G243" s="1378"/>
      <c r="H243" s="1378"/>
      <c r="I243" s="1332"/>
      <c r="J243" s="1332"/>
      <c r="K243" s="1332"/>
      <c r="L243" s="1332"/>
      <c r="M243" s="1332"/>
      <c r="N243" s="1332"/>
      <c r="O243" s="1332"/>
      <c r="P243" s="1332"/>
      <c r="Q243" s="1332"/>
      <c r="R243" s="1332"/>
      <c r="S243" s="1332"/>
      <c r="T243" s="1332"/>
      <c r="U243" s="1332"/>
      <c r="V243" s="1332"/>
      <c r="W243" s="1332"/>
      <c r="X243" s="1332"/>
      <c r="Y243" s="1332"/>
      <c r="Z243" s="1332"/>
      <c r="AA243" s="1332"/>
      <c r="AB243" s="1332"/>
    </row>
    <row r="244">
      <c r="A244" s="1332"/>
      <c r="B244" s="1366"/>
      <c r="C244" s="1366"/>
      <c r="D244" s="1375"/>
      <c r="E244" s="1332"/>
      <c r="F244" s="1332"/>
      <c r="G244" s="1378"/>
      <c r="H244" s="1378"/>
      <c r="I244" s="1332"/>
      <c r="J244" s="1332"/>
      <c r="K244" s="1332"/>
      <c r="L244" s="1332"/>
      <c r="M244" s="1332"/>
      <c r="N244" s="1332"/>
      <c r="O244" s="1332"/>
      <c r="P244" s="1332"/>
      <c r="Q244" s="1332"/>
      <c r="R244" s="1332"/>
      <c r="S244" s="1332"/>
      <c r="T244" s="1332"/>
      <c r="U244" s="1332"/>
      <c r="V244" s="1332"/>
      <c r="W244" s="1332"/>
      <c r="X244" s="1332"/>
      <c r="Y244" s="1332"/>
      <c r="Z244" s="1332"/>
      <c r="AA244" s="1332"/>
      <c r="AB244" s="1332"/>
    </row>
    <row r="245">
      <c r="A245" s="1332"/>
      <c r="B245" s="1366"/>
      <c r="C245" s="1366"/>
      <c r="D245" s="1375"/>
      <c r="E245" s="1332"/>
      <c r="F245" s="1332"/>
      <c r="G245" s="1378"/>
      <c r="H245" s="1378"/>
      <c r="I245" s="1332"/>
      <c r="J245" s="1332"/>
      <c r="K245" s="1332"/>
      <c r="L245" s="1332"/>
      <c r="M245" s="1332"/>
      <c r="N245" s="1332"/>
      <c r="O245" s="1332"/>
      <c r="P245" s="1332"/>
      <c r="Q245" s="1332"/>
      <c r="R245" s="1332"/>
      <c r="S245" s="1332"/>
      <c r="T245" s="1332"/>
      <c r="U245" s="1332"/>
      <c r="V245" s="1332"/>
      <c r="W245" s="1332"/>
      <c r="X245" s="1332"/>
      <c r="Y245" s="1332"/>
      <c r="Z245" s="1332"/>
      <c r="AA245" s="1332"/>
      <c r="AB245" s="1332"/>
    </row>
    <row r="246">
      <c r="A246" s="1332"/>
      <c r="B246" s="1366"/>
      <c r="C246" s="1366"/>
      <c r="D246" s="1375"/>
      <c r="E246" s="1332"/>
      <c r="F246" s="1332"/>
      <c r="G246" s="1378"/>
      <c r="H246" s="1378"/>
      <c r="I246" s="1332"/>
      <c r="J246" s="1332"/>
      <c r="K246" s="1332"/>
      <c r="L246" s="1332"/>
      <c r="M246" s="1332"/>
      <c r="N246" s="1332"/>
      <c r="O246" s="1332"/>
      <c r="P246" s="1332"/>
      <c r="Q246" s="1332"/>
      <c r="R246" s="1332"/>
      <c r="S246" s="1332"/>
      <c r="T246" s="1332"/>
      <c r="U246" s="1332"/>
      <c r="V246" s="1332"/>
      <c r="W246" s="1332"/>
      <c r="X246" s="1332"/>
      <c r="Y246" s="1332"/>
      <c r="Z246" s="1332"/>
      <c r="AA246" s="1332"/>
      <c r="AB246" s="1332"/>
    </row>
    <row r="247">
      <c r="A247" s="1332"/>
      <c r="B247" s="1366"/>
      <c r="C247" s="1366"/>
      <c r="D247" s="1375"/>
      <c r="E247" s="1332"/>
      <c r="F247" s="1332"/>
      <c r="G247" s="1378"/>
      <c r="H247" s="1378"/>
      <c r="I247" s="1332"/>
      <c r="J247" s="1332"/>
      <c r="K247" s="1332"/>
      <c r="L247" s="1332"/>
      <c r="M247" s="1332"/>
      <c r="N247" s="1332"/>
      <c r="O247" s="1332"/>
      <c r="P247" s="1332"/>
      <c r="Q247" s="1332"/>
      <c r="R247" s="1332"/>
      <c r="S247" s="1332"/>
      <c r="T247" s="1332"/>
      <c r="U247" s="1332"/>
      <c r="V247" s="1332"/>
      <c r="W247" s="1332"/>
      <c r="X247" s="1332"/>
      <c r="Y247" s="1332"/>
      <c r="Z247" s="1332"/>
      <c r="AA247" s="1332"/>
      <c r="AB247" s="1332"/>
    </row>
    <row r="248">
      <c r="A248" s="1332"/>
      <c r="B248" s="1366"/>
      <c r="C248" s="1366"/>
      <c r="D248" s="1375"/>
      <c r="E248" s="1332"/>
      <c r="F248" s="1332"/>
      <c r="G248" s="1378"/>
      <c r="H248" s="1378"/>
      <c r="I248" s="1332"/>
      <c r="J248" s="1332"/>
      <c r="K248" s="1332"/>
      <c r="L248" s="1332"/>
      <c r="M248" s="1332"/>
      <c r="N248" s="1332"/>
      <c r="O248" s="1332"/>
      <c r="P248" s="1332"/>
      <c r="Q248" s="1332"/>
      <c r="R248" s="1332"/>
      <c r="S248" s="1332"/>
      <c r="T248" s="1332"/>
      <c r="U248" s="1332"/>
      <c r="V248" s="1332"/>
      <c r="W248" s="1332"/>
      <c r="X248" s="1332"/>
      <c r="Y248" s="1332"/>
      <c r="Z248" s="1332"/>
      <c r="AA248" s="1332"/>
      <c r="AB248" s="1332"/>
    </row>
    <row r="249">
      <c r="A249" s="1332"/>
      <c r="B249" s="1366"/>
      <c r="C249" s="1366"/>
      <c r="D249" s="1375"/>
      <c r="E249" s="1332"/>
      <c r="F249" s="1332"/>
      <c r="G249" s="1378"/>
      <c r="H249" s="1378"/>
      <c r="I249" s="1332"/>
      <c r="J249" s="1332"/>
      <c r="K249" s="1332"/>
      <c r="L249" s="1332"/>
      <c r="M249" s="1332"/>
      <c r="N249" s="1332"/>
      <c r="O249" s="1332"/>
      <c r="P249" s="1332"/>
      <c r="Q249" s="1332"/>
      <c r="R249" s="1332"/>
      <c r="S249" s="1332"/>
      <c r="T249" s="1332"/>
      <c r="U249" s="1332"/>
      <c r="V249" s="1332"/>
      <c r="W249" s="1332"/>
      <c r="X249" s="1332"/>
      <c r="Y249" s="1332"/>
      <c r="Z249" s="1332"/>
      <c r="AA249" s="1332"/>
      <c r="AB249" s="1332"/>
    </row>
    <row r="250">
      <c r="A250" s="1332"/>
      <c r="B250" s="1366"/>
      <c r="C250" s="1366"/>
      <c r="D250" s="1375"/>
      <c r="E250" s="1332"/>
      <c r="F250" s="1332"/>
      <c r="G250" s="1378"/>
      <c r="H250" s="1378"/>
      <c r="I250" s="1332"/>
      <c r="J250" s="1332"/>
      <c r="K250" s="1332"/>
      <c r="L250" s="1332"/>
      <c r="M250" s="1332"/>
      <c r="N250" s="1332"/>
      <c r="O250" s="1332"/>
      <c r="P250" s="1332"/>
      <c r="Q250" s="1332"/>
      <c r="R250" s="1332"/>
      <c r="S250" s="1332"/>
      <c r="T250" s="1332"/>
      <c r="U250" s="1332"/>
      <c r="V250" s="1332"/>
      <c r="W250" s="1332"/>
      <c r="X250" s="1332"/>
      <c r="Y250" s="1332"/>
      <c r="Z250" s="1332"/>
      <c r="AA250" s="1332"/>
      <c r="AB250" s="1332"/>
    </row>
    <row r="251">
      <c r="A251" s="1332"/>
      <c r="B251" s="1366"/>
      <c r="C251" s="1366"/>
      <c r="D251" s="1375"/>
      <c r="E251" s="1332"/>
      <c r="F251" s="1332"/>
      <c r="G251" s="1378"/>
      <c r="H251" s="1378"/>
      <c r="I251" s="1332"/>
      <c r="J251" s="1332"/>
      <c r="K251" s="1332"/>
      <c r="L251" s="1332"/>
      <c r="M251" s="1332"/>
      <c r="N251" s="1332"/>
      <c r="O251" s="1332"/>
      <c r="P251" s="1332"/>
      <c r="Q251" s="1332"/>
      <c r="R251" s="1332"/>
      <c r="S251" s="1332"/>
      <c r="T251" s="1332"/>
      <c r="U251" s="1332"/>
      <c r="V251" s="1332"/>
      <c r="W251" s="1332"/>
      <c r="X251" s="1332"/>
      <c r="Y251" s="1332"/>
      <c r="Z251" s="1332"/>
      <c r="AA251" s="1332"/>
      <c r="AB251" s="1332"/>
    </row>
    <row r="252">
      <c r="A252" s="1332"/>
      <c r="B252" s="1366"/>
      <c r="C252" s="1366"/>
      <c r="D252" s="1375"/>
      <c r="E252" s="1332"/>
      <c r="F252" s="1332"/>
      <c r="G252" s="1378"/>
      <c r="H252" s="1378"/>
      <c r="I252" s="1332"/>
      <c r="J252" s="1332"/>
      <c r="K252" s="1332"/>
      <c r="L252" s="1332"/>
      <c r="M252" s="1332"/>
      <c r="N252" s="1332"/>
      <c r="O252" s="1332"/>
      <c r="P252" s="1332"/>
      <c r="Q252" s="1332"/>
      <c r="R252" s="1332"/>
      <c r="S252" s="1332"/>
      <c r="T252" s="1332"/>
      <c r="U252" s="1332"/>
      <c r="V252" s="1332"/>
      <c r="W252" s="1332"/>
      <c r="X252" s="1332"/>
      <c r="Y252" s="1332"/>
      <c r="Z252" s="1332"/>
      <c r="AA252" s="1332"/>
      <c r="AB252" s="1332"/>
    </row>
    <row r="253">
      <c r="A253" s="1332"/>
      <c r="B253" s="1366"/>
      <c r="C253" s="1366"/>
      <c r="D253" s="1375"/>
      <c r="E253" s="1332"/>
      <c r="F253" s="1332"/>
      <c r="G253" s="1378"/>
      <c r="H253" s="1378"/>
      <c r="I253" s="1332"/>
      <c r="J253" s="1332"/>
      <c r="K253" s="1332"/>
      <c r="L253" s="1332"/>
      <c r="M253" s="1332"/>
      <c r="N253" s="1332"/>
      <c r="O253" s="1332"/>
      <c r="P253" s="1332"/>
      <c r="Q253" s="1332"/>
      <c r="R253" s="1332"/>
      <c r="S253" s="1332"/>
      <c r="T253" s="1332"/>
      <c r="U253" s="1332"/>
      <c r="V253" s="1332"/>
      <c r="W253" s="1332"/>
      <c r="X253" s="1332"/>
      <c r="Y253" s="1332"/>
      <c r="Z253" s="1332"/>
      <c r="AA253" s="1332"/>
      <c r="AB253" s="1332"/>
    </row>
    <row r="254">
      <c r="A254" s="1332"/>
      <c r="B254" s="1366"/>
      <c r="C254" s="1366"/>
      <c r="D254" s="1375"/>
      <c r="E254" s="1332"/>
      <c r="F254" s="1332"/>
      <c r="G254" s="1378"/>
      <c r="H254" s="1378"/>
      <c r="I254" s="1332"/>
      <c r="J254" s="1332"/>
      <c r="K254" s="1332"/>
      <c r="L254" s="1332"/>
      <c r="M254" s="1332"/>
      <c r="N254" s="1332"/>
      <c r="O254" s="1332"/>
      <c r="P254" s="1332"/>
      <c r="Q254" s="1332"/>
      <c r="R254" s="1332"/>
      <c r="S254" s="1332"/>
      <c r="T254" s="1332"/>
      <c r="U254" s="1332"/>
      <c r="V254" s="1332"/>
      <c r="W254" s="1332"/>
      <c r="X254" s="1332"/>
      <c r="Y254" s="1332"/>
      <c r="Z254" s="1332"/>
      <c r="AA254" s="1332"/>
      <c r="AB254" s="1332"/>
    </row>
    <row r="255">
      <c r="A255" s="1332"/>
      <c r="B255" s="1366"/>
      <c r="C255" s="1366"/>
      <c r="D255" s="1375"/>
      <c r="E255" s="1332"/>
      <c r="F255" s="1332"/>
      <c r="G255" s="1378"/>
      <c r="H255" s="1378"/>
      <c r="I255" s="1332"/>
      <c r="J255" s="1332"/>
      <c r="K255" s="1332"/>
      <c r="L255" s="1332"/>
      <c r="M255" s="1332"/>
      <c r="N255" s="1332"/>
      <c r="O255" s="1332"/>
      <c r="P255" s="1332"/>
      <c r="Q255" s="1332"/>
      <c r="R255" s="1332"/>
      <c r="S255" s="1332"/>
      <c r="T255" s="1332"/>
      <c r="U255" s="1332"/>
      <c r="V255" s="1332"/>
      <c r="W255" s="1332"/>
      <c r="X255" s="1332"/>
      <c r="Y255" s="1332"/>
      <c r="Z255" s="1332"/>
      <c r="AA255" s="1332"/>
      <c r="AB255" s="1332"/>
    </row>
    <row r="256">
      <c r="A256" s="1332"/>
      <c r="B256" s="1366"/>
      <c r="C256" s="1366"/>
      <c r="D256" s="1375"/>
      <c r="E256" s="1332"/>
      <c r="F256" s="1332"/>
      <c r="G256" s="1378"/>
      <c r="H256" s="1378"/>
      <c r="I256" s="1332"/>
      <c r="J256" s="1332"/>
      <c r="K256" s="1332"/>
      <c r="L256" s="1332"/>
      <c r="M256" s="1332"/>
      <c r="N256" s="1332"/>
      <c r="O256" s="1332"/>
      <c r="P256" s="1332"/>
      <c r="Q256" s="1332"/>
      <c r="R256" s="1332"/>
      <c r="S256" s="1332"/>
      <c r="T256" s="1332"/>
      <c r="U256" s="1332"/>
      <c r="V256" s="1332"/>
      <c r="W256" s="1332"/>
      <c r="X256" s="1332"/>
      <c r="Y256" s="1332"/>
      <c r="Z256" s="1332"/>
      <c r="AA256" s="1332"/>
      <c r="AB256" s="1332"/>
    </row>
    <row r="257">
      <c r="A257" s="1332"/>
      <c r="B257" s="1366"/>
      <c r="C257" s="1366"/>
      <c r="D257" s="1375"/>
      <c r="E257" s="1332"/>
      <c r="F257" s="1332"/>
      <c r="G257" s="1378"/>
      <c r="H257" s="1378"/>
      <c r="I257" s="1332"/>
      <c r="J257" s="1332"/>
      <c r="K257" s="1332"/>
      <c r="L257" s="1332"/>
      <c r="M257" s="1332"/>
      <c r="N257" s="1332"/>
      <c r="O257" s="1332"/>
      <c r="P257" s="1332"/>
      <c r="Q257" s="1332"/>
      <c r="R257" s="1332"/>
      <c r="S257" s="1332"/>
      <c r="T257" s="1332"/>
      <c r="U257" s="1332"/>
      <c r="V257" s="1332"/>
      <c r="W257" s="1332"/>
      <c r="X257" s="1332"/>
      <c r="Y257" s="1332"/>
      <c r="Z257" s="1332"/>
      <c r="AA257" s="1332"/>
      <c r="AB257" s="1332"/>
    </row>
    <row r="258">
      <c r="A258" s="1332"/>
      <c r="B258" s="1366"/>
      <c r="C258" s="1366"/>
      <c r="D258" s="1375"/>
      <c r="E258" s="1332"/>
      <c r="F258" s="1332"/>
      <c r="G258" s="1378"/>
      <c r="H258" s="1378"/>
      <c r="I258" s="1332"/>
      <c r="J258" s="1332"/>
      <c r="K258" s="1332"/>
      <c r="L258" s="1332"/>
      <c r="M258" s="1332"/>
      <c r="N258" s="1332"/>
      <c r="O258" s="1332"/>
      <c r="P258" s="1332"/>
      <c r="Q258" s="1332"/>
      <c r="R258" s="1332"/>
      <c r="S258" s="1332"/>
      <c r="T258" s="1332"/>
      <c r="U258" s="1332"/>
      <c r="V258" s="1332"/>
      <c r="W258" s="1332"/>
      <c r="X258" s="1332"/>
      <c r="Y258" s="1332"/>
      <c r="Z258" s="1332"/>
      <c r="AA258" s="1332"/>
      <c r="AB258" s="1332"/>
    </row>
    <row r="259">
      <c r="A259" s="1332"/>
      <c r="B259" s="1366"/>
      <c r="C259" s="1366"/>
      <c r="D259" s="1375"/>
      <c r="E259" s="1332"/>
      <c r="F259" s="1332"/>
      <c r="G259" s="1378"/>
      <c r="H259" s="1378"/>
      <c r="I259" s="1332"/>
      <c r="J259" s="1332"/>
      <c r="K259" s="1332"/>
      <c r="L259" s="1332"/>
      <c r="M259" s="1332"/>
      <c r="N259" s="1332"/>
      <c r="O259" s="1332"/>
      <c r="P259" s="1332"/>
      <c r="Q259" s="1332"/>
      <c r="R259" s="1332"/>
      <c r="S259" s="1332"/>
      <c r="T259" s="1332"/>
      <c r="U259" s="1332"/>
      <c r="V259" s="1332"/>
      <c r="W259" s="1332"/>
      <c r="X259" s="1332"/>
      <c r="Y259" s="1332"/>
      <c r="Z259" s="1332"/>
      <c r="AA259" s="1332"/>
      <c r="AB259" s="1332"/>
    </row>
    <row r="260">
      <c r="A260" s="1332"/>
      <c r="B260" s="1366"/>
      <c r="C260" s="1366"/>
      <c r="D260" s="1375"/>
      <c r="E260" s="1332"/>
      <c r="F260" s="1332"/>
      <c r="G260" s="1378"/>
      <c r="H260" s="1378"/>
      <c r="I260" s="1332"/>
      <c r="J260" s="1332"/>
      <c r="K260" s="1332"/>
      <c r="L260" s="1332"/>
      <c r="M260" s="1332"/>
      <c r="N260" s="1332"/>
      <c r="O260" s="1332"/>
      <c r="P260" s="1332"/>
      <c r="Q260" s="1332"/>
      <c r="R260" s="1332"/>
      <c r="S260" s="1332"/>
      <c r="T260" s="1332"/>
      <c r="U260" s="1332"/>
      <c r="V260" s="1332"/>
      <c r="W260" s="1332"/>
      <c r="X260" s="1332"/>
      <c r="Y260" s="1332"/>
      <c r="Z260" s="1332"/>
      <c r="AA260" s="1332"/>
      <c r="AB260" s="1332"/>
    </row>
    <row r="261">
      <c r="A261" s="1332"/>
      <c r="B261" s="1366"/>
      <c r="C261" s="1366"/>
      <c r="D261" s="1375"/>
      <c r="E261" s="1332"/>
      <c r="F261" s="1332"/>
      <c r="G261" s="1378"/>
      <c r="H261" s="1378"/>
      <c r="I261" s="1332"/>
      <c r="J261" s="1332"/>
      <c r="K261" s="1332"/>
      <c r="L261" s="1332"/>
      <c r="M261" s="1332"/>
      <c r="N261" s="1332"/>
      <c r="O261" s="1332"/>
      <c r="P261" s="1332"/>
      <c r="Q261" s="1332"/>
      <c r="R261" s="1332"/>
      <c r="S261" s="1332"/>
      <c r="T261" s="1332"/>
      <c r="U261" s="1332"/>
      <c r="V261" s="1332"/>
      <c r="W261" s="1332"/>
      <c r="X261" s="1332"/>
      <c r="Y261" s="1332"/>
      <c r="Z261" s="1332"/>
      <c r="AA261" s="1332"/>
      <c r="AB261" s="1332"/>
    </row>
    <row r="262">
      <c r="A262" s="1332"/>
      <c r="B262" s="1366"/>
      <c r="C262" s="1366"/>
      <c r="D262" s="1375"/>
      <c r="E262" s="1332"/>
      <c r="F262" s="1332"/>
      <c r="G262" s="1378"/>
      <c r="H262" s="1378"/>
      <c r="I262" s="1332"/>
      <c r="J262" s="1332"/>
      <c r="K262" s="1332"/>
      <c r="L262" s="1332"/>
      <c r="M262" s="1332"/>
      <c r="N262" s="1332"/>
      <c r="O262" s="1332"/>
      <c r="P262" s="1332"/>
      <c r="Q262" s="1332"/>
      <c r="R262" s="1332"/>
      <c r="S262" s="1332"/>
      <c r="T262" s="1332"/>
      <c r="U262" s="1332"/>
      <c r="V262" s="1332"/>
      <c r="W262" s="1332"/>
      <c r="X262" s="1332"/>
      <c r="Y262" s="1332"/>
      <c r="Z262" s="1332"/>
      <c r="AA262" s="1332"/>
      <c r="AB262" s="1332"/>
    </row>
    <row r="263">
      <c r="A263" s="1332"/>
      <c r="B263" s="1366"/>
      <c r="C263" s="1366"/>
      <c r="D263" s="1375"/>
      <c r="E263" s="1332"/>
      <c r="F263" s="1332"/>
      <c r="G263" s="1378"/>
      <c r="H263" s="1378"/>
      <c r="I263" s="1332"/>
      <c r="J263" s="1332"/>
      <c r="K263" s="1332"/>
      <c r="L263" s="1332"/>
      <c r="M263" s="1332"/>
      <c r="N263" s="1332"/>
      <c r="O263" s="1332"/>
      <c r="P263" s="1332"/>
      <c r="Q263" s="1332"/>
      <c r="R263" s="1332"/>
      <c r="S263" s="1332"/>
      <c r="T263" s="1332"/>
      <c r="U263" s="1332"/>
      <c r="V263" s="1332"/>
      <c r="W263" s="1332"/>
      <c r="X263" s="1332"/>
      <c r="Y263" s="1332"/>
      <c r="Z263" s="1332"/>
      <c r="AA263" s="1332"/>
      <c r="AB263" s="1332"/>
    </row>
    <row r="264">
      <c r="A264" s="1332"/>
      <c r="B264" s="1366"/>
      <c r="C264" s="1366"/>
      <c r="D264" s="1375"/>
      <c r="E264" s="1332"/>
      <c r="F264" s="1332"/>
      <c r="G264" s="1378"/>
      <c r="H264" s="1378"/>
      <c r="I264" s="1332"/>
      <c r="J264" s="1332"/>
      <c r="K264" s="1332"/>
      <c r="L264" s="1332"/>
      <c r="M264" s="1332"/>
      <c r="N264" s="1332"/>
      <c r="O264" s="1332"/>
      <c r="P264" s="1332"/>
      <c r="Q264" s="1332"/>
      <c r="R264" s="1332"/>
      <c r="S264" s="1332"/>
      <c r="T264" s="1332"/>
      <c r="U264" s="1332"/>
      <c r="V264" s="1332"/>
      <c r="W264" s="1332"/>
      <c r="X264" s="1332"/>
      <c r="Y264" s="1332"/>
      <c r="Z264" s="1332"/>
      <c r="AA264" s="1332"/>
      <c r="AB264" s="1332"/>
    </row>
    <row r="265">
      <c r="A265" s="1332"/>
      <c r="B265" s="1366"/>
      <c r="C265" s="1366"/>
      <c r="D265" s="1375"/>
      <c r="E265" s="1332"/>
      <c r="F265" s="1332"/>
      <c r="G265" s="1378"/>
      <c r="H265" s="1378"/>
      <c r="I265" s="1332"/>
      <c r="J265" s="1332"/>
      <c r="K265" s="1332"/>
      <c r="L265" s="1332"/>
      <c r="M265" s="1332"/>
      <c r="N265" s="1332"/>
      <c r="O265" s="1332"/>
      <c r="P265" s="1332"/>
      <c r="Q265" s="1332"/>
      <c r="R265" s="1332"/>
      <c r="S265" s="1332"/>
      <c r="T265" s="1332"/>
      <c r="U265" s="1332"/>
      <c r="V265" s="1332"/>
      <c r="W265" s="1332"/>
      <c r="X265" s="1332"/>
      <c r="Y265" s="1332"/>
      <c r="Z265" s="1332"/>
      <c r="AA265" s="1332"/>
      <c r="AB265" s="1332"/>
    </row>
    <row r="266">
      <c r="A266" s="1332"/>
      <c r="B266" s="1366"/>
      <c r="C266" s="1366"/>
      <c r="D266" s="1375"/>
      <c r="E266" s="1332"/>
      <c r="F266" s="1332"/>
      <c r="G266" s="1378"/>
      <c r="H266" s="1378"/>
      <c r="I266" s="1332"/>
      <c r="J266" s="1332"/>
      <c r="K266" s="1332"/>
      <c r="L266" s="1332"/>
      <c r="M266" s="1332"/>
      <c r="N266" s="1332"/>
      <c r="O266" s="1332"/>
      <c r="P266" s="1332"/>
      <c r="Q266" s="1332"/>
      <c r="R266" s="1332"/>
      <c r="S266" s="1332"/>
      <c r="T266" s="1332"/>
      <c r="U266" s="1332"/>
      <c r="V266" s="1332"/>
      <c r="W266" s="1332"/>
      <c r="X266" s="1332"/>
      <c r="Y266" s="1332"/>
      <c r="Z266" s="1332"/>
      <c r="AA266" s="1332"/>
      <c r="AB266" s="1332"/>
    </row>
    <row r="267">
      <c r="A267" s="1332"/>
      <c r="B267" s="1366"/>
      <c r="C267" s="1366"/>
      <c r="D267" s="1375"/>
      <c r="E267" s="1332"/>
      <c r="F267" s="1332"/>
      <c r="G267" s="1378"/>
      <c r="H267" s="1378"/>
      <c r="I267" s="1332"/>
      <c r="J267" s="1332"/>
      <c r="K267" s="1332"/>
      <c r="L267" s="1332"/>
      <c r="M267" s="1332"/>
      <c r="N267" s="1332"/>
      <c r="O267" s="1332"/>
      <c r="P267" s="1332"/>
      <c r="Q267" s="1332"/>
      <c r="R267" s="1332"/>
      <c r="S267" s="1332"/>
      <c r="T267" s="1332"/>
      <c r="U267" s="1332"/>
      <c r="V267" s="1332"/>
      <c r="W267" s="1332"/>
      <c r="X267" s="1332"/>
      <c r="Y267" s="1332"/>
      <c r="Z267" s="1332"/>
      <c r="AA267" s="1332"/>
      <c r="AB267" s="1332"/>
    </row>
    <row r="268">
      <c r="A268" s="1332"/>
      <c r="B268" s="1366"/>
      <c r="C268" s="1366"/>
      <c r="D268" s="1375"/>
      <c r="E268" s="1332"/>
      <c r="F268" s="1332"/>
      <c r="G268" s="1378"/>
      <c r="H268" s="1378"/>
      <c r="I268" s="1332"/>
      <c r="J268" s="1332"/>
      <c r="K268" s="1332"/>
      <c r="L268" s="1332"/>
      <c r="M268" s="1332"/>
      <c r="N268" s="1332"/>
      <c r="O268" s="1332"/>
      <c r="P268" s="1332"/>
      <c r="Q268" s="1332"/>
      <c r="R268" s="1332"/>
      <c r="S268" s="1332"/>
      <c r="T268" s="1332"/>
      <c r="U268" s="1332"/>
      <c r="V268" s="1332"/>
      <c r="W268" s="1332"/>
      <c r="X268" s="1332"/>
      <c r="Y268" s="1332"/>
      <c r="Z268" s="1332"/>
      <c r="AA268" s="1332"/>
      <c r="AB268" s="1332"/>
    </row>
    <row r="269">
      <c r="A269" s="1332"/>
      <c r="B269" s="1366"/>
      <c r="C269" s="1366"/>
      <c r="D269" s="1375"/>
      <c r="E269" s="1332"/>
      <c r="F269" s="1332"/>
      <c r="G269" s="1378"/>
      <c r="H269" s="1378"/>
      <c r="I269" s="1332"/>
      <c r="J269" s="1332"/>
      <c r="K269" s="1332"/>
      <c r="L269" s="1332"/>
      <c r="M269" s="1332"/>
      <c r="N269" s="1332"/>
      <c r="O269" s="1332"/>
      <c r="P269" s="1332"/>
      <c r="Q269" s="1332"/>
      <c r="R269" s="1332"/>
      <c r="S269" s="1332"/>
      <c r="T269" s="1332"/>
      <c r="U269" s="1332"/>
      <c r="V269" s="1332"/>
      <c r="W269" s="1332"/>
      <c r="X269" s="1332"/>
      <c r="Y269" s="1332"/>
      <c r="Z269" s="1332"/>
      <c r="AA269" s="1332"/>
      <c r="AB269" s="1332"/>
    </row>
    <row r="270">
      <c r="A270" s="1332"/>
      <c r="B270" s="1366"/>
      <c r="C270" s="1366"/>
      <c r="D270" s="1375"/>
      <c r="E270" s="1332"/>
      <c r="F270" s="1332"/>
      <c r="G270" s="1378"/>
      <c r="H270" s="1378"/>
      <c r="I270" s="1332"/>
      <c r="J270" s="1332"/>
      <c r="K270" s="1332"/>
      <c r="L270" s="1332"/>
      <c r="M270" s="1332"/>
      <c r="N270" s="1332"/>
      <c r="O270" s="1332"/>
      <c r="P270" s="1332"/>
      <c r="Q270" s="1332"/>
      <c r="R270" s="1332"/>
      <c r="S270" s="1332"/>
      <c r="T270" s="1332"/>
      <c r="U270" s="1332"/>
      <c r="V270" s="1332"/>
      <c r="W270" s="1332"/>
      <c r="X270" s="1332"/>
      <c r="Y270" s="1332"/>
      <c r="Z270" s="1332"/>
      <c r="AA270" s="1332"/>
      <c r="AB270" s="1332"/>
    </row>
    <row r="271">
      <c r="A271" s="1332"/>
      <c r="B271" s="1366"/>
      <c r="C271" s="1366"/>
      <c r="D271" s="1375"/>
      <c r="E271" s="1332"/>
      <c r="F271" s="1332"/>
      <c r="G271" s="1378"/>
      <c r="H271" s="1378"/>
      <c r="I271" s="1332"/>
      <c r="J271" s="1332"/>
      <c r="K271" s="1332"/>
      <c r="L271" s="1332"/>
      <c r="M271" s="1332"/>
      <c r="N271" s="1332"/>
      <c r="O271" s="1332"/>
      <c r="P271" s="1332"/>
      <c r="Q271" s="1332"/>
      <c r="R271" s="1332"/>
      <c r="S271" s="1332"/>
      <c r="T271" s="1332"/>
      <c r="U271" s="1332"/>
      <c r="V271" s="1332"/>
      <c r="W271" s="1332"/>
      <c r="X271" s="1332"/>
      <c r="Y271" s="1332"/>
      <c r="Z271" s="1332"/>
      <c r="AA271" s="1332"/>
      <c r="AB271" s="1332"/>
    </row>
    <row r="272">
      <c r="A272" s="1332"/>
      <c r="B272" s="1366"/>
      <c r="C272" s="1366"/>
      <c r="D272" s="1375"/>
      <c r="E272" s="1332"/>
      <c r="F272" s="1332"/>
      <c r="G272" s="1378"/>
      <c r="H272" s="1378"/>
      <c r="I272" s="1332"/>
      <c r="J272" s="1332"/>
      <c r="K272" s="1332"/>
      <c r="L272" s="1332"/>
      <c r="M272" s="1332"/>
      <c r="N272" s="1332"/>
      <c r="O272" s="1332"/>
      <c r="P272" s="1332"/>
      <c r="Q272" s="1332"/>
      <c r="R272" s="1332"/>
      <c r="S272" s="1332"/>
      <c r="T272" s="1332"/>
      <c r="U272" s="1332"/>
      <c r="V272" s="1332"/>
      <c r="W272" s="1332"/>
      <c r="X272" s="1332"/>
      <c r="Y272" s="1332"/>
      <c r="Z272" s="1332"/>
      <c r="AA272" s="1332"/>
      <c r="AB272" s="1332"/>
    </row>
    <row r="273">
      <c r="A273" s="1332"/>
      <c r="B273" s="1366"/>
      <c r="C273" s="1366"/>
      <c r="D273" s="1375"/>
      <c r="E273" s="1332"/>
      <c r="F273" s="1332"/>
      <c r="G273" s="1378"/>
      <c r="H273" s="1378"/>
      <c r="I273" s="1332"/>
      <c r="J273" s="1332"/>
      <c r="K273" s="1332"/>
      <c r="L273" s="1332"/>
      <c r="M273" s="1332"/>
      <c r="N273" s="1332"/>
      <c r="O273" s="1332"/>
      <c r="P273" s="1332"/>
      <c r="Q273" s="1332"/>
      <c r="R273" s="1332"/>
      <c r="S273" s="1332"/>
      <c r="T273" s="1332"/>
      <c r="U273" s="1332"/>
      <c r="V273" s="1332"/>
      <c r="W273" s="1332"/>
      <c r="X273" s="1332"/>
      <c r="Y273" s="1332"/>
      <c r="Z273" s="1332"/>
      <c r="AA273" s="1332"/>
      <c r="AB273" s="1332"/>
    </row>
    <row r="274">
      <c r="A274" s="1332"/>
      <c r="B274" s="1366"/>
      <c r="C274" s="1366"/>
      <c r="D274" s="1375"/>
      <c r="E274" s="1332"/>
      <c r="F274" s="1332"/>
      <c r="G274" s="1378"/>
      <c r="H274" s="1378"/>
      <c r="I274" s="1332"/>
      <c r="J274" s="1332"/>
      <c r="K274" s="1332"/>
      <c r="L274" s="1332"/>
      <c r="M274" s="1332"/>
      <c r="N274" s="1332"/>
      <c r="O274" s="1332"/>
      <c r="P274" s="1332"/>
      <c r="Q274" s="1332"/>
      <c r="R274" s="1332"/>
      <c r="S274" s="1332"/>
      <c r="T274" s="1332"/>
      <c r="U274" s="1332"/>
      <c r="V274" s="1332"/>
      <c r="W274" s="1332"/>
      <c r="X274" s="1332"/>
      <c r="Y274" s="1332"/>
      <c r="Z274" s="1332"/>
      <c r="AA274" s="1332"/>
      <c r="AB274" s="1332"/>
    </row>
    <row r="275">
      <c r="A275" s="1332"/>
      <c r="B275" s="1366"/>
      <c r="C275" s="1366"/>
      <c r="D275" s="1375"/>
      <c r="E275" s="1332"/>
      <c r="F275" s="1332"/>
      <c r="G275" s="1378"/>
      <c r="H275" s="1378"/>
      <c r="I275" s="1332"/>
      <c r="J275" s="1332"/>
      <c r="K275" s="1332"/>
      <c r="L275" s="1332"/>
      <c r="M275" s="1332"/>
      <c r="N275" s="1332"/>
      <c r="O275" s="1332"/>
      <c r="P275" s="1332"/>
      <c r="Q275" s="1332"/>
      <c r="R275" s="1332"/>
      <c r="S275" s="1332"/>
      <c r="T275" s="1332"/>
      <c r="U275" s="1332"/>
      <c r="V275" s="1332"/>
      <c r="W275" s="1332"/>
      <c r="X275" s="1332"/>
      <c r="Y275" s="1332"/>
      <c r="Z275" s="1332"/>
      <c r="AA275" s="1332"/>
      <c r="AB275" s="1332"/>
    </row>
    <row r="276">
      <c r="A276" s="1332"/>
      <c r="B276" s="1366"/>
      <c r="C276" s="1366"/>
      <c r="D276" s="1375"/>
      <c r="E276" s="1332"/>
      <c r="F276" s="1332"/>
      <c r="G276" s="1378"/>
      <c r="H276" s="1378"/>
      <c r="I276" s="1332"/>
      <c r="J276" s="1332"/>
      <c r="K276" s="1332"/>
      <c r="L276" s="1332"/>
      <c r="M276" s="1332"/>
      <c r="N276" s="1332"/>
      <c r="O276" s="1332"/>
      <c r="P276" s="1332"/>
      <c r="Q276" s="1332"/>
      <c r="R276" s="1332"/>
      <c r="S276" s="1332"/>
      <c r="T276" s="1332"/>
      <c r="U276" s="1332"/>
      <c r="V276" s="1332"/>
      <c r="W276" s="1332"/>
      <c r="X276" s="1332"/>
      <c r="Y276" s="1332"/>
      <c r="Z276" s="1332"/>
      <c r="AA276" s="1332"/>
      <c r="AB276" s="1332"/>
    </row>
    <row r="277">
      <c r="A277" s="1332"/>
      <c r="B277" s="1366"/>
      <c r="C277" s="1366"/>
      <c r="D277" s="1375"/>
      <c r="E277" s="1332"/>
      <c r="F277" s="1332"/>
      <c r="G277" s="1378"/>
      <c r="H277" s="1378"/>
      <c r="I277" s="1332"/>
      <c r="J277" s="1332"/>
      <c r="K277" s="1332"/>
      <c r="L277" s="1332"/>
      <c r="M277" s="1332"/>
      <c r="N277" s="1332"/>
      <c r="O277" s="1332"/>
      <c r="P277" s="1332"/>
      <c r="Q277" s="1332"/>
      <c r="R277" s="1332"/>
      <c r="S277" s="1332"/>
      <c r="T277" s="1332"/>
      <c r="U277" s="1332"/>
      <c r="V277" s="1332"/>
      <c r="W277" s="1332"/>
      <c r="X277" s="1332"/>
      <c r="Y277" s="1332"/>
      <c r="Z277" s="1332"/>
      <c r="AA277" s="1332"/>
      <c r="AB277" s="1332"/>
    </row>
    <row r="278">
      <c r="A278" s="1332"/>
      <c r="B278" s="1366"/>
      <c r="C278" s="1366"/>
      <c r="D278" s="1375"/>
      <c r="E278" s="1332"/>
      <c r="F278" s="1332"/>
      <c r="G278" s="1378"/>
      <c r="H278" s="1378"/>
      <c r="I278" s="1332"/>
      <c r="J278" s="1332"/>
      <c r="K278" s="1332"/>
      <c r="L278" s="1332"/>
      <c r="M278" s="1332"/>
      <c r="N278" s="1332"/>
      <c r="O278" s="1332"/>
      <c r="P278" s="1332"/>
      <c r="Q278" s="1332"/>
      <c r="R278" s="1332"/>
      <c r="S278" s="1332"/>
      <c r="T278" s="1332"/>
      <c r="U278" s="1332"/>
      <c r="V278" s="1332"/>
      <c r="W278" s="1332"/>
      <c r="X278" s="1332"/>
      <c r="Y278" s="1332"/>
      <c r="Z278" s="1332"/>
      <c r="AA278" s="1332"/>
      <c r="AB278" s="1332"/>
    </row>
    <row r="279">
      <c r="A279" s="1332"/>
      <c r="B279" s="1366"/>
      <c r="C279" s="1366"/>
      <c r="D279" s="1375"/>
      <c r="E279" s="1332"/>
      <c r="F279" s="1332"/>
      <c r="G279" s="1378"/>
      <c r="H279" s="1378"/>
      <c r="I279" s="1332"/>
      <c r="J279" s="1332"/>
      <c r="K279" s="1332"/>
      <c r="L279" s="1332"/>
      <c r="M279" s="1332"/>
      <c r="N279" s="1332"/>
      <c r="O279" s="1332"/>
      <c r="P279" s="1332"/>
      <c r="Q279" s="1332"/>
      <c r="R279" s="1332"/>
      <c r="S279" s="1332"/>
      <c r="T279" s="1332"/>
      <c r="U279" s="1332"/>
      <c r="V279" s="1332"/>
      <c r="W279" s="1332"/>
      <c r="X279" s="1332"/>
      <c r="Y279" s="1332"/>
      <c r="Z279" s="1332"/>
      <c r="AA279" s="1332"/>
      <c r="AB279" s="1332"/>
    </row>
    <row r="280">
      <c r="A280" s="1332"/>
      <c r="B280" s="1366"/>
      <c r="C280" s="1366"/>
      <c r="D280" s="1375"/>
      <c r="E280" s="1332"/>
      <c r="F280" s="1332"/>
      <c r="G280" s="1378"/>
      <c r="H280" s="1378"/>
      <c r="I280" s="1332"/>
      <c r="J280" s="1332"/>
      <c r="K280" s="1332"/>
      <c r="L280" s="1332"/>
      <c r="M280" s="1332"/>
      <c r="N280" s="1332"/>
      <c r="O280" s="1332"/>
      <c r="P280" s="1332"/>
      <c r="Q280" s="1332"/>
      <c r="R280" s="1332"/>
      <c r="S280" s="1332"/>
      <c r="T280" s="1332"/>
      <c r="U280" s="1332"/>
      <c r="V280" s="1332"/>
      <c r="W280" s="1332"/>
      <c r="X280" s="1332"/>
      <c r="Y280" s="1332"/>
      <c r="Z280" s="1332"/>
      <c r="AA280" s="1332"/>
      <c r="AB280" s="1332"/>
    </row>
    <row r="281">
      <c r="A281" s="1332"/>
      <c r="B281" s="1366"/>
      <c r="C281" s="1366"/>
      <c r="D281" s="1375"/>
      <c r="E281" s="1332"/>
      <c r="F281" s="1332"/>
      <c r="G281" s="1378"/>
      <c r="H281" s="1378"/>
      <c r="I281" s="1332"/>
      <c r="J281" s="1332"/>
      <c r="K281" s="1332"/>
      <c r="L281" s="1332"/>
      <c r="M281" s="1332"/>
      <c r="N281" s="1332"/>
      <c r="O281" s="1332"/>
      <c r="P281" s="1332"/>
      <c r="Q281" s="1332"/>
      <c r="R281" s="1332"/>
      <c r="S281" s="1332"/>
      <c r="T281" s="1332"/>
      <c r="U281" s="1332"/>
      <c r="V281" s="1332"/>
      <c r="W281" s="1332"/>
      <c r="X281" s="1332"/>
      <c r="Y281" s="1332"/>
      <c r="Z281" s="1332"/>
      <c r="AA281" s="1332"/>
      <c r="AB281" s="1332"/>
    </row>
    <row r="282">
      <c r="A282" s="1332"/>
      <c r="B282" s="1366"/>
      <c r="C282" s="1366"/>
      <c r="D282" s="1375"/>
      <c r="E282" s="1332"/>
      <c r="F282" s="1332"/>
      <c r="G282" s="1378"/>
      <c r="H282" s="1378"/>
      <c r="I282" s="1332"/>
      <c r="J282" s="1332"/>
      <c r="K282" s="1332"/>
      <c r="L282" s="1332"/>
      <c r="M282" s="1332"/>
      <c r="N282" s="1332"/>
      <c r="O282" s="1332"/>
      <c r="P282" s="1332"/>
      <c r="Q282" s="1332"/>
      <c r="R282" s="1332"/>
      <c r="S282" s="1332"/>
      <c r="T282" s="1332"/>
      <c r="U282" s="1332"/>
      <c r="V282" s="1332"/>
      <c r="W282" s="1332"/>
      <c r="X282" s="1332"/>
      <c r="Y282" s="1332"/>
      <c r="Z282" s="1332"/>
      <c r="AA282" s="1332"/>
      <c r="AB282" s="1332"/>
    </row>
    <row r="283">
      <c r="A283" s="1332"/>
      <c r="B283" s="1366"/>
      <c r="C283" s="1366"/>
      <c r="D283" s="1375"/>
      <c r="E283" s="1332"/>
      <c r="F283" s="1332"/>
      <c r="G283" s="1378"/>
      <c r="H283" s="1378"/>
      <c r="I283" s="1332"/>
      <c r="J283" s="1332"/>
      <c r="K283" s="1332"/>
      <c r="L283" s="1332"/>
      <c r="M283" s="1332"/>
      <c r="N283" s="1332"/>
      <c r="O283" s="1332"/>
      <c r="P283" s="1332"/>
      <c r="Q283" s="1332"/>
      <c r="R283" s="1332"/>
      <c r="S283" s="1332"/>
      <c r="T283" s="1332"/>
      <c r="U283" s="1332"/>
      <c r="V283" s="1332"/>
      <c r="W283" s="1332"/>
      <c r="X283" s="1332"/>
      <c r="Y283" s="1332"/>
      <c r="Z283" s="1332"/>
      <c r="AA283" s="1332"/>
      <c r="AB283" s="1332"/>
    </row>
    <row r="284">
      <c r="A284" s="1332"/>
      <c r="B284" s="1366"/>
      <c r="C284" s="1366"/>
      <c r="D284" s="1375"/>
      <c r="E284" s="1332"/>
      <c r="F284" s="1332"/>
      <c r="G284" s="1378"/>
      <c r="H284" s="1378"/>
      <c r="I284" s="1332"/>
      <c r="J284" s="1332"/>
      <c r="K284" s="1332"/>
      <c r="L284" s="1332"/>
      <c r="M284" s="1332"/>
      <c r="N284" s="1332"/>
      <c r="O284" s="1332"/>
      <c r="P284" s="1332"/>
      <c r="Q284" s="1332"/>
      <c r="R284" s="1332"/>
      <c r="S284" s="1332"/>
      <c r="T284" s="1332"/>
      <c r="U284" s="1332"/>
      <c r="V284" s="1332"/>
      <c r="W284" s="1332"/>
      <c r="X284" s="1332"/>
      <c r="Y284" s="1332"/>
      <c r="Z284" s="1332"/>
      <c r="AA284" s="1332"/>
      <c r="AB284" s="1332"/>
    </row>
    <row r="285">
      <c r="A285" s="1332"/>
      <c r="B285" s="1366"/>
      <c r="C285" s="1366"/>
      <c r="D285" s="1375"/>
      <c r="E285" s="1332"/>
      <c r="F285" s="1332"/>
      <c r="G285" s="1378"/>
      <c r="H285" s="1378"/>
      <c r="I285" s="1332"/>
      <c r="J285" s="1332"/>
      <c r="K285" s="1332"/>
      <c r="L285" s="1332"/>
      <c r="M285" s="1332"/>
      <c r="N285" s="1332"/>
      <c r="O285" s="1332"/>
      <c r="P285" s="1332"/>
      <c r="Q285" s="1332"/>
      <c r="R285" s="1332"/>
      <c r="S285" s="1332"/>
      <c r="T285" s="1332"/>
      <c r="U285" s="1332"/>
      <c r="V285" s="1332"/>
      <c r="W285" s="1332"/>
      <c r="X285" s="1332"/>
      <c r="Y285" s="1332"/>
      <c r="Z285" s="1332"/>
      <c r="AA285" s="1332"/>
      <c r="AB285" s="1332"/>
    </row>
    <row r="286">
      <c r="A286" s="1332"/>
      <c r="B286" s="1366"/>
      <c r="C286" s="1366"/>
      <c r="D286" s="1375"/>
      <c r="E286" s="1332"/>
      <c r="F286" s="1332"/>
      <c r="G286" s="1378"/>
      <c r="H286" s="1378"/>
      <c r="I286" s="1332"/>
      <c r="J286" s="1332"/>
      <c r="K286" s="1332"/>
      <c r="L286" s="1332"/>
      <c r="M286" s="1332"/>
      <c r="N286" s="1332"/>
      <c r="O286" s="1332"/>
      <c r="P286" s="1332"/>
      <c r="Q286" s="1332"/>
      <c r="R286" s="1332"/>
      <c r="S286" s="1332"/>
      <c r="T286" s="1332"/>
      <c r="U286" s="1332"/>
      <c r="V286" s="1332"/>
      <c r="W286" s="1332"/>
      <c r="X286" s="1332"/>
      <c r="Y286" s="1332"/>
      <c r="Z286" s="1332"/>
      <c r="AA286" s="1332"/>
      <c r="AB286" s="1332"/>
    </row>
    <row r="287">
      <c r="A287" s="1332"/>
      <c r="B287" s="1366"/>
      <c r="C287" s="1366"/>
      <c r="D287" s="1375"/>
      <c r="E287" s="1332"/>
      <c r="F287" s="1332"/>
      <c r="G287" s="1378"/>
      <c r="H287" s="1378"/>
      <c r="I287" s="1332"/>
      <c r="J287" s="1332"/>
      <c r="K287" s="1332"/>
      <c r="L287" s="1332"/>
      <c r="M287" s="1332"/>
      <c r="N287" s="1332"/>
      <c r="O287" s="1332"/>
      <c r="P287" s="1332"/>
      <c r="Q287" s="1332"/>
      <c r="R287" s="1332"/>
      <c r="S287" s="1332"/>
      <c r="T287" s="1332"/>
      <c r="U287" s="1332"/>
      <c r="V287" s="1332"/>
      <c r="W287" s="1332"/>
      <c r="X287" s="1332"/>
      <c r="Y287" s="1332"/>
      <c r="Z287" s="1332"/>
      <c r="AA287" s="1332"/>
      <c r="AB287" s="1332"/>
    </row>
    <row r="288">
      <c r="A288" s="1332"/>
      <c r="B288" s="1366"/>
      <c r="C288" s="1366"/>
      <c r="D288" s="1375"/>
      <c r="E288" s="1332"/>
      <c r="F288" s="1332"/>
      <c r="G288" s="1378"/>
      <c r="H288" s="1378"/>
      <c r="I288" s="1332"/>
      <c r="J288" s="1332"/>
      <c r="K288" s="1332"/>
      <c r="L288" s="1332"/>
      <c r="M288" s="1332"/>
      <c r="N288" s="1332"/>
      <c r="O288" s="1332"/>
      <c r="P288" s="1332"/>
      <c r="Q288" s="1332"/>
      <c r="R288" s="1332"/>
      <c r="S288" s="1332"/>
      <c r="T288" s="1332"/>
      <c r="U288" s="1332"/>
      <c r="V288" s="1332"/>
      <c r="W288" s="1332"/>
      <c r="X288" s="1332"/>
      <c r="Y288" s="1332"/>
      <c r="Z288" s="1332"/>
      <c r="AA288" s="1332"/>
      <c r="AB288" s="1332"/>
    </row>
    <row r="289">
      <c r="A289" s="1332"/>
      <c r="B289" s="1366"/>
      <c r="C289" s="1366"/>
      <c r="D289" s="1375"/>
      <c r="E289" s="1332"/>
      <c r="F289" s="1332"/>
      <c r="G289" s="1378"/>
      <c r="H289" s="1378"/>
      <c r="I289" s="1332"/>
      <c r="J289" s="1332"/>
      <c r="K289" s="1332"/>
      <c r="L289" s="1332"/>
      <c r="M289" s="1332"/>
      <c r="N289" s="1332"/>
      <c r="O289" s="1332"/>
      <c r="P289" s="1332"/>
      <c r="Q289" s="1332"/>
      <c r="R289" s="1332"/>
      <c r="S289" s="1332"/>
      <c r="T289" s="1332"/>
      <c r="U289" s="1332"/>
      <c r="V289" s="1332"/>
      <c r="W289" s="1332"/>
      <c r="X289" s="1332"/>
      <c r="Y289" s="1332"/>
      <c r="Z289" s="1332"/>
      <c r="AA289" s="1332"/>
      <c r="AB289" s="1332"/>
    </row>
    <row r="290">
      <c r="A290" s="1332"/>
      <c r="B290" s="1366"/>
      <c r="C290" s="1366"/>
      <c r="D290" s="1375"/>
      <c r="E290" s="1332"/>
      <c r="F290" s="1332"/>
      <c r="G290" s="1378"/>
      <c r="H290" s="1378"/>
      <c r="I290" s="1332"/>
      <c r="J290" s="1332"/>
      <c r="K290" s="1332"/>
      <c r="L290" s="1332"/>
      <c r="M290" s="1332"/>
      <c r="N290" s="1332"/>
      <c r="O290" s="1332"/>
      <c r="P290" s="1332"/>
      <c r="Q290" s="1332"/>
      <c r="R290" s="1332"/>
      <c r="S290" s="1332"/>
      <c r="T290" s="1332"/>
      <c r="U290" s="1332"/>
      <c r="V290" s="1332"/>
      <c r="W290" s="1332"/>
      <c r="X290" s="1332"/>
      <c r="Y290" s="1332"/>
      <c r="Z290" s="1332"/>
      <c r="AA290" s="1332"/>
      <c r="AB290" s="1332"/>
    </row>
    <row r="291">
      <c r="A291" s="1332"/>
      <c r="B291" s="1366"/>
      <c r="C291" s="1366"/>
      <c r="D291" s="1375"/>
      <c r="E291" s="1332"/>
      <c r="F291" s="1332"/>
      <c r="G291" s="1378"/>
      <c r="H291" s="1378"/>
      <c r="I291" s="1332"/>
      <c r="J291" s="1332"/>
      <c r="K291" s="1332"/>
      <c r="L291" s="1332"/>
      <c r="M291" s="1332"/>
      <c r="N291" s="1332"/>
      <c r="O291" s="1332"/>
      <c r="P291" s="1332"/>
      <c r="Q291" s="1332"/>
      <c r="R291" s="1332"/>
      <c r="S291" s="1332"/>
      <c r="T291" s="1332"/>
      <c r="U291" s="1332"/>
      <c r="V291" s="1332"/>
      <c r="W291" s="1332"/>
      <c r="X291" s="1332"/>
      <c r="Y291" s="1332"/>
      <c r="Z291" s="1332"/>
      <c r="AA291" s="1332"/>
      <c r="AB291" s="1332"/>
    </row>
    <row r="292">
      <c r="A292" s="1332"/>
      <c r="B292" s="1366"/>
      <c r="C292" s="1366"/>
      <c r="D292" s="1375"/>
      <c r="E292" s="1332"/>
      <c r="F292" s="1332"/>
      <c r="G292" s="1378"/>
      <c r="H292" s="1378"/>
      <c r="I292" s="1332"/>
      <c r="J292" s="1332"/>
      <c r="K292" s="1332"/>
      <c r="L292" s="1332"/>
      <c r="M292" s="1332"/>
      <c r="N292" s="1332"/>
      <c r="O292" s="1332"/>
      <c r="P292" s="1332"/>
      <c r="Q292" s="1332"/>
      <c r="R292" s="1332"/>
      <c r="S292" s="1332"/>
      <c r="T292" s="1332"/>
      <c r="U292" s="1332"/>
      <c r="V292" s="1332"/>
      <c r="W292" s="1332"/>
      <c r="X292" s="1332"/>
      <c r="Y292" s="1332"/>
      <c r="Z292" s="1332"/>
      <c r="AA292" s="1332"/>
      <c r="AB292" s="1332"/>
    </row>
    <row r="293">
      <c r="A293" s="1332"/>
      <c r="B293" s="1366"/>
      <c r="C293" s="1366"/>
      <c r="D293" s="1375"/>
      <c r="E293" s="1332"/>
      <c r="F293" s="1332"/>
      <c r="G293" s="1378"/>
      <c r="H293" s="1378"/>
      <c r="I293" s="1332"/>
      <c r="J293" s="1332"/>
      <c r="K293" s="1332"/>
      <c r="L293" s="1332"/>
      <c r="M293" s="1332"/>
      <c r="N293" s="1332"/>
      <c r="O293" s="1332"/>
      <c r="P293" s="1332"/>
      <c r="Q293" s="1332"/>
      <c r="R293" s="1332"/>
      <c r="S293" s="1332"/>
      <c r="T293" s="1332"/>
      <c r="U293" s="1332"/>
      <c r="V293" s="1332"/>
      <c r="W293" s="1332"/>
      <c r="X293" s="1332"/>
      <c r="Y293" s="1332"/>
      <c r="Z293" s="1332"/>
      <c r="AA293" s="1332"/>
      <c r="AB293" s="1332"/>
    </row>
    <row r="294">
      <c r="A294" s="1332"/>
      <c r="B294" s="1366"/>
      <c r="C294" s="1366"/>
      <c r="D294" s="1375"/>
      <c r="E294" s="1332"/>
      <c r="F294" s="1332"/>
      <c r="G294" s="1378"/>
      <c r="H294" s="1378"/>
      <c r="I294" s="1332"/>
      <c r="J294" s="1332"/>
      <c r="K294" s="1332"/>
      <c r="L294" s="1332"/>
      <c r="M294" s="1332"/>
      <c r="N294" s="1332"/>
      <c r="O294" s="1332"/>
      <c r="P294" s="1332"/>
      <c r="Q294" s="1332"/>
      <c r="R294" s="1332"/>
      <c r="S294" s="1332"/>
      <c r="T294" s="1332"/>
      <c r="U294" s="1332"/>
      <c r="V294" s="1332"/>
      <c r="W294" s="1332"/>
      <c r="X294" s="1332"/>
      <c r="Y294" s="1332"/>
      <c r="Z294" s="1332"/>
      <c r="AA294" s="1332"/>
      <c r="AB294" s="1332"/>
    </row>
    <row r="295">
      <c r="A295" s="1332"/>
      <c r="B295" s="1366"/>
      <c r="C295" s="1366"/>
      <c r="D295" s="1375"/>
      <c r="E295" s="1332"/>
      <c r="F295" s="1332"/>
      <c r="G295" s="1378"/>
      <c r="H295" s="1378"/>
      <c r="I295" s="1332"/>
      <c r="J295" s="1332"/>
      <c r="K295" s="1332"/>
      <c r="L295" s="1332"/>
      <c r="M295" s="1332"/>
      <c r="N295" s="1332"/>
      <c r="O295" s="1332"/>
      <c r="P295" s="1332"/>
      <c r="Q295" s="1332"/>
      <c r="R295" s="1332"/>
      <c r="S295" s="1332"/>
      <c r="T295" s="1332"/>
      <c r="U295" s="1332"/>
      <c r="V295" s="1332"/>
      <c r="W295" s="1332"/>
      <c r="X295" s="1332"/>
      <c r="Y295" s="1332"/>
      <c r="Z295" s="1332"/>
      <c r="AA295" s="1332"/>
      <c r="AB295" s="1332"/>
    </row>
    <row r="296">
      <c r="A296" s="1332"/>
      <c r="B296" s="1366"/>
      <c r="C296" s="1366"/>
      <c r="D296" s="1375"/>
      <c r="E296" s="1332"/>
      <c r="F296" s="1332"/>
      <c r="G296" s="1378"/>
      <c r="H296" s="1378"/>
      <c r="I296" s="1332"/>
      <c r="J296" s="1332"/>
      <c r="K296" s="1332"/>
      <c r="L296" s="1332"/>
      <c r="M296" s="1332"/>
      <c r="N296" s="1332"/>
      <c r="O296" s="1332"/>
      <c r="P296" s="1332"/>
      <c r="Q296" s="1332"/>
      <c r="R296" s="1332"/>
      <c r="S296" s="1332"/>
      <c r="T296" s="1332"/>
      <c r="U296" s="1332"/>
      <c r="V296" s="1332"/>
      <c r="W296" s="1332"/>
      <c r="X296" s="1332"/>
      <c r="Y296" s="1332"/>
      <c r="Z296" s="1332"/>
      <c r="AA296" s="1332"/>
      <c r="AB296" s="1332"/>
    </row>
    <row r="297">
      <c r="A297" s="1332"/>
      <c r="B297" s="1366"/>
      <c r="C297" s="1366"/>
      <c r="D297" s="1375"/>
      <c r="E297" s="1332"/>
      <c r="F297" s="1332"/>
      <c r="G297" s="1378"/>
      <c r="H297" s="1378"/>
      <c r="I297" s="1332"/>
      <c r="J297" s="1332"/>
      <c r="K297" s="1332"/>
      <c r="L297" s="1332"/>
      <c r="M297" s="1332"/>
      <c r="N297" s="1332"/>
      <c r="O297" s="1332"/>
      <c r="P297" s="1332"/>
      <c r="Q297" s="1332"/>
      <c r="R297" s="1332"/>
      <c r="S297" s="1332"/>
      <c r="T297" s="1332"/>
      <c r="U297" s="1332"/>
      <c r="V297" s="1332"/>
      <c r="W297" s="1332"/>
      <c r="X297" s="1332"/>
      <c r="Y297" s="1332"/>
      <c r="Z297" s="1332"/>
      <c r="AA297" s="1332"/>
      <c r="AB297" s="1332"/>
    </row>
    <row r="298">
      <c r="A298" s="1332"/>
      <c r="B298" s="1366"/>
      <c r="C298" s="1366"/>
      <c r="D298" s="1375"/>
      <c r="E298" s="1332"/>
      <c r="F298" s="1332"/>
      <c r="G298" s="1378"/>
      <c r="H298" s="1378"/>
      <c r="I298" s="1332"/>
      <c r="J298" s="1332"/>
      <c r="K298" s="1332"/>
      <c r="L298" s="1332"/>
      <c r="M298" s="1332"/>
      <c r="N298" s="1332"/>
      <c r="O298" s="1332"/>
      <c r="P298" s="1332"/>
      <c r="Q298" s="1332"/>
      <c r="R298" s="1332"/>
      <c r="S298" s="1332"/>
      <c r="T298" s="1332"/>
      <c r="U298" s="1332"/>
      <c r="V298" s="1332"/>
      <c r="W298" s="1332"/>
      <c r="X298" s="1332"/>
      <c r="Y298" s="1332"/>
      <c r="Z298" s="1332"/>
      <c r="AA298" s="1332"/>
      <c r="AB298" s="1332"/>
    </row>
    <row r="299">
      <c r="A299" s="1332"/>
      <c r="B299" s="1366"/>
      <c r="C299" s="1366"/>
      <c r="D299" s="1375"/>
      <c r="E299" s="1332"/>
      <c r="F299" s="1332"/>
      <c r="G299" s="1378"/>
      <c r="H299" s="1378"/>
      <c r="I299" s="1332"/>
      <c r="J299" s="1332"/>
      <c r="K299" s="1332"/>
      <c r="L299" s="1332"/>
      <c r="M299" s="1332"/>
      <c r="N299" s="1332"/>
      <c r="O299" s="1332"/>
      <c r="P299" s="1332"/>
      <c r="Q299" s="1332"/>
      <c r="R299" s="1332"/>
      <c r="S299" s="1332"/>
      <c r="T299" s="1332"/>
      <c r="U299" s="1332"/>
      <c r="V299" s="1332"/>
      <c r="W299" s="1332"/>
      <c r="X299" s="1332"/>
      <c r="Y299" s="1332"/>
      <c r="Z299" s="1332"/>
      <c r="AA299" s="1332"/>
      <c r="AB299" s="1332"/>
    </row>
    <row r="300">
      <c r="A300" s="1332"/>
      <c r="B300" s="1366"/>
      <c r="C300" s="1366"/>
      <c r="D300" s="1375"/>
      <c r="E300" s="1332"/>
      <c r="F300" s="1332"/>
      <c r="G300" s="1378"/>
      <c r="H300" s="1378"/>
      <c r="I300" s="1332"/>
      <c r="J300" s="1332"/>
      <c r="K300" s="1332"/>
      <c r="L300" s="1332"/>
      <c r="M300" s="1332"/>
      <c r="N300" s="1332"/>
      <c r="O300" s="1332"/>
      <c r="P300" s="1332"/>
      <c r="Q300" s="1332"/>
      <c r="R300" s="1332"/>
      <c r="S300" s="1332"/>
      <c r="T300" s="1332"/>
      <c r="U300" s="1332"/>
      <c r="V300" s="1332"/>
      <c r="W300" s="1332"/>
      <c r="X300" s="1332"/>
      <c r="Y300" s="1332"/>
      <c r="Z300" s="1332"/>
      <c r="AA300" s="1332"/>
      <c r="AB300" s="1332"/>
    </row>
    <row r="301">
      <c r="A301" s="1332"/>
      <c r="B301" s="1366"/>
      <c r="C301" s="1366"/>
      <c r="D301" s="1375"/>
      <c r="E301" s="1332"/>
      <c r="F301" s="1332"/>
      <c r="G301" s="1378"/>
      <c r="H301" s="1378"/>
      <c r="I301" s="1332"/>
      <c r="J301" s="1332"/>
      <c r="K301" s="1332"/>
      <c r="L301" s="1332"/>
      <c r="M301" s="1332"/>
      <c r="N301" s="1332"/>
      <c r="O301" s="1332"/>
      <c r="P301" s="1332"/>
      <c r="Q301" s="1332"/>
      <c r="R301" s="1332"/>
      <c r="S301" s="1332"/>
      <c r="T301" s="1332"/>
      <c r="U301" s="1332"/>
      <c r="V301" s="1332"/>
      <c r="W301" s="1332"/>
      <c r="X301" s="1332"/>
      <c r="Y301" s="1332"/>
      <c r="Z301" s="1332"/>
      <c r="AA301" s="1332"/>
      <c r="AB301" s="1332"/>
    </row>
    <row r="302">
      <c r="A302" s="1332"/>
      <c r="B302" s="1366"/>
      <c r="C302" s="1366"/>
      <c r="D302" s="1375"/>
      <c r="E302" s="1332"/>
      <c r="F302" s="1332"/>
      <c r="G302" s="1378"/>
      <c r="H302" s="1378"/>
      <c r="I302" s="1332"/>
      <c r="J302" s="1332"/>
      <c r="K302" s="1332"/>
      <c r="L302" s="1332"/>
      <c r="M302" s="1332"/>
      <c r="N302" s="1332"/>
      <c r="O302" s="1332"/>
      <c r="P302" s="1332"/>
      <c r="Q302" s="1332"/>
      <c r="R302" s="1332"/>
      <c r="S302" s="1332"/>
      <c r="T302" s="1332"/>
      <c r="U302" s="1332"/>
      <c r="V302" s="1332"/>
      <c r="W302" s="1332"/>
      <c r="X302" s="1332"/>
      <c r="Y302" s="1332"/>
      <c r="Z302" s="1332"/>
      <c r="AA302" s="1332"/>
      <c r="AB302" s="1332"/>
    </row>
    <row r="303">
      <c r="A303" s="1332"/>
      <c r="B303" s="1366"/>
      <c r="C303" s="1366"/>
      <c r="D303" s="1375"/>
      <c r="E303" s="1332"/>
      <c r="F303" s="1332"/>
      <c r="G303" s="1378"/>
      <c r="H303" s="1378"/>
      <c r="I303" s="1332"/>
      <c r="J303" s="1332"/>
      <c r="K303" s="1332"/>
      <c r="L303" s="1332"/>
      <c r="M303" s="1332"/>
      <c r="N303" s="1332"/>
      <c r="O303" s="1332"/>
      <c r="P303" s="1332"/>
      <c r="Q303" s="1332"/>
      <c r="R303" s="1332"/>
      <c r="S303" s="1332"/>
      <c r="T303" s="1332"/>
      <c r="U303" s="1332"/>
      <c r="V303" s="1332"/>
      <c r="W303" s="1332"/>
      <c r="X303" s="1332"/>
      <c r="Y303" s="1332"/>
      <c r="Z303" s="1332"/>
      <c r="AA303" s="1332"/>
      <c r="AB303" s="1332"/>
    </row>
    <row r="304">
      <c r="A304" s="1332"/>
      <c r="B304" s="1366"/>
      <c r="C304" s="1366"/>
      <c r="D304" s="1375"/>
      <c r="E304" s="1332"/>
      <c r="F304" s="1332"/>
      <c r="G304" s="1378"/>
      <c r="H304" s="1378"/>
      <c r="I304" s="1332"/>
      <c r="J304" s="1332"/>
      <c r="K304" s="1332"/>
      <c r="L304" s="1332"/>
      <c r="M304" s="1332"/>
      <c r="N304" s="1332"/>
      <c r="O304" s="1332"/>
      <c r="P304" s="1332"/>
      <c r="Q304" s="1332"/>
      <c r="R304" s="1332"/>
      <c r="S304" s="1332"/>
      <c r="T304" s="1332"/>
      <c r="U304" s="1332"/>
      <c r="V304" s="1332"/>
      <c r="W304" s="1332"/>
      <c r="X304" s="1332"/>
      <c r="Y304" s="1332"/>
      <c r="Z304" s="1332"/>
      <c r="AA304" s="1332"/>
      <c r="AB304" s="1332"/>
    </row>
    <row r="305">
      <c r="A305" s="1332"/>
      <c r="B305" s="1366"/>
      <c r="C305" s="1366"/>
      <c r="D305" s="1375"/>
      <c r="E305" s="1332"/>
      <c r="F305" s="1332"/>
      <c r="G305" s="1378"/>
      <c r="H305" s="1378"/>
      <c r="I305" s="1332"/>
      <c r="J305" s="1332"/>
      <c r="K305" s="1332"/>
      <c r="L305" s="1332"/>
      <c r="M305" s="1332"/>
      <c r="N305" s="1332"/>
      <c r="O305" s="1332"/>
      <c r="P305" s="1332"/>
      <c r="Q305" s="1332"/>
      <c r="R305" s="1332"/>
      <c r="S305" s="1332"/>
      <c r="T305" s="1332"/>
      <c r="U305" s="1332"/>
      <c r="V305" s="1332"/>
      <c r="W305" s="1332"/>
      <c r="X305" s="1332"/>
      <c r="Y305" s="1332"/>
      <c r="Z305" s="1332"/>
      <c r="AA305" s="1332"/>
      <c r="AB305" s="1332"/>
    </row>
    <row r="306">
      <c r="A306" s="1332"/>
      <c r="B306" s="1366"/>
      <c r="C306" s="1366"/>
      <c r="D306" s="1375"/>
      <c r="E306" s="1332"/>
      <c r="F306" s="1332"/>
      <c r="G306" s="1378"/>
      <c r="H306" s="1378"/>
      <c r="I306" s="1332"/>
      <c r="J306" s="1332"/>
      <c r="K306" s="1332"/>
      <c r="L306" s="1332"/>
      <c r="M306" s="1332"/>
      <c r="N306" s="1332"/>
      <c r="O306" s="1332"/>
      <c r="P306" s="1332"/>
      <c r="Q306" s="1332"/>
      <c r="R306" s="1332"/>
      <c r="S306" s="1332"/>
      <c r="T306" s="1332"/>
      <c r="U306" s="1332"/>
      <c r="V306" s="1332"/>
      <c r="W306" s="1332"/>
      <c r="X306" s="1332"/>
      <c r="Y306" s="1332"/>
      <c r="Z306" s="1332"/>
      <c r="AA306" s="1332"/>
      <c r="AB306" s="1332"/>
    </row>
    <row r="307">
      <c r="A307" s="1332"/>
      <c r="B307" s="1366"/>
      <c r="C307" s="1366"/>
      <c r="D307" s="1375"/>
      <c r="E307" s="1332"/>
      <c r="F307" s="1332"/>
      <c r="G307" s="1378"/>
      <c r="H307" s="1378"/>
      <c r="I307" s="1332"/>
      <c r="J307" s="1332"/>
      <c r="K307" s="1332"/>
      <c r="L307" s="1332"/>
      <c r="M307" s="1332"/>
      <c r="N307" s="1332"/>
      <c r="O307" s="1332"/>
      <c r="P307" s="1332"/>
      <c r="Q307" s="1332"/>
      <c r="R307" s="1332"/>
      <c r="S307" s="1332"/>
      <c r="T307" s="1332"/>
      <c r="U307" s="1332"/>
      <c r="V307" s="1332"/>
      <c r="W307" s="1332"/>
      <c r="X307" s="1332"/>
      <c r="Y307" s="1332"/>
      <c r="Z307" s="1332"/>
      <c r="AA307" s="1332"/>
      <c r="AB307" s="1332"/>
    </row>
    <row r="308">
      <c r="A308" s="1332"/>
      <c r="B308" s="1366"/>
      <c r="C308" s="1366"/>
      <c r="D308" s="1375"/>
      <c r="E308" s="1332"/>
      <c r="F308" s="1332"/>
      <c r="G308" s="1378"/>
      <c r="H308" s="1378"/>
      <c r="I308" s="1332"/>
      <c r="J308" s="1332"/>
      <c r="K308" s="1332"/>
      <c r="L308" s="1332"/>
      <c r="M308" s="1332"/>
      <c r="N308" s="1332"/>
      <c r="O308" s="1332"/>
      <c r="P308" s="1332"/>
      <c r="Q308" s="1332"/>
      <c r="R308" s="1332"/>
      <c r="S308" s="1332"/>
      <c r="T308" s="1332"/>
      <c r="U308" s="1332"/>
      <c r="V308" s="1332"/>
      <c r="W308" s="1332"/>
      <c r="X308" s="1332"/>
      <c r="Y308" s="1332"/>
      <c r="Z308" s="1332"/>
      <c r="AA308" s="1332"/>
      <c r="AB308" s="1332"/>
    </row>
    <row r="309">
      <c r="A309" s="1332"/>
      <c r="B309" s="1366"/>
      <c r="C309" s="1366"/>
      <c r="D309" s="1375"/>
      <c r="E309" s="1332"/>
      <c r="F309" s="1332"/>
      <c r="G309" s="1378"/>
      <c r="H309" s="1378"/>
      <c r="I309" s="1332"/>
      <c r="J309" s="1332"/>
      <c r="K309" s="1332"/>
      <c r="L309" s="1332"/>
      <c r="M309" s="1332"/>
      <c r="N309" s="1332"/>
      <c r="O309" s="1332"/>
      <c r="P309" s="1332"/>
      <c r="Q309" s="1332"/>
      <c r="R309" s="1332"/>
      <c r="S309" s="1332"/>
      <c r="T309" s="1332"/>
      <c r="U309" s="1332"/>
      <c r="V309" s="1332"/>
      <c r="W309" s="1332"/>
      <c r="X309" s="1332"/>
      <c r="Y309" s="1332"/>
      <c r="Z309" s="1332"/>
      <c r="AA309" s="1332"/>
      <c r="AB309" s="1332"/>
    </row>
    <row r="310">
      <c r="A310" s="1332"/>
      <c r="B310" s="1366"/>
      <c r="C310" s="1366"/>
      <c r="D310" s="1375"/>
      <c r="E310" s="1332"/>
      <c r="F310" s="1332"/>
      <c r="G310" s="1378"/>
      <c r="H310" s="1378"/>
      <c r="I310" s="1332"/>
      <c r="J310" s="1332"/>
      <c r="K310" s="1332"/>
      <c r="L310" s="1332"/>
      <c r="M310" s="1332"/>
      <c r="N310" s="1332"/>
      <c r="O310" s="1332"/>
      <c r="P310" s="1332"/>
      <c r="Q310" s="1332"/>
      <c r="R310" s="1332"/>
      <c r="S310" s="1332"/>
      <c r="T310" s="1332"/>
      <c r="U310" s="1332"/>
      <c r="V310" s="1332"/>
      <c r="W310" s="1332"/>
      <c r="X310" s="1332"/>
      <c r="Y310" s="1332"/>
      <c r="Z310" s="1332"/>
      <c r="AA310" s="1332"/>
      <c r="AB310" s="1332"/>
    </row>
    <row r="311">
      <c r="A311" s="1332"/>
      <c r="B311" s="1366"/>
      <c r="C311" s="1366"/>
      <c r="D311" s="1375"/>
      <c r="E311" s="1332"/>
      <c r="F311" s="1332"/>
      <c r="G311" s="1378"/>
      <c r="H311" s="1378"/>
      <c r="I311" s="1332"/>
      <c r="J311" s="1332"/>
      <c r="K311" s="1332"/>
      <c r="L311" s="1332"/>
      <c r="M311" s="1332"/>
      <c r="N311" s="1332"/>
      <c r="O311" s="1332"/>
      <c r="P311" s="1332"/>
      <c r="Q311" s="1332"/>
      <c r="R311" s="1332"/>
      <c r="S311" s="1332"/>
      <c r="T311" s="1332"/>
      <c r="U311" s="1332"/>
      <c r="V311" s="1332"/>
      <c r="W311" s="1332"/>
      <c r="X311" s="1332"/>
      <c r="Y311" s="1332"/>
      <c r="Z311" s="1332"/>
      <c r="AA311" s="1332"/>
      <c r="AB311" s="1332"/>
    </row>
    <row r="312">
      <c r="A312" s="1332"/>
      <c r="B312" s="1366"/>
      <c r="C312" s="1366"/>
      <c r="D312" s="1375"/>
      <c r="E312" s="1332"/>
      <c r="F312" s="1332"/>
      <c r="G312" s="1378"/>
      <c r="H312" s="1378"/>
      <c r="I312" s="1332"/>
      <c r="J312" s="1332"/>
      <c r="K312" s="1332"/>
      <c r="L312" s="1332"/>
      <c r="M312" s="1332"/>
      <c r="N312" s="1332"/>
      <c r="O312" s="1332"/>
      <c r="P312" s="1332"/>
      <c r="Q312" s="1332"/>
      <c r="R312" s="1332"/>
      <c r="S312" s="1332"/>
      <c r="T312" s="1332"/>
      <c r="U312" s="1332"/>
      <c r="V312" s="1332"/>
      <c r="W312" s="1332"/>
      <c r="X312" s="1332"/>
      <c r="Y312" s="1332"/>
      <c r="Z312" s="1332"/>
      <c r="AA312" s="1332"/>
      <c r="AB312" s="1332"/>
    </row>
    <row r="313">
      <c r="A313" s="1332"/>
      <c r="B313" s="1366"/>
      <c r="C313" s="1366"/>
      <c r="D313" s="1375"/>
      <c r="E313" s="1332"/>
      <c r="F313" s="1332"/>
      <c r="G313" s="1378"/>
      <c r="H313" s="1378"/>
      <c r="I313" s="1332"/>
      <c r="J313" s="1332"/>
      <c r="K313" s="1332"/>
      <c r="L313" s="1332"/>
      <c r="M313" s="1332"/>
      <c r="N313" s="1332"/>
      <c r="O313" s="1332"/>
      <c r="P313" s="1332"/>
      <c r="Q313" s="1332"/>
      <c r="R313" s="1332"/>
      <c r="S313" s="1332"/>
      <c r="T313" s="1332"/>
      <c r="U313" s="1332"/>
      <c r="V313" s="1332"/>
      <c r="W313" s="1332"/>
      <c r="X313" s="1332"/>
      <c r="Y313" s="1332"/>
      <c r="Z313" s="1332"/>
      <c r="AA313" s="1332"/>
      <c r="AB313" s="1332"/>
    </row>
    <row r="314">
      <c r="A314" s="1332"/>
      <c r="B314" s="1366"/>
      <c r="C314" s="1366"/>
      <c r="D314" s="1375"/>
      <c r="E314" s="1332"/>
      <c r="F314" s="1332"/>
      <c r="G314" s="1378"/>
      <c r="H314" s="1378"/>
      <c r="I314" s="1332"/>
      <c r="J314" s="1332"/>
      <c r="K314" s="1332"/>
      <c r="L314" s="1332"/>
      <c r="M314" s="1332"/>
      <c r="N314" s="1332"/>
      <c r="O314" s="1332"/>
      <c r="P314" s="1332"/>
      <c r="Q314" s="1332"/>
      <c r="R314" s="1332"/>
      <c r="S314" s="1332"/>
      <c r="T314" s="1332"/>
      <c r="U314" s="1332"/>
      <c r="V314" s="1332"/>
      <c r="W314" s="1332"/>
      <c r="X314" s="1332"/>
      <c r="Y314" s="1332"/>
      <c r="Z314" s="1332"/>
      <c r="AA314" s="1332"/>
      <c r="AB314" s="1332"/>
    </row>
    <row r="315">
      <c r="A315" s="1332"/>
      <c r="B315" s="1366"/>
      <c r="C315" s="1366"/>
      <c r="D315" s="1375"/>
      <c r="E315" s="1332"/>
      <c r="F315" s="1332"/>
      <c r="G315" s="1378"/>
      <c r="H315" s="1378"/>
      <c r="I315" s="1332"/>
      <c r="J315" s="1332"/>
      <c r="K315" s="1332"/>
      <c r="L315" s="1332"/>
      <c r="M315" s="1332"/>
      <c r="N315" s="1332"/>
      <c r="O315" s="1332"/>
      <c r="P315" s="1332"/>
      <c r="Q315" s="1332"/>
      <c r="R315" s="1332"/>
      <c r="S315" s="1332"/>
      <c r="T315" s="1332"/>
      <c r="U315" s="1332"/>
      <c r="V315" s="1332"/>
      <c r="W315" s="1332"/>
      <c r="X315" s="1332"/>
      <c r="Y315" s="1332"/>
      <c r="Z315" s="1332"/>
      <c r="AA315" s="1332"/>
      <c r="AB315" s="1332"/>
    </row>
    <row r="316">
      <c r="A316" s="1332"/>
      <c r="B316" s="1366"/>
      <c r="C316" s="1366"/>
      <c r="D316" s="1375"/>
      <c r="E316" s="1332"/>
      <c r="F316" s="1332"/>
      <c r="G316" s="1378"/>
      <c r="H316" s="1378"/>
      <c r="I316" s="1332"/>
      <c r="J316" s="1332"/>
      <c r="K316" s="1332"/>
      <c r="L316" s="1332"/>
      <c r="M316" s="1332"/>
      <c r="N316" s="1332"/>
      <c r="O316" s="1332"/>
      <c r="P316" s="1332"/>
      <c r="Q316" s="1332"/>
      <c r="R316" s="1332"/>
      <c r="S316" s="1332"/>
      <c r="T316" s="1332"/>
      <c r="U316" s="1332"/>
      <c r="V316" s="1332"/>
      <c r="W316" s="1332"/>
      <c r="X316" s="1332"/>
      <c r="Y316" s="1332"/>
      <c r="Z316" s="1332"/>
      <c r="AA316" s="1332"/>
      <c r="AB316" s="1332"/>
    </row>
    <row r="317">
      <c r="A317" s="1332"/>
      <c r="B317" s="1366"/>
      <c r="C317" s="1366"/>
      <c r="D317" s="1375"/>
      <c r="E317" s="1332"/>
      <c r="F317" s="1332"/>
      <c r="G317" s="1378"/>
      <c r="H317" s="1378"/>
      <c r="I317" s="1332"/>
      <c r="J317" s="1332"/>
      <c r="K317" s="1332"/>
      <c r="L317" s="1332"/>
      <c r="M317" s="1332"/>
      <c r="N317" s="1332"/>
      <c r="O317" s="1332"/>
      <c r="P317" s="1332"/>
      <c r="Q317" s="1332"/>
      <c r="R317" s="1332"/>
      <c r="S317" s="1332"/>
      <c r="T317" s="1332"/>
      <c r="U317" s="1332"/>
      <c r="V317" s="1332"/>
      <c r="W317" s="1332"/>
      <c r="X317" s="1332"/>
      <c r="Y317" s="1332"/>
      <c r="Z317" s="1332"/>
      <c r="AA317" s="1332"/>
      <c r="AB317" s="1332"/>
    </row>
    <row r="318">
      <c r="A318" s="1332"/>
      <c r="B318" s="1366"/>
      <c r="C318" s="1366"/>
      <c r="D318" s="1375"/>
      <c r="E318" s="1332"/>
      <c r="F318" s="1332"/>
      <c r="G318" s="1378"/>
      <c r="H318" s="1378"/>
      <c r="I318" s="1332"/>
      <c r="J318" s="1332"/>
      <c r="K318" s="1332"/>
      <c r="L318" s="1332"/>
      <c r="M318" s="1332"/>
      <c r="N318" s="1332"/>
      <c r="O318" s="1332"/>
      <c r="P318" s="1332"/>
      <c r="Q318" s="1332"/>
      <c r="R318" s="1332"/>
      <c r="S318" s="1332"/>
      <c r="T318" s="1332"/>
      <c r="U318" s="1332"/>
      <c r="V318" s="1332"/>
      <c r="W318" s="1332"/>
      <c r="X318" s="1332"/>
      <c r="Y318" s="1332"/>
      <c r="Z318" s="1332"/>
      <c r="AA318" s="1332"/>
      <c r="AB318" s="1332"/>
    </row>
    <row r="319">
      <c r="A319" s="1332"/>
      <c r="B319" s="1366"/>
      <c r="C319" s="1366"/>
      <c r="D319" s="1375"/>
      <c r="E319" s="1332"/>
      <c r="F319" s="1332"/>
      <c r="G319" s="1378"/>
      <c r="H319" s="1378"/>
      <c r="I319" s="1332"/>
      <c r="J319" s="1332"/>
      <c r="K319" s="1332"/>
      <c r="L319" s="1332"/>
      <c r="M319" s="1332"/>
      <c r="N319" s="1332"/>
      <c r="O319" s="1332"/>
      <c r="P319" s="1332"/>
      <c r="Q319" s="1332"/>
      <c r="R319" s="1332"/>
      <c r="S319" s="1332"/>
      <c r="T319" s="1332"/>
      <c r="U319" s="1332"/>
      <c r="V319" s="1332"/>
      <c r="W319" s="1332"/>
      <c r="X319" s="1332"/>
      <c r="Y319" s="1332"/>
      <c r="Z319" s="1332"/>
      <c r="AA319" s="1332"/>
      <c r="AB319" s="1332"/>
    </row>
    <row r="320">
      <c r="A320" s="1332"/>
      <c r="B320" s="1366"/>
      <c r="C320" s="1366"/>
      <c r="D320" s="1375"/>
      <c r="E320" s="1332"/>
      <c r="F320" s="1332"/>
      <c r="G320" s="1378"/>
      <c r="H320" s="1378"/>
      <c r="I320" s="1332"/>
      <c r="J320" s="1332"/>
      <c r="K320" s="1332"/>
      <c r="L320" s="1332"/>
      <c r="M320" s="1332"/>
      <c r="N320" s="1332"/>
      <c r="O320" s="1332"/>
      <c r="P320" s="1332"/>
      <c r="Q320" s="1332"/>
      <c r="R320" s="1332"/>
      <c r="S320" s="1332"/>
      <c r="T320" s="1332"/>
      <c r="U320" s="1332"/>
      <c r="V320" s="1332"/>
      <c r="W320" s="1332"/>
      <c r="X320" s="1332"/>
      <c r="Y320" s="1332"/>
      <c r="Z320" s="1332"/>
      <c r="AA320" s="1332"/>
      <c r="AB320" s="1332"/>
    </row>
    <row r="321">
      <c r="A321" s="1332"/>
      <c r="B321" s="1366"/>
      <c r="C321" s="1366"/>
      <c r="D321" s="1375"/>
      <c r="E321" s="1332"/>
      <c r="F321" s="1332"/>
      <c r="G321" s="1378"/>
      <c r="H321" s="1378"/>
      <c r="I321" s="1332"/>
      <c r="J321" s="1332"/>
      <c r="K321" s="1332"/>
      <c r="L321" s="1332"/>
      <c r="M321" s="1332"/>
      <c r="N321" s="1332"/>
      <c r="O321" s="1332"/>
      <c r="P321" s="1332"/>
      <c r="Q321" s="1332"/>
      <c r="R321" s="1332"/>
      <c r="S321" s="1332"/>
      <c r="T321" s="1332"/>
      <c r="U321" s="1332"/>
      <c r="V321" s="1332"/>
      <c r="W321" s="1332"/>
      <c r="X321" s="1332"/>
      <c r="Y321" s="1332"/>
      <c r="Z321" s="1332"/>
      <c r="AA321" s="1332"/>
      <c r="AB321" s="1332"/>
    </row>
    <row r="322">
      <c r="A322" s="1332"/>
      <c r="B322" s="1366"/>
      <c r="C322" s="1366"/>
      <c r="D322" s="1375"/>
      <c r="E322" s="1332"/>
      <c r="F322" s="1332"/>
      <c r="G322" s="1378"/>
      <c r="H322" s="1378"/>
      <c r="I322" s="1332"/>
      <c r="J322" s="1332"/>
      <c r="K322" s="1332"/>
      <c r="L322" s="1332"/>
      <c r="M322" s="1332"/>
      <c r="N322" s="1332"/>
      <c r="O322" s="1332"/>
      <c r="P322" s="1332"/>
      <c r="Q322" s="1332"/>
      <c r="R322" s="1332"/>
      <c r="S322" s="1332"/>
      <c r="T322" s="1332"/>
      <c r="U322" s="1332"/>
      <c r="V322" s="1332"/>
      <c r="W322" s="1332"/>
      <c r="X322" s="1332"/>
      <c r="Y322" s="1332"/>
      <c r="Z322" s="1332"/>
      <c r="AA322" s="1332"/>
      <c r="AB322" s="1332"/>
    </row>
    <row r="323">
      <c r="A323" s="1332"/>
      <c r="B323" s="1366"/>
      <c r="C323" s="1366"/>
      <c r="D323" s="1375"/>
      <c r="E323" s="1332"/>
      <c r="F323" s="1332"/>
      <c r="G323" s="1378"/>
      <c r="H323" s="1378"/>
      <c r="I323" s="1332"/>
      <c r="J323" s="1332"/>
      <c r="K323" s="1332"/>
      <c r="L323" s="1332"/>
      <c r="M323" s="1332"/>
      <c r="N323" s="1332"/>
      <c r="O323" s="1332"/>
      <c r="P323" s="1332"/>
      <c r="Q323" s="1332"/>
      <c r="R323" s="1332"/>
      <c r="S323" s="1332"/>
      <c r="T323" s="1332"/>
      <c r="U323" s="1332"/>
      <c r="V323" s="1332"/>
      <c r="W323" s="1332"/>
      <c r="X323" s="1332"/>
      <c r="Y323" s="1332"/>
      <c r="Z323" s="1332"/>
      <c r="AA323" s="1332"/>
      <c r="AB323" s="1332"/>
    </row>
    <row r="324">
      <c r="A324" s="1332"/>
      <c r="B324" s="1366"/>
      <c r="C324" s="1366"/>
      <c r="D324" s="1375"/>
      <c r="E324" s="1332"/>
      <c r="F324" s="1332"/>
      <c r="G324" s="1378"/>
      <c r="H324" s="1378"/>
      <c r="I324" s="1332"/>
      <c r="J324" s="1332"/>
      <c r="K324" s="1332"/>
      <c r="L324" s="1332"/>
      <c r="M324" s="1332"/>
      <c r="N324" s="1332"/>
      <c r="O324" s="1332"/>
      <c r="P324" s="1332"/>
      <c r="Q324" s="1332"/>
      <c r="R324" s="1332"/>
      <c r="S324" s="1332"/>
      <c r="T324" s="1332"/>
      <c r="U324" s="1332"/>
      <c r="V324" s="1332"/>
      <c r="W324" s="1332"/>
      <c r="X324" s="1332"/>
      <c r="Y324" s="1332"/>
      <c r="Z324" s="1332"/>
      <c r="AA324" s="1332"/>
      <c r="AB324" s="1332"/>
    </row>
    <row r="325">
      <c r="A325" s="1332"/>
      <c r="B325" s="1366"/>
      <c r="C325" s="1366"/>
      <c r="D325" s="1375"/>
      <c r="E325" s="1332"/>
      <c r="F325" s="1332"/>
      <c r="G325" s="1378"/>
      <c r="H325" s="1378"/>
      <c r="I325" s="1332"/>
      <c r="J325" s="1332"/>
      <c r="K325" s="1332"/>
      <c r="L325" s="1332"/>
      <c r="M325" s="1332"/>
      <c r="N325" s="1332"/>
      <c r="O325" s="1332"/>
      <c r="P325" s="1332"/>
      <c r="Q325" s="1332"/>
      <c r="R325" s="1332"/>
      <c r="S325" s="1332"/>
      <c r="T325" s="1332"/>
      <c r="U325" s="1332"/>
      <c r="V325" s="1332"/>
      <c r="W325" s="1332"/>
      <c r="X325" s="1332"/>
      <c r="Y325" s="1332"/>
      <c r="Z325" s="1332"/>
      <c r="AA325" s="1332"/>
      <c r="AB325" s="1332"/>
    </row>
    <row r="326">
      <c r="A326" s="1332"/>
      <c r="B326" s="1366"/>
      <c r="C326" s="1366"/>
      <c r="D326" s="1375"/>
      <c r="E326" s="1332"/>
      <c r="F326" s="1332"/>
      <c r="G326" s="1378"/>
      <c r="H326" s="1378"/>
      <c r="I326" s="1332"/>
      <c r="J326" s="1332"/>
      <c r="K326" s="1332"/>
      <c r="L326" s="1332"/>
      <c r="M326" s="1332"/>
      <c r="N326" s="1332"/>
      <c r="O326" s="1332"/>
      <c r="P326" s="1332"/>
      <c r="Q326" s="1332"/>
      <c r="R326" s="1332"/>
      <c r="S326" s="1332"/>
      <c r="T326" s="1332"/>
      <c r="U326" s="1332"/>
      <c r="V326" s="1332"/>
      <c r="W326" s="1332"/>
      <c r="X326" s="1332"/>
      <c r="Y326" s="1332"/>
      <c r="Z326" s="1332"/>
      <c r="AA326" s="1332"/>
      <c r="AB326" s="1332"/>
    </row>
    <row r="327">
      <c r="A327" s="1332"/>
      <c r="B327" s="1366"/>
      <c r="C327" s="1366"/>
      <c r="D327" s="1375"/>
      <c r="E327" s="1332"/>
      <c r="F327" s="1332"/>
      <c r="G327" s="1378"/>
      <c r="H327" s="1378"/>
      <c r="I327" s="1332"/>
      <c r="J327" s="1332"/>
      <c r="K327" s="1332"/>
      <c r="L327" s="1332"/>
      <c r="M327" s="1332"/>
      <c r="N327" s="1332"/>
      <c r="O327" s="1332"/>
      <c r="P327" s="1332"/>
      <c r="Q327" s="1332"/>
      <c r="R327" s="1332"/>
      <c r="S327" s="1332"/>
      <c r="T327" s="1332"/>
      <c r="U327" s="1332"/>
      <c r="V327" s="1332"/>
      <c r="W327" s="1332"/>
      <c r="X327" s="1332"/>
      <c r="Y327" s="1332"/>
      <c r="Z327" s="1332"/>
      <c r="AA327" s="1332"/>
      <c r="AB327" s="1332"/>
    </row>
    <row r="328">
      <c r="A328" s="1332"/>
      <c r="B328" s="1366"/>
      <c r="C328" s="1366"/>
      <c r="D328" s="1375"/>
      <c r="E328" s="1332"/>
      <c r="F328" s="1332"/>
      <c r="G328" s="1378"/>
      <c r="H328" s="1378"/>
      <c r="I328" s="1332"/>
      <c r="J328" s="1332"/>
      <c r="K328" s="1332"/>
      <c r="L328" s="1332"/>
      <c r="M328" s="1332"/>
      <c r="N328" s="1332"/>
      <c r="O328" s="1332"/>
      <c r="P328" s="1332"/>
      <c r="Q328" s="1332"/>
      <c r="R328" s="1332"/>
      <c r="S328" s="1332"/>
      <c r="T328" s="1332"/>
      <c r="U328" s="1332"/>
      <c r="V328" s="1332"/>
      <c r="W328" s="1332"/>
      <c r="X328" s="1332"/>
      <c r="Y328" s="1332"/>
      <c r="Z328" s="1332"/>
      <c r="AA328" s="1332"/>
      <c r="AB328" s="1332"/>
    </row>
    <row r="329">
      <c r="A329" s="1332"/>
      <c r="B329" s="1366"/>
      <c r="C329" s="1366"/>
      <c r="D329" s="1375"/>
      <c r="E329" s="1332"/>
      <c r="F329" s="1332"/>
      <c r="G329" s="1378"/>
      <c r="H329" s="1378"/>
      <c r="I329" s="1332"/>
      <c r="J329" s="1332"/>
      <c r="K329" s="1332"/>
      <c r="L329" s="1332"/>
      <c r="M329" s="1332"/>
      <c r="N329" s="1332"/>
      <c r="O329" s="1332"/>
      <c r="P329" s="1332"/>
      <c r="Q329" s="1332"/>
      <c r="R329" s="1332"/>
      <c r="S329" s="1332"/>
      <c r="T329" s="1332"/>
      <c r="U329" s="1332"/>
      <c r="V329" s="1332"/>
      <c r="W329" s="1332"/>
      <c r="X329" s="1332"/>
      <c r="Y329" s="1332"/>
      <c r="Z329" s="1332"/>
      <c r="AA329" s="1332"/>
      <c r="AB329" s="1332"/>
    </row>
    <row r="330">
      <c r="A330" s="1332"/>
      <c r="B330" s="1366"/>
      <c r="C330" s="1366"/>
      <c r="D330" s="1375"/>
      <c r="E330" s="1332"/>
      <c r="F330" s="1332"/>
      <c r="G330" s="1378"/>
      <c r="H330" s="1378"/>
      <c r="I330" s="1332"/>
      <c r="J330" s="1332"/>
      <c r="K330" s="1332"/>
      <c r="L330" s="1332"/>
      <c r="M330" s="1332"/>
      <c r="N330" s="1332"/>
      <c r="O330" s="1332"/>
      <c r="P330" s="1332"/>
      <c r="Q330" s="1332"/>
      <c r="R330" s="1332"/>
      <c r="S330" s="1332"/>
      <c r="T330" s="1332"/>
      <c r="U330" s="1332"/>
      <c r="V330" s="1332"/>
      <c r="W330" s="1332"/>
      <c r="X330" s="1332"/>
      <c r="Y330" s="1332"/>
      <c r="Z330" s="1332"/>
      <c r="AA330" s="1332"/>
      <c r="AB330" s="1332"/>
    </row>
    <row r="331">
      <c r="A331" s="1332"/>
      <c r="B331" s="1366"/>
      <c r="C331" s="1366"/>
      <c r="D331" s="1375"/>
      <c r="E331" s="1332"/>
      <c r="F331" s="1332"/>
      <c r="G331" s="1378"/>
      <c r="H331" s="1378"/>
      <c r="I331" s="1332"/>
      <c r="J331" s="1332"/>
      <c r="K331" s="1332"/>
      <c r="L331" s="1332"/>
      <c r="M331" s="1332"/>
      <c r="N331" s="1332"/>
      <c r="O331" s="1332"/>
      <c r="P331" s="1332"/>
      <c r="Q331" s="1332"/>
      <c r="R331" s="1332"/>
      <c r="S331" s="1332"/>
      <c r="T331" s="1332"/>
      <c r="U331" s="1332"/>
      <c r="V331" s="1332"/>
      <c r="W331" s="1332"/>
      <c r="X331" s="1332"/>
      <c r="Y331" s="1332"/>
      <c r="Z331" s="1332"/>
      <c r="AA331" s="1332"/>
      <c r="AB331" s="1332"/>
    </row>
    <row r="332">
      <c r="A332" s="1332"/>
      <c r="B332" s="1366"/>
      <c r="C332" s="1366"/>
      <c r="D332" s="1375"/>
      <c r="E332" s="1332"/>
      <c r="F332" s="1332"/>
      <c r="G332" s="1378"/>
      <c r="H332" s="1378"/>
      <c r="I332" s="1332"/>
      <c r="J332" s="1332"/>
      <c r="K332" s="1332"/>
      <c r="L332" s="1332"/>
      <c r="M332" s="1332"/>
      <c r="N332" s="1332"/>
      <c r="O332" s="1332"/>
      <c r="P332" s="1332"/>
      <c r="Q332" s="1332"/>
      <c r="R332" s="1332"/>
      <c r="S332" s="1332"/>
      <c r="T332" s="1332"/>
      <c r="U332" s="1332"/>
      <c r="V332" s="1332"/>
      <c r="W332" s="1332"/>
      <c r="X332" s="1332"/>
      <c r="Y332" s="1332"/>
      <c r="Z332" s="1332"/>
      <c r="AA332" s="1332"/>
      <c r="AB332" s="1332"/>
    </row>
    <row r="333">
      <c r="A333" s="1332"/>
      <c r="B333" s="1366"/>
      <c r="C333" s="1366"/>
      <c r="D333" s="1375"/>
      <c r="E333" s="1332"/>
      <c r="F333" s="1332"/>
      <c r="G333" s="1378"/>
      <c r="H333" s="1378"/>
      <c r="I333" s="1332"/>
      <c r="J333" s="1332"/>
      <c r="K333" s="1332"/>
      <c r="L333" s="1332"/>
      <c r="M333" s="1332"/>
      <c r="N333" s="1332"/>
      <c r="O333" s="1332"/>
      <c r="P333" s="1332"/>
      <c r="Q333" s="1332"/>
      <c r="R333" s="1332"/>
      <c r="S333" s="1332"/>
      <c r="T333" s="1332"/>
      <c r="U333" s="1332"/>
      <c r="V333" s="1332"/>
      <c r="W333" s="1332"/>
      <c r="X333" s="1332"/>
      <c r="Y333" s="1332"/>
      <c r="Z333" s="1332"/>
      <c r="AA333" s="1332"/>
      <c r="AB333" s="1332"/>
    </row>
    <row r="334">
      <c r="A334" s="1332"/>
      <c r="B334" s="1366"/>
      <c r="C334" s="1366"/>
      <c r="D334" s="1375"/>
      <c r="E334" s="1332"/>
      <c r="F334" s="1332"/>
      <c r="G334" s="1378"/>
      <c r="H334" s="1378"/>
      <c r="I334" s="1332"/>
      <c r="J334" s="1332"/>
      <c r="K334" s="1332"/>
      <c r="L334" s="1332"/>
      <c r="M334" s="1332"/>
      <c r="N334" s="1332"/>
      <c r="O334" s="1332"/>
      <c r="P334" s="1332"/>
      <c r="Q334" s="1332"/>
      <c r="R334" s="1332"/>
      <c r="S334" s="1332"/>
      <c r="T334" s="1332"/>
      <c r="U334" s="1332"/>
      <c r="V334" s="1332"/>
      <c r="W334" s="1332"/>
      <c r="X334" s="1332"/>
      <c r="Y334" s="1332"/>
      <c r="Z334" s="1332"/>
      <c r="AA334" s="1332"/>
      <c r="AB334" s="1332"/>
    </row>
    <row r="335">
      <c r="A335" s="1332"/>
      <c r="B335" s="1366"/>
      <c r="C335" s="1366"/>
      <c r="D335" s="1375"/>
      <c r="E335" s="1332"/>
      <c r="F335" s="1332"/>
      <c r="G335" s="1378"/>
      <c r="H335" s="1378"/>
      <c r="I335" s="1332"/>
      <c r="J335" s="1332"/>
      <c r="K335" s="1332"/>
      <c r="L335" s="1332"/>
      <c r="M335" s="1332"/>
      <c r="N335" s="1332"/>
      <c r="O335" s="1332"/>
      <c r="P335" s="1332"/>
      <c r="Q335" s="1332"/>
      <c r="R335" s="1332"/>
      <c r="S335" s="1332"/>
      <c r="T335" s="1332"/>
      <c r="U335" s="1332"/>
      <c r="V335" s="1332"/>
      <c r="W335" s="1332"/>
      <c r="X335" s="1332"/>
      <c r="Y335" s="1332"/>
      <c r="Z335" s="1332"/>
      <c r="AA335" s="1332"/>
      <c r="AB335" s="1332"/>
    </row>
    <row r="336">
      <c r="A336" s="1332"/>
      <c r="B336" s="1366"/>
      <c r="C336" s="1366"/>
      <c r="D336" s="1375"/>
      <c r="E336" s="1332"/>
      <c r="F336" s="1332"/>
      <c r="G336" s="1378"/>
      <c r="H336" s="1378"/>
      <c r="I336" s="1332"/>
      <c r="J336" s="1332"/>
      <c r="K336" s="1332"/>
      <c r="L336" s="1332"/>
      <c r="M336" s="1332"/>
      <c r="N336" s="1332"/>
      <c r="O336" s="1332"/>
      <c r="P336" s="1332"/>
      <c r="Q336" s="1332"/>
      <c r="R336" s="1332"/>
      <c r="S336" s="1332"/>
      <c r="T336" s="1332"/>
      <c r="U336" s="1332"/>
      <c r="V336" s="1332"/>
      <c r="W336" s="1332"/>
      <c r="X336" s="1332"/>
      <c r="Y336" s="1332"/>
      <c r="Z336" s="1332"/>
      <c r="AA336" s="1332"/>
      <c r="AB336" s="1332"/>
    </row>
    <row r="337">
      <c r="A337" s="1332"/>
      <c r="B337" s="1366"/>
      <c r="C337" s="1366"/>
      <c r="D337" s="1375"/>
      <c r="E337" s="1332"/>
      <c r="F337" s="1332"/>
      <c r="G337" s="1378"/>
      <c r="H337" s="1378"/>
      <c r="I337" s="1332"/>
      <c r="J337" s="1332"/>
      <c r="K337" s="1332"/>
      <c r="L337" s="1332"/>
      <c r="M337" s="1332"/>
      <c r="N337" s="1332"/>
      <c r="O337" s="1332"/>
      <c r="P337" s="1332"/>
      <c r="Q337" s="1332"/>
      <c r="R337" s="1332"/>
      <c r="S337" s="1332"/>
      <c r="T337" s="1332"/>
      <c r="U337" s="1332"/>
      <c r="V337" s="1332"/>
      <c r="W337" s="1332"/>
      <c r="X337" s="1332"/>
      <c r="Y337" s="1332"/>
      <c r="Z337" s="1332"/>
      <c r="AA337" s="1332"/>
      <c r="AB337" s="1332"/>
    </row>
    <row r="338">
      <c r="A338" s="1332"/>
      <c r="B338" s="1366"/>
      <c r="C338" s="1366"/>
      <c r="D338" s="1375"/>
      <c r="E338" s="1332"/>
      <c r="F338" s="1332"/>
      <c r="G338" s="1378"/>
      <c r="H338" s="1378"/>
      <c r="I338" s="1332"/>
      <c r="J338" s="1332"/>
      <c r="K338" s="1332"/>
      <c r="L338" s="1332"/>
      <c r="M338" s="1332"/>
      <c r="N338" s="1332"/>
      <c r="O338" s="1332"/>
      <c r="P338" s="1332"/>
      <c r="Q338" s="1332"/>
      <c r="R338" s="1332"/>
      <c r="S338" s="1332"/>
      <c r="T338" s="1332"/>
      <c r="U338" s="1332"/>
      <c r="V338" s="1332"/>
      <c r="W338" s="1332"/>
      <c r="X338" s="1332"/>
      <c r="Y338" s="1332"/>
      <c r="Z338" s="1332"/>
      <c r="AA338" s="1332"/>
      <c r="AB338" s="1332"/>
    </row>
    <row r="339">
      <c r="A339" s="1332"/>
      <c r="B339" s="1366"/>
      <c r="C339" s="1366"/>
      <c r="D339" s="1375"/>
      <c r="E339" s="1332"/>
      <c r="F339" s="1332"/>
      <c r="G339" s="1378"/>
      <c r="H339" s="1378"/>
      <c r="I339" s="1332"/>
      <c r="J339" s="1332"/>
      <c r="K339" s="1332"/>
      <c r="L339" s="1332"/>
      <c r="M339" s="1332"/>
      <c r="N339" s="1332"/>
      <c r="O339" s="1332"/>
      <c r="P339" s="1332"/>
      <c r="Q339" s="1332"/>
      <c r="R339" s="1332"/>
      <c r="S339" s="1332"/>
      <c r="T339" s="1332"/>
      <c r="U339" s="1332"/>
      <c r="V339" s="1332"/>
      <c r="W339" s="1332"/>
      <c r="X339" s="1332"/>
      <c r="Y339" s="1332"/>
      <c r="Z339" s="1332"/>
      <c r="AA339" s="1332"/>
      <c r="AB339" s="1332"/>
    </row>
    <row r="340">
      <c r="A340" s="1332"/>
      <c r="B340" s="1366"/>
      <c r="C340" s="1366"/>
      <c r="D340" s="1375"/>
      <c r="E340" s="1332"/>
      <c r="F340" s="1332"/>
      <c r="G340" s="1378"/>
      <c r="H340" s="1378"/>
      <c r="I340" s="1332"/>
      <c r="J340" s="1332"/>
      <c r="K340" s="1332"/>
      <c r="L340" s="1332"/>
      <c r="M340" s="1332"/>
      <c r="N340" s="1332"/>
      <c r="O340" s="1332"/>
      <c r="P340" s="1332"/>
      <c r="Q340" s="1332"/>
      <c r="R340" s="1332"/>
      <c r="S340" s="1332"/>
      <c r="T340" s="1332"/>
      <c r="U340" s="1332"/>
      <c r="V340" s="1332"/>
      <c r="W340" s="1332"/>
      <c r="X340" s="1332"/>
      <c r="Y340" s="1332"/>
      <c r="Z340" s="1332"/>
      <c r="AA340" s="1332"/>
      <c r="AB340" s="1332"/>
    </row>
    <row r="341">
      <c r="A341" s="1332"/>
      <c r="B341" s="1366"/>
      <c r="C341" s="1366"/>
      <c r="D341" s="1375"/>
      <c r="E341" s="1332"/>
      <c r="F341" s="1332"/>
      <c r="G341" s="1378"/>
      <c r="H341" s="1378"/>
      <c r="I341" s="1332"/>
      <c r="J341" s="1332"/>
      <c r="K341" s="1332"/>
      <c r="L341" s="1332"/>
      <c r="M341" s="1332"/>
      <c r="N341" s="1332"/>
      <c r="O341" s="1332"/>
      <c r="P341" s="1332"/>
      <c r="Q341" s="1332"/>
      <c r="R341" s="1332"/>
      <c r="S341" s="1332"/>
      <c r="T341" s="1332"/>
      <c r="U341" s="1332"/>
      <c r="V341" s="1332"/>
      <c r="W341" s="1332"/>
      <c r="X341" s="1332"/>
      <c r="Y341" s="1332"/>
      <c r="Z341" s="1332"/>
      <c r="AA341" s="1332"/>
      <c r="AB341" s="1332"/>
    </row>
    <row r="342">
      <c r="A342" s="1332"/>
      <c r="B342" s="1366"/>
      <c r="C342" s="1366"/>
      <c r="D342" s="1375"/>
      <c r="E342" s="1332"/>
      <c r="F342" s="1332"/>
      <c r="G342" s="1378"/>
      <c r="H342" s="1378"/>
      <c r="I342" s="1332"/>
      <c r="J342" s="1332"/>
      <c r="K342" s="1332"/>
      <c r="L342" s="1332"/>
      <c r="M342" s="1332"/>
      <c r="N342" s="1332"/>
      <c r="O342" s="1332"/>
      <c r="P342" s="1332"/>
      <c r="Q342" s="1332"/>
      <c r="R342" s="1332"/>
      <c r="S342" s="1332"/>
      <c r="T342" s="1332"/>
      <c r="U342" s="1332"/>
      <c r="V342" s="1332"/>
      <c r="W342" s="1332"/>
      <c r="X342" s="1332"/>
      <c r="Y342" s="1332"/>
      <c r="Z342" s="1332"/>
      <c r="AA342" s="1332"/>
      <c r="AB342" s="1332"/>
    </row>
    <row r="343">
      <c r="A343" s="1332"/>
      <c r="B343" s="1366"/>
      <c r="C343" s="1366"/>
      <c r="D343" s="1375"/>
      <c r="E343" s="1332"/>
      <c r="F343" s="1332"/>
      <c r="G343" s="1378"/>
      <c r="H343" s="1378"/>
      <c r="I343" s="1332"/>
      <c r="J343" s="1332"/>
      <c r="K343" s="1332"/>
      <c r="L343" s="1332"/>
      <c r="M343" s="1332"/>
      <c r="N343" s="1332"/>
      <c r="O343" s="1332"/>
      <c r="P343" s="1332"/>
      <c r="Q343" s="1332"/>
      <c r="R343" s="1332"/>
      <c r="S343" s="1332"/>
      <c r="T343" s="1332"/>
      <c r="U343" s="1332"/>
      <c r="V343" s="1332"/>
      <c r="W343" s="1332"/>
      <c r="X343" s="1332"/>
      <c r="Y343" s="1332"/>
      <c r="Z343" s="1332"/>
      <c r="AA343" s="1332"/>
      <c r="AB343" s="1332"/>
    </row>
    <row r="344">
      <c r="A344" s="1332"/>
      <c r="B344" s="1366"/>
      <c r="C344" s="1366"/>
      <c r="D344" s="1375"/>
      <c r="E344" s="1332"/>
      <c r="F344" s="1332"/>
      <c r="G344" s="1378"/>
      <c r="H344" s="1378"/>
      <c r="I344" s="1332"/>
      <c r="J344" s="1332"/>
      <c r="K344" s="1332"/>
      <c r="L344" s="1332"/>
      <c r="M344" s="1332"/>
      <c r="N344" s="1332"/>
      <c r="O344" s="1332"/>
      <c r="P344" s="1332"/>
      <c r="Q344" s="1332"/>
      <c r="R344" s="1332"/>
      <c r="S344" s="1332"/>
      <c r="T344" s="1332"/>
      <c r="U344" s="1332"/>
      <c r="V344" s="1332"/>
      <c r="W344" s="1332"/>
      <c r="X344" s="1332"/>
      <c r="Y344" s="1332"/>
      <c r="Z344" s="1332"/>
      <c r="AA344" s="1332"/>
      <c r="AB344" s="1332"/>
    </row>
    <row r="345">
      <c r="A345" s="1332"/>
      <c r="B345" s="1366"/>
      <c r="C345" s="1366"/>
      <c r="D345" s="1375"/>
      <c r="E345" s="1332"/>
      <c r="F345" s="1332"/>
      <c r="G345" s="1378"/>
      <c r="H345" s="1378"/>
      <c r="I345" s="1332"/>
      <c r="J345" s="1332"/>
      <c r="K345" s="1332"/>
      <c r="L345" s="1332"/>
      <c r="M345" s="1332"/>
      <c r="N345" s="1332"/>
      <c r="O345" s="1332"/>
      <c r="P345" s="1332"/>
      <c r="Q345" s="1332"/>
      <c r="R345" s="1332"/>
      <c r="S345" s="1332"/>
      <c r="T345" s="1332"/>
      <c r="U345" s="1332"/>
      <c r="V345" s="1332"/>
      <c r="W345" s="1332"/>
      <c r="X345" s="1332"/>
      <c r="Y345" s="1332"/>
      <c r="Z345" s="1332"/>
      <c r="AA345" s="1332"/>
      <c r="AB345" s="1332"/>
    </row>
    <row r="346">
      <c r="A346" s="1332"/>
      <c r="B346" s="1366"/>
      <c r="C346" s="1366"/>
      <c r="D346" s="1375"/>
      <c r="E346" s="1332"/>
      <c r="F346" s="1332"/>
      <c r="G346" s="1378"/>
      <c r="H346" s="1378"/>
      <c r="I346" s="1332"/>
      <c r="J346" s="1332"/>
      <c r="K346" s="1332"/>
      <c r="L346" s="1332"/>
      <c r="M346" s="1332"/>
      <c r="N346" s="1332"/>
      <c r="O346" s="1332"/>
      <c r="P346" s="1332"/>
      <c r="Q346" s="1332"/>
      <c r="R346" s="1332"/>
      <c r="S346" s="1332"/>
      <c r="T346" s="1332"/>
      <c r="U346" s="1332"/>
      <c r="V346" s="1332"/>
      <c r="W346" s="1332"/>
      <c r="X346" s="1332"/>
      <c r="Y346" s="1332"/>
      <c r="Z346" s="1332"/>
      <c r="AA346" s="1332"/>
      <c r="AB346" s="1332"/>
    </row>
    <row r="347">
      <c r="A347" s="1332"/>
      <c r="B347" s="1366"/>
      <c r="C347" s="1366"/>
      <c r="D347" s="1375"/>
      <c r="E347" s="1332"/>
      <c r="F347" s="1332"/>
      <c r="G347" s="1378"/>
      <c r="H347" s="1378"/>
      <c r="I347" s="1332"/>
      <c r="J347" s="1332"/>
      <c r="K347" s="1332"/>
      <c r="L347" s="1332"/>
      <c r="M347" s="1332"/>
      <c r="N347" s="1332"/>
      <c r="O347" s="1332"/>
      <c r="P347" s="1332"/>
      <c r="Q347" s="1332"/>
      <c r="R347" s="1332"/>
      <c r="S347" s="1332"/>
      <c r="T347" s="1332"/>
      <c r="U347" s="1332"/>
      <c r="V347" s="1332"/>
      <c r="W347" s="1332"/>
      <c r="X347" s="1332"/>
      <c r="Y347" s="1332"/>
      <c r="Z347" s="1332"/>
      <c r="AA347" s="1332"/>
      <c r="AB347" s="1332"/>
    </row>
    <row r="348">
      <c r="A348" s="1332"/>
      <c r="B348" s="1366"/>
      <c r="C348" s="1366"/>
      <c r="D348" s="1375"/>
      <c r="E348" s="1332"/>
      <c r="F348" s="1332"/>
      <c r="G348" s="1378"/>
      <c r="H348" s="1378"/>
      <c r="I348" s="1332"/>
      <c r="J348" s="1332"/>
      <c r="K348" s="1332"/>
      <c r="L348" s="1332"/>
      <c r="M348" s="1332"/>
      <c r="N348" s="1332"/>
      <c r="O348" s="1332"/>
      <c r="P348" s="1332"/>
      <c r="Q348" s="1332"/>
      <c r="R348" s="1332"/>
      <c r="S348" s="1332"/>
      <c r="T348" s="1332"/>
      <c r="U348" s="1332"/>
      <c r="V348" s="1332"/>
      <c r="W348" s="1332"/>
      <c r="X348" s="1332"/>
      <c r="Y348" s="1332"/>
      <c r="Z348" s="1332"/>
      <c r="AA348" s="1332"/>
      <c r="AB348" s="1332"/>
    </row>
    <row r="349">
      <c r="A349" s="1332"/>
      <c r="B349" s="1366"/>
      <c r="C349" s="1366"/>
      <c r="D349" s="1375"/>
      <c r="E349" s="1332"/>
      <c r="F349" s="1332"/>
      <c r="G349" s="1378"/>
      <c r="H349" s="1378"/>
      <c r="I349" s="1332"/>
      <c r="J349" s="1332"/>
      <c r="K349" s="1332"/>
      <c r="L349" s="1332"/>
      <c r="M349" s="1332"/>
      <c r="N349" s="1332"/>
      <c r="O349" s="1332"/>
      <c r="P349" s="1332"/>
      <c r="Q349" s="1332"/>
      <c r="R349" s="1332"/>
      <c r="S349" s="1332"/>
      <c r="T349" s="1332"/>
      <c r="U349" s="1332"/>
      <c r="V349" s="1332"/>
      <c r="W349" s="1332"/>
      <c r="X349" s="1332"/>
      <c r="Y349" s="1332"/>
      <c r="Z349" s="1332"/>
      <c r="AA349" s="1332"/>
      <c r="AB349" s="1332"/>
    </row>
    <row r="350">
      <c r="A350" s="1332"/>
      <c r="B350" s="1366"/>
      <c r="C350" s="1366"/>
      <c r="D350" s="1375"/>
      <c r="E350" s="1332"/>
      <c r="F350" s="1332"/>
      <c r="G350" s="1378"/>
      <c r="H350" s="1378"/>
      <c r="I350" s="1332"/>
      <c r="J350" s="1332"/>
      <c r="K350" s="1332"/>
      <c r="L350" s="1332"/>
      <c r="M350" s="1332"/>
      <c r="N350" s="1332"/>
      <c r="O350" s="1332"/>
      <c r="P350" s="1332"/>
      <c r="Q350" s="1332"/>
      <c r="R350" s="1332"/>
      <c r="S350" s="1332"/>
      <c r="T350" s="1332"/>
      <c r="U350" s="1332"/>
      <c r="V350" s="1332"/>
      <c r="W350" s="1332"/>
      <c r="X350" s="1332"/>
      <c r="Y350" s="1332"/>
      <c r="Z350" s="1332"/>
      <c r="AA350" s="1332"/>
      <c r="AB350" s="1332"/>
    </row>
    <row r="351">
      <c r="A351" s="1332"/>
      <c r="B351" s="1366"/>
      <c r="C351" s="1366"/>
      <c r="D351" s="1375"/>
      <c r="E351" s="1332"/>
      <c r="F351" s="1332"/>
      <c r="G351" s="1378"/>
      <c r="H351" s="1378"/>
      <c r="I351" s="1332"/>
      <c r="J351" s="1332"/>
      <c r="K351" s="1332"/>
      <c r="L351" s="1332"/>
      <c r="M351" s="1332"/>
      <c r="N351" s="1332"/>
      <c r="O351" s="1332"/>
      <c r="P351" s="1332"/>
      <c r="Q351" s="1332"/>
      <c r="R351" s="1332"/>
      <c r="S351" s="1332"/>
      <c r="T351" s="1332"/>
      <c r="U351" s="1332"/>
      <c r="V351" s="1332"/>
      <c r="W351" s="1332"/>
      <c r="X351" s="1332"/>
      <c r="Y351" s="1332"/>
      <c r="Z351" s="1332"/>
      <c r="AA351" s="1332"/>
      <c r="AB351" s="1332"/>
    </row>
    <row r="352">
      <c r="A352" s="1332"/>
      <c r="B352" s="1366"/>
      <c r="C352" s="1366"/>
      <c r="D352" s="1375"/>
      <c r="E352" s="1332"/>
      <c r="F352" s="1332"/>
      <c r="G352" s="1378"/>
      <c r="H352" s="1378"/>
      <c r="I352" s="1332"/>
      <c r="J352" s="1332"/>
      <c r="K352" s="1332"/>
      <c r="L352" s="1332"/>
      <c r="M352" s="1332"/>
      <c r="N352" s="1332"/>
      <c r="O352" s="1332"/>
      <c r="P352" s="1332"/>
      <c r="Q352" s="1332"/>
      <c r="R352" s="1332"/>
      <c r="S352" s="1332"/>
      <c r="T352" s="1332"/>
      <c r="U352" s="1332"/>
      <c r="V352" s="1332"/>
      <c r="W352" s="1332"/>
      <c r="X352" s="1332"/>
      <c r="Y352" s="1332"/>
      <c r="Z352" s="1332"/>
      <c r="AA352" s="1332"/>
      <c r="AB352" s="1332"/>
    </row>
    <row r="353">
      <c r="A353" s="1332"/>
      <c r="B353" s="1366"/>
      <c r="C353" s="1366"/>
      <c r="D353" s="1375"/>
      <c r="E353" s="1332"/>
      <c r="F353" s="1332"/>
      <c r="G353" s="1378"/>
      <c r="H353" s="1378"/>
      <c r="I353" s="1332"/>
      <c r="J353" s="1332"/>
      <c r="K353" s="1332"/>
      <c r="L353" s="1332"/>
      <c r="M353" s="1332"/>
      <c r="N353" s="1332"/>
      <c r="O353" s="1332"/>
      <c r="P353" s="1332"/>
      <c r="Q353" s="1332"/>
      <c r="R353" s="1332"/>
      <c r="S353" s="1332"/>
      <c r="T353" s="1332"/>
      <c r="U353" s="1332"/>
      <c r="V353" s="1332"/>
      <c r="W353" s="1332"/>
      <c r="X353" s="1332"/>
      <c r="Y353" s="1332"/>
      <c r="Z353" s="1332"/>
      <c r="AA353" s="1332"/>
      <c r="AB353" s="1332"/>
    </row>
    <row r="354">
      <c r="A354" s="1332"/>
      <c r="B354" s="1366"/>
      <c r="C354" s="1366"/>
      <c r="D354" s="1375"/>
      <c r="E354" s="1332"/>
      <c r="F354" s="1332"/>
      <c r="G354" s="1378"/>
      <c r="H354" s="1378"/>
      <c r="I354" s="1332"/>
      <c r="J354" s="1332"/>
      <c r="K354" s="1332"/>
      <c r="L354" s="1332"/>
      <c r="M354" s="1332"/>
      <c r="N354" s="1332"/>
      <c r="O354" s="1332"/>
      <c r="P354" s="1332"/>
      <c r="Q354" s="1332"/>
      <c r="R354" s="1332"/>
      <c r="S354" s="1332"/>
      <c r="T354" s="1332"/>
      <c r="U354" s="1332"/>
      <c r="V354" s="1332"/>
      <c r="W354" s="1332"/>
      <c r="X354" s="1332"/>
      <c r="Y354" s="1332"/>
      <c r="Z354" s="1332"/>
      <c r="AA354" s="1332"/>
      <c r="AB354" s="1332"/>
    </row>
    <row r="355">
      <c r="A355" s="1332"/>
      <c r="B355" s="1366"/>
      <c r="C355" s="1366"/>
      <c r="D355" s="1375"/>
      <c r="E355" s="1332"/>
      <c r="F355" s="1332"/>
      <c r="G355" s="1378"/>
      <c r="H355" s="1378"/>
      <c r="I355" s="1332"/>
      <c r="J355" s="1332"/>
      <c r="K355" s="1332"/>
      <c r="L355" s="1332"/>
      <c r="M355" s="1332"/>
      <c r="N355" s="1332"/>
      <c r="O355" s="1332"/>
      <c r="P355" s="1332"/>
      <c r="Q355" s="1332"/>
      <c r="R355" s="1332"/>
      <c r="S355" s="1332"/>
      <c r="T355" s="1332"/>
      <c r="U355" s="1332"/>
      <c r="V355" s="1332"/>
      <c r="W355" s="1332"/>
      <c r="X355" s="1332"/>
      <c r="Y355" s="1332"/>
      <c r="Z355" s="1332"/>
      <c r="AA355" s="1332"/>
      <c r="AB355" s="1332"/>
    </row>
    <row r="356">
      <c r="A356" s="1332"/>
      <c r="B356" s="1366"/>
      <c r="C356" s="1366"/>
      <c r="D356" s="1375"/>
      <c r="E356" s="1332"/>
      <c r="F356" s="1332"/>
      <c r="G356" s="1378"/>
      <c r="H356" s="1378"/>
      <c r="I356" s="1332"/>
      <c r="J356" s="1332"/>
      <c r="K356" s="1332"/>
      <c r="L356" s="1332"/>
      <c r="M356" s="1332"/>
      <c r="N356" s="1332"/>
      <c r="O356" s="1332"/>
      <c r="P356" s="1332"/>
      <c r="Q356" s="1332"/>
      <c r="R356" s="1332"/>
      <c r="S356" s="1332"/>
      <c r="T356" s="1332"/>
      <c r="U356" s="1332"/>
      <c r="V356" s="1332"/>
      <c r="W356" s="1332"/>
      <c r="X356" s="1332"/>
      <c r="Y356" s="1332"/>
      <c r="Z356" s="1332"/>
      <c r="AA356" s="1332"/>
      <c r="AB356" s="1332"/>
    </row>
    <row r="357">
      <c r="A357" s="1332"/>
      <c r="B357" s="1366"/>
      <c r="C357" s="1366"/>
      <c r="D357" s="1375"/>
      <c r="E357" s="1332"/>
      <c r="F357" s="1332"/>
      <c r="G357" s="1378"/>
      <c r="H357" s="1378"/>
      <c r="I357" s="1332"/>
      <c r="J357" s="1332"/>
      <c r="K357" s="1332"/>
      <c r="L357" s="1332"/>
      <c r="M357" s="1332"/>
      <c r="N357" s="1332"/>
      <c r="O357" s="1332"/>
      <c r="P357" s="1332"/>
      <c r="Q357" s="1332"/>
      <c r="R357" s="1332"/>
      <c r="S357" s="1332"/>
      <c r="T357" s="1332"/>
      <c r="U357" s="1332"/>
      <c r="V357" s="1332"/>
      <c r="W357" s="1332"/>
      <c r="X357" s="1332"/>
      <c r="Y357" s="1332"/>
      <c r="Z357" s="1332"/>
      <c r="AA357" s="1332"/>
      <c r="AB357" s="1332"/>
    </row>
    <row r="358">
      <c r="A358" s="1332"/>
      <c r="B358" s="1366"/>
      <c r="C358" s="1366"/>
      <c r="D358" s="1375"/>
      <c r="E358" s="1332"/>
      <c r="F358" s="1332"/>
      <c r="G358" s="1378"/>
      <c r="H358" s="1378"/>
      <c r="I358" s="1332"/>
      <c r="J358" s="1332"/>
      <c r="K358" s="1332"/>
      <c r="L358" s="1332"/>
      <c r="M358" s="1332"/>
      <c r="N358" s="1332"/>
      <c r="O358" s="1332"/>
      <c r="P358" s="1332"/>
      <c r="Q358" s="1332"/>
      <c r="R358" s="1332"/>
      <c r="S358" s="1332"/>
      <c r="T358" s="1332"/>
      <c r="U358" s="1332"/>
      <c r="V358" s="1332"/>
      <c r="W358" s="1332"/>
      <c r="X358" s="1332"/>
      <c r="Y358" s="1332"/>
      <c r="Z358" s="1332"/>
      <c r="AA358" s="1332"/>
      <c r="AB358" s="1332"/>
    </row>
    <row r="359">
      <c r="A359" s="1332"/>
      <c r="B359" s="1366"/>
      <c r="C359" s="1366"/>
      <c r="D359" s="1375"/>
      <c r="E359" s="1332"/>
      <c r="F359" s="1332"/>
      <c r="G359" s="1378"/>
      <c r="H359" s="1378"/>
      <c r="I359" s="1332"/>
      <c r="J359" s="1332"/>
      <c r="K359" s="1332"/>
      <c r="L359" s="1332"/>
      <c r="M359" s="1332"/>
      <c r="N359" s="1332"/>
      <c r="O359" s="1332"/>
      <c r="P359" s="1332"/>
      <c r="Q359" s="1332"/>
      <c r="R359" s="1332"/>
      <c r="S359" s="1332"/>
      <c r="T359" s="1332"/>
      <c r="U359" s="1332"/>
      <c r="V359" s="1332"/>
      <c r="W359" s="1332"/>
      <c r="X359" s="1332"/>
      <c r="Y359" s="1332"/>
      <c r="Z359" s="1332"/>
      <c r="AA359" s="1332"/>
      <c r="AB359" s="1332"/>
    </row>
    <row r="360">
      <c r="A360" s="1332"/>
      <c r="B360" s="1366"/>
      <c r="C360" s="1366"/>
      <c r="D360" s="1375"/>
      <c r="E360" s="1332"/>
      <c r="F360" s="1332"/>
      <c r="G360" s="1378"/>
      <c r="H360" s="1378"/>
      <c r="I360" s="1332"/>
      <c r="J360" s="1332"/>
      <c r="K360" s="1332"/>
      <c r="L360" s="1332"/>
      <c r="M360" s="1332"/>
      <c r="N360" s="1332"/>
      <c r="O360" s="1332"/>
      <c r="P360" s="1332"/>
      <c r="Q360" s="1332"/>
      <c r="R360" s="1332"/>
      <c r="S360" s="1332"/>
      <c r="T360" s="1332"/>
      <c r="U360" s="1332"/>
      <c r="V360" s="1332"/>
      <c r="W360" s="1332"/>
      <c r="X360" s="1332"/>
      <c r="Y360" s="1332"/>
      <c r="Z360" s="1332"/>
      <c r="AA360" s="1332"/>
      <c r="AB360" s="1332"/>
    </row>
    <row r="361">
      <c r="A361" s="1332"/>
      <c r="B361" s="1366"/>
      <c r="C361" s="1366"/>
      <c r="D361" s="1375"/>
      <c r="E361" s="1332"/>
      <c r="F361" s="1332"/>
      <c r="G361" s="1378"/>
      <c r="H361" s="1378"/>
      <c r="I361" s="1332"/>
      <c r="J361" s="1332"/>
      <c r="K361" s="1332"/>
      <c r="L361" s="1332"/>
      <c r="M361" s="1332"/>
      <c r="N361" s="1332"/>
      <c r="O361" s="1332"/>
      <c r="P361" s="1332"/>
      <c r="Q361" s="1332"/>
      <c r="R361" s="1332"/>
      <c r="S361" s="1332"/>
      <c r="T361" s="1332"/>
      <c r="U361" s="1332"/>
      <c r="V361" s="1332"/>
      <c r="W361" s="1332"/>
      <c r="X361" s="1332"/>
      <c r="Y361" s="1332"/>
      <c r="Z361" s="1332"/>
      <c r="AA361" s="1332"/>
      <c r="AB361" s="1332"/>
    </row>
    <row r="362">
      <c r="A362" s="1332"/>
      <c r="B362" s="1366"/>
      <c r="C362" s="1366"/>
      <c r="D362" s="1375"/>
      <c r="E362" s="1332"/>
      <c r="F362" s="1332"/>
      <c r="G362" s="1378"/>
      <c r="H362" s="1378"/>
      <c r="I362" s="1332"/>
      <c r="J362" s="1332"/>
      <c r="K362" s="1332"/>
      <c r="L362" s="1332"/>
      <c r="M362" s="1332"/>
      <c r="N362" s="1332"/>
      <c r="O362" s="1332"/>
      <c r="P362" s="1332"/>
      <c r="Q362" s="1332"/>
      <c r="R362" s="1332"/>
      <c r="S362" s="1332"/>
      <c r="T362" s="1332"/>
      <c r="U362" s="1332"/>
      <c r="V362" s="1332"/>
      <c r="W362" s="1332"/>
      <c r="X362" s="1332"/>
      <c r="Y362" s="1332"/>
      <c r="Z362" s="1332"/>
      <c r="AA362" s="1332"/>
      <c r="AB362" s="1332"/>
    </row>
    <row r="363">
      <c r="A363" s="1332"/>
      <c r="B363" s="1366"/>
      <c r="C363" s="1366"/>
      <c r="D363" s="1375"/>
      <c r="E363" s="1332"/>
      <c r="F363" s="1332"/>
      <c r="G363" s="1378"/>
      <c r="H363" s="1378"/>
      <c r="I363" s="1332"/>
      <c r="J363" s="1332"/>
      <c r="K363" s="1332"/>
      <c r="L363" s="1332"/>
      <c r="M363" s="1332"/>
      <c r="N363" s="1332"/>
      <c r="O363" s="1332"/>
      <c r="P363" s="1332"/>
      <c r="Q363" s="1332"/>
      <c r="R363" s="1332"/>
      <c r="S363" s="1332"/>
      <c r="T363" s="1332"/>
      <c r="U363" s="1332"/>
      <c r="V363" s="1332"/>
      <c r="W363" s="1332"/>
      <c r="X363" s="1332"/>
      <c r="Y363" s="1332"/>
      <c r="Z363" s="1332"/>
      <c r="AA363" s="1332"/>
      <c r="AB363" s="1332"/>
    </row>
    <row r="364">
      <c r="A364" s="1332"/>
      <c r="B364" s="1366"/>
      <c r="C364" s="1366"/>
      <c r="D364" s="1375"/>
      <c r="E364" s="1332"/>
      <c r="F364" s="1332"/>
      <c r="G364" s="1378"/>
      <c r="H364" s="1378"/>
      <c r="I364" s="1332"/>
      <c r="J364" s="1332"/>
      <c r="K364" s="1332"/>
      <c r="L364" s="1332"/>
      <c r="M364" s="1332"/>
      <c r="N364" s="1332"/>
      <c r="O364" s="1332"/>
      <c r="P364" s="1332"/>
      <c r="Q364" s="1332"/>
      <c r="R364" s="1332"/>
      <c r="S364" s="1332"/>
      <c r="T364" s="1332"/>
      <c r="U364" s="1332"/>
      <c r="V364" s="1332"/>
      <c r="W364" s="1332"/>
      <c r="X364" s="1332"/>
      <c r="Y364" s="1332"/>
      <c r="Z364" s="1332"/>
      <c r="AA364" s="1332"/>
      <c r="AB364" s="1332"/>
    </row>
    <row r="365">
      <c r="A365" s="1332"/>
      <c r="B365" s="1366"/>
      <c r="C365" s="1366"/>
      <c r="D365" s="1375"/>
      <c r="E365" s="1332"/>
      <c r="F365" s="1332"/>
      <c r="G365" s="1378"/>
      <c r="H365" s="1378"/>
      <c r="I365" s="1332"/>
      <c r="J365" s="1332"/>
      <c r="K365" s="1332"/>
      <c r="L365" s="1332"/>
      <c r="M365" s="1332"/>
      <c r="N365" s="1332"/>
      <c r="O365" s="1332"/>
      <c r="P365" s="1332"/>
      <c r="Q365" s="1332"/>
      <c r="R365" s="1332"/>
      <c r="S365" s="1332"/>
      <c r="T365" s="1332"/>
      <c r="U365" s="1332"/>
      <c r="V365" s="1332"/>
      <c r="W365" s="1332"/>
      <c r="X365" s="1332"/>
      <c r="Y365" s="1332"/>
      <c r="Z365" s="1332"/>
      <c r="AA365" s="1332"/>
      <c r="AB365" s="1332"/>
    </row>
    <row r="366">
      <c r="A366" s="1332"/>
      <c r="B366" s="1366"/>
      <c r="C366" s="1366"/>
      <c r="D366" s="1375"/>
      <c r="E366" s="1332"/>
      <c r="F366" s="1332"/>
      <c r="G366" s="1378"/>
      <c r="H366" s="1378"/>
      <c r="I366" s="1332"/>
      <c r="J366" s="1332"/>
      <c r="K366" s="1332"/>
      <c r="L366" s="1332"/>
      <c r="M366" s="1332"/>
      <c r="N366" s="1332"/>
      <c r="O366" s="1332"/>
      <c r="P366" s="1332"/>
      <c r="Q366" s="1332"/>
      <c r="R366" s="1332"/>
      <c r="S366" s="1332"/>
      <c r="T366" s="1332"/>
      <c r="U366" s="1332"/>
      <c r="V366" s="1332"/>
      <c r="W366" s="1332"/>
      <c r="X366" s="1332"/>
      <c r="Y366" s="1332"/>
      <c r="Z366" s="1332"/>
      <c r="AA366" s="1332"/>
      <c r="AB366" s="1332"/>
    </row>
    <row r="367">
      <c r="A367" s="1332"/>
      <c r="B367" s="1366"/>
      <c r="C367" s="1366"/>
      <c r="D367" s="1375"/>
      <c r="E367" s="1332"/>
      <c r="F367" s="1332"/>
      <c r="G367" s="1378"/>
      <c r="H367" s="1378"/>
      <c r="I367" s="1332"/>
      <c r="J367" s="1332"/>
      <c r="K367" s="1332"/>
      <c r="L367" s="1332"/>
      <c r="M367" s="1332"/>
      <c r="N367" s="1332"/>
      <c r="O367" s="1332"/>
      <c r="P367" s="1332"/>
      <c r="Q367" s="1332"/>
      <c r="R367" s="1332"/>
      <c r="S367" s="1332"/>
      <c r="T367" s="1332"/>
      <c r="U367" s="1332"/>
      <c r="V367" s="1332"/>
      <c r="W367" s="1332"/>
      <c r="X367" s="1332"/>
      <c r="Y367" s="1332"/>
      <c r="Z367" s="1332"/>
      <c r="AA367" s="1332"/>
      <c r="AB367" s="1332"/>
    </row>
    <row r="368">
      <c r="A368" s="1332"/>
      <c r="B368" s="1366"/>
      <c r="C368" s="1366"/>
      <c r="D368" s="1375"/>
      <c r="E368" s="1332"/>
      <c r="F368" s="1332"/>
      <c r="G368" s="1378"/>
      <c r="H368" s="1378"/>
      <c r="I368" s="1332"/>
      <c r="J368" s="1332"/>
      <c r="K368" s="1332"/>
      <c r="L368" s="1332"/>
      <c r="M368" s="1332"/>
      <c r="N368" s="1332"/>
      <c r="O368" s="1332"/>
      <c r="P368" s="1332"/>
      <c r="Q368" s="1332"/>
      <c r="R368" s="1332"/>
      <c r="S368" s="1332"/>
      <c r="T368" s="1332"/>
      <c r="U368" s="1332"/>
      <c r="V368" s="1332"/>
      <c r="W368" s="1332"/>
      <c r="X368" s="1332"/>
      <c r="Y368" s="1332"/>
      <c r="Z368" s="1332"/>
      <c r="AA368" s="1332"/>
      <c r="AB368" s="1332"/>
    </row>
    <row r="369">
      <c r="A369" s="1332"/>
      <c r="B369" s="1366"/>
      <c r="C369" s="1366"/>
      <c r="D369" s="1375"/>
      <c r="E369" s="1332"/>
      <c r="F369" s="1332"/>
      <c r="G369" s="1378"/>
      <c r="H369" s="1378"/>
      <c r="I369" s="1332"/>
      <c r="J369" s="1332"/>
      <c r="K369" s="1332"/>
      <c r="L369" s="1332"/>
      <c r="M369" s="1332"/>
      <c r="N369" s="1332"/>
      <c r="O369" s="1332"/>
      <c r="P369" s="1332"/>
      <c r="Q369" s="1332"/>
      <c r="R369" s="1332"/>
      <c r="S369" s="1332"/>
      <c r="T369" s="1332"/>
      <c r="U369" s="1332"/>
      <c r="V369" s="1332"/>
      <c r="W369" s="1332"/>
      <c r="X369" s="1332"/>
      <c r="Y369" s="1332"/>
      <c r="Z369" s="1332"/>
      <c r="AA369" s="1332"/>
      <c r="AB369" s="1332"/>
    </row>
    <row r="370">
      <c r="A370" s="1332"/>
      <c r="B370" s="1366"/>
      <c r="C370" s="1366"/>
      <c r="D370" s="1375"/>
      <c r="E370" s="1332"/>
      <c r="F370" s="1332"/>
      <c r="G370" s="1378"/>
      <c r="H370" s="1378"/>
      <c r="I370" s="1332"/>
      <c r="J370" s="1332"/>
      <c r="K370" s="1332"/>
      <c r="L370" s="1332"/>
      <c r="M370" s="1332"/>
      <c r="N370" s="1332"/>
      <c r="O370" s="1332"/>
      <c r="P370" s="1332"/>
      <c r="Q370" s="1332"/>
      <c r="R370" s="1332"/>
      <c r="S370" s="1332"/>
      <c r="T370" s="1332"/>
      <c r="U370" s="1332"/>
      <c r="V370" s="1332"/>
      <c r="W370" s="1332"/>
      <c r="X370" s="1332"/>
      <c r="Y370" s="1332"/>
      <c r="Z370" s="1332"/>
      <c r="AA370" s="1332"/>
      <c r="AB370" s="1332"/>
    </row>
    <row r="371">
      <c r="A371" s="1332"/>
      <c r="B371" s="1366"/>
      <c r="C371" s="1366"/>
      <c r="D371" s="1375"/>
      <c r="E371" s="1332"/>
      <c r="F371" s="1332"/>
      <c r="G371" s="1378"/>
      <c r="H371" s="1378"/>
      <c r="I371" s="1332"/>
      <c r="J371" s="1332"/>
      <c r="K371" s="1332"/>
      <c r="L371" s="1332"/>
      <c r="M371" s="1332"/>
      <c r="N371" s="1332"/>
      <c r="O371" s="1332"/>
      <c r="P371" s="1332"/>
      <c r="Q371" s="1332"/>
      <c r="R371" s="1332"/>
      <c r="S371" s="1332"/>
      <c r="T371" s="1332"/>
      <c r="U371" s="1332"/>
      <c r="V371" s="1332"/>
      <c r="W371" s="1332"/>
      <c r="X371" s="1332"/>
      <c r="Y371" s="1332"/>
      <c r="Z371" s="1332"/>
      <c r="AA371" s="1332"/>
      <c r="AB371" s="1332"/>
    </row>
    <row r="372">
      <c r="A372" s="1332"/>
      <c r="B372" s="1366"/>
      <c r="C372" s="1366"/>
      <c r="D372" s="1375"/>
      <c r="E372" s="1332"/>
      <c r="F372" s="1332"/>
      <c r="G372" s="1378"/>
      <c r="H372" s="1378"/>
      <c r="I372" s="1332"/>
      <c r="J372" s="1332"/>
      <c r="K372" s="1332"/>
      <c r="L372" s="1332"/>
      <c r="M372" s="1332"/>
      <c r="N372" s="1332"/>
      <c r="O372" s="1332"/>
      <c r="P372" s="1332"/>
      <c r="Q372" s="1332"/>
      <c r="R372" s="1332"/>
      <c r="S372" s="1332"/>
      <c r="T372" s="1332"/>
      <c r="U372" s="1332"/>
      <c r="V372" s="1332"/>
      <c r="W372" s="1332"/>
      <c r="X372" s="1332"/>
      <c r="Y372" s="1332"/>
      <c r="Z372" s="1332"/>
      <c r="AA372" s="1332"/>
      <c r="AB372" s="1332"/>
    </row>
    <row r="373">
      <c r="A373" s="1332"/>
      <c r="B373" s="1366"/>
      <c r="C373" s="1366"/>
      <c r="D373" s="1375"/>
      <c r="E373" s="1332"/>
      <c r="F373" s="1332"/>
      <c r="G373" s="1378"/>
      <c r="H373" s="1378"/>
      <c r="I373" s="1332"/>
      <c r="J373" s="1332"/>
      <c r="K373" s="1332"/>
      <c r="L373" s="1332"/>
      <c r="M373" s="1332"/>
      <c r="N373" s="1332"/>
      <c r="O373" s="1332"/>
      <c r="P373" s="1332"/>
      <c r="Q373" s="1332"/>
      <c r="R373" s="1332"/>
      <c r="S373" s="1332"/>
      <c r="T373" s="1332"/>
      <c r="U373" s="1332"/>
      <c r="V373" s="1332"/>
      <c r="W373" s="1332"/>
      <c r="X373" s="1332"/>
      <c r="Y373" s="1332"/>
      <c r="Z373" s="1332"/>
      <c r="AA373" s="1332"/>
      <c r="AB373" s="1332"/>
    </row>
    <row r="374">
      <c r="A374" s="1332"/>
      <c r="B374" s="1366"/>
      <c r="C374" s="1366"/>
      <c r="D374" s="1375"/>
      <c r="E374" s="1332"/>
      <c r="F374" s="1332"/>
      <c r="G374" s="1378"/>
      <c r="H374" s="1378"/>
      <c r="I374" s="1332"/>
      <c r="J374" s="1332"/>
      <c r="K374" s="1332"/>
      <c r="L374" s="1332"/>
      <c r="M374" s="1332"/>
      <c r="N374" s="1332"/>
      <c r="O374" s="1332"/>
      <c r="P374" s="1332"/>
      <c r="Q374" s="1332"/>
      <c r="R374" s="1332"/>
      <c r="S374" s="1332"/>
      <c r="T374" s="1332"/>
      <c r="U374" s="1332"/>
      <c r="V374" s="1332"/>
      <c r="W374" s="1332"/>
      <c r="X374" s="1332"/>
      <c r="Y374" s="1332"/>
      <c r="Z374" s="1332"/>
      <c r="AA374" s="1332"/>
      <c r="AB374" s="1332"/>
    </row>
    <row r="375">
      <c r="A375" s="1332"/>
      <c r="B375" s="1366"/>
      <c r="C375" s="1366"/>
      <c r="D375" s="1375"/>
      <c r="E375" s="1332"/>
      <c r="F375" s="1332"/>
      <c r="G375" s="1378"/>
      <c r="H375" s="1378"/>
      <c r="I375" s="1332"/>
      <c r="J375" s="1332"/>
      <c r="K375" s="1332"/>
      <c r="L375" s="1332"/>
      <c r="M375" s="1332"/>
      <c r="N375" s="1332"/>
      <c r="O375" s="1332"/>
      <c r="P375" s="1332"/>
      <c r="Q375" s="1332"/>
      <c r="R375" s="1332"/>
      <c r="S375" s="1332"/>
      <c r="T375" s="1332"/>
      <c r="U375" s="1332"/>
      <c r="V375" s="1332"/>
      <c r="W375" s="1332"/>
      <c r="X375" s="1332"/>
      <c r="Y375" s="1332"/>
      <c r="Z375" s="1332"/>
      <c r="AA375" s="1332"/>
      <c r="AB375" s="1332"/>
    </row>
    <row r="376">
      <c r="A376" s="1332"/>
      <c r="B376" s="1366"/>
      <c r="C376" s="1366"/>
      <c r="D376" s="1375"/>
      <c r="E376" s="1332"/>
      <c r="F376" s="1332"/>
      <c r="G376" s="1378"/>
      <c r="H376" s="1378"/>
      <c r="I376" s="1332"/>
      <c r="J376" s="1332"/>
      <c r="K376" s="1332"/>
      <c r="L376" s="1332"/>
      <c r="M376" s="1332"/>
      <c r="N376" s="1332"/>
      <c r="O376" s="1332"/>
      <c r="P376" s="1332"/>
      <c r="Q376" s="1332"/>
      <c r="R376" s="1332"/>
      <c r="S376" s="1332"/>
      <c r="T376" s="1332"/>
      <c r="U376" s="1332"/>
      <c r="V376" s="1332"/>
      <c r="W376" s="1332"/>
      <c r="X376" s="1332"/>
      <c r="Y376" s="1332"/>
      <c r="Z376" s="1332"/>
      <c r="AA376" s="1332"/>
      <c r="AB376" s="1332"/>
    </row>
    <row r="377">
      <c r="A377" s="1332"/>
      <c r="B377" s="1366"/>
      <c r="C377" s="1366"/>
      <c r="D377" s="1375"/>
      <c r="E377" s="1332"/>
      <c r="F377" s="1332"/>
      <c r="G377" s="1378"/>
      <c r="H377" s="1378"/>
      <c r="I377" s="1332"/>
      <c r="J377" s="1332"/>
      <c r="K377" s="1332"/>
      <c r="L377" s="1332"/>
      <c r="M377" s="1332"/>
      <c r="N377" s="1332"/>
      <c r="O377" s="1332"/>
      <c r="P377" s="1332"/>
      <c r="Q377" s="1332"/>
      <c r="R377" s="1332"/>
      <c r="S377" s="1332"/>
      <c r="T377" s="1332"/>
      <c r="U377" s="1332"/>
      <c r="V377" s="1332"/>
      <c r="W377" s="1332"/>
      <c r="X377" s="1332"/>
      <c r="Y377" s="1332"/>
      <c r="Z377" s="1332"/>
      <c r="AA377" s="1332"/>
      <c r="AB377" s="1332"/>
    </row>
    <row r="378">
      <c r="A378" s="1332"/>
      <c r="B378" s="1366"/>
      <c r="C378" s="1366"/>
      <c r="D378" s="1375"/>
      <c r="E378" s="1332"/>
      <c r="F378" s="1332"/>
      <c r="G378" s="1378"/>
      <c r="H378" s="1378"/>
      <c r="I378" s="1332"/>
      <c r="J378" s="1332"/>
      <c r="K378" s="1332"/>
      <c r="L378" s="1332"/>
      <c r="M378" s="1332"/>
      <c r="N378" s="1332"/>
      <c r="O378" s="1332"/>
      <c r="P378" s="1332"/>
      <c r="Q378" s="1332"/>
      <c r="R378" s="1332"/>
      <c r="S378" s="1332"/>
      <c r="T378" s="1332"/>
      <c r="U378" s="1332"/>
      <c r="V378" s="1332"/>
      <c r="W378" s="1332"/>
      <c r="X378" s="1332"/>
      <c r="Y378" s="1332"/>
      <c r="Z378" s="1332"/>
      <c r="AA378" s="1332"/>
      <c r="AB378" s="1332"/>
    </row>
    <row r="379">
      <c r="A379" s="1332"/>
      <c r="B379" s="1366"/>
      <c r="C379" s="1366"/>
      <c r="D379" s="1375"/>
      <c r="E379" s="1332"/>
      <c r="F379" s="1332"/>
      <c r="G379" s="1378"/>
      <c r="H379" s="1378"/>
      <c r="I379" s="1332"/>
      <c r="J379" s="1332"/>
      <c r="K379" s="1332"/>
      <c r="L379" s="1332"/>
      <c r="M379" s="1332"/>
      <c r="N379" s="1332"/>
      <c r="O379" s="1332"/>
      <c r="P379" s="1332"/>
      <c r="Q379" s="1332"/>
      <c r="R379" s="1332"/>
      <c r="S379" s="1332"/>
      <c r="T379" s="1332"/>
      <c r="U379" s="1332"/>
      <c r="V379" s="1332"/>
      <c r="W379" s="1332"/>
      <c r="X379" s="1332"/>
      <c r="Y379" s="1332"/>
      <c r="Z379" s="1332"/>
      <c r="AA379" s="1332"/>
      <c r="AB379" s="1332"/>
    </row>
    <row r="380">
      <c r="A380" s="1332"/>
      <c r="B380" s="1366"/>
      <c r="C380" s="1366"/>
      <c r="D380" s="1375"/>
      <c r="E380" s="1332"/>
      <c r="F380" s="1332"/>
      <c r="G380" s="1378"/>
      <c r="H380" s="1378"/>
      <c r="I380" s="1332"/>
      <c r="J380" s="1332"/>
      <c r="K380" s="1332"/>
      <c r="L380" s="1332"/>
      <c r="M380" s="1332"/>
      <c r="N380" s="1332"/>
      <c r="O380" s="1332"/>
      <c r="P380" s="1332"/>
      <c r="Q380" s="1332"/>
      <c r="R380" s="1332"/>
      <c r="S380" s="1332"/>
      <c r="T380" s="1332"/>
      <c r="U380" s="1332"/>
      <c r="V380" s="1332"/>
      <c r="W380" s="1332"/>
      <c r="X380" s="1332"/>
      <c r="Y380" s="1332"/>
      <c r="Z380" s="1332"/>
      <c r="AA380" s="1332"/>
      <c r="AB380" s="1332"/>
    </row>
    <row r="381">
      <c r="A381" s="1332"/>
      <c r="B381" s="1366"/>
      <c r="C381" s="1366"/>
      <c r="D381" s="1375"/>
      <c r="E381" s="1332"/>
      <c r="F381" s="1332"/>
      <c r="G381" s="1378"/>
      <c r="H381" s="1378"/>
      <c r="I381" s="1332"/>
      <c r="J381" s="1332"/>
      <c r="K381" s="1332"/>
      <c r="L381" s="1332"/>
      <c r="M381" s="1332"/>
      <c r="N381" s="1332"/>
      <c r="O381" s="1332"/>
      <c r="P381" s="1332"/>
      <c r="Q381" s="1332"/>
      <c r="R381" s="1332"/>
      <c r="S381" s="1332"/>
      <c r="T381" s="1332"/>
      <c r="U381" s="1332"/>
      <c r="V381" s="1332"/>
      <c r="W381" s="1332"/>
      <c r="X381" s="1332"/>
      <c r="Y381" s="1332"/>
      <c r="Z381" s="1332"/>
      <c r="AA381" s="1332"/>
      <c r="AB381" s="1332"/>
    </row>
    <row r="382">
      <c r="A382" s="1332"/>
      <c r="B382" s="1366"/>
      <c r="C382" s="1366"/>
      <c r="D382" s="1375"/>
      <c r="E382" s="1332"/>
      <c r="F382" s="1332"/>
      <c r="G382" s="1378"/>
      <c r="H382" s="1378"/>
      <c r="I382" s="1332"/>
      <c r="J382" s="1332"/>
      <c r="K382" s="1332"/>
      <c r="L382" s="1332"/>
      <c r="M382" s="1332"/>
      <c r="N382" s="1332"/>
      <c r="O382" s="1332"/>
      <c r="P382" s="1332"/>
      <c r="Q382" s="1332"/>
      <c r="R382" s="1332"/>
      <c r="S382" s="1332"/>
      <c r="T382" s="1332"/>
      <c r="U382" s="1332"/>
      <c r="V382" s="1332"/>
      <c r="W382" s="1332"/>
      <c r="X382" s="1332"/>
      <c r="Y382" s="1332"/>
      <c r="Z382" s="1332"/>
      <c r="AA382" s="1332"/>
      <c r="AB382" s="1332"/>
    </row>
    <row r="383">
      <c r="A383" s="1332"/>
      <c r="B383" s="1366"/>
      <c r="C383" s="1366"/>
      <c r="D383" s="1375"/>
      <c r="E383" s="1332"/>
      <c r="F383" s="1332"/>
      <c r="G383" s="1378"/>
      <c r="H383" s="1378"/>
      <c r="I383" s="1332"/>
      <c r="J383" s="1332"/>
      <c r="K383" s="1332"/>
      <c r="L383" s="1332"/>
      <c r="M383" s="1332"/>
      <c r="N383" s="1332"/>
      <c r="O383" s="1332"/>
      <c r="P383" s="1332"/>
      <c r="Q383" s="1332"/>
      <c r="R383" s="1332"/>
      <c r="S383" s="1332"/>
      <c r="T383" s="1332"/>
      <c r="U383" s="1332"/>
      <c r="V383" s="1332"/>
      <c r="W383" s="1332"/>
      <c r="X383" s="1332"/>
      <c r="Y383" s="1332"/>
      <c r="Z383" s="1332"/>
      <c r="AA383" s="1332"/>
      <c r="AB383" s="1332"/>
    </row>
    <row r="384">
      <c r="A384" s="1332"/>
      <c r="B384" s="1366"/>
      <c r="C384" s="1366"/>
      <c r="D384" s="1375"/>
      <c r="E384" s="1332"/>
      <c r="F384" s="1332"/>
      <c r="G384" s="1378"/>
      <c r="H384" s="1378"/>
      <c r="I384" s="1332"/>
      <c r="J384" s="1332"/>
      <c r="K384" s="1332"/>
      <c r="L384" s="1332"/>
      <c r="M384" s="1332"/>
      <c r="N384" s="1332"/>
      <c r="O384" s="1332"/>
      <c r="P384" s="1332"/>
      <c r="Q384" s="1332"/>
      <c r="R384" s="1332"/>
      <c r="S384" s="1332"/>
      <c r="T384" s="1332"/>
      <c r="U384" s="1332"/>
      <c r="V384" s="1332"/>
      <c r="W384" s="1332"/>
      <c r="X384" s="1332"/>
      <c r="Y384" s="1332"/>
      <c r="Z384" s="1332"/>
      <c r="AA384" s="1332"/>
      <c r="AB384" s="1332"/>
    </row>
    <row r="385">
      <c r="A385" s="1332"/>
      <c r="B385" s="1366"/>
      <c r="C385" s="1366"/>
      <c r="D385" s="1375"/>
      <c r="E385" s="1332"/>
      <c r="F385" s="1332"/>
      <c r="G385" s="1378"/>
      <c r="H385" s="1378"/>
      <c r="I385" s="1332"/>
      <c r="J385" s="1332"/>
      <c r="K385" s="1332"/>
      <c r="L385" s="1332"/>
      <c r="M385" s="1332"/>
      <c r="N385" s="1332"/>
      <c r="O385" s="1332"/>
      <c r="P385" s="1332"/>
      <c r="Q385" s="1332"/>
      <c r="R385" s="1332"/>
      <c r="S385" s="1332"/>
      <c r="T385" s="1332"/>
      <c r="U385" s="1332"/>
      <c r="V385" s="1332"/>
      <c r="W385" s="1332"/>
      <c r="X385" s="1332"/>
      <c r="Y385" s="1332"/>
      <c r="Z385" s="1332"/>
      <c r="AA385" s="1332"/>
      <c r="AB385" s="1332"/>
    </row>
    <row r="386">
      <c r="A386" s="1332"/>
      <c r="B386" s="1366"/>
      <c r="C386" s="1366"/>
      <c r="D386" s="1375"/>
      <c r="E386" s="1332"/>
      <c r="F386" s="1332"/>
      <c r="G386" s="1378"/>
      <c r="H386" s="1378"/>
      <c r="I386" s="1332"/>
      <c r="J386" s="1332"/>
      <c r="K386" s="1332"/>
      <c r="L386" s="1332"/>
      <c r="M386" s="1332"/>
      <c r="N386" s="1332"/>
      <c r="O386" s="1332"/>
      <c r="P386" s="1332"/>
      <c r="Q386" s="1332"/>
      <c r="R386" s="1332"/>
      <c r="S386" s="1332"/>
      <c r="T386" s="1332"/>
      <c r="U386" s="1332"/>
      <c r="V386" s="1332"/>
      <c r="W386" s="1332"/>
      <c r="X386" s="1332"/>
      <c r="Y386" s="1332"/>
      <c r="Z386" s="1332"/>
      <c r="AA386" s="1332"/>
      <c r="AB386" s="1332"/>
    </row>
    <row r="387">
      <c r="A387" s="1332"/>
      <c r="B387" s="1366"/>
      <c r="C387" s="1366"/>
      <c r="D387" s="1375"/>
      <c r="E387" s="1332"/>
      <c r="F387" s="1332"/>
      <c r="G387" s="1378"/>
      <c r="H387" s="1378"/>
      <c r="I387" s="1332"/>
      <c r="J387" s="1332"/>
      <c r="K387" s="1332"/>
      <c r="L387" s="1332"/>
      <c r="M387" s="1332"/>
      <c r="N387" s="1332"/>
      <c r="O387" s="1332"/>
      <c r="P387" s="1332"/>
      <c r="Q387" s="1332"/>
      <c r="R387" s="1332"/>
      <c r="S387" s="1332"/>
      <c r="T387" s="1332"/>
      <c r="U387" s="1332"/>
      <c r="V387" s="1332"/>
      <c r="W387" s="1332"/>
      <c r="X387" s="1332"/>
      <c r="Y387" s="1332"/>
      <c r="Z387" s="1332"/>
      <c r="AA387" s="1332"/>
      <c r="AB387" s="1332"/>
    </row>
    <row r="388">
      <c r="A388" s="1332"/>
      <c r="B388" s="1366"/>
      <c r="C388" s="1366"/>
      <c r="D388" s="1375"/>
      <c r="E388" s="1332"/>
      <c r="F388" s="1332"/>
      <c r="G388" s="1378"/>
      <c r="H388" s="1378"/>
      <c r="I388" s="1332"/>
      <c r="J388" s="1332"/>
      <c r="K388" s="1332"/>
      <c r="L388" s="1332"/>
      <c r="M388" s="1332"/>
      <c r="N388" s="1332"/>
      <c r="O388" s="1332"/>
      <c r="P388" s="1332"/>
      <c r="Q388" s="1332"/>
      <c r="R388" s="1332"/>
      <c r="S388" s="1332"/>
      <c r="T388" s="1332"/>
      <c r="U388" s="1332"/>
      <c r="V388" s="1332"/>
      <c r="W388" s="1332"/>
      <c r="X388" s="1332"/>
      <c r="Y388" s="1332"/>
      <c r="Z388" s="1332"/>
      <c r="AA388" s="1332"/>
      <c r="AB388" s="1332"/>
    </row>
    <row r="389">
      <c r="A389" s="1332"/>
      <c r="B389" s="1366"/>
      <c r="C389" s="1366"/>
      <c r="D389" s="1375"/>
      <c r="E389" s="1332"/>
      <c r="F389" s="1332"/>
      <c r="G389" s="1378"/>
      <c r="H389" s="1378"/>
      <c r="I389" s="1332"/>
      <c r="J389" s="1332"/>
      <c r="K389" s="1332"/>
      <c r="L389" s="1332"/>
      <c r="M389" s="1332"/>
      <c r="N389" s="1332"/>
      <c r="O389" s="1332"/>
      <c r="P389" s="1332"/>
      <c r="Q389" s="1332"/>
      <c r="R389" s="1332"/>
      <c r="S389" s="1332"/>
      <c r="T389" s="1332"/>
      <c r="U389" s="1332"/>
      <c r="V389" s="1332"/>
      <c r="W389" s="1332"/>
      <c r="X389" s="1332"/>
      <c r="Y389" s="1332"/>
      <c r="Z389" s="1332"/>
      <c r="AA389" s="1332"/>
      <c r="AB389" s="1332"/>
    </row>
    <row r="390">
      <c r="A390" s="1332"/>
      <c r="B390" s="1366"/>
      <c r="C390" s="1366"/>
      <c r="D390" s="1375"/>
      <c r="E390" s="1332"/>
      <c r="F390" s="1332"/>
      <c r="G390" s="1378"/>
      <c r="H390" s="1378"/>
      <c r="I390" s="1332"/>
      <c r="J390" s="1332"/>
      <c r="K390" s="1332"/>
      <c r="L390" s="1332"/>
      <c r="M390" s="1332"/>
      <c r="N390" s="1332"/>
      <c r="O390" s="1332"/>
      <c r="P390" s="1332"/>
      <c r="Q390" s="1332"/>
      <c r="R390" s="1332"/>
      <c r="S390" s="1332"/>
      <c r="T390" s="1332"/>
      <c r="U390" s="1332"/>
      <c r="V390" s="1332"/>
      <c r="W390" s="1332"/>
      <c r="X390" s="1332"/>
      <c r="Y390" s="1332"/>
      <c r="Z390" s="1332"/>
      <c r="AA390" s="1332"/>
      <c r="AB390" s="1332"/>
    </row>
    <row r="391">
      <c r="A391" s="1332"/>
      <c r="B391" s="1366"/>
      <c r="C391" s="1366"/>
      <c r="D391" s="1375"/>
      <c r="E391" s="1332"/>
      <c r="F391" s="1332"/>
      <c r="G391" s="1378"/>
      <c r="H391" s="1378"/>
      <c r="I391" s="1332"/>
      <c r="J391" s="1332"/>
      <c r="K391" s="1332"/>
      <c r="L391" s="1332"/>
      <c r="M391" s="1332"/>
      <c r="N391" s="1332"/>
      <c r="O391" s="1332"/>
      <c r="P391" s="1332"/>
      <c r="Q391" s="1332"/>
      <c r="R391" s="1332"/>
      <c r="S391" s="1332"/>
      <c r="T391" s="1332"/>
      <c r="U391" s="1332"/>
      <c r="V391" s="1332"/>
      <c r="W391" s="1332"/>
      <c r="X391" s="1332"/>
      <c r="Y391" s="1332"/>
      <c r="Z391" s="1332"/>
      <c r="AA391" s="1332"/>
      <c r="AB391" s="1332"/>
    </row>
    <row r="392">
      <c r="A392" s="1332"/>
      <c r="B392" s="1366"/>
      <c r="C392" s="1366"/>
      <c r="D392" s="1375"/>
      <c r="E392" s="1332"/>
      <c r="F392" s="1332"/>
      <c r="G392" s="1378"/>
      <c r="H392" s="1378"/>
      <c r="I392" s="1332"/>
      <c r="J392" s="1332"/>
      <c r="K392" s="1332"/>
      <c r="L392" s="1332"/>
      <c r="M392" s="1332"/>
      <c r="N392" s="1332"/>
      <c r="O392" s="1332"/>
      <c r="P392" s="1332"/>
      <c r="Q392" s="1332"/>
      <c r="R392" s="1332"/>
      <c r="S392" s="1332"/>
      <c r="T392" s="1332"/>
      <c r="U392" s="1332"/>
      <c r="V392" s="1332"/>
      <c r="W392" s="1332"/>
      <c r="X392" s="1332"/>
      <c r="Y392" s="1332"/>
      <c r="Z392" s="1332"/>
      <c r="AA392" s="1332"/>
      <c r="AB392" s="1332"/>
    </row>
    <row r="393">
      <c r="A393" s="1332"/>
      <c r="B393" s="1366"/>
      <c r="C393" s="1366"/>
      <c r="D393" s="1375"/>
      <c r="E393" s="1332"/>
      <c r="F393" s="1332"/>
      <c r="G393" s="1378"/>
      <c r="H393" s="1378"/>
      <c r="I393" s="1332"/>
      <c r="J393" s="1332"/>
      <c r="K393" s="1332"/>
      <c r="L393" s="1332"/>
      <c r="M393" s="1332"/>
      <c r="N393" s="1332"/>
      <c r="O393" s="1332"/>
      <c r="P393" s="1332"/>
      <c r="Q393" s="1332"/>
      <c r="R393" s="1332"/>
      <c r="S393" s="1332"/>
      <c r="T393" s="1332"/>
      <c r="U393" s="1332"/>
      <c r="V393" s="1332"/>
      <c r="W393" s="1332"/>
      <c r="X393" s="1332"/>
      <c r="Y393" s="1332"/>
      <c r="Z393" s="1332"/>
      <c r="AA393" s="1332"/>
      <c r="AB393" s="1332"/>
    </row>
    <row r="394">
      <c r="A394" s="1332"/>
      <c r="B394" s="1366"/>
      <c r="C394" s="1366"/>
      <c r="D394" s="1375"/>
      <c r="E394" s="1332"/>
      <c r="F394" s="1332"/>
      <c r="G394" s="1378"/>
      <c r="H394" s="1378"/>
      <c r="I394" s="1332"/>
      <c r="J394" s="1332"/>
      <c r="K394" s="1332"/>
      <c r="L394" s="1332"/>
      <c r="M394" s="1332"/>
      <c r="N394" s="1332"/>
      <c r="O394" s="1332"/>
      <c r="P394" s="1332"/>
      <c r="Q394" s="1332"/>
      <c r="R394" s="1332"/>
      <c r="S394" s="1332"/>
      <c r="T394" s="1332"/>
      <c r="U394" s="1332"/>
      <c r="V394" s="1332"/>
      <c r="W394" s="1332"/>
      <c r="X394" s="1332"/>
      <c r="Y394" s="1332"/>
      <c r="Z394" s="1332"/>
      <c r="AA394" s="1332"/>
      <c r="AB394" s="1332"/>
    </row>
    <row r="395">
      <c r="A395" s="1332"/>
      <c r="B395" s="1366"/>
      <c r="C395" s="1366"/>
      <c r="D395" s="1375"/>
      <c r="E395" s="1332"/>
      <c r="F395" s="1332"/>
      <c r="G395" s="1378"/>
      <c r="H395" s="1378"/>
      <c r="I395" s="1332"/>
      <c r="J395" s="1332"/>
      <c r="K395" s="1332"/>
      <c r="L395" s="1332"/>
      <c r="M395" s="1332"/>
      <c r="N395" s="1332"/>
      <c r="O395" s="1332"/>
      <c r="P395" s="1332"/>
      <c r="Q395" s="1332"/>
      <c r="R395" s="1332"/>
      <c r="S395" s="1332"/>
      <c r="T395" s="1332"/>
      <c r="U395" s="1332"/>
      <c r="V395" s="1332"/>
      <c r="W395" s="1332"/>
      <c r="X395" s="1332"/>
      <c r="Y395" s="1332"/>
      <c r="Z395" s="1332"/>
      <c r="AA395" s="1332"/>
      <c r="AB395" s="1332"/>
    </row>
    <row r="396">
      <c r="A396" s="1332"/>
      <c r="B396" s="1366"/>
      <c r="C396" s="1366"/>
      <c r="D396" s="1375"/>
      <c r="E396" s="1332"/>
      <c r="F396" s="1332"/>
      <c r="G396" s="1378"/>
      <c r="H396" s="1378"/>
      <c r="I396" s="1332"/>
      <c r="J396" s="1332"/>
      <c r="K396" s="1332"/>
      <c r="L396" s="1332"/>
      <c r="M396" s="1332"/>
      <c r="N396" s="1332"/>
      <c r="O396" s="1332"/>
      <c r="P396" s="1332"/>
      <c r="Q396" s="1332"/>
      <c r="R396" s="1332"/>
      <c r="S396" s="1332"/>
      <c r="T396" s="1332"/>
      <c r="U396" s="1332"/>
      <c r="V396" s="1332"/>
      <c r="W396" s="1332"/>
      <c r="X396" s="1332"/>
      <c r="Y396" s="1332"/>
      <c r="Z396" s="1332"/>
      <c r="AA396" s="1332"/>
      <c r="AB396" s="1332"/>
    </row>
    <row r="397">
      <c r="A397" s="1332"/>
      <c r="B397" s="1366"/>
      <c r="C397" s="1366"/>
      <c r="D397" s="1375"/>
      <c r="E397" s="1332"/>
      <c r="F397" s="1332"/>
      <c r="G397" s="1378"/>
      <c r="H397" s="1378"/>
      <c r="I397" s="1332"/>
      <c r="J397" s="1332"/>
      <c r="K397" s="1332"/>
      <c r="L397" s="1332"/>
      <c r="M397" s="1332"/>
      <c r="N397" s="1332"/>
      <c r="O397" s="1332"/>
      <c r="P397" s="1332"/>
      <c r="Q397" s="1332"/>
      <c r="R397" s="1332"/>
      <c r="S397" s="1332"/>
      <c r="T397" s="1332"/>
      <c r="U397" s="1332"/>
      <c r="V397" s="1332"/>
      <c r="W397" s="1332"/>
      <c r="X397" s="1332"/>
      <c r="Y397" s="1332"/>
      <c r="Z397" s="1332"/>
      <c r="AA397" s="1332"/>
      <c r="AB397" s="1332"/>
    </row>
    <row r="398">
      <c r="A398" s="1332"/>
      <c r="B398" s="1366"/>
      <c r="C398" s="1366"/>
      <c r="D398" s="1375"/>
      <c r="E398" s="1332"/>
      <c r="F398" s="1332"/>
      <c r="G398" s="1378"/>
      <c r="H398" s="1378"/>
      <c r="I398" s="1332"/>
      <c r="J398" s="1332"/>
      <c r="K398" s="1332"/>
      <c r="L398" s="1332"/>
      <c r="M398" s="1332"/>
      <c r="N398" s="1332"/>
      <c r="O398" s="1332"/>
      <c r="P398" s="1332"/>
      <c r="Q398" s="1332"/>
      <c r="R398" s="1332"/>
      <c r="S398" s="1332"/>
      <c r="T398" s="1332"/>
      <c r="U398" s="1332"/>
      <c r="V398" s="1332"/>
      <c r="W398" s="1332"/>
      <c r="X398" s="1332"/>
      <c r="Y398" s="1332"/>
      <c r="Z398" s="1332"/>
      <c r="AA398" s="1332"/>
      <c r="AB398" s="1332"/>
    </row>
    <row r="399">
      <c r="A399" s="1332"/>
      <c r="B399" s="1366"/>
      <c r="C399" s="1366"/>
      <c r="D399" s="1375"/>
      <c r="E399" s="1332"/>
      <c r="F399" s="1332"/>
      <c r="G399" s="1378"/>
      <c r="H399" s="1378"/>
      <c r="I399" s="1332"/>
      <c r="J399" s="1332"/>
      <c r="K399" s="1332"/>
      <c r="L399" s="1332"/>
      <c r="M399" s="1332"/>
      <c r="N399" s="1332"/>
      <c r="O399" s="1332"/>
      <c r="P399" s="1332"/>
      <c r="Q399" s="1332"/>
      <c r="R399" s="1332"/>
      <c r="S399" s="1332"/>
      <c r="T399" s="1332"/>
      <c r="U399" s="1332"/>
      <c r="V399" s="1332"/>
      <c r="W399" s="1332"/>
      <c r="X399" s="1332"/>
      <c r="Y399" s="1332"/>
      <c r="Z399" s="1332"/>
      <c r="AA399" s="1332"/>
      <c r="AB399" s="1332"/>
    </row>
    <row r="400">
      <c r="A400" s="1332"/>
      <c r="B400" s="1366"/>
      <c r="C400" s="1366"/>
      <c r="D400" s="1375"/>
      <c r="E400" s="1332"/>
      <c r="F400" s="1332"/>
      <c r="G400" s="1378"/>
      <c r="H400" s="1378"/>
      <c r="I400" s="1332"/>
      <c r="J400" s="1332"/>
      <c r="K400" s="1332"/>
      <c r="L400" s="1332"/>
      <c r="M400" s="1332"/>
      <c r="N400" s="1332"/>
      <c r="O400" s="1332"/>
      <c r="P400" s="1332"/>
      <c r="Q400" s="1332"/>
      <c r="R400" s="1332"/>
      <c r="S400" s="1332"/>
      <c r="T400" s="1332"/>
      <c r="U400" s="1332"/>
      <c r="V400" s="1332"/>
      <c r="W400" s="1332"/>
      <c r="X400" s="1332"/>
      <c r="Y400" s="1332"/>
      <c r="Z400" s="1332"/>
      <c r="AA400" s="1332"/>
      <c r="AB400" s="1332"/>
    </row>
    <row r="401">
      <c r="A401" s="1332"/>
      <c r="B401" s="1366"/>
      <c r="C401" s="1366"/>
      <c r="D401" s="1375"/>
      <c r="E401" s="1332"/>
      <c r="F401" s="1332"/>
      <c r="G401" s="1378"/>
      <c r="H401" s="1378"/>
      <c r="I401" s="1332"/>
      <c r="J401" s="1332"/>
      <c r="K401" s="1332"/>
      <c r="L401" s="1332"/>
      <c r="M401" s="1332"/>
      <c r="N401" s="1332"/>
      <c r="O401" s="1332"/>
      <c r="P401" s="1332"/>
      <c r="Q401" s="1332"/>
      <c r="R401" s="1332"/>
      <c r="S401" s="1332"/>
      <c r="T401" s="1332"/>
      <c r="U401" s="1332"/>
      <c r="V401" s="1332"/>
      <c r="W401" s="1332"/>
      <c r="X401" s="1332"/>
      <c r="Y401" s="1332"/>
      <c r="Z401" s="1332"/>
      <c r="AA401" s="1332"/>
      <c r="AB401" s="1332"/>
    </row>
    <row r="402">
      <c r="A402" s="1332"/>
      <c r="B402" s="1366"/>
      <c r="C402" s="1366"/>
      <c r="D402" s="1375"/>
      <c r="E402" s="1332"/>
      <c r="F402" s="1332"/>
      <c r="G402" s="1378"/>
      <c r="H402" s="1378"/>
      <c r="I402" s="1332"/>
      <c r="J402" s="1332"/>
      <c r="K402" s="1332"/>
      <c r="L402" s="1332"/>
      <c r="M402" s="1332"/>
      <c r="N402" s="1332"/>
      <c r="O402" s="1332"/>
      <c r="P402" s="1332"/>
      <c r="Q402" s="1332"/>
      <c r="R402" s="1332"/>
      <c r="S402" s="1332"/>
      <c r="T402" s="1332"/>
      <c r="U402" s="1332"/>
      <c r="V402" s="1332"/>
      <c r="W402" s="1332"/>
      <c r="X402" s="1332"/>
      <c r="Y402" s="1332"/>
      <c r="Z402" s="1332"/>
      <c r="AA402" s="1332"/>
      <c r="AB402" s="1332"/>
    </row>
    <row r="403">
      <c r="A403" s="1332"/>
      <c r="B403" s="1366"/>
      <c r="C403" s="1366"/>
      <c r="D403" s="1375"/>
      <c r="E403" s="1332"/>
      <c r="F403" s="1332"/>
      <c r="G403" s="1378"/>
      <c r="H403" s="1378"/>
      <c r="I403" s="1332"/>
      <c r="J403" s="1332"/>
      <c r="K403" s="1332"/>
      <c r="L403" s="1332"/>
      <c r="M403" s="1332"/>
      <c r="N403" s="1332"/>
      <c r="O403" s="1332"/>
      <c r="P403" s="1332"/>
      <c r="Q403" s="1332"/>
      <c r="R403" s="1332"/>
      <c r="S403" s="1332"/>
      <c r="T403" s="1332"/>
      <c r="U403" s="1332"/>
      <c r="V403" s="1332"/>
      <c r="W403" s="1332"/>
      <c r="X403" s="1332"/>
      <c r="Y403" s="1332"/>
      <c r="Z403" s="1332"/>
      <c r="AA403" s="1332"/>
      <c r="AB403" s="1332"/>
    </row>
    <row r="404">
      <c r="A404" s="1332"/>
      <c r="B404" s="1366"/>
      <c r="C404" s="1366"/>
      <c r="D404" s="1375"/>
      <c r="E404" s="1332"/>
      <c r="F404" s="1332"/>
      <c r="G404" s="1378"/>
      <c r="H404" s="1378"/>
      <c r="I404" s="1332"/>
      <c r="J404" s="1332"/>
      <c r="K404" s="1332"/>
      <c r="L404" s="1332"/>
      <c r="M404" s="1332"/>
      <c r="N404" s="1332"/>
      <c r="O404" s="1332"/>
      <c r="P404" s="1332"/>
      <c r="Q404" s="1332"/>
      <c r="R404" s="1332"/>
      <c r="S404" s="1332"/>
      <c r="T404" s="1332"/>
      <c r="U404" s="1332"/>
      <c r="V404" s="1332"/>
      <c r="W404" s="1332"/>
      <c r="X404" s="1332"/>
      <c r="Y404" s="1332"/>
      <c r="Z404" s="1332"/>
      <c r="AA404" s="1332"/>
      <c r="AB404" s="1332"/>
    </row>
    <row r="405">
      <c r="A405" s="1332"/>
      <c r="B405" s="1366"/>
      <c r="C405" s="1366"/>
      <c r="D405" s="1375"/>
      <c r="E405" s="1332"/>
      <c r="F405" s="1332"/>
      <c r="G405" s="1378"/>
      <c r="H405" s="1378"/>
      <c r="I405" s="1332"/>
      <c r="J405" s="1332"/>
      <c r="K405" s="1332"/>
      <c r="L405" s="1332"/>
      <c r="M405" s="1332"/>
      <c r="N405" s="1332"/>
      <c r="O405" s="1332"/>
      <c r="P405" s="1332"/>
      <c r="Q405" s="1332"/>
      <c r="R405" s="1332"/>
      <c r="S405" s="1332"/>
      <c r="T405" s="1332"/>
      <c r="U405" s="1332"/>
      <c r="V405" s="1332"/>
      <c r="W405" s="1332"/>
      <c r="X405" s="1332"/>
      <c r="Y405" s="1332"/>
      <c r="Z405" s="1332"/>
      <c r="AA405" s="1332"/>
      <c r="AB405" s="1332"/>
    </row>
    <row r="406">
      <c r="A406" s="1332"/>
      <c r="B406" s="1366"/>
      <c r="C406" s="1366"/>
      <c r="D406" s="1375"/>
      <c r="E406" s="1332"/>
      <c r="F406" s="1332"/>
      <c r="G406" s="1378"/>
      <c r="H406" s="1378"/>
      <c r="I406" s="1332"/>
      <c r="J406" s="1332"/>
      <c r="K406" s="1332"/>
      <c r="L406" s="1332"/>
      <c r="M406" s="1332"/>
      <c r="N406" s="1332"/>
      <c r="O406" s="1332"/>
      <c r="P406" s="1332"/>
      <c r="Q406" s="1332"/>
      <c r="R406" s="1332"/>
      <c r="S406" s="1332"/>
      <c r="T406" s="1332"/>
      <c r="U406" s="1332"/>
      <c r="V406" s="1332"/>
      <c r="W406" s="1332"/>
      <c r="X406" s="1332"/>
      <c r="Y406" s="1332"/>
      <c r="Z406" s="1332"/>
      <c r="AA406" s="1332"/>
      <c r="AB406" s="1332"/>
    </row>
    <row r="407">
      <c r="A407" s="1332"/>
      <c r="B407" s="1366"/>
      <c r="C407" s="1366"/>
      <c r="D407" s="1375"/>
      <c r="E407" s="1332"/>
      <c r="F407" s="1332"/>
      <c r="G407" s="1378"/>
      <c r="H407" s="1378"/>
      <c r="I407" s="1332"/>
      <c r="J407" s="1332"/>
      <c r="K407" s="1332"/>
      <c r="L407" s="1332"/>
      <c r="M407" s="1332"/>
      <c r="N407" s="1332"/>
      <c r="O407" s="1332"/>
      <c r="P407" s="1332"/>
      <c r="Q407" s="1332"/>
      <c r="R407" s="1332"/>
      <c r="S407" s="1332"/>
      <c r="T407" s="1332"/>
      <c r="U407" s="1332"/>
      <c r="V407" s="1332"/>
      <c r="W407" s="1332"/>
      <c r="X407" s="1332"/>
      <c r="Y407" s="1332"/>
      <c r="Z407" s="1332"/>
      <c r="AA407" s="1332"/>
      <c r="AB407" s="1332"/>
    </row>
    <row r="408">
      <c r="A408" s="1332"/>
      <c r="B408" s="1366"/>
      <c r="C408" s="1366"/>
      <c r="D408" s="1375"/>
      <c r="E408" s="1332"/>
      <c r="F408" s="1332"/>
      <c r="G408" s="1378"/>
      <c r="H408" s="1378"/>
      <c r="I408" s="1332"/>
      <c r="J408" s="1332"/>
      <c r="K408" s="1332"/>
      <c r="L408" s="1332"/>
      <c r="M408" s="1332"/>
      <c r="N408" s="1332"/>
      <c r="O408" s="1332"/>
      <c r="P408" s="1332"/>
      <c r="Q408" s="1332"/>
      <c r="R408" s="1332"/>
      <c r="S408" s="1332"/>
      <c r="T408" s="1332"/>
      <c r="U408" s="1332"/>
      <c r="V408" s="1332"/>
      <c r="W408" s="1332"/>
      <c r="X408" s="1332"/>
      <c r="Y408" s="1332"/>
      <c r="Z408" s="1332"/>
      <c r="AA408" s="1332"/>
      <c r="AB408" s="1332"/>
    </row>
    <row r="409">
      <c r="A409" s="1332"/>
      <c r="B409" s="1366"/>
      <c r="C409" s="1366"/>
      <c r="D409" s="1375"/>
      <c r="E409" s="1332"/>
      <c r="F409" s="1332"/>
      <c r="G409" s="1378"/>
      <c r="H409" s="1378"/>
      <c r="I409" s="1332"/>
      <c r="J409" s="1332"/>
      <c r="K409" s="1332"/>
      <c r="L409" s="1332"/>
      <c r="M409" s="1332"/>
      <c r="N409" s="1332"/>
      <c r="O409" s="1332"/>
      <c r="P409" s="1332"/>
      <c r="Q409" s="1332"/>
      <c r="R409" s="1332"/>
      <c r="S409" s="1332"/>
      <c r="T409" s="1332"/>
      <c r="U409" s="1332"/>
      <c r="V409" s="1332"/>
      <c r="W409" s="1332"/>
      <c r="X409" s="1332"/>
      <c r="Y409" s="1332"/>
      <c r="Z409" s="1332"/>
      <c r="AA409" s="1332"/>
      <c r="AB409" s="1332"/>
    </row>
    <row r="410">
      <c r="A410" s="1332"/>
      <c r="B410" s="1366"/>
      <c r="C410" s="1366"/>
      <c r="D410" s="1375"/>
      <c r="E410" s="1332"/>
      <c r="F410" s="1332"/>
      <c r="G410" s="1378"/>
      <c r="H410" s="1378"/>
      <c r="I410" s="1332"/>
      <c r="J410" s="1332"/>
      <c r="K410" s="1332"/>
      <c r="L410" s="1332"/>
      <c r="M410" s="1332"/>
      <c r="N410" s="1332"/>
      <c r="O410" s="1332"/>
      <c r="P410" s="1332"/>
      <c r="Q410" s="1332"/>
      <c r="R410" s="1332"/>
      <c r="S410" s="1332"/>
      <c r="T410" s="1332"/>
      <c r="U410" s="1332"/>
      <c r="V410" s="1332"/>
      <c r="W410" s="1332"/>
      <c r="X410" s="1332"/>
      <c r="Y410" s="1332"/>
      <c r="Z410" s="1332"/>
      <c r="AA410" s="1332"/>
      <c r="AB410" s="1332"/>
    </row>
    <row r="411">
      <c r="A411" s="1332"/>
      <c r="B411" s="1366"/>
      <c r="C411" s="1366"/>
      <c r="D411" s="1375"/>
      <c r="E411" s="1332"/>
      <c r="F411" s="1332"/>
      <c r="G411" s="1378"/>
      <c r="H411" s="1378"/>
      <c r="I411" s="1332"/>
      <c r="J411" s="1332"/>
      <c r="K411" s="1332"/>
      <c r="L411" s="1332"/>
      <c r="M411" s="1332"/>
      <c r="N411" s="1332"/>
      <c r="O411" s="1332"/>
      <c r="P411" s="1332"/>
      <c r="Q411" s="1332"/>
      <c r="R411" s="1332"/>
      <c r="S411" s="1332"/>
      <c r="T411" s="1332"/>
      <c r="U411" s="1332"/>
      <c r="V411" s="1332"/>
      <c r="W411" s="1332"/>
      <c r="X411" s="1332"/>
      <c r="Y411" s="1332"/>
      <c r="Z411" s="1332"/>
      <c r="AA411" s="1332"/>
      <c r="AB411" s="1332"/>
    </row>
    <row r="412">
      <c r="A412" s="1332"/>
      <c r="B412" s="1366"/>
      <c r="C412" s="1366"/>
      <c r="D412" s="1375"/>
      <c r="E412" s="1332"/>
      <c r="F412" s="1332"/>
      <c r="G412" s="1378"/>
      <c r="H412" s="1378"/>
      <c r="I412" s="1332"/>
      <c r="J412" s="1332"/>
      <c r="K412" s="1332"/>
      <c r="L412" s="1332"/>
      <c r="M412" s="1332"/>
      <c r="N412" s="1332"/>
      <c r="O412" s="1332"/>
      <c r="P412" s="1332"/>
      <c r="Q412" s="1332"/>
      <c r="R412" s="1332"/>
      <c r="S412" s="1332"/>
      <c r="T412" s="1332"/>
      <c r="U412" s="1332"/>
      <c r="V412" s="1332"/>
      <c r="W412" s="1332"/>
      <c r="X412" s="1332"/>
      <c r="Y412" s="1332"/>
      <c r="Z412" s="1332"/>
      <c r="AA412" s="1332"/>
      <c r="AB412" s="1332"/>
    </row>
    <row r="413">
      <c r="A413" s="1332"/>
      <c r="B413" s="1366"/>
      <c r="C413" s="1366"/>
      <c r="D413" s="1375"/>
      <c r="E413" s="1332"/>
      <c r="F413" s="1332"/>
      <c r="G413" s="1378"/>
      <c r="H413" s="1378"/>
      <c r="I413" s="1332"/>
      <c r="J413" s="1332"/>
      <c r="K413" s="1332"/>
      <c r="L413" s="1332"/>
      <c r="M413" s="1332"/>
      <c r="N413" s="1332"/>
      <c r="O413" s="1332"/>
      <c r="P413" s="1332"/>
      <c r="Q413" s="1332"/>
      <c r="R413" s="1332"/>
      <c r="S413" s="1332"/>
      <c r="T413" s="1332"/>
      <c r="U413" s="1332"/>
      <c r="V413" s="1332"/>
      <c r="W413" s="1332"/>
      <c r="X413" s="1332"/>
      <c r="Y413" s="1332"/>
      <c r="Z413" s="1332"/>
      <c r="AA413" s="1332"/>
      <c r="AB413" s="1332"/>
    </row>
    <row r="414">
      <c r="A414" s="1332"/>
      <c r="B414" s="1366"/>
      <c r="C414" s="1366"/>
      <c r="D414" s="1375"/>
      <c r="E414" s="1332"/>
      <c r="F414" s="1332"/>
      <c r="G414" s="1378"/>
      <c r="H414" s="1378"/>
      <c r="I414" s="1332"/>
      <c r="J414" s="1332"/>
      <c r="K414" s="1332"/>
      <c r="L414" s="1332"/>
      <c r="M414" s="1332"/>
      <c r="N414" s="1332"/>
      <c r="O414" s="1332"/>
      <c r="P414" s="1332"/>
      <c r="Q414" s="1332"/>
      <c r="R414" s="1332"/>
      <c r="S414" s="1332"/>
      <c r="T414" s="1332"/>
      <c r="U414" s="1332"/>
      <c r="V414" s="1332"/>
      <c r="W414" s="1332"/>
      <c r="X414" s="1332"/>
      <c r="Y414" s="1332"/>
      <c r="Z414" s="1332"/>
      <c r="AA414" s="1332"/>
      <c r="AB414" s="1332"/>
    </row>
    <row r="415">
      <c r="A415" s="1332"/>
      <c r="B415" s="1366"/>
      <c r="C415" s="1366"/>
      <c r="D415" s="1375"/>
      <c r="E415" s="1332"/>
      <c r="F415" s="1332"/>
      <c r="G415" s="1378"/>
      <c r="H415" s="1378"/>
      <c r="I415" s="1332"/>
      <c r="J415" s="1332"/>
      <c r="K415" s="1332"/>
      <c r="L415" s="1332"/>
      <c r="M415" s="1332"/>
      <c r="N415" s="1332"/>
      <c r="O415" s="1332"/>
      <c r="P415" s="1332"/>
      <c r="Q415" s="1332"/>
      <c r="R415" s="1332"/>
      <c r="S415" s="1332"/>
      <c r="T415" s="1332"/>
      <c r="U415" s="1332"/>
      <c r="V415" s="1332"/>
      <c r="W415" s="1332"/>
      <c r="X415" s="1332"/>
      <c r="Y415" s="1332"/>
      <c r="Z415" s="1332"/>
      <c r="AA415" s="1332"/>
      <c r="AB415" s="1332"/>
    </row>
    <row r="416">
      <c r="A416" s="1332"/>
      <c r="B416" s="1366"/>
      <c r="C416" s="1366"/>
      <c r="D416" s="1375"/>
      <c r="E416" s="1332"/>
      <c r="F416" s="1332"/>
      <c r="G416" s="1378"/>
      <c r="H416" s="1378"/>
      <c r="I416" s="1332"/>
      <c r="J416" s="1332"/>
      <c r="K416" s="1332"/>
      <c r="L416" s="1332"/>
      <c r="M416" s="1332"/>
      <c r="N416" s="1332"/>
      <c r="O416" s="1332"/>
      <c r="P416" s="1332"/>
      <c r="Q416" s="1332"/>
      <c r="R416" s="1332"/>
      <c r="S416" s="1332"/>
      <c r="T416" s="1332"/>
      <c r="U416" s="1332"/>
      <c r="V416" s="1332"/>
      <c r="W416" s="1332"/>
      <c r="X416" s="1332"/>
      <c r="Y416" s="1332"/>
      <c r="Z416" s="1332"/>
      <c r="AA416" s="1332"/>
      <c r="AB416" s="1332"/>
    </row>
    <row r="417">
      <c r="A417" s="1332"/>
      <c r="B417" s="1366"/>
      <c r="C417" s="1366"/>
      <c r="D417" s="1375"/>
      <c r="E417" s="1332"/>
      <c r="F417" s="1332"/>
      <c r="G417" s="1378"/>
      <c r="H417" s="1378"/>
      <c r="I417" s="1332"/>
      <c r="J417" s="1332"/>
      <c r="K417" s="1332"/>
      <c r="L417" s="1332"/>
      <c r="M417" s="1332"/>
      <c r="N417" s="1332"/>
      <c r="O417" s="1332"/>
      <c r="P417" s="1332"/>
      <c r="Q417" s="1332"/>
      <c r="R417" s="1332"/>
      <c r="S417" s="1332"/>
      <c r="T417" s="1332"/>
      <c r="U417" s="1332"/>
      <c r="V417" s="1332"/>
      <c r="W417" s="1332"/>
      <c r="X417" s="1332"/>
      <c r="Y417" s="1332"/>
      <c r="Z417" s="1332"/>
      <c r="AA417" s="1332"/>
      <c r="AB417" s="1332"/>
    </row>
    <row r="418">
      <c r="A418" s="1332"/>
      <c r="B418" s="1366"/>
      <c r="C418" s="1366"/>
      <c r="D418" s="1375"/>
      <c r="E418" s="1332"/>
      <c r="F418" s="1332"/>
      <c r="G418" s="1378"/>
      <c r="H418" s="1378"/>
      <c r="I418" s="1332"/>
      <c r="J418" s="1332"/>
      <c r="K418" s="1332"/>
      <c r="L418" s="1332"/>
      <c r="M418" s="1332"/>
      <c r="N418" s="1332"/>
      <c r="O418" s="1332"/>
      <c r="P418" s="1332"/>
      <c r="Q418" s="1332"/>
      <c r="R418" s="1332"/>
      <c r="S418" s="1332"/>
      <c r="T418" s="1332"/>
      <c r="U418" s="1332"/>
      <c r="V418" s="1332"/>
      <c r="W418" s="1332"/>
      <c r="X418" s="1332"/>
      <c r="Y418" s="1332"/>
      <c r="Z418" s="1332"/>
      <c r="AA418" s="1332"/>
      <c r="AB418" s="1332"/>
    </row>
    <row r="419">
      <c r="A419" s="1332"/>
      <c r="B419" s="1366"/>
      <c r="C419" s="1366"/>
      <c r="D419" s="1375"/>
      <c r="E419" s="1332"/>
      <c r="F419" s="1332"/>
      <c r="G419" s="1378"/>
      <c r="H419" s="1378"/>
      <c r="I419" s="1332"/>
      <c r="J419" s="1332"/>
      <c r="K419" s="1332"/>
      <c r="L419" s="1332"/>
      <c r="M419" s="1332"/>
      <c r="N419" s="1332"/>
      <c r="O419" s="1332"/>
      <c r="P419" s="1332"/>
      <c r="Q419" s="1332"/>
      <c r="R419" s="1332"/>
      <c r="S419" s="1332"/>
      <c r="T419" s="1332"/>
      <c r="U419" s="1332"/>
      <c r="V419" s="1332"/>
      <c r="W419" s="1332"/>
      <c r="X419" s="1332"/>
      <c r="Y419" s="1332"/>
      <c r="Z419" s="1332"/>
      <c r="AA419" s="1332"/>
      <c r="AB419" s="1332"/>
    </row>
    <row r="420">
      <c r="A420" s="1332"/>
      <c r="B420" s="1366"/>
      <c r="C420" s="1366"/>
      <c r="D420" s="1375"/>
      <c r="E420" s="1332"/>
      <c r="F420" s="1332"/>
      <c r="G420" s="1378"/>
      <c r="H420" s="1378"/>
      <c r="I420" s="1332"/>
      <c r="J420" s="1332"/>
      <c r="K420" s="1332"/>
      <c r="L420" s="1332"/>
      <c r="M420" s="1332"/>
      <c r="N420" s="1332"/>
      <c r="O420" s="1332"/>
      <c r="P420" s="1332"/>
      <c r="Q420" s="1332"/>
      <c r="R420" s="1332"/>
      <c r="S420" s="1332"/>
      <c r="T420" s="1332"/>
      <c r="U420" s="1332"/>
      <c r="V420" s="1332"/>
      <c r="W420" s="1332"/>
      <c r="X420" s="1332"/>
      <c r="Y420" s="1332"/>
      <c r="Z420" s="1332"/>
      <c r="AA420" s="1332"/>
      <c r="AB420" s="1332"/>
    </row>
    <row r="421">
      <c r="A421" s="1332"/>
      <c r="B421" s="1366"/>
      <c r="C421" s="1366"/>
      <c r="D421" s="1375"/>
      <c r="E421" s="1332"/>
      <c r="F421" s="1332"/>
      <c r="G421" s="1378"/>
      <c r="H421" s="1378"/>
      <c r="I421" s="1332"/>
      <c r="J421" s="1332"/>
      <c r="K421" s="1332"/>
      <c r="L421" s="1332"/>
      <c r="M421" s="1332"/>
      <c r="N421" s="1332"/>
      <c r="O421" s="1332"/>
      <c r="P421" s="1332"/>
      <c r="Q421" s="1332"/>
      <c r="R421" s="1332"/>
      <c r="S421" s="1332"/>
      <c r="T421" s="1332"/>
      <c r="U421" s="1332"/>
      <c r="V421" s="1332"/>
      <c r="W421" s="1332"/>
      <c r="X421" s="1332"/>
      <c r="Y421" s="1332"/>
      <c r="Z421" s="1332"/>
      <c r="AA421" s="1332"/>
      <c r="AB421" s="1332"/>
    </row>
    <row r="422">
      <c r="A422" s="1332"/>
      <c r="B422" s="1366"/>
      <c r="C422" s="1366"/>
      <c r="D422" s="1375"/>
      <c r="E422" s="1332"/>
      <c r="F422" s="1332"/>
      <c r="G422" s="1378"/>
      <c r="H422" s="1378"/>
      <c r="I422" s="1332"/>
      <c r="J422" s="1332"/>
      <c r="K422" s="1332"/>
      <c r="L422" s="1332"/>
      <c r="M422" s="1332"/>
      <c r="N422" s="1332"/>
      <c r="O422" s="1332"/>
      <c r="P422" s="1332"/>
      <c r="Q422" s="1332"/>
      <c r="R422" s="1332"/>
      <c r="S422" s="1332"/>
      <c r="T422" s="1332"/>
      <c r="U422" s="1332"/>
      <c r="V422" s="1332"/>
      <c r="W422" s="1332"/>
      <c r="X422" s="1332"/>
      <c r="Y422" s="1332"/>
      <c r="Z422" s="1332"/>
      <c r="AA422" s="1332"/>
      <c r="AB422" s="1332"/>
    </row>
    <row r="423">
      <c r="A423" s="1332"/>
      <c r="B423" s="1366"/>
      <c r="C423" s="1366"/>
      <c r="D423" s="1375"/>
      <c r="E423" s="1332"/>
      <c r="F423" s="1332"/>
      <c r="G423" s="1378"/>
      <c r="H423" s="1378"/>
      <c r="I423" s="1332"/>
      <c r="J423" s="1332"/>
      <c r="K423" s="1332"/>
      <c r="L423" s="1332"/>
      <c r="M423" s="1332"/>
      <c r="N423" s="1332"/>
      <c r="O423" s="1332"/>
      <c r="P423" s="1332"/>
      <c r="Q423" s="1332"/>
      <c r="R423" s="1332"/>
      <c r="S423" s="1332"/>
      <c r="T423" s="1332"/>
      <c r="U423" s="1332"/>
      <c r="V423" s="1332"/>
      <c r="W423" s="1332"/>
      <c r="X423" s="1332"/>
      <c r="Y423" s="1332"/>
      <c r="Z423" s="1332"/>
      <c r="AA423" s="1332"/>
      <c r="AB423" s="1332"/>
    </row>
    <row r="424">
      <c r="A424" s="1332"/>
      <c r="B424" s="1366"/>
      <c r="C424" s="1366"/>
      <c r="D424" s="1375"/>
      <c r="E424" s="1332"/>
      <c r="F424" s="1332"/>
      <c r="G424" s="1378"/>
      <c r="H424" s="1378"/>
      <c r="I424" s="1332"/>
      <c r="J424" s="1332"/>
      <c r="K424" s="1332"/>
      <c r="L424" s="1332"/>
      <c r="M424" s="1332"/>
      <c r="N424" s="1332"/>
      <c r="O424" s="1332"/>
      <c r="P424" s="1332"/>
      <c r="Q424" s="1332"/>
      <c r="R424" s="1332"/>
      <c r="S424" s="1332"/>
      <c r="T424" s="1332"/>
      <c r="U424" s="1332"/>
      <c r="V424" s="1332"/>
      <c r="W424" s="1332"/>
      <c r="X424" s="1332"/>
      <c r="Y424" s="1332"/>
      <c r="Z424" s="1332"/>
      <c r="AA424" s="1332"/>
      <c r="AB424" s="1332"/>
    </row>
    <row r="425">
      <c r="A425" s="1332"/>
      <c r="B425" s="1366"/>
      <c r="C425" s="1366"/>
      <c r="D425" s="1375"/>
      <c r="E425" s="1332"/>
      <c r="F425" s="1332"/>
      <c r="G425" s="1378"/>
      <c r="H425" s="1378"/>
      <c r="I425" s="1332"/>
      <c r="J425" s="1332"/>
      <c r="K425" s="1332"/>
      <c r="L425" s="1332"/>
      <c r="M425" s="1332"/>
      <c r="N425" s="1332"/>
      <c r="O425" s="1332"/>
      <c r="P425" s="1332"/>
      <c r="Q425" s="1332"/>
      <c r="R425" s="1332"/>
      <c r="S425" s="1332"/>
      <c r="T425" s="1332"/>
      <c r="U425" s="1332"/>
      <c r="V425" s="1332"/>
      <c r="W425" s="1332"/>
      <c r="X425" s="1332"/>
      <c r="Y425" s="1332"/>
      <c r="Z425" s="1332"/>
      <c r="AA425" s="1332"/>
      <c r="AB425" s="1332"/>
    </row>
    <row r="426">
      <c r="A426" s="1332"/>
      <c r="B426" s="1366"/>
      <c r="C426" s="1366"/>
      <c r="D426" s="1375"/>
      <c r="E426" s="1332"/>
      <c r="F426" s="1332"/>
      <c r="G426" s="1378"/>
      <c r="H426" s="1378"/>
      <c r="I426" s="1332"/>
      <c r="J426" s="1332"/>
      <c r="K426" s="1332"/>
      <c r="L426" s="1332"/>
      <c r="M426" s="1332"/>
      <c r="N426" s="1332"/>
      <c r="O426" s="1332"/>
      <c r="P426" s="1332"/>
      <c r="Q426" s="1332"/>
      <c r="R426" s="1332"/>
      <c r="S426" s="1332"/>
      <c r="T426" s="1332"/>
      <c r="U426" s="1332"/>
      <c r="V426" s="1332"/>
      <c r="W426" s="1332"/>
      <c r="X426" s="1332"/>
      <c r="Y426" s="1332"/>
      <c r="Z426" s="1332"/>
      <c r="AA426" s="1332"/>
      <c r="AB426" s="1332"/>
    </row>
    <row r="427">
      <c r="A427" s="1332"/>
      <c r="B427" s="1366"/>
      <c r="C427" s="1366"/>
      <c r="D427" s="1375"/>
      <c r="E427" s="1332"/>
      <c r="F427" s="1332"/>
      <c r="G427" s="1378"/>
      <c r="H427" s="1378"/>
      <c r="I427" s="1332"/>
      <c r="J427" s="1332"/>
      <c r="K427" s="1332"/>
      <c r="L427" s="1332"/>
      <c r="M427" s="1332"/>
      <c r="N427" s="1332"/>
      <c r="O427" s="1332"/>
      <c r="P427" s="1332"/>
      <c r="Q427" s="1332"/>
      <c r="R427" s="1332"/>
      <c r="S427" s="1332"/>
      <c r="T427" s="1332"/>
      <c r="U427" s="1332"/>
      <c r="V427" s="1332"/>
      <c r="W427" s="1332"/>
      <c r="X427" s="1332"/>
      <c r="Y427" s="1332"/>
      <c r="Z427" s="1332"/>
      <c r="AA427" s="1332"/>
      <c r="AB427" s="1332"/>
    </row>
    <row r="428">
      <c r="A428" s="1332"/>
      <c r="B428" s="1366"/>
      <c r="C428" s="1366"/>
      <c r="D428" s="1375"/>
      <c r="E428" s="1332"/>
      <c r="F428" s="1332"/>
      <c r="G428" s="1378"/>
      <c r="H428" s="1378"/>
      <c r="I428" s="1332"/>
      <c r="J428" s="1332"/>
      <c r="K428" s="1332"/>
      <c r="L428" s="1332"/>
      <c r="M428" s="1332"/>
      <c r="N428" s="1332"/>
      <c r="O428" s="1332"/>
      <c r="P428" s="1332"/>
      <c r="Q428" s="1332"/>
      <c r="R428" s="1332"/>
      <c r="S428" s="1332"/>
      <c r="T428" s="1332"/>
      <c r="U428" s="1332"/>
      <c r="V428" s="1332"/>
      <c r="W428" s="1332"/>
      <c r="X428" s="1332"/>
      <c r="Y428" s="1332"/>
      <c r="Z428" s="1332"/>
      <c r="AA428" s="1332"/>
      <c r="AB428" s="1332"/>
    </row>
    <row r="429">
      <c r="A429" s="1332"/>
      <c r="B429" s="1366"/>
      <c r="C429" s="1366"/>
      <c r="D429" s="1375"/>
      <c r="E429" s="1332"/>
      <c r="F429" s="1332"/>
      <c r="G429" s="1378"/>
      <c r="H429" s="1378"/>
      <c r="I429" s="1332"/>
      <c r="J429" s="1332"/>
      <c r="K429" s="1332"/>
      <c r="L429" s="1332"/>
      <c r="M429" s="1332"/>
      <c r="N429" s="1332"/>
      <c r="O429" s="1332"/>
      <c r="P429" s="1332"/>
      <c r="Q429" s="1332"/>
      <c r="R429" s="1332"/>
      <c r="S429" s="1332"/>
      <c r="T429" s="1332"/>
      <c r="U429" s="1332"/>
      <c r="V429" s="1332"/>
      <c r="W429" s="1332"/>
      <c r="X429" s="1332"/>
      <c r="Y429" s="1332"/>
      <c r="Z429" s="1332"/>
      <c r="AA429" s="1332"/>
      <c r="AB429" s="1332"/>
    </row>
    <row r="430">
      <c r="A430" s="1332"/>
      <c r="B430" s="1366"/>
      <c r="C430" s="1366"/>
      <c r="D430" s="1375"/>
      <c r="E430" s="1332"/>
      <c r="F430" s="1332"/>
      <c r="G430" s="1378"/>
      <c r="H430" s="1378"/>
      <c r="I430" s="1332"/>
      <c r="J430" s="1332"/>
      <c r="K430" s="1332"/>
      <c r="L430" s="1332"/>
      <c r="M430" s="1332"/>
      <c r="N430" s="1332"/>
      <c r="O430" s="1332"/>
      <c r="P430" s="1332"/>
      <c r="Q430" s="1332"/>
      <c r="R430" s="1332"/>
      <c r="S430" s="1332"/>
      <c r="T430" s="1332"/>
      <c r="U430" s="1332"/>
      <c r="V430" s="1332"/>
      <c r="W430" s="1332"/>
      <c r="X430" s="1332"/>
      <c r="Y430" s="1332"/>
      <c r="Z430" s="1332"/>
      <c r="AA430" s="1332"/>
      <c r="AB430" s="1332"/>
    </row>
    <row r="431">
      <c r="A431" s="1332"/>
      <c r="B431" s="1366"/>
      <c r="C431" s="1366"/>
      <c r="D431" s="1375"/>
      <c r="E431" s="1332"/>
      <c r="F431" s="1332"/>
      <c r="G431" s="1378"/>
      <c r="H431" s="1378"/>
      <c r="I431" s="1332"/>
      <c r="J431" s="1332"/>
      <c r="K431" s="1332"/>
      <c r="L431" s="1332"/>
      <c r="M431" s="1332"/>
      <c r="N431" s="1332"/>
      <c r="O431" s="1332"/>
      <c r="P431" s="1332"/>
      <c r="Q431" s="1332"/>
      <c r="R431" s="1332"/>
      <c r="S431" s="1332"/>
      <c r="T431" s="1332"/>
      <c r="U431" s="1332"/>
      <c r="V431" s="1332"/>
      <c r="W431" s="1332"/>
      <c r="X431" s="1332"/>
      <c r="Y431" s="1332"/>
      <c r="Z431" s="1332"/>
      <c r="AA431" s="1332"/>
      <c r="AB431" s="1332"/>
    </row>
    <row r="432">
      <c r="A432" s="1332"/>
      <c r="B432" s="1366"/>
      <c r="C432" s="1366"/>
      <c r="D432" s="1375"/>
      <c r="E432" s="1332"/>
      <c r="F432" s="1332"/>
      <c r="G432" s="1378"/>
      <c r="H432" s="1378"/>
      <c r="I432" s="1332"/>
      <c r="J432" s="1332"/>
      <c r="K432" s="1332"/>
      <c r="L432" s="1332"/>
      <c r="M432" s="1332"/>
      <c r="N432" s="1332"/>
      <c r="O432" s="1332"/>
      <c r="P432" s="1332"/>
      <c r="Q432" s="1332"/>
      <c r="R432" s="1332"/>
      <c r="S432" s="1332"/>
      <c r="T432" s="1332"/>
      <c r="U432" s="1332"/>
      <c r="V432" s="1332"/>
      <c r="W432" s="1332"/>
      <c r="X432" s="1332"/>
      <c r="Y432" s="1332"/>
      <c r="Z432" s="1332"/>
      <c r="AA432" s="1332"/>
      <c r="AB432" s="1332"/>
    </row>
    <row r="433">
      <c r="A433" s="1332"/>
      <c r="B433" s="1366"/>
      <c r="C433" s="1366"/>
      <c r="D433" s="1375"/>
      <c r="E433" s="1332"/>
      <c r="F433" s="1332"/>
      <c r="G433" s="1378"/>
      <c r="H433" s="1378"/>
      <c r="I433" s="1332"/>
      <c r="J433" s="1332"/>
      <c r="K433" s="1332"/>
      <c r="L433" s="1332"/>
      <c r="M433" s="1332"/>
      <c r="N433" s="1332"/>
      <c r="O433" s="1332"/>
      <c r="P433" s="1332"/>
      <c r="Q433" s="1332"/>
      <c r="R433" s="1332"/>
      <c r="S433" s="1332"/>
      <c r="T433" s="1332"/>
      <c r="U433" s="1332"/>
      <c r="V433" s="1332"/>
      <c r="W433" s="1332"/>
      <c r="X433" s="1332"/>
      <c r="Y433" s="1332"/>
      <c r="Z433" s="1332"/>
      <c r="AA433" s="1332"/>
      <c r="AB433" s="1332"/>
    </row>
    <row r="434">
      <c r="A434" s="1332"/>
      <c r="B434" s="1366"/>
      <c r="C434" s="1366"/>
      <c r="D434" s="1375"/>
      <c r="E434" s="1332"/>
      <c r="F434" s="1332"/>
      <c r="G434" s="1378"/>
      <c r="H434" s="1378"/>
      <c r="I434" s="1332"/>
      <c r="J434" s="1332"/>
      <c r="K434" s="1332"/>
      <c r="L434" s="1332"/>
      <c r="M434" s="1332"/>
      <c r="N434" s="1332"/>
      <c r="O434" s="1332"/>
      <c r="P434" s="1332"/>
      <c r="Q434" s="1332"/>
      <c r="R434" s="1332"/>
      <c r="S434" s="1332"/>
      <c r="T434" s="1332"/>
      <c r="U434" s="1332"/>
      <c r="V434" s="1332"/>
      <c r="W434" s="1332"/>
      <c r="X434" s="1332"/>
      <c r="Y434" s="1332"/>
      <c r="Z434" s="1332"/>
      <c r="AA434" s="1332"/>
      <c r="AB434" s="1332"/>
    </row>
    <row r="435">
      <c r="A435" s="1332"/>
      <c r="B435" s="1366"/>
      <c r="C435" s="1366"/>
      <c r="D435" s="1375"/>
      <c r="E435" s="1332"/>
      <c r="F435" s="1332"/>
      <c r="G435" s="1378"/>
      <c r="H435" s="1378"/>
      <c r="I435" s="1332"/>
      <c r="J435" s="1332"/>
      <c r="K435" s="1332"/>
      <c r="L435" s="1332"/>
      <c r="M435" s="1332"/>
      <c r="N435" s="1332"/>
      <c r="O435" s="1332"/>
      <c r="P435" s="1332"/>
      <c r="Q435" s="1332"/>
      <c r="R435" s="1332"/>
      <c r="S435" s="1332"/>
      <c r="T435" s="1332"/>
      <c r="U435" s="1332"/>
      <c r="V435" s="1332"/>
      <c r="W435" s="1332"/>
      <c r="X435" s="1332"/>
      <c r="Y435" s="1332"/>
      <c r="Z435" s="1332"/>
      <c r="AA435" s="1332"/>
      <c r="AB435" s="1332"/>
    </row>
    <row r="436">
      <c r="A436" s="1332"/>
      <c r="B436" s="1366"/>
      <c r="C436" s="1366"/>
      <c r="D436" s="1375"/>
      <c r="E436" s="1332"/>
      <c r="F436" s="1332"/>
      <c r="G436" s="1378"/>
      <c r="H436" s="1378"/>
      <c r="I436" s="1332"/>
      <c r="J436" s="1332"/>
      <c r="K436" s="1332"/>
      <c r="L436" s="1332"/>
      <c r="M436" s="1332"/>
      <c r="N436" s="1332"/>
      <c r="O436" s="1332"/>
      <c r="P436" s="1332"/>
      <c r="Q436" s="1332"/>
      <c r="R436" s="1332"/>
      <c r="S436" s="1332"/>
      <c r="T436" s="1332"/>
      <c r="U436" s="1332"/>
      <c r="V436" s="1332"/>
      <c r="W436" s="1332"/>
      <c r="X436" s="1332"/>
      <c r="Y436" s="1332"/>
      <c r="Z436" s="1332"/>
      <c r="AA436" s="1332"/>
      <c r="AB436" s="1332"/>
    </row>
    <row r="437">
      <c r="A437" s="1332"/>
      <c r="B437" s="1366"/>
      <c r="C437" s="1366"/>
      <c r="D437" s="1375"/>
      <c r="E437" s="1332"/>
      <c r="F437" s="1332"/>
      <c r="G437" s="1378"/>
      <c r="H437" s="1378"/>
      <c r="I437" s="1332"/>
      <c r="J437" s="1332"/>
      <c r="K437" s="1332"/>
      <c r="L437" s="1332"/>
      <c r="M437" s="1332"/>
      <c r="N437" s="1332"/>
      <c r="O437" s="1332"/>
      <c r="P437" s="1332"/>
      <c r="Q437" s="1332"/>
      <c r="R437" s="1332"/>
      <c r="S437" s="1332"/>
      <c r="T437" s="1332"/>
      <c r="U437" s="1332"/>
      <c r="V437" s="1332"/>
      <c r="W437" s="1332"/>
      <c r="X437" s="1332"/>
      <c r="Y437" s="1332"/>
      <c r="Z437" s="1332"/>
      <c r="AA437" s="1332"/>
      <c r="AB437" s="1332"/>
    </row>
    <row r="438">
      <c r="A438" s="1332"/>
      <c r="B438" s="1366"/>
      <c r="C438" s="1366"/>
      <c r="D438" s="1375"/>
      <c r="E438" s="1332"/>
      <c r="F438" s="1332"/>
      <c r="G438" s="1378"/>
      <c r="H438" s="1378"/>
      <c r="I438" s="1332"/>
      <c r="J438" s="1332"/>
      <c r="K438" s="1332"/>
      <c r="L438" s="1332"/>
      <c r="M438" s="1332"/>
      <c r="N438" s="1332"/>
      <c r="O438" s="1332"/>
      <c r="P438" s="1332"/>
      <c r="Q438" s="1332"/>
      <c r="R438" s="1332"/>
      <c r="S438" s="1332"/>
      <c r="T438" s="1332"/>
      <c r="U438" s="1332"/>
      <c r="V438" s="1332"/>
      <c r="W438" s="1332"/>
      <c r="X438" s="1332"/>
      <c r="Y438" s="1332"/>
      <c r="Z438" s="1332"/>
      <c r="AA438" s="1332"/>
      <c r="AB438" s="1332"/>
    </row>
    <row r="439">
      <c r="A439" s="1332"/>
      <c r="B439" s="1366"/>
      <c r="C439" s="1366"/>
      <c r="D439" s="1375"/>
      <c r="E439" s="1332"/>
      <c r="F439" s="1332"/>
      <c r="G439" s="1378"/>
      <c r="H439" s="1378"/>
      <c r="I439" s="1332"/>
      <c r="J439" s="1332"/>
      <c r="K439" s="1332"/>
      <c r="L439" s="1332"/>
      <c r="M439" s="1332"/>
      <c r="N439" s="1332"/>
      <c r="O439" s="1332"/>
      <c r="P439" s="1332"/>
      <c r="Q439" s="1332"/>
      <c r="R439" s="1332"/>
      <c r="S439" s="1332"/>
      <c r="T439" s="1332"/>
      <c r="U439" s="1332"/>
      <c r="V439" s="1332"/>
      <c r="W439" s="1332"/>
      <c r="X439" s="1332"/>
      <c r="Y439" s="1332"/>
      <c r="Z439" s="1332"/>
      <c r="AA439" s="1332"/>
      <c r="AB439" s="1332"/>
    </row>
    <row r="440">
      <c r="A440" s="1332"/>
      <c r="B440" s="1366"/>
      <c r="C440" s="1366"/>
      <c r="D440" s="1375"/>
      <c r="E440" s="1332"/>
      <c r="F440" s="1332"/>
      <c r="G440" s="1378"/>
      <c r="H440" s="1378"/>
      <c r="I440" s="1332"/>
      <c r="J440" s="1332"/>
      <c r="K440" s="1332"/>
      <c r="L440" s="1332"/>
      <c r="M440" s="1332"/>
      <c r="N440" s="1332"/>
      <c r="O440" s="1332"/>
      <c r="P440" s="1332"/>
      <c r="Q440" s="1332"/>
      <c r="R440" s="1332"/>
      <c r="S440" s="1332"/>
      <c r="T440" s="1332"/>
      <c r="U440" s="1332"/>
      <c r="V440" s="1332"/>
      <c r="W440" s="1332"/>
      <c r="X440" s="1332"/>
      <c r="Y440" s="1332"/>
      <c r="Z440" s="1332"/>
      <c r="AA440" s="1332"/>
      <c r="AB440" s="1332"/>
    </row>
    <row r="441">
      <c r="A441" s="1332"/>
      <c r="B441" s="1366"/>
      <c r="C441" s="1366"/>
      <c r="D441" s="1375"/>
      <c r="E441" s="1332"/>
      <c r="F441" s="1332"/>
      <c r="G441" s="1378"/>
      <c r="H441" s="1378"/>
      <c r="I441" s="1332"/>
      <c r="J441" s="1332"/>
      <c r="K441" s="1332"/>
      <c r="L441" s="1332"/>
      <c r="M441" s="1332"/>
      <c r="N441" s="1332"/>
      <c r="O441" s="1332"/>
      <c r="P441" s="1332"/>
      <c r="Q441" s="1332"/>
      <c r="R441" s="1332"/>
      <c r="S441" s="1332"/>
      <c r="T441" s="1332"/>
      <c r="U441" s="1332"/>
      <c r="V441" s="1332"/>
      <c r="W441" s="1332"/>
      <c r="X441" s="1332"/>
      <c r="Y441" s="1332"/>
      <c r="Z441" s="1332"/>
      <c r="AA441" s="1332"/>
      <c r="AB441" s="1332"/>
    </row>
    <row r="442">
      <c r="A442" s="1332"/>
      <c r="B442" s="1366"/>
      <c r="C442" s="1366"/>
      <c r="D442" s="1375"/>
      <c r="E442" s="1332"/>
      <c r="F442" s="1332"/>
      <c r="G442" s="1378"/>
      <c r="H442" s="1378"/>
      <c r="I442" s="1332"/>
      <c r="J442" s="1332"/>
      <c r="K442" s="1332"/>
      <c r="L442" s="1332"/>
      <c r="M442" s="1332"/>
      <c r="N442" s="1332"/>
      <c r="O442" s="1332"/>
      <c r="P442" s="1332"/>
      <c r="Q442" s="1332"/>
      <c r="R442" s="1332"/>
      <c r="S442" s="1332"/>
      <c r="T442" s="1332"/>
      <c r="U442" s="1332"/>
      <c r="V442" s="1332"/>
      <c r="W442" s="1332"/>
      <c r="X442" s="1332"/>
      <c r="Y442" s="1332"/>
      <c r="Z442" s="1332"/>
      <c r="AA442" s="1332"/>
      <c r="AB442" s="1332"/>
    </row>
    <row r="443">
      <c r="A443" s="1332"/>
      <c r="B443" s="1366"/>
      <c r="C443" s="1366"/>
      <c r="D443" s="1375"/>
      <c r="E443" s="1332"/>
      <c r="F443" s="1332"/>
      <c r="G443" s="1378"/>
      <c r="H443" s="1378"/>
      <c r="I443" s="1332"/>
      <c r="J443" s="1332"/>
      <c r="K443" s="1332"/>
      <c r="L443" s="1332"/>
      <c r="M443" s="1332"/>
      <c r="N443" s="1332"/>
      <c r="O443" s="1332"/>
      <c r="P443" s="1332"/>
      <c r="Q443" s="1332"/>
      <c r="R443" s="1332"/>
      <c r="S443" s="1332"/>
      <c r="T443" s="1332"/>
      <c r="U443" s="1332"/>
      <c r="V443" s="1332"/>
      <c r="W443" s="1332"/>
      <c r="X443" s="1332"/>
      <c r="Y443" s="1332"/>
      <c r="Z443" s="1332"/>
      <c r="AA443" s="1332"/>
      <c r="AB443" s="1332"/>
    </row>
    <row r="444">
      <c r="A444" s="1332"/>
      <c r="B444" s="1366"/>
      <c r="C444" s="1366"/>
      <c r="D444" s="1375"/>
      <c r="E444" s="1332"/>
      <c r="F444" s="1332"/>
      <c r="G444" s="1378"/>
      <c r="H444" s="1378"/>
      <c r="I444" s="1332"/>
      <c r="J444" s="1332"/>
      <c r="K444" s="1332"/>
      <c r="L444" s="1332"/>
      <c r="M444" s="1332"/>
      <c r="N444" s="1332"/>
      <c r="O444" s="1332"/>
      <c r="P444" s="1332"/>
      <c r="Q444" s="1332"/>
      <c r="R444" s="1332"/>
      <c r="S444" s="1332"/>
      <c r="T444" s="1332"/>
      <c r="U444" s="1332"/>
      <c r="V444" s="1332"/>
      <c r="W444" s="1332"/>
      <c r="X444" s="1332"/>
      <c r="Y444" s="1332"/>
      <c r="Z444" s="1332"/>
      <c r="AA444" s="1332"/>
      <c r="AB444" s="1332"/>
    </row>
    <row r="445">
      <c r="A445" s="1332"/>
      <c r="B445" s="1366"/>
      <c r="C445" s="1366"/>
      <c r="D445" s="1375"/>
      <c r="E445" s="1332"/>
      <c r="F445" s="1332"/>
      <c r="G445" s="1378"/>
      <c r="H445" s="1378"/>
      <c r="I445" s="1332"/>
      <c r="J445" s="1332"/>
      <c r="K445" s="1332"/>
      <c r="L445" s="1332"/>
      <c r="M445" s="1332"/>
      <c r="N445" s="1332"/>
      <c r="O445" s="1332"/>
      <c r="P445" s="1332"/>
      <c r="Q445" s="1332"/>
      <c r="R445" s="1332"/>
      <c r="S445" s="1332"/>
      <c r="T445" s="1332"/>
      <c r="U445" s="1332"/>
      <c r="V445" s="1332"/>
      <c r="W445" s="1332"/>
      <c r="X445" s="1332"/>
      <c r="Y445" s="1332"/>
      <c r="Z445" s="1332"/>
      <c r="AA445" s="1332"/>
      <c r="AB445" s="1332"/>
    </row>
    <row r="446">
      <c r="A446" s="1332"/>
      <c r="B446" s="1366"/>
      <c r="C446" s="1366"/>
      <c r="D446" s="1375"/>
      <c r="E446" s="1332"/>
      <c r="F446" s="1332"/>
      <c r="G446" s="1378"/>
      <c r="H446" s="1378"/>
      <c r="I446" s="1332"/>
      <c r="J446" s="1332"/>
      <c r="K446" s="1332"/>
      <c r="L446" s="1332"/>
      <c r="M446" s="1332"/>
      <c r="N446" s="1332"/>
      <c r="O446" s="1332"/>
      <c r="P446" s="1332"/>
      <c r="Q446" s="1332"/>
      <c r="R446" s="1332"/>
      <c r="S446" s="1332"/>
      <c r="T446" s="1332"/>
      <c r="U446" s="1332"/>
      <c r="V446" s="1332"/>
      <c r="W446" s="1332"/>
      <c r="X446" s="1332"/>
      <c r="Y446" s="1332"/>
      <c r="Z446" s="1332"/>
      <c r="AA446" s="1332"/>
      <c r="AB446" s="1332"/>
    </row>
    <row r="447">
      <c r="A447" s="1332"/>
      <c r="B447" s="1366"/>
      <c r="C447" s="1366"/>
      <c r="D447" s="1375"/>
      <c r="E447" s="1332"/>
      <c r="F447" s="1332"/>
      <c r="G447" s="1378"/>
      <c r="H447" s="1378"/>
      <c r="I447" s="1332"/>
      <c r="J447" s="1332"/>
      <c r="K447" s="1332"/>
      <c r="L447" s="1332"/>
      <c r="M447" s="1332"/>
      <c r="N447" s="1332"/>
      <c r="O447" s="1332"/>
      <c r="P447" s="1332"/>
      <c r="Q447" s="1332"/>
      <c r="R447" s="1332"/>
      <c r="S447" s="1332"/>
      <c r="T447" s="1332"/>
      <c r="U447" s="1332"/>
      <c r="V447" s="1332"/>
      <c r="W447" s="1332"/>
      <c r="X447" s="1332"/>
      <c r="Y447" s="1332"/>
      <c r="Z447" s="1332"/>
      <c r="AA447" s="1332"/>
      <c r="AB447" s="1332"/>
    </row>
    <row r="448">
      <c r="A448" s="1332"/>
      <c r="B448" s="1366"/>
      <c r="C448" s="1366"/>
      <c r="D448" s="1375"/>
      <c r="E448" s="1332"/>
      <c r="F448" s="1332"/>
      <c r="G448" s="1378"/>
      <c r="H448" s="1378"/>
      <c r="I448" s="1332"/>
      <c r="J448" s="1332"/>
      <c r="K448" s="1332"/>
      <c r="L448" s="1332"/>
      <c r="M448" s="1332"/>
      <c r="N448" s="1332"/>
      <c r="O448" s="1332"/>
      <c r="P448" s="1332"/>
      <c r="Q448" s="1332"/>
      <c r="R448" s="1332"/>
      <c r="S448" s="1332"/>
      <c r="T448" s="1332"/>
      <c r="U448" s="1332"/>
      <c r="V448" s="1332"/>
      <c r="W448" s="1332"/>
      <c r="X448" s="1332"/>
      <c r="Y448" s="1332"/>
      <c r="Z448" s="1332"/>
      <c r="AA448" s="1332"/>
      <c r="AB448" s="1332"/>
    </row>
    <row r="449">
      <c r="A449" s="1332"/>
      <c r="B449" s="1366"/>
      <c r="C449" s="1366"/>
      <c r="D449" s="1375"/>
      <c r="E449" s="1332"/>
      <c r="F449" s="1332"/>
      <c r="G449" s="1378"/>
      <c r="H449" s="1378"/>
      <c r="I449" s="1332"/>
      <c r="J449" s="1332"/>
      <c r="K449" s="1332"/>
      <c r="L449" s="1332"/>
      <c r="M449" s="1332"/>
      <c r="N449" s="1332"/>
      <c r="O449" s="1332"/>
      <c r="P449" s="1332"/>
      <c r="Q449" s="1332"/>
      <c r="R449" s="1332"/>
      <c r="S449" s="1332"/>
      <c r="T449" s="1332"/>
      <c r="U449" s="1332"/>
      <c r="V449" s="1332"/>
      <c r="W449" s="1332"/>
      <c r="X449" s="1332"/>
      <c r="Y449" s="1332"/>
      <c r="Z449" s="1332"/>
      <c r="AA449" s="1332"/>
      <c r="AB449" s="1332"/>
    </row>
    <row r="450">
      <c r="A450" s="1332"/>
      <c r="B450" s="1366"/>
      <c r="C450" s="1366"/>
      <c r="D450" s="1375"/>
      <c r="E450" s="1332"/>
      <c r="F450" s="1332"/>
      <c r="G450" s="1378"/>
      <c r="H450" s="1378"/>
      <c r="I450" s="1332"/>
      <c r="J450" s="1332"/>
      <c r="K450" s="1332"/>
      <c r="L450" s="1332"/>
      <c r="M450" s="1332"/>
      <c r="N450" s="1332"/>
      <c r="O450" s="1332"/>
      <c r="P450" s="1332"/>
      <c r="Q450" s="1332"/>
      <c r="R450" s="1332"/>
      <c r="S450" s="1332"/>
      <c r="T450" s="1332"/>
      <c r="U450" s="1332"/>
      <c r="V450" s="1332"/>
      <c r="W450" s="1332"/>
      <c r="X450" s="1332"/>
      <c r="Y450" s="1332"/>
      <c r="Z450" s="1332"/>
      <c r="AA450" s="1332"/>
      <c r="AB450" s="1332"/>
    </row>
    <row r="451">
      <c r="A451" s="1332"/>
      <c r="B451" s="1366"/>
      <c r="C451" s="1366"/>
      <c r="D451" s="1375"/>
      <c r="E451" s="1332"/>
      <c r="F451" s="1332"/>
      <c r="G451" s="1378"/>
      <c r="H451" s="1378"/>
      <c r="I451" s="1332"/>
      <c r="J451" s="1332"/>
      <c r="K451" s="1332"/>
      <c r="L451" s="1332"/>
      <c r="M451" s="1332"/>
      <c r="N451" s="1332"/>
      <c r="O451" s="1332"/>
      <c r="P451" s="1332"/>
      <c r="Q451" s="1332"/>
      <c r="R451" s="1332"/>
      <c r="S451" s="1332"/>
      <c r="T451" s="1332"/>
      <c r="U451" s="1332"/>
      <c r="V451" s="1332"/>
      <c r="W451" s="1332"/>
      <c r="X451" s="1332"/>
      <c r="Y451" s="1332"/>
      <c r="Z451" s="1332"/>
      <c r="AA451" s="1332"/>
      <c r="AB451" s="1332"/>
    </row>
    <row r="452">
      <c r="A452" s="1332"/>
      <c r="B452" s="1366"/>
      <c r="C452" s="1366"/>
      <c r="D452" s="1375"/>
      <c r="E452" s="1332"/>
      <c r="F452" s="1332"/>
      <c r="G452" s="1378"/>
      <c r="H452" s="1378"/>
      <c r="I452" s="1332"/>
      <c r="J452" s="1332"/>
      <c r="K452" s="1332"/>
      <c r="L452" s="1332"/>
      <c r="M452" s="1332"/>
      <c r="N452" s="1332"/>
      <c r="O452" s="1332"/>
      <c r="P452" s="1332"/>
      <c r="Q452" s="1332"/>
      <c r="R452" s="1332"/>
      <c r="S452" s="1332"/>
      <c r="T452" s="1332"/>
      <c r="U452" s="1332"/>
      <c r="V452" s="1332"/>
      <c r="W452" s="1332"/>
      <c r="X452" s="1332"/>
      <c r="Y452" s="1332"/>
      <c r="Z452" s="1332"/>
      <c r="AA452" s="1332"/>
      <c r="AB452" s="1332"/>
    </row>
    <row r="453">
      <c r="A453" s="1332"/>
      <c r="B453" s="1366"/>
      <c r="C453" s="1366"/>
      <c r="D453" s="1375"/>
      <c r="E453" s="1332"/>
      <c r="F453" s="1332"/>
      <c r="G453" s="1378"/>
      <c r="H453" s="1378"/>
      <c r="I453" s="1332"/>
      <c r="J453" s="1332"/>
      <c r="K453" s="1332"/>
      <c r="L453" s="1332"/>
      <c r="M453" s="1332"/>
      <c r="N453" s="1332"/>
      <c r="O453" s="1332"/>
      <c r="P453" s="1332"/>
      <c r="Q453" s="1332"/>
      <c r="R453" s="1332"/>
      <c r="S453" s="1332"/>
      <c r="T453" s="1332"/>
      <c r="U453" s="1332"/>
      <c r="V453" s="1332"/>
      <c r="W453" s="1332"/>
      <c r="X453" s="1332"/>
      <c r="Y453" s="1332"/>
      <c r="Z453" s="1332"/>
      <c r="AA453" s="1332"/>
      <c r="AB453" s="1332"/>
    </row>
    <row r="454">
      <c r="A454" s="1332"/>
      <c r="B454" s="1366"/>
      <c r="C454" s="1366"/>
      <c r="D454" s="1375"/>
      <c r="E454" s="1332"/>
      <c r="F454" s="1332"/>
      <c r="G454" s="1378"/>
      <c r="H454" s="1378"/>
      <c r="I454" s="1332"/>
      <c r="J454" s="1332"/>
      <c r="K454" s="1332"/>
      <c r="L454" s="1332"/>
      <c r="M454" s="1332"/>
      <c r="N454" s="1332"/>
      <c r="O454" s="1332"/>
      <c r="P454" s="1332"/>
      <c r="Q454" s="1332"/>
      <c r="R454" s="1332"/>
      <c r="S454" s="1332"/>
      <c r="T454" s="1332"/>
      <c r="U454" s="1332"/>
      <c r="V454" s="1332"/>
      <c r="W454" s="1332"/>
      <c r="X454" s="1332"/>
      <c r="Y454" s="1332"/>
      <c r="Z454" s="1332"/>
      <c r="AA454" s="1332"/>
      <c r="AB454" s="1332"/>
    </row>
    <row r="455">
      <c r="A455" s="1332"/>
      <c r="B455" s="1366"/>
      <c r="C455" s="1366"/>
      <c r="D455" s="1375"/>
      <c r="E455" s="1332"/>
      <c r="F455" s="1332"/>
      <c r="G455" s="1378"/>
      <c r="H455" s="1378"/>
      <c r="I455" s="1332"/>
      <c r="J455" s="1332"/>
      <c r="K455" s="1332"/>
      <c r="L455" s="1332"/>
      <c r="M455" s="1332"/>
      <c r="N455" s="1332"/>
      <c r="O455" s="1332"/>
      <c r="P455" s="1332"/>
      <c r="Q455" s="1332"/>
      <c r="R455" s="1332"/>
      <c r="S455" s="1332"/>
      <c r="T455" s="1332"/>
      <c r="U455" s="1332"/>
      <c r="V455" s="1332"/>
      <c r="W455" s="1332"/>
      <c r="X455" s="1332"/>
      <c r="Y455" s="1332"/>
      <c r="Z455" s="1332"/>
      <c r="AA455" s="1332"/>
      <c r="AB455" s="1332"/>
    </row>
    <row r="456">
      <c r="A456" s="1332"/>
      <c r="B456" s="1366"/>
      <c r="C456" s="1366"/>
      <c r="D456" s="1375"/>
      <c r="E456" s="1332"/>
      <c r="F456" s="1332"/>
      <c r="G456" s="1378"/>
      <c r="H456" s="1378"/>
      <c r="I456" s="1332"/>
      <c r="J456" s="1332"/>
      <c r="K456" s="1332"/>
      <c r="L456" s="1332"/>
      <c r="M456" s="1332"/>
      <c r="N456" s="1332"/>
      <c r="O456" s="1332"/>
      <c r="P456" s="1332"/>
      <c r="Q456" s="1332"/>
      <c r="R456" s="1332"/>
      <c r="S456" s="1332"/>
      <c r="T456" s="1332"/>
      <c r="U456" s="1332"/>
      <c r="V456" s="1332"/>
      <c r="W456" s="1332"/>
      <c r="X456" s="1332"/>
      <c r="Y456" s="1332"/>
      <c r="Z456" s="1332"/>
      <c r="AA456" s="1332"/>
      <c r="AB456" s="1332"/>
    </row>
    <row r="457">
      <c r="A457" s="1332"/>
      <c r="B457" s="1366"/>
      <c r="C457" s="1366"/>
      <c r="D457" s="1375"/>
      <c r="E457" s="1332"/>
      <c r="F457" s="1332"/>
      <c r="G457" s="1378"/>
      <c r="H457" s="1378"/>
      <c r="I457" s="1332"/>
      <c r="J457" s="1332"/>
      <c r="K457" s="1332"/>
      <c r="L457" s="1332"/>
      <c r="M457" s="1332"/>
      <c r="N457" s="1332"/>
      <c r="O457" s="1332"/>
      <c r="P457" s="1332"/>
      <c r="Q457" s="1332"/>
      <c r="R457" s="1332"/>
      <c r="S457" s="1332"/>
      <c r="T457" s="1332"/>
      <c r="U457" s="1332"/>
      <c r="V457" s="1332"/>
      <c r="W457" s="1332"/>
      <c r="X457" s="1332"/>
      <c r="Y457" s="1332"/>
      <c r="Z457" s="1332"/>
      <c r="AA457" s="1332"/>
      <c r="AB457" s="1332"/>
    </row>
    <row r="458">
      <c r="A458" s="1332"/>
      <c r="B458" s="1366"/>
      <c r="C458" s="1366"/>
      <c r="D458" s="1375"/>
      <c r="E458" s="1332"/>
      <c r="F458" s="1332"/>
      <c r="G458" s="1378"/>
      <c r="H458" s="1378"/>
      <c r="I458" s="1332"/>
      <c r="J458" s="1332"/>
      <c r="K458" s="1332"/>
      <c r="L458" s="1332"/>
      <c r="M458" s="1332"/>
      <c r="N458" s="1332"/>
      <c r="O458" s="1332"/>
      <c r="P458" s="1332"/>
      <c r="Q458" s="1332"/>
      <c r="R458" s="1332"/>
      <c r="S458" s="1332"/>
      <c r="T458" s="1332"/>
      <c r="U458" s="1332"/>
      <c r="V458" s="1332"/>
      <c r="W458" s="1332"/>
      <c r="X458" s="1332"/>
      <c r="Y458" s="1332"/>
      <c r="Z458" s="1332"/>
      <c r="AA458" s="1332"/>
      <c r="AB458" s="1332"/>
    </row>
    <row r="459">
      <c r="A459" s="1332"/>
      <c r="B459" s="1366"/>
      <c r="C459" s="1366"/>
      <c r="D459" s="1375"/>
      <c r="E459" s="1332"/>
      <c r="F459" s="1332"/>
      <c r="G459" s="1378"/>
      <c r="H459" s="1378"/>
      <c r="I459" s="1332"/>
      <c r="J459" s="1332"/>
      <c r="K459" s="1332"/>
      <c r="L459" s="1332"/>
      <c r="M459" s="1332"/>
      <c r="N459" s="1332"/>
      <c r="O459" s="1332"/>
      <c r="P459" s="1332"/>
      <c r="Q459" s="1332"/>
      <c r="R459" s="1332"/>
      <c r="S459" s="1332"/>
      <c r="T459" s="1332"/>
      <c r="U459" s="1332"/>
      <c r="V459" s="1332"/>
      <c r="W459" s="1332"/>
      <c r="X459" s="1332"/>
      <c r="Y459" s="1332"/>
      <c r="Z459" s="1332"/>
      <c r="AA459" s="1332"/>
      <c r="AB459" s="1332"/>
    </row>
    <row r="460">
      <c r="A460" s="1332"/>
      <c r="B460" s="1366"/>
      <c r="C460" s="1366"/>
      <c r="D460" s="1375"/>
      <c r="E460" s="1332"/>
      <c r="F460" s="1332"/>
      <c r="G460" s="1378"/>
      <c r="H460" s="1378"/>
      <c r="I460" s="1332"/>
      <c r="J460" s="1332"/>
      <c r="K460" s="1332"/>
      <c r="L460" s="1332"/>
      <c r="M460" s="1332"/>
      <c r="N460" s="1332"/>
      <c r="O460" s="1332"/>
      <c r="P460" s="1332"/>
      <c r="Q460" s="1332"/>
      <c r="R460" s="1332"/>
      <c r="S460" s="1332"/>
      <c r="T460" s="1332"/>
      <c r="U460" s="1332"/>
      <c r="V460" s="1332"/>
      <c r="W460" s="1332"/>
      <c r="X460" s="1332"/>
      <c r="Y460" s="1332"/>
      <c r="Z460" s="1332"/>
      <c r="AA460" s="1332"/>
      <c r="AB460" s="1332"/>
    </row>
    <row r="461">
      <c r="A461" s="1332"/>
      <c r="B461" s="1366"/>
      <c r="C461" s="1366"/>
      <c r="D461" s="1375"/>
      <c r="E461" s="1332"/>
      <c r="F461" s="1332"/>
      <c r="G461" s="1378"/>
      <c r="H461" s="1378"/>
      <c r="I461" s="1332"/>
      <c r="J461" s="1332"/>
      <c r="K461" s="1332"/>
      <c r="L461" s="1332"/>
      <c r="M461" s="1332"/>
      <c r="N461" s="1332"/>
      <c r="O461" s="1332"/>
      <c r="P461" s="1332"/>
      <c r="Q461" s="1332"/>
      <c r="R461" s="1332"/>
      <c r="S461" s="1332"/>
      <c r="T461" s="1332"/>
      <c r="U461" s="1332"/>
      <c r="V461" s="1332"/>
      <c r="W461" s="1332"/>
      <c r="X461" s="1332"/>
      <c r="Y461" s="1332"/>
      <c r="Z461" s="1332"/>
      <c r="AA461" s="1332"/>
      <c r="AB461" s="1332"/>
    </row>
    <row r="462">
      <c r="A462" s="1332"/>
      <c r="B462" s="1366"/>
      <c r="C462" s="1366"/>
      <c r="D462" s="1375"/>
      <c r="E462" s="1332"/>
      <c r="F462" s="1332"/>
      <c r="G462" s="1378"/>
      <c r="H462" s="1378"/>
      <c r="I462" s="1332"/>
      <c r="J462" s="1332"/>
      <c r="K462" s="1332"/>
      <c r="L462" s="1332"/>
      <c r="M462" s="1332"/>
      <c r="N462" s="1332"/>
      <c r="O462" s="1332"/>
      <c r="P462" s="1332"/>
      <c r="Q462" s="1332"/>
      <c r="R462" s="1332"/>
      <c r="S462" s="1332"/>
      <c r="T462" s="1332"/>
      <c r="U462" s="1332"/>
      <c r="V462" s="1332"/>
      <c r="W462" s="1332"/>
      <c r="X462" s="1332"/>
      <c r="Y462" s="1332"/>
      <c r="Z462" s="1332"/>
      <c r="AA462" s="1332"/>
      <c r="AB462" s="1332"/>
    </row>
    <row r="463">
      <c r="A463" s="1332"/>
      <c r="B463" s="1366"/>
      <c r="C463" s="1366"/>
      <c r="D463" s="1375"/>
      <c r="E463" s="1332"/>
      <c r="F463" s="1332"/>
      <c r="G463" s="1378"/>
      <c r="H463" s="1378"/>
      <c r="I463" s="1332"/>
      <c r="J463" s="1332"/>
      <c r="K463" s="1332"/>
      <c r="L463" s="1332"/>
      <c r="M463" s="1332"/>
      <c r="N463" s="1332"/>
      <c r="O463" s="1332"/>
      <c r="P463" s="1332"/>
      <c r="Q463" s="1332"/>
      <c r="R463" s="1332"/>
      <c r="S463" s="1332"/>
      <c r="T463" s="1332"/>
      <c r="U463" s="1332"/>
      <c r="V463" s="1332"/>
      <c r="W463" s="1332"/>
      <c r="X463" s="1332"/>
      <c r="Y463" s="1332"/>
      <c r="Z463" s="1332"/>
      <c r="AA463" s="1332"/>
      <c r="AB463" s="1332"/>
    </row>
    <row r="464">
      <c r="A464" s="1332"/>
      <c r="B464" s="1366"/>
      <c r="C464" s="1366"/>
      <c r="D464" s="1375"/>
      <c r="E464" s="1332"/>
      <c r="F464" s="1332"/>
      <c r="G464" s="1378"/>
      <c r="H464" s="1378"/>
      <c r="I464" s="1332"/>
      <c r="J464" s="1332"/>
      <c r="K464" s="1332"/>
      <c r="L464" s="1332"/>
      <c r="M464" s="1332"/>
      <c r="N464" s="1332"/>
      <c r="O464" s="1332"/>
      <c r="P464" s="1332"/>
      <c r="Q464" s="1332"/>
      <c r="R464" s="1332"/>
      <c r="S464" s="1332"/>
      <c r="T464" s="1332"/>
      <c r="U464" s="1332"/>
      <c r="V464" s="1332"/>
      <c r="W464" s="1332"/>
      <c r="X464" s="1332"/>
      <c r="Y464" s="1332"/>
      <c r="Z464" s="1332"/>
      <c r="AA464" s="1332"/>
      <c r="AB464" s="1332"/>
    </row>
    <row r="465">
      <c r="A465" s="1332"/>
      <c r="B465" s="1366"/>
      <c r="C465" s="1366"/>
      <c r="D465" s="1375"/>
      <c r="E465" s="1332"/>
      <c r="F465" s="1332"/>
      <c r="G465" s="1378"/>
      <c r="H465" s="1378"/>
      <c r="I465" s="1332"/>
      <c r="J465" s="1332"/>
      <c r="K465" s="1332"/>
      <c r="L465" s="1332"/>
      <c r="M465" s="1332"/>
      <c r="N465" s="1332"/>
      <c r="O465" s="1332"/>
      <c r="P465" s="1332"/>
      <c r="Q465" s="1332"/>
      <c r="R465" s="1332"/>
      <c r="S465" s="1332"/>
      <c r="T465" s="1332"/>
      <c r="U465" s="1332"/>
      <c r="V465" s="1332"/>
      <c r="W465" s="1332"/>
      <c r="X465" s="1332"/>
      <c r="Y465" s="1332"/>
      <c r="Z465" s="1332"/>
      <c r="AA465" s="1332"/>
      <c r="AB465" s="1332"/>
    </row>
    <row r="466">
      <c r="A466" s="1332"/>
      <c r="B466" s="1366"/>
      <c r="C466" s="1366"/>
      <c r="D466" s="1375"/>
      <c r="E466" s="1332"/>
      <c r="F466" s="1332"/>
      <c r="G466" s="1378"/>
      <c r="H466" s="1378"/>
      <c r="I466" s="1332"/>
      <c r="J466" s="1332"/>
      <c r="K466" s="1332"/>
      <c r="L466" s="1332"/>
      <c r="M466" s="1332"/>
      <c r="N466" s="1332"/>
      <c r="O466" s="1332"/>
      <c r="P466" s="1332"/>
      <c r="Q466" s="1332"/>
      <c r="R466" s="1332"/>
      <c r="S466" s="1332"/>
      <c r="T466" s="1332"/>
      <c r="U466" s="1332"/>
      <c r="V466" s="1332"/>
      <c r="W466" s="1332"/>
      <c r="X466" s="1332"/>
      <c r="Y466" s="1332"/>
      <c r="Z466" s="1332"/>
      <c r="AA466" s="1332"/>
      <c r="AB466" s="1332"/>
    </row>
    <row r="467">
      <c r="A467" s="1332"/>
      <c r="B467" s="1366"/>
      <c r="C467" s="1366"/>
      <c r="D467" s="1375"/>
      <c r="E467" s="1332"/>
      <c r="F467" s="1332"/>
      <c r="G467" s="1378"/>
      <c r="H467" s="1378"/>
      <c r="I467" s="1332"/>
      <c r="J467" s="1332"/>
      <c r="K467" s="1332"/>
      <c r="L467" s="1332"/>
      <c r="M467" s="1332"/>
      <c r="N467" s="1332"/>
      <c r="O467" s="1332"/>
      <c r="P467" s="1332"/>
      <c r="Q467" s="1332"/>
      <c r="R467" s="1332"/>
      <c r="S467" s="1332"/>
      <c r="T467" s="1332"/>
      <c r="U467" s="1332"/>
      <c r="V467" s="1332"/>
      <c r="W467" s="1332"/>
      <c r="X467" s="1332"/>
      <c r="Y467" s="1332"/>
      <c r="Z467" s="1332"/>
      <c r="AA467" s="1332"/>
      <c r="AB467" s="1332"/>
    </row>
    <row r="468">
      <c r="A468" s="1332"/>
      <c r="B468" s="1366"/>
      <c r="C468" s="1366"/>
      <c r="D468" s="1375"/>
      <c r="E468" s="1332"/>
      <c r="F468" s="1332"/>
      <c r="G468" s="1378"/>
      <c r="H468" s="1378"/>
      <c r="I468" s="1332"/>
      <c r="J468" s="1332"/>
      <c r="K468" s="1332"/>
      <c r="L468" s="1332"/>
      <c r="M468" s="1332"/>
      <c r="N468" s="1332"/>
      <c r="O468" s="1332"/>
      <c r="P468" s="1332"/>
      <c r="Q468" s="1332"/>
      <c r="R468" s="1332"/>
      <c r="S468" s="1332"/>
      <c r="T468" s="1332"/>
      <c r="U468" s="1332"/>
      <c r="V468" s="1332"/>
      <c r="W468" s="1332"/>
      <c r="X468" s="1332"/>
      <c r="Y468" s="1332"/>
      <c r="Z468" s="1332"/>
      <c r="AA468" s="1332"/>
      <c r="AB468" s="1332"/>
    </row>
    <row r="469">
      <c r="A469" s="1332"/>
      <c r="B469" s="1366"/>
      <c r="C469" s="1366"/>
      <c r="D469" s="1375"/>
      <c r="E469" s="1332"/>
      <c r="F469" s="1332"/>
      <c r="G469" s="1378"/>
      <c r="H469" s="1378"/>
      <c r="I469" s="1332"/>
      <c r="J469" s="1332"/>
      <c r="K469" s="1332"/>
      <c r="L469" s="1332"/>
      <c r="M469" s="1332"/>
      <c r="N469" s="1332"/>
      <c r="O469" s="1332"/>
      <c r="P469" s="1332"/>
      <c r="Q469" s="1332"/>
      <c r="R469" s="1332"/>
      <c r="S469" s="1332"/>
      <c r="T469" s="1332"/>
      <c r="U469" s="1332"/>
      <c r="V469" s="1332"/>
      <c r="W469" s="1332"/>
      <c r="X469" s="1332"/>
      <c r="Y469" s="1332"/>
      <c r="Z469" s="1332"/>
      <c r="AA469" s="1332"/>
      <c r="AB469" s="1332"/>
    </row>
    <row r="470">
      <c r="A470" s="1332"/>
      <c r="B470" s="1366"/>
      <c r="C470" s="1366"/>
      <c r="D470" s="1375"/>
      <c r="E470" s="1332"/>
      <c r="F470" s="1332"/>
      <c r="G470" s="1378"/>
      <c r="H470" s="1378"/>
      <c r="I470" s="1332"/>
      <c r="J470" s="1332"/>
      <c r="K470" s="1332"/>
      <c r="L470" s="1332"/>
      <c r="M470" s="1332"/>
      <c r="N470" s="1332"/>
      <c r="O470" s="1332"/>
      <c r="P470" s="1332"/>
      <c r="Q470" s="1332"/>
      <c r="R470" s="1332"/>
      <c r="S470" s="1332"/>
      <c r="T470" s="1332"/>
      <c r="U470" s="1332"/>
      <c r="V470" s="1332"/>
      <c r="W470" s="1332"/>
      <c r="X470" s="1332"/>
      <c r="Y470" s="1332"/>
      <c r="Z470" s="1332"/>
      <c r="AA470" s="1332"/>
      <c r="AB470" s="1332"/>
    </row>
    <row r="471">
      <c r="A471" s="1332"/>
      <c r="B471" s="1366"/>
      <c r="C471" s="1366"/>
      <c r="D471" s="1375"/>
      <c r="E471" s="1332"/>
      <c r="F471" s="1332"/>
      <c r="G471" s="1378"/>
      <c r="H471" s="1378"/>
      <c r="I471" s="1332"/>
      <c r="J471" s="1332"/>
      <c r="K471" s="1332"/>
      <c r="L471" s="1332"/>
      <c r="M471" s="1332"/>
      <c r="N471" s="1332"/>
      <c r="O471" s="1332"/>
      <c r="P471" s="1332"/>
      <c r="Q471" s="1332"/>
      <c r="R471" s="1332"/>
      <c r="S471" s="1332"/>
      <c r="T471" s="1332"/>
      <c r="U471" s="1332"/>
      <c r="V471" s="1332"/>
      <c r="W471" s="1332"/>
      <c r="X471" s="1332"/>
      <c r="Y471" s="1332"/>
      <c r="Z471" s="1332"/>
      <c r="AA471" s="1332"/>
      <c r="AB471" s="1332"/>
    </row>
    <row r="472">
      <c r="A472" s="1332"/>
      <c r="B472" s="1366"/>
      <c r="C472" s="1366"/>
      <c r="D472" s="1375"/>
      <c r="E472" s="1332"/>
      <c r="F472" s="1332"/>
      <c r="G472" s="1378"/>
      <c r="H472" s="1378"/>
      <c r="I472" s="1332"/>
      <c r="J472" s="1332"/>
      <c r="K472" s="1332"/>
      <c r="L472" s="1332"/>
      <c r="M472" s="1332"/>
      <c r="N472" s="1332"/>
      <c r="O472" s="1332"/>
      <c r="P472" s="1332"/>
      <c r="Q472" s="1332"/>
      <c r="R472" s="1332"/>
      <c r="S472" s="1332"/>
      <c r="T472" s="1332"/>
      <c r="U472" s="1332"/>
      <c r="V472" s="1332"/>
      <c r="W472" s="1332"/>
      <c r="X472" s="1332"/>
      <c r="Y472" s="1332"/>
      <c r="Z472" s="1332"/>
      <c r="AA472" s="1332"/>
      <c r="AB472" s="1332"/>
    </row>
    <row r="473">
      <c r="A473" s="1332"/>
      <c r="B473" s="1366"/>
      <c r="C473" s="1366"/>
      <c r="D473" s="1375"/>
      <c r="E473" s="1332"/>
      <c r="F473" s="1332"/>
      <c r="G473" s="1378"/>
      <c r="H473" s="1378"/>
      <c r="I473" s="1332"/>
      <c r="J473" s="1332"/>
      <c r="K473" s="1332"/>
      <c r="L473" s="1332"/>
      <c r="M473" s="1332"/>
      <c r="N473" s="1332"/>
      <c r="O473" s="1332"/>
      <c r="P473" s="1332"/>
      <c r="Q473" s="1332"/>
      <c r="R473" s="1332"/>
      <c r="S473" s="1332"/>
      <c r="T473" s="1332"/>
      <c r="U473" s="1332"/>
      <c r="V473" s="1332"/>
      <c r="W473" s="1332"/>
      <c r="X473" s="1332"/>
      <c r="Y473" s="1332"/>
      <c r="Z473" s="1332"/>
      <c r="AA473" s="1332"/>
      <c r="AB473" s="1332"/>
    </row>
    <row r="474">
      <c r="A474" s="1332"/>
      <c r="B474" s="1366"/>
      <c r="C474" s="1366"/>
      <c r="D474" s="1375"/>
      <c r="E474" s="1332"/>
      <c r="F474" s="1332"/>
      <c r="G474" s="1378"/>
      <c r="H474" s="1378"/>
      <c r="I474" s="1332"/>
      <c r="J474" s="1332"/>
      <c r="K474" s="1332"/>
      <c r="L474" s="1332"/>
      <c r="M474" s="1332"/>
      <c r="N474" s="1332"/>
      <c r="O474" s="1332"/>
      <c r="P474" s="1332"/>
      <c r="Q474" s="1332"/>
      <c r="R474" s="1332"/>
      <c r="S474" s="1332"/>
      <c r="T474" s="1332"/>
      <c r="U474" s="1332"/>
      <c r="V474" s="1332"/>
      <c r="W474" s="1332"/>
      <c r="X474" s="1332"/>
      <c r="Y474" s="1332"/>
      <c r="Z474" s="1332"/>
      <c r="AA474" s="1332"/>
      <c r="AB474" s="1332"/>
    </row>
    <row r="475">
      <c r="A475" s="1332"/>
      <c r="B475" s="1366"/>
      <c r="C475" s="1366"/>
      <c r="D475" s="1375"/>
      <c r="E475" s="1332"/>
      <c r="F475" s="1332"/>
      <c r="G475" s="1378"/>
      <c r="H475" s="1378"/>
      <c r="I475" s="1332"/>
      <c r="J475" s="1332"/>
      <c r="K475" s="1332"/>
      <c r="L475" s="1332"/>
      <c r="M475" s="1332"/>
      <c r="N475" s="1332"/>
      <c r="O475" s="1332"/>
      <c r="P475" s="1332"/>
      <c r="Q475" s="1332"/>
      <c r="R475" s="1332"/>
      <c r="S475" s="1332"/>
      <c r="T475" s="1332"/>
      <c r="U475" s="1332"/>
      <c r="V475" s="1332"/>
      <c r="W475" s="1332"/>
      <c r="X475" s="1332"/>
      <c r="Y475" s="1332"/>
      <c r="Z475" s="1332"/>
      <c r="AA475" s="1332"/>
      <c r="AB475" s="1332"/>
    </row>
    <row r="476">
      <c r="A476" s="1332"/>
      <c r="B476" s="1366"/>
      <c r="C476" s="1366"/>
      <c r="D476" s="1375"/>
      <c r="E476" s="1332"/>
      <c r="F476" s="1332"/>
      <c r="G476" s="1378"/>
      <c r="H476" s="1378"/>
      <c r="I476" s="1332"/>
      <c r="J476" s="1332"/>
      <c r="K476" s="1332"/>
      <c r="L476" s="1332"/>
      <c r="M476" s="1332"/>
      <c r="N476" s="1332"/>
      <c r="O476" s="1332"/>
      <c r="P476" s="1332"/>
      <c r="Q476" s="1332"/>
      <c r="R476" s="1332"/>
      <c r="S476" s="1332"/>
      <c r="T476" s="1332"/>
      <c r="U476" s="1332"/>
      <c r="V476" s="1332"/>
      <c r="W476" s="1332"/>
      <c r="X476" s="1332"/>
      <c r="Y476" s="1332"/>
      <c r="Z476" s="1332"/>
      <c r="AA476" s="1332"/>
      <c r="AB476" s="1332"/>
    </row>
    <row r="477">
      <c r="A477" s="1332"/>
      <c r="B477" s="1366"/>
      <c r="C477" s="1366"/>
      <c r="D477" s="1375"/>
      <c r="E477" s="1332"/>
      <c r="F477" s="1332"/>
      <c r="G477" s="1378"/>
      <c r="H477" s="1378"/>
      <c r="I477" s="1332"/>
      <c r="J477" s="1332"/>
      <c r="K477" s="1332"/>
      <c r="L477" s="1332"/>
      <c r="M477" s="1332"/>
      <c r="N477" s="1332"/>
      <c r="O477" s="1332"/>
      <c r="P477" s="1332"/>
      <c r="Q477" s="1332"/>
      <c r="R477" s="1332"/>
      <c r="S477" s="1332"/>
      <c r="T477" s="1332"/>
      <c r="U477" s="1332"/>
      <c r="V477" s="1332"/>
      <c r="W477" s="1332"/>
      <c r="X477" s="1332"/>
      <c r="Y477" s="1332"/>
      <c r="Z477" s="1332"/>
      <c r="AA477" s="1332"/>
      <c r="AB477" s="1332"/>
    </row>
    <row r="478">
      <c r="A478" s="1332"/>
      <c r="B478" s="1366"/>
      <c r="C478" s="1366"/>
      <c r="D478" s="1375"/>
      <c r="E478" s="1332"/>
      <c r="F478" s="1332"/>
      <c r="G478" s="1378"/>
      <c r="H478" s="1378"/>
      <c r="I478" s="1332"/>
      <c r="J478" s="1332"/>
      <c r="K478" s="1332"/>
      <c r="L478" s="1332"/>
      <c r="M478" s="1332"/>
      <c r="N478" s="1332"/>
      <c r="O478" s="1332"/>
      <c r="P478" s="1332"/>
      <c r="Q478" s="1332"/>
      <c r="R478" s="1332"/>
      <c r="S478" s="1332"/>
      <c r="T478" s="1332"/>
      <c r="U478" s="1332"/>
      <c r="V478" s="1332"/>
      <c r="W478" s="1332"/>
      <c r="X478" s="1332"/>
      <c r="Y478" s="1332"/>
      <c r="Z478" s="1332"/>
      <c r="AA478" s="1332"/>
      <c r="AB478" s="1332"/>
    </row>
    <row r="479">
      <c r="A479" s="1332"/>
      <c r="B479" s="1366"/>
      <c r="C479" s="1366"/>
      <c r="D479" s="1375"/>
      <c r="E479" s="1332"/>
      <c r="F479" s="1332"/>
      <c r="G479" s="1378"/>
      <c r="H479" s="1378"/>
      <c r="I479" s="1332"/>
      <c r="J479" s="1332"/>
      <c r="K479" s="1332"/>
      <c r="L479" s="1332"/>
      <c r="M479" s="1332"/>
      <c r="N479" s="1332"/>
      <c r="O479" s="1332"/>
      <c r="P479" s="1332"/>
      <c r="Q479" s="1332"/>
      <c r="R479" s="1332"/>
      <c r="S479" s="1332"/>
      <c r="T479" s="1332"/>
      <c r="U479" s="1332"/>
      <c r="V479" s="1332"/>
      <c r="W479" s="1332"/>
      <c r="X479" s="1332"/>
      <c r="Y479" s="1332"/>
      <c r="Z479" s="1332"/>
      <c r="AA479" s="1332"/>
      <c r="AB479" s="1332"/>
    </row>
    <row r="480">
      <c r="A480" s="1332"/>
      <c r="B480" s="1366"/>
      <c r="C480" s="1366"/>
      <c r="D480" s="1375"/>
      <c r="E480" s="1332"/>
      <c r="F480" s="1332"/>
      <c r="G480" s="1378"/>
      <c r="H480" s="1378"/>
      <c r="I480" s="1332"/>
      <c r="J480" s="1332"/>
      <c r="K480" s="1332"/>
      <c r="L480" s="1332"/>
      <c r="M480" s="1332"/>
      <c r="N480" s="1332"/>
      <c r="O480" s="1332"/>
      <c r="P480" s="1332"/>
      <c r="Q480" s="1332"/>
      <c r="R480" s="1332"/>
      <c r="S480" s="1332"/>
      <c r="T480" s="1332"/>
      <c r="U480" s="1332"/>
      <c r="V480" s="1332"/>
      <c r="W480" s="1332"/>
      <c r="X480" s="1332"/>
      <c r="Y480" s="1332"/>
      <c r="Z480" s="1332"/>
      <c r="AA480" s="1332"/>
      <c r="AB480" s="1332"/>
    </row>
    <row r="481">
      <c r="A481" s="1332"/>
      <c r="B481" s="1366"/>
      <c r="C481" s="1366"/>
      <c r="D481" s="1375"/>
      <c r="E481" s="1332"/>
      <c r="F481" s="1332"/>
      <c r="G481" s="1378"/>
      <c r="H481" s="1378"/>
      <c r="I481" s="1332"/>
      <c r="J481" s="1332"/>
      <c r="K481" s="1332"/>
      <c r="L481" s="1332"/>
      <c r="M481" s="1332"/>
      <c r="N481" s="1332"/>
      <c r="O481" s="1332"/>
      <c r="P481" s="1332"/>
      <c r="Q481" s="1332"/>
      <c r="R481" s="1332"/>
      <c r="S481" s="1332"/>
      <c r="T481" s="1332"/>
      <c r="U481" s="1332"/>
      <c r="V481" s="1332"/>
      <c r="W481" s="1332"/>
      <c r="X481" s="1332"/>
      <c r="Y481" s="1332"/>
      <c r="Z481" s="1332"/>
      <c r="AA481" s="1332"/>
      <c r="AB481" s="1332"/>
    </row>
    <row r="482">
      <c r="A482" s="1332"/>
      <c r="B482" s="1366"/>
      <c r="C482" s="1366"/>
      <c r="D482" s="1375"/>
      <c r="E482" s="1332"/>
      <c r="F482" s="1332"/>
      <c r="G482" s="1378"/>
      <c r="H482" s="1378"/>
      <c r="I482" s="1332"/>
      <c r="J482" s="1332"/>
      <c r="K482" s="1332"/>
      <c r="L482" s="1332"/>
      <c r="M482" s="1332"/>
      <c r="N482" s="1332"/>
      <c r="O482" s="1332"/>
      <c r="P482" s="1332"/>
      <c r="Q482" s="1332"/>
      <c r="R482" s="1332"/>
      <c r="S482" s="1332"/>
      <c r="T482" s="1332"/>
      <c r="U482" s="1332"/>
      <c r="V482" s="1332"/>
      <c r="W482" s="1332"/>
      <c r="X482" s="1332"/>
      <c r="Y482" s="1332"/>
      <c r="Z482" s="1332"/>
      <c r="AA482" s="1332"/>
      <c r="AB482" s="1332"/>
    </row>
    <row r="483">
      <c r="A483" s="1332"/>
      <c r="B483" s="1366"/>
      <c r="C483" s="1366"/>
      <c r="D483" s="1375"/>
      <c r="E483" s="1332"/>
      <c r="F483" s="1332"/>
      <c r="G483" s="1378"/>
      <c r="H483" s="1378"/>
      <c r="I483" s="1332"/>
      <c r="J483" s="1332"/>
      <c r="K483" s="1332"/>
      <c r="L483" s="1332"/>
      <c r="M483" s="1332"/>
      <c r="N483" s="1332"/>
      <c r="O483" s="1332"/>
      <c r="P483" s="1332"/>
      <c r="Q483" s="1332"/>
      <c r="R483" s="1332"/>
      <c r="S483" s="1332"/>
      <c r="T483" s="1332"/>
      <c r="U483" s="1332"/>
      <c r="V483" s="1332"/>
      <c r="W483" s="1332"/>
      <c r="X483" s="1332"/>
      <c r="Y483" s="1332"/>
      <c r="Z483" s="1332"/>
      <c r="AA483" s="1332"/>
      <c r="AB483" s="1332"/>
    </row>
    <row r="484">
      <c r="A484" s="1332"/>
      <c r="B484" s="1366"/>
      <c r="C484" s="1366"/>
      <c r="D484" s="1375"/>
      <c r="E484" s="1332"/>
      <c r="F484" s="1332"/>
      <c r="G484" s="1378"/>
      <c r="H484" s="1378"/>
      <c r="I484" s="1332"/>
      <c r="J484" s="1332"/>
      <c r="K484" s="1332"/>
      <c r="L484" s="1332"/>
      <c r="M484" s="1332"/>
      <c r="N484" s="1332"/>
      <c r="O484" s="1332"/>
      <c r="P484" s="1332"/>
      <c r="Q484" s="1332"/>
      <c r="R484" s="1332"/>
      <c r="S484" s="1332"/>
      <c r="T484" s="1332"/>
      <c r="U484" s="1332"/>
      <c r="V484" s="1332"/>
      <c r="W484" s="1332"/>
      <c r="X484" s="1332"/>
      <c r="Y484" s="1332"/>
      <c r="Z484" s="1332"/>
      <c r="AA484" s="1332"/>
      <c r="AB484" s="1332"/>
    </row>
    <row r="485">
      <c r="A485" s="1332"/>
      <c r="B485" s="1366"/>
      <c r="C485" s="1366"/>
      <c r="D485" s="1375"/>
      <c r="E485" s="1332"/>
      <c r="F485" s="1332"/>
      <c r="G485" s="1378"/>
      <c r="H485" s="1378"/>
      <c r="I485" s="1332"/>
      <c r="J485" s="1332"/>
      <c r="K485" s="1332"/>
      <c r="L485" s="1332"/>
      <c r="M485" s="1332"/>
      <c r="N485" s="1332"/>
      <c r="O485" s="1332"/>
      <c r="P485" s="1332"/>
      <c r="Q485" s="1332"/>
      <c r="R485" s="1332"/>
      <c r="S485" s="1332"/>
      <c r="T485" s="1332"/>
      <c r="U485" s="1332"/>
      <c r="V485" s="1332"/>
      <c r="W485" s="1332"/>
      <c r="X485" s="1332"/>
      <c r="Y485" s="1332"/>
      <c r="Z485" s="1332"/>
      <c r="AA485" s="1332"/>
      <c r="AB485" s="1332"/>
    </row>
    <row r="486">
      <c r="A486" s="1332"/>
      <c r="B486" s="1366"/>
      <c r="C486" s="1366"/>
      <c r="D486" s="1375"/>
      <c r="E486" s="1332"/>
      <c r="F486" s="1332"/>
      <c r="G486" s="1378"/>
      <c r="H486" s="1378"/>
      <c r="I486" s="1332"/>
      <c r="J486" s="1332"/>
      <c r="K486" s="1332"/>
      <c r="L486" s="1332"/>
      <c r="M486" s="1332"/>
      <c r="N486" s="1332"/>
      <c r="O486" s="1332"/>
      <c r="P486" s="1332"/>
      <c r="Q486" s="1332"/>
      <c r="R486" s="1332"/>
      <c r="S486" s="1332"/>
      <c r="T486" s="1332"/>
      <c r="U486" s="1332"/>
      <c r="V486" s="1332"/>
      <c r="W486" s="1332"/>
      <c r="X486" s="1332"/>
      <c r="Y486" s="1332"/>
      <c r="Z486" s="1332"/>
      <c r="AA486" s="1332"/>
      <c r="AB486" s="1332"/>
    </row>
    <row r="487">
      <c r="A487" s="1332"/>
      <c r="B487" s="1366"/>
      <c r="C487" s="1366"/>
      <c r="D487" s="1375"/>
      <c r="E487" s="1332"/>
      <c r="F487" s="1332"/>
      <c r="G487" s="1378"/>
      <c r="H487" s="1378"/>
      <c r="I487" s="1332"/>
      <c r="J487" s="1332"/>
      <c r="K487" s="1332"/>
      <c r="L487" s="1332"/>
      <c r="M487" s="1332"/>
      <c r="N487" s="1332"/>
      <c r="O487" s="1332"/>
      <c r="P487" s="1332"/>
      <c r="Q487" s="1332"/>
      <c r="R487" s="1332"/>
      <c r="S487" s="1332"/>
      <c r="T487" s="1332"/>
      <c r="U487" s="1332"/>
      <c r="V487" s="1332"/>
      <c r="W487" s="1332"/>
      <c r="X487" s="1332"/>
      <c r="Y487" s="1332"/>
      <c r="Z487" s="1332"/>
      <c r="AA487" s="1332"/>
      <c r="AB487" s="1332"/>
    </row>
    <row r="488">
      <c r="A488" s="1332"/>
      <c r="B488" s="1366"/>
      <c r="C488" s="1366"/>
      <c r="D488" s="1375"/>
      <c r="E488" s="1332"/>
      <c r="F488" s="1332"/>
      <c r="G488" s="1378"/>
      <c r="H488" s="1378"/>
      <c r="I488" s="1332"/>
      <c r="J488" s="1332"/>
      <c r="K488" s="1332"/>
      <c r="L488" s="1332"/>
      <c r="M488" s="1332"/>
      <c r="N488" s="1332"/>
      <c r="O488" s="1332"/>
      <c r="P488" s="1332"/>
      <c r="Q488" s="1332"/>
      <c r="R488" s="1332"/>
      <c r="S488" s="1332"/>
      <c r="T488" s="1332"/>
      <c r="U488" s="1332"/>
      <c r="V488" s="1332"/>
      <c r="W488" s="1332"/>
      <c r="X488" s="1332"/>
      <c r="Y488" s="1332"/>
      <c r="Z488" s="1332"/>
      <c r="AA488" s="1332"/>
      <c r="AB488" s="1332"/>
    </row>
    <row r="489">
      <c r="A489" s="1332"/>
      <c r="B489" s="1366"/>
      <c r="C489" s="1366"/>
      <c r="D489" s="1375"/>
      <c r="E489" s="1332"/>
      <c r="F489" s="1332"/>
      <c r="G489" s="1378"/>
      <c r="H489" s="1378"/>
      <c r="I489" s="1332"/>
      <c r="J489" s="1332"/>
      <c r="K489" s="1332"/>
      <c r="L489" s="1332"/>
      <c r="M489" s="1332"/>
      <c r="N489" s="1332"/>
      <c r="O489" s="1332"/>
      <c r="P489" s="1332"/>
      <c r="Q489" s="1332"/>
      <c r="R489" s="1332"/>
      <c r="S489" s="1332"/>
      <c r="T489" s="1332"/>
      <c r="U489" s="1332"/>
      <c r="V489" s="1332"/>
      <c r="W489" s="1332"/>
      <c r="X489" s="1332"/>
      <c r="Y489" s="1332"/>
      <c r="Z489" s="1332"/>
      <c r="AA489" s="1332"/>
      <c r="AB489" s="1332"/>
    </row>
    <row r="490">
      <c r="A490" s="1332"/>
      <c r="B490" s="1366"/>
      <c r="C490" s="1366"/>
      <c r="D490" s="1375"/>
      <c r="E490" s="1332"/>
      <c r="F490" s="1332"/>
      <c r="G490" s="1378"/>
      <c r="H490" s="1378"/>
      <c r="I490" s="1332"/>
      <c r="J490" s="1332"/>
      <c r="K490" s="1332"/>
      <c r="L490" s="1332"/>
      <c r="M490" s="1332"/>
      <c r="N490" s="1332"/>
      <c r="O490" s="1332"/>
      <c r="P490" s="1332"/>
      <c r="Q490" s="1332"/>
      <c r="R490" s="1332"/>
      <c r="S490" s="1332"/>
      <c r="T490" s="1332"/>
      <c r="U490" s="1332"/>
      <c r="V490" s="1332"/>
      <c r="W490" s="1332"/>
      <c r="X490" s="1332"/>
      <c r="Y490" s="1332"/>
      <c r="Z490" s="1332"/>
      <c r="AA490" s="1332"/>
      <c r="AB490" s="1332"/>
    </row>
    <row r="491">
      <c r="A491" s="1332"/>
      <c r="B491" s="1366"/>
      <c r="C491" s="1366"/>
      <c r="D491" s="1375"/>
      <c r="E491" s="1332"/>
      <c r="F491" s="1332"/>
      <c r="G491" s="1378"/>
      <c r="H491" s="1378"/>
      <c r="I491" s="1332"/>
      <c r="J491" s="1332"/>
      <c r="K491" s="1332"/>
      <c r="L491" s="1332"/>
      <c r="M491" s="1332"/>
      <c r="N491" s="1332"/>
      <c r="O491" s="1332"/>
      <c r="P491" s="1332"/>
      <c r="Q491" s="1332"/>
      <c r="R491" s="1332"/>
      <c r="S491" s="1332"/>
      <c r="T491" s="1332"/>
      <c r="U491" s="1332"/>
      <c r="V491" s="1332"/>
      <c r="W491" s="1332"/>
      <c r="X491" s="1332"/>
      <c r="Y491" s="1332"/>
      <c r="Z491" s="1332"/>
      <c r="AA491" s="1332"/>
      <c r="AB491" s="1332"/>
    </row>
    <row r="492">
      <c r="A492" s="1332"/>
      <c r="B492" s="1366"/>
      <c r="C492" s="1366"/>
      <c r="D492" s="1375"/>
      <c r="E492" s="1332"/>
      <c r="F492" s="1332"/>
      <c r="G492" s="1378"/>
      <c r="H492" s="1378"/>
      <c r="I492" s="1332"/>
      <c r="J492" s="1332"/>
      <c r="K492" s="1332"/>
      <c r="L492" s="1332"/>
      <c r="M492" s="1332"/>
      <c r="N492" s="1332"/>
      <c r="O492" s="1332"/>
      <c r="P492" s="1332"/>
      <c r="Q492" s="1332"/>
      <c r="R492" s="1332"/>
      <c r="S492" s="1332"/>
      <c r="T492" s="1332"/>
      <c r="U492" s="1332"/>
      <c r="V492" s="1332"/>
      <c r="W492" s="1332"/>
      <c r="X492" s="1332"/>
      <c r="Y492" s="1332"/>
      <c r="Z492" s="1332"/>
      <c r="AA492" s="1332"/>
      <c r="AB492" s="1332"/>
    </row>
    <row r="493">
      <c r="A493" s="1332"/>
      <c r="B493" s="1366"/>
      <c r="C493" s="1366"/>
      <c r="D493" s="1375"/>
      <c r="E493" s="1332"/>
      <c r="F493" s="1332"/>
      <c r="G493" s="1378"/>
      <c r="H493" s="1378"/>
      <c r="I493" s="1332"/>
      <c r="J493" s="1332"/>
      <c r="K493" s="1332"/>
      <c r="L493" s="1332"/>
      <c r="M493" s="1332"/>
      <c r="N493" s="1332"/>
      <c r="O493" s="1332"/>
      <c r="P493" s="1332"/>
      <c r="Q493" s="1332"/>
      <c r="R493" s="1332"/>
      <c r="S493" s="1332"/>
      <c r="T493" s="1332"/>
      <c r="U493" s="1332"/>
      <c r="V493" s="1332"/>
      <c r="W493" s="1332"/>
      <c r="X493" s="1332"/>
      <c r="Y493" s="1332"/>
      <c r="Z493" s="1332"/>
      <c r="AA493" s="1332"/>
      <c r="AB493" s="1332"/>
    </row>
    <row r="494">
      <c r="A494" s="1332"/>
      <c r="B494" s="1366"/>
      <c r="C494" s="1366"/>
      <c r="D494" s="1375"/>
      <c r="E494" s="1332"/>
      <c r="F494" s="1332"/>
      <c r="G494" s="1378"/>
      <c r="H494" s="1378"/>
      <c r="I494" s="1332"/>
      <c r="J494" s="1332"/>
      <c r="K494" s="1332"/>
      <c r="L494" s="1332"/>
      <c r="M494" s="1332"/>
      <c r="N494" s="1332"/>
      <c r="O494" s="1332"/>
      <c r="P494" s="1332"/>
      <c r="Q494" s="1332"/>
      <c r="R494" s="1332"/>
      <c r="S494" s="1332"/>
      <c r="T494" s="1332"/>
      <c r="U494" s="1332"/>
      <c r="V494" s="1332"/>
      <c r="W494" s="1332"/>
      <c r="X494" s="1332"/>
      <c r="Y494" s="1332"/>
      <c r="Z494" s="1332"/>
      <c r="AA494" s="1332"/>
      <c r="AB494" s="1332"/>
    </row>
    <row r="495">
      <c r="A495" s="1332"/>
      <c r="B495" s="1366"/>
      <c r="C495" s="1366"/>
      <c r="D495" s="1375"/>
      <c r="E495" s="1332"/>
      <c r="F495" s="1332"/>
      <c r="G495" s="1378"/>
      <c r="H495" s="1378"/>
      <c r="I495" s="1332"/>
      <c r="J495" s="1332"/>
      <c r="K495" s="1332"/>
      <c r="L495" s="1332"/>
      <c r="M495" s="1332"/>
      <c r="N495" s="1332"/>
      <c r="O495" s="1332"/>
      <c r="P495" s="1332"/>
      <c r="Q495" s="1332"/>
      <c r="R495" s="1332"/>
      <c r="S495" s="1332"/>
      <c r="T495" s="1332"/>
      <c r="U495" s="1332"/>
      <c r="V495" s="1332"/>
      <c r="W495" s="1332"/>
      <c r="X495" s="1332"/>
      <c r="Y495" s="1332"/>
      <c r="Z495" s="1332"/>
      <c r="AA495" s="1332"/>
      <c r="AB495" s="1332"/>
    </row>
    <row r="496">
      <c r="A496" s="1332"/>
      <c r="B496" s="1366"/>
      <c r="C496" s="1366"/>
      <c r="D496" s="1375"/>
      <c r="E496" s="1332"/>
      <c r="F496" s="1332"/>
      <c r="G496" s="1378"/>
      <c r="H496" s="1378"/>
      <c r="I496" s="1332"/>
      <c r="J496" s="1332"/>
      <c r="K496" s="1332"/>
      <c r="L496" s="1332"/>
      <c r="M496" s="1332"/>
      <c r="N496" s="1332"/>
      <c r="O496" s="1332"/>
      <c r="P496" s="1332"/>
      <c r="Q496" s="1332"/>
      <c r="R496" s="1332"/>
      <c r="S496" s="1332"/>
      <c r="T496" s="1332"/>
      <c r="U496" s="1332"/>
      <c r="V496" s="1332"/>
      <c r="W496" s="1332"/>
      <c r="X496" s="1332"/>
      <c r="Y496" s="1332"/>
      <c r="Z496" s="1332"/>
      <c r="AA496" s="1332"/>
      <c r="AB496" s="1332"/>
    </row>
    <row r="497">
      <c r="A497" s="1332"/>
      <c r="B497" s="1366"/>
      <c r="C497" s="1366"/>
      <c r="D497" s="1375"/>
      <c r="E497" s="1332"/>
      <c r="F497" s="1332"/>
      <c r="G497" s="1378"/>
      <c r="H497" s="1378"/>
      <c r="I497" s="1332"/>
      <c r="J497" s="1332"/>
      <c r="K497" s="1332"/>
      <c r="L497" s="1332"/>
      <c r="M497" s="1332"/>
      <c r="N497" s="1332"/>
      <c r="O497" s="1332"/>
      <c r="P497" s="1332"/>
      <c r="Q497" s="1332"/>
      <c r="R497" s="1332"/>
      <c r="S497" s="1332"/>
      <c r="T497" s="1332"/>
      <c r="U497" s="1332"/>
      <c r="V497" s="1332"/>
      <c r="W497" s="1332"/>
      <c r="X497" s="1332"/>
      <c r="Y497" s="1332"/>
      <c r="Z497" s="1332"/>
      <c r="AA497" s="1332"/>
      <c r="AB497" s="1332"/>
    </row>
    <row r="498">
      <c r="A498" s="1332"/>
      <c r="B498" s="1366"/>
      <c r="C498" s="1366"/>
      <c r="D498" s="1375"/>
      <c r="E498" s="1332"/>
      <c r="F498" s="1332"/>
      <c r="G498" s="1378"/>
      <c r="H498" s="1378"/>
      <c r="I498" s="1332"/>
      <c r="J498" s="1332"/>
      <c r="K498" s="1332"/>
      <c r="L498" s="1332"/>
      <c r="M498" s="1332"/>
      <c r="N498" s="1332"/>
      <c r="O498" s="1332"/>
      <c r="P498" s="1332"/>
      <c r="Q498" s="1332"/>
      <c r="R498" s="1332"/>
      <c r="S498" s="1332"/>
      <c r="T498" s="1332"/>
      <c r="U498" s="1332"/>
      <c r="V498" s="1332"/>
      <c r="W498" s="1332"/>
      <c r="X498" s="1332"/>
      <c r="Y498" s="1332"/>
      <c r="Z498" s="1332"/>
      <c r="AA498" s="1332"/>
      <c r="AB498" s="1332"/>
    </row>
    <row r="499">
      <c r="A499" s="1332"/>
      <c r="B499" s="1366"/>
      <c r="C499" s="1366"/>
      <c r="D499" s="1375"/>
      <c r="E499" s="1332"/>
      <c r="F499" s="1332"/>
      <c r="G499" s="1378"/>
      <c r="H499" s="1378"/>
      <c r="I499" s="1332"/>
      <c r="J499" s="1332"/>
      <c r="K499" s="1332"/>
      <c r="L499" s="1332"/>
      <c r="M499" s="1332"/>
      <c r="N499" s="1332"/>
      <c r="O499" s="1332"/>
      <c r="P499" s="1332"/>
      <c r="Q499" s="1332"/>
      <c r="R499" s="1332"/>
      <c r="S499" s="1332"/>
      <c r="T499" s="1332"/>
      <c r="U499" s="1332"/>
      <c r="V499" s="1332"/>
      <c r="W499" s="1332"/>
      <c r="X499" s="1332"/>
      <c r="Y499" s="1332"/>
      <c r="Z499" s="1332"/>
      <c r="AA499" s="1332"/>
      <c r="AB499" s="1332"/>
    </row>
    <row r="500">
      <c r="A500" s="1332"/>
      <c r="B500" s="1366"/>
      <c r="C500" s="1366"/>
      <c r="D500" s="1375"/>
      <c r="E500" s="1332"/>
      <c r="F500" s="1332"/>
      <c r="G500" s="1378"/>
      <c r="H500" s="1378"/>
      <c r="I500" s="1332"/>
      <c r="J500" s="1332"/>
      <c r="K500" s="1332"/>
      <c r="L500" s="1332"/>
      <c r="M500" s="1332"/>
      <c r="N500" s="1332"/>
      <c r="O500" s="1332"/>
      <c r="P500" s="1332"/>
      <c r="Q500" s="1332"/>
      <c r="R500" s="1332"/>
      <c r="S500" s="1332"/>
      <c r="T500" s="1332"/>
      <c r="U500" s="1332"/>
      <c r="V500" s="1332"/>
      <c r="W500" s="1332"/>
      <c r="X500" s="1332"/>
      <c r="Y500" s="1332"/>
      <c r="Z500" s="1332"/>
      <c r="AA500" s="1332"/>
      <c r="AB500" s="1332"/>
    </row>
    <row r="501">
      <c r="A501" s="1332"/>
      <c r="B501" s="1366"/>
      <c r="C501" s="1366"/>
      <c r="D501" s="1375"/>
      <c r="E501" s="1332"/>
      <c r="F501" s="1332"/>
      <c r="G501" s="1378"/>
      <c r="H501" s="1378"/>
      <c r="I501" s="1332"/>
      <c r="J501" s="1332"/>
      <c r="K501" s="1332"/>
      <c r="L501" s="1332"/>
      <c r="M501" s="1332"/>
      <c r="N501" s="1332"/>
      <c r="O501" s="1332"/>
      <c r="P501" s="1332"/>
      <c r="Q501" s="1332"/>
      <c r="R501" s="1332"/>
      <c r="S501" s="1332"/>
      <c r="T501" s="1332"/>
      <c r="U501" s="1332"/>
      <c r="V501" s="1332"/>
      <c r="W501" s="1332"/>
      <c r="X501" s="1332"/>
      <c r="Y501" s="1332"/>
      <c r="Z501" s="1332"/>
      <c r="AA501" s="1332"/>
      <c r="AB501" s="1332"/>
    </row>
    <row r="502">
      <c r="A502" s="1332"/>
      <c r="B502" s="1366"/>
      <c r="C502" s="1366"/>
      <c r="D502" s="1375"/>
      <c r="E502" s="1332"/>
      <c r="F502" s="1332"/>
      <c r="G502" s="1378"/>
      <c r="H502" s="1378"/>
      <c r="I502" s="1332"/>
      <c r="J502" s="1332"/>
      <c r="K502" s="1332"/>
      <c r="L502" s="1332"/>
      <c r="M502" s="1332"/>
      <c r="N502" s="1332"/>
      <c r="O502" s="1332"/>
      <c r="P502" s="1332"/>
      <c r="Q502" s="1332"/>
      <c r="R502" s="1332"/>
      <c r="S502" s="1332"/>
      <c r="T502" s="1332"/>
      <c r="U502" s="1332"/>
      <c r="V502" s="1332"/>
      <c r="W502" s="1332"/>
      <c r="X502" s="1332"/>
      <c r="Y502" s="1332"/>
      <c r="Z502" s="1332"/>
      <c r="AA502" s="1332"/>
      <c r="AB502" s="1332"/>
    </row>
    <row r="503">
      <c r="A503" s="1332"/>
      <c r="B503" s="1366"/>
      <c r="C503" s="1366"/>
      <c r="D503" s="1375"/>
      <c r="E503" s="1332"/>
      <c r="F503" s="1332"/>
      <c r="G503" s="1378"/>
      <c r="H503" s="1378"/>
      <c r="I503" s="1332"/>
      <c r="J503" s="1332"/>
      <c r="K503" s="1332"/>
      <c r="L503" s="1332"/>
      <c r="M503" s="1332"/>
      <c r="N503" s="1332"/>
      <c r="O503" s="1332"/>
      <c r="P503" s="1332"/>
      <c r="Q503" s="1332"/>
      <c r="R503" s="1332"/>
      <c r="S503" s="1332"/>
      <c r="T503" s="1332"/>
      <c r="U503" s="1332"/>
      <c r="V503" s="1332"/>
      <c r="W503" s="1332"/>
      <c r="X503" s="1332"/>
      <c r="Y503" s="1332"/>
      <c r="Z503" s="1332"/>
      <c r="AA503" s="1332"/>
      <c r="AB503" s="1332"/>
    </row>
    <row r="504">
      <c r="A504" s="1332"/>
      <c r="B504" s="1366"/>
      <c r="C504" s="1366"/>
      <c r="D504" s="1375"/>
      <c r="E504" s="1332"/>
      <c r="F504" s="1332"/>
      <c r="G504" s="1378"/>
      <c r="H504" s="1378"/>
      <c r="I504" s="1332"/>
      <c r="J504" s="1332"/>
      <c r="K504" s="1332"/>
      <c r="L504" s="1332"/>
      <c r="M504" s="1332"/>
      <c r="N504" s="1332"/>
      <c r="O504" s="1332"/>
      <c r="P504" s="1332"/>
      <c r="Q504" s="1332"/>
      <c r="R504" s="1332"/>
      <c r="S504" s="1332"/>
      <c r="T504" s="1332"/>
      <c r="U504" s="1332"/>
      <c r="V504" s="1332"/>
      <c r="W504" s="1332"/>
      <c r="X504" s="1332"/>
      <c r="Y504" s="1332"/>
      <c r="Z504" s="1332"/>
      <c r="AA504" s="1332"/>
      <c r="AB504" s="1332"/>
    </row>
    <row r="505">
      <c r="A505" s="1332"/>
      <c r="B505" s="1366"/>
      <c r="C505" s="1366"/>
      <c r="D505" s="1375"/>
      <c r="E505" s="1332"/>
      <c r="F505" s="1332"/>
      <c r="G505" s="1378"/>
      <c r="H505" s="1378"/>
      <c r="I505" s="1332"/>
      <c r="J505" s="1332"/>
      <c r="K505" s="1332"/>
      <c r="L505" s="1332"/>
      <c r="M505" s="1332"/>
      <c r="N505" s="1332"/>
      <c r="O505" s="1332"/>
      <c r="P505" s="1332"/>
      <c r="Q505" s="1332"/>
      <c r="R505" s="1332"/>
      <c r="S505" s="1332"/>
      <c r="T505" s="1332"/>
      <c r="U505" s="1332"/>
      <c r="V505" s="1332"/>
      <c r="W505" s="1332"/>
      <c r="X505" s="1332"/>
      <c r="Y505" s="1332"/>
      <c r="Z505" s="1332"/>
      <c r="AA505" s="1332"/>
      <c r="AB505" s="1332"/>
    </row>
    <row r="506">
      <c r="A506" s="1332"/>
      <c r="B506" s="1366"/>
      <c r="C506" s="1366"/>
      <c r="D506" s="1375"/>
      <c r="E506" s="1332"/>
      <c r="F506" s="1332"/>
      <c r="G506" s="1378"/>
      <c r="H506" s="1378"/>
      <c r="I506" s="1332"/>
      <c r="J506" s="1332"/>
      <c r="K506" s="1332"/>
      <c r="L506" s="1332"/>
      <c r="M506" s="1332"/>
      <c r="N506" s="1332"/>
      <c r="O506" s="1332"/>
      <c r="P506" s="1332"/>
      <c r="Q506" s="1332"/>
      <c r="R506" s="1332"/>
      <c r="S506" s="1332"/>
      <c r="T506" s="1332"/>
      <c r="U506" s="1332"/>
      <c r="V506" s="1332"/>
      <c r="W506" s="1332"/>
      <c r="X506" s="1332"/>
      <c r="Y506" s="1332"/>
      <c r="Z506" s="1332"/>
      <c r="AA506" s="1332"/>
      <c r="AB506" s="1332"/>
    </row>
    <row r="507">
      <c r="A507" s="1332"/>
      <c r="B507" s="1366"/>
      <c r="C507" s="1366"/>
      <c r="D507" s="1375"/>
      <c r="E507" s="1332"/>
      <c r="F507" s="1332"/>
      <c r="G507" s="1378"/>
      <c r="H507" s="1378"/>
      <c r="I507" s="1332"/>
      <c r="J507" s="1332"/>
      <c r="K507" s="1332"/>
      <c r="L507" s="1332"/>
      <c r="M507" s="1332"/>
      <c r="N507" s="1332"/>
      <c r="O507" s="1332"/>
      <c r="P507" s="1332"/>
      <c r="Q507" s="1332"/>
      <c r="R507" s="1332"/>
      <c r="S507" s="1332"/>
      <c r="T507" s="1332"/>
      <c r="U507" s="1332"/>
      <c r="V507" s="1332"/>
      <c r="W507" s="1332"/>
      <c r="X507" s="1332"/>
      <c r="Y507" s="1332"/>
      <c r="Z507" s="1332"/>
      <c r="AA507" s="1332"/>
      <c r="AB507" s="1332"/>
    </row>
    <row r="508">
      <c r="A508" s="1332"/>
      <c r="B508" s="1366"/>
      <c r="C508" s="1366"/>
      <c r="D508" s="1375"/>
      <c r="E508" s="1332"/>
      <c r="F508" s="1332"/>
      <c r="G508" s="1378"/>
      <c r="H508" s="1378"/>
      <c r="I508" s="1332"/>
      <c r="J508" s="1332"/>
      <c r="K508" s="1332"/>
      <c r="L508" s="1332"/>
      <c r="M508" s="1332"/>
      <c r="N508" s="1332"/>
      <c r="O508" s="1332"/>
      <c r="P508" s="1332"/>
      <c r="Q508" s="1332"/>
      <c r="R508" s="1332"/>
      <c r="S508" s="1332"/>
      <c r="T508" s="1332"/>
      <c r="U508" s="1332"/>
      <c r="V508" s="1332"/>
      <c r="W508" s="1332"/>
      <c r="X508" s="1332"/>
      <c r="Y508" s="1332"/>
      <c r="Z508" s="1332"/>
      <c r="AA508" s="1332"/>
      <c r="AB508" s="1332"/>
    </row>
    <row r="509">
      <c r="A509" s="1332"/>
      <c r="B509" s="1366"/>
      <c r="C509" s="1366"/>
      <c r="D509" s="1375"/>
      <c r="E509" s="1332"/>
      <c r="F509" s="1332"/>
      <c r="G509" s="1378"/>
      <c r="H509" s="1378"/>
      <c r="I509" s="1332"/>
      <c r="J509" s="1332"/>
      <c r="K509" s="1332"/>
      <c r="L509" s="1332"/>
      <c r="M509" s="1332"/>
      <c r="N509" s="1332"/>
      <c r="O509" s="1332"/>
      <c r="P509" s="1332"/>
      <c r="Q509" s="1332"/>
      <c r="R509" s="1332"/>
      <c r="S509" s="1332"/>
      <c r="T509" s="1332"/>
      <c r="U509" s="1332"/>
      <c r="V509" s="1332"/>
      <c r="W509" s="1332"/>
      <c r="X509" s="1332"/>
      <c r="Y509" s="1332"/>
      <c r="Z509" s="1332"/>
      <c r="AA509" s="1332"/>
      <c r="AB509" s="1332"/>
    </row>
    <row r="510">
      <c r="A510" s="1332"/>
      <c r="B510" s="1366"/>
      <c r="C510" s="1366"/>
      <c r="D510" s="1375"/>
      <c r="E510" s="1332"/>
      <c r="F510" s="1332"/>
      <c r="G510" s="1378"/>
      <c r="H510" s="1378"/>
      <c r="I510" s="1332"/>
      <c r="J510" s="1332"/>
      <c r="K510" s="1332"/>
      <c r="L510" s="1332"/>
      <c r="M510" s="1332"/>
      <c r="N510" s="1332"/>
      <c r="O510" s="1332"/>
      <c r="P510" s="1332"/>
      <c r="Q510" s="1332"/>
      <c r="R510" s="1332"/>
      <c r="S510" s="1332"/>
      <c r="T510" s="1332"/>
      <c r="U510" s="1332"/>
      <c r="V510" s="1332"/>
      <c r="W510" s="1332"/>
      <c r="X510" s="1332"/>
      <c r="Y510" s="1332"/>
      <c r="Z510" s="1332"/>
      <c r="AA510" s="1332"/>
      <c r="AB510" s="1332"/>
    </row>
    <row r="511">
      <c r="A511" s="1332"/>
      <c r="B511" s="1366"/>
      <c r="C511" s="1366"/>
      <c r="D511" s="1375"/>
      <c r="E511" s="1332"/>
      <c r="F511" s="1332"/>
      <c r="G511" s="1378"/>
      <c r="H511" s="1378"/>
      <c r="I511" s="1332"/>
      <c r="J511" s="1332"/>
      <c r="K511" s="1332"/>
      <c r="L511" s="1332"/>
      <c r="M511" s="1332"/>
      <c r="N511" s="1332"/>
      <c r="O511" s="1332"/>
      <c r="P511" s="1332"/>
      <c r="Q511" s="1332"/>
      <c r="R511" s="1332"/>
      <c r="S511" s="1332"/>
      <c r="T511" s="1332"/>
      <c r="U511" s="1332"/>
      <c r="V511" s="1332"/>
      <c r="W511" s="1332"/>
      <c r="X511" s="1332"/>
      <c r="Y511" s="1332"/>
      <c r="Z511" s="1332"/>
      <c r="AA511" s="1332"/>
      <c r="AB511" s="1332"/>
    </row>
    <row r="512">
      <c r="A512" s="1332"/>
      <c r="B512" s="1366"/>
      <c r="C512" s="1366"/>
      <c r="D512" s="1375"/>
      <c r="E512" s="1332"/>
      <c r="F512" s="1332"/>
      <c r="G512" s="1378"/>
      <c r="H512" s="1378"/>
      <c r="I512" s="1332"/>
      <c r="J512" s="1332"/>
      <c r="K512" s="1332"/>
      <c r="L512" s="1332"/>
      <c r="M512" s="1332"/>
      <c r="N512" s="1332"/>
      <c r="O512" s="1332"/>
      <c r="P512" s="1332"/>
      <c r="Q512" s="1332"/>
      <c r="R512" s="1332"/>
      <c r="S512" s="1332"/>
      <c r="T512" s="1332"/>
      <c r="U512" s="1332"/>
      <c r="V512" s="1332"/>
      <c r="W512" s="1332"/>
      <c r="X512" s="1332"/>
      <c r="Y512" s="1332"/>
      <c r="Z512" s="1332"/>
      <c r="AA512" s="1332"/>
      <c r="AB512" s="1332"/>
    </row>
    <row r="513">
      <c r="A513" s="1332"/>
      <c r="B513" s="1366"/>
      <c r="C513" s="1366"/>
      <c r="D513" s="1375"/>
      <c r="E513" s="1332"/>
      <c r="F513" s="1332"/>
      <c r="G513" s="1378"/>
      <c r="H513" s="1378"/>
      <c r="I513" s="1332"/>
      <c r="J513" s="1332"/>
      <c r="K513" s="1332"/>
      <c r="L513" s="1332"/>
      <c r="M513" s="1332"/>
      <c r="N513" s="1332"/>
      <c r="O513" s="1332"/>
      <c r="P513" s="1332"/>
      <c r="Q513" s="1332"/>
      <c r="R513" s="1332"/>
      <c r="S513" s="1332"/>
      <c r="T513" s="1332"/>
      <c r="U513" s="1332"/>
      <c r="V513" s="1332"/>
      <c r="W513" s="1332"/>
      <c r="X513" s="1332"/>
      <c r="Y513" s="1332"/>
      <c r="Z513" s="1332"/>
      <c r="AA513" s="1332"/>
      <c r="AB513" s="1332"/>
    </row>
    <row r="514">
      <c r="A514" s="1332"/>
      <c r="B514" s="1366"/>
      <c r="C514" s="1366"/>
      <c r="D514" s="1375"/>
      <c r="E514" s="1332"/>
      <c r="F514" s="1332"/>
      <c r="G514" s="1378"/>
      <c r="H514" s="1378"/>
      <c r="I514" s="1332"/>
      <c r="J514" s="1332"/>
      <c r="K514" s="1332"/>
      <c r="L514" s="1332"/>
      <c r="M514" s="1332"/>
      <c r="N514" s="1332"/>
      <c r="O514" s="1332"/>
      <c r="P514" s="1332"/>
      <c r="Q514" s="1332"/>
      <c r="R514" s="1332"/>
      <c r="S514" s="1332"/>
      <c r="T514" s="1332"/>
      <c r="U514" s="1332"/>
      <c r="V514" s="1332"/>
      <c r="W514" s="1332"/>
      <c r="X514" s="1332"/>
      <c r="Y514" s="1332"/>
      <c r="Z514" s="1332"/>
      <c r="AA514" s="1332"/>
      <c r="AB514" s="1332"/>
    </row>
    <row r="515">
      <c r="A515" s="1332"/>
      <c r="B515" s="1366"/>
      <c r="C515" s="1366"/>
      <c r="D515" s="1375"/>
      <c r="E515" s="1332"/>
      <c r="F515" s="1332"/>
      <c r="G515" s="1378"/>
      <c r="H515" s="1378"/>
      <c r="I515" s="1332"/>
      <c r="J515" s="1332"/>
      <c r="K515" s="1332"/>
      <c r="L515" s="1332"/>
      <c r="M515" s="1332"/>
      <c r="N515" s="1332"/>
      <c r="O515" s="1332"/>
      <c r="P515" s="1332"/>
      <c r="Q515" s="1332"/>
      <c r="R515" s="1332"/>
      <c r="S515" s="1332"/>
      <c r="T515" s="1332"/>
      <c r="U515" s="1332"/>
      <c r="V515" s="1332"/>
      <c r="W515" s="1332"/>
      <c r="X515" s="1332"/>
      <c r="Y515" s="1332"/>
      <c r="Z515" s="1332"/>
      <c r="AA515" s="1332"/>
      <c r="AB515" s="1332"/>
    </row>
    <row r="516">
      <c r="A516" s="1332"/>
      <c r="B516" s="1366"/>
      <c r="C516" s="1366"/>
      <c r="D516" s="1375"/>
      <c r="E516" s="1332"/>
      <c r="F516" s="1332"/>
      <c r="G516" s="1378"/>
      <c r="H516" s="1378"/>
      <c r="I516" s="1332"/>
      <c r="J516" s="1332"/>
      <c r="K516" s="1332"/>
      <c r="L516" s="1332"/>
      <c r="M516" s="1332"/>
      <c r="N516" s="1332"/>
      <c r="O516" s="1332"/>
      <c r="P516" s="1332"/>
      <c r="Q516" s="1332"/>
      <c r="R516" s="1332"/>
      <c r="S516" s="1332"/>
      <c r="T516" s="1332"/>
      <c r="U516" s="1332"/>
      <c r="V516" s="1332"/>
      <c r="W516" s="1332"/>
      <c r="X516" s="1332"/>
      <c r="Y516" s="1332"/>
      <c r="Z516" s="1332"/>
      <c r="AA516" s="1332"/>
      <c r="AB516" s="1332"/>
    </row>
    <row r="517">
      <c r="A517" s="1332"/>
      <c r="B517" s="1366"/>
      <c r="C517" s="1366"/>
      <c r="D517" s="1375"/>
      <c r="E517" s="1332"/>
      <c r="F517" s="1332"/>
      <c r="G517" s="1378"/>
      <c r="H517" s="1378"/>
      <c r="I517" s="1332"/>
      <c r="J517" s="1332"/>
      <c r="K517" s="1332"/>
      <c r="L517" s="1332"/>
      <c r="M517" s="1332"/>
      <c r="N517" s="1332"/>
      <c r="O517" s="1332"/>
      <c r="P517" s="1332"/>
      <c r="Q517" s="1332"/>
      <c r="R517" s="1332"/>
      <c r="S517" s="1332"/>
      <c r="T517" s="1332"/>
      <c r="U517" s="1332"/>
      <c r="V517" s="1332"/>
      <c r="W517" s="1332"/>
      <c r="X517" s="1332"/>
      <c r="Y517" s="1332"/>
      <c r="Z517" s="1332"/>
      <c r="AA517" s="1332"/>
      <c r="AB517" s="1332"/>
    </row>
    <row r="518">
      <c r="A518" s="1332"/>
      <c r="B518" s="1366"/>
      <c r="C518" s="1366"/>
      <c r="D518" s="1375"/>
      <c r="E518" s="1332"/>
      <c r="F518" s="1332"/>
      <c r="G518" s="1378"/>
      <c r="H518" s="1378"/>
      <c r="I518" s="1332"/>
      <c r="J518" s="1332"/>
      <c r="K518" s="1332"/>
      <c r="L518" s="1332"/>
      <c r="M518" s="1332"/>
      <c r="N518" s="1332"/>
      <c r="O518" s="1332"/>
      <c r="P518" s="1332"/>
      <c r="Q518" s="1332"/>
      <c r="R518" s="1332"/>
      <c r="S518" s="1332"/>
      <c r="T518" s="1332"/>
      <c r="U518" s="1332"/>
      <c r="V518" s="1332"/>
      <c r="W518" s="1332"/>
      <c r="X518" s="1332"/>
      <c r="Y518" s="1332"/>
      <c r="Z518" s="1332"/>
      <c r="AA518" s="1332"/>
      <c r="AB518" s="1332"/>
    </row>
    <row r="519">
      <c r="A519" s="1332"/>
      <c r="B519" s="1366"/>
      <c r="C519" s="1366"/>
      <c r="D519" s="1375"/>
      <c r="E519" s="1332"/>
      <c r="F519" s="1332"/>
      <c r="G519" s="1378"/>
      <c r="H519" s="1378"/>
      <c r="I519" s="1332"/>
      <c r="J519" s="1332"/>
      <c r="K519" s="1332"/>
      <c r="L519" s="1332"/>
      <c r="M519" s="1332"/>
      <c r="N519" s="1332"/>
      <c r="O519" s="1332"/>
      <c r="P519" s="1332"/>
      <c r="Q519" s="1332"/>
      <c r="R519" s="1332"/>
      <c r="S519" s="1332"/>
      <c r="T519" s="1332"/>
      <c r="U519" s="1332"/>
      <c r="V519" s="1332"/>
      <c r="W519" s="1332"/>
      <c r="X519" s="1332"/>
      <c r="Y519" s="1332"/>
      <c r="Z519" s="1332"/>
      <c r="AA519" s="1332"/>
      <c r="AB519" s="1332"/>
    </row>
    <row r="520">
      <c r="A520" s="1332"/>
      <c r="B520" s="1366"/>
      <c r="C520" s="1366"/>
      <c r="D520" s="1375"/>
      <c r="E520" s="1332"/>
      <c r="F520" s="1332"/>
      <c r="G520" s="1378"/>
      <c r="H520" s="1378"/>
      <c r="I520" s="1332"/>
      <c r="J520" s="1332"/>
      <c r="K520" s="1332"/>
      <c r="L520" s="1332"/>
      <c r="M520" s="1332"/>
      <c r="N520" s="1332"/>
      <c r="O520" s="1332"/>
      <c r="P520" s="1332"/>
      <c r="Q520" s="1332"/>
      <c r="R520" s="1332"/>
      <c r="S520" s="1332"/>
      <c r="T520" s="1332"/>
      <c r="U520" s="1332"/>
      <c r="V520" s="1332"/>
      <c r="W520" s="1332"/>
      <c r="X520" s="1332"/>
      <c r="Y520" s="1332"/>
      <c r="Z520" s="1332"/>
      <c r="AA520" s="1332"/>
      <c r="AB520" s="1332"/>
    </row>
    <row r="521">
      <c r="A521" s="1332"/>
      <c r="B521" s="1366"/>
      <c r="C521" s="1366"/>
      <c r="D521" s="1375"/>
      <c r="E521" s="1332"/>
      <c r="F521" s="1332"/>
      <c r="G521" s="1378"/>
      <c r="H521" s="1378"/>
      <c r="I521" s="1332"/>
      <c r="J521" s="1332"/>
      <c r="K521" s="1332"/>
      <c r="L521" s="1332"/>
      <c r="M521" s="1332"/>
      <c r="N521" s="1332"/>
      <c r="O521" s="1332"/>
      <c r="P521" s="1332"/>
      <c r="Q521" s="1332"/>
      <c r="R521" s="1332"/>
      <c r="S521" s="1332"/>
      <c r="T521" s="1332"/>
      <c r="U521" s="1332"/>
      <c r="V521" s="1332"/>
      <c r="W521" s="1332"/>
      <c r="X521" s="1332"/>
      <c r="Y521" s="1332"/>
      <c r="Z521" s="1332"/>
      <c r="AA521" s="1332"/>
      <c r="AB521" s="1332"/>
    </row>
    <row r="522">
      <c r="A522" s="1332"/>
      <c r="B522" s="1366"/>
      <c r="C522" s="1366"/>
      <c r="D522" s="1375"/>
      <c r="E522" s="1332"/>
      <c r="F522" s="1332"/>
      <c r="G522" s="1378"/>
      <c r="H522" s="1378"/>
      <c r="I522" s="1332"/>
      <c r="J522" s="1332"/>
      <c r="K522" s="1332"/>
      <c r="L522" s="1332"/>
      <c r="M522" s="1332"/>
      <c r="N522" s="1332"/>
      <c r="O522" s="1332"/>
      <c r="P522" s="1332"/>
      <c r="Q522" s="1332"/>
      <c r="R522" s="1332"/>
      <c r="S522" s="1332"/>
      <c r="T522" s="1332"/>
      <c r="U522" s="1332"/>
      <c r="V522" s="1332"/>
      <c r="W522" s="1332"/>
      <c r="X522" s="1332"/>
      <c r="Y522" s="1332"/>
      <c r="Z522" s="1332"/>
      <c r="AA522" s="1332"/>
      <c r="AB522" s="1332"/>
    </row>
    <row r="523">
      <c r="A523" s="1332"/>
      <c r="B523" s="1366"/>
      <c r="C523" s="1366"/>
      <c r="D523" s="1375"/>
      <c r="E523" s="1332"/>
      <c r="F523" s="1332"/>
      <c r="G523" s="1378"/>
      <c r="H523" s="1378"/>
      <c r="I523" s="1332"/>
      <c r="J523" s="1332"/>
      <c r="K523" s="1332"/>
      <c r="L523" s="1332"/>
      <c r="M523" s="1332"/>
      <c r="N523" s="1332"/>
      <c r="O523" s="1332"/>
      <c r="P523" s="1332"/>
      <c r="Q523" s="1332"/>
      <c r="R523" s="1332"/>
      <c r="S523" s="1332"/>
      <c r="T523" s="1332"/>
      <c r="U523" s="1332"/>
      <c r="V523" s="1332"/>
      <c r="W523" s="1332"/>
      <c r="X523" s="1332"/>
      <c r="Y523" s="1332"/>
      <c r="Z523" s="1332"/>
      <c r="AA523" s="1332"/>
      <c r="AB523" s="1332"/>
    </row>
    <row r="524">
      <c r="A524" s="1332"/>
      <c r="B524" s="1366"/>
      <c r="C524" s="1366"/>
      <c r="D524" s="1375"/>
      <c r="E524" s="1332"/>
      <c r="F524" s="1332"/>
      <c r="G524" s="1378"/>
      <c r="H524" s="1378"/>
      <c r="I524" s="1332"/>
      <c r="J524" s="1332"/>
      <c r="K524" s="1332"/>
      <c r="L524" s="1332"/>
      <c r="M524" s="1332"/>
      <c r="N524" s="1332"/>
      <c r="O524" s="1332"/>
      <c r="P524" s="1332"/>
      <c r="Q524" s="1332"/>
      <c r="R524" s="1332"/>
      <c r="S524" s="1332"/>
      <c r="T524" s="1332"/>
      <c r="U524" s="1332"/>
      <c r="V524" s="1332"/>
      <c r="W524" s="1332"/>
      <c r="X524" s="1332"/>
      <c r="Y524" s="1332"/>
      <c r="Z524" s="1332"/>
      <c r="AA524" s="1332"/>
      <c r="AB524" s="1332"/>
    </row>
    <row r="525">
      <c r="A525" s="1332"/>
      <c r="B525" s="1366"/>
      <c r="C525" s="1366"/>
      <c r="D525" s="1375"/>
      <c r="E525" s="1332"/>
      <c r="F525" s="1332"/>
      <c r="G525" s="1378"/>
      <c r="H525" s="1378"/>
      <c r="I525" s="1332"/>
      <c r="J525" s="1332"/>
      <c r="K525" s="1332"/>
      <c r="L525" s="1332"/>
      <c r="M525" s="1332"/>
      <c r="N525" s="1332"/>
      <c r="O525" s="1332"/>
      <c r="P525" s="1332"/>
      <c r="Q525" s="1332"/>
      <c r="R525" s="1332"/>
      <c r="S525" s="1332"/>
      <c r="T525" s="1332"/>
      <c r="U525" s="1332"/>
      <c r="V525" s="1332"/>
      <c r="W525" s="1332"/>
      <c r="X525" s="1332"/>
      <c r="Y525" s="1332"/>
      <c r="Z525" s="1332"/>
      <c r="AA525" s="1332"/>
      <c r="AB525" s="1332"/>
    </row>
    <row r="526">
      <c r="A526" s="1332"/>
      <c r="B526" s="1366"/>
      <c r="C526" s="1366"/>
      <c r="D526" s="1375"/>
      <c r="E526" s="1332"/>
      <c r="F526" s="1332"/>
      <c r="G526" s="1378"/>
      <c r="H526" s="1378"/>
      <c r="I526" s="1332"/>
      <c r="J526" s="1332"/>
      <c r="K526" s="1332"/>
      <c r="L526" s="1332"/>
      <c r="M526" s="1332"/>
      <c r="N526" s="1332"/>
      <c r="O526" s="1332"/>
      <c r="P526" s="1332"/>
      <c r="Q526" s="1332"/>
      <c r="R526" s="1332"/>
      <c r="S526" s="1332"/>
      <c r="T526" s="1332"/>
      <c r="U526" s="1332"/>
      <c r="V526" s="1332"/>
      <c r="W526" s="1332"/>
      <c r="X526" s="1332"/>
      <c r="Y526" s="1332"/>
      <c r="Z526" s="1332"/>
      <c r="AA526" s="1332"/>
      <c r="AB526" s="1332"/>
    </row>
    <row r="527">
      <c r="A527" s="1332"/>
      <c r="B527" s="1366"/>
      <c r="C527" s="1366"/>
      <c r="D527" s="1375"/>
      <c r="E527" s="1332"/>
      <c r="F527" s="1332"/>
      <c r="G527" s="1378"/>
      <c r="H527" s="1378"/>
      <c r="I527" s="1332"/>
      <c r="J527" s="1332"/>
      <c r="K527" s="1332"/>
      <c r="L527" s="1332"/>
      <c r="M527" s="1332"/>
      <c r="N527" s="1332"/>
      <c r="O527" s="1332"/>
      <c r="P527" s="1332"/>
      <c r="Q527" s="1332"/>
      <c r="R527" s="1332"/>
      <c r="S527" s="1332"/>
      <c r="T527" s="1332"/>
      <c r="U527" s="1332"/>
      <c r="V527" s="1332"/>
      <c r="W527" s="1332"/>
      <c r="X527" s="1332"/>
      <c r="Y527" s="1332"/>
      <c r="Z527" s="1332"/>
      <c r="AA527" s="1332"/>
      <c r="AB527" s="1332"/>
    </row>
    <row r="528">
      <c r="A528" s="1332"/>
      <c r="B528" s="1366"/>
      <c r="C528" s="1366"/>
      <c r="D528" s="1375"/>
      <c r="E528" s="1332"/>
      <c r="F528" s="1332"/>
      <c r="G528" s="1378"/>
      <c r="H528" s="1378"/>
      <c r="I528" s="1332"/>
      <c r="J528" s="1332"/>
      <c r="K528" s="1332"/>
      <c r="L528" s="1332"/>
      <c r="M528" s="1332"/>
      <c r="N528" s="1332"/>
      <c r="O528" s="1332"/>
      <c r="P528" s="1332"/>
      <c r="Q528" s="1332"/>
      <c r="R528" s="1332"/>
      <c r="S528" s="1332"/>
      <c r="T528" s="1332"/>
      <c r="U528" s="1332"/>
      <c r="V528" s="1332"/>
      <c r="W528" s="1332"/>
      <c r="X528" s="1332"/>
      <c r="Y528" s="1332"/>
      <c r="Z528" s="1332"/>
      <c r="AA528" s="1332"/>
      <c r="AB528" s="1332"/>
    </row>
    <row r="529">
      <c r="A529" s="1332"/>
      <c r="B529" s="1366"/>
      <c r="C529" s="1366"/>
      <c r="D529" s="1375"/>
      <c r="E529" s="1332"/>
      <c r="F529" s="1332"/>
      <c r="G529" s="1378"/>
      <c r="H529" s="1378"/>
      <c r="I529" s="1332"/>
      <c r="J529" s="1332"/>
      <c r="K529" s="1332"/>
      <c r="L529" s="1332"/>
      <c r="M529" s="1332"/>
      <c r="N529" s="1332"/>
      <c r="O529" s="1332"/>
      <c r="P529" s="1332"/>
      <c r="Q529" s="1332"/>
      <c r="R529" s="1332"/>
      <c r="S529" s="1332"/>
      <c r="T529" s="1332"/>
      <c r="U529" s="1332"/>
      <c r="V529" s="1332"/>
      <c r="W529" s="1332"/>
      <c r="X529" s="1332"/>
      <c r="Y529" s="1332"/>
      <c r="Z529" s="1332"/>
      <c r="AA529" s="1332"/>
      <c r="AB529" s="1332"/>
    </row>
    <row r="530">
      <c r="A530" s="1332"/>
      <c r="B530" s="1366"/>
      <c r="C530" s="1366"/>
      <c r="D530" s="1375"/>
      <c r="E530" s="1332"/>
      <c r="F530" s="1332"/>
      <c r="G530" s="1378"/>
      <c r="H530" s="1378"/>
      <c r="I530" s="1332"/>
      <c r="J530" s="1332"/>
      <c r="K530" s="1332"/>
      <c r="L530" s="1332"/>
      <c r="M530" s="1332"/>
      <c r="N530" s="1332"/>
      <c r="O530" s="1332"/>
      <c r="P530" s="1332"/>
      <c r="Q530" s="1332"/>
      <c r="R530" s="1332"/>
      <c r="S530" s="1332"/>
      <c r="T530" s="1332"/>
      <c r="U530" s="1332"/>
      <c r="V530" s="1332"/>
      <c r="W530" s="1332"/>
      <c r="X530" s="1332"/>
      <c r="Y530" s="1332"/>
      <c r="Z530" s="1332"/>
      <c r="AA530" s="1332"/>
      <c r="AB530" s="1332"/>
    </row>
    <row r="531">
      <c r="A531" s="1332"/>
      <c r="B531" s="1366"/>
      <c r="C531" s="1366"/>
      <c r="D531" s="1375"/>
      <c r="E531" s="1332"/>
      <c r="F531" s="1332"/>
      <c r="G531" s="1378"/>
      <c r="H531" s="1378"/>
      <c r="I531" s="1332"/>
      <c r="J531" s="1332"/>
      <c r="K531" s="1332"/>
      <c r="L531" s="1332"/>
      <c r="M531" s="1332"/>
      <c r="N531" s="1332"/>
      <c r="O531" s="1332"/>
      <c r="P531" s="1332"/>
      <c r="Q531" s="1332"/>
      <c r="R531" s="1332"/>
      <c r="S531" s="1332"/>
      <c r="T531" s="1332"/>
      <c r="U531" s="1332"/>
      <c r="V531" s="1332"/>
      <c r="W531" s="1332"/>
      <c r="X531" s="1332"/>
      <c r="Y531" s="1332"/>
      <c r="Z531" s="1332"/>
      <c r="AA531" s="1332"/>
      <c r="AB531" s="1332"/>
    </row>
    <row r="532">
      <c r="A532" s="1332"/>
      <c r="B532" s="1366"/>
      <c r="C532" s="1366"/>
      <c r="D532" s="1375"/>
      <c r="E532" s="1332"/>
      <c r="F532" s="1332"/>
      <c r="G532" s="1378"/>
      <c r="H532" s="1378"/>
      <c r="I532" s="1332"/>
      <c r="J532" s="1332"/>
      <c r="K532" s="1332"/>
      <c r="L532" s="1332"/>
      <c r="M532" s="1332"/>
      <c r="N532" s="1332"/>
      <c r="O532" s="1332"/>
      <c r="P532" s="1332"/>
      <c r="Q532" s="1332"/>
      <c r="R532" s="1332"/>
      <c r="S532" s="1332"/>
      <c r="T532" s="1332"/>
      <c r="U532" s="1332"/>
      <c r="V532" s="1332"/>
      <c r="W532" s="1332"/>
      <c r="X532" s="1332"/>
      <c r="Y532" s="1332"/>
      <c r="Z532" s="1332"/>
      <c r="AA532" s="1332"/>
      <c r="AB532" s="1332"/>
    </row>
    <row r="533">
      <c r="A533" s="1332"/>
      <c r="B533" s="1366"/>
      <c r="C533" s="1366"/>
      <c r="D533" s="1375"/>
      <c r="E533" s="1332"/>
      <c r="F533" s="1332"/>
      <c r="G533" s="1378"/>
      <c r="H533" s="1378"/>
      <c r="I533" s="1332"/>
      <c r="J533" s="1332"/>
      <c r="K533" s="1332"/>
      <c r="L533" s="1332"/>
      <c r="M533" s="1332"/>
      <c r="N533" s="1332"/>
      <c r="O533" s="1332"/>
      <c r="P533" s="1332"/>
      <c r="Q533" s="1332"/>
      <c r="R533" s="1332"/>
      <c r="S533" s="1332"/>
      <c r="T533" s="1332"/>
      <c r="U533" s="1332"/>
      <c r="V533" s="1332"/>
      <c r="W533" s="1332"/>
      <c r="X533" s="1332"/>
      <c r="Y533" s="1332"/>
      <c r="Z533" s="1332"/>
      <c r="AA533" s="1332"/>
      <c r="AB533" s="1332"/>
    </row>
    <row r="534">
      <c r="A534" s="1332"/>
      <c r="B534" s="1366"/>
      <c r="C534" s="1366"/>
      <c r="D534" s="1375"/>
      <c r="E534" s="1332"/>
      <c r="F534" s="1332"/>
      <c r="G534" s="1378"/>
      <c r="H534" s="1378"/>
      <c r="I534" s="1332"/>
      <c r="J534" s="1332"/>
      <c r="K534" s="1332"/>
      <c r="L534" s="1332"/>
      <c r="M534" s="1332"/>
      <c r="N534" s="1332"/>
      <c r="O534" s="1332"/>
      <c r="P534" s="1332"/>
      <c r="Q534" s="1332"/>
      <c r="R534" s="1332"/>
      <c r="S534" s="1332"/>
      <c r="T534" s="1332"/>
      <c r="U534" s="1332"/>
      <c r="V534" s="1332"/>
      <c r="W534" s="1332"/>
      <c r="X534" s="1332"/>
      <c r="Y534" s="1332"/>
      <c r="Z534" s="1332"/>
      <c r="AA534" s="1332"/>
      <c r="AB534" s="1332"/>
    </row>
    <row r="535">
      <c r="A535" s="1332"/>
      <c r="B535" s="1366"/>
      <c r="C535" s="1366"/>
      <c r="D535" s="1375"/>
      <c r="E535" s="1332"/>
      <c r="F535" s="1332"/>
      <c r="G535" s="1378"/>
      <c r="H535" s="1378"/>
      <c r="I535" s="1332"/>
      <c r="J535" s="1332"/>
      <c r="K535" s="1332"/>
      <c r="L535" s="1332"/>
      <c r="M535" s="1332"/>
      <c r="N535" s="1332"/>
      <c r="O535" s="1332"/>
      <c r="P535" s="1332"/>
      <c r="Q535" s="1332"/>
      <c r="R535" s="1332"/>
      <c r="S535" s="1332"/>
      <c r="T535" s="1332"/>
      <c r="U535" s="1332"/>
      <c r="V535" s="1332"/>
      <c r="W535" s="1332"/>
      <c r="X535" s="1332"/>
      <c r="Y535" s="1332"/>
      <c r="Z535" s="1332"/>
      <c r="AA535" s="1332"/>
      <c r="AB535" s="1332"/>
    </row>
    <row r="536">
      <c r="A536" s="1332"/>
      <c r="B536" s="1366"/>
      <c r="C536" s="1366"/>
      <c r="D536" s="1375"/>
      <c r="E536" s="1332"/>
      <c r="F536" s="1332"/>
      <c r="G536" s="1378"/>
      <c r="H536" s="1378"/>
      <c r="I536" s="1332"/>
      <c r="J536" s="1332"/>
      <c r="K536" s="1332"/>
      <c r="L536" s="1332"/>
      <c r="M536" s="1332"/>
      <c r="N536" s="1332"/>
      <c r="O536" s="1332"/>
      <c r="P536" s="1332"/>
      <c r="Q536" s="1332"/>
      <c r="R536" s="1332"/>
      <c r="S536" s="1332"/>
      <c r="T536" s="1332"/>
      <c r="U536" s="1332"/>
      <c r="V536" s="1332"/>
      <c r="W536" s="1332"/>
      <c r="X536" s="1332"/>
      <c r="Y536" s="1332"/>
      <c r="Z536" s="1332"/>
      <c r="AA536" s="1332"/>
      <c r="AB536" s="1332"/>
    </row>
    <row r="537">
      <c r="A537" s="1332"/>
      <c r="B537" s="1366"/>
      <c r="C537" s="1366"/>
      <c r="D537" s="1375"/>
      <c r="E537" s="1332"/>
      <c r="F537" s="1332"/>
      <c r="G537" s="1378"/>
      <c r="H537" s="1378"/>
      <c r="I537" s="1332"/>
      <c r="J537" s="1332"/>
      <c r="K537" s="1332"/>
      <c r="L537" s="1332"/>
      <c r="M537" s="1332"/>
      <c r="N537" s="1332"/>
      <c r="O537" s="1332"/>
      <c r="P537" s="1332"/>
      <c r="Q537" s="1332"/>
      <c r="R537" s="1332"/>
      <c r="S537" s="1332"/>
      <c r="T537" s="1332"/>
      <c r="U537" s="1332"/>
      <c r="V537" s="1332"/>
      <c r="W537" s="1332"/>
      <c r="X537" s="1332"/>
      <c r="Y537" s="1332"/>
      <c r="Z537" s="1332"/>
      <c r="AA537" s="1332"/>
      <c r="AB537" s="1332"/>
    </row>
    <row r="538">
      <c r="A538" s="1332"/>
      <c r="B538" s="1366"/>
      <c r="C538" s="1366"/>
      <c r="D538" s="1375"/>
      <c r="E538" s="1332"/>
      <c r="F538" s="1332"/>
      <c r="G538" s="1378"/>
      <c r="H538" s="1378"/>
      <c r="I538" s="1332"/>
      <c r="J538" s="1332"/>
      <c r="K538" s="1332"/>
      <c r="L538" s="1332"/>
      <c r="M538" s="1332"/>
      <c r="N538" s="1332"/>
      <c r="O538" s="1332"/>
      <c r="P538" s="1332"/>
      <c r="Q538" s="1332"/>
      <c r="R538" s="1332"/>
      <c r="S538" s="1332"/>
      <c r="T538" s="1332"/>
      <c r="U538" s="1332"/>
      <c r="V538" s="1332"/>
      <c r="W538" s="1332"/>
      <c r="X538" s="1332"/>
      <c r="Y538" s="1332"/>
      <c r="Z538" s="1332"/>
      <c r="AA538" s="1332"/>
      <c r="AB538" s="1332"/>
    </row>
    <row r="539">
      <c r="A539" s="1332"/>
      <c r="B539" s="1366"/>
      <c r="C539" s="1366"/>
      <c r="D539" s="1375"/>
      <c r="E539" s="1332"/>
      <c r="F539" s="1332"/>
      <c r="G539" s="1378"/>
      <c r="H539" s="1378"/>
      <c r="I539" s="1332"/>
      <c r="J539" s="1332"/>
      <c r="K539" s="1332"/>
      <c r="L539" s="1332"/>
      <c r="M539" s="1332"/>
      <c r="N539" s="1332"/>
      <c r="O539" s="1332"/>
      <c r="P539" s="1332"/>
      <c r="Q539" s="1332"/>
      <c r="R539" s="1332"/>
      <c r="S539" s="1332"/>
      <c r="T539" s="1332"/>
      <c r="U539" s="1332"/>
      <c r="V539" s="1332"/>
      <c r="W539" s="1332"/>
      <c r="X539" s="1332"/>
      <c r="Y539" s="1332"/>
      <c r="Z539" s="1332"/>
      <c r="AA539" s="1332"/>
      <c r="AB539" s="1332"/>
    </row>
    <row r="540">
      <c r="A540" s="1332"/>
      <c r="B540" s="1366"/>
      <c r="C540" s="1366"/>
      <c r="D540" s="1375"/>
      <c r="E540" s="1332"/>
      <c r="F540" s="1332"/>
      <c r="G540" s="1378"/>
      <c r="H540" s="1378"/>
      <c r="I540" s="1332"/>
      <c r="J540" s="1332"/>
      <c r="K540" s="1332"/>
      <c r="L540" s="1332"/>
      <c r="M540" s="1332"/>
      <c r="N540" s="1332"/>
      <c r="O540" s="1332"/>
      <c r="P540" s="1332"/>
      <c r="Q540" s="1332"/>
      <c r="R540" s="1332"/>
      <c r="S540" s="1332"/>
      <c r="T540" s="1332"/>
      <c r="U540" s="1332"/>
      <c r="V540" s="1332"/>
      <c r="W540" s="1332"/>
      <c r="X540" s="1332"/>
      <c r="Y540" s="1332"/>
      <c r="Z540" s="1332"/>
      <c r="AA540" s="1332"/>
      <c r="AB540" s="1332"/>
    </row>
    <row r="541">
      <c r="A541" s="1332"/>
      <c r="B541" s="1366"/>
      <c r="C541" s="1366"/>
      <c r="D541" s="1375"/>
      <c r="E541" s="1332"/>
      <c r="F541" s="1332"/>
      <c r="G541" s="1378"/>
      <c r="H541" s="1378"/>
      <c r="I541" s="1332"/>
      <c r="J541" s="1332"/>
      <c r="K541" s="1332"/>
      <c r="L541" s="1332"/>
      <c r="M541" s="1332"/>
      <c r="N541" s="1332"/>
      <c r="O541" s="1332"/>
      <c r="P541" s="1332"/>
      <c r="Q541" s="1332"/>
      <c r="R541" s="1332"/>
      <c r="S541" s="1332"/>
      <c r="T541" s="1332"/>
      <c r="U541" s="1332"/>
      <c r="V541" s="1332"/>
      <c r="W541" s="1332"/>
      <c r="X541" s="1332"/>
      <c r="Y541" s="1332"/>
      <c r="Z541" s="1332"/>
      <c r="AA541" s="1332"/>
      <c r="AB541" s="1332"/>
    </row>
    <row r="542">
      <c r="A542" s="1332"/>
      <c r="B542" s="1366"/>
      <c r="C542" s="1366"/>
      <c r="D542" s="1375"/>
      <c r="E542" s="1332"/>
      <c r="F542" s="1332"/>
      <c r="G542" s="1378"/>
      <c r="H542" s="1378"/>
      <c r="I542" s="1332"/>
      <c r="J542" s="1332"/>
      <c r="K542" s="1332"/>
      <c r="L542" s="1332"/>
      <c r="M542" s="1332"/>
      <c r="N542" s="1332"/>
      <c r="O542" s="1332"/>
      <c r="P542" s="1332"/>
      <c r="Q542" s="1332"/>
      <c r="R542" s="1332"/>
      <c r="S542" s="1332"/>
      <c r="T542" s="1332"/>
      <c r="U542" s="1332"/>
      <c r="V542" s="1332"/>
      <c r="W542" s="1332"/>
      <c r="X542" s="1332"/>
      <c r="Y542" s="1332"/>
      <c r="Z542" s="1332"/>
      <c r="AA542" s="1332"/>
      <c r="AB542" s="1332"/>
    </row>
    <row r="543">
      <c r="A543" s="1332"/>
      <c r="B543" s="1366"/>
      <c r="C543" s="1366"/>
      <c r="D543" s="1375"/>
      <c r="E543" s="1332"/>
      <c r="F543" s="1332"/>
      <c r="G543" s="1378"/>
      <c r="H543" s="1378"/>
      <c r="I543" s="1332"/>
      <c r="J543" s="1332"/>
      <c r="K543" s="1332"/>
      <c r="L543" s="1332"/>
      <c r="M543" s="1332"/>
      <c r="N543" s="1332"/>
      <c r="O543" s="1332"/>
      <c r="P543" s="1332"/>
      <c r="Q543" s="1332"/>
      <c r="R543" s="1332"/>
      <c r="S543" s="1332"/>
      <c r="T543" s="1332"/>
      <c r="U543" s="1332"/>
      <c r="V543" s="1332"/>
      <c r="W543" s="1332"/>
      <c r="X543" s="1332"/>
      <c r="Y543" s="1332"/>
      <c r="Z543" s="1332"/>
      <c r="AA543" s="1332"/>
      <c r="AB543" s="1332"/>
    </row>
    <row r="544">
      <c r="A544" s="1332"/>
      <c r="B544" s="1366"/>
      <c r="C544" s="1366"/>
      <c r="D544" s="1375"/>
      <c r="E544" s="1332"/>
      <c r="F544" s="1332"/>
      <c r="G544" s="1378"/>
      <c r="H544" s="1378"/>
      <c r="I544" s="1332"/>
      <c r="J544" s="1332"/>
      <c r="K544" s="1332"/>
      <c r="L544" s="1332"/>
      <c r="M544" s="1332"/>
      <c r="N544" s="1332"/>
      <c r="O544" s="1332"/>
      <c r="P544" s="1332"/>
      <c r="Q544" s="1332"/>
      <c r="R544" s="1332"/>
      <c r="S544" s="1332"/>
      <c r="T544" s="1332"/>
      <c r="U544" s="1332"/>
      <c r="V544" s="1332"/>
      <c r="W544" s="1332"/>
      <c r="X544" s="1332"/>
      <c r="Y544" s="1332"/>
      <c r="Z544" s="1332"/>
      <c r="AA544" s="1332"/>
      <c r="AB544" s="1332"/>
    </row>
    <row r="545">
      <c r="A545" s="1332"/>
      <c r="B545" s="1366"/>
      <c r="C545" s="1366"/>
      <c r="D545" s="1375"/>
      <c r="E545" s="1332"/>
      <c r="F545" s="1332"/>
      <c r="G545" s="1378"/>
      <c r="H545" s="1378"/>
      <c r="I545" s="1332"/>
      <c r="J545" s="1332"/>
      <c r="K545" s="1332"/>
      <c r="L545" s="1332"/>
      <c r="M545" s="1332"/>
      <c r="N545" s="1332"/>
      <c r="O545" s="1332"/>
      <c r="P545" s="1332"/>
      <c r="Q545" s="1332"/>
      <c r="R545" s="1332"/>
      <c r="S545" s="1332"/>
      <c r="T545" s="1332"/>
      <c r="U545" s="1332"/>
      <c r="V545" s="1332"/>
      <c r="W545" s="1332"/>
      <c r="X545" s="1332"/>
      <c r="Y545" s="1332"/>
      <c r="Z545" s="1332"/>
      <c r="AA545" s="1332"/>
      <c r="AB545" s="1332"/>
    </row>
    <row r="546">
      <c r="A546" s="1332"/>
      <c r="B546" s="1366"/>
      <c r="C546" s="1366"/>
      <c r="D546" s="1375"/>
      <c r="E546" s="1332"/>
      <c r="F546" s="1332"/>
      <c r="G546" s="1378"/>
      <c r="H546" s="1378"/>
      <c r="I546" s="1332"/>
      <c r="J546" s="1332"/>
      <c r="K546" s="1332"/>
      <c r="L546" s="1332"/>
      <c r="M546" s="1332"/>
      <c r="N546" s="1332"/>
      <c r="O546" s="1332"/>
      <c r="P546" s="1332"/>
      <c r="Q546" s="1332"/>
      <c r="R546" s="1332"/>
      <c r="S546" s="1332"/>
      <c r="T546" s="1332"/>
      <c r="U546" s="1332"/>
      <c r="V546" s="1332"/>
      <c r="W546" s="1332"/>
      <c r="X546" s="1332"/>
      <c r="Y546" s="1332"/>
      <c r="Z546" s="1332"/>
      <c r="AA546" s="1332"/>
      <c r="AB546" s="1332"/>
    </row>
    <row r="547">
      <c r="A547" s="1332"/>
      <c r="B547" s="1366"/>
      <c r="C547" s="1366"/>
      <c r="D547" s="1375"/>
      <c r="E547" s="1332"/>
      <c r="F547" s="1332"/>
      <c r="G547" s="1378"/>
      <c r="H547" s="1378"/>
      <c r="I547" s="1332"/>
      <c r="J547" s="1332"/>
      <c r="K547" s="1332"/>
      <c r="L547" s="1332"/>
      <c r="M547" s="1332"/>
      <c r="N547" s="1332"/>
      <c r="O547" s="1332"/>
      <c r="P547" s="1332"/>
      <c r="Q547" s="1332"/>
      <c r="R547" s="1332"/>
      <c r="S547" s="1332"/>
      <c r="T547" s="1332"/>
      <c r="U547" s="1332"/>
      <c r="V547" s="1332"/>
      <c r="W547" s="1332"/>
      <c r="X547" s="1332"/>
      <c r="Y547" s="1332"/>
      <c r="Z547" s="1332"/>
      <c r="AA547" s="1332"/>
      <c r="AB547" s="1332"/>
    </row>
    <row r="548">
      <c r="A548" s="1332"/>
      <c r="B548" s="1366"/>
      <c r="C548" s="1366"/>
      <c r="D548" s="1375"/>
      <c r="E548" s="1332"/>
      <c r="F548" s="1332"/>
      <c r="G548" s="1378"/>
      <c r="H548" s="1378"/>
      <c r="I548" s="1332"/>
      <c r="J548" s="1332"/>
      <c r="K548" s="1332"/>
      <c r="L548" s="1332"/>
      <c r="M548" s="1332"/>
      <c r="N548" s="1332"/>
      <c r="O548" s="1332"/>
      <c r="P548" s="1332"/>
      <c r="Q548" s="1332"/>
      <c r="R548" s="1332"/>
      <c r="S548" s="1332"/>
      <c r="T548" s="1332"/>
      <c r="U548" s="1332"/>
      <c r="V548" s="1332"/>
      <c r="W548" s="1332"/>
      <c r="X548" s="1332"/>
      <c r="Y548" s="1332"/>
      <c r="Z548" s="1332"/>
      <c r="AA548" s="1332"/>
      <c r="AB548" s="1332"/>
    </row>
    <row r="549">
      <c r="A549" s="1332"/>
      <c r="B549" s="1366"/>
      <c r="C549" s="1366"/>
      <c r="D549" s="1375"/>
      <c r="E549" s="1332"/>
      <c r="F549" s="1332"/>
      <c r="G549" s="1378"/>
      <c r="H549" s="1378"/>
      <c r="I549" s="1332"/>
      <c r="J549" s="1332"/>
      <c r="K549" s="1332"/>
      <c r="L549" s="1332"/>
      <c r="M549" s="1332"/>
      <c r="N549" s="1332"/>
      <c r="O549" s="1332"/>
      <c r="P549" s="1332"/>
      <c r="Q549" s="1332"/>
      <c r="R549" s="1332"/>
      <c r="S549" s="1332"/>
      <c r="T549" s="1332"/>
      <c r="U549" s="1332"/>
      <c r="V549" s="1332"/>
      <c r="W549" s="1332"/>
      <c r="X549" s="1332"/>
      <c r="Y549" s="1332"/>
      <c r="Z549" s="1332"/>
      <c r="AA549" s="1332"/>
      <c r="AB549" s="1332"/>
    </row>
    <row r="550">
      <c r="A550" s="1332"/>
      <c r="B550" s="1366"/>
      <c r="C550" s="1366"/>
      <c r="D550" s="1375"/>
      <c r="E550" s="1332"/>
      <c r="F550" s="1332"/>
      <c r="G550" s="1378"/>
      <c r="H550" s="1378"/>
      <c r="I550" s="1332"/>
      <c r="J550" s="1332"/>
      <c r="K550" s="1332"/>
      <c r="L550" s="1332"/>
      <c r="M550" s="1332"/>
      <c r="N550" s="1332"/>
      <c r="O550" s="1332"/>
      <c r="P550" s="1332"/>
      <c r="Q550" s="1332"/>
      <c r="R550" s="1332"/>
      <c r="S550" s="1332"/>
      <c r="T550" s="1332"/>
      <c r="U550" s="1332"/>
      <c r="V550" s="1332"/>
      <c r="W550" s="1332"/>
      <c r="X550" s="1332"/>
      <c r="Y550" s="1332"/>
      <c r="Z550" s="1332"/>
      <c r="AA550" s="1332"/>
      <c r="AB550" s="1332"/>
    </row>
    <row r="551">
      <c r="A551" s="1332"/>
      <c r="B551" s="1366"/>
      <c r="C551" s="1366"/>
      <c r="D551" s="1375"/>
      <c r="E551" s="1332"/>
      <c r="F551" s="1332"/>
      <c r="G551" s="1378"/>
      <c r="H551" s="1378"/>
      <c r="I551" s="1332"/>
      <c r="J551" s="1332"/>
      <c r="K551" s="1332"/>
      <c r="L551" s="1332"/>
      <c r="M551" s="1332"/>
      <c r="N551" s="1332"/>
      <c r="O551" s="1332"/>
      <c r="P551" s="1332"/>
      <c r="Q551" s="1332"/>
      <c r="R551" s="1332"/>
      <c r="S551" s="1332"/>
      <c r="T551" s="1332"/>
      <c r="U551" s="1332"/>
      <c r="V551" s="1332"/>
      <c r="W551" s="1332"/>
      <c r="X551" s="1332"/>
      <c r="Y551" s="1332"/>
      <c r="Z551" s="1332"/>
      <c r="AA551" s="1332"/>
      <c r="AB551" s="1332"/>
    </row>
    <row r="552">
      <c r="A552" s="1332"/>
      <c r="B552" s="1366"/>
      <c r="C552" s="1366"/>
      <c r="D552" s="1375"/>
      <c r="E552" s="1332"/>
      <c r="F552" s="1332"/>
      <c r="G552" s="1378"/>
      <c r="H552" s="1378"/>
      <c r="I552" s="1332"/>
      <c r="J552" s="1332"/>
      <c r="K552" s="1332"/>
      <c r="L552" s="1332"/>
      <c r="M552" s="1332"/>
      <c r="N552" s="1332"/>
      <c r="O552" s="1332"/>
      <c r="P552" s="1332"/>
      <c r="Q552" s="1332"/>
      <c r="R552" s="1332"/>
      <c r="S552" s="1332"/>
      <c r="T552" s="1332"/>
      <c r="U552" s="1332"/>
      <c r="V552" s="1332"/>
      <c r="W552" s="1332"/>
      <c r="X552" s="1332"/>
      <c r="Y552" s="1332"/>
      <c r="Z552" s="1332"/>
      <c r="AA552" s="1332"/>
      <c r="AB552" s="1332"/>
    </row>
    <row r="553">
      <c r="A553" s="1332"/>
      <c r="B553" s="1366"/>
      <c r="C553" s="1366"/>
      <c r="D553" s="1375"/>
      <c r="E553" s="1332"/>
      <c r="F553" s="1332"/>
      <c r="G553" s="1378"/>
      <c r="H553" s="1378"/>
      <c r="I553" s="1332"/>
      <c r="J553" s="1332"/>
      <c r="K553" s="1332"/>
      <c r="L553" s="1332"/>
      <c r="M553" s="1332"/>
      <c r="N553" s="1332"/>
      <c r="O553" s="1332"/>
      <c r="P553" s="1332"/>
      <c r="Q553" s="1332"/>
      <c r="R553" s="1332"/>
      <c r="S553" s="1332"/>
      <c r="T553" s="1332"/>
      <c r="U553" s="1332"/>
      <c r="V553" s="1332"/>
      <c r="W553" s="1332"/>
      <c r="X553" s="1332"/>
      <c r="Y553" s="1332"/>
      <c r="Z553" s="1332"/>
      <c r="AA553" s="1332"/>
      <c r="AB553" s="1332"/>
    </row>
    <row r="554">
      <c r="A554" s="1332"/>
      <c r="B554" s="1366"/>
      <c r="C554" s="1366"/>
      <c r="D554" s="1375"/>
      <c r="E554" s="1332"/>
      <c r="F554" s="1332"/>
      <c r="G554" s="1378"/>
      <c r="H554" s="1378"/>
      <c r="I554" s="1332"/>
      <c r="J554" s="1332"/>
      <c r="K554" s="1332"/>
      <c r="L554" s="1332"/>
      <c r="M554" s="1332"/>
      <c r="N554" s="1332"/>
      <c r="O554" s="1332"/>
      <c r="P554" s="1332"/>
      <c r="Q554" s="1332"/>
      <c r="R554" s="1332"/>
      <c r="S554" s="1332"/>
      <c r="T554" s="1332"/>
      <c r="U554" s="1332"/>
      <c r="V554" s="1332"/>
      <c r="W554" s="1332"/>
      <c r="X554" s="1332"/>
      <c r="Y554" s="1332"/>
      <c r="Z554" s="1332"/>
      <c r="AA554" s="1332"/>
      <c r="AB554" s="1332"/>
    </row>
    <row r="555">
      <c r="A555" s="1332"/>
      <c r="B555" s="1366"/>
      <c r="C555" s="1366"/>
      <c r="D555" s="1375"/>
      <c r="E555" s="1332"/>
      <c r="F555" s="1332"/>
      <c r="G555" s="1378"/>
      <c r="H555" s="1378"/>
      <c r="I555" s="1332"/>
      <c r="J555" s="1332"/>
      <c r="K555" s="1332"/>
      <c r="L555" s="1332"/>
      <c r="M555" s="1332"/>
      <c r="N555" s="1332"/>
      <c r="O555" s="1332"/>
      <c r="P555" s="1332"/>
      <c r="Q555" s="1332"/>
      <c r="R555" s="1332"/>
      <c r="S555" s="1332"/>
      <c r="T555" s="1332"/>
      <c r="U555" s="1332"/>
      <c r="V555" s="1332"/>
      <c r="W555" s="1332"/>
      <c r="X555" s="1332"/>
      <c r="Y555" s="1332"/>
      <c r="Z555" s="1332"/>
      <c r="AA555" s="1332"/>
      <c r="AB555" s="1332"/>
    </row>
    <row r="556">
      <c r="A556" s="1332"/>
      <c r="B556" s="1366"/>
      <c r="C556" s="1366"/>
      <c r="D556" s="1375"/>
      <c r="E556" s="1332"/>
      <c r="F556" s="1332"/>
      <c r="G556" s="1378"/>
      <c r="H556" s="1378"/>
      <c r="I556" s="1332"/>
      <c r="J556" s="1332"/>
      <c r="K556" s="1332"/>
      <c r="L556" s="1332"/>
      <c r="M556" s="1332"/>
      <c r="N556" s="1332"/>
      <c r="O556" s="1332"/>
      <c r="P556" s="1332"/>
      <c r="Q556" s="1332"/>
      <c r="R556" s="1332"/>
      <c r="S556" s="1332"/>
      <c r="T556" s="1332"/>
      <c r="U556" s="1332"/>
      <c r="V556" s="1332"/>
      <c r="W556" s="1332"/>
      <c r="X556" s="1332"/>
      <c r="Y556" s="1332"/>
      <c r="Z556" s="1332"/>
      <c r="AA556" s="1332"/>
      <c r="AB556" s="1332"/>
    </row>
    <row r="557">
      <c r="A557" s="1332"/>
      <c r="B557" s="1366"/>
      <c r="C557" s="1366"/>
      <c r="D557" s="1375"/>
      <c r="E557" s="1332"/>
      <c r="F557" s="1332"/>
      <c r="G557" s="1378"/>
      <c r="H557" s="1378"/>
      <c r="I557" s="1332"/>
      <c r="J557" s="1332"/>
      <c r="K557" s="1332"/>
      <c r="L557" s="1332"/>
      <c r="M557" s="1332"/>
      <c r="N557" s="1332"/>
      <c r="O557" s="1332"/>
      <c r="P557" s="1332"/>
      <c r="Q557" s="1332"/>
      <c r="R557" s="1332"/>
      <c r="S557" s="1332"/>
      <c r="T557" s="1332"/>
      <c r="U557" s="1332"/>
      <c r="V557" s="1332"/>
      <c r="W557" s="1332"/>
      <c r="X557" s="1332"/>
      <c r="Y557" s="1332"/>
      <c r="Z557" s="1332"/>
      <c r="AA557" s="1332"/>
      <c r="AB557" s="1332"/>
    </row>
    <row r="558">
      <c r="A558" s="1332"/>
      <c r="B558" s="1366"/>
      <c r="C558" s="1366"/>
      <c r="D558" s="1375"/>
      <c r="E558" s="1332"/>
      <c r="F558" s="1332"/>
      <c r="G558" s="1378"/>
      <c r="H558" s="1378"/>
      <c r="I558" s="1332"/>
      <c r="J558" s="1332"/>
      <c r="K558" s="1332"/>
      <c r="L558" s="1332"/>
      <c r="M558" s="1332"/>
      <c r="N558" s="1332"/>
      <c r="O558" s="1332"/>
      <c r="P558" s="1332"/>
      <c r="Q558" s="1332"/>
      <c r="R558" s="1332"/>
      <c r="S558" s="1332"/>
      <c r="T558" s="1332"/>
      <c r="U558" s="1332"/>
      <c r="V558" s="1332"/>
      <c r="W558" s="1332"/>
      <c r="X558" s="1332"/>
      <c r="Y558" s="1332"/>
      <c r="Z558" s="1332"/>
      <c r="AA558" s="1332"/>
      <c r="AB558" s="1332"/>
    </row>
    <row r="559">
      <c r="A559" s="1332"/>
      <c r="B559" s="1366"/>
      <c r="C559" s="1366"/>
      <c r="D559" s="1375"/>
      <c r="E559" s="1332"/>
      <c r="F559" s="1332"/>
      <c r="G559" s="1378"/>
      <c r="H559" s="1378"/>
      <c r="I559" s="1332"/>
      <c r="J559" s="1332"/>
      <c r="K559" s="1332"/>
      <c r="L559" s="1332"/>
      <c r="M559" s="1332"/>
      <c r="N559" s="1332"/>
      <c r="O559" s="1332"/>
      <c r="P559" s="1332"/>
      <c r="Q559" s="1332"/>
      <c r="R559" s="1332"/>
      <c r="S559" s="1332"/>
      <c r="T559" s="1332"/>
      <c r="U559" s="1332"/>
      <c r="V559" s="1332"/>
      <c r="W559" s="1332"/>
      <c r="X559" s="1332"/>
      <c r="Y559" s="1332"/>
      <c r="Z559" s="1332"/>
      <c r="AA559" s="1332"/>
      <c r="AB559" s="1332"/>
    </row>
    <row r="560">
      <c r="A560" s="1332"/>
      <c r="B560" s="1366"/>
      <c r="C560" s="1366"/>
      <c r="D560" s="1375"/>
      <c r="E560" s="1332"/>
      <c r="F560" s="1332"/>
      <c r="G560" s="1378"/>
      <c r="H560" s="1378"/>
      <c r="I560" s="1332"/>
      <c r="J560" s="1332"/>
      <c r="K560" s="1332"/>
      <c r="L560" s="1332"/>
      <c r="M560" s="1332"/>
      <c r="N560" s="1332"/>
      <c r="O560" s="1332"/>
      <c r="P560" s="1332"/>
      <c r="Q560" s="1332"/>
      <c r="R560" s="1332"/>
      <c r="S560" s="1332"/>
      <c r="T560" s="1332"/>
      <c r="U560" s="1332"/>
      <c r="V560" s="1332"/>
      <c r="W560" s="1332"/>
      <c r="X560" s="1332"/>
      <c r="Y560" s="1332"/>
      <c r="Z560" s="1332"/>
      <c r="AA560" s="1332"/>
      <c r="AB560" s="1332"/>
    </row>
    <row r="561">
      <c r="A561" s="1332"/>
      <c r="B561" s="1366"/>
      <c r="C561" s="1366"/>
      <c r="D561" s="1375"/>
      <c r="E561" s="1332"/>
      <c r="F561" s="1332"/>
      <c r="G561" s="1378"/>
      <c r="H561" s="1378"/>
      <c r="I561" s="1332"/>
      <c r="J561" s="1332"/>
      <c r="K561" s="1332"/>
      <c r="L561" s="1332"/>
      <c r="M561" s="1332"/>
      <c r="N561" s="1332"/>
      <c r="O561" s="1332"/>
      <c r="P561" s="1332"/>
      <c r="Q561" s="1332"/>
      <c r="R561" s="1332"/>
      <c r="S561" s="1332"/>
      <c r="T561" s="1332"/>
      <c r="U561" s="1332"/>
      <c r="V561" s="1332"/>
      <c r="W561" s="1332"/>
      <c r="X561" s="1332"/>
      <c r="Y561" s="1332"/>
      <c r="Z561" s="1332"/>
      <c r="AA561" s="1332"/>
      <c r="AB561" s="1332"/>
    </row>
    <row r="562">
      <c r="A562" s="1332"/>
      <c r="B562" s="1366"/>
      <c r="C562" s="1366"/>
      <c r="D562" s="1375"/>
      <c r="E562" s="1332"/>
      <c r="F562" s="1332"/>
      <c r="G562" s="1378"/>
      <c r="H562" s="1378"/>
      <c r="I562" s="1332"/>
      <c r="J562" s="1332"/>
      <c r="K562" s="1332"/>
      <c r="L562" s="1332"/>
      <c r="M562" s="1332"/>
      <c r="N562" s="1332"/>
      <c r="O562" s="1332"/>
      <c r="P562" s="1332"/>
      <c r="Q562" s="1332"/>
      <c r="R562" s="1332"/>
      <c r="S562" s="1332"/>
      <c r="T562" s="1332"/>
      <c r="U562" s="1332"/>
      <c r="V562" s="1332"/>
      <c r="W562" s="1332"/>
      <c r="X562" s="1332"/>
      <c r="Y562" s="1332"/>
      <c r="Z562" s="1332"/>
      <c r="AA562" s="1332"/>
      <c r="AB562" s="1332"/>
    </row>
    <row r="563">
      <c r="A563" s="1332"/>
      <c r="B563" s="1366"/>
      <c r="C563" s="1366"/>
      <c r="D563" s="1375"/>
      <c r="E563" s="1332"/>
      <c r="F563" s="1332"/>
      <c r="G563" s="1378"/>
      <c r="H563" s="1378"/>
      <c r="I563" s="1332"/>
      <c r="J563" s="1332"/>
      <c r="K563" s="1332"/>
      <c r="L563" s="1332"/>
      <c r="M563" s="1332"/>
      <c r="N563" s="1332"/>
      <c r="O563" s="1332"/>
      <c r="P563" s="1332"/>
      <c r="Q563" s="1332"/>
      <c r="R563" s="1332"/>
      <c r="S563" s="1332"/>
      <c r="T563" s="1332"/>
      <c r="U563" s="1332"/>
      <c r="V563" s="1332"/>
      <c r="W563" s="1332"/>
      <c r="X563" s="1332"/>
      <c r="Y563" s="1332"/>
      <c r="Z563" s="1332"/>
      <c r="AA563" s="1332"/>
      <c r="AB563" s="1332"/>
    </row>
    <row r="564">
      <c r="A564" s="1332"/>
      <c r="B564" s="1366"/>
      <c r="C564" s="1366"/>
      <c r="D564" s="1375"/>
      <c r="E564" s="1332"/>
      <c r="F564" s="1332"/>
      <c r="G564" s="1378"/>
      <c r="H564" s="1378"/>
      <c r="I564" s="1332"/>
      <c r="J564" s="1332"/>
      <c r="K564" s="1332"/>
      <c r="L564" s="1332"/>
      <c r="M564" s="1332"/>
      <c r="N564" s="1332"/>
      <c r="O564" s="1332"/>
      <c r="P564" s="1332"/>
      <c r="Q564" s="1332"/>
      <c r="R564" s="1332"/>
      <c r="S564" s="1332"/>
      <c r="T564" s="1332"/>
      <c r="U564" s="1332"/>
      <c r="V564" s="1332"/>
      <c r="W564" s="1332"/>
      <c r="X564" s="1332"/>
      <c r="Y564" s="1332"/>
      <c r="Z564" s="1332"/>
      <c r="AA564" s="1332"/>
      <c r="AB564" s="1332"/>
    </row>
    <row r="565">
      <c r="A565" s="1332"/>
      <c r="B565" s="1366"/>
      <c r="C565" s="1366"/>
      <c r="D565" s="1375"/>
      <c r="E565" s="1332"/>
      <c r="F565" s="1332"/>
      <c r="G565" s="1378"/>
      <c r="H565" s="1378"/>
      <c r="I565" s="1332"/>
      <c r="J565" s="1332"/>
      <c r="K565" s="1332"/>
      <c r="L565" s="1332"/>
      <c r="M565" s="1332"/>
      <c r="N565" s="1332"/>
      <c r="O565" s="1332"/>
      <c r="P565" s="1332"/>
      <c r="Q565" s="1332"/>
      <c r="R565" s="1332"/>
      <c r="S565" s="1332"/>
      <c r="T565" s="1332"/>
      <c r="U565" s="1332"/>
      <c r="V565" s="1332"/>
      <c r="W565" s="1332"/>
      <c r="X565" s="1332"/>
      <c r="Y565" s="1332"/>
      <c r="Z565" s="1332"/>
      <c r="AA565" s="1332"/>
      <c r="AB565" s="1332"/>
    </row>
    <row r="566">
      <c r="A566" s="1332"/>
      <c r="B566" s="1366"/>
      <c r="C566" s="1366"/>
      <c r="D566" s="1375"/>
      <c r="E566" s="1332"/>
      <c r="F566" s="1332"/>
      <c r="G566" s="1378"/>
      <c r="H566" s="1378"/>
      <c r="I566" s="1332"/>
      <c r="J566" s="1332"/>
      <c r="K566" s="1332"/>
      <c r="L566" s="1332"/>
      <c r="M566" s="1332"/>
      <c r="N566" s="1332"/>
      <c r="O566" s="1332"/>
      <c r="P566" s="1332"/>
      <c r="Q566" s="1332"/>
      <c r="R566" s="1332"/>
      <c r="S566" s="1332"/>
      <c r="T566" s="1332"/>
      <c r="U566" s="1332"/>
      <c r="V566" s="1332"/>
      <c r="W566" s="1332"/>
      <c r="X566" s="1332"/>
      <c r="Y566" s="1332"/>
      <c r="Z566" s="1332"/>
      <c r="AA566" s="1332"/>
      <c r="AB566" s="1332"/>
    </row>
    <row r="567">
      <c r="A567" s="1332"/>
      <c r="B567" s="1366"/>
      <c r="C567" s="1366"/>
      <c r="D567" s="1375"/>
      <c r="E567" s="1332"/>
      <c r="F567" s="1332"/>
      <c r="G567" s="1378"/>
      <c r="H567" s="1378"/>
      <c r="I567" s="1332"/>
      <c r="J567" s="1332"/>
      <c r="K567" s="1332"/>
      <c r="L567" s="1332"/>
      <c r="M567" s="1332"/>
      <c r="N567" s="1332"/>
      <c r="O567" s="1332"/>
      <c r="P567" s="1332"/>
      <c r="Q567" s="1332"/>
      <c r="R567" s="1332"/>
      <c r="S567" s="1332"/>
      <c r="T567" s="1332"/>
      <c r="U567" s="1332"/>
      <c r="V567" s="1332"/>
      <c r="W567" s="1332"/>
      <c r="X567" s="1332"/>
      <c r="Y567" s="1332"/>
      <c r="Z567" s="1332"/>
      <c r="AA567" s="1332"/>
      <c r="AB567" s="1332"/>
    </row>
    <row r="568">
      <c r="A568" s="1332"/>
      <c r="B568" s="1366"/>
      <c r="C568" s="1366"/>
      <c r="D568" s="1375"/>
      <c r="E568" s="1332"/>
      <c r="F568" s="1332"/>
      <c r="G568" s="1378"/>
      <c r="H568" s="1378"/>
      <c r="I568" s="1332"/>
      <c r="J568" s="1332"/>
      <c r="K568" s="1332"/>
      <c r="L568" s="1332"/>
      <c r="M568" s="1332"/>
      <c r="N568" s="1332"/>
      <c r="O568" s="1332"/>
      <c r="P568" s="1332"/>
      <c r="Q568" s="1332"/>
      <c r="R568" s="1332"/>
      <c r="S568" s="1332"/>
      <c r="T568" s="1332"/>
      <c r="U568" s="1332"/>
      <c r="V568" s="1332"/>
      <c r="W568" s="1332"/>
      <c r="X568" s="1332"/>
      <c r="Y568" s="1332"/>
      <c r="Z568" s="1332"/>
      <c r="AA568" s="1332"/>
      <c r="AB568" s="1332"/>
    </row>
    <row r="569">
      <c r="A569" s="1332"/>
      <c r="B569" s="1366"/>
      <c r="C569" s="1366"/>
      <c r="D569" s="1375"/>
      <c r="E569" s="1332"/>
      <c r="F569" s="1332"/>
      <c r="G569" s="1378"/>
      <c r="H569" s="1378"/>
      <c r="I569" s="1332"/>
      <c r="J569" s="1332"/>
      <c r="K569" s="1332"/>
      <c r="L569" s="1332"/>
      <c r="M569" s="1332"/>
      <c r="N569" s="1332"/>
      <c r="O569" s="1332"/>
      <c r="P569" s="1332"/>
      <c r="Q569" s="1332"/>
      <c r="R569" s="1332"/>
      <c r="S569" s="1332"/>
      <c r="T569" s="1332"/>
      <c r="U569" s="1332"/>
      <c r="V569" s="1332"/>
      <c r="W569" s="1332"/>
      <c r="X569" s="1332"/>
      <c r="Y569" s="1332"/>
      <c r="Z569" s="1332"/>
      <c r="AA569" s="1332"/>
      <c r="AB569" s="1332"/>
    </row>
    <row r="570">
      <c r="A570" s="1332"/>
      <c r="B570" s="1366"/>
      <c r="C570" s="1366"/>
      <c r="D570" s="1375"/>
      <c r="E570" s="1332"/>
      <c r="F570" s="1332"/>
      <c r="G570" s="1378"/>
      <c r="H570" s="1378"/>
      <c r="I570" s="1332"/>
      <c r="J570" s="1332"/>
      <c r="K570" s="1332"/>
      <c r="L570" s="1332"/>
      <c r="M570" s="1332"/>
      <c r="N570" s="1332"/>
      <c r="O570" s="1332"/>
      <c r="P570" s="1332"/>
      <c r="Q570" s="1332"/>
      <c r="R570" s="1332"/>
      <c r="S570" s="1332"/>
      <c r="T570" s="1332"/>
      <c r="U570" s="1332"/>
      <c r="V570" s="1332"/>
      <c r="W570" s="1332"/>
      <c r="X570" s="1332"/>
      <c r="Y570" s="1332"/>
      <c r="Z570" s="1332"/>
      <c r="AA570" s="1332"/>
      <c r="AB570" s="1332"/>
    </row>
    <row r="571">
      <c r="A571" s="1332"/>
      <c r="B571" s="1366"/>
      <c r="C571" s="1366"/>
      <c r="D571" s="1375"/>
      <c r="E571" s="1332"/>
      <c r="F571" s="1332"/>
      <c r="G571" s="1378"/>
      <c r="H571" s="1378"/>
      <c r="I571" s="1332"/>
      <c r="J571" s="1332"/>
      <c r="K571" s="1332"/>
      <c r="L571" s="1332"/>
      <c r="M571" s="1332"/>
      <c r="N571" s="1332"/>
      <c r="O571" s="1332"/>
      <c r="P571" s="1332"/>
      <c r="Q571" s="1332"/>
      <c r="R571" s="1332"/>
      <c r="S571" s="1332"/>
      <c r="T571" s="1332"/>
      <c r="U571" s="1332"/>
      <c r="V571" s="1332"/>
      <c r="W571" s="1332"/>
      <c r="X571" s="1332"/>
      <c r="Y571" s="1332"/>
      <c r="Z571" s="1332"/>
      <c r="AA571" s="1332"/>
      <c r="AB571" s="1332"/>
    </row>
    <row r="572">
      <c r="A572" s="1332"/>
      <c r="B572" s="1366"/>
      <c r="C572" s="1366"/>
      <c r="D572" s="1375"/>
      <c r="E572" s="1332"/>
      <c r="F572" s="1332"/>
      <c r="G572" s="1378"/>
      <c r="H572" s="1378"/>
      <c r="I572" s="1332"/>
      <c r="J572" s="1332"/>
      <c r="K572" s="1332"/>
      <c r="L572" s="1332"/>
      <c r="M572" s="1332"/>
      <c r="N572" s="1332"/>
      <c r="O572" s="1332"/>
      <c r="P572" s="1332"/>
      <c r="Q572" s="1332"/>
      <c r="R572" s="1332"/>
      <c r="S572" s="1332"/>
      <c r="T572" s="1332"/>
      <c r="U572" s="1332"/>
      <c r="V572" s="1332"/>
      <c r="W572" s="1332"/>
      <c r="X572" s="1332"/>
      <c r="Y572" s="1332"/>
      <c r="Z572" s="1332"/>
      <c r="AA572" s="1332"/>
      <c r="AB572" s="1332"/>
    </row>
    <row r="573">
      <c r="A573" s="1332"/>
      <c r="B573" s="1366"/>
      <c r="C573" s="1366"/>
      <c r="D573" s="1375"/>
      <c r="E573" s="1332"/>
      <c r="F573" s="1332"/>
      <c r="G573" s="1378"/>
      <c r="H573" s="1378"/>
      <c r="I573" s="1332"/>
      <c r="J573" s="1332"/>
      <c r="K573" s="1332"/>
      <c r="L573" s="1332"/>
      <c r="M573" s="1332"/>
      <c r="N573" s="1332"/>
      <c r="O573" s="1332"/>
      <c r="P573" s="1332"/>
      <c r="Q573" s="1332"/>
      <c r="R573" s="1332"/>
      <c r="S573" s="1332"/>
      <c r="T573" s="1332"/>
      <c r="U573" s="1332"/>
      <c r="V573" s="1332"/>
      <c r="W573" s="1332"/>
      <c r="X573" s="1332"/>
      <c r="Y573" s="1332"/>
      <c r="Z573" s="1332"/>
      <c r="AA573" s="1332"/>
      <c r="AB573" s="1332"/>
    </row>
    <row r="574">
      <c r="A574" s="1332"/>
      <c r="B574" s="1366"/>
      <c r="C574" s="1366"/>
      <c r="D574" s="1375"/>
      <c r="E574" s="1332"/>
      <c r="F574" s="1332"/>
      <c r="G574" s="1378"/>
      <c r="H574" s="1378"/>
      <c r="I574" s="1332"/>
      <c r="J574" s="1332"/>
      <c r="K574" s="1332"/>
      <c r="L574" s="1332"/>
      <c r="M574" s="1332"/>
      <c r="N574" s="1332"/>
      <c r="O574" s="1332"/>
      <c r="P574" s="1332"/>
      <c r="Q574" s="1332"/>
      <c r="R574" s="1332"/>
      <c r="S574" s="1332"/>
      <c r="T574" s="1332"/>
      <c r="U574" s="1332"/>
      <c r="V574" s="1332"/>
      <c r="W574" s="1332"/>
      <c r="X574" s="1332"/>
      <c r="Y574" s="1332"/>
      <c r="Z574" s="1332"/>
      <c r="AA574" s="1332"/>
      <c r="AB574" s="1332"/>
    </row>
    <row r="575">
      <c r="A575" s="1332"/>
      <c r="B575" s="1366"/>
      <c r="C575" s="1366"/>
      <c r="D575" s="1375"/>
      <c r="E575" s="1332"/>
      <c r="F575" s="1332"/>
      <c r="G575" s="1378"/>
      <c r="H575" s="1378"/>
      <c r="I575" s="1332"/>
      <c r="J575" s="1332"/>
      <c r="K575" s="1332"/>
      <c r="L575" s="1332"/>
      <c r="M575" s="1332"/>
      <c r="N575" s="1332"/>
      <c r="O575" s="1332"/>
      <c r="P575" s="1332"/>
      <c r="Q575" s="1332"/>
      <c r="R575" s="1332"/>
      <c r="S575" s="1332"/>
      <c r="T575" s="1332"/>
      <c r="U575" s="1332"/>
      <c r="V575" s="1332"/>
      <c r="W575" s="1332"/>
      <c r="X575" s="1332"/>
      <c r="Y575" s="1332"/>
      <c r="Z575" s="1332"/>
      <c r="AA575" s="1332"/>
      <c r="AB575" s="1332"/>
    </row>
    <row r="576">
      <c r="A576" s="1332"/>
      <c r="B576" s="1366"/>
      <c r="C576" s="1366"/>
      <c r="D576" s="1375"/>
      <c r="E576" s="1332"/>
      <c r="F576" s="1332"/>
      <c r="G576" s="1378"/>
      <c r="H576" s="1378"/>
      <c r="I576" s="1332"/>
      <c r="J576" s="1332"/>
      <c r="K576" s="1332"/>
      <c r="L576" s="1332"/>
      <c r="M576" s="1332"/>
      <c r="N576" s="1332"/>
      <c r="O576" s="1332"/>
      <c r="P576" s="1332"/>
      <c r="Q576" s="1332"/>
      <c r="R576" s="1332"/>
      <c r="S576" s="1332"/>
      <c r="T576" s="1332"/>
      <c r="U576" s="1332"/>
      <c r="V576" s="1332"/>
      <c r="W576" s="1332"/>
      <c r="X576" s="1332"/>
      <c r="Y576" s="1332"/>
      <c r="Z576" s="1332"/>
      <c r="AA576" s="1332"/>
      <c r="AB576" s="1332"/>
    </row>
    <row r="577">
      <c r="A577" s="1332"/>
      <c r="B577" s="1366"/>
      <c r="C577" s="1366"/>
      <c r="D577" s="1375"/>
      <c r="E577" s="1332"/>
      <c r="F577" s="1332"/>
      <c r="G577" s="1378"/>
      <c r="H577" s="1378"/>
      <c r="I577" s="1332"/>
      <c r="J577" s="1332"/>
      <c r="K577" s="1332"/>
      <c r="L577" s="1332"/>
      <c r="M577" s="1332"/>
      <c r="N577" s="1332"/>
      <c r="O577" s="1332"/>
      <c r="P577" s="1332"/>
      <c r="Q577" s="1332"/>
      <c r="R577" s="1332"/>
      <c r="S577" s="1332"/>
      <c r="T577" s="1332"/>
      <c r="U577" s="1332"/>
      <c r="V577" s="1332"/>
      <c r="W577" s="1332"/>
      <c r="X577" s="1332"/>
      <c r="Y577" s="1332"/>
      <c r="Z577" s="1332"/>
      <c r="AA577" s="1332"/>
      <c r="AB577" s="1332"/>
    </row>
    <row r="578">
      <c r="A578" s="1332"/>
      <c r="B578" s="1366"/>
      <c r="C578" s="1366"/>
      <c r="D578" s="1375"/>
      <c r="E578" s="1332"/>
      <c r="F578" s="1332"/>
      <c r="G578" s="1378"/>
      <c r="H578" s="1378"/>
      <c r="I578" s="1332"/>
      <c r="J578" s="1332"/>
      <c r="K578" s="1332"/>
      <c r="L578" s="1332"/>
      <c r="M578" s="1332"/>
      <c r="N578" s="1332"/>
      <c r="O578" s="1332"/>
      <c r="P578" s="1332"/>
      <c r="Q578" s="1332"/>
      <c r="R578" s="1332"/>
      <c r="S578" s="1332"/>
      <c r="T578" s="1332"/>
      <c r="U578" s="1332"/>
      <c r="V578" s="1332"/>
      <c r="W578" s="1332"/>
      <c r="X578" s="1332"/>
      <c r="Y578" s="1332"/>
      <c r="Z578" s="1332"/>
      <c r="AA578" s="1332"/>
      <c r="AB578" s="1332"/>
    </row>
    <row r="579">
      <c r="A579" s="1332"/>
      <c r="B579" s="1366"/>
      <c r="C579" s="1366"/>
      <c r="D579" s="1375"/>
      <c r="E579" s="1332"/>
      <c r="F579" s="1332"/>
      <c r="G579" s="1378"/>
      <c r="H579" s="1378"/>
      <c r="I579" s="1332"/>
      <c r="J579" s="1332"/>
      <c r="K579" s="1332"/>
      <c r="L579" s="1332"/>
      <c r="M579" s="1332"/>
      <c r="N579" s="1332"/>
      <c r="O579" s="1332"/>
      <c r="P579" s="1332"/>
      <c r="Q579" s="1332"/>
      <c r="R579" s="1332"/>
      <c r="S579" s="1332"/>
      <c r="T579" s="1332"/>
      <c r="U579" s="1332"/>
      <c r="V579" s="1332"/>
      <c r="W579" s="1332"/>
      <c r="X579" s="1332"/>
      <c r="Y579" s="1332"/>
      <c r="Z579" s="1332"/>
      <c r="AA579" s="1332"/>
      <c r="AB579" s="1332"/>
    </row>
    <row r="580">
      <c r="A580" s="1332"/>
      <c r="B580" s="1366"/>
      <c r="C580" s="1366"/>
      <c r="D580" s="1375"/>
      <c r="E580" s="1332"/>
      <c r="F580" s="1332"/>
      <c r="G580" s="1378"/>
      <c r="H580" s="1378"/>
      <c r="I580" s="1332"/>
      <c r="J580" s="1332"/>
      <c r="K580" s="1332"/>
      <c r="L580" s="1332"/>
      <c r="M580" s="1332"/>
      <c r="N580" s="1332"/>
      <c r="O580" s="1332"/>
      <c r="P580" s="1332"/>
      <c r="Q580" s="1332"/>
      <c r="R580" s="1332"/>
      <c r="S580" s="1332"/>
      <c r="T580" s="1332"/>
      <c r="U580" s="1332"/>
      <c r="V580" s="1332"/>
      <c r="W580" s="1332"/>
      <c r="X580" s="1332"/>
      <c r="Y580" s="1332"/>
      <c r="Z580" s="1332"/>
      <c r="AA580" s="1332"/>
      <c r="AB580" s="1332"/>
    </row>
    <row r="581">
      <c r="A581" s="1332"/>
      <c r="B581" s="1366"/>
      <c r="C581" s="1366"/>
      <c r="D581" s="1375"/>
      <c r="E581" s="1332"/>
      <c r="F581" s="1332"/>
      <c r="G581" s="1378"/>
      <c r="H581" s="1378"/>
      <c r="I581" s="1332"/>
      <c r="J581" s="1332"/>
      <c r="K581" s="1332"/>
      <c r="L581" s="1332"/>
      <c r="M581" s="1332"/>
      <c r="N581" s="1332"/>
      <c r="O581" s="1332"/>
      <c r="P581" s="1332"/>
      <c r="Q581" s="1332"/>
      <c r="R581" s="1332"/>
      <c r="S581" s="1332"/>
      <c r="T581" s="1332"/>
      <c r="U581" s="1332"/>
      <c r="V581" s="1332"/>
      <c r="W581" s="1332"/>
      <c r="X581" s="1332"/>
      <c r="Y581" s="1332"/>
      <c r="Z581" s="1332"/>
      <c r="AA581" s="1332"/>
      <c r="AB581" s="1332"/>
    </row>
    <row r="582">
      <c r="A582" s="1332"/>
      <c r="B582" s="1366"/>
      <c r="C582" s="1366"/>
      <c r="D582" s="1375"/>
      <c r="E582" s="1332"/>
      <c r="F582" s="1332"/>
      <c r="G582" s="1378"/>
      <c r="H582" s="1378"/>
      <c r="I582" s="1332"/>
      <c r="J582" s="1332"/>
      <c r="K582" s="1332"/>
      <c r="L582" s="1332"/>
      <c r="M582" s="1332"/>
      <c r="N582" s="1332"/>
      <c r="O582" s="1332"/>
      <c r="P582" s="1332"/>
      <c r="Q582" s="1332"/>
      <c r="R582" s="1332"/>
      <c r="S582" s="1332"/>
      <c r="T582" s="1332"/>
      <c r="U582" s="1332"/>
      <c r="V582" s="1332"/>
      <c r="W582" s="1332"/>
      <c r="X582" s="1332"/>
      <c r="Y582" s="1332"/>
      <c r="Z582" s="1332"/>
      <c r="AA582" s="1332"/>
      <c r="AB582" s="1332"/>
    </row>
    <row r="583">
      <c r="A583" s="1332"/>
      <c r="B583" s="1366"/>
      <c r="C583" s="1366"/>
      <c r="D583" s="1375"/>
      <c r="E583" s="1332"/>
      <c r="F583" s="1332"/>
      <c r="G583" s="1378"/>
      <c r="H583" s="1378"/>
      <c r="I583" s="1332"/>
      <c r="J583" s="1332"/>
      <c r="K583" s="1332"/>
      <c r="L583" s="1332"/>
      <c r="M583" s="1332"/>
      <c r="N583" s="1332"/>
      <c r="O583" s="1332"/>
      <c r="P583" s="1332"/>
      <c r="Q583" s="1332"/>
      <c r="R583" s="1332"/>
      <c r="S583" s="1332"/>
      <c r="T583" s="1332"/>
      <c r="U583" s="1332"/>
      <c r="V583" s="1332"/>
      <c r="W583" s="1332"/>
      <c r="X583" s="1332"/>
      <c r="Y583" s="1332"/>
      <c r="Z583" s="1332"/>
      <c r="AA583" s="1332"/>
      <c r="AB583" s="1332"/>
    </row>
    <row r="584">
      <c r="A584" s="1332"/>
      <c r="B584" s="1366"/>
      <c r="C584" s="1366"/>
      <c r="D584" s="1375"/>
      <c r="E584" s="1332"/>
      <c r="F584" s="1332"/>
      <c r="G584" s="1378"/>
      <c r="H584" s="1378"/>
      <c r="I584" s="1332"/>
      <c r="J584" s="1332"/>
      <c r="K584" s="1332"/>
      <c r="L584" s="1332"/>
      <c r="M584" s="1332"/>
      <c r="N584" s="1332"/>
      <c r="O584" s="1332"/>
      <c r="P584" s="1332"/>
      <c r="Q584" s="1332"/>
      <c r="R584" s="1332"/>
      <c r="S584" s="1332"/>
      <c r="T584" s="1332"/>
      <c r="U584" s="1332"/>
      <c r="V584" s="1332"/>
      <c r="W584" s="1332"/>
      <c r="X584" s="1332"/>
      <c r="Y584" s="1332"/>
      <c r="Z584" s="1332"/>
      <c r="AA584" s="1332"/>
      <c r="AB584" s="1332"/>
    </row>
    <row r="585">
      <c r="A585" s="1332"/>
      <c r="B585" s="1366"/>
      <c r="C585" s="1366"/>
      <c r="D585" s="1375"/>
      <c r="E585" s="1332"/>
      <c r="F585" s="1332"/>
      <c r="G585" s="1378"/>
      <c r="H585" s="1378"/>
      <c r="I585" s="1332"/>
      <c r="J585" s="1332"/>
      <c r="K585" s="1332"/>
      <c r="L585" s="1332"/>
      <c r="M585" s="1332"/>
      <c r="N585" s="1332"/>
      <c r="O585" s="1332"/>
      <c r="P585" s="1332"/>
      <c r="Q585" s="1332"/>
      <c r="R585" s="1332"/>
      <c r="S585" s="1332"/>
      <c r="T585" s="1332"/>
      <c r="U585" s="1332"/>
      <c r="V585" s="1332"/>
      <c r="W585" s="1332"/>
      <c r="X585" s="1332"/>
      <c r="Y585" s="1332"/>
      <c r="Z585" s="1332"/>
      <c r="AA585" s="1332"/>
      <c r="AB585" s="1332"/>
    </row>
    <row r="586">
      <c r="A586" s="1332"/>
      <c r="B586" s="1366"/>
      <c r="C586" s="1366"/>
      <c r="D586" s="1375"/>
      <c r="E586" s="1332"/>
      <c r="F586" s="1332"/>
      <c r="G586" s="1378"/>
      <c r="H586" s="1378"/>
      <c r="I586" s="1332"/>
      <c r="J586" s="1332"/>
      <c r="K586" s="1332"/>
      <c r="L586" s="1332"/>
      <c r="M586" s="1332"/>
      <c r="N586" s="1332"/>
      <c r="O586" s="1332"/>
      <c r="P586" s="1332"/>
      <c r="Q586" s="1332"/>
      <c r="R586" s="1332"/>
      <c r="S586" s="1332"/>
      <c r="T586" s="1332"/>
      <c r="U586" s="1332"/>
      <c r="V586" s="1332"/>
      <c r="W586" s="1332"/>
      <c r="X586" s="1332"/>
      <c r="Y586" s="1332"/>
      <c r="Z586" s="1332"/>
      <c r="AA586" s="1332"/>
      <c r="AB586" s="1332"/>
    </row>
    <row r="587">
      <c r="A587" s="1332"/>
      <c r="B587" s="1366"/>
      <c r="C587" s="1366"/>
      <c r="D587" s="1375"/>
      <c r="E587" s="1332"/>
      <c r="F587" s="1332"/>
      <c r="G587" s="1378"/>
      <c r="H587" s="1378"/>
      <c r="I587" s="1332"/>
      <c r="J587" s="1332"/>
      <c r="K587" s="1332"/>
      <c r="L587" s="1332"/>
      <c r="M587" s="1332"/>
      <c r="N587" s="1332"/>
      <c r="O587" s="1332"/>
      <c r="P587" s="1332"/>
      <c r="Q587" s="1332"/>
      <c r="R587" s="1332"/>
      <c r="S587" s="1332"/>
      <c r="T587" s="1332"/>
      <c r="U587" s="1332"/>
      <c r="V587" s="1332"/>
      <c r="W587" s="1332"/>
      <c r="X587" s="1332"/>
      <c r="Y587" s="1332"/>
      <c r="Z587" s="1332"/>
      <c r="AA587" s="1332"/>
      <c r="AB587" s="1332"/>
    </row>
    <row r="588">
      <c r="A588" s="1332"/>
      <c r="B588" s="1366"/>
      <c r="C588" s="1366"/>
      <c r="D588" s="1375"/>
      <c r="E588" s="1332"/>
      <c r="F588" s="1332"/>
      <c r="G588" s="1378"/>
      <c r="H588" s="1378"/>
      <c r="I588" s="1332"/>
      <c r="J588" s="1332"/>
      <c r="K588" s="1332"/>
      <c r="L588" s="1332"/>
      <c r="M588" s="1332"/>
      <c r="N588" s="1332"/>
      <c r="O588" s="1332"/>
      <c r="P588" s="1332"/>
      <c r="Q588" s="1332"/>
      <c r="R588" s="1332"/>
      <c r="S588" s="1332"/>
      <c r="T588" s="1332"/>
      <c r="U588" s="1332"/>
      <c r="V588" s="1332"/>
      <c r="W588" s="1332"/>
      <c r="X588" s="1332"/>
      <c r="Y588" s="1332"/>
      <c r="Z588" s="1332"/>
      <c r="AA588" s="1332"/>
      <c r="AB588" s="1332"/>
    </row>
    <row r="589">
      <c r="A589" s="1332"/>
      <c r="B589" s="1366"/>
      <c r="C589" s="1366"/>
      <c r="D589" s="1375"/>
      <c r="E589" s="1332"/>
      <c r="F589" s="1332"/>
      <c r="G589" s="1378"/>
      <c r="H589" s="1378"/>
      <c r="I589" s="1332"/>
      <c r="J589" s="1332"/>
      <c r="K589" s="1332"/>
      <c r="L589" s="1332"/>
      <c r="M589" s="1332"/>
      <c r="N589" s="1332"/>
      <c r="O589" s="1332"/>
      <c r="P589" s="1332"/>
      <c r="Q589" s="1332"/>
      <c r="R589" s="1332"/>
      <c r="S589" s="1332"/>
      <c r="T589" s="1332"/>
      <c r="U589" s="1332"/>
      <c r="V589" s="1332"/>
      <c r="W589" s="1332"/>
      <c r="X589" s="1332"/>
      <c r="Y589" s="1332"/>
      <c r="Z589" s="1332"/>
      <c r="AA589" s="1332"/>
      <c r="AB589" s="1332"/>
    </row>
    <row r="590">
      <c r="A590" s="1332"/>
      <c r="B590" s="1366"/>
      <c r="C590" s="1366"/>
      <c r="D590" s="1375"/>
      <c r="E590" s="1332"/>
      <c r="F590" s="1332"/>
      <c r="G590" s="1378"/>
      <c r="H590" s="1378"/>
      <c r="I590" s="1332"/>
      <c r="J590" s="1332"/>
      <c r="K590" s="1332"/>
      <c r="L590" s="1332"/>
      <c r="M590" s="1332"/>
      <c r="N590" s="1332"/>
      <c r="O590" s="1332"/>
      <c r="P590" s="1332"/>
      <c r="Q590" s="1332"/>
      <c r="R590" s="1332"/>
      <c r="S590" s="1332"/>
      <c r="T590" s="1332"/>
      <c r="U590" s="1332"/>
      <c r="V590" s="1332"/>
      <c r="W590" s="1332"/>
      <c r="X590" s="1332"/>
      <c r="Y590" s="1332"/>
      <c r="Z590" s="1332"/>
      <c r="AA590" s="1332"/>
      <c r="AB590" s="1332"/>
    </row>
    <row r="591">
      <c r="A591" s="1332"/>
      <c r="B591" s="1366"/>
      <c r="C591" s="1366"/>
      <c r="D591" s="1375"/>
      <c r="E591" s="1332"/>
      <c r="F591" s="1332"/>
      <c r="G591" s="1378"/>
      <c r="H591" s="1378"/>
      <c r="I591" s="1332"/>
      <c r="J591" s="1332"/>
      <c r="K591" s="1332"/>
      <c r="L591" s="1332"/>
      <c r="M591" s="1332"/>
      <c r="N591" s="1332"/>
      <c r="O591" s="1332"/>
      <c r="P591" s="1332"/>
      <c r="Q591" s="1332"/>
      <c r="R591" s="1332"/>
      <c r="S591" s="1332"/>
      <c r="T591" s="1332"/>
      <c r="U591" s="1332"/>
      <c r="V591" s="1332"/>
      <c r="W591" s="1332"/>
      <c r="X591" s="1332"/>
      <c r="Y591" s="1332"/>
      <c r="Z591" s="1332"/>
      <c r="AA591" s="1332"/>
      <c r="AB591" s="1332"/>
    </row>
    <row r="592">
      <c r="A592" s="1332"/>
      <c r="B592" s="1366"/>
      <c r="C592" s="1366"/>
      <c r="D592" s="1375"/>
      <c r="E592" s="1332"/>
      <c r="F592" s="1332"/>
      <c r="G592" s="1378"/>
      <c r="H592" s="1378"/>
      <c r="I592" s="1332"/>
      <c r="J592" s="1332"/>
      <c r="K592" s="1332"/>
      <c r="L592" s="1332"/>
      <c r="M592" s="1332"/>
      <c r="N592" s="1332"/>
      <c r="O592" s="1332"/>
      <c r="P592" s="1332"/>
      <c r="Q592" s="1332"/>
      <c r="R592" s="1332"/>
      <c r="S592" s="1332"/>
      <c r="T592" s="1332"/>
      <c r="U592" s="1332"/>
      <c r="V592" s="1332"/>
      <c r="W592" s="1332"/>
      <c r="X592" s="1332"/>
      <c r="Y592" s="1332"/>
      <c r="Z592" s="1332"/>
      <c r="AA592" s="1332"/>
      <c r="AB592" s="1332"/>
    </row>
    <row r="593">
      <c r="A593" s="1332"/>
      <c r="B593" s="1366"/>
      <c r="C593" s="1366"/>
      <c r="D593" s="1375"/>
      <c r="E593" s="1332"/>
      <c r="F593" s="1332"/>
      <c r="G593" s="1378"/>
      <c r="H593" s="1378"/>
      <c r="I593" s="1332"/>
      <c r="J593" s="1332"/>
      <c r="K593" s="1332"/>
      <c r="L593" s="1332"/>
      <c r="M593" s="1332"/>
      <c r="N593" s="1332"/>
      <c r="O593" s="1332"/>
      <c r="P593" s="1332"/>
      <c r="Q593" s="1332"/>
      <c r="R593" s="1332"/>
      <c r="S593" s="1332"/>
      <c r="T593" s="1332"/>
      <c r="U593" s="1332"/>
      <c r="V593" s="1332"/>
      <c r="W593" s="1332"/>
      <c r="X593" s="1332"/>
      <c r="Y593" s="1332"/>
      <c r="Z593" s="1332"/>
      <c r="AA593" s="1332"/>
      <c r="AB593" s="1332"/>
    </row>
    <row r="594">
      <c r="A594" s="1332"/>
      <c r="B594" s="1366"/>
      <c r="C594" s="1366"/>
      <c r="D594" s="1375"/>
      <c r="E594" s="1332"/>
      <c r="F594" s="1332"/>
      <c r="G594" s="1378"/>
      <c r="H594" s="1378"/>
      <c r="I594" s="1332"/>
      <c r="J594" s="1332"/>
      <c r="K594" s="1332"/>
      <c r="L594" s="1332"/>
      <c r="M594" s="1332"/>
      <c r="N594" s="1332"/>
      <c r="O594" s="1332"/>
      <c r="P594" s="1332"/>
      <c r="Q594" s="1332"/>
      <c r="R594" s="1332"/>
      <c r="S594" s="1332"/>
      <c r="T594" s="1332"/>
      <c r="U594" s="1332"/>
      <c r="V594" s="1332"/>
      <c r="W594" s="1332"/>
      <c r="X594" s="1332"/>
      <c r="Y594" s="1332"/>
      <c r="Z594" s="1332"/>
      <c r="AA594" s="1332"/>
      <c r="AB594" s="1332"/>
    </row>
    <row r="595">
      <c r="A595" s="1332"/>
      <c r="B595" s="1366"/>
      <c r="C595" s="1366"/>
      <c r="D595" s="1375"/>
      <c r="E595" s="1332"/>
      <c r="F595" s="1332"/>
      <c r="G595" s="1378"/>
      <c r="H595" s="1378"/>
      <c r="I595" s="1332"/>
      <c r="J595" s="1332"/>
      <c r="K595" s="1332"/>
      <c r="L595" s="1332"/>
      <c r="M595" s="1332"/>
      <c r="N595" s="1332"/>
      <c r="O595" s="1332"/>
      <c r="P595" s="1332"/>
      <c r="Q595" s="1332"/>
      <c r="R595" s="1332"/>
      <c r="S595" s="1332"/>
      <c r="T595" s="1332"/>
      <c r="U595" s="1332"/>
      <c r="V595" s="1332"/>
      <c r="W595" s="1332"/>
      <c r="X595" s="1332"/>
      <c r="Y595" s="1332"/>
      <c r="Z595" s="1332"/>
      <c r="AA595" s="1332"/>
      <c r="AB595" s="1332"/>
    </row>
    <row r="596">
      <c r="A596" s="1332"/>
      <c r="B596" s="1366"/>
      <c r="C596" s="1366"/>
      <c r="D596" s="1375"/>
      <c r="E596" s="1332"/>
      <c r="F596" s="1332"/>
      <c r="G596" s="1378"/>
      <c r="H596" s="1378"/>
      <c r="I596" s="1332"/>
      <c r="J596" s="1332"/>
      <c r="K596" s="1332"/>
      <c r="L596" s="1332"/>
      <c r="M596" s="1332"/>
      <c r="N596" s="1332"/>
      <c r="O596" s="1332"/>
      <c r="P596" s="1332"/>
      <c r="Q596" s="1332"/>
      <c r="R596" s="1332"/>
      <c r="S596" s="1332"/>
      <c r="T596" s="1332"/>
      <c r="U596" s="1332"/>
      <c r="V596" s="1332"/>
      <c r="W596" s="1332"/>
      <c r="X596" s="1332"/>
      <c r="Y596" s="1332"/>
      <c r="Z596" s="1332"/>
      <c r="AA596" s="1332"/>
      <c r="AB596" s="1332"/>
    </row>
    <row r="597">
      <c r="A597" s="1332"/>
      <c r="B597" s="1366"/>
      <c r="C597" s="1366"/>
      <c r="D597" s="1375"/>
      <c r="E597" s="1332"/>
      <c r="F597" s="1332"/>
      <c r="G597" s="1378"/>
      <c r="H597" s="1378"/>
      <c r="I597" s="1332"/>
      <c r="J597" s="1332"/>
      <c r="K597" s="1332"/>
      <c r="L597" s="1332"/>
      <c r="M597" s="1332"/>
      <c r="N597" s="1332"/>
      <c r="O597" s="1332"/>
      <c r="P597" s="1332"/>
      <c r="Q597" s="1332"/>
      <c r="R597" s="1332"/>
      <c r="S597" s="1332"/>
      <c r="T597" s="1332"/>
      <c r="U597" s="1332"/>
      <c r="V597" s="1332"/>
      <c r="W597" s="1332"/>
      <c r="X597" s="1332"/>
      <c r="Y597" s="1332"/>
      <c r="Z597" s="1332"/>
      <c r="AA597" s="1332"/>
      <c r="AB597" s="1332"/>
    </row>
    <row r="598">
      <c r="A598" s="1332"/>
      <c r="B598" s="1366"/>
      <c r="C598" s="1366"/>
      <c r="D598" s="1375"/>
      <c r="E598" s="1332"/>
      <c r="F598" s="1332"/>
      <c r="G598" s="1378"/>
      <c r="H598" s="1378"/>
      <c r="I598" s="1332"/>
      <c r="J598" s="1332"/>
      <c r="K598" s="1332"/>
      <c r="L598" s="1332"/>
      <c r="M598" s="1332"/>
      <c r="N598" s="1332"/>
      <c r="O598" s="1332"/>
      <c r="P598" s="1332"/>
      <c r="Q598" s="1332"/>
      <c r="R598" s="1332"/>
      <c r="S598" s="1332"/>
      <c r="T598" s="1332"/>
      <c r="U598" s="1332"/>
      <c r="V598" s="1332"/>
      <c r="W598" s="1332"/>
      <c r="X598" s="1332"/>
      <c r="Y598" s="1332"/>
      <c r="Z598" s="1332"/>
      <c r="AA598" s="1332"/>
      <c r="AB598" s="1332"/>
    </row>
    <row r="599">
      <c r="A599" s="1332"/>
      <c r="B599" s="1366"/>
      <c r="C599" s="1366"/>
      <c r="D599" s="1375"/>
      <c r="E599" s="1332"/>
      <c r="F599" s="1332"/>
      <c r="G599" s="1378"/>
      <c r="H599" s="1378"/>
      <c r="I599" s="1332"/>
      <c r="J599" s="1332"/>
      <c r="K599" s="1332"/>
      <c r="L599" s="1332"/>
      <c r="M599" s="1332"/>
      <c r="N599" s="1332"/>
      <c r="O599" s="1332"/>
      <c r="P599" s="1332"/>
      <c r="Q599" s="1332"/>
      <c r="R599" s="1332"/>
      <c r="S599" s="1332"/>
      <c r="T599" s="1332"/>
      <c r="U599" s="1332"/>
      <c r="V599" s="1332"/>
      <c r="W599" s="1332"/>
      <c r="X599" s="1332"/>
      <c r="Y599" s="1332"/>
      <c r="Z599" s="1332"/>
      <c r="AA599" s="1332"/>
      <c r="AB599" s="1332"/>
    </row>
    <row r="600">
      <c r="A600" s="1332"/>
      <c r="B600" s="1366"/>
      <c r="C600" s="1366"/>
      <c r="D600" s="1375"/>
      <c r="E600" s="1332"/>
      <c r="F600" s="1332"/>
      <c r="G600" s="1378"/>
      <c r="H600" s="1378"/>
      <c r="I600" s="1332"/>
      <c r="J600" s="1332"/>
      <c r="K600" s="1332"/>
      <c r="L600" s="1332"/>
      <c r="M600" s="1332"/>
      <c r="N600" s="1332"/>
      <c r="O600" s="1332"/>
      <c r="P600" s="1332"/>
      <c r="Q600" s="1332"/>
      <c r="R600" s="1332"/>
      <c r="S600" s="1332"/>
      <c r="T600" s="1332"/>
      <c r="U600" s="1332"/>
      <c r="V600" s="1332"/>
      <c r="W600" s="1332"/>
      <c r="X600" s="1332"/>
      <c r="Y600" s="1332"/>
      <c r="Z600" s="1332"/>
      <c r="AA600" s="1332"/>
      <c r="AB600" s="1332"/>
    </row>
    <row r="601">
      <c r="A601" s="1332"/>
      <c r="B601" s="1366"/>
      <c r="C601" s="1366"/>
      <c r="D601" s="1375"/>
      <c r="E601" s="1332"/>
      <c r="F601" s="1332"/>
      <c r="G601" s="1378"/>
      <c r="H601" s="1378"/>
      <c r="I601" s="1332"/>
      <c r="J601" s="1332"/>
      <c r="K601" s="1332"/>
      <c r="L601" s="1332"/>
      <c r="M601" s="1332"/>
      <c r="N601" s="1332"/>
      <c r="O601" s="1332"/>
      <c r="P601" s="1332"/>
      <c r="Q601" s="1332"/>
      <c r="R601" s="1332"/>
      <c r="S601" s="1332"/>
      <c r="T601" s="1332"/>
      <c r="U601" s="1332"/>
      <c r="V601" s="1332"/>
      <c r="W601" s="1332"/>
      <c r="X601" s="1332"/>
      <c r="Y601" s="1332"/>
      <c r="Z601" s="1332"/>
      <c r="AA601" s="1332"/>
      <c r="AB601" s="1332"/>
    </row>
    <row r="602">
      <c r="A602" s="1332"/>
      <c r="B602" s="1366"/>
      <c r="C602" s="1366"/>
      <c r="D602" s="1375"/>
      <c r="E602" s="1332"/>
      <c r="F602" s="1332"/>
      <c r="G602" s="1378"/>
      <c r="H602" s="1378"/>
      <c r="I602" s="1332"/>
      <c r="J602" s="1332"/>
      <c r="K602" s="1332"/>
      <c r="L602" s="1332"/>
      <c r="M602" s="1332"/>
      <c r="N602" s="1332"/>
      <c r="O602" s="1332"/>
      <c r="P602" s="1332"/>
      <c r="Q602" s="1332"/>
      <c r="R602" s="1332"/>
      <c r="S602" s="1332"/>
      <c r="T602" s="1332"/>
      <c r="U602" s="1332"/>
      <c r="V602" s="1332"/>
      <c r="W602" s="1332"/>
      <c r="X602" s="1332"/>
      <c r="Y602" s="1332"/>
      <c r="Z602" s="1332"/>
      <c r="AA602" s="1332"/>
      <c r="AB602" s="1332"/>
    </row>
    <row r="603">
      <c r="A603" s="1332"/>
      <c r="B603" s="1366"/>
      <c r="C603" s="1366"/>
      <c r="D603" s="1375"/>
      <c r="E603" s="1332"/>
      <c r="F603" s="1332"/>
      <c r="G603" s="1378"/>
      <c r="H603" s="1378"/>
      <c r="I603" s="1332"/>
      <c r="J603" s="1332"/>
      <c r="K603" s="1332"/>
      <c r="L603" s="1332"/>
      <c r="M603" s="1332"/>
      <c r="N603" s="1332"/>
      <c r="O603" s="1332"/>
      <c r="P603" s="1332"/>
      <c r="Q603" s="1332"/>
      <c r="R603" s="1332"/>
      <c r="S603" s="1332"/>
      <c r="T603" s="1332"/>
      <c r="U603" s="1332"/>
      <c r="V603" s="1332"/>
      <c r="W603" s="1332"/>
      <c r="X603" s="1332"/>
      <c r="Y603" s="1332"/>
      <c r="Z603" s="1332"/>
      <c r="AA603" s="1332"/>
      <c r="AB603" s="1332"/>
    </row>
    <row r="604">
      <c r="A604" s="1332"/>
      <c r="B604" s="1366"/>
      <c r="C604" s="1366"/>
      <c r="D604" s="1375"/>
      <c r="E604" s="1332"/>
      <c r="F604" s="1332"/>
      <c r="G604" s="1378"/>
      <c r="H604" s="1378"/>
      <c r="I604" s="1332"/>
      <c r="J604" s="1332"/>
      <c r="K604" s="1332"/>
      <c r="L604" s="1332"/>
      <c r="M604" s="1332"/>
      <c r="N604" s="1332"/>
      <c r="O604" s="1332"/>
      <c r="P604" s="1332"/>
      <c r="Q604" s="1332"/>
      <c r="R604" s="1332"/>
      <c r="S604" s="1332"/>
      <c r="T604" s="1332"/>
      <c r="U604" s="1332"/>
      <c r="V604" s="1332"/>
      <c r="W604" s="1332"/>
      <c r="X604" s="1332"/>
      <c r="Y604" s="1332"/>
      <c r="Z604" s="1332"/>
      <c r="AA604" s="1332"/>
      <c r="AB604" s="1332"/>
    </row>
    <row r="605">
      <c r="A605" s="1332"/>
      <c r="B605" s="1366"/>
      <c r="C605" s="1366"/>
      <c r="D605" s="1375"/>
      <c r="E605" s="1332"/>
      <c r="F605" s="1332"/>
      <c r="G605" s="1378"/>
      <c r="H605" s="1378"/>
      <c r="I605" s="1332"/>
      <c r="J605" s="1332"/>
      <c r="K605" s="1332"/>
      <c r="L605" s="1332"/>
      <c r="M605" s="1332"/>
      <c r="N605" s="1332"/>
      <c r="O605" s="1332"/>
      <c r="P605" s="1332"/>
      <c r="Q605" s="1332"/>
      <c r="R605" s="1332"/>
      <c r="S605" s="1332"/>
      <c r="T605" s="1332"/>
      <c r="U605" s="1332"/>
      <c r="V605" s="1332"/>
      <c r="W605" s="1332"/>
      <c r="X605" s="1332"/>
      <c r="Y605" s="1332"/>
      <c r="Z605" s="1332"/>
      <c r="AA605" s="1332"/>
      <c r="AB605" s="1332"/>
    </row>
    <row r="606">
      <c r="A606" s="1332"/>
      <c r="B606" s="1366"/>
      <c r="C606" s="1366"/>
      <c r="D606" s="1375"/>
      <c r="E606" s="1332"/>
      <c r="F606" s="1332"/>
      <c r="G606" s="1378"/>
      <c r="H606" s="1378"/>
      <c r="I606" s="1332"/>
      <c r="J606" s="1332"/>
      <c r="K606" s="1332"/>
      <c r="L606" s="1332"/>
      <c r="M606" s="1332"/>
      <c r="N606" s="1332"/>
      <c r="O606" s="1332"/>
      <c r="P606" s="1332"/>
      <c r="Q606" s="1332"/>
      <c r="R606" s="1332"/>
      <c r="S606" s="1332"/>
      <c r="T606" s="1332"/>
      <c r="U606" s="1332"/>
      <c r="V606" s="1332"/>
      <c r="W606" s="1332"/>
      <c r="X606" s="1332"/>
      <c r="Y606" s="1332"/>
      <c r="Z606" s="1332"/>
      <c r="AA606" s="1332"/>
      <c r="AB606" s="1332"/>
    </row>
    <row r="607">
      <c r="A607" s="1332"/>
      <c r="B607" s="1366"/>
      <c r="C607" s="1366"/>
      <c r="D607" s="1375"/>
      <c r="E607" s="1332"/>
      <c r="F607" s="1332"/>
      <c r="G607" s="1378"/>
      <c r="H607" s="1378"/>
      <c r="I607" s="1332"/>
      <c r="J607" s="1332"/>
      <c r="K607" s="1332"/>
      <c r="L607" s="1332"/>
      <c r="M607" s="1332"/>
      <c r="N607" s="1332"/>
      <c r="O607" s="1332"/>
      <c r="P607" s="1332"/>
      <c r="Q607" s="1332"/>
      <c r="R607" s="1332"/>
      <c r="S607" s="1332"/>
      <c r="T607" s="1332"/>
      <c r="U607" s="1332"/>
      <c r="V607" s="1332"/>
      <c r="W607" s="1332"/>
      <c r="X607" s="1332"/>
      <c r="Y607" s="1332"/>
      <c r="Z607" s="1332"/>
      <c r="AA607" s="1332"/>
      <c r="AB607" s="1332"/>
    </row>
    <row r="608">
      <c r="A608" s="1332"/>
      <c r="B608" s="1366"/>
      <c r="C608" s="1366"/>
      <c r="D608" s="1375"/>
      <c r="E608" s="1332"/>
      <c r="F608" s="1332"/>
      <c r="G608" s="1378"/>
      <c r="H608" s="1378"/>
      <c r="I608" s="1332"/>
      <c r="J608" s="1332"/>
      <c r="K608" s="1332"/>
      <c r="L608" s="1332"/>
      <c r="M608" s="1332"/>
      <c r="N608" s="1332"/>
      <c r="O608" s="1332"/>
      <c r="P608" s="1332"/>
      <c r="Q608" s="1332"/>
      <c r="R608" s="1332"/>
      <c r="S608" s="1332"/>
      <c r="T608" s="1332"/>
      <c r="U608" s="1332"/>
      <c r="V608" s="1332"/>
      <c r="W608" s="1332"/>
      <c r="X608" s="1332"/>
      <c r="Y608" s="1332"/>
      <c r="Z608" s="1332"/>
      <c r="AA608" s="1332"/>
      <c r="AB608" s="1332"/>
    </row>
    <row r="609">
      <c r="A609" s="1332"/>
      <c r="B609" s="1366"/>
      <c r="C609" s="1366"/>
      <c r="D609" s="1375"/>
      <c r="E609" s="1332"/>
      <c r="F609" s="1332"/>
      <c r="G609" s="1378"/>
      <c r="H609" s="1378"/>
      <c r="I609" s="1332"/>
      <c r="J609" s="1332"/>
      <c r="K609" s="1332"/>
      <c r="L609" s="1332"/>
      <c r="M609" s="1332"/>
      <c r="N609" s="1332"/>
      <c r="O609" s="1332"/>
      <c r="P609" s="1332"/>
      <c r="Q609" s="1332"/>
      <c r="R609" s="1332"/>
      <c r="S609" s="1332"/>
      <c r="T609" s="1332"/>
      <c r="U609" s="1332"/>
      <c r="V609" s="1332"/>
      <c r="W609" s="1332"/>
      <c r="X609" s="1332"/>
      <c r="Y609" s="1332"/>
      <c r="Z609" s="1332"/>
      <c r="AA609" s="1332"/>
      <c r="AB609" s="1332"/>
    </row>
    <row r="610">
      <c r="A610" s="1332"/>
      <c r="B610" s="1366"/>
      <c r="C610" s="1366"/>
      <c r="D610" s="1375"/>
      <c r="E610" s="1332"/>
      <c r="F610" s="1332"/>
      <c r="G610" s="1378"/>
      <c r="H610" s="1378"/>
      <c r="I610" s="1332"/>
      <c r="J610" s="1332"/>
      <c r="K610" s="1332"/>
      <c r="L610" s="1332"/>
      <c r="M610" s="1332"/>
      <c r="N610" s="1332"/>
      <c r="O610" s="1332"/>
      <c r="P610" s="1332"/>
      <c r="Q610" s="1332"/>
      <c r="R610" s="1332"/>
      <c r="S610" s="1332"/>
      <c r="T610" s="1332"/>
      <c r="U610" s="1332"/>
      <c r="V610" s="1332"/>
      <c r="W610" s="1332"/>
      <c r="X610" s="1332"/>
      <c r="Y610" s="1332"/>
      <c r="Z610" s="1332"/>
      <c r="AA610" s="1332"/>
      <c r="AB610" s="1332"/>
    </row>
    <row r="611">
      <c r="A611" s="1332"/>
      <c r="B611" s="1366"/>
      <c r="C611" s="1366"/>
      <c r="D611" s="1375"/>
      <c r="E611" s="1332"/>
      <c r="F611" s="1332"/>
      <c r="G611" s="1378"/>
      <c r="H611" s="1378"/>
      <c r="I611" s="1332"/>
      <c r="J611" s="1332"/>
      <c r="K611" s="1332"/>
      <c r="L611" s="1332"/>
      <c r="M611" s="1332"/>
      <c r="N611" s="1332"/>
      <c r="O611" s="1332"/>
      <c r="P611" s="1332"/>
      <c r="Q611" s="1332"/>
      <c r="R611" s="1332"/>
      <c r="S611" s="1332"/>
      <c r="T611" s="1332"/>
      <c r="U611" s="1332"/>
      <c r="V611" s="1332"/>
      <c r="W611" s="1332"/>
      <c r="X611" s="1332"/>
      <c r="Y611" s="1332"/>
      <c r="Z611" s="1332"/>
      <c r="AA611" s="1332"/>
      <c r="AB611" s="1332"/>
    </row>
    <row r="612">
      <c r="A612" s="1332"/>
      <c r="B612" s="1366"/>
      <c r="C612" s="1366"/>
      <c r="D612" s="1375"/>
      <c r="E612" s="1332"/>
      <c r="F612" s="1332"/>
      <c r="G612" s="1378"/>
      <c r="H612" s="1378"/>
      <c r="I612" s="1332"/>
      <c r="J612" s="1332"/>
      <c r="K612" s="1332"/>
      <c r="L612" s="1332"/>
      <c r="M612" s="1332"/>
      <c r="N612" s="1332"/>
      <c r="O612" s="1332"/>
      <c r="P612" s="1332"/>
      <c r="Q612" s="1332"/>
      <c r="R612" s="1332"/>
      <c r="S612" s="1332"/>
      <c r="T612" s="1332"/>
      <c r="U612" s="1332"/>
      <c r="V612" s="1332"/>
      <c r="W612" s="1332"/>
      <c r="X612" s="1332"/>
      <c r="Y612" s="1332"/>
      <c r="Z612" s="1332"/>
      <c r="AA612" s="1332"/>
      <c r="AB612" s="1332"/>
    </row>
    <row r="613">
      <c r="A613" s="1332"/>
      <c r="B613" s="1366"/>
      <c r="C613" s="1366"/>
      <c r="D613" s="1375"/>
      <c r="E613" s="1332"/>
      <c r="F613" s="1332"/>
      <c r="G613" s="1378"/>
      <c r="H613" s="1378"/>
      <c r="I613" s="1332"/>
      <c r="J613" s="1332"/>
      <c r="K613" s="1332"/>
      <c r="L613" s="1332"/>
      <c r="M613" s="1332"/>
      <c r="N613" s="1332"/>
      <c r="O613" s="1332"/>
      <c r="P613" s="1332"/>
      <c r="Q613" s="1332"/>
      <c r="R613" s="1332"/>
      <c r="S613" s="1332"/>
      <c r="T613" s="1332"/>
      <c r="U613" s="1332"/>
      <c r="V613" s="1332"/>
      <c r="W613" s="1332"/>
      <c r="X613" s="1332"/>
      <c r="Y613" s="1332"/>
      <c r="Z613" s="1332"/>
      <c r="AA613" s="1332"/>
      <c r="AB613" s="1332"/>
    </row>
    <row r="614">
      <c r="A614" s="1332"/>
      <c r="B614" s="1366"/>
      <c r="C614" s="1366"/>
      <c r="D614" s="1375"/>
      <c r="E614" s="1332"/>
      <c r="F614" s="1332"/>
      <c r="G614" s="1378"/>
      <c r="H614" s="1378"/>
      <c r="I614" s="1332"/>
      <c r="J614" s="1332"/>
      <c r="K614" s="1332"/>
      <c r="L614" s="1332"/>
      <c r="M614" s="1332"/>
      <c r="N614" s="1332"/>
      <c r="O614" s="1332"/>
      <c r="P614" s="1332"/>
      <c r="Q614" s="1332"/>
      <c r="R614" s="1332"/>
      <c r="S614" s="1332"/>
      <c r="T614" s="1332"/>
      <c r="U614" s="1332"/>
      <c r="V614" s="1332"/>
      <c r="W614" s="1332"/>
      <c r="X614" s="1332"/>
      <c r="Y614" s="1332"/>
      <c r="Z614" s="1332"/>
      <c r="AA614" s="1332"/>
      <c r="AB614" s="1332"/>
    </row>
    <row r="615">
      <c r="A615" s="1332"/>
      <c r="B615" s="1366"/>
      <c r="C615" s="1366"/>
      <c r="D615" s="1375"/>
      <c r="E615" s="1332"/>
      <c r="F615" s="1332"/>
      <c r="G615" s="1378"/>
      <c r="H615" s="1378"/>
      <c r="I615" s="1332"/>
      <c r="J615" s="1332"/>
      <c r="K615" s="1332"/>
      <c r="L615" s="1332"/>
      <c r="M615" s="1332"/>
      <c r="N615" s="1332"/>
      <c r="O615" s="1332"/>
      <c r="P615" s="1332"/>
      <c r="Q615" s="1332"/>
      <c r="R615" s="1332"/>
      <c r="S615" s="1332"/>
      <c r="T615" s="1332"/>
      <c r="U615" s="1332"/>
      <c r="V615" s="1332"/>
      <c r="W615" s="1332"/>
      <c r="X615" s="1332"/>
      <c r="Y615" s="1332"/>
      <c r="Z615" s="1332"/>
      <c r="AA615" s="1332"/>
      <c r="AB615" s="1332"/>
    </row>
    <row r="616">
      <c r="A616" s="1332"/>
      <c r="B616" s="1366"/>
      <c r="C616" s="1366"/>
      <c r="D616" s="1375"/>
      <c r="E616" s="1332"/>
      <c r="F616" s="1332"/>
      <c r="G616" s="1378"/>
      <c r="H616" s="1378"/>
      <c r="I616" s="1332"/>
      <c r="J616" s="1332"/>
      <c r="K616" s="1332"/>
      <c r="L616" s="1332"/>
      <c r="M616" s="1332"/>
      <c r="N616" s="1332"/>
      <c r="O616" s="1332"/>
      <c r="P616" s="1332"/>
      <c r="Q616" s="1332"/>
      <c r="R616" s="1332"/>
      <c r="S616" s="1332"/>
      <c r="T616" s="1332"/>
      <c r="U616" s="1332"/>
      <c r="V616" s="1332"/>
      <c r="W616" s="1332"/>
      <c r="X616" s="1332"/>
      <c r="Y616" s="1332"/>
      <c r="Z616" s="1332"/>
      <c r="AA616" s="1332"/>
      <c r="AB616" s="1332"/>
    </row>
    <row r="617">
      <c r="A617" s="1332"/>
      <c r="B617" s="1366"/>
      <c r="C617" s="1366"/>
      <c r="D617" s="1375"/>
      <c r="E617" s="1332"/>
      <c r="F617" s="1332"/>
      <c r="G617" s="1378"/>
      <c r="H617" s="1378"/>
      <c r="I617" s="1332"/>
      <c r="J617" s="1332"/>
      <c r="K617" s="1332"/>
      <c r="L617" s="1332"/>
      <c r="M617" s="1332"/>
      <c r="N617" s="1332"/>
      <c r="O617" s="1332"/>
      <c r="P617" s="1332"/>
      <c r="Q617" s="1332"/>
      <c r="R617" s="1332"/>
      <c r="S617" s="1332"/>
      <c r="T617" s="1332"/>
      <c r="U617" s="1332"/>
      <c r="V617" s="1332"/>
      <c r="W617" s="1332"/>
      <c r="X617" s="1332"/>
      <c r="Y617" s="1332"/>
      <c r="Z617" s="1332"/>
      <c r="AA617" s="1332"/>
      <c r="AB617" s="1332"/>
    </row>
    <row r="618">
      <c r="A618" s="1332"/>
      <c r="B618" s="1366"/>
      <c r="C618" s="1366"/>
      <c r="D618" s="1375"/>
      <c r="E618" s="1332"/>
      <c r="F618" s="1332"/>
      <c r="G618" s="1378"/>
      <c r="H618" s="1378"/>
      <c r="I618" s="1332"/>
      <c r="J618" s="1332"/>
      <c r="K618" s="1332"/>
      <c r="L618" s="1332"/>
      <c r="M618" s="1332"/>
      <c r="N618" s="1332"/>
      <c r="O618" s="1332"/>
      <c r="P618" s="1332"/>
      <c r="Q618" s="1332"/>
      <c r="R618" s="1332"/>
      <c r="S618" s="1332"/>
      <c r="T618" s="1332"/>
      <c r="U618" s="1332"/>
      <c r="V618" s="1332"/>
      <c r="W618" s="1332"/>
      <c r="X618" s="1332"/>
      <c r="Y618" s="1332"/>
      <c r="Z618" s="1332"/>
      <c r="AA618" s="1332"/>
      <c r="AB618" s="1332"/>
    </row>
    <row r="619">
      <c r="A619" s="1332"/>
      <c r="B619" s="1366"/>
      <c r="C619" s="1366"/>
      <c r="D619" s="1375"/>
      <c r="E619" s="1332"/>
      <c r="F619" s="1332"/>
      <c r="G619" s="1378"/>
      <c r="H619" s="1378"/>
      <c r="I619" s="1332"/>
      <c r="J619" s="1332"/>
      <c r="K619" s="1332"/>
      <c r="L619" s="1332"/>
      <c r="M619" s="1332"/>
      <c r="N619" s="1332"/>
      <c r="O619" s="1332"/>
      <c r="P619" s="1332"/>
      <c r="Q619" s="1332"/>
      <c r="R619" s="1332"/>
      <c r="S619" s="1332"/>
      <c r="T619" s="1332"/>
      <c r="U619" s="1332"/>
      <c r="V619" s="1332"/>
      <c r="W619" s="1332"/>
      <c r="X619" s="1332"/>
      <c r="Y619" s="1332"/>
      <c r="Z619" s="1332"/>
      <c r="AA619" s="1332"/>
      <c r="AB619" s="1332"/>
    </row>
    <row r="620">
      <c r="A620" s="1332"/>
      <c r="B620" s="1366"/>
      <c r="C620" s="1366"/>
      <c r="D620" s="1375"/>
      <c r="E620" s="1332"/>
      <c r="F620" s="1332"/>
      <c r="G620" s="1378"/>
      <c r="H620" s="1378"/>
      <c r="I620" s="1332"/>
      <c r="J620" s="1332"/>
      <c r="K620" s="1332"/>
      <c r="L620" s="1332"/>
      <c r="M620" s="1332"/>
      <c r="N620" s="1332"/>
      <c r="O620" s="1332"/>
      <c r="P620" s="1332"/>
      <c r="Q620" s="1332"/>
      <c r="R620" s="1332"/>
      <c r="S620" s="1332"/>
      <c r="T620" s="1332"/>
      <c r="U620" s="1332"/>
      <c r="V620" s="1332"/>
      <c r="W620" s="1332"/>
      <c r="X620" s="1332"/>
      <c r="Y620" s="1332"/>
      <c r="Z620" s="1332"/>
      <c r="AA620" s="1332"/>
      <c r="AB620" s="1332"/>
    </row>
    <row r="621">
      <c r="A621" s="1332"/>
      <c r="B621" s="1366"/>
      <c r="C621" s="1366"/>
      <c r="D621" s="1375"/>
      <c r="E621" s="1332"/>
      <c r="F621" s="1332"/>
      <c r="G621" s="1378"/>
      <c r="H621" s="1378"/>
      <c r="I621" s="1332"/>
      <c r="J621" s="1332"/>
      <c r="K621" s="1332"/>
      <c r="L621" s="1332"/>
      <c r="M621" s="1332"/>
      <c r="N621" s="1332"/>
      <c r="O621" s="1332"/>
      <c r="P621" s="1332"/>
      <c r="Q621" s="1332"/>
      <c r="R621" s="1332"/>
      <c r="S621" s="1332"/>
      <c r="T621" s="1332"/>
      <c r="U621" s="1332"/>
      <c r="V621" s="1332"/>
      <c r="W621" s="1332"/>
      <c r="X621" s="1332"/>
      <c r="Y621" s="1332"/>
      <c r="Z621" s="1332"/>
      <c r="AA621" s="1332"/>
      <c r="AB621" s="1332"/>
    </row>
    <row r="622">
      <c r="A622" s="1332"/>
      <c r="B622" s="1366"/>
      <c r="C622" s="1366"/>
      <c r="D622" s="1375"/>
      <c r="E622" s="1332"/>
      <c r="F622" s="1332"/>
      <c r="G622" s="1378"/>
      <c r="H622" s="1378"/>
      <c r="I622" s="1332"/>
      <c r="J622" s="1332"/>
      <c r="K622" s="1332"/>
      <c r="L622" s="1332"/>
      <c r="M622" s="1332"/>
      <c r="N622" s="1332"/>
      <c r="O622" s="1332"/>
      <c r="P622" s="1332"/>
      <c r="Q622" s="1332"/>
      <c r="R622" s="1332"/>
      <c r="S622" s="1332"/>
      <c r="T622" s="1332"/>
      <c r="U622" s="1332"/>
      <c r="V622" s="1332"/>
      <c r="W622" s="1332"/>
      <c r="X622" s="1332"/>
      <c r="Y622" s="1332"/>
      <c r="Z622" s="1332"/>
      <c r="AA622" s="1332"/>
      <c r="AB622" s="1332"/>
    </row>
    <row r="623">
      <c r="A623" s="1332"/>
      <c r="B623" s="1366"/>
      <c r="C623" s="1366"/>
      <c r="D623" s="1375"/>
      <c r="E623" s="1332"/>
      <c r="F623" s="1332"/>
      <c r="G623" s="1378"/>
      <c r="H623" s="1378"/>
      <c r="I623" s="1332"/>
      <c r="J623" s="1332"/>
      <c r="K623" s="1332"/>
      <c r="L623" s="1332"/>
      <c r="M623" s="1332"/>
      <c r="N623" s="1332"/>
      <c r="O623" s="1332"/>
      <c r="P623" s="1332"/>
      <c r="Q623" s="1332"/>
      <c r="R623" s="1332"/>
      <c r="S623" s="1332"/>
      <c r="T623" s="1332"/>
      <c r="U623" s="1332"/>
      <c r="V623" s="1332"/>
      <c r="W623" s="1332"/>
      <c r="X623" s="1332"/>
      <c r="Y623" s="1332"/>
      <c r="Z623" s="1332"/>
      <c r="AA623" s="1332"/>
      <c r="AB623" s="1332"/>
    </row>
    <row r="624">
      <c r="A624" s="1332"/>
      <c r="B624" s="1366"/>
      <c r="C624" s="1366"/>
      <c r="D624" s="1375"/>
      <c r="E624" s="1332"/>
      <c r="F624" s="1332"/>
      <c r="G624" s="1378"/>
      <c r="H624" s="1378"/>
      <c r="I624" s="1332"/>
      <c r="J624" s="1332"/>
      <c r="K624" s="1332"/>
      <c r="L624" s="1332"/>
      <c r="M624" s="1332"/>
      <c r="N624" s="1332"/>
      <c r="O624" s="1332"/>
      <c r="P624" s="1332"/>
      <c r="Q624" s="1332"/>
      <c r="R624" s="1332"/>
      <c r="S624" s="1332"/>
      <c r="T624" s="1332"/>
      <c r="U624" s="1332"/>
      <c r="V624" s="1332"/>
      <c r="W624" s="1332"/>
      <c r="X624" s="1332"/>
      <c r="Y624" s="1332"/>
      <c r="Z624" s="1332"/>
      <c r="AA624" s="1332"/>
      <c r="AB624" s="1332"/>
    </row>
    <row r="625">
      <c r="A625" s="1332"/>
      <c r="B625" s="1366"/>
      <c r="C625" s="1366"/>
      <c r="D625" s="1375"/>
      <c r="E625" s="1332"/>
      <c r="F625" s="1332"/>
      <c r="G625" s="1378"/>
      <c r="H625" s="1378"/>
      <c r="I625" s="1332"/>
      <c r="J625" s="1332"/>
      <c r="K625" s="1332"/>
      <c r="L625" s="1332"/>
      <c r="M625" s="1332"/>
      <c r="N625" s="1332"/>
      <c r="O625" s="1332"/>
      <c r="P625" s="1332"/>
      <c r="Q625" s="1332"/>
      <c r="R625" s="1332"/>
      <c r="S625" s="1332"/>
      <c r="T625" s="1332"/>
      <c r="U625" s="1332"/>
      <c r="V625" s="1332"/>
      <c r="W625" s="1332"/>
      <c r="X625" s="1332"/>
      <c r="Y625" s="1332"/>
      <c r="Z625" s="1332"/>
      <c r="AA625" s="1332"/>
      <c r="AB625" s="1332"/>
    </row>
    <row r="626">
      <c r="A626" s="1332"/>
      <c r="B626" s="1366"/>
      <c r="C626" s="1366"/>
      <c r="D626" s="1375"/>
      <c r="E626" s="1332"/>
      <c r="F626" s="1332"/>
      <c r="G626" s="1378"/>
      <c r="H626" s="1378"/>
      <c r="I626" s="1332"/>
      <c r="J626" s="1332"/>
      <c r="K626" s="1332"/>
      <c r="L626" s="1332"/>
      <c r="M626" s="1332"/>
      <c r="N626" s="1332"/>
      <c r="O626" s="1332"/>
      <c r="P626" s="1332"/>
      <c r="Q626" s="1332"/>
      <c r="R626" s="1332"/>
      <c r="S626" s="1332"/>
      <c r="T626" s="1332"/>
      <c r="U626" s="1332"/>
      <c r="V626" s="1332"/>
      <c r="W626" s="1332"/>
      <c r="X626" s="1332"/>
      <c r="Y626" s="1332"/>
      <c r="Z626" s="1332"/>
      <c r="AA626" s="1332"/>
      <c r="AB626" s="1332"/>
    </row>
    <row r="627">
      <c r="A627" s="1332"/>
      <c r="B627" s="1366"/>
      <c r="C627" s="1366"/>
      <c r="D627" s="1375"/>
      <c r="E627" s="1332"/>
      <c r="F627" s="1332"/>
      <c r="G627" s="1378"/>
      <c r="H627" s="1378"/>
      <c r="I627" s="1332"/>
      <c r="J627" s="1332"/>
      <c r="K627" s="1332"/>
      <c r="L627" s="1332"/>
      <c r="M627" s="1332"/>
      <c r="N627" s="1332"/>
      <c r="O627" s="1332"/>
      <c r="P627" s="1332"/>
      <c r="Q627" s="1332"/>
      <c r="R627" s="1332"/>
      <c r="S627" s="1332"/>
      <c r="T627" s="1332"/>
      <c r="U627" s="1332"/>
      <c r="V627" s="1332"/>
      <c r="W627" s="1332"/>
      <c r="X627" s="1332"/>
      <c r="Y627" s="1332"/>
      <c r="Z627" s="1332"/>
      <c r="AA627" s="1332"/>
      <c r="AB627" s="1332"/>
    </row>
    <row r="628">
      <c r="A628" s="1332"/>
      <c r="B628" s="1366"/>
      <c r="C628" s="1366"/>
      <c r="D628" s="1375"/>
      <c r="E628" s="1332"/>
      <c r="F628" s="1332"/>
      <c r="G628" s="1378"/>
      <c r="H628" s="1378"/>
      <c r="I628" s="1332"/>
      <c r="J628" s="1332"/>
      <c r="K628" s="1332"/>
      <c r="L628" s="1332"/>
      <c r="M628" s="1332"/>
      <c r="N628" s="1332"/>
      <c r="O628" s="1332"/>
      <c r="P628" s="1332"/>
      <c r="Q628" s="1332"/>
      <c r="R628" s="1332"/>
      <c r="S628" s="1332"/>
      <c r="T628" s="1332"/>
      <c r="U628" s="1332"/>
      <c r="V628" s="1332"/>
      <c r="W628" s="1332"/>
      <c r="X628" s="1332"/>
      <c r="Y628" s="1332"/>
      <c r="Z628" s="1332"/>
      <c r="AA628" s="1332"/>
      <c r="AB628" s="1332"/>
    </row>
    <row r="629">
      <c r="A629" s="1332"/>
      <c r="B629" s="1366"/>
      <c r="C629" s="1366"/>
      <c r="D629" s="1375"/>
      <c r="E629" s="1332"/>
      <c r="F629" s="1332"/>
      <c r="G629" s="1378"/>
      <c r="H629" s="1378"/>
      <c r="I629" s="1332"/>
      <c r="J629" s="1332"/>
      <c r="K629" s="1332"/>
      <c r="L629" s="1332"/>
      <c r="M629" s="1332"/>
      <c r="N629" s="1332"/>
      <c r="O629" s="1332"/>
      <c r="P629" s="1332"/>
      <c r="Q629" s="1332"/>
      <c r="R629" s="1332"/>
      <c r="S629" s="1332"/>
      <c r="T629" s="1332"/>
      <c r="U629" s="1332"/>
      <c r="V629" s="1332"/>
      <c r="W629" s="1332"/>
      <c r="X629" s="1332"/>
      <c r="Y629" s="1332"/>
      <c r="Z629" s="1332"/>
      <c r="AA629" s="1332"/>
      <c r="AB629" s="1332"/>
    </row>
    <row r="630">
      <c r="A630" s="1332"/>
      <c r="B630" s="1366"/>
      <c r="C630" s="1366"/>
      <c r="D630" s="1375"/>
      <c r="E630" s="1332"/>
      <c r="F630" s="1332"/>
      <c r="G630" s="1378"/>
      <c r="H630" s="1378"/>
      <c r="I630" s="1332"/>
      <c r="J630" s="1332"/>
      <c r="K630" s="1332"/>
      <c r="L630" s="1332"/>
      <c r="M630" s="1332"/>
      <c r="N630" s="1332"/>
      <c r="O630" s="1332"/>
      <c r="P630" s="1332"/>
      <c r="Q630" s="1332"/>
      <c r="R630" s="1332"/>
      <c r="S630" s="1332"/>
      <c r="T630" s="1332"/>
      <c r="U630" s="1332"/>
      <c r="V630" s="1332"/>
      <c r="W630" s="1332"/>
      <c r="X630" s="1332"/>
      <c r="Y630" s="1332"/>
      <c r="Z630" s="1332"/>
      <c r="AA630" s="1332"/>
      <c r="AB630" s="1332"/>
    </row>
    <row r="631">
      <c r="A631" s="1332"/>
      <c r="B631" s="1366"/>
      <c r="C631" s="1366"/>
      <c r="D631" s="1375"/>
      <c r="E631" s="1332"/>
      <c r="F631" s="1332"/>
      <c r="G631" s="1378"/>
      <c r="H631" s="1378"/>
      <c r="I631" s="1332"/>
      <c r="J631" s="1332"/>
      <c r="K631" s="1332"/>
      <c r="L631" s="1332"/>
      <c r="M631" s="1332"/>
      <c r="N631" s="1332"/>
      <c r="O631" s="1332"/>
      <c r="P631" s="1332"/>
      <c r="Q631" s="1332"/>
      <c r="R631" s="1332"/>
      <c r="S631" s="1332"/>
      <c r="T631" s="1332"/>
      <c r="U631" s="1332"/>
      <c r="V631" s="1332"/>
      <c r="W631" s="1332"/>
      <c r="X631" s="1332"/>
      <c r="Y631" s="1332"/>
      <c r="Z631" s="1332"/>
      <c r="AA631" s="1332"/>
      <c r="AB631" s="1332"/>
    </row>
    <row r="632">
      <c r="A632" s="1332"/>
      <c r="B632" s="1366"/>
      <c r="C632" s="1366"/>
      <c r="D632" s="1375"/>
      <c r="E632" s="1332"/>
      <c r="F632" s="1332"/>
      <c r="G632" s="1378"/>
      <c r="H632" s="1378"/>
      <c r="I632" s="1332"/>
      <c r="J632" s="1332"/>
      <c r="K632" s="1332"/>
      <c r="L632" s="1332"/>
      <c r="M632" s="1332"/>
      <c r="N632" s="1332"/>
      <c r="O632" s="1332"/>
      <c r="P632" s="1332"/>
      <c r="Q632" s="1332"/>
      <c r="R632" s="1332"/>
      <c r="S632" s="1332"/>
      <c r="T632" s="1332"/>
      <c r="U632" s="1332"/>
      <c r="V632" s="1332"/>
      <c r="W632" s="1332"/>
      <c r="X632" s="1332"/>
      <c r="Y632" s="1332"/>
      <c r="Z632" s="1332"/>
      <c r="AA632" s="1332"/>
      <c r="AB632" s="1332"/>
    </row>
    <row r="633">
      <c r="A633" s="1332"/>
      <c r="B633" s="1366"/>
      <c r="C633" s="1366"/>
      <c r="D633" s="1375"/>
      <c r="E633" s="1332"/>
      <c r="F633" s="1332"/>
      <c r="G633" s="1378"/>
      <c r="H633" s="1378"/>
      <c r="I633" s="1332"/>
      <c r="J633" s="1332"/>
      <c r="K633" s="1332"/>
      <c r="L633" s="1332"/>
      <c r="M633" s="1332"/>
      <c r="N633" s="1332"/>
      <c r="O633" s="1332"/>
      <c r="P633" s="1332"/>
      <c r="Q633" s="1332"/>
      <c r="R633" s="1332"/>
      <c r="S633" s="1332"/>
      <c r="T633" s="1332"/>
      <c r="U633" s="1332"/>
      <c r="V633" s="1332"/>
      <c r="W633" s="1332"/>
      <c r="X633" s="1332"/>
      <c r="Y633" s="1332"/>
      <c r="Z633" s="1332"/>
      <c r="AA633" s="1332"/>
      <c r="AB633" s="1332"/>
    </row>
    <row r="634">
      <c r="A634" s="1332"/>
      <c r="B634" s="1366"/>
      <c r="C634" s="1366"/>
      <c r="D634" s="1375"/>
      <c r="E634" s="1332"/>
      <c r="F634" s="1332"/>
      <c r="G634" s="1378"/>
      <c r="H634" s="1378"/>
      <c r="I634" s="1332"/>
      <c r="J634" s="1332"/>
      <c r="K634" s="1332"/>
      <c r="L634" s="1332"/>
      <c r="M634" s="1332"/>
      <c r="N634" s="1332"/>
      <c r="O634" s="1332"/>
      <c r="P634" s="1332"/>
      <c r="Q634" s="1332"/>
      <c r="R634" s="1332"/>
      <c r="S634" s="1332"/>
      <c r="T634" s="1332"/>
      <c r="U634" s="1332"/>
      <c r="V634" s="1332"/>
      <c r="W634" s="1332"/>
      <c r="X634" s="1332"/>
      <c r="Y634" s="1332"/>
      <c r="Z634" s="1332"/>
      <c r="AA634" s="1332"/>
      <c r="AB634" s="1332"/>
    </row>
    <row r="635">
      <c r="A635" s="1332"/>
      <c r="B635" s="1366"/>
      <c r="C635" s="1366"/>
      <c r="D635" s="1375"/>
      <c r="E635" s="1332"/>
      <c r="F635" s="1332"/>
      <c r="G635" s="1378"/>
      <c r="H635" s="1378"/>
      <c r="I635" s="1332"/>
      <c r="J635" s="1332"/>
      <c r="K635" s="1332"/>
      <c r="L635" s="1332"/>
      <c r="M635" s="1332"/>
      <c r="N635" s="1332"/>
      <c r="O635" s="1332"/>
      <c r="P635" s="1332"/>
      <c r="Q635" s="1332"/>
      <c r="R635" s="1332"/>
      <c r="S635" s="1332"/>
      <c r="T635" s="1332"/>
      <c r="U635" s="1332"/>
      <c r="V635" s="1332"/>
      <c r="W635" s="1332"/>
      <c r="X635" s="1332"/>
      <c r="Y635" s="1332"/>
      <c r="Z635" s="1332"/>
      <c r="AA635" s="1332"/>
      <c r="AB635" s="1332"/>
    </row>
    <row r="636">
      <c r="A636" s="1332"/>
      <c r="B636" s="1366"/>
      <c r="C636" s="1366"/>
      <c r="D636" s="1375"/>
      <c r="E636" s="1332"/>
      <c r="F636" s="1332"/>
      <c r="G636" s="1378"/>
      <c r="H636" s="1378"/>
      <c r="I636" s="1332"/>
      <c r="J636" s="1332"/>
      <c r="K636" s="1332"/>
      <c r="L636" s="1332"/>
      <c r="M636" s="1332"/>
      <c r="N636" s="1332"/>
      <c r="O636" s="1332"/>
      <c r="P636" s="1332"/>
      <c r="Q636" s="1332"/>
      <c r="R636" s="1332"/>
      <c r="S636" s="1332"/>
      <c r="T636" s="1332"/>
      <c r="U636" s="1332"/>
      <c r="V636" s="1332"/>
      <c r="W636" s="1332"/>
      <c r="X636" s="1332"/>
      <c r="Y636" s="1332"/>
      <c r="Z636" s="1332"/>
      <c r="AA636" s="1332"/>
      <c r="AB636" s="1332"/>
    </row>
    <row r="637">
      <c r="A637" s="1332"/>
      <c r="B637" s="1366"/>
      <c r="C637" s="1366"/>
      <c r="D637" s="1375"/>
      <c r="E637" s="1332"/>
      <c r="F637" s="1332"/>
      <c r="G637" s="1378"/>
      <c r="H637" s="1378"/>
      <c r="I637" s="1332"/>
      <c r="J637" s="1332"/>
      <c r="K637" s="1332"/>
      <c r="L637" s="1332"/>
      <c r="M637" s="1332"/>
      <c r="N637" s="1332"/>
      <c r="O637" s="1332"/>
      <c r="P637" s="1332"/>
      <c r="Q637" s="1332"/>
      <c r="R637" s="1332"/>
      <c r="S637" s="1332"/>
      <c r="T637" s="1332"/>
      <c r="U637" s="1332"/>
      <c r="V637" s="1332"/>
      <c r="W637" s="1332"/>
      <c r="X637" s="1332"/>
      <c r="Y637" s="1332"/>
      <c r="Z637" s="1332"/>
      <c r="AA637" s="1332"/>
      <c r="AB637" s="1332"/>
    </row>
    <row r="638">
      <c r="A638" s="1332"/>
      <c r="B638" s="1366"/>
      <c r="C638" s="1366"/>
      <c r="D638" s="1375"/>
      <c r="E638" s="1332"/>
      <c r="F638" s="1332"/>
      <c r="G638" s="1378"/>
      <c r="H638" s="1378"/>
      <c r="I638" s="1332"/>
      <c r="J638" s="1332"/>
      <c r="K638" s="1332"/>
      <c r="L638" s="1332"/>
      <c r="M638" s="1332"/>
      <c r="N638" s="1332"/>
      <c r="O638" s="1332"/>
      <c r="P638" s="1332"/>
      <c r="Q638" s="1332"/>
      <c r="R638" s="1332"/>
      <c r="S638" s="1332"/>
      <c r="T638" s="1332"/>
      <c r="U638" s="1332"/>
      <c r="V638" s="1332"/>
      <c r="W638" s="1332"/>
      <c r="X638" s="1332"/>
      <c r="Y638" s="1332"/>
      <c r="Z638" s="1332"/>
      <c r="AA638" s="1332"/>
      <c r="AB638" s="1332"/>
    </row>
    <row r="639">
      <c r="A639" s="1332"/>
      <c r="B639" s="1366"/>
      <c r="C639" s="1366"/>
      <c r="D639" s="1375"/>
      <c r="E639" s="1332"/>
      <c r="F639" s="1332"/>
      <c r="G639" s="1378"/>
      <c r="H639" s="1378"/>
      <c r="I639" s="1332"/>
      <c r="J639" s="1332"/>
      <c r="K639" s="1332"/>
      <c r="L639" s="1332"/>
      <c r="M639" s="1332"/>
      <c r="N639" s="1332"/>
      <c r="O639" s="1332"/>
      <c r="P639" s="1332"/>
      <c r="Q639" s="1332"/>
      <c r="R639" s="1332"/>
      <c r="S639" s="1332"/>
      <c r="T639" s="1332"/>
      <c r="U639" s="1332"/>
      <c r="V639" s="1332"/>
      <c r="W639" s="1332"/>
      <c r="X639" s="1332"/>
      <c r="Y639" s="1332"/>
      <c r="Z639" s="1332"/>
      <c r="AA639" s="1332"/>
      <c r="AB639" s="1332"/>
    </row>
    <row r="640">
      <c r="A640" s="1332"/>
      <c r="B640" s="1366"/>
      <c r="C640" s="1366"/>
      <c r="D640" s="1375"/>
      <c r="E640" s="1332"/>
      <c r="F640" s="1332"/>
      <c r="G640" s="1378"/>
      <c r="H640" s="1378"/>
      <c r="I640" s="1332"/>
      <c r="J640" s="1332"/>
      <c r="K640" s="1332"/>
      <c r="L640" s="1332"/>
      <c r="M640" s="1332"/>
      <c r="N640" s="1332"/>
      <c r="O640" s="1332"/>
      <c r="P640" s="1332"/>
      <c r="Q640" s="1332"/>
      <c r="R640" s="1332"/>
      <c r="S640" s="1332"/>
      <c r="T640" s="1332"/>
      <c r="U640" s="1332"/>
      <c r="V640" s="1332"/>
      <c r="W640" s="1332"/>
      <c r="X640" s="1332"/>
      <c r="Y640" s="1332"/>
      <c r="Z640" s="1332"/>
      <c r="AA640" s="1332"/>
      <c r="AB640" s="1332"/>
    </row>
    <row r="641">
      <c r="A641" s="1332"/>
      <c r="B641" s="1366"/>
      <c r="C641" s="1366"/>
      <c r="D641" s="1375"/>
      <c r="E641" s="1332"/>
      <c r="F641" s="1332"/>
      <c r="G641" s="1378"/>
      <c r="H641" s="1378"/>
      <c r="I641" s="1332"/>
      <c r="J641" s="1332"/>
      <c r="K641" s="1332"/>
      <c r="L641" s="1332"/>
      <c r="M641" s="1332"/>
      <c r="N641" s="1332"/>
      <c r="O641" s="1332"/>
      <c r="P641" s="1332"/>
      <c r="Q641" s="1332"/>
      <c r="R641" s="1332"/>
      <c r="S641" s="1332"/>
      <c r="T641" s="1332"/>
      <c r="U641" s="1332"/>
      <c r="V641" s="1332"/>
      <c r="W641" s="1332"/>
      <c r="X641" s="1332"/>
      <c r="Y641" s="1332"/>
      <c r="Z641" s="1332"/>
      <c r="AA641" s="1332"/>
      <c r="AB641" s="1332"/>
    </row>
    <row r="642">
      <c r="A642" s="1332"/>
      <c r="B642" s="1366"/>
      <c r="C642" s="1366"/>
      <c r="D642" s="1375"/>
      <c r="E642" s="1332"/>
      <c r="F642" s="1332"/>
      <c r="G642" s="1378"/>
      <c r="H642" s="1378"/>
      <c r="I642" s="1332"/>
      <c r="J642" s="1332"/>
      <c r="K642" s="1332"/>
      <c r="L642" s="1332"/>
      <c r="M642" s="1332"/>
      <c r="N642" s="1332"/>
      <c r="O642" s="1332"/>
      <c r="P642" s="1332"/>
      <c r="Q642" s="1332"/>
      <c r="R642" s="1332"/>
      <c r="S642" s="1332"/>
      <c r="T642" s="1332"/>
      <c r="U642" s="1332"/>
      <c r="V642" s="1332"/>
      <c r="W642" s="1332"/>
      <c r="X642" s="1332"/>
      <c r="Y642" s="1332"/>
      <c r="Z642" s="1332"/>
      <c r="AA642" s="1332"/>
      <c r="AB642" s="1332"/>
    </row>
    <row r="643">
      <c r="A643" s="1332"/>
      <c r="B643" s="1366"/>
      <c r="C643" s="1366"/>
      <c r="D643" s="1375"/>
      <c r="E643" s="1332"/>
      <c r="F643" s="1332"/>
      <c r="G643" s="1378"/>
      <c r="H643" s="1378"/>
      <c r="I643" s="1332"/>
      <c r="J643" s="1332"/>
      <c r="K643" s="1332"/>
      <c r="L643" s="1332"/>
      <c r="M643" s="1332"/>
      <c r="N643" s="1332"/>
      <c r="O643" s="1332"/>
      <c r="P643" s="1332"/>
      <c r="Q643" s="1332"/>
      <c r="R643" s="1332"/>
      <c r="S643" s="1332"/>
      <c r="T643" s="1332"/>
      <c r="U643" s="1332"/>
      <c r="V643" s="1332"/>
      <c r="W643" s="1332"/>
      <c r="X643" s="1332"/>
      <c r="Y643" s="1332"/>
      <c r="Z643" s="1332"/>
      <c r="AA643" s="1332"/>
      <c r="AB643" s="1332"/>
    </row>
    <row r="644">
      <c r="A644" s="1332"/>
      <c r="B644" s="1366"/>
      <c r="C644" s="1366"/>
      <c r="D644" s="1375"/>
      <c r="E644" s="1332"/>
      <c r="F644" s="1332"/>
      <c r="G644" s="1378"/>
      <c r="H644" s="1378"/>
      <c r="I644" s="1332"/>
      <c r="J644" s="1332"/>
      <c r="K644" s="1332"/>
      <c r="L644" s="1332"/>
      <c r="M644" s="1332"/>
      <c r="N644" s="1332"/>
      <c r="O644" s="1332"/>
      <c r="P644" s="1332"/>
      <c r="Q644" s="1332"/>
      <c r="R644" s="1332"/>
      <c r="S644" s="1332"/>
      <c r="T644" s="1332"/>
      <c r="U644" s="1332"/>
      <c r="V644" s="1332"/>
      <c r="W644" s="1332"/>
      <c r="X644" s="1332"/>
      <c r="Y644" s="1332"/>
      <c r="Z644" s="1332"/>
      <c r="AA644" s="1332"/>
      <c r="AB644" s="1332"/>
    </row>
    <row r="645">
      <c r="A645" s="1332"/>
      <c r="B645" s="1366"/>
      <c r="C645" s="1366"/>
      <c r="D645" s="1375"/>
      <c r="E645" s="1332"/>
      <c r="F645" s="1332"/>
      <c r="G645" s="1378"/>
      <c r="H645" s="1378"/>
      <c r="I645" s="1332"/>
      <c r="J645" s="1332"/>
      <c r="K645" s="1332"/>
      <c r="L645" s="1332"/>
      <c r="M645" s="1332"/>
      <c r="N645" s="1332"/>
      <c r="O645" s="1332"/>
      <c r="P645" s="1332"/>
      <c r="Q645" s="1332"/>
      <c r="R645" s="1332"/>
      <c r="S645" s="1332"/>
      <c r="T645" s="1332"/>
      <c r="U645" s="1332"/>
      <c r="V645" s="1332"/>
      <c r="W645" s="1332"/>
      <c r="X645" s="1332"/>
      <c r="Y645" s="1332"/>
      <c r="Z645" s="1332"/>
      <c r="AA645" s="1332"/>
      <c r="AB645" s="1332"/>
    </row>
    <row r="646">
      <c r="A646" s="1332"/>
      <c r="B646" s="1366"/>
      <c r="C646" s="1366"/>
      <c r="D646" s="1375"/>
      <c r="E646" s="1332"/>
      <c r="F646" s="1332"/>
      <c r="G646" s="1378"/>
      <c r="H646" s="1378"/>
      <c r="I646" s="1332"/>
      <c r="J646" s="1332"/>
      <c r="K646" s="1332"/>
      <c r="L646" s="1332"/>
      <c r="M646" s="1332"/>
      <c r="N646" s="1332"/>
      <c r="O646" s="1332"/>
      <c r="P646" s="1332"/>
      <c r="Q646" s="1332"/>
      <c r="R646" s="1332"/>
      <c r="S646" s="1332"/>
      <c r="T646" s="1332"/>
      <c r="U646" s="1332"/>
      <c r="V646" s="1332"/>
      <c r="W646" s="1332"/>
      <c r="X646" s="1332"/>
      <c r="Y646" s="1332"/>
      <c r="Z646" s="1332"/>
      <c r="AA646" s="1332"/>
      <c r="AB646" s="1332"/>
    </row>
    <row r="647">
      <c r="A647" s="1332"/>
      <c r="B647" s="1366"/>
      <c r="C647" s="1366"/>
      <c r="D647" s="1375"/>
      <c r="E647" s="1332"/>
      <c r="F647" s="1332"/>
      <c r="G647" s="1378"/>
      <c r="H647" s="1378"/>
      <c r="I647" s="1332"/>
      <c r="J647" s="1332"/>
      <c r="K647" s="1332"/>
      <c r="L647" s="1332"/>
      <c r="M647" s="1332"/>
      <c r="N647" s="1332"/>
      <c r="O647" s="1332"/>
      <c r="P647" s="1332"/>
      <c r="Q647" s="1332"/>
      <c r="R647" s="1332"/>
      <c r="S647" s="1332"/>
      <c r="T647" s="1332"/>
      <c r="U647" s="1332"/>
      <c r="V647" s="1332"/>
      <c r="W647" s="1332"/>
      <c r="X647" s="1332"/>
      <c r="Y647" s="1332"/>
      <c r="Z647" s="1332"/>
      <c r="AA647" s="1332"/>
      <c r="AB647" s="1332"/>
    </row>
    <row r="648">
      <c r="A648" s="1332"/>
      <c r="B648" s="1366"/>
      <c r="C648" s="1366"/>
      <c r="D648" s="1375"/>
      <c r="E648" s="1332"/>
      <c r="F648" s="1332"/>
      <c r="G648" s="1378"/>
      <c r="H648" s="1378"/>
      <c r="I648" s="1332"/>
      <c r="J648" s="1332"/>
      <c r="K648" s="1332"/>
      <c r="L648" s="1332"/>
      <c r="M648" s="1332"/>
      <c r="N648" s="1332"/>
      <c r="O648" s="1332"/>
      <c r="P648" s="1332"/>
      <c r="Q648" s="1332"/>
      <c r="R648" s="1332"/>
      <c r="S648" s="1332"/>
      <c r="T648" s="1332"/>
      <c r="U648" s="1332"/>
      <c r="V648" s="1332"/>
      <c r="W648" s="1332"/>
      <c r="X648" s="1332"/>
      <c r="Y648" s="1332"/>
      <c r="Z648" s="1332"/>
      <c r="AA648" s="1332"/>
      <c r="AB648" s="1332"/>
    </row>
    <row r="649">
      <c r="A649" s="1332"/>
      <c r="B649" s="1366"/>
      <c r="C649" s="1366"/>
      <c r="D649" s="1375"/>
      <c r="E649" s="1332"/>
      <c r="F649" s="1332"/>
      <c r="G649" s="1378"/>
      <c r="H649" s="1378"/>
      <c r="I649" s="1332"/>
      <c r="J649" s="1332"/>
      <c r="K649" s="1332"/>
      <c r="L649" s="1332"/>
      <c r="M649" s="1332"/>
      <c r="N649" s="1332"/>
      <c r="O649" s="1332"/>
      <c r="P649" s="1332"/>
      <c r="Q649" s="1332"/>
      <c r="R649" s="1332"/>
      <c r="S649" s="1332"/>
      <c r="T649" s="1332"/>
      <c r="U649" s="1332"/>
      <c r="V649" s="1332"/>
      <c r="W649" s="1332"/>
      <c r="X649" s="1332"/>
      <c r="Y649" s="1332"/>
      <c r="Z649" s="1332"/>
      <c r="AA649" s="1332"/>
      <c r="AB649" s="1332"/>
    </row>
    <row r="650">
      <c r="A650" s="1332"/>
      <c r="B650" s="1366"/>
      <c r="C650" s="1366"/>
      <c r="D650" s="1375"/>
      <c r="E650" s="1332"/>
      <c r="F650" s="1332"/>
      <c r="G650" s="1378"/>
      <c r="H650" s="1378"/>
      <c r="I650" s="1332"/>
      <c r="J650" s="1332"/>
      <c r="K650" s="1332"/>
      <c r="L650" s="1332"/>
      <c r="M650" s="1332"/>
      <c r="N650" s="1332"/>
      <c r="O650" s="1332"/>
      <c r="P650" s="1332"/>
      <c r="Q650" s="1332"/>
      <c r="R650" s="1332"/>
      <c r="S650" s="1332"/>
      <c r="T650" s="1332"/>
      <c r="U650" s="1332"/>
      <c r="V650" s="1332"/>
      <c r="W650" s="1332"/>
      <c r="X650" s="1332"/>
      <c r="Y650" s="1332"/>
      <c r="Z650" s="1332"/>
      <c r="AA650" s="1332"/>
      <c r="AB650" s="1332"/>
    </row>
    <row r="651">
      <c r="A651" s="1332"/>
      <c r="B651" s="1366"/>
      <c r="C651" s="1366"/>
      <c r="D651" s="1375"/>
      <c r="E651" s="1332"/>
      <c r="F651" s="1332"/>
      <c r="G651" s="1378"/>
      <c r="H651" s="1378"/>
      <c r="I651" s="1332"/>
      <c r="J651" s="1332"/>
      <c r="K651" s="1332"/>
      <c r="L651" s="1332"/>
      <c r="M651" s="1332"/>
      <c r="N651" s="1332"/>
      <c r="O651" s="1332"/>
      <c r="P651" s="1332"/>
      <c r="Q651" s="1332"/>
      <c r="R651" s="1332"/>
      <c r="S651" s="1332"/>
      <c r="T651" s="1332"/>
      <c r="U651" s="1332"/>
      <c r="V651" s="1332"/>
      <c r="W651" s="1332"/>
      <c r="X651" s="1332"/>
      <c r="Y651" s="1332"/>
      <c r="Z651" s="1332"/>
      <c r="AA651" s="1332"/>
      <c r="AB651" s="1332"/>
    </row>
    <row r="652">
      <c r="A652" s="1332"/>
      <c r="B652" s="1366"/>
      <c r="C652" s="1366"/>
      <c r="D652" s="1375"/>
      <c r="E652" s="1332"/>
      <c r="F652" s="1332"/>
      <c r="G652" s="1378"/>
      <c r="H652" s="1378"/>
      <c r="I652" s="1332"/>
      <c r="J652" s="1332"/>
      <c r="K652" s="1332"/>
      <c r="L652" s="1332"/>
      <c r="M652" s="1332"/>
      <c r="N652" s="1332"/>
      <c r="O652" s="1332"/>
      <c r="P652" s="1332"/>
      <c r="Q652" s="1332"/>
      <c r="R652" s="1332"/>
      <c r="S652" s="1332"/>
      <c r="T652" s="1332"/>
      <c r="U652" s="1332"/>
      <c r="V652" s="1332"/>
      <c r="W652" s="1332"/>
      <c r="X652" s="1332"/>
      <c r="Y652" s="1332"/>
      <c r="Z652" s="1332"/>
      <c r="AA652" s="1332"/>
      <c r="AB652" s="1332"/>
    </row>
    <row r="653">
      <c r="A653" s="1332"/>
      <c r="B653" s="1366"/>
      <c r="C653" s="1366"/>
      <c r="D653" s="1375"/>
      <c r="E653" s="1332"/>
      <c r="F653" s="1332"/>
      <c r="G653" s="1378"/>
      <c r="H653" s="1378"/>
      <c r="I653" s="1332"/>
      <c r="J653" s="1332"/>
      <c r="K653" s="1332"/>
      <c r="L653" s="1332"/>
      <c r="M653" s="1332"/>
      <c r="N653" s="1332"/>
      <c r="O653" s="1332"/>
      <c r="P653" s="1332"/>
      <c r="Q653" s="1332"/>
      <c r="R653" s="1332"/>
      <c r="S653" s="1332"/>
      <c r="T653" s="1332"/>
      <c r="U653" s="1332"/>
      <c r="V653" s="1332"/>
      <c r="W653" s="1332"/>
      <c r="X653" s="1332"/>
      <c r="Y653" s="1332"/>
      <c r="Z653" s="1332"/>
      <c r="AA653" s="1332"/>
      <c r="AB653" s="1332"/>
    </row>
    <row r="654">
      <c r="A654" s="1332"/>
      <c r="B654" s="1366"/>
      <c r="C654" s="1366"/>
      <c r="D654" s="1375"/>
      <c r="E654" s="1332"/>
      <c r="F654" s="1332"/>
      <c r="G654" s="1378"/>
      <c r="H654" s="1378"/>
      <c r="I654" s="1332"/>
      <c r="J654" s="1332"/>
      <c r="K654" s="1332"/>
      <c r="L654" s="1332"/>
      <c r="M654" s="1332"/>
      <c r="N654" s="1332"/>
      <c r="O654" s="1332"/>
      <c r="P654" s="1332"/>
      <c r="Q654" s="1332"/>
      <c r="R654" s="1332"/>
      <c r="S654" s="1332"/>
      <c r="T654" s="1332"/>
      <c r="U654" s="1332"/>
      <c r="V654" s="1332"/>
      <c r="W654" s="1332"/>
      <c r="X654" s="1332"/>
      <c r="Y654" s="1332"/>
      <c r="Z654" s="1332"/>
      <c r="AA654" s="1332"/>
      <c r="AB654" s="1332"/>
    </row>
    <row r="655">
      <c r="A655" s="1332"/>
      <c r="B655" s="1366"/>
      <c r="C655" s="1366"/>
      <c r="D655" s="1375"/>
      <c r="E655" s="1332"/>
      <c r="F655" s="1332"/>
      <c r="G655" s="1378"/>
      <c r="H655" s="1378"/>
      <c r="I655" s="1332"/>
      <c r="J655" s="1332"/>
      <c r="K655" s="1332"/>
      <c r="L655" s="1332"/>
      <c r="M655" s="1332"/>
      <c r="N655" s="1332"/>
      <c r="O655" s="1332"/>
      <c r="P655" s="1332"/>
      <c r="Q655" s="1332"/>
      <c r="R655" s="1332"/>
      <c r="S655" s="1332"/>
      <c r="T655" s="1332"/>
      <c r="U655" s="1332"/>
      <c r="V655" s="1332"/>
      <c r="W655" s="1332"/>
      <c r="X655" s="1332"/>
      <c r="Y655" s="1332"/>
      <c r="Z655" s="1332"/>
      <c r="AA655" s="1332"/>
      <c r="AB655" s="1332"/>
    </row>
    <row r="656">
      <c r="A656" s="1332"/>
      <c r="B656" s="1366"/>
      <c r="C656" s="1366"/>
      <c r="D656" s="1375"/>
      <c r="E656" s="1332"/>
      <c r="F656" s="1332"/>
      <c r="G656" s="1378"/>
      <c r="H656" s="1378"/>
      <c r="I656" s="1332"/>
      <c r="J656" s="1332"/>
      <c r="K656" s="1332"/>
      <c r="L656" s="1332"/>
      <c r="M656" s="1332"/>
      <c r="N656" s="1332"/>
      <c r="O656" s="1332"/>
      <c r="P656" s="1332"/>
      <c r="Q656" s="1332"/>
      <c r="R656" s="1332"/>
      <c r="S656" s="1332"/>
      <c r="T656" s="1332"/>
      <c r="U656" s="1332"/>
      <c r="V656" s="1332"/>
      <c r="W656" s="1332"/>
      <c r="X656" s="1332"/>
      <c r="Y656" s="1332"/>
      <c r="Z656" s="1332"/>
      <c r="AA656" s="1332"/>
      <c r="AB656" s="1332"/>
    </row>
    <row r="657">
      <c r="A657" s="1332"/>
      <c r="B657" s="1366"/>
      <c r="C657" s="1366"/>
      <c r="D657" s="1375"/>
      <c r="E657" s="1332"/>
      <c r="F657" s="1332"/>
      <c r="G657" s="1378"/>
      <c r="H657" s="1378"/>
      <c r="I657" s="1332"/>
      <c r="J657" s="1332"/>
      <c r="K657" s="1332"/>
      <c r="L657" s="1332"/>
      <c r="M657" s="1332"/>
      <c r="N657" s="1332"/>
      <c r="O657" s="1332"/>
      <c r="P657" s="1332"/>
      <c r="Q657" s="1332"/>
      <c r="R657" s="1332"/>
      <c r="S657" s="1332"/>
      <c r="T657" s="1332"/>
      <c r="U657" s="1332"/>
      <c r="V657" s="1332"/>
      <c r="W657" s="1332"/>
      <c r="X657" s="1332"/>
      <c r="Y657" s="1332"/>
      <c r="Z657" s="1332"/>
      <c r="AA657" s="1332"/>
      <c r="AB657" s="1332"/>
    </row>
    <row r="658">
      <c r="A658" s="1332"/>
      <c r="B658" s="1366"/>
      <c r="C658" s="1366"/>
      <c r="D658" s="1375"/>
      <c r="E658" s="1332"/>
      <c r="F658" s="1332"/>
      <c r="G658" s="1378"/>
      <c r="H658" s="1378"/>
      <c r="I658" s="1332"/>
      <c r="J658" s="1332"/>
      <c r="K658" s="1332"/>
      <c r="L658" s="1332"/>
      <c r="M658" s="1332"/>
      <c r="N658" s="1332"/>
      <c r="O658" s="1332"/>
      <c r="P658" s="1332"/>
      <c r="Q658" s="1332"/>
      <c r="R658" s="1332"/>
      <c r="S658" s="1332"/>
      <c r="T658" s="1332"/>
      <c r="U658" s="1332"/>
      <c r="V658" s="1332"/>
      <c r="W658" s="1332"/>
      <c r="X658" s="1332"/>
      <c r="Y658" s="1332"/>
      <c r="Z658" s="1332"/>
      <c r="AA658" s="1332"/>
      <c r="AB658" s="1332"/>
    </row>
    <row r="659">
      <c r="A659" s="1332"/>
      <c r="B659" s="1366"/>
      <c r="C659" s="1366"/>
      <c r="D659" s="1375"/>
      <c r="E659" s="1332"/>
      <c r="F659" s="1332"/>
      <c r="G659" s="1378"/>
      <c r="H659" s="1378"/>
      <c r="I659" s="1332"/>
      <c r="J659" s="1332"/>
      <c r="K659" s="1332"/>
      <c r="L659" s="1332"/>
      <c r="M659" s="1332"/>
      <c r="N659" s="1332"/>
      <c r="O659" s="1332"/>
      <c r="P659" s="1332"/>
      <c r="Q659" s="1332"/>
      <c r="R659" s="1332"/>
      <c r="S659" s="1332"/>
      <c r="T659" s="1332"/>
      <c r="U659" s="1332"/>
      <c r="V659" s="1332"/>
      <c r="W659" s="1332"/>
      <c r="X659" s="1332"/>
      <c r="Y659" s="1332"/>
      <c r="Z659" s="1332"/>
      <c r="AA659" s="1332"/>
      <c r="AB659" s="1332"/>
    </row>
    <row r="660">
      <c r="A660" s="1332"/>
      <c r="B660" s="1366"/>
      <c r="C660" s="1366"/>
      <c r="D660" s="1375"/>
      <c r="E660" s="1332"/>
      <c r="F660" s="1332"/>
      <c r="G660" s="1378"/>
      <c r="H660" s="1378"/>
      <c r="I660" s="1332"/>
      <c r="J660" s="1332"/>
      <c r="K660" s="1332"/>
      <c r="L660" s="1332"/>
      <c r="M660" s="1332"/>
      <c r="N660" s="1332"/>
      <c r="O660" s="1332"/>
      <c r="P660" s="1332"/>
      <c r="Q660" s="1332"/>
      <c r="R660" s="1332"/>
      <c r="S660" s="1332"/>
      <c r="T660" s="1332"/>
      <c r="U660" s="1332"/>
      <c r="V660" s="1332"/>
      <c r="W660" s="1332"/>
      <c r="X660" s="1332"/>
      <c r="Y660" s="1332"/>
      <c r="Z660" s="1332"/>
      <c r="AA660" s="1332"/>
      <c r="AB660" s="1332"/>
    </row>
    <row r="661">
      <c r="A661" s="1332"/>
      <c r="B661" s="1366"/>
      <c r="C661" s="1366"/>
      <c r="D661" s="1375"/>
      <c r="E661" s="1332"/>
      <c r="F661" s="1332"/>
      <c r="G661" s="1378"/>
      <c r="H661" s="1378"/>
      <c r="I661" s="1332"/>
      <c r="J661" s="1332"/>
      <c r="K661" s="1332"/>
      <c r="L661" s="1332"/>
      <c r="M661" s="1332"/>
      <c r="N661" s="1332"/>
      <c r="O661" s="1332"/>
      <c r="P661" s="1332"/>
      <c r="Q661" s="1332"/>
      <c r="R661" s="1332"/>
      <c r="S661" s="1332"/>
      <c r="T661" s="1332"/>
      <c r="U661" s="1332"/>
      <c r="V661" s="1332"/>
      <c r="W661" s="1332"/>
      <c r="X661" s="1332"/>
      <c r="Y661" s="1332"/>
      <c r="Z661" s="1332"/>
      <c r="AA661" s="1332"/>
      <c r="AB661" s="1332"/>
    </row>
    <row r="662">
      <c r="A662" s="1332"/>
      <c r="B662" s="1366"/>
      <c r="C662" s="1366"/>
      <c r="D662" s="1375"/>
      <c r="E662" s="1332"/>
      <c r="F662" s="1332"/>
      <c r="G662" s="1378"/>
      <c r="H662" s="1378"/>
      <c r="I662" s="1332"/>
      <c r="J662" s="1332"/>
      <c r="K662" s="1332"/>
      <c r="L662" s="1332"/>
      <c r="M662" s="1332"/>
      <c r="N662" s="1332"/>
      <c r="O662" s="1332"/>
      <c r="P662" s="1332"/>
      <c r="Q662" s="1332"/>
      <c r="R662" s="1332"/>
      <c r="S662" s="1332"/>
      <c r="T662" s="1332"/>
      <c r="U662" s="1332"/>
      <c r="V662" s="1332"/>
      <c r="W662" s="1332"/>
      <c r="X662" s="1332"/>
      <c r="Y662" s="1332"/>
      <c r="Z662" s="1332"/>
      <c r="AA662" s="1332"/>
      <c r="AB662" s="1332"/>
    </row>
    <row r="663">
      <c r="A663" s="1332"/>
      <c r="B663" s="1366"/>
      <c r="C663" s="1366"/>
      <c r="D663" s="1375"/>
      <c r="E663" s="1332"/>
      <c r="F663" s="1332"/>
      <c r="G663" s="1378"/>
      <c r="H663" s="1378"/>
      <c r="I663" s="1332"/>
      <c r="J663" s="1332"/>
      <c r="K663" s="1332"/>
      <c r="L663" s="1332"/>
      <c r="M663" s="1332"/>
      <c r="N663" s="1332"/>
      <c r="O663" s="1332"/>
      <c r="P663" s="1332"/>
      <c r="Q663" s="1332"/>
      <c r="R663" s="1332"/>
      <c r="S663" s="1332"/>
      <c r="T663" s="1332"/>
      <c r="U663" s="1332"/>
      <c r="V663" s="1332"/>
      <c r="W663" s="1332"/>
      <c r="X663" s="1332"/>
      <c r="Y663" s="1332"/>
      <c r="Z663" s="1332"/>
      <c r="AA663" s="1332"/>
      <c r="AB663" s="1332"/>
    </row>
    <row r="664">
      <c r="A664" s="1332"/>
      <c r="B664" s="1366"/>
      <c r="C664" s="1366"/>
      <c r="D664" s="1375"/>
      <c r="E664" s="1332"/>
      <c r="F664" s="1332"/>
      <c r="G664" s="1378"/>
      <c r="H664" s="1378"/>
      <c r="I664" s="1332"/>
      <c r="J664" s="1332"/>
      <c r="K664" s="1332"/>
      <c r="L664" s="1332"/>
      <c r="M664" s="1332"/>
      <c r="N664" s="1332"/>
      <c r="O664" s="1332"/>
      <c r="P664" s="1332"/>
      <c r="Q664" s="1332"/>
      <c r="R664" s="1332"/>
      <c r="S664" s="1332"/>
      <c r="T664" s="1332"/>
      <c r="U664" s="1332"/>
      <c r="V664" s="1332"/>
      <c r="W664" s="1332"/>
      <c r="X664" s="1332"/>
      <c r="Y664" s="1332"/>
      <c r="Z664" s="1332"/>
      <c r="AA664" s="1332"/>
      <c r="AB664" s="1332"/>
    </row>
    <row r="665">
      <c r="A665" s="1332"/>
      <c r="B665" s="1366"/>
      <c r="C665" s="1366"/>
      <c r="D665" s="1375"/>
      <c r="E665" s="1332"/>
      <c r="F665" s="1332"/>
      <c r="G665" s="1378"/>
      <c r="H665" s="1378"/>
      <c r="I665" s="1332"/>
      <c r="J665" s="1332"/>
      <c r="K665" s="1332"/>
      <c r="L665" s="1332"/>
      <c r="M665" s="1332"/>
      <c r="N665" s="1332"/>
      <c r="O665" s="1332"/>
      <c r="P665" s="1332"/>
      <c r="Q665" s="1332"/>
      <c r="R665" s="1332"/>
      <c r="S665" s="1332"/>
      <c r="T665" s="1332"/>
      <c r="U665" s="1332"/>
      <c r="V665" s="1332"/>
      <c r="W665" s="1332"/>
      <c r="X665" s="1332"/>
      <c r="Y665" s="1332"/>
      <c r="Z665" s="1332"/>
      <c r="AA665" s="1332"/>
      <c r="AB665" s="1332"/>
    </row>
    <row r="666">
      <c r="A666" s="1332"/>
      <c r="B666" s="1366"/>
      <c r="C666" s="1366"/>
      <c r="D666" s="1375"/>
      <c r="E666" s="1332"/>
      <c r="F666" s="1332"/>
      <c r="G666" s="1378"/>
      <c r="H666" s="1378"/>
      <c r="I666" s="1332"/>
      <c r="J666" s="1332"/>
      <c r="K666" s="1332"/>
      <c r="L666" s="1332"/>
      <c r="M666" s="1332"/>
      <c r="N666" s="1332"/>
      <c r="O666" s="1332"/>
      <c r="P666" s="1332"/>
      <c r="Q666" s="1332"/>
      <c r="R666" s="1332"/>
      <c r="S666" s="1332"/>
      <c r="T666" s="1332"/>
      <c r="U666" s="1332"/>
      <c r="V666" s="1332"/>
      <c r="W666" s="1332"/>
      <c r="X666" s="1332"/>
      <c r="Y666" s="1332"/>
      <c r="Z666" s="1332"/>
      <c r="AA666" s="1332"/>
      <c r="AB666" s="1332"/>
    </row>
    <row r="667">
      <c r="A667" s="1332"/>
      <c r="B667" s="1366"/>
      <c r="C667" s="1366"/>
      <c r="D667" s="1375"/>
      <c r="E667" s="1332"/>
      <c r="F667" s="1332"/>
      <c r="G667" s="1378"/>
      <c r="H667" s="1378"/>
      <c r="I667" s="1332"/>
      <c r="J667" s="1332"/>
      <c r="K667" s="1332"/>
      <c r="L667" s="1332"/>
      <c r="M667" s="1332"/>
      <c r="N667" s="1332"/>
      <c r="O667" s="1332"/>
      <c r="P667" s="1332"/>
      <c r="Q667" s="1332"/>
      <c r="R667" s="1332"/>
      <c r="S667" s="1332"/>
      <c r="T667" s="1332"/>
      <c r="U667" s="1332"/>
      <c r="V667" s="1332"/>
      <c r="W667" s="1332"/>
      <c r="X667" s="1332"/>
      <c r="Y667" s="1332"/>
      <c r="Z667" s="1332"/>
      <c r="AA667" s="1332"/>
      <c r="AB667" s="1332"/>
    </row>
    <row r="668">
      <c r="A668" s="1332"/>
      <c r="B668" s="1366"/>
      <c r="C668" s="1366"/>
      <c r="D668" s="1375"/>
      <c r="E668" s="1332"/>
      <c r="F668" s="1332"/>
      <c r="G668" s="1378"/>
      <c r="H668" s="1378"/>
      <c r="I668" s="1332"/>
      <c r="J668" s="1332"/>
      <c r="K668" s="1332"/>
      <c r="L668" s="1332"/>
      <c r="M668" s="1332"/>
      <c r="N668" s="1332"/>
      <c r="O668" s="1332"/>
      <c r="P668" s="1332"/>
      <c r="Q668" s="1332"/>
      <c r="R668" s="1332"/>
      <c r="S668" s="1332"/>
      <c r="T668" s="1332"/>
      <c r="U668" s="1332"/>
      <c r="V668" s="1332"/>
      <c r="W668" s="1332"/>
      <c r="X668" s="1332"/>
      <c r="Y668" s="1332"/>
      <c r="Z668" s="1332"/>
      <c r="AA668" s="1332"/>
      <c r="AB668" s="1332"/>
    </row>
    <row r="669">
      <c r="A669" s="1332"/>
      <c r="B669" s="1366"/>
      <c r="C669" s="1366"/>
      <c r="D669" s="1375"/>
      <c r="E669" s="1332"/>
      <c r="F669" s="1332"/>
      <c r="G669" s="1378"/>
      <c r="H669" s="1378"/>
      <c r="I669" s="1332"/>
      <c r="J669" s="1332"/>
      <c r="K669" s="1332"/>
      <c r="L669" s="1332"/>
      <c r="M669" s="1332"/>
      <c r="N669" s="1332"/>
      <c r="O669" s="1332"/>
      <c r="P669" s="1332"/>
      <c r="Q669" s="1332"/>
      <c r="R669" s="1332"/>
      <c r="S669" s="1332"/>
      <c r="T669" s="1332"/>
      <c r="U669" s="1332"/>
      <c r="V669" s="1332"/>
      <c r="W669" s="1332"/>
      <c r="X669" s="1332"/>
      <c r="Y669" s="1332"/>
      <c r="Z669" s="1332"/>
      <c r="AA669" s="1332"/>
      <c r="AB669" s="1332"/>
    </row>
    <row r="670">
      <c r="A670" s="1332"/>
      <c r="B670" s="1366"/>
      <c r="C670" s="1366"/>
      <c r="D670" s="1375"/>
      <c r="E670" s="1332"/>
      <c r="F670" s="1332"/>
      <c r="G670" s="1378"/>
      <c r="H670" s="1378"/>
      <c r="I670" s="1332"/>
      <c r="J670" s="1332"/>
      <c r="K670" s="1332"/>
      <c r="L670" s="1332"/>
      <c r="M670" s="1332"/>
      <c r="N670" s="1332"/>
      <c r="O670" s="1332"/>
      <c r="P670" s="1332"/>
      <c r="Q670" s="1332"/>
      <c r="R670" s="1332"/>
      <c r="S670" s="1332"/>
      <c r="T670" s="1332"/>
      <c r="U670" s="1332"/>
      <c r="V670" s="1332"/>
      <c r="W670" s="1332"/>
      <c r="X670" s="1332"/>
      <c r="Y670" s="1332"/>
      <c r="Z670" s="1332"/>
      <c r="AA670" s="1332"/>
      <c r="AB670" s="1332"/>
    </row>
    <row r="671">
      <c r="A671" s="1332"/>
      <c r="B671" s="1366"/>
      <c r="C671" s="1366"/>
      <c r="D671" s="1375"/>
      <c r="E671" s="1332"/>
      <c r="F671" s="1332"/>
      <c r="G671" s="1378"/>
      <c r="H671" s="1378"/>
      <c r="I671" s="1332"/>
      <c r="J671" s="1332"/>
      <c r="K671" s="1332"/>
      <c r="L671" s="1332"/>
      <c r="M671" s="1332"/>
      <c r="N671" s="1332"/>
      <c r="O671" s="1332"/>
      <c r="P671" s="1332"/>
      <c r="Q671" s="1332"/>
      <c r="R671" s="1332"/>
      <c r="S671" s="1332"/>
      <c r="T671" s="1332"/>
      <c r="U671" s="1332"/>
      <c r="V671" s="1332"/>
      <c r="W671" s="1332"/>
      <c r="X671" s="1332"/>
      <c r="Y671" s="1332"/>
      <c r="Z671" s="1332"/>
      <c r="AA671" s="1332"/>
      <c r="AB671" s="1332"/>
    </row>
    <row r="672">
      <c r="A672" s="1332"/>
      <c r="B672" s="1366"/>
      <c r="C672" s="1366"/>
      <c r="D672" s="1375"/>
      <c r="E672" s="1332"/>
      <c r="F672" s="1332"/>
      <c r="G672" s="1378"/>
      <c r="H672" s="1378"/>
      <c r="I672" s="1332"/>
      <c r="J672" s="1332"/>
      <c r="K672" s="1332"/>
      <c r="L672" s="1332"/>
      <c r="M672" s="1332"/>
      <c r="N672" s="1332"/>
      <c r="O672" s="1332"/>
      <c r="P672" s="1332"/>
      <c r="Q672" s="1332"/>
      <c r="R672" s="1332"/>
      <c r="S672" s="1332"/>
      <c r="T672" s="1332"/>
      <c r="U672" s="1332"/>
      <c r="V672" s="1332"/>
      <c r="W672" s="1332"/>
      <c r="X672" s="1332"/>
      <c r="Y672" s="1332"/>
      <c r="Z672" s="1332"/>
      <c r="AA672" s="1332"/>
      <c r="AB672" s="1332"/>
    </row>
    <row r="673">
      <c r="A673" s="1332"/>
      <c r="B673" s="1366"/>
      <c r="C673" s="1366"/>
      <c r="D673" s="1375"/>
      <c r="E673" s="1332"/>
      <c r="F673" s="1332"/>
      <c r="G673" s="1378"/>
      <c r="H673" s="1378"/>
      <c r="I673" s="1332"/>
      <c r="J673" s="1332"/>
      <c r="K673" s="1332"/>
      <c r="L673" s="1332"/>
      <c r="M673" s="1332"/>
      <c r="N673" s="1332"/>
      <c r="O673" s="1332"/>
      <c r="P673" s="1332"/>
      <c r="Q673" s="1332"/>
      <c r="R673" s="1332"/>
      <c r="S673" s="1332"/>
      <c r="T673" s="1332"/>
      <c r="U673" s="1332"/>
      <c r="V673" s="1332"/>
      <c r="W673" s="1332"/>
      <c r="X673" s="1332"/>
      <c r="Y673" s="1332"/>
      <c r="Z673" s="1332"/>
      <c r="AA673" s="1332"/>
      <c r="AB673" s="1332"/>
    </row>
    <row r="674">
      <c r="A674" s="1332"/>
      <c r="B674" s="1366"/>
      <c r="C674" s="1366"/>
      <c r="D674" s="1375"/>
      <c r="E674" s="1332"/>
      <c r="F674" s="1332"/>
      <c r="G674" s="1378"/>
      <c r="H674" s="1378"/>
      <c r="I674" s="1332"/>
      <c r="J674" s="1332"/>
      <c r="K674" s="1332"/>
      <c r="L674" s="1332"/>
      <c r="M674" s="1332"/>
      <c r="N674" s="1332"/>
      <c r="O674" s="1332"/>
      <c r="P674" s="1332"/>
      <c r="Q674" s="1332"/>
      <c r="R674" s="1332"/>
      <c r="S674" s="1332"/>
      <c r="T674" s="1332"/>
      <c r="U674" s="1332"/>
      <c r="V674" s="1332"/>
      <c r="W674" s="1332"/>
      <c r="X674" s="1332"/>
      <c r="Y674" s="1332"/>
      <c r="Z674" s="1332"/>
      <c r="AA674" s="1332"/>
      <c r="AB674" s="1332"/>
    </row>
    <row r="675">
      <c r="A675" s="1332"/>
      <c r="B675" s="1366"/>
      <c r="C675" s="1366"/>
      <c r="D675" s="1375"/>
      <c r="E675" s="1332"/>
      <c r="F675" s="1332"/>
      <c r="G675" s="1378"/>
      <c r="H675" s="1378"/>
      <c r="I675" s="1332"/>
      <c r="J675" s="1332"/>
      <c r="K675" s="1332"/>
      <c r="L675" s="1332"/>
      <c r="M675" s="1332"/>
      <c r="N675" s="1332"/>
      <c r="O675" s="1332"/>
      <c r="P675" s="1332"/>
      <c r="Q675" s="1332"/>
      <c r="R675" s="1332"/>
      <c r="S675" s="1332"/>
      <c r="T675" s="1332"/>
      <c r="U675" s="1332"/>
      <c r="V675" s="1332"/>
      <c r="W675" s="1332"/>
      <c r="X675" s="1332"/>
      <c r="Y675" s="1332"/>
      <c r="Z675" s="1332"/>
      <c r="AA675" s="1332"/>
      <c r="AB675" s="1332"/>
    </row>
    <row r="676">
      <c r="A676" s="1332"/>
      <c r="B676" s="1366"/>
      <c r="C676" s="1366"/>
      <c r="D676" s="1375"/>
      <c r="E676" s="1332"/>
      <c r="F676" s="1332"/>
      <c r="G676" s="1378"/>
      <c r="H676" s="1378"/>
      <c r="I676" s="1332"/>
      <c r="J676" s="1332"/>
      <c r="K676" s="1332"/>
      <c r="L676" s="1332"/>
      <c r="M676" s="1332"/>
      <c r="N676" s="1332"/>
      <c r="O676" s="1332"/>
      <c r="P676" s="1332"/>
      <c r="Q676" s="1332"/>
      <c r="R676" s="1332"/>
      <c r="S676" s="1332"/>
      <c r="T676" s="1332"/>
      <c r="U676" s="1332"/>
      <c r="V676" s="1332"/>
      <c r="W676" s="1332"/>
      <c r="X676" s="1332"/>
      <c r="Y676" s="1332"/>
      <c r="Z676" s="1332"/>
      <c r="AA676" s="1332"/>
      <c r="AB676" s="1332"/>
    </row>
    <row r="677">
      <c r="A677" s="1332"/>
      <c r="B677" s="1366"/>
      <c r="C677" s="1366"/>
      <c r="D677" s="1375"/>
      <c r="E677" s="1332"/>
      <c r="F677" s="1332"/>
      <c r="G677" s="1378"/>
      <c r="H677" s="1378"/>
      <c r="I677" s="1332"/>
      <c r="J677" s="1332"/>
      <c r="K677" s="1332"/>
      <c r="L677" s="1332"/>
      <c r="M677" s="1332"/>
      <c r="N677" s="1332"/>
      <c r="O677" s="1332"/>
      <c r="P677" s="1332"/>
      <c r="Q677" s="1332"/>
      <c r="R677" s="1332"/>
      <c r="S677" s="1332"/>
      <c r="T677" s="1332"/>
      <c r="U677" s="1332"/>
      <c r="V677" s="1332"/>
      <c r="W677" s="1332"/>
      <c r="X677" s="1332"/>
      <c r="Y677" s="1332"/>
      <c r="Z677" s="1332"/>
      <c r="AA677" s="1332"/>
      <c r="AB677" s="1332"/>
    </row>
    <row r="678">
      <c r="A678" s="1332"/>
      <c r="B678" s="1366"/>
      <c r="C678" s="1366"/>
      <c r="D678" s="1375"/>
      <c r="E678" s="1332"/>
      <c r="F678" s="1332"/>
      <c r="G678" s="1378"/>
      <c r="H678" s="1378"/>
      <c r="I678" s="1332"/>
      <c r="J678" s="1332"/>
      <c r="K678" s="1332"/>
      <c r="L678" s="1332"/>
      <c r="M678" s="1332"/>
      <c r="N678" s="1332"/>
      <c r="O678" s="1332"/>
      <c r="P678" s="1332"/>
      <c r="Q678" s="1332"/>
      <c r="R678" s="1332"/>
      <c r="S678" s="1332"/>
      <c r="T678" s="1332"/>
      <c r="U678" s="1332"/>
      <c r="V678" s="1332"/>
      <c r="W678" s="1332"/>
      <c r="X678" s="1332"/>
      <c r="Y678" s="1332"/>
      <c r="Z678" s="1332"/>
      <c r="AA678" s="1332"/>
      <c r="AB678" s="1332"/>
    </row>
    <row r="679">
      <c r="A679" s="1332"/>
      <c r="B679" s="1366"/>
      <c r="C679" s="1366"/>
      <c r="D679" s="1375"/>
      <c r="E679" s="1332"/>
      <c r="F679" s="1332"/>
      <c r="G679" s="1378"/>
      <c r="H679" s="1378"/>
      <c r="I679" s="1332"/>
      <c r="J679" s="1332"/>
      <c r="K679" s="1332"/>
      <c r="L679" s="1332"/>
      <c r="M679" s="1332"/>
      <c r="N679" s="1332"/>
      <c r="O679" s="1332"/>
      <c r="P679" s="1332"/>
      <c r="Q679" s="1332"/>
      <c r="R679" s="1332"/>
      <c r="S679" s="1332"/>
      <c r="T679" s="1332"/>
      <c r="U679" s="1332"/>
      <c r="V679" s="1332"/>
      <c r="W679" s="1332"/>
      <c r="X679" s="1332"/>
      <c r="Y679" s="1332"/>
      <c r="Z679" s="1332"/>
      <c r="AA679" s="1332"/>
      <c r="AB679" s="1332"/>
    </row>
    <row r="680">
      <c r="A680" s="1332"/>
      <c r="B680" s="1366"/>
      <c r="C680" s="1366"/>
      <c r="D680" s="1375"/>
      <c r="E680" s="1332"/>
      <c r="F680" s="1332"/>
      <c r="G680" s="1378"/>
      <c r="H680" s="1378"/>
      <c r="I680" s="1332"/>
      <c r="J680" s="1332"/>
      <c r="K680" s="1332"/>
      <c r="L680" s="1332"/>
      <c r="M680" s="1332"/>
      <c r="N680" s="1332"/>
      <c r="O680" s="1332"/>
      <c r="P680" s="1332"/>
      <c r="Q680" s="1332"/>
      <c r="R680" s="1332"/>
      <c r="S680" s="1332"/>
      <c r="T680" s="1332"/>
      <c r="U680" s="1332"/>
      <c r="V680" s="1332"/>
      <c r="W680" s="1332"/>
      <c r="X680" s="1332"/>
      <c r="Y680" s="1332"/>
      <c r="Z680" s="1332"/>
      <c r="AA680" s="1332"/>
      <c r="AB680" s="1332"/>
    </row>
    <row r="681">
      <c r="A681" s="1332"/>
      <c r="B681" s="1366"/>
      <c r="C681" s="1366"/>
      <c r="D681" s="1375"/>
      <c r="E681" s="1332"/>
      <c r="F681" s="1332"/>
      <c r="G681" s="1378"/>
      <c r="H681" s="1378"/>
      <c r="I681" s="1332"/>
      <c r="J681" s="1332"/>
      <c r="K681" s="1332"/>
      <c r="L681" s="1332"/>
      <c r="M681" s="1332"/>
      <c r="N681" s="1332"/>
      <c r="O681" s="1332"/>
      <c r="P681" s="1332"/>
      <c r="Q681" s="1332"/>
      <c r="R681" s="1332"/>
      <c r="S681" s="1332"/>
      <c r="T681" s="1332"/>
      <c r="U681" s="1332"/>
      <c r="V681" s="1332"/>
      <c r="W681" s="1332"/>
      <c r="X681" s="1332"/>
      <c r="Y681" s="1332"/>
      <c r="Z681" s="1332"/>
      <c r="AA681" s="1332"/>
      <c r="AB681" s="1332"/>
    </row>
    <row r="682">
      <c r="A682" s="1332"/>
      <c r="B682" s="1366"/>
      <c r="C682" s="1366"/>
      <c r="D682" s="1375"/>
      <c r="E682" s="1332"/>
      <c r="F682" s="1332"/>
      <c r="G682" s="1378"/>
      <c r="H682" s="1378"/>
      <c r="I682" s="1332"/>
      <c r="J682" s="1332"/>
      <c r="K682" s="1332"/>
      <c r="L682" s="1332"/>
      <c r="M682" s="1332"/>
      <c r="N682" s="1332"/>
      <c r="O682" s="1332"/>
      <c r="P682" s="1332"/>
      <c r="Q682" s="1332"/>
      <c r="R682" s="1332"/>
      <c r="S682" s="1332"/>
      <c r="T682" s="1332"/>
      <c r="U682" s="1332"/>
      <c r="V682" s="1332"/>
      <c r="W682" s="1332"/>
      <c r="X682" s="1332"/>
      <c r="Y682" s="1332"/>
      <c r="Z682" s="1332"/>
      <c r="AA682" s="1332"/>
      <c r="AB682" s="1332"/>
    </row>
    <row r="683">
      <c r="A683" s="1332"/>
      <c r="B683" s="1366"/>
      <c r="C683" s="1366"/>
      <c r="D683" s="1375"/>
      <c r="E683" s="1332"/>
      <c r="F683" s="1332"/>
      <c r="G683" s="1378"/>
      <c r="H683" s="1378"/>
      <c r="I683" s="1332"/>
      <c r="J683" s="1332"/>
      <c r="K683" s="1332"/>
      <c r="L683" s="1332"/>
      <c r="M683" s="1332"/>
      <c r="N683" s="1332"/>
      <c r="O683" s="1332"/>
      <c r="P683" s="1332"/>
      <c r="Q683" s="1332"/>
      <c r="R683" s="1332"/>
      <c r="S683" s="1332"/>
      <c r="T683" s="1332"/>
      <c r="U683" s="1332"/>
      <c r="V683" s="1332"/>
      <c r="W683" s="1332"/>
      <c r="X683" s="1332"/>
      <c r="Y683" s="1332"/>
      <c r="Z683" s="1332"/>
      <c r="AA683" s="1332"/>
      <c r="AB683" s="1332"/>
    </row>
    <row r="684">
      <c r="A684" s="1332"/>
      <c r="B684" s="1366"/>
      <c r="C684" s="1366"/>
      <c r="D684" s="1375"/>
      <c r="E684" s="1332"/>
      <c r="F684" s="1332"/>
      <c r="G684" s="1378"/>
      <c r="H684" s="1378"/>
      <c r="I684" s="1332"/>
      <c r="J684" s="1332"/>
      <c r="K684" s="1332"/>
      <c r="L684" s="1332"/>
      <c r="M684" s="1332"/>
      <c r="N684" s="1332"/>
      <c r="O684" s="1332"/>
      <c r="P684" s="1332"/>
      <c r="Q684" s="1332"/>
      <c r="R684" s="1332"/>
      <c r="S684" s="1332"/>
      <c r="T684" s="1332"/>
      <c r="U684" s="1332"/>
      <c r="V684" s="1332"/>
      <c r="W684" s="1332"/>
      <c r="X684" s="1332"/>
      <c r="Y684" s="1332"/>
      <c r="Z684" s="1332"/>
      <c r="AA684" s="1332"/>
      <c r="AB684" s="1332"/>
    </row>
    <row r="685">
      <c r="A685" s="1332"/>
      <c r="B685" s="1366"/>
      <c r="C685" s="1366"/>
      <c r="D685" s="1375"/>
      <c r="E685" s="1332"/>
      <c r="F685" s="1332"/>
      <c r="G685" s="1378"/>
      <c r="H685" s="1378"/>
      <c r="I685" s="1332"/>
      <c r="J685" s="1332"/>
      <c r="K685" s="1332"/>
      <c r="L685" s="1332"/>
      <c r="M685" s="1332"/>
      <c r="N685" s="1332"/>
      <c r="O685" s="1332"/>
      <c r="P685" s="1332"/>
      <c r="Q685" s="1332"/>
      <c r="R685" s="1332"/>
      <c r="S685" s="1332"/>
      <c r="T685" s="1332"/>
      <c r="U685" s="1332"/>
      <c r="V685" s="1332"/>
      <c r="W685" s="1332"/>
      <c r="X685" s="1332"/>
      <c r="Y685" s="1332"/>
      <c r="Z685" s="1332"/>
      <c r="AA685" s="1332"/>
      <c r="AB685" s="1332"/>
    </row>
    <row r="686">
      <c r="A686" s="1332"/>
      <c r="B686" s="1366"/>
      <c r="C686" s="1366"/>
      <c r="D686" s="1375"/>
      <c r="E686" s="1332"/>
      <c r="F686" s="1332"/>
      <c r="G686" s="1378"/>
      <c r="H686" s="1378"/>
      <c r="I686" s="1332"/>
      <c r="J686" s="1332"/>
      <c r="K686" s="1332"/>
      <c r="L686" s="1332"/>
      <c r="M686" s="1332"/>
      <c r="N686" s="1332"/>
      <c r="O686" s="1332"/>
      <c r="P686" s="1332"/>
      <c r="Q686" s="1332"/>
      <c r="R686" s="1332"/>
      <c r="S686" s="1332"/>
      <c r="T686" s="1332"/>
      <c r="U686" s="1332"/>
      <c r="V686" s="1332"/>
      <c r="W686" s="1332"/>
      <c r="X686" s="1332"/>
      <c r="Y686" s="1332"/>
      <c r="Z686" s="1332"/>
      <c r="AA686" s="1332"/>
      <c r="AB686" s="1332"/>
    </row>
    <row r="687">
      <c r="A687" s="1332"/>
      <c r="B687" s="1366"/>
      <c r="C687" s="1366"/>
      <c r="D687" s="1375"/>
      <c r="E687" s="1332"/>
      <c r="F687" s="1332"/>
      <c r="G687" s="1378"/>
      <c r="H687" s="1378"/>
      <c r="I687" s="1332"/>
      <c r="J687" s="1332"/>
      <c r="K687" s="1332"/>
      <c r="L687" s="1332"/>
      <c r="M687" s="1332"/>
      <c r="N687" s="1332"/>
      <c r="O687" s="1332"/>
      <c r="P687" s="1332"/>
      <c r="Q687" s="1332"/>
      <c r="R687" s="1332"/>
      <c r="S687" s="1332"/>
      <c r="T687" s="1332"/>
      <c r="U687" s="1332"/>
      <c r="V687" s="1332"/>
      <c r="W687" s="1332"/>
      <c r="X687" s="1332"/>
      <c r="Y687" s="1332"/>
      <c r="Z687" s="1332"/>
      <c r="AA687" s="1332"/>
      <c r="AB687" s="1332"/>
    </row>
    <row r="688">
      <c r="A688" s="1332"/>
      <c r="B688" s="1366"/>
      <c r="C688" s="1366"/>
      <c r="D688" s="1375"/>
      <c r="E688" s="1332"/>
      <c r="F688" s="1332"/>
      <c r="G688" s="1378"/>
      <c r="H688" s="1378"/>
      <c r="I688" s="1332"/>
      <c r="J688" s="1332"/>
      <c r="K688" s="1332"/>
      <c r="L688" s="1332"/>
      <c r="M688" s="1332"/>
      <c r="N688" s="1332"/>
      <c r="O688" s="1332"/>
      <c r="P688" s="1332"/>
      <c r="Q688" s="1332"/>
      <c r="R688" s="1332"/>
      <c r="S688" s="1332"/>
      <c r="T688" s="1332"/>
      <c r="U688" s="1332"/>
      <c r="V688" s="1332"/>
      <c r="W688" s="1332"/>
      <c r="X688" s="1332"/>
      <c r="Y688" s="1332"/>
      <c r="Z688" s="1332"/>
      <c r="AA688" s="1332"/>
      <c r="AB688" s="1332"/>
    </row>
    <row r="689">
      <c r="A689" s="1332"/>
      <c r="B689" s="1366"/>
      <c r="C689" s="1366"/>
      <c r="D689" s="1375"/>
      <c r="E689" s="1332"/>
      <c r="F689" s="1332"/>
      <c r="G689" s="1378"/>
      <c r="H689" s="1378"/>
      <c r="I689" s="1332"/>
      <c r="J689" s="1332"/>
      <c r="K689" s="1332"/>
      <c r="L689" s="1332"/>
      <c r="M689" s="1332"/>
      <c r="N689" s="1332"/>
      <c r="O689" s="1332"/>
      <c r="P689" s="1332"/>
      <c r="Q689" s="1332"/>
      <c r="R689" s="1332"/>
      <c r="S689" s="1332"/>
      <c r="T689" s="1332"/>
      <c r="U689" s="1332"/>
      <c r="V689" s="1332"/>
      <c r="W689" s="1332"/>
      <c r="X689" s="1332"/>
      <c r="Y689" s="1332"/>
      <c r="Z689" s="1332"/>
      <c r="AA689" s="1332"/>
      <c r="AB689" s="1332"/>
    </row>
    <row r="690">
      <c r="A690" s="1332"/>
      <c r="B690" s="1366"/>
      <c r="C690" s="1366"/>
      <c r="D690" s="1375"/>
      <c r="E690" s="1332"/>
      <c r="F690" s="1332"/>
      <c r="G690" s="1378"/>
      <c r="H690" s="1378"/>
      <c r="I690" s="1332"/>
      <c r="J690" s="1332"/>
      <c r="K690" s="1332"/>
      <c r="L690" s="1332"/>
      <c r="M690" s="1332"/>
      <c r="N690" s="1332"/>
      <c r="O690" s="1332"/>
      <c r="P690" s="1332"/>
      <c r="Q690" s="1332"/>
      <c r="R690" s="1332"/>
      <c r="S690" s="1332"/>
      <c r="T690" s="1332"/>
      <c r="U690" s="1332"/>
      <c r="V690" s="1332"/>
      <c r="W690" s="1332"/>
      <c r="X690" s="1332"/>
      <c r="Y690" s="1332"/>
      <c r="Z690" s="1332"/>
      <c r="AA690" s="1332"/>
      <c r="AB690" s="1332"/>
    </row>
    <row r="691">
      <c r="A691" s="1332"/>
      <c r="B691" s="1366"/>
      <c r="C691" s="1366"/>
      <c r="D691" s="1375"/>
      <c r="E691" s="1332"/>
      <c r="F691" s="1332"/>
      <c r="G691" s="1378"/>
      <c r="H691" s="1378"/>
      <c r="I691" s="1332"/>
      <c r="J691" s="1332"/>
      <c r="K691" s="1332"/>
      <c r="L691" s="1332"/>
      <c r="M691" s="1332"/>
      <c r="N691" s="1332"/>
      <c r="O691" s="1332"/>
      <c r="P691" s="1332"/>
      <c r="Q691" s="1332"/>
      <c r="R691" s="1332"/>
      <c r="S691" s="1332"/>
      <c r="T691" s="1332"/>
      <c r="U691" s="1332"/>
      <c r="V691" s="1332"/>
      <c r="W691" s="1332"/>
      <c r="X691" s="1332"/>
      <c r="Y691" s="1332"/>
      <c r="Z691" s="1332"/>
      <c r="AA691" s="1332"/>
      <c r="AB691" s="1332"/>
    </row>
    <row r="692">
      <c r="A692" s="1332"/>
      <c r="B692" s="1366"/>
      <c r="C692" s="1366"/>
      <c r="D692" s="1375"/>
      <c r="E692" s="1332"/>
      <c r="F692" s="1332"/>
      <c r="G692" s="1378"/>
      <c r="H692" s="1378"/>
      <c r="I692" s="1332"/>
      <c r="J692" s="1332"/>
      <c r="K692" s="1332"/>
      <c r="L692" s="1332"/>
      <c r="M692" s="1332"/>
      <c r="N692" s="1332"/>
      <c r="O692" s="1332"/>
      <c r="P692" s="1332"/>
      <c r="Q692" s="1332"/>
      <c r="R692" s="1332"/>
      <c r="S692" s="1332"/>
      <c r="T692" s="1332"/>
      <c r="U692" s="1332"/>
      <c r="V692" s="1332"/>
      <c r="W692" s="1332"/>
      <c r="X692" s="1332"/>
      <c r="Y692" s="1332"/>
      <c r="Z692" s="1332"/>
      <c r="AA692" s="1332"/>
      <c r="AB692" s="1332"/>
    </row>
    <row r="693">
      <c r="A693" s="1332"/>
      <c r="B693" s="1366"/>
      <c r="C693" s="1366"/>
      <c r="D693" s="1375"/>
      <c r="E693" s="1332"/>
      <c r="F693" s="1332"/>
      <c r="G693" s="1378"/>
      <c r="H693" s="1378"/>
      <c r="I693" s="1332"/>
      <c r="J693" s="1332"/>
      <c r="K693" s="1332"/>
      <c r="L693" s="1332"/>
      <c r="M693" s="1332"/>
      <c r="N693" s="1332"/>
      <c r="O693" s="1332"/>
      <c r="P693" s="1332"/>
      <c r="Q693" s="1332"/>
      <c r="R693" s="1332"/>
      <c r="S693" s="1332"/>
      <c r="T693" s="1332"/>
      <c r="U693" s="1332"/>
      <c r="V693" s="1332"/>
      <c r="W693" s="1332"/>
      <c r="X693" s="1332"/>
      <c r="Y693" s="1332"/>
      <c r="Z693" s="1332"/>
      <c r="AA693" s="1332"/>
      <c r="AB693" s="1332"/>
    </row>
    <row r="694">
      <c r="A694" s="1332"/>
      <c r="B694" s="1366"/>
      <c r="C694" s="1366"/>
      <c r="D694" s="1375"/>
      <c r="E694" s="1332"/>
      <c r="F694" s="1332"/>
      <c r="G694" s="1378"/>
      <c r="H694" s="1378"/>
      <c r="I694" s="1332"/>
      <c r="J694" s="1332"/>
      <c r="K694" s="1332"/>
      <c r="L694" s="1332"/>
      <c r="M694" s="1332"/>
      <c r="N694" s="1332"/>
      <c r="O694" s="1332"/>
      <c r="P694" s="1332"/>
      <c r="Q694" s="1332"/>
      <c r="R694" s="1332"/>
      <c r="S694" s="1332"/>
      <c r="T694" s="1332"/>
      <c r="U694" s="1332"/>
      <c r="V694" s="1332"/>
      <c r="W694" s="1332"/>
      <c r="X694" s="1332"/>
      <c r="Y694" s="1332"/>
      <c r="Z694" s="1332"/>
      <c r="AA694" s="1332"/>
      <c r="AB694" s="1332"/>
    </row>
    <row r="695">
      <c r="A695" s="1332"/>
      <c r="B695" s="1366"/>
      <c r="C695" s="1366"/>
      <c r="D695" s="1375"/>
      <c r="E695" s="1332"/>
      <c r="F695" s="1332"/>
      <c r="G695" s="1378"/>
      <c r="H695" s="1378"/>
      <c r="I695" s="1332"/>
      <c r="J695" s="1332"/>
      <c r="K695" s="1332"/>
      <c r="L695" s="1332"/>
      <c r="M695" s="1332"/>
      <c r="N695" s="1332"/>
      <c r="O695" s="1332"/>
      <c r="P695" s="1332"/>
      <c r="Q695" s="1332"/>
      <c r="R695" s="1332"/>
      <c r="S695" s="1332"/>
      <c r="T695" s="1332"/>
      <c r="U695" s="1332"/>
      <c r="V695" s="1332"/>
      <c r="W695" s="1332"/>
      <c r="X695" s="1332"/>
      <c r="Y695" s="1332"/>
      <c r="Z695" s="1332"/>
      <c r="AA695" s="1332"/>
      <c r="AB695" s="1332"/>
    </row>
    <row r="696">
      <c r="A696" s="1332"/>
      <c r="B696" s="1366"/>
      <c r="C696" s="1366"/>
      <c r="D696" s="1375"/>
      <c r="E696" s="1332"/>
      <c r="F696" s="1332"/>
      <c r="G696" s="1378"/>
      <c r="H696" s="1378"/>
      <c r="I696" s="1332"/>
      <c r="J696" s="1332"/>
      <c r="K696" s="1332"/>
      <c r="L696" s="1332"/>
      <c r="M696" s="1332"/>
      <c r="N696" s="1332"/>
      <c r="O696" s="1332"/>
      <c r="P696" s="1332"/>
      <c r="Q696" s="1332"/>
      <c r="R696" s="1332"/>
      <c r="S696" s="1332"/>
      <c r="T696" s="1332"/>
      <c r="U696" s="1332"/>
      <c r="V696" s="1332"/>
      <c r="W696" s="1332"/>
      <c r="X696" s="1332"/>
      <c r="Y696" s="1332"/>
      <c r="Z696" s="1332"/>
      <c r="AA696" s="1332"/>
      <c r="AB696" s="1332"/>
    </row>
    <row r="697">
      <c r="A697" s="1332"/>
      <c r="B697" s="1366"/>
      <c r="C697" s="1366"/>
      <c r="D697" s="1375"/>
      <c r="E697" s="1332"/>
      <c r="F697" s="1332"/>
      <c r="G697" s="1378"/>
      <c r="H697" s="1378"/>
      <c r="I697" s="1332"/>
      <c r="J697" s="1332"/>
      <c r="K697" s="1332"/>
      <c r="L697" s="1332"/>
      <c r="M697" s="1332"/>
      <c r="N697" s="1332"/>
      <c r="O697" s="1332"/>
      <c r="P697" s="1332"/>
      <c r="Q697" s="1332"/>
      <c r="R697" s="1332"/>
      <c r="S697" s="1332"/>
      <c r="T697" s="1332"/>
      <c r="U697" s="1332"/>
      <c r="V697" s="1332"/>
      <c r="W697" s="1332"/>
      <c r="X697" s="1332"/>
      <c r="Y697" s="1332"/>
      <c r="Z697" s="1332"/>
      <c r="AA697" s="1332"/>
      <c r="AB697" s="1332"/>
    </row>
    <row r="698">
      <c r="A698" s="1332"/>
      <c r="B698" s="1366"/>
      <c r="C698" s="1366"/>
      <c r="D698" s="1375"/>
      <c r="E698" s="1332"/>
      <c r="F698" s="1332"/>
      <c r="G698" s="1378"/>
      <c r="H698" s="1378"/>
      <c r="I698" s="1332"/>
      <c r="J698" s="1332"/>
      <c r="K698" s="1332"/>
      <c r="L698" s="1332"/>
      <c r="M698" s="1332"/>
      <c r="N698" s="1332"/>
      <c r="O698" s="1332"/>
      <c r="P698" s="1332"/>
      <c r="Q698" s="1332"/>
      <c r="R698" s="1332"/>
      <c r="S698" s="1332"/>
      <c r="T698" s="1332"/>
      <c r="U698" s="1332"/>
      <c r="V698" s="1332"/>
      <c r="W698" s="1332"/>
      <c r="X698" s="1332"/>
      <c r="Y698" s="1332"/>
      <c r="Z698" s="1332"/>
      <c r="AA698" s="1332"/>
      <c r="AB698" s="1332"/>
    </row>
    <row r="699">
      <c r="A699" s="1332"/>
      <c r="B699" s="1366"/>
      <c r="C699" s="1366"/>
      <c r="D699" s="1375"/>
      <c r="E699" s="1332"/>
      <c r="F699" s="1332"/>
      <c r="G699" s="1378"/>
      <c r="H699" s="1378"/>
      <c r="I699" s="1332"/>
      <c r="J699" s="1332"/>
      <c r="K699" s="1332"/>
      <c r="L699" s="1332"/>
      <c r="M699" s="1332"/>
      <c r="N699" s="1332"/>
      <c r="O699" s="1332"/>
      <c r="P699" s="1332"/>
      <c r="Q699" s="1332"/>
      <c r="R699" s="1332"/>
      <c r="S699" s="1332"/>
      <c r="T699" s="1332"/>
      <c r="U699" s="1332"/>
      <c r="V699" s="1332"/>
      <c r="W699" s="1332"/>
      <c r="X699" s="1332"/>
      <c r="Y699" s="1332"/>
      <c r="Z699" s="1332"/>
      <c r="AA699" s="1332"/>
      <c r="AB699" s="1332"/>
    </row>
    <row r="700">
      <c r="A700" s="1332"/>
      <c r="B700" s="1366"/>
      <c r="C700" s="1366"/>
      <c r="D700" s="1375"/>
      <c r="E700" s="1332"/>
      <c r="F700" s="1332"/>
      <c r="G700" s="1378"/>
      <c r="H700" s="1378"/>
      <c r="I700" s="1332"/>
      <c r="J700" s="1332"/>
      <c r="K700" s="1332"/>
      <c r="L700" s="1332"/>
      <c r="M700" s="1332"/>
      <c r="N700" s="1332"/>
      <c r="O700" s="1332"/>
      <c r="P700" s="1332"/>
      <c r="Q700" s="1332"/>
      <c r="R700" s="1332"/>
      <c r="S700" s="1332"/>
      <c r="T700" s="1332"/>
      <c r="U700" s="1332"/>
      <c r="V700" s="1332"/>
      <c r="W700" s="1332"/>
      <c r="X700" s="1332"/>
      <c r="Y700" s="1332"/>
      <c r="Z700" s="1332"/>
      <c r="AA700" s="1332"/>
      <c r="AB700" s="1332"/>
    </row>
    <row r="701">
      <c r="A701" s="1332"/>
      <c r="B701" s="1366"/>
      <c r="C701" s="1366"/>
      <c r="D701" s="1375"/>
      <c r="E701" s="1332"/>
      <c r="F701" s="1332"/>
      <c r="G701" s="1378"/>
      <c r="H701" s="1378"/>
      <c r="I701" s="1332"/>
      <c r="J701" s="1332"/>
      <c r="K701" s="1332"/>
      <c r="L701" s="1332"/>
      <c r="M701" s="1332"/>
      <c r="N701" s="1332"/>
      <c r="O701" s="1332"/>
      <c r="P701" s="1332"/>
      <c r="Q701" s="1332"/>
      <c r="R701" s="1332"/>
      <c r="S701" s="1332"/>
      <c r="T701" s="1332"/>
      <c r="U701" s="1332"/>
      <c r="V701" s="1332"/>
      <c r="W701" s="1332"/>
      <c r="X701" s="1332"/>
      <c r="Y701" s="1332"/>
      <c r="Z701" s="1332"/>
      <c r="AA701" s="1332"/>
      <c r="AB701" s="1332"/>
    </row>
    <row r="702">
      <c r="A702" s="1332"/>
      <c r="B702" s="1366"/>
      <c r="C702" s="1366"/>
      <c r="D702" s="1375"/>
      <c r="E702" s="1332"/>
      <c r="F702" s="1332"/>
      <c r="G702" s="1378"/>
      <c r="H702" s="1378"/>
      <c r="I702" s="1332"/>
      <c r="J702" s="1332"/>
      <c r="K702" s="1332"/>
      <c r="L702" s="1332"/>
      <c r="M702" s="1332"/>
      <c r="N702" s="1332"/>
      <c r="O702" s="1332"/>
      <c r="P702" s="1332"/>
      <c r="Q702" s="1332"/>
      <c r="R702" s="1332"/>
      <c r="S702" s="1332"/>
      <c r="T702" s="1332"/>
      <c r="U702" s="1332"/>
      <c r="V702" s="1332"/>
      <c r="W702" s="1332"/>
      <c r="X702" s="1332"/>
      <c r="Y702" s="1332"/>
      <c r="Z702" s="1332"/>
      <c r="AA702" s="1332"/>
      <c r="AB702" s="1332"/>
    </row>
    <row r="703">
      <c r="A703" s="1332"/>
      <c r="B703" s="1366"/>
      <c r="C703" s="1366"/>
      <c r="D703" s="1375"/>
      <c r="E703" s="1332"/>
      <c r="F703" s="1332"/>
      <c r="G703" s="1378"/>
      <c r="H703" s="1378"/>
      <c r="I703" s="1332"/>
      <c r="J703" s="1332"/>
      <c r="K703" s="1332"/>
      <c r="L703" s="1332"/>
      <c r="M703" s="1332"/>
      <c r="N703" s="1332"/>
      <c r="O703" s="1332"/>
      <c r="P703" s="1332"/>
      <c r="Q703" s="1332"/>
      <c r="R703" s="1332"/>
      <c r="S703" s="1332"/>
      <c r="T703" s="1332"/>
      <c r="U703" s="1332"/>
      <c r="V703" s="1332"/>
      <c r="W703" s="1332"/>
      <c r="X703" s="1332"/>
      <c r="Y703" s="1332"/>
      <c r="Z703" s="1332"/>
      <c r="AA703" s="1332"/>
      <c r="AB703" s="1332"/>
    </row>
    <row r="704">
      <c r="A704" s="1332"/>
      <c r="B704" s="1366"/>
      <c r="C704" s="1366"/>
      <c r="D704" s="1375"/>
      <c r="E704" s="1332"/>
      <c r="F704" s="1332"/>
      <c r="G704" s="1378"/>
      <c r="H704" s="1378"/>
      <c r="I704" s="1332"/>
      <c r="J704" s="1332"/>
      <c r="K704" s="1332"/>
      <c r="L704" s="1332"/>
      <c r="M704" s="1332"/>
      <c r="N704" s="1332"/>
      <c r="O704" s="1332"/>
      <c r="P704" s="1332"/>
      <c r="Q704" s="1332"/>
      <c r="R704" s="1332"/>
      <c r="S704" s="1332"/>
      <c r="T704" s="1332"/>
      <c r="U704" s="1332"/>
      <c r="V704" s="1332"/>
      <c r="W704" s="1332"/>
      <c r="X704" s="1332"/>
      <c r="Y704" s="1332"/>
      <c r="Z704" s="1332"/>
      <c r="AA704" s="1332"/>
      <c r="AB704" s="1332"/>
    </row>
    <row r="705">
      <c r="A705" s="1332"/>
      <c r="B705" s="1366"/>
      <c r="C705" s="1366"/>
      <c r="D705" s="1375"/>
      <c r="E705" s="1332"/>
      <c r="F705" s="1332"/>
      <c r="G705" s="1378"/>
      <c r="H705" s="1378"/>
      <c r="I705" s="1332"/>
      <c r="J705" s="1332"/>
      <c r="K705" s="1332"/>
      <c r="L705" s="1332"/>
      <c r="M705" s="1332"/>
      <c r="N705" s="1332"/>
      <c r="O705" s="1332"/>
      <c r="P705" s="1332"/>
      <c r="Q705" s="1332"/>
      <c r="R705" s="1332"/>
      <c r="S705" s="1332"/>
      <c r="T705" s="1332"/>
      <c r="U705" s="1332"/>
      <c r="V705" s="1332"/>
      <c r="W705" s="1332"/>
      <c r="X705" s="1332"/>
      <c r="Y705" s="1332"/>
      <c r="Z705" s="1332"/>
      <c r="AA705" s="1332"/>
      <c r="AB705" s="1332"/>
    </row>
    <row r="706">
      <c r="A706" s="1332"/>
      <c r="B706" s="1366"/>
      <c r="C706" s="1366"/>
      <c r="D706" s="1375"/>
      <c r="E706" s="1332"/>
      <c r="F706" s="1332"/>
      <c r="G706" s="1378"/>
      <c r="H706" s="1378"/>
      <c r="I706" s="1332"/>
      <c r="J706" s="1332"/>
      <c r="K706" s="1332"/>
      <c r="L706" s="1332"/>
      <c r="M706" s="1332"/>
      <c r="N706" s="1332"/>
      <c r="O706" s="1332"/>
      <c r="P706" s="1332"/>
      <c r="Q706" s="1332"/>
      <c r="R706" s="1332"/>
      <c r="S706" s="1332"/>
      <c r="T706" s="1332"/>
      <c r="U706" s="1332"/>
      <c r="V706" s="1332"/>
      <c r="W706" s="1332"/>
      <c r="X706" s="1332"/>
      <c r="Y706" s="1332"/>
      <c r="Z706" s="1332"/>
      <c r="AA706" s="1332"/>
      <c r="AB706" s="1332"/>
    </row>
    <row r="707">
      <c r="A707" s="1332"/>
      <c r="B707" s="1366"/>
      <c r="C707" s="1366"/>
      <c r="D707" s="1375"/>
      <c r="E707" s="1332"/>
      <c r="F707" s="1332"/>
      <c r="G707" s="1378"/>
      <c r="H707" s="1378"/>
      <c r="I707" s="1332"/>
      <c r="J707" s="1332"/>
      <c r="K707" s="1332"/>
      <c r="L707" s="1332"/>
      <c r="M707" s="1332"/>
      <c r="N707" s="1332"/>
      <c r="O707" s="1332"/>
      <c r="P707" s="1332"/>
      <c r="Q707" s="1332"/>
      <c r="R707" s="1332"/>
      <c r="S707" s="1332"/>
      <c r="T707" s="1332"/>
      <c r="U707" s="1332"/>
      <c r="V707" s="1332"/>
      <c r="W707" s="1332"/>
      <c r="X707" s="1332"/>
      <c r="Y707" s="1332"/>
      <c r="Z707" s="1332"/>
      <c r="AA707" s="1332"/>
      <c r="AB707" s="1332"/>
    </row>
    <row r="708">
      <c r="A708" s="1332"/>
      <c r="B708" s="1366"/>
      <c r="C708" s="1366"/>
      <c r="D708" s="1375"/>
      <c r="E708" s="1332"/>
      <c r="F708" s="1332"/>
      <c r="G708" s="1378"/>
      <c r="H708" s="1378"/>
      <c r="I708" s="1332"/>
      <c r="J708" s="1332"/>
      <c r="K708" s="1332"/>
      <c r="L708" s="1332"/>
      <c r="M708" s="1332"/>
      <c r="N708" s="1332"/>
      <c r="O708" s="1332"/>
      <c r="P708" s="1332"/>
      <c r="Q708" s="1332"/>
      <c r="R708" s="1332"/>
      <c r="S708" s="1332"/>
      <c r="T708" s="1332"/>
      <c r="U708" s="1332"/>
      <c r="V708" s="1332"/>
      <c r="W708" s="1332"/>
      <c r="X708" s="1332"/>
      <c r="Y708" s="1332"/>
      <c r="Z708" s="1332"/>
      <c r="AA708" s="1332"/>
      <c r="AB708" s="1332"/>
    </row>
    <row r="709">
      <c r="A709" s="1332"/>
      <c r="B709" s="1366"/>
      <c r="C709" s="1366"/>
      <c r="D709" s="1375"/>
      <c r="E709" s="1332"/>
      <c r="F709" s="1332"/>
      <c r="G709" s="1378"/>
      <c r="H709" s="1378"/>
      <c r="I709" s="1332"/>
      <c r="J709" s="1332"/>
      <c r="K709" s="1332"/>
      <c r="L709" s="1332"/>
      <c r="M709" s="1332"/>
      <c r="N709" s="1332"/>
      <c r="O709" s="1332"/>
      <c r="P709" s="1332"/>
      <c r="Q709" s="1332"/>
      <c r="R709" s="1332"/>
      <c r="S709" s="1332"/>
      <c r="T709" s="1332"/>
      <c r="U709" s="1332"/>
      <c r="V709" s="1332"/>
      <c r="W709" s="1332"/>
      <c r="X709" s="1332"/>
      <c r="Y709" s="1332"/>
      <c r="Z709" s="1332"/>
      <c r="AA709" s="1332"/>
      <c r="AB709" s="1332"/>
    </row>
    <row r="710">
      <c r="A710" s="1332"/>
      <c r="B710" s="1366"/>
      <c r="C710" s="1366"/>
      <c r="D710" s="1375"/>
      <c r="E710" s="1332"/>
      <c r="F710" s="1332"/>
      <c r="G710" s="1378"/>
      <c r="H710" s="1378"/>
      <c r="I710" s="1332"/>
      <c r="J710" s="1332"/>
      <c r="K710" s="1332"/>
      <c r="L710" s="1332"/>
      <c r="M710" s="1332"/>
      <c r="N710" s="1332"/>
      <c r="O710" s="1332"/>
      <c r="P710" s="1332"/>
      <c r="Q710" s="1332"/>
      <c r="R710" s="1332"/>
      <c r="S710" s="1332"/>
      <c r="T710" s="1332"/>
      <c r="U710" s="1332"/>
      <c r="V710" s="1332"/>
      <c r="W710" s="1332"/>
      <c r="X710" s="1332"/>
      <c r="Y710" s="1332"/>
      <c r="Z710" s="1332"/>
      <c r="AA710" s="1332"/>
      <c r="AB710" s="1332"/>
    </row>
    <row r="711">
      <c r="A711" s="1332"/>
      <c r="B711" s="1366"/>
      <c r="C711" s="1366"/>
      <c r="D711" s="1375"/>
      <c r="E711" s="1332"/>
      <c r="F711" s="1332"/>
      <c r="G711" s="1378"/>
      <c r="H711" s="1378"/>
      <c r="I711" s="1332"/>
      <c r="J711" s="1332"/>
      <c r="K711" s="1332"/>
      <c r="L711" s="1332"/>
      <c r="M711" s="1332"/>
      <c r="N711" s="1332"/>
      <c r="O711" s="1332"/>
      <c r="P711" s="1332"/>
      <c r="Q711" s="1332"/>
      <c r="R711" s="1332"/>
      <c r="S711" s="1332"/>
      <c r="T711" s="1332"/>
      <c r="U711" s="1332"/>
      <c r="V711" s="1332"/>
      <c r="W711" s="1332"/>
      <c r="X711" s="1332"/>
      <c r="Y711" s="1332"/>
      <c r="Z711" s="1332"/>
      <c r="AA711" s="1332"/>
      <c r="AB711" s="1332"/>
    </row>
    <row r="712">
      <c r="A712" s="1332"/>
      <c r="B712" s="1366"/>
      <c r="C712" s="1366"/>
      <c r="D712" s="1375"/>
      <c r="E712" s="1332"/>
      <c r="F712" s="1332"/>
      <c r="G712" s="1378"/>
      <c r="H712" s="1378"/>
      <c r="I712" s="1332"/>
      <c r="J712" s="1332"/>
      <c r="K712" s="1332"/>
      <c r="L712" s="1332"/>
      <c r="M712" s="1332"/>
      <c r="N712" s="1332"/>
      <c r="O712" s="1332"/>
      <c r="P712" s="1332"/>
      <c r="Q712" s="1332"/>
      <c r="R712" s="1332"/>
      <c r="S712" s="1332"/>
      <c r="T712" s="1332"/>
      <c r="U712" s="1332"/>
      <c r="V712" s="1332"/>
      <c r="W712" s="1332"/>
      <c r="X712" s="1332"/>
      <c r="Y712" s="1332"/>
      <c r="Z712" s="1332"/>
      <c r="AA712" s="1332"/>
      <c r="AB712" s="1332"/>
    </row>
    <row r="713">
      <c r="A713" s="1332"/>
      <c r="B713" s="1366"/>
      <c r="C713" s="1366"/>
      <c r="D713" s="1375"/>
      <c r="E713" s="1332"/>
      <c r="F713" s="1332"/>
      <c r="G713" s="1378"/>
      <c r="H713" s="1378"/>
      <c r="I713" s="1332"/>
      <c r="J713" s="1332"/>
      <c r="K713" s="1332"/>
      <c r="L713" s="1332"/>
      <c r="M713" s="1332"/>
      <c r="N713" s="1332"/>
      <c r="O713" s="1332"/>
      <c r="P713" s="1332"/>
      <c r="Q713" s="1332"/>
      <c r="R713" s="1332"/>
      <c r="S713" s="1332"/>
      <c r="T713" s="1332"/>
      <c r="U713" s="1332"/>
      <c r="V713" s="1332"/>
      <c r="W713" s="1332"/>
      <c r="X713" s="1332"/>
      <c r="Y713" s="1332"/>
      <c r="Z713" s="1332"/>
      <c r="AA713" s="1332"/>
      <c r="AB713" s="1332"/>
    </row>
    <row r="714">
      <c r="A714" s="1332"/>
      <c r="B714" s="1366"/>
      <c r="C714" s="1366"/>
      <c r="D714" s="1375"/>
      <c r="E714" s="1332"/>
      <c r="F714" s="1332"/>
      <c r="G714" s="1378"/>
      <c r="H714" s="1378"/>
      <c r="I714" s="1332"/>
      <c r="J714" s="1332"/>
      <c r="K714" s="1332"/>
      <c r="L714" s="1332"/>
      <c r="M714" s="1332"/>
      <c r="N714" s="1332"/>
      <c r="O714" s="1332"/>
      <c r="P714" s="1332"/>
      <c r="Q714" s="1332"/>
      <c r="R714" s="1332"/>
      <c r="S714" s="1332"/>
      <c r="T714" s="1332"/>
      <c r="U714" s="1332"/>
      <c r="V714" s="1332"/>
      <c r="W714" s="1332"/>
      <c r="X714" s="1332"/>
      <c r="Y714" s="1332"/>
      <c r="Z714" s="1332"/>
      <c r="AA714" s="1332"/>
      <c r="AB714" s="1332"/>
    </row>
    <row r="715">
      <c r="A715" s="1332"/>
      <c r="B715" s="1366"/>
      <c r="C715" s="1366"/>
      <c r="D715" s="1375"/>
      <c r="E715" s="1332"/>
      <c r="F715" s="1332"/>
      <c r="G715" s="1378"/>
      <c r="H715" s="1378"/>
      <c r="I715" s="1332"/>
      <c r="J715" s="1332"/>
      <c r="K715" s="1332"/>
      <c r="L715" s="1332"/>
      <c r="M715" s="1332"/>
      <c r="N715" s="1332"/>
      <c r="O715" s="1332"/>
      <c r="P715" s="1332"/>
      <c r="Q715" s="1332"/>
      <c r="R715" s="1332"/>
      <c r="S715" s="1332"/>
      <c r="T715" s="1332"/>
      <c r="U715" s="1332"/>
      <c r="V715" s="1332"/>
      <c r="W715" s="1332"/>
      <c r="X715" s="1332"/>
      <c r="Y715" s="1332"/>
      <c r="Z715" s="1332"/>
      <c r="AA715" s="1332"/>
      <c r="AB715" s="1332"/>
    </row>
    <row r="716">
      <c r="A716" s="1332"/>
      <c r="B716" s="1366"/>
      <c r="C716" s="1366"/>
      <c r="D716" s="1375"/>
      <c r="E716" s="1332"/>
      <c r="F716" s="1332"/>
      <c r="G716" s="1378"/>
      <c r="H716" s="1378"/>
      <c r="I716" s="1332"/>
      <c r="J716" s="1332"/>
      <c r="K716" s="1332"/>
      <c r="L716" s="1332"/>
      <c r="M716" s="1332"/>
      <c r="N716" s="1332"/>
      <c r="O716" s="1332"/>
      <c r="P716" s="1332"/>
      <c r="Q716" s="1332"/>
      <c r="R716" s="1332"/>
      <c r="S716" s="1332"/>
      <c r="T716" s="1332"/>
      <c r="U716" s="1332"/>
      <c r="V716" s="1332"/>
      <c r="W716" s="1332"/>
      <c r="X716" s="1332"/>
      <c r="Y716" s="1332"/>
      <c r="Z716" s="1332"/>
      <c r="AA716" s="1332"/>
      <c r="AB716" s="1332"/>
    </row>
    <row r="717">
      <c r="A717" s="1332"/>
      <c r="B717" s="1366"/>
      <c r="C717" s="1366"/>
      <c r="D717" s="1375"/>
      <c r="E717" s="1332"/>
      <c r="F717" s="1332"/>
      <c r="G717" s="1378"/>
      <c r="H717" s="1378"/>
      <c r="I717" s="1332"/>
      <c r="J717" s="1332"/>
      <c r="K717" s="1332"/>
      <c r="L717" s="1332"/>
      <c r="M717" s="1332"/>
      <c r="N717" s="1332"/>
      <c r="O717" s="1332"/>
      <c r="P717" s="1332"/>
      <c r="Q717" s="1332"/>
      <c r="R717" s="1332"/>
      <c r="S717" s="1332"/>
      <c r="T717" s="1332"/>
      <c r="U717" s="1332"/>
      <c r="V717" s="1332"/>
      <c r="W717" s="1332"/>
      <c r="X717" s="1332"/>
      <c r="Y717" s="1332"/>
      <c r="Z717" s="1332"/>
      <c r="AA717" s="1332"/>
      <c r="AB717" s="1332"/>
    </row>
    <row r="718">
      <c r="A718" s="1332"/>
      <c r="B718" s="1366"/>
      <c r="C718" s="1366"/>
      <c r="D718" s="1375"/>
      <c r="E718" s="1332"/>
      <c r="F718" s="1332"/>
      <c r="G718" s="1378"/>
      <c r="H718" s="1378"/>
      <c r="I718" s="1332"/>
      <c r="J718" s="1332"/>
      <c r="K718" s="1332"/>
      <c r="L718" s="1332"/>
      <c r="M718" s="1332"/>
      <c r="N718" s="1332"/>
      <c r="O718" s="1332"/>
      <c r="P718" s="1332"/>
      <c r="Q718" s="1332"/>
      <c r="R718" s="1332"/>
      <c r="S718" s="1332"/>
      <c r="T718" s="1332"/>
      <c r="U718" s="1332"/>
      <c r="V718" s="1332"/>
      <c r="W718" s="1332"/>
      <c r="X718" s="1332"/>
      <c r="Y718" s="1332"/>
      <c r="Z718" s="1332"/>
      <c r="AA718" s="1332"/>
      <c r="AB718" s="1332"/>
    </row>
    <row r="719">
      <c r="A719" s="1332"/>
      <c r="B719" s="1366"/>
      <c r="C719" s="1366"/>
      <c r="D719" s="1375"/>
      <c r="E719" s="1332"/>
      <c r="F719" s="1332"/>
      <c r="G719" s="1378"/>
      <c r="H719" s="1378"/>
      <c r="I719" s="1332"/>
      <c r="J719" s="1332"/>
      <c r="K719" s="1332"/>
      <c r="L719" s="1332"/>
      <c r="M719" s="1332"/>
      <c r="N719" s="1332"/>
      <c r="O719" s="1332"/>
      <c r="P719" s="1332"/>
      <c r="Q719" s="1332"/>
      <c r="R719" s="1332"/>
      <c r="S719" s="1332"/>
      <c r="T719" s="1332"/>
      <c r="U719" s="1332"/>
      <c r="V719" s="1332"/>
      <c r="W719" s="1332"/>
      <c r="X719" s="1332"/>
      <c r="Y719" s="1332"/>
      <c r="Z719" s="1332"/>
      <c r="AA719" s="1332"/>
      <c r="AB719" s="1332"/>
    </row>
    <row r="720">
      <c r="A720" s="1332"/>
      <c r="B720" s="1366"/>
      <c r="C720" s="1366"/>
      <c r="D720" s="1375"/>
      <c r="E720" s="1332"/>
      <c r="F720" s="1332"/>
      <c r="G720" s="1378"/>
      <c r="H720" s="1378"/>
      <c r="I720" s="1332"/>
      <c r="J720" s="1332"/>
      <c r="K720" s="1332"/>
      <c r="L720" s="1332"/>
      <c r="M720" s="1332"/>
      <c r="N720" s="1332"/>
      <c r="O720" s="1332"/>
      <c r="P720" s="1332"/>
      <c r="Q720" s="1332"/>
      <c r="R720" s="1332"/>
      <c r="S720" s="1332"/>
      <c r="T720" s="1332"/>
      <c r="U720" s="1332"/>
      <c r="V720" s="1332"/>
      <c r="W720" s="1332"/>
      <c r="X720" s="1332"/>
      <c r="Y720" s="1332"/>
      <c r="Z720" s="1332"/>
      <c r="AA720" s="1332"/>
      <c r="AB720" s="1332"/>
    </row>
    <row r="721">
      <c r="A721" s="1332"/>
      <c r="B721" s="1366"/>
      <c r="C721" s="1366"/>
      <c r="D721" s="1375"/>
      <c r="E721" s="1332"/>
      <c r="F721" s="1332"/>
      <c r="G721" s="1378"/>
      <c r="H721" s="1378"/>
      <c r="I721" s="1332"/>
      <c r="J721" s="1332"/>
      <c r="K721" s="1332"/>
      <c r="L721" s="1332"/>
      <c r="M721" s="1332"/>
      <c r="N721" s="1332"/>
      <c r="O721" s="1332"/>
      <c r="P721" s="1332"/>
      <c r="Q721" s="1332"/>
      <c r="R721" s="1332"/>
      <c r="S721" s="1332"/>
      <c r="T721" s="1332"/>
      <c r="U721" s="1332"/>
      <c r="V721" s="1332"/>
      <c r="W721" s="1332"/>
      <c r="X721" s="1332"/>
      <c r="Y721" s="1332"/>
      <c r="Z721" s="1332"/>
      <c r="AA721" s="1332"/>
      <c r="AB721" s="1332"/>
    </row>
    <row r="722">
      <c r="A722" s="1332"/>
      <c r="B722" s="1366"/>
      <c r="C722" s="1366"/>
      <c r="D722" s="1375"/>
      <c r="E722" s="1332"/>
      <c r="F722" s="1332"/>
      <c r="G722" s="1378"/>
      <c r="H722" s="1378"/>
      <c r="I722" s="1332"/>
      <c r="J722" s="1332"/>
      <c r="K722" s="1332"/>
      <c r="L722" s="1332"/>
      <c r="M722" s="1332"/>
      <c r="N722" s="1332"/>
      <c r="O722" s="1332"/>
      <c r="P722" s="1332"/>
      <c r="Q722" s="1332"/>
      <c r="R722" s="1332"/>
      <c r="S722" s="1332"/>
      <c r="T722" s="1332"/>
      <c r="U722" s="1332"/>
      <c r="V722" s="1332"/>
      <c r="W722" s="1332"/>
      <c r="X722" s="1332"/>
      <c r="Y722" s="1332"/>
      <c r="Z722" s="1332"/>
      <c r="AA722" s="1332"/>
      <c r="AB722" s="1332"/>
    </row>
    <row r="723">
      <c r="A723" s="1332"/>
      <c r="B723" s="1366"/>
      <c r="C723" s="1366"/>
      <c r="D723" s="1375"/>
      <c r="E723" s="1332"/>
      <c r="F723" s="1332"/>
      <c r="G723" s="1378"/>
      <c r="H723" s="1378"/>
      <c r="I723" s="1332"/>
      <c r="J723" s="1332"/>
      <c r="K723" s="1332"/>
      <c r="L723" s="1332"/>
      <c r="M723" s="1332"/>
      <c r="N723" s="1332"/>
      <c r="O723" s="1332"/>
      <c r="P723" s="1332"/>
      <c r="Q723" s="1332"/>
      <c r="R723" s="1332"/>
      <c r="S723" s="1332"/>
      <c r="T723" s="1332"/>
      <c r="U723" s="1332"/>
      <c r="V723" s="1332"/>
      <c r="W723" s="1332"/>
      <c r="X723" s="1332"/>
      <c r="Y723" s="1332"/>
      <c r="Z723" s="1332"/>
      <c r="AA723" s="1332"/>
      <c r="AB723" s="1332"/>
    </row>
    <row r="724">
      <c r="A724" s="1332"/>
      <c r="B724" s="1366"/>
      <c r="C724" s="1366"/>
      <c r="D724" s="1375"/>
      <c r="E724" s="1332"/>
      <c r="F724" s="1332"/>
      <c r="G724" s="1378"/>
      <c r="H724" s="1378"/>
      <c r="I724" s="1332"/>
      <c r="J724" s="1332"/>
      <c r="K724" s="1332"/>
      <c r="L724" s="1332"/>
      <c r="M724" s="1332"/>
      <c r="N724" s="1332"/>
      <c r="O724" s="1332"/>
      <c r="P724" s="1332"/>
      <c r="Q724" s="1332"/>
      <c r="R724" s="1332"/>
      <c r="S724" s="1332"/>
      <c r="T724" s="1332"/>
      <c r="U724" s="1332"/>
      <c r="V724" s="1332"/>
      <c r="W724" s="1332"/>
      <c r="X724" s="1332"/>
      <c r="Y724" s="1332"/>
      <c r="Z724" s="1332"/>
      <c r="AA724" s="1332"/>
      <c r="AB724" s="1332"/>
    </row>
    <row r="725">
      <c r="A725" s="1332"/>
      <c r="B725" s="1366"/>
      <c r="C725" s="1366"/>
      <c r="D725" s="1375"/>
      <c r="E725" s="1332"/>
      <c r="F725" s="1332"/>
      <c r="G725" s="1378"/>
      <c r="H725" s="1378"/>
      <c r="I725" s="1332"/>
      <c r="J725" s="1332"/>
      <c r="K725" s="1332"/>
      <c r="L725" s="1332"/>
      <c r="M725" s="1332"/>
      <c r="N725" s="1332"/>
      <c r="O725" s="1332"/>
      <c r="P725" s="1332"/>
      <c r="Q725" s="1332"/>
      <c r="R725" s="1332"/>
      <c r="S725" s="1332"/>
      <c r="T725" s="1332"/>
      <c r="U725" s="1332"/>
      <c r="V725" s="1332"/>
      <c r="W725" s="1332"/>
      <c r="X725" s="1332"/>
      <c r="Y725" s="1332"/>
      <c r="Z725" s="1332"/>
      <c r="AA725" s="1332"/>
      <c r="AB725" s="1332"/>
    </row>
    <row r="726">
      <c r="A726" s="1332"/>
      <c r="B726" s="1366"/>
      <c r="C726" s="1366"/>
      <c r="D726" s="1375"/>
      <c r="E726" s="1332"/>
      <c r="F726" s="1332"/>
      <c r="G726" s="1378"/>
      <c r="H726" s="1378"/>
      <c r="I726" s="1332"/>
      <c r="J726" s="1332"/>
      <c r="K726" s="1332"/>
      <c r="L726" s="1332"/>
      <c r="M726" s="1332"/>
      <c r="N726" s="1332"/>
      <c r="O726" s="1332"/>
      <c r="P726" s="1332"/>
      <c r="Q726" s="1332"/>
      <c r="R726" s="1332"/>
      <c r="S726" s="1332"/>
      <c r="T726" s="1332"/>
      <c r="U726" s="1332"/>
      <c r="V726" s="1332"/>
      <c r="W726" s="1332"/>
      <c r="X726" s="1332"/>
      <c r="Y726" s="1332"/>
      <c r="Z726" s="1332"/>
      <c r="AA726" s="1332"/>
      <c r="AB726" s="1332"/>
    </row>
    <row r="727">
      <c r="A727" s="1332"/>
      <c r="B727" s="1366"/>
      <c r="C727" s="1366"/>
      <c r="D727" s="1375"/>
      <c r="E727" s="1332"/>
      <c r="F727" s="1332"/>
      <c r="G727" s="1378"/>
      <c r="H727" s="1378"/>
      <c r="I727" s="1332"/>
      <c r="J727" s="1332"/>
      <c r="K727" s="1332"/>
      <c r="L727" s="1332"/>
      <c r="M727" s="1332"/>
      <c r="N727" s="1332"/>
      <c r="O727" s="1332"/>
      <c r="P727" s="1332"/>
      <c r="Q727" s="1332"/>
      <c r="R727" s="1332"/>
      <c r="S727" s="1332"/>
      <c r="T727" s="1332"/>
      <c r="U727" s="1332"/>
      <c r="V727" s="1332"/>
      <c r="W727" s="1332"/>
      <c r="X727" s="1332"/>
      <c r="Y727" s="1332"/>
      <c r="Z727" s="1332"/>
      <c r="AA727" s="1332"/>
      <c r="AB727" s="1332"/>
    </row>
    <row r="728">
      <c r="A728" s="1332"/>
      <c r="B728" s="1366"/>
      <c r="C728" s="1366"/>
      <c r="D728" s="1375"/>
      <c r="E728" s="1332"/>
      <c r="F728" s="1332"/>
      <c r="G728" s="1378"/>
      <c r="H728" s="1378"/>
      <c r="I728" s="1332"/>
      <c r="J728" s="1332"/>
      <c r="K728" s="1332"/>
      <c r="L728" s="1332"/>
      <c r="M728" s="1332"/>
      <c r="N728" s="1332"/>
      <c r="O728" s="1332"/>
      <c r="P728" s="1332"/>
      <c r="Q728" s="1332"/>
      <c r="R728" s="1332"/>
      <c r="S728" s="1332"/>
      <c r="T728" s="1332"/>
      <c r="U728" s="1332"/>
      <c r="V728" s="1332"/>
      <c r="W728" s="1332"/>
      <c r="X728" s="1332"/>
      <c r="Y728" s="1332"/>
      <c r="Z728" s="1332"/>
      <c r="AA728" s="1332"/>
      <c r="AB728" s="1332"/>
    </row>
    <row r="729">
      <c r="A729" s="1332"/>
      <c r="B729" s="1366"/>
      <c r="C729" s="1366"/>
      <c r="D729" s="1375"/>
      <c r="E729" s="1332"/>
      <c r="F729" s="1332"/>
      <c r="G729" s="1378"/>
      <c r="H729" s="1378"/>
      <c r="I729" s="1332"/>
      <c r="J729" s="1332"/>
      <c r="K729" s="1332"/>
      <c r="L729" s="1332"/>
      <c r="M729" s="1332"/>
      <c r="N729" s="1332"/>
      <c r="O729" s="1332"/>
      <c r="P729" s="1332"/>
      <c r="Q729" s="1332"/>
      <c r="R729" s="1332"/>
      <c r="S729" s="1332"/>
      <c r="T729" s="1332"/>
      <c r="U729" s="1332"/>
      <c r="V729" s="1332"/>
      <c r="W729" s="1332"/>
      <c r="X729" s="1332"/>
      <c r="Y729" s="1332"/>
      <c r="Z729" s="1332"/>
      <c r="AA729" s="1332"/>
      <c r="AB729" s="1332"/>
    </row>
    <row r="730">
      <c r="A730" s="1332"/>
      <c r="B730" s="1366"/>
      <c r="C730" s="1366"/>
      <c r="D730" s="1375"/>
      <c r="E730" s="1332"/>
      <c r="F730" s="1332"/>
      <c r="G730" s="1378"/>
      <c r="H730" s="1378"/>
      <c r="I730" s="1332"/>
      <c r="J730" s="1332"/>
      <c r="K730" s="1332"/>
      <c r="L730" s="1332"/>
      <c r="M730" s="1332"/>
      <c r="N730" s="1332"/>
      <c r="O730" s="1332"/>
      <c r="P730" s="1332"/>
      <c r="Q730" s="1332"/>
      <c r="R730" s="1332"/>
      <c r="S730" s="1332"/>
      <c r="T730" s="1332"/>
      <c r="U730" s="1332"/>
      <c r="V730" s="1332"/>
      <c r="W730" s="1332"/>
      <c r="X730" s="1332"/>
      <c r="Y730" s="1332"/>
      <c r="Z730" s="1332"/>
      <c r="AA730" s="1332"/>
      <c r="AB730" s="1332"/>
    </row>
    <row r="731">
      <c r="A731" s="1332"/>
      <c r="B731" s="1366"/>
      <c r="C731" s="1366"/>
      <c r="D731" s="1375"/>
      <c r="E731" s="1332"/>
      <c r="F731" s="1332"/>
      <c r="G731" s="1378"/>
      <c r="H731" s="1378"/>
      <c r="I731" s="1332"/>
      <c r="J731" s="1332"/>
      <c r="K731" s="1332"/>
      <c r="L731" s="1332"/>
      <c r="M731" s="1332"/>
      <c r="N731" s="1332"/>
      <c r="O731" s="1332"/>
      <c r="P731" s="1332"/>
      <c r="Q731" s="1332"/>
      <c r="R731" s="1332"/>
      <c r="S731" s="1332"/>
      <c r="T731" s="1332"/>
      <c r="U731" s="1332"/>
      <c r="V731" s="1332"/>
      <c r="W731" s="1332"/>
      <c r="X731" s="1332"/>
      <c r="Y731" s="1332"/>
      <c r="Z731" s="1332"/>
      <c r="AA731" s="1332"/>
      <c r="AB731" s="1332"/>
    </row>
    <row r="732">
      <c r="A732" s="1332"/>
      <c r="B732" s="1366"/>
      <c r="C732" s="1366"/>
      <c r="D732" s="1375"/>
      <c r="E732" s="1332"/>
      <c r="F732" s="1332"/>
      <c r="G732" s="1378"/>
      <c r="H732" s="1378"/>
      <c r="I732" s="1332"/>
      <c r="J732" s="1332"/>
      <c r="K732" s="1332"/>
      <c r="L732" s="1332"/>
      <c r="M732" s="1332"/>
      <c r="N732" s="1332"/>
      <c r="O732" s="1332"/>
      <c r="P732" s="1332"/>
      <c r="Q732" s="1332"/>
      <c r="R732" s="1332"/>
      <c r="S732" s="1332"/>
      <c r="T732" s="1332"/>
      <c r="U732" s="1332"/>
      <c r="V732" s="1332"/>
      <c r="W732" s="1332"/>
      <c r="X732" s="1332"/>
      <c r="Y732" s="1332"/>
      <c r="Z732" s="1332"/>
      <c r="AA732" s="1332"/>
      <c r="AB732" s="1332"/>
    </row>
    <row r="733">
      <c r="A733" s="1332"/>
      <c r="B733" s="1366"/>
      <c r="C733" s="1366"/>
      <c r="D733" s="1375"/>
      <c r="E733" s="1332"/>
      <c r="F733" s="1332"/>
      <c r="G733" s="1378"/>
      <c r="H733" s="1378"/>
      <c r="I733" s="1332"/>
      <c r="J733" s="1332"/>
      <c r="K733" s="1332"/>
      <c r="L733" s="1332"/>
      <c r="M733" s="1332"/>
      <c r="N733" s="1332"/>
      <c r="O733" s="1332"/>
      <c r="P733" s="1332"/>
      <c r="Q733" s="1332"/>
      <c r="R733" s="1332"/>
      <c r="S733" s="1332"/>
      <c r="T733" s="1332"/>
      <c r="U733" s="1332"/>
      <c r="V733" s="1332"/>
      <c r="W733" s="1332"/>
      <c r="X733" s="1332"/>
      <c r="Y733" s="1332"/>
      <c r="Z733" s="1332"/>
      <c r="AA733" s="1332"/>
      <c r="AB733" s="1332"/>
    </row>
    <row r="734">
      <c r="A734" s="1332"/>
      <c r="B734" s="1366"/>
      <c r="C734" s="1366"/>
      <c r="D734" s="1375"/>
      <c r="E734" s="1332"/>
      <c r="F734" s="1332"/>
      <c r="G734" s="1378"/>
      <c r="H734" s="1378"/>
      <c r="I734" s="1332"/>
      <c r="J734" s="1332"/>
      <c r="K734" s="1332"/>
      <c r="L734" s="1332"/>
      <c r="M734" s="1332"/>
      <c r="N734" s="1332"/>
      <c r="O734" s="1332"/>
      <c r="P734" s="1332"/>
      <c r="Q734" s="1332"/>
      <c r="R734" s="1332"/>
      <c r="S734" s="1332"/>
      <c r="T734" s="1332"/>
      <c r="U734" s="1332"/>
      <c r="V734" s="1332"/>
      <c r="W734" s="1332"/>
      <c r="X734" s="1332"/>
      <c r="Y734" s="1332"/>
      <c r="Z734" s="1332"/>
      <c r="AA734" s="1332"/>
      <c r="AB734" s="1332"/>
    </row>
    <row r="735">
      <c r="A735" s="1332"/>
      <c r="B735" s="1366"/>
      <c r="C735" s="1366"/>
      <c r="D735" s="1375"/>
      <c r="E735" s="1332"/>
      <c r="F735" s="1332"/>
      <c r="G735" s="1378"/>
      <c r="H735" s="1378"/>
      <c r="I735" s="1332"/>
      <c r="J735" s="1332"/>
      <c r="K735" s="1332"/>
      <c r="L735" s="1332"/>
      <c r="M735" s="1332"/>
      <c r="N735" s="1332"/>
      <c r="O735" s="1332"/>
      <c r="P735" s="1332"/>
      <c r="Q735" s="1332"/>
      <c r="R735" s="1332"/>
      <c r="S735" s="1332"/>
      <c r="T735" s="1332"/>
      <c r="U735" s="1332"/>
      <c r="V735" s="1332"/>
      <c r="W735" s="1332"/>
      <c r="X735" s="1332"/>
      <c r="Y735" s="1332"/>
      <c r="Z735" s="1332"/>
      <c r="AA735" s="1332"/>
      <c r="AB735" s="1332"/>
    </row>
    <row r="736">
      <c r="A736" s="1332"/>
      <c r="B736" s="1366"/>
      <c r="C736" s="1366"/>
      <c r="D736" s="1375"/>
      <c r="E736" s="1332"/>
      <c r="F736" s="1332"/>
      <c r="G736" s="1378"/>
      <c r="H736" s="1378"/>
      <c r="I736" s="1332"/>
      <c r="J736" s="1332"/>
      <c r="K736" s="1332"/>
      <c r="L736" s="1332"/>
      <c r="M736" s="1332"/>
      <c r="N736" s="1332"/>
      <c r="O736" s="1332"/>
      <c r="P736" s="1332"/>
      <c r="Q736" s="1332"/>
      <c r="R736" s="1332"/>
      <c r="S736" s="1332"/>
      <c r="T736" s="1332"/>
      <c r="U736" s="1332"/>
      <c r="V736" s="1332"/>
      <c r="W736" s="1332"/>
      <c r="X736" s="1332"/>
      <c r="Y736" s="1332"/>
      <c r="Z736" s="1332"/>
      <c r="AA736" s="1332"/>
      <c r="AB736" s="1332"/>
    </row>
    <row r="737">
      <c r="A737" s="1332"/>
      <c r="B737" s="1366"/>
      <c r="C737" s="1366"/>
      <c r="D737" s="1375"/>
      <c r="E737" s="1332"/>
      <c r="F737" s="1332"/>
      <c r="G737" s="1378"/>
      <c r="H737" s="1378"/>
      <c r="I737" s="1332"/>
      <c r="J737" s="1332"/>
      <c r="K737" s="1332"/>
      <c r="L737" s="1332"/>
      <c r="M737" s="1332"/>
      <c r="N737" s="1332"/>
      <c r="O737" s="1332"/>
      <c r="P737" s="1332"/>
      <c r="Q737" s="1332"/>
      <c r="R737" s="1332"/>
      <c r="S737" s="1332"/>
      <c r="T737" s="1332"/>
      <c r="U737" s="1332"/>
      <c r="V737" s="1332"/>
      <c r="W737" s="1332"/>
      <c r="X737" s="1332"/>
      <c r="Y737" s="1332"/>
      <c r="Z737" s="1332"/>
      <c r="AA737" s="1332"/>
      <c r="AB737" s="1332"/>
    </row>
    <row r="738">
      <c r="A738" s="1332"/>
      <c r="B738" s="1366"/>
      <c r="C738" s="1366"/>
      <c r="D738" s="1375"/>
      <c r="E738" s="1332"/>
      <c r="F738" s="1332"/>
      <c r="G738" s="1378"/>
      <c r="H738" s="1378"/>
      <c r="I738" s="1332"/>
      <c r="J738" s="1332"/>
      <c r="K738" s="1332"/>
      <c r="L738" s="1332"/>
      <c r="M738" s="1332"/>
      <c r="N738" s="1332"/>
      <c r="O738" s="1332"/>
      <c r="P738" s="1332"/>
      <c r="Q738" s="1332"/>
      <c r="R738" s="1332"/>
      <c r="S738" s="1332"/>
      <c r="T738" s="1332"/>
      <c r="U738" s="1332"/>
      <c r="V738" s="1332"/>
      <c r="W738" s="1332"/>
      <c r="X738" s="1332"/>
      <c r="Y738" s="1332"/>
      <c r="Z738" s="1332"/>
      <c r="AA738" s="1332"/>
      <c r="AB738" s="1332"/>
    </row>
    <row r="739">
      <c r="A739" s="1332"/>
      <c r="B739" s="1366"/>
      <c r="C739" s="1366"/>
      <c r="D739" s="1375"/>
      <c r="E739" s="1332"/>
      <c r="F739" s="1332"/>
      <c r="G739" s="1378"/>
      <c r="H739" s="1378"/>
      <c r="I739" s="1332"/>
      <c r="J739" s="1332"/>
      <c r="K739" s="1332"/>
      <c r="L739" s="1332"/>
      <c r="M739" s="1332"/>
      <c r="N739" s="1332"/>
      <c r="O739" s="1332"/>
      <c r="P739" s="1332"/>
      <c r="Q739" s="1332"/>
      <c r="R739" s="1332"/>
      <c r="S739" s="1332"/>
      <c r="T739" s="1332"/>
      <c r="U739" s="1332"/>
      <c r="V739" s="1332"/>
      <c r="W739" s="1332"/>
      <c r="X739" s="1332"/>
      <c r="Y739" s="1332"/>
      <c r="Z739" s="1332"/>
      <c r="AA739" s="1332"/>
      <c r="AB739" s="1332"/>
    </row>
    <row r="740">
      <c r="A740" s="1332"/>
      <c r="B740" s="1366"/>
      <c r="C740" s="1366"/>
      <c r="D740" s="1375"/>
      <c r="E740" s="1332"/>
      <c r="F740" s="1332"/>
      <c r="G740" s="1378"/>
      <c r="H740" s="1378"/>
      <c r="I740" s="1332"/>
      <c r="J740" s="1332"/>
      <c r="K740" s="1332"/>
      <c r="L740" s="1332"/>
      <c r="M740" s="1332"/>
      <c r="N740" s="1332"/>
      <c r="O740" s="1332"/>
      <c r="P740" s="1332"/>
      <c r="Q740" s="1332"/>
      <c r="R740" s="1332"/>
      <c r="S740" s="1332"/>
      <c r="T740" s="1332"/>
      <c r="U740" s="1332"/>
      <c r="V740" s="1332"/>
      <c r="W740" s="1332"/>
      <c r="X740" s="1332"/>
      <c r="Y740" s="1332"/>
      <c r="Z740" s="1332"/>
      <c r="AA740" s="1332"/>
      <c r="AB740" s="1332"/>
    </row>
    <row r="741">
      <c r="A741" s="1332"/>
      <c r="B741" s="1366"/>
      <c r="C741" s="1366"/>
      <c r="D741" s="1375"/>
      <c r="E741" s="1332"/>
      <c r="F741" s="1332"/>
      <c r="G741" s="1378"/>
      <c r="H741" s="1378"/>
      <c r="I741" s="1332"/>
      <c r="J741" s="1332"/>
      <c r="K741" s="1332"/>
      <c r="L741" s="1332"/>
      <c r="M741" s="1332"/>
      <c r="N741" s="1332"/>
      <c r="O741" s="1332"/>
      <c r="P741" s="1332"/>
      <c r="Q741" s="1332"/>
      <c r="R741" s="1332"/>
      <c r="S741" s="1332"/>
      <c r="T741" s="1332"/>
      <c r="U741" s="1332"/>
      <c r="V741" s="1332"/>
      <c r="W741" s="1332"/>
      <c r="X741" s="1332"/>
      <c r="Y741" s="1332"/>
      <c r="Z741" s="1332"/>
      <c r="AA741" s="1332"/>
      <c r="AB741" s="1332"/>
    </row>
    <row r="742">
      <c r="A742" s="1332"/>
      <c r="B742" s="1366"/>
      <c r="C742" s="1366"/>
      <c r="D742" s="1375"/>
      <c r="E742" s="1332"/>
      <c r="F742" s="1332"/>
      <c r="G742" s="1378"/>
      <c r="H742" s="1378"/>
      <c r="I742" s="1332"/>
      <c r="J742" s="1332"/>
      <c r="K742" s="1332"/>
      <c r="L742" s="1332"/>
      <c r="M742" s="1332"/>
      <c r="N742" s="1332"/>
      <c r="O742" s="1332"/>
      <c r="P742" s="1332"/>
      <c r="Q742" s="1332"/>
      <c r="R742" s="1332"/>
      <c r="S742" s="1332"/>
      <c r="T742" s="1332"/>
      <c r="U742" s="1332"/>
      <c r="V742" s="1332"/>
      <c r="W742" s="1332"/>
      <c r="X742" s="1332"/>
      <c r="Y742" s="1332"/>
      <c r="Z742" s="1332"/>
      <c r="AA742" s="1332"/>
      <c r="AB742" s="1332"/>
    </row>
    <row r="743">
      <c r="A743" s="1332"/>
      <c r="B743" s="1366"/>
      <c r="C743" s="1366"/>
      <c r="D743" s="1375"/>
      <c r="E743" s="1332"/>
      <c r="F743" s="1332"/>
      <c r="G743" s="1378"/>
      <c r="H743" s="1378"/>
      <c r="I743" s="1332"/>
      <c r="J743" s="1332"/>
      <c r="K743" s="1332"/>
      <c r="L743" s="1332"/>
      <c r="M743" s="1332"/>
      <c r="N743" s="1332"/>
      <c r="O743" s="1332"/>
      <c r="P743" s="1332"/>
      <c r="Q743" s="1332"/>
      <c r="R743" s="1332"/>
      <c r="S743" s="1332"/>
      <c r="T743" s="1332"/>
      <c r="U743" s="1332"/>
      <c r="V743" s="1332"/>
      <c r="W743" s="1332"/>
      <c r="X743" s="1332"/>
      <c r="Y743" s="1332"/>
      <c r="Z743" s="1332"/>
      <c r="AA743" s="1332"/>
      <c r="AB743" s="1332"/>
    </row>
    <row r="744">
      <c r="A744" s="1332"/>
      <c r="B744" s="1366"/>
      <c r="C744" s="1366"/>
      <c r="D744" s="1375"/>
      <c r="E744" s="1332"/>
      <c r="F744" s="1332"/>
      <c r="G744" s="1378"/>
      <c r="H744" s="1378"/>
      <c r="I744" s="1332"/>
      <c r="J744" s="1332"/>
      <c r="K744" s="1332"/>
      <c r="L744" s="1332"/>
      <c r="M744" s="1332"/>
      <c r="N744" s="1332"/>
      <c r="O744" s="1332"/>
      <c r="P744" s="1332"/>
      <c r="Q744" s="1332"/>
      <c r="R744" s="1332"/>
      <c r="S744" s="1332"/>
      <c r="T744" s="1332"/>
      <c r="U744" s="1332"/>
      <c r="V744" s="1332"/>
      <c r="W744" s="1332"/>
      <c r="X744" s="1332"/>
      <c r="Y744" s="1332"/>
      <c r="Z744" s="1332"/>
      <c r="AA744" s="1332"/>
      <c r="AB744" s="1332"/>
    </row>
    <row r="745">
      <c r="A745" s="1332"/>
      <c r="B745" s="1366"/>
      <c r="C745" s="1366"/>
      <c r="D745" s="1375"/>
      <c r="E745" s="1332"/>
      <c r="F745" s="1332"/>
      <c r="G745" s="1378"/>
      <c r="H745" s="1378"/>
      <c r="I745" s="1332"/>
      <c r="J745" s="1332"/>
      <c r="K745" s="1332"/>
      <c r="L745" s="1332"/>
      <c r="M745" s="1332"/>
      <c r="N745" s="1332"/>
      <c r="O745" s="1332"/>
      <c r="P745" s="1332"/>
      <c r="Q745" s="1332"/>
      <c r="R745" s="1332"/>
      <c r="S745" s="1332"/>
      <c r="T745" s="1332"/>
      <c r="U745" s="1332"/>
      <c r="V745" s="1332"/>
      <c r="W745" s="1332"/>
      <c r="X745" s="1332"/>
      <c r="Y745" s="1332"/>
      <c r="Z745" s="1332"/>
      <c r="AA745" s="1332"/>
      <c r="AB745" s="1332"/>
    </row>
    <row r="746">
      <c r="A746" s="1332"/>
      <c r="B746" s="1366"/>
      <c r="C746" s="1366"/>
      <c r="D746" s="1375"/>
      <c r="E746" s="1332"/>
      <c r="F746" s="1332"/>
      <c r="G746" s="1378"/>
      <c r="H746" s="1378"/>
      <c r="I746" s="1332"/>
      <c r="J746" s="1332"/>
      <c r="K746" s="1332"/>
      <c r="L746" s="1332"/>
      <c r="M746" s="1332"/>
      <c r="N746" s="1332"/>
      <c r="O746" s="1332"/>
      <c r="P746" s="1332"/>
      <c r="Q746" s="1332"/>
      <c r="R746" s="1332"/>
      <c r="S746" s="1332"/>
      <c r="T746" s="1332"/>
      <c r="U746" s="1332"/>
      <c r="V746" s="1332"/>
      <c r="W746" s="1332"/>
      <c r="X746" s="1332"/>
      <c r="Y746" s="1332"/>
      <c r="Z746" s="1332"/>
      <c r="AA746" s="1332"/>
      <c r="AB746" s="1332"/>
    </row>
    <row r="747">
      <c r="A747" s="1332"/>
      <c r="B747" s="1366"/>
      <c r="C747" s="1366"/>
      <c r="D747" s="1375"/>
      <c r="E747" s="1332"/>
      <c r="F747" s="1332"/>
      <c r="G747" s="1378"/>
      <c r="H747" s="1378"/>
      <c r="I747" s="1332"/>
      <c r="J747" s="1332"/>
      <c r="K747" s="1332"/>
      <c r="L747" s="1332"/>
      <c r="M747" s="1332"/>
      <c r="N747" s="1332"/>
      <c r="O747" s="1332"/>
      <c r="P747" s="1332"/>
      <c r="Q747" s="1332"/>
      <c r="R747" s="1332"/>
      <c r="S747" s="1332"/>
      <c r="T747" s="1332"/>
      <c r="U747" s="1332"/>
      <c r="V747" s="1332"/>
      <c r="W747" s="1332"/>
      <c r="X747" s="1332"/>
      <c r="Y747" s="1332"/>
      <c r="Z747" s="1332"/>
      <c r="AA747" s="1332"/>
      <c r="AB747" s="1332"/>
    </row>
    <row r="748">
      <c r="A748" s="1332"/>
      <c r="B748" s="1366"/>
      <c r="C748" s="1366"/>
      <c r="D748" s="1375"/>
      <c r="E748" s="1332"/>
      <c r="F748" s="1332"/>
      <c r="G748" s="1378"/>
      <c r="H748" s="1378"/>
      <c r="I748" s="1332"/>
      <c r="J748" s="1332"/>
      <c r="K748" s="1332"/>
      <c r="L748" s="1332"/>
      <c r="M748" s="1332"/>
      <c r="N748" s="1332"/>
      <c r="O748" s="1332"/>
      <c r="P748" s="1332"/>
      <c r="Q748" s="1332"/>
      <c r="R748" s="1332"/>
      <c r="S748" s="1332"/>
      <c r="T748" s="1332"/>
      <c r="U748" s="1332"/>
      <c r="V748" s="1332"/>
      <c r="W748" s="1332"/>
      <c r="X748" s="1332"/>
      <c r="Y748" s="1332"/>
      <c r="Z748" s="1332"/>
      <c r="AA748" s="1332"/>
      <c r="AB748" s="1332"/>
    </row>
    <row r="749">
      <c r="A749" s="1332"/>
      <c r="B749" s="1366"/>
      <c r="C749" s="1366"/>
      <c r="D749" s="1375"/>
      <c r="E749" s="1332"/>
      <c r="F749" s="1332"/>
      <c r="G749" s="1378"/>
      <c r="H749" s="1378"/>
      <c r="I749" s="1332"/>
      <c r="J749" s="1332"/>
      <c r="K749" s="1332"/>
      <c r="L749" s="1332"/>
      <c r="M749" s="1332"/>
      <c r="N749" s="1332"/>
      <c r="O749" s="1332"/>
      <c r="P749" s="1332"/>
      <c r="Q749" s="1332"/>
      <c r="R749" s="1332"/>
      <c r="S749" s="1332"/>
      <c r="T749" s="1332"/>
      <c r="U749" s="1332"/>
      <c r="V749" s="1332"/>
      <c r="W749" s="1332"/>
      <c r="X749" s="1332"/>
      <c r="Y749" s="1332"/>
      <c r="Z749" s="1332"/>
      <c r="AA749" s="1332"/>
      <c r="AB749" s="1332"/>
    </row>
    <row r="750">
      <c r="A750" s="1332"/>
      <c r="B750" s="1366"/>
      <c r="C750" s="1366"/>
      <c r="D750" s="1375"/>
      <c r="E750" s="1332"/>
      <c r="F750" s="1332"/>
      <c r="G750" s="1378"/>
      <c r="H750" s="1378"/>
      <c r="I750" s="1332"/>
      <c r="J750" s="1332"/>
      <c r="K750" s="1332"/>
      <c r="L750" s="1332"/>
      <c r="M750" s="1332"/>
      <c r="N750" s="1332"/>
      <c r="O750" s="1332"/>
      <c r="P750" s="1332"/>
      <c r="Q750" s="1332"/>
      <c r="R750" s="1332"/>
      <c r="S750" s="1332"/>
      <c r="T750" s="1332"/>
      <c r="U750" s="1332"/>
      <c r="V750" s="1332"/>
      <c r="W750" s="1332"/>
      <c r="X750" s="1332"/>
      <c r="Y750" s="1332"/>
      <c r="Z750" s="1332"/>
      <c r="AA750" s="1332"/>
      <c r="AB750" s="1332"/>
    </row>
    <row r="751">
      <c r="A751" s="1332"/>
      <c r="B751" s="1366"/>
      <c r="C751" s="1366"/>
      <c r="D751" s="1375"/>
      <c r="E751" s="1332"/>
      <c r="F751" s="1332"/>
      <c r="G751" s="1378"/>
      <c r="H751" s="1378"/>
      <c r="I751" s="1332"/>
      <c r="J751" s="1332"/>
      <c r="K751" s="1332"/>
      <c r="L751" s="1332"/>
      <c r="M751" s="1332"/>
      <c r="N751" s="1332"/>
      <c r="O751" s="1332"/>
      <c r="P751" s="1332"/>
      <c r="Q751" s="1332"/>
      <c r="R751" s="1332"/>
      <c r="S751" s="1332"/>
      <c r="T751" s="1332"/>
      <c r="U751" s="1332"/>
      <c r="V751" s="1332"/>
      <c r="W751" s="1332"/>
      <c r="X751" s="1332"/>
      <c r="Y751" s="1332"/>
      <c r="Z751" s="1332"/>
      <c r="AA751" s="1332"/>
      <c r="AB751" s="1332"/>
    </row>
    <row r="752">
      <c r="A752" s="1332"/>
      <c r="B752" s="1366"/>
      <c r="C752" s="1366"/>
      <c r="D752" s="1375"/>
      <c r="E752" s="1332"/>
      <c r="F752" s="1332"/>
      <c r="G752" s="1378"/>
      <c r="H752" s="1378"/>
      <c r="I752" s="1332"/>
      <c r="J752" s="1332"/>
      <c r="K752" s="1332"/>
      <c r="L752" s="1332"/>
      <c r="M752" s="1332"/>
      <c r="N752" s="1332"/>
      <c r="O752" s="1332"/>
      <c r="P752" s="1332"/>
      <c r="Q752" s="1332"/>
      <c r="R752" s="1332"/>
      <c r="S752" s="1332"/>
      <c r="T752" s="1332"/>
      <c r="U752" s="1332"/>
      <c r="V752" s="1332"/>
      <c r="W752" s="1332"/>
      <c r="X752" s="1332"/>
      <c r="Y752" s="1332"/>
      <c r="Z752" s="1332"/>
      <c r="AA752" s="1332"/>
      <c r="AB752" s="1332"/>
    </row>
    <row r="753">
      <c r="A753" s="1332"/>
      <c r="B753" s="1366"/>
      <c r="C753" s="1366"/>
      <c r="D753" s="1375"/>
      <c r="E753" s="1332"/>
      <c r="F753" s="1332"/>
      <c r="G753" s="1378"/>
      <c r="H753" s="1378"/>
      <c r="I753" s="1332"/>
      <c r="J753" s="1332"/>
      <c r="K753" s="1332"/>
      <c r="L753" s="1332"/>
      <c r="M753" s="1332"/>
      <c r="N753" s="1332"/>
      <c r="O753" s="1332"/>
      <c r="P753" s="1332"/>
      <c r="Q753" s="1332"/>
      <c r="R753" s="1332"/>
      <c r="S753" s="1332"/>
      <c r="T753" s="1332"/>
      <c r="U753" s="1332"/>
      <c r="V753" s="1332"/>
      <c r="W753" s="1332"/>
      <c r="X753" s="1332"/>
      <c r="Y753" s="1332"/>
      <c r="Z753" s="1332"/>
      <c r="AA753" s="1332"/>
      <c r="AB753" s="1332"/>
    </row>
    <row r="754">
      <c r="A754" s="1332"/>
      <c r="B754" s="1366"/>
      <c r="C754" s="1366"/>
      <c r="D754" s="1375"/>
      <c r="E754" s="1332"/>
      <c r="F754" s="1332"/>
      <c r="G754" s="1378"/>
      <c r="H754" s="1378"/>
      <c r="I754" s="1332"/>
      <c r="J754" s="1332"/>
      <c r="K754" s="1332"/>
      <c r="L754" s="1332"/>
      <c r="M754" s="1332"/>
      <c r="N754" s="1332"/>
      <c r="O754" s="1332"/>
      <c r="P754" s="1332"/>
      <c r="Q754" s="1332"/>
      <c r="R754" s="1332"/>
      <c r="S754" s="1332"/>
      <c r="T754" s="1332"/>
      <c r="U754" s="1332"/>
      <c r="V754" s="1332"/>
      <c r="W754" s="1332"/>
      <c r="X754" s="1332"/>
      <c r="Y754" s="1332"/>
      <c r="Z754" s="1332"/>
      <c r="AA754" s="1332"/>
      <c r="AB754" s="1332"/>
    </row>
    <row r="755">
      <c r="A755" s="1332"/>
      <c r="B755" s="1366"/>
      <c r="C755" s="1366"/>
      <c r="D755" s="1375"/>
      <c r="E755" s="1332"/>
      <c r="F755" s="1332"/>
      <c r="G755" s="1378"/>
      <c r="H755" s="1378"/>
      <c r="I755" s="1332"/>
      <c r="J755" s="1332"/>
      <c r="K755" s="1332"/>
      <c r="L755" s="1332"/>
      <c r="M755" s="1332"/>
      <c r="N755" s="1332"/>
      <c r="O755" s="1332"/>
      <c r="P755" s="1332"/>
      <c r="Q755" s="1332"/>
      <c r="R755" s="1332"/>
      <c r="S755" s="1332"/>
      <c r="T755" s="1332"/>
      <c r="U755" s="1332"/>
      <c r="V755" s="1332"/>
      <c r="W755" s="1332"/>
      <c r="X755" s="1332"/>
      <c r="Y755" s="1332"/>
      <c r="Z755" s="1332"/>
      <c r="AA755" s="1332"/>
      <c r="AB755" s="1332"/>
    </row>
    <row r="756">
      <c r="A756" s="1332"/>
      <c r="B756" s="1366"/>
      <c r="C756" s="1366"/>
      <c r="D756" s="1375"/>
      <c r="E756" s="1332"/>
      <c r="F756" s="1332"/>
      <c r="G756" s="1378"/>
      <c r="H756" s="1378"/>
      <c r="I756" s="1332"/>
      <c r="J756" s="1332"/>
      <c r="K756" s="1332"/>
      <c r="L756" s="1332"/>
      <c r="M756" s="1332"/>
      <c r="N756" s="1332"/>
      <c r="O756" s="1332"/>
      <c r="P756" s="1332"/>
      <c r="Q756" s="1332"/>
      <c r="R756" s="1332"/>
      <c r="S756" s="1332"/>
      <c r="T756" s="1332"/>
      <c r="U756" s="1332"/>
      <c r="V756" s="1332"/>
      <c r="W756" s="1332"/>
      <c r="X756" s="1332"/>
      <c r="Y756" s="1332"/>
      <c r="Z756" s="1332"/>
      <c r="AA756" s="1332"/>
      <c r="AB756" s="1332"/>
    </row>
    <row r="757">
      <c r="A757" s="1332"/>
      <c r="B757" s="1366"/>
      <c r="C757" s="1366"/>
      <c r="D757" s="1375"/>
      <c r="E757" s="1332"/>
      <c r="F757" s="1332"/>
      <c r="G757" s="1378"/>
      <c r="H757" s="1378"/>
      <c r="I757" s="1332"/>
      <c r="J757" s="1332"/>
      <c r="K757" s="1332"/>
      <c r="L757" s="1332"/>
      <c r="M757" s="1332"/>
      <c r="N757" s="1332"/>
      <c r="O757" s="1332"/>
      <c r="P757" s="1332"/>
      <c r="Q757" s="1332"/>
      <c r="R757" s="1332"/>
      <c r="S757" s="1332"/>
      <c r="T757" s="1332"/>
      <c r="U757" s="1332"/>
      <c r="V757" s="1332"/>
      <c r="W757" s="1332"/>
      <c r="X757" s="1332"/>
      <c r="Y757" s="1332"/>
      <c r="Z757" s="1332"/>
      <c r="AA757" s="1332"/>
      <c r="AB757" s="1332"/>
    </row>
    <row r="758">
      <c r="A758" s="1332"/>
      <c r="B758" s="1366"/>
      <c r="C758" s="1366"/>
      <c r="D758" s="1375"/>
      <c r="E758" s="1332"/>
      <c r="F758" s="1332"/>
      <c r="G758" s="1378"/>
      <c r="H758" s="1378"/>
      <c r="I758" s="1332"/>
      <c r="J758" s="1332"/>
      <c r="K758" s="1332"/>
      <c r="L758" s="1332"/>
      <c r="M758" s="1332"/>
      <c r="N758" s="1332"/>
      <c r="O758" s="1332"/>
      <c r="P758" s="1332"/>
      <c r="Q758" s="1332"/>
      <c r="R758" s="1332"/>
      <c r="S758" s="1332"/>
      <c r="T758" s="1332"/>
      <c r="U758" s="1332"/>
      <c r="V758" s="1332"/>
      <c r="W758" s="1332"/>
      <c r="X758" s="1332"/>
      <c r="Y758" s="1332"/>
      <c r="Z758" s="1332"/>
      <c r="AA758" s="1332"/>
      <c r="AB758" s="1332"/>
    </row>
    <row r="759">
      <c r="A759" s="1332"/>
      <c r="B759" s="1366"/>
      <c r="C759" s="1366"/>
      <c r="D759" s="1375"/>
      <c r="E759" s="1332"/>
      <c r="F759" s="1332"/>
      <c r="G759" s="1378"/>
      <c r="H759" s="1378"/>
      <c r="I759" s="1332"/>
      <c r="J759" s="1332"/>
      <c r="K759" s="1332"/>
      <c r="L759" s="1332"/>
      <c r="M759" s="1332"/>
      <c r="N759" s="1332"/>
      <c r="O759" s="1332"/>
      <c r="P759" s="1332"/>
      <c r="Q759" s="1332"/>
      <c r="R759" s="1332"/>
      <c r="S759" s="1332"/>
      <c r="T759" s="1332"/>
      <c r="U759" s="1332"/>
      <c r="V759" s="1332"/>
      <c r="W759" s="1332"/>
      <c r="X759" s="1332"/>
      <c r="Y759" s="1332"/>
      <c r="Z759" s="1332"/>
      <c r="AA759" s="1332"/>
      <c r="AB759" s="1332"/>
    </row>
    <row r="760">
      <c r="A760" s="1332"/>
      <c r="B760" s="1366"/>
      <c r="C760" s="1366"/>
      <c r="D760" s="1375"/>
      <c r="E760" s="1332"/>
      <c r="F760" s="1332"/>
      <c r="G760" s="1378"/>
      <c r="H760" s="1378"/>
      <c r="I760" s="1332"/>
      <c r="J760" s="1332"/>
      <c r="K760" s="1332"/>
      <c r="L760" s="1332"/>
      <c r="M760" s="1332"/>
      <c r="N760" s="1332"/>
      <c r="O760" s="1332"/>
      <c r="P760" s="1332"/>
      <c r="Q760" s="1332"/>
      <c r="R760" s="1332"/>
      <c r="S760" s="1332"/>
      <c r="T760" s="1332"/>
      <c r="U760" s="1332"/>
      <c r="V760" s="1332"/>
      <c r="W760" s="1332"/>
      <c r="X760" s="1332"/>
      <c r="Y760" s="1332"/>
      <c r="Z760" s="1332"/>
      <c r="AA760" s="1332"/>
      <c r="AB760" s="1332"/>
    </row>
    <row r="761">
      <c r="A761" s="1332"/>
      <c r="B761" s="1366"/>
      <c r="C761" s="1366"/>
      <c r="D761" s="1375"/>
      <c r="E761" s="1332"/>
      <c r="F761" s="1332"/>
      <c r="G761" s="1378"/>
      <c r="H761" s="1378"/>
      <c r="I761" s="1332"/>
      <c r="J761" s="1332"/>
      <c r="K761" s="1332"/>
      <c r="L761" s="1332"/>
      <c r="M761" s="1332"/>
      <c r="N761" s="1332"/>
      <c r="O761" s="1332"/>
      <c r="P761" s="1332"/>
      <c r="Q761" s="1332"/>
      <c r="R761" s="1332"/>
      <c r="S761" s="1332"/>
      <c r="T761" s="1332"/>
      <c r="U761" s="1332"/>
      <c r="V761" s="1332"/>
      <c r="W761" s="1332"/>
      <c r="X761" s="1332"/>
      <c r="Y761" s="1332"/>
      <c r="Z761" s="1332"/>
      <c r="AA761" s="1332"/>
      <c r="AB761" s="1332"/>
    </row>
    <row r="762">
      <c r="A762" s="1332"/>
      <c r="B762" s="1366"/>
      <c r="C762" s="1366"/>
      <c r="D762" s="1375"/>
      <c r="E762" s="1332"/>
      <c r="F762" s="1332"/>
      <c r="G762" s="1378"/>
      <c r="H762" s="1378"/>
      <c r="I762" s="1332"/>
      <c r="J762" s="1332"/>
      <c r="K762" s="1332"/>
      <c r="L762" s="1332"/>
      <c r="M762" s="1332"/>
      <c r="N762" s="1332"/>
      <c r="O762" s="1332"/>
      <c r="P762" s="1332"/>
      <c r="Q762" s="1332"/>
      <c r="R762" s="1332"/>
      <c r="S762" s="1332"/>
      <c r="T762" s="1332"/>
      <c r="U762" s="1332"/>
      <c r="V762" s="1332"/>
      <c r="W762" s="1332"/>
      <c r="X762" s="1332"/>
      <c r="Y762" s="1332"/>
      <c r="Z762" s="1332"/>
      <c r="AA762" s="1332"/>
      <c r="AB762" s="1332"/>
    </row>
    <row r="763">
      <c r="A763" s="1332"/>
      <c r="B763" s="1366"/>
      <c r="C763" s="1366"/>
      <c r="D763" s="1375"/>
      <c r="E763" s="1332"/>
      <c r="F763" s="1332"/>
      <c r="G763" s="1378"/>
      <c r="H763" s="1378"/>
      <c r="I763" s="1332"/>
      <c r="J763" s="1332"/>
      <c r="K763" s="1332"/>
      <c r="L763" s="1332"/>
      <c r="M763" s="1332"/>
      <c r="N763" s="1332"/>
      <c r="O763" s="1332"/>
      <c r="P763" s="1332"/>
      <c r="Q763" s="1332"/>
      <c r="R763" s="1332"/>
      <c r="S763" s="1332"/>
      <c r="T763" s="1332"/>
      <c r="U763" s="1332"/>
      <c r="V763" s="1332"/>
      <c r="W763" s="1332"/>
      <c r="X763" s="1332"/>
      <c r="Y763" s="1332"/>
      <c r="Z763" s="1332"/>
      <c r="AA763" s="1332"/>
      <c r="AB763" s="1332"/>
    </row>
    <row r="764">
      <c r="A764" s="1332"/>
      <c r="B764" s="1366"/>
      <c r="C764" s="1366"/>
      <c r="D764" s="1375"/>
      <c r="E764" s="1332"/>
      <c r="F764" s="1332"/>
      <c r="G764" s="1378"/>
      <c r="H764" s="1378"/>
      <c r="I764" s="1332"/>
      <c r="J764" s="1332"/>
      <c r="K764" s="1332"/>
      <c r="L764" s="1332"/>
      <c r="M764" s="1332"/>
      <c r="N764" s="1332"/>
      <c r="O764" s="1332"/>
      <c r="P764" s="1332"/>
      <c r="Q764" s="1332"/>
      <c r="R764" s="1332"/>
      <c r="S764" s="1332"/>
      <c r="T764" s="1332"/>
      <c r="U764" s="1332"/>
      <c r="V764" s="1332"/>
      <c r="W764" s="1332"/>
      <c r="X764" s="1332"/>
      <c r="Y764" s="1332"/>
      <c r="Z764" s="1332"/>
      <c r="AA764" s="1332"/>
      <c r="AB764" s="1332"/>
    </row>
    <row r="765">
      <c r="A765" s="1332"/>
      <c r="B765" s="1366"/>
      <c r="C765" s="1366"/>
      <c r="D765" s="1375"/>
      <c r="E765" s="1332"/>
      <c r="F765" s="1332"/>
      <c r="G765" s="1378"/>
      <c r="H765" s="1378"/>
      <c r="I765" s="1332"/>
      <c r="J765" s="1332"/>
      <c r="K765" s="1332"/>
      <c r="L765" s="1332"/>
      <c r="M765" s="1332"/>
      <c r="N765" s="1332"/>
      <c r="O765" s="1332"/>
      <c r="P765" s="1332"/>
      <c r="Q765" s="1332"/>
      <c r="R765" s="1332"/>
      <c r="S765" s="1332"/>
      <c r="T765" s="1332"/>
      <c r="U765" s="1332"/>
      <c r="V765" s="1332"/>
      <c r="W765" s="1332"/>
      <c r="X765" s="1332"/>
      <c r="Y765" s="1332"/>
      <c r="Z765" s="1332"/>
      <c r="AA765" s="1332"/>
      <c r="AB765" s="1332"/>
    </row>
    <row r="766">
      <c r="A766" s="1332"/>
      <c r="B766" s="1366"/>
      <c r="C766" s="1366"/>
      <c r="D766" s="1375"/>
      <c r="E766" s="1332"/>
      <c r="F766" s="1332"/>
      <c r="G766" s="1378"/>
      <c r="H766" s="1378"/>
      <c r="I766" s="1332"/>
      <c r="J766" s="1332"/>
      <c r="K766" s="1332"/>
      <c r="L766" s="1332"/>
      <c r="M766" s="1332"/>
      <c r="N766" s="1332"/>
      <c r="O766" s="1332"/>
      <c r="P766" s="1332"/>
      <c r="Q766" s="1332"/>
      <c r="R766" s="1332"/>
      <c r="S766" s="1332"/>
      <c r="T766" s="1332"/>
      <c r="U766" s="1332"/>
      <c r="V766" s="1332"/>
      <c r="W766" s="1332"/>
      <c r="X766" s="1332"/>
      <c r="Y766" s="1332"/>
      <c r="Z766" s="1332"/>
      <c r="AA766" s="1332"/>
      <c r="AB766" s="1332"/>
    </row>
    <row r="767">
      <c r="A767" s="1332"/>
      <c r="B767" s="1366"/>
      <c r="C767" s="1366"/>
      <c r="D767" s="1375"/>
      <c r="E767" s="1332"/>
      <c r="F767" s="1332"/>
      <c r="G767" s="1378"/>
      <c r="H767" s="1378"/>
      <c r="I767" s="1332"/>
      <c r="J767" s="1332"/>
      <c r="K767" s="1332"/>
      <c r="L767" s="1332"/>
      <c r="M767" s="1332"/>
      <c r="N767" s="1332"/>
      <c r="O767" s="1332"/>
      <c r="P767" s="1332"/>
      <c r="Q767" s="1332"/>
      <c r="R767" s="1332"/>
      <c r="S767" s="1332"/>
      <c r="T767" s="1332"/>
      <c r="U767" s="1332"/>
      <c r="V767" s="1332"/>
      <c r="W767" s="1332"/>
      <c r="X767" s="1332"/>
      <c r="Y767" s="1332"/>
      <c r="Z767" s="1332"/>
      <c r="AA767" s="1332"/>
      <c r="AB767" s="1332"/>
    </row>
    <row r="768">
      <c r="A768" s="1332"/>
      <c r="B768" s="1366"/>
      <c r="C768" s="1366"/>
      <c r="D768" s="1375"/>
      <c r="E768" s="1332"/>
      <c r="F768" s="1332"/>
      <c r="G768" s="1378"/>
      <c r="H768" s="1378"/>
      <c r="I768" s="1332"/>
      <c r="J768" s="1332"/>
      <c r="K768" s="1332"/>
      <c r="L768" s="1332"/>
      <c r="M768" s="1332"/>
      <c r="N768" s="1332"/>
      <c r="O768" s="1332"/>
      <c r="P768" s="1332"/>
      <c r="Q768" s="1332"/>
      <c r="R768" s="1332"/>
      <c r="S768" s="1332"/>
      <c r="T768" s="1332"/>
      <c r="U768" s="1332"/>
      <c r="V768" s="1332"/>
      <c r="W768" s="1332"/>
      <c r="X768" s="1332"/>
      <c r="Y768" s="1332"/>
      <c r="Z768" s="1332"/>
      <c r="AA768" s="1332"/>
      <c r="AB768" s="1332"/>
    </row>
    <row r="769">
      <c r="A769" s="1332"/>
      <c r="B769" s="1366"/>
      <c r="C769" s="1366"/>
      <c r="D769" s="1375"/>
      <c r="E769" s="1332"/>
      <c r="F769" s="1332"/>
      <c r="G769" s="1378"/>
      <c r="H769" s="1378"/>
      <c r="I769" s="1332"/>
      <c r="J769" s="1332"/>
      <c r="K769" s="1332"/>
      <c r="L769" s="1332"/>
      <c r="M769" s="1332"/>
      <c r="N769" s="1332"/>
      <c r="O769" s="1332"/>
      <c r="P769" s="1332"/>
      <c r="Q769" s="1332"/>
      <c r="R769" s="1332"/>
      <c r="S769" s="1332"/>
      <c r="T769" s="1332"/>
      <c r="U769" s="1332"/>
      <c r="V769" s="1332"/>
      <c r="W769" s="1332"/>
      <c r="X769" s="1332"/>
      <c r="Y769" s="1332"/>
      <c r="Z769" s="1332"/>
      <c r="AA769" s="1332"/>
      <c r="AB769" s="1332"/>
    </row>
    <row r="770">
      <c r="A770" s="1332"/>
      <c r="B770" s="1366"/>
      <c r="C770" s="1366"/>
      <c r="D770" s="1375"/>
      <c r="E770" s="1332"/>
      <c r="F770" s="1332"/>
      <c r="G770" s="1378"/>
      <c r="H770" s="1378"/>
      <c r="I770" s="1332"/>
      <c r="J770" s="1332"/>
      <c r="K770" s="1332"/>
      <c r="L770" s="1332"/>
      <c r="M770" s="1332"/>
      <c r="N770" s="1332"/>
      <c r="O770" s="1332"/>
      <c r="P770" s="1332"/>
      <c r="Q770" s="1332"/>
      <c r="R770" s="1332"/>
      <c r="S770" s="1332"/>
      <c r="T770" s="1332"/>
      <c r="U770" s="1332"/>
      <c r="V770" s="1332"/>
      <c r="W770" s="1332"/>
      <c r="X770" s="1332"/>
      <c r="Y770" s="1332"/>
      <c r="Z770" s="1332"/>
      <c r="AA770" s="1332"/>
      <c r="AB770" s="1332"/>
    </row>
    <row r="771">
      <c r="A771" s="1332"/>
      <c r="B771" s="1366"/>
      <c r="C771" s="1366"/>
      <c r="D771" s="1375"/>
      <c r="E771" s="1332"/>
      <c r="F771" s="1332"/>
      <c r="G771" s="1378"/>
      <c r="H771" s="1378"/>
      <c r="I771" s="1332"/>
      <c r="J771" s="1332"/>
      <c r="K771" s="1332"/>
      <c r="L771" s="1332"/>
      <c r="M771" s="1332"/>
      <c r="N771" s="1332"/>
      <c r="O771" s="1332"/>
      <c r="P771" s="1332"/>
      <c r="Q771" s="1332"/>
      <c r="R771" s="1332"/>
      <c r="S771" s="1332"/>
      <c r="T771" s="1332"/>
      <c r="U771" s="1332"/>
      <c r="V771" s="1332"/>
      <c r="W771" s="1332"/>
      <c r="X771" s="1332"/>
      <c r="Y771" s="1332"/>
      <c r="Z771" s="1332"/>
      <c r="AA771" s="1332"/>
      <c r="AB771" s="1332"/>
    </row>
    <row r="772">
      <c r="A772" s="1332"/>
      <c r="B772" s="1366"/>
      <c r="C772" s="1366"/>
      <c r="D772" s="1375"/>
      <c r="E772" s="1332"/>
      <c r="F772" s="1332"/>
      <c r="G772" s="1378"/>
      <c r="H772" s="1378"/>
      <c r="I772" s="1332"/>
      <c r="J772" s="1332"/>
      <c r="K772" s="1332"/>
      <c r="L772" s="1332"/>
      <c r="M772" s="1332"/>
      <c r="N772" s="1332"/>
      <c r="O772" s="1332"/>
      <c r="P772" s="1332"/>
      <c r="Q772" s="1332"/>
      <c r="R772" s="1332"/>
      <c r="S772" s="1332"/>
      <c r="T772" s="1332"/>
      <c r="U772" s="1332"/>
      <c r="V772" s="1332"/>
      <c r="W772" s="1332"/>
      <c r="X772" s="1332"/>
      <c r="Y772" s="1332"/>
      <c r="Z772" s="1332"/>
      <c r="AA772" s="1332"/>
      <c r="AB772" s="1332"/>
    </row>
    <row r="773">
      <c r="A773" s="1332"/>
      <c r="B773" s="1366"/>
      <c r="C773" s="1366"/>
      <c r="D773" s="1375"/>
      <c r="E773" s="1332"/>
      <c r="F773" s="1332"/>
      <c r="G773" s="1378"/>
      <c r="H773" s="1378"/>
      <c r="I773" s="1332"/>
      <c r="J773" s="1332"/>
      <c r="K773" s="1332"/>
      <c r="L773" s="1332"/>
      <c r="M773" s="1332"/>
      <c r="N773" s="1332"/>
      <c r="O773" s="1332"/>
      <c r="P773" s="1332"/>
      <c r="Q773" s="1332"/>
      <c r="R773" s="1332"/>
      <c r="S773" s="1332"/>
      <c r="T773" s="1332"/>
      <c r="U773" s="1332"/>
      <c r="V773" s="1332"/>
      <c r="W773" s="1332"/>
      <c r="X773" s="1332"/>
      <c r="Y773" s="1332"/>
      <c r="Z773" s="1332"/>
      <c r="AA773" s="1332"/>
      <c r="AB773" s="1332"/>
    </row>
    <row r="774">
      <c r="A774" s="1332"/>
      <c r="B774" s="1366"/>
      <c r="C774" s="1366"/>
      <c r="D774" s="1375"/>
      <c r="E774" s="1332"/>
      <c r="F774" s="1332"/>
      <c r="G774" s="1378"/>
      <c r="H774" s="1378"/>
      <c r="I774" s="1332"/>
      <c r="J774" s="1332"/>
      <c r="K774" s="1332"/>
      <c r="L774" s="1332"/>
      <c r="M774" s="1332"/>
      <c r="N774" s="1332"/>
      <c r="O774" s="1332"/>
      <c r="P774" s="1332"/>
      <c r="Q774" s="1332"/>
      <c r="R774" s="1332"/>
      <c r="S774" s="1332"/>
      <c r="T774" s="1332"/>
      <c r="U774" s="1332"/>
      <c r="V774" s="1332"/>
      <c r="W774" s="1332"/>
      <c r="X774" s="1332"/>
      <c r="Y774" s="1332"/>
      <c r="Z774" s="1332"/>
      <c r="AA774" s="1332"/>
      <c r="AB774" s="1332"/>
    </row>
    <row r="775">
      <c r="A775" s="1332"/>
      <c r="B775" s="1366"/>
      <c r="C775" s="1366"/>
      <c r="D775" s="1375"/>
      <c r="E775" s="1332"/>
      <c r="F775" s="1332"/>
      <c r="G775" s="1378"/>
      <c r="H775" s="1378"/>
      <c r="I775" s="1332"/>
      <c r="J775" s="1332"/>
      <c r="K775" s="1332"/>
      <c r="L775" s="1332"/>
      <c r="M775" s="1332"/>
      <c r="N775" s="1332"/>
      <c r="O775" s="1332"/>
      <c r="P775" s="1332"/>
      <c r="Q775" s="1332"/>
      <c r="R775" s="1332"/>
      <c r="S775" s="1332"/>
      <c r="T775" s="1332"/>
      <c r="U775" s="1332"/>
      <c r="V775" s="1332"/>
      <c r="W775" s="1332"/>
      <c r="X775" s="1332"/>
      <c r="Y775" s="1332"/>
      <c r="Z775" s="1332"/>
      <c r="AA775" s="1332"/>
      <c r="AB775" s="1332"/>
    </row>
    <row r="776">
      <c r="A776" s="1332"/>
      <c r="B776" s="1366"/>
      <c r="C776" s="1366"/>
      <c r="D776" s="1375"/>
      <c r="E776" s="1332"/>
      <c r="F776" s="1332"/>
      <c r="G776" s="1378"/>
      <c r="H776" s="1378"/>
      <c r="I776" s="1332"/>
      <c r="J776" s="1332"/>
      <c r="K776" s="1332"/>
      <c r="L776" s="1332"/>
      <c r="M776" s="1332"/>
      <c r="N776" s="1332"/>
      <c r="O776" s="1332"/>
      <c r="P776" s="1332"/>
      <c r="Q776" s="1332"/>
      <c r="R776" s="1332"/>
      <c r="S776" s="1332"/>
      <c r="T776" s="1332"/>
      <c r="U776" s="1332"/>
      <c r="V776" s="1332"/>
      <c r="W776" s="1332"/>
      <c r="X776" s="1332"/>
      <c r="Y776" s="1332"/>
      <c r="Z776" s="1332"/>
      <c r="AA776" s="1332"/>
      <c r="AB776" s="1332"/>
    </row>
    <row r="777">
      <c r="A777" s="1332"/>
      <c r="B777" s="1366"/>
      <c r="C777" s="1366"/>
      <c r="D777" s="1375"/>
      <c r="E777" s="1332"/>
      <c r="F777" s="1332"/>
      <c r="G777" s="1378"/>
      <c r="H777" s="1378"/>
      <c r="I777" s="1332"/>
      <c r="J777" s="1332"/>
      <c r="K777" s="1332"/>
      <c r="L777" s="1332"/>
      <c r="M777" s="1332"/>
      <c r="N777" s="1332"/>
      <c r="O777" s="1332"/>
      <c r="P777" s="1332"/>
      <c r="Q777" s="1332"/>
      <c r="R777" s="1332"/>
      <c r="S777" s="1332"/>
      <c r="T777" s="1332"/>
      <c r="U777" s="1332"/>
      <c r="V777" s="1332"/>
      <c r="W777" s="1332"/>
      <c r="X777" s="1332"/>
      <c r="Y777" s="1332"/>
      <c r="Z777" s="1332"/>
      <c r="AA777" s="1332"/>
      <c r="AB777" s="1332"/>
    </row>
    <row r="778">
      <c r="A778" s="1332"/>
      <c r="B778" s="1366"/>
      <c r="C778" s="1366"/>
      <c r="D778" s="1375"/>
      <c r="E778" s="1332"/>
      <c r="F778" s="1332"/>
      <c r="G778" s="1378"/>
      <c r="H778" s="1378"/>
      <c r="I778" s="1332"/>
      <c r="J778" s="1332"/>
      <c r="K778" s="1332"/>
      <c r="L778" s="1332"/>
      <c r="M778" s="1332"/>
      <c r="N778" s="1332"/>
      <c r="O778" s="1332"/>
      <c r="P778" s="1332"/>
      <c r="Q778" s="1332"/>
      <c r="R778" s="1332"/>
      <c r="S778" s="1332"/>
      <c r="T778" s="1332"/>
      <c r="U778" s="1332"/>
      <c r="V778" s="1332"/>
      <c r="W778" s="1332"/>
      <c r="X778" s="1332"/>
      <c r="Y778" s="1332"/>
      <c r="Z778" s="1332"/>
      <c r="AA778" s="1332"/>
      <c r="AB778" s="1332"/>
    </row>
    <row r="779">
      <c r="A779" s="1332"/>
      <c r="B779" s="1366"/>
      <c r="C779" s="1366"/>
      <c r="D779" s="1375"/>
      <c r="E779" s="1332"/>
      <c r="F779" s="1332"/>
      <c r="G779" s="1378"/>
      <c r="H779" s="1378"/>
      <c r="I779" s="1332"/>
      <c r="J779" s="1332"/>
      <c r="K779" s="1332"/>
      <c r="L779" s="1332"/>
      <c r="M779" s="1332"/>
      <c r="N779" s="1332"/>
      <c r="O779" s="1332"/>
      <c r="P779" s="1332"/>
      <c r="Q779" s="1332"/>
      <c r="R779" s="1332"/>
      <c r="S779" s="1332"/>
      <c r="T779" s="1332"/>
      <c r="U779" s="1332"/>
      <c r="V779" s="1332"/>
      <c r="W779" s="1332"/>
      <c r="X779" s="1332"/>
      <c r="Y779" s="1332"/>
      <c r="Z779" s="1332"/>
      <c r="AA779" s="1332"/>
      <c r="AB779" s="1332"/>
    </row>
    <row r="780">
      <c r="A780" s="1332"/>
      <c r="B780" s="1366"/>
      <c r="C780" s="1366"/>
      <c r="D780" s="1375"/>
      <c r="E780" s="1332"/>
      <c r="F780" s="1332"/>
      <c r="G780" s="1378"/>
      <c r="H780" s="1378"/>
      <c r="I780" s="1332"/>
      <c r="J780" s="1332"/>
      <c r="K780" s="1332"/>
      <c r="L780" s="1332"/>
      <c r="M780" s="1332"/>
      <c r="N780" s="1332"/>
      <c r="O780" s="1332"/>
      <c r="P780" s="1332"/>
      <c r="Q780" s="1332"/>
      <c r="R780" s="1332"/>
      <c r="S780" s="1332"/>
      <c r="T780" s="1332"/>
      <c r="U780" s="1332"/>
      <c r="V780" s="1332"/>
      <c r="W780" s="1332"/>
      <c r="X780" s="1332"/>
      <c r="Y780" s="1332"/>
      <c r="Z780" s="1332"/>
      <c r="AA780" s="1332"/>
      <c r="AB780" s="1332"/>
    </row>
    <row r="781">
      <c r="A781" s="1332"/>
      <c r="B781" s="1366"/>
      <c r="C781" s="1366"/>
      <c r="D781" s="1375"/>
      <c r="E781" s="1332"/>
      <c r="F781" s="1332"/>
      <c r="G781" s="1378"/>
      <c r="H781" s="1378"/>
      <c r="I781" s="1332"/>
      <c r="J781" s="1332"/>
      <c r="K781" s="1332"/>
      <c r="L781" s="1332"/>
      <c r="M781" s="1332"/>
      <c r="N781" s="1332"/>
      <c r="O781" s="1332"/>
      <c r="P781" s="1332"/>
      <c r="Q781" s="1332"/>
      <c r="R781" s="1332"/>
      <c r="S781" s="1332"/>
      <c r="T781" s="1332"/>
      <c r="U781" s="1332"/>
      <c r="V781" s="1332"/>
      <c r="W781" s="1332"/>
      <c r="X781" s="1332"/>
      <c r="Y781" s="1332"/>
      <c r="Z781" s="1332"/>
      <c r="AA781" s="1332"/>
      <c r="AB781" s="1332"/>
    </row>
    <row r="782">
      <c r="A782" s="1332"/>
      <c r="B782" s="1366"/>
      <c r="C782" s="1366"/>
      <c r="D782" s="1375"/>
      <c r="E782" s="1332"/>
      <c r="F782" s="1332"/>
      <c r="G782" s="1378"/>
      <c r="H782" s="1378"/>
      <c r="I782" s="1332"/>
      <c r="J782" s="1332"/>
      <c r="K782" s="1332"/>
      <c r="L782" s="1332"/>
      <c r="M782" s="1332"/>
      <c r="N782" s="1332"/>
      <c r="O782" s="1332"/>
      <c r="P782" s="1332"/>
      <c r="Q782" s="1332"/>
      <c r="R782" s="1332"/>
      <c r="S782" s="1332"/>
      <c r="T782" s="1332"/>
      <c r="U782" s="1332"/>
      <c r="V782" s="1332"/>
      <c r="W782" s="1332"/>
      <c r="X782" s="1332"/>
      <c r="Y782" s="1332"/>
      <c r="Z782" s="1332"/>
      <c r="AA782" s="1332"/>
      <c r="AB782" s="1332"/>
    </row>
    <row r="783">
      <c r="A783" s="1332"/>
      <c r="B783" s="1366"/>
      <c r="C783" s="1366"/>
      <c r="D783" s="1375"/>
      <c r="E783" s="1332"/>
      <c r="F783" s="1332"/>
      <c r="G783" s="1378"/>
      <c r="H783" s="1378"/>
      <c r="I783" s="1332"/>
      <c r="J783" s="1332"/>
      <c r="K783" s="1332"/>
      <c r="L783" s="1332"/>
      <c r="M783" s="1332"/>
      <c r="N783" s="1332"/>
      <c r="O783" s="1332"/>
      <c r="P783" s="1332"/>
      <c r="Q783" s="1332"/>
      <c r="R783" s="1332"/>
      <c r="S783" s="1332"/>
      <c r="T783" s="1332"/>
      <c r="U783" s="1332"/>
      <c r="V783" s="1332"/>
      <c r="W783" s="1332"/>
      <c r="X783" s="1332"/>
      <c r="Y783" s="1332"/>
      <c r="Z783" s="1332"/>
      <c r="AA783" s="1332"/>
      <c r="AB783" s="1332"/>
    </row>
    <row r="784">
      <c r="A784" s="1332"/>
      <c r="B784" s="1366"/>
      <c r="C784" s="1366"/>
      <c r="D784" s="1375"/>
      <c r="E784" s="1332"/>
      <c r="F784" s="1332"/>
      <c r="G784" s="1378"/>
      <c r="H784" s="1378"/>
      <c r="I784" s="1332"/>
      <c r="J784" s="1332"/>
      <c r="K784" s="1332"/>
      <c r="L784" s="1332"/>
      <c r="M784" s="1332"/>
      <c r="N784" s="1332"/>
      <c r="O784" s="1332"/>
      <c r="P784" s="1332"/>
      <c r="Q784" s="1332"/>
      <c r="R784" s="1332"/>
      <c r="S784" s="1332"/>
      <c r="T784" s="1332"/>
      <c r="U784" s="1332"/>
      <c r="V784" s="1332"/>
      <c r="W784" s="1332"/>
      <c r="X784" s="1332"/>
      <c r="Y784" s="1332"/>
      <c r="Z784" s="1332"/>
      <c r="AA784" s="1332"/>
      <c r="AB784" s="1332"/>
    </row>
    <row r="785">
      <c r="A785" s="1332"/>
      <c r="B785" s="1366"/>
      <c r="C785" s="1366"/>
      <c r="D785" s="1375"/>
      <c r="E785" s="1332"/>
      <c r="F785" s="1332"/>
      <c r="G785" s="1378"/>
      <c r="H785" s="1378"/>
      <c r="I785" s="1332"/>
      <c r="J785" s="1332"/>
      <c r="K785" s="1332"/>
      <c r="L785" s="1332"/>
      <c r="M785" s="1332"/>
      <c r="N785" s="1332"/>
      <c r="O785" s="1332"/>
      <c r="P785" s="1332"/>
      <c r="Q785" s="1332"/>
      <c r="R785" s="1332"/>
      <c r="S785" s="1332"/>
      <c r="T785" s="1332"/>
      <c r="U785" s="1332"/>
      <c r="V785" s="1332"/>
      <c r="W785" s="1332"/>
      <c r="X785" s="1332"/>
      <c r="Y785" s="1332"/>
      <c r="Z785" s="1332"/>
      <c r="AA785" s="1332"/>
      <c r="AB785" s="1332"/>
    </row>
    <row r="786">
      <c r="A786" s="1332"/>
      <c r="B786" s="1366"/>
      <c r="C786" s="1366"/>
      <c r="D786" s="1375"/>
      <c r="E786" s="1332"/>
      <c r="F786" s="1332"/>
      <c r="G786" s="1378"/>
      <c r="H786" s="1378"/>
      <c r="I786" s="1332"/>
      <c r="J786" s="1332"/>
      <c r="K786" s="1332"/>
      <c r="L786" s="1332"/>
      <c r="M786" s="1332"/>
      <c r="N786" s="1332"/>
      <c r="O786" s="1332"/>
      <c r="P786" s="1332"/>
      <c r="Q786" s="1332"/>
      <c r="R786" s="1332"/>
      <c r="S786" s="1332"/>
      <c r="T786" s="1332"/>
      <c r="U786" s="1332"/>
      <c r="V786" s="1332"/>
      <c r="W786" s="1332"/>
      <c r="X786" s="1332"/>
      <c r="Y786" s="1332"/>
      <c r="Z786" s="1332"/>
      <c r="AA786" s="1332"/>
      <c r="AB786" s="1332"/>
    </row>
    <row r="787">
      <c r="A787" s="1332"/>
      <c r="B787" s="1366"/>
      <c r="C787" s="1366"/>
      <c r="D787" s="1375"/>
      <c r="E787" s="1332"/>
      <c r="F787" s="1332"/>
      <c r="G787" s="1378"/>
      <c r="H787" s="1378"/>
      <c r="I787" s="1332"/>
      <c r="J787" s="1332"/>
      <c r="K787" s="1332"/>
      <c r="L787" s="1332"/>
      <c r="M787" s="1332"/>
      <c r="N787" s="1332"/>
      <c r="O787" s="1332"/>
      <c r="P787" s="1332"/>
      <c r="Q787" s="1332"/>
      <c r="R787" s="1332"/>
      <c r="S787" s="1332"/>
      <c r="T787" s="1332"/>
      <c r="U787" s="1332"/>
      <c r="V787" s="1332"/>
      <c r="W787" s="1332"/>
      <c r="X787" s="1332"/>
      <c r="Y787" s="1332"/>
      <c r="Z787" s="1332"/>
      <c r="AA787" s="1332"/>
      <c r="AB787" s="1332"/>
    </row>
    <row r="788">
      <c r="A788" s="1332"/>
      <c r="B788" s="1366"/>
      <c r="C788" s="1366"/>
      <c r="D788" s="1375"/>
      <c r="E788" s="1332"/>
      <c r="F788" s="1332"/>
      <c r="G788" s="1378"/>
      <c r="H788" s="1378"/>
      <c r="I788" s="1332"/>
      <c r="J788" s="1332"/>
      <c r="K788" s="1332"/>
      <c r="L788" s="1332"/>
      <c r="M788" s="1332"/>
      <c r="N788" s="1332"/>
      <c r="O788" s="1332"/>
      <c r="P788" s="1332"/>
      <c r="Q788" s="1332"/>
      <c r="R788" s="1332"/>
      <c r="S788" s="1332"/>
      <c r="T788" s="1332"/>
      <c r="U788" s="1332"/>
      <c r="V788" s="1332"/>
      <c r="W788" s="1332"/>
      <c r="X788" s="1332"/>
      <c r="Y788" s="1332"/>
      <c r="Z788" s="1332"/>
      <c r="AA788" s="1332"/>
      <c r="AB788" s="1332"/>
    </row>
    <row r="789">
      <c r="A789" s="1332"/>
      <c r="B789" s="1366"/>
      <c r="C789" s="1366"/>
      <c r="D789" s="1375"/>
      <c r="E789" s="1332"/>
      <c r="F789" s="1332"/>
      <c r="G789" s="1378"/>
      <c r="H789" s="1378"/>
      <c r="I789" s="1332"/>
      <c r="J789" s="1332"/>
      <c r="K789" s="1332"/>
      <c r="L789" s="1332"/>
      <c r="M789" s="1332"/>
      <c r="N789" s="1332"/>
      <c r="O789" s="1332"/>
      <c r="P789" s="1332"/>
      <c r="Q789" s="1332"/>
      <c r="R789" s="1332"/>
      <c r="S789" s="1332"/>
      <c r="T789" s="1332"/>
      <c r="U789" s="1332"/>
      <c r="V789" s="1332"/>
      <c r="W789" s="1332"/>
      <c r="X789" s="1332"/>
      <c r="Y789" s="1332"/>
      <c r="Z789" s="1332"/>
      <c r="AA789" s="1332"/>
      <c r="AB789" s="1332"/>
    </row>
    <row r="790">
      <c r="A790" s="1332"/>
      <c r="B790" s="1366"/>
      <c r="C790" s="1366"/>
      <c r="D790" s="1375"/>
      <c r="E790" s="1332"/>
      <c r="F790" s="1332"/>
      <c r="G790" s="1378"/>
      <c r="H790" s="1378"/>
      <c r="I790" s="1332"/>
      <c r="J790" s="1332"/>
      <c r="K790" s="1332"/>
      <c r="L790" s="1332"/>
      <c r="M790" s="1332"/>
      <c r="N790" s="1332"/>
      <c r="O790" s="1332"/>
      <c r="P790" s="1332"/>
      <c r="Q790" s="1332"/>
      <c r="R790" s="1332"/>
      <c r="S790" s="1332"/>
      <c r="T790" s="1332"/>
      <c r="U790" s="1332"/>
      <c r="V790" s="1332"/>
      <c r="W790" s="1332"/>
      <c r="X790" s="1332"/>
      <c r="Y790" s="1332"/>
      <c r="Z790" s="1332"/>
      <c r="AA790" s="1332"/>
      <c r="AB790" s="1332"/>
    </row>
    <row r="791">
      <c r="A791" s="1332"/>
      <c r="B791" s="1366"/>
      <c r="C791" s="1366"/>
      <c r="D791" s="1375"/>
      <c r="E791" s="1332"/>
      <c r="F791" s="1332"/>
      <c r="G791" s="1378"/>
      <c r="H791" s="1378"/>
      <c r="I791" s="1332"/>
      <c r="J791" s="1332"/>
      <c r="K791" s="1332"/>
      <c r="L791" s="1332"/>
      <c r="M791" s="1332"/>
      <c r="N791" s="1332"/>
      <c r="O791" s="1332"/>
      <c r="P791" s="1332"/>
      <c r="Q791" s="1332"/>
      <c r="R791" s="1332"/>
      <c r="S791" s="1332"/>
      <c r="T791" s="1332"/>
      <c r="U791" s="1332"/>
      <c r="V791" s="1332"/>
      <c r="W791" s="1332"/>
      <c r="X791" s="1332"/>
      <c r="Y791" s="1332"/>
      <c r="Z791" s="1332"/>
      <c r="AA791" s="1332"/>
      <c r="AB791" s="1332"/>
    </row>
    <row r="792">
      <c r="A792" s="1332"/>
      <c r="B792" s="1366"/>
      <c r="C792" s="1366"/>
      <c r="D792" s="1375"/>
      <c r="E792" s="1332"/>
      <c r="F792" s="1332"/>
      <c r="G792" s="1378"/>
      <c r="H792" s="1378"/>
      <c r="I792" s="1332"/>
      <c r="J792" s="1332"/>
      <c r="K792" s="1332"/>
      <c r="L792" s="1332"/>
      <c r="M792" s="1332"/>
      <c r="N792" s="1332"/>
      <c r="O792" s="1332"/>
      <c r="P792" s="1332"/>
      <c r="Q792" s="1332"/>
      <c r="R792" s="1332"/>
      <c r="S792" s="1332"/>
      <c r="T792" s="1332"/>
      <c r="U792" s="1332"/>
      <c r="V792" s="1332"/>
      <c r="W792" s="1332"/>
      <c r="X792" s="1332"/>
      <c r="Y792" s="1332"/>
      <c r="Z792" s="1332"/>
      <c r="AA792" s="1332"/>
      <c r="AB792" s="1332"/>
    </row>
    <row r="793">
      <c r="A793" s="1332"/>
      <c r="B793" s="1366"/>
      <c r="C793" s="1366"/>
      <c r="D793" s="1375"/>
      <c r="E793" s="1332"/>
      <c r="F793" s="1332"/>
      <c r="G793" s="1378"/>
      <c r="H793" s="1378"/>
      <c r="I793" s="1332"/>
      <c r="J793" s="1332"/>
      <c r="K793" s="1332"/>
      <c r="L793" s="1332"/>
      <c r="M793" s="1332"/>
      <c r="N793" s="1332"/>
      <c r="O793" s="1332"/>
      <c r="P793" s="1332"/>
      <c r="Q793" s="1332"/>
      <c r="R793" s="1332"/>
      <c r="S793" s="1332"/>
      <c r="T793" s="1332"/>
      <c r="U793" s="1332"/>
      <c r="V793" s="1332"/>
      <c r="W793" s="1332"/>
      <c r="X793" s="1332"/>
      <c r="Y793" s="1332"/>
      <c r="Z793" s="1332"/>
      <c r="AA793" s="1332"/>
      <c r="AB793" s="1332"/>
    </row>
    <row r="794">
      <c r="A794" s="1332"/>
      <c r="B794" s="1366"/>
      <c r="C794" s="1366"/>
      <c r="D794" s="1375"/>
      <c r="E794" s="1332"/>
      <c r="F794" s="1332"/>
      <c r="G794" s="1378"/>
      <c r="H794" s="1378"/>
      <c r="I794" s="1332"/>
      <c r="J794" s="1332"/>
      <c r="K794" s="1332"/>
      <c r="L794" s="1332"/>
      <c r="M794" s="1332"/>
      <c r="N794" s="1332"/>
      <c r="O794" s="1332"/>
      <c r="P794" s="1332"/>
      <c r="Q794" s="1332"/>
      <c r="R794" s="1332"/>
      <c r="S794" s="1332"/>
      <c r="T794" s="1332"/>
      <c r="U794" s="1332"/>
      <c r="V794" s="1332"/>
      <c r="W794" s="1332"/>
      <c r="X794" s="1332"/>
      <c r="Y794" s="1332"/>
      <c r="Z794" s="1332"/>
      <c r="AA794" s="1332"/>
      <c r="AB794" s="1332"/>
    </row>
    <row r="795">
      <c r="A795" s="1332"/>
      <c r="B795" s="1366"/>
      <c r="C795" s="1366"/>
      <c r="D795" s="1375"/>
      <c r="E795" s="1332"/>
      <c r="F795" s="1332"/>
      <c r="G795" s="1378"/>
      <c r="H795" s="1378"/>
      <c r="I795" s="1332"/>
      <c r="J795" s="1332"/>
      <c r="K795" s="1332"/>
      <c r="L795" s="1332"/>
      <c r="M795" s="1332"/>
      <c r="N795" s="1332"/>
      <c r="O795" s="1332"/>
      <c r="P795" s="1332"/>
      <c r="Q795" s="1332"/>
      <c r="R795" s="1332"/>
      <c r="S795" s="1332"/>
      <c r="T795" s="1332"/>
      <c r="U795" s="1332"/>
      <c r="V795" s="1332"/>
      <c r="W795" s="1332"/>
      <c r="X795" s="1332"/>
      <c r="Y795" s="1332"/>
      <c r="Z795" s="1332"/>
      <c r="AA795" s="1332"/>
      <c r="AB795" s="1332"/>
    </row>
    <row r="796">
      <c r="A796" s="1332"/>
      <c r="B796" s="1366"/>
      <c r="C796" s="1366"/>
      <c r="D796" s="1375"/>
      <c r="E796" s="1332"/>
      <c r="F796" s="1332"/>
      <c r="G796" s="1378"/>
      <c r="H796" s="1378"/>
      <c r="I796" s="1332"/>
      <c r="J796" s="1332"/>
      <c r="K796" s="1332"/>
      <c r="L796" s="1332"/>
      <c r="M796" s="1332"/>
      <c r="N796" s="1332"/>
      <c r="O796" s="1332"/>
      <c r="P796" s="1332"/>
      <c r="Q796" s="1332"/>
      <c r="R796" s="1332"/>
      <c r="S796" s="1332"/>
      <c r="T796" s="1332"/>
      <c r="U796" s="1332"/>
      <c r="V796" s="1332"/>
      <c r="W796" s="1332"/>
      <c r="X796" s="1332"/>
      <c r="Y796" s="1332"/>
      <c r="Z796" s="1332"/>
      <c r="AA796" s="1332"/>
      <c r="AB796" s="1332"/>
    </row>
    <row r="797">
      <c r="A797" s="1332"/>
      <c r="B797" s="1366"/>
      <c r="C797" s="1366"/>
      <c r="D797" s="1375"/>
      <c r="E797" s="1332"/>
      <c r="F797" s="1332"/>
      <c r="G797" s="1378"/>
      <c r="H797" s="1378"/>
      <c r="I797" s="1332"/>
      <c r="J797" s="1332"/>
      <c r="K797" s="1332"/>
      <c r="L797" s="1332"/>
      <c r="M797" s="1332"/>
      <c r="N797" s="1332"/>
      <c r="O797" s="1332"/>
      <c r="P797" s="1332"/>
      <c r="Q797" s="1332"/>
      <c r="R797" s="1332"/>
      <c r="S797" s="1332"/>
      <c r="T797" s="1332"/>
      <c r="U797" s="1332"/>
      <c r="V797" s="1332"/>
      <c r="W797" s="1332"/>
      <c r="X797" s="1332"/>
      <c r="Y797" s="1332"/>
      <c r="Z797" s="1332"/>
      <c r="AA797" s="1332"/>
      <c r="AB797" s="1332"/>
    </row>
    <row r="798">
      <c r="A798" s="1332"/>
      <c r="B798" s="1366"/>
      <c r="C798" s="1366"/>
      <c r="D798" s="1375"/>
      <c r="E798" s="1332"/>
      <c r="F798" s="1332"/>
      <c r="G798" s="1378"/>
      <c r="H798" s="1378"/>
      <c r="I798" s="1332"/>
      <c r="J798" s="1332"/>
      <c r="K798" s="1332"/>
      <c r="L798" s="1332"/>
      <c r="M798" s="1332"/>
      <c r="N798" s="1332"/>
      <c r="O798" s="1332"/>
      <c r="P798" s="1332"/>
      <c r="Q798" s="1332"/>
      <c r="R798" s="1332"/>
      <c r="S798" s="1332"/>
      <c r="T798" s="1332"/>
      <c r="U798" s="1332"/>
      <c r="V798" s="1332"/>
      <c r="W798" s="1332"/>
      <c r="X798" s="1332"/>
      <c r="Y798" s="1332"/>
      <c r="Z798" s="1332"/>
      <c r="AA798" s="1332"/>
      <c r="AB798" s="1332"/>
    </row>
    <row r="799">
      <c r="A799" s="1332"/>
      <c r="B799" s="1366"/>
      <c r="C799" s="1366"/>
      <c r="D799" s="1375"/>
      <c r="E799" s="1332"/>
      <c r="F799" s="1332"/>
      <c r="G799" s="1378"/>
      <c r="H799" s="1378"/>
      <c r="I799" s="1332"/>
      <c r="J799" s="1332"/>
      <c r="K799" s="1332"/>
      <c r="L799" s="1332"/>
      <c r="M799" s="1332"/>
      <c r="N799" s="1332"/>
      <c r="O799" s="1332"/>
      <c r="P799" s="1332"/>
      <c r="Q799" s="1332"/>
      <c r="R799" s="1332"/>
      <c r="S799" s="1332"/>
      <c r="T799" s="1332"/>
      <c r="U799" s="1332"/>
      <c r="V799" s="1332"/>
      <c r="W799" s="1332"/>
      <c r="X799" s="1332"/>
      <c r="Y799" s="1332"/>
      <c r="Z799" s="1332"/>
      <c r="AA799" s="1332"/>
      <c r="AB799" s="1332"/>
    </row>
    <row r="800">
      <c r="A800" s="1332"/>
      <c r="B800" s="1366"/>
      <c r="C800" s="1366"/>
      <c r="D800" s="1375"/>
      <c r="E800" s="1332"/>
      <c r="F800" s="1332"/>
      <c r="G800" s="1378"/>
      <c r="H800" s="1378"/>
      <c r="I800" s="1332"/>
      <c r="J800" s="1332"/>
      <c r="K800" s="1332"/>
      <c r="L800" s="1332"/>
      <c r="M800" s="1332"/>
      <c r="N800" s="1332"/>
      <c r="O800" s="1332"/>
      <c r="P800" s="1332"/>
      <c r="Q800" s="1332"/>
      <c r="R800" s="1332"/>
      <c r="S800" s="1332"/>
      <c r="T800" s="1332"/>
      <c r="U800" s="1332"/>
      <c r="V800" s="1332"/>
      <c r="W800" s="1332"/>
      <c r="X800" s="1332"/>
      <c r="Y800" s="1332"/>
      <c r="Z800" s="1332"/>
      <c r="AA800" s="1332"/>
      <c r="AB800" s="1332"/>
    </row>
    <row r="801">
      <c r="A801" s="1332"/>
      <c r="B801" s="1366"/>
      <c r="C801" s="1366"/>
      <c r="D801" s="1375"/>
      <c r="E801" s="1332"/>
      <c r="F801" s="1332"/>
      <c r="G801" s="1378"/>
      <c r="H801" s="1378"/>
      <c r="I801" s="1332"/>
      <c r="J801" s="1332"/>
      <c r="K801" s="1332"/>
      <c r="L801" s="1332"/>
      <c r="M801" s="1332"/>
      <c r="N801" s="1332"/>
      <c r="O801" s="1332"/>
      <c r="P801" s="1332"/>
      <c r="Q801" s="1332"/>
      <c r="R801" s="1332"/>
      <c r="S801" s="1332"/>
      <c r="T801" s="1332"/>
      <c r="U801" s="1332"/>
      <c r="V801" s="1332"/>
      <c r="W801" s="1332"/>
      <c r="X801" s="1332"/>
      <c r="Y801" s="1332"/>
      <c r="Z801" s="1332"/>
      <c r="AA801" s="1332"/>
      <c r="AB801" s="1332"/>
    </row>
    <row r="802">
      <c r="A802" s="1332"/>
      <c r="B802" s="1366"/>
      <c r="C802" s="1366"/>
      <c r="D802" s="1375"/>
      <c r="E802" s="1332"/>
      <c r="F802" s="1332"/>
      <c r="G802" s="1378"/>
      <c r="H802" s="1378"/>
      <c r="I802" s="1332"/>
      <c r="J802" s="1332"/>
      <c r="K802" s="1332"/>
      <c r="L802" s="1332"/>
      <c r="M802" s="1332"/>
      <c r="N802" s="1332"/>
      <c r="O802" s="1332"/>
      <c r="P802" s="1332"/>
      <c r="Q802" s="1332"/>
      <c r="R802" s="1332"/>
      <c r="S802" s="1332"/>
      <c r="T802" s="1332"/>
      <c r="U802" s="1332"/>
      <c r="V802" s="1332"/>
      <c r="W802" s="1332"/>
      <c r="X802" s="1332"/>
      <c r="Y802" s="1332"/>
      <c r="Z802" s="1332"/>
      <c r="AA802" s="1332"/>
      <c r="AB802" s="1332"/>
    </row>
    <row r="803">
      <c r="A803" s="1332"/>
      <c r="B803" s="1366"/>
      <c r="C803" s="1366"/>
      <c r="D803" s="1375"/>
      <c r="E803" s="1332"/>
      <c r="F803" s="1332"/>
      <c r="G803" s="1378"/>
      <c r="H803" s="1378"/>
      <c r="I803" s="1332"/>
      <c r="J803" s="1332"/>
      <c r="K803" s="1332"/>
      <c r="L803" s="1332"/>
      <c r="M803" s="1332"/>
      <c r="N803" s="1332"/>
      <c r="O803" s="1332"/>
      <c r="P803" s="1332"/>
      <c r="Q803" s="1332"/>
      <c r="R803" s="1332"/>
      <c r="S803" s="1332"/>
      <c r="T803" s="1332"/>
      <c r="U803" s="1332"/>
      <c r="V803" s="1332"/>
      <c r="W803" s="1332"/>
      <c r="X803" s="1332"/>
      <c r="Y803" s="1332"/>
      <c r="Z803" s="1332"/>
      <c r="AA803" s="1332"/>
      <c r="AB803" s="1332"/>
    </row>
    <row r="804">
      <c r="A804" s="1332"/>
      <c r="B804" s="1366"/>
      <c r="C804" s="1366"/>
      <c r="D804" s="1375"/>
      <c r="E804" s="1332"/>
      <c r="F804" s="1332"/>
      <c r="G804" s="1378"/>
      <c r="H804" s="1378"/>
      <c r="I804" s="1332"/>
      <c r="J804" s="1332"/>
      <c r="K804" s="1332"/>
      <c r="L804" s="1332"/>
      <c r="M804" s="1332"/>
      <c r="N804" s="1332"/>
      <c r="O804" s="1332"/>
      <c r="P804" s="1332"/>
      <c r="Q804" s="1332"/>
      <c r="R804" s="1332"/>
      <c r="S804" s="1332"/>
      <c r="T804" s="1332"/>
      <c r="U804" s="1332"/>
      <c r="V804" s="1332"/>
      <c r="W804" s="1332"/>
      <c r="X804" s="1332"/>
      <c r="Y804" s="1332"/>
      <c r="Z804" s="1332"/>
      <c r="AA804" s="1332"/>
      <c r="AB804" s="1332"/>
    </row>
    <row r="805">
      <c r="A805" s="1332"/>
      <c r="B805" s="1366"/>
      <c r="C805" s="1366"/>
      <c r="D805" s="1375"/>
      <c r="E805" s="1332"/>
      <c r="F805" s="1332"/>
      <c r="G805" s="1378"/>
      <c r="H805" s="1378"/>
      <c r="I805" s="1332"/>
      <c r="J805" s="1332"/>
      <c r="K805" s="1332"/>
      <c r="L805" s="1332"/>
      <c r="M805" s="1332"/>
      <c r="N805" s="1332"/>
      <c r="O805" s="1332"/>
      <c r="P805" s="1332"/>
      <c r="Q805" s="1332"/>
      <c r="R805" s="1332"/>
      <c r="S805" s="1332"/>
      <c r="T805" s="1332"/>
      <c r="U805" s="1332"/>
      <c r="V805" s="1332"/>
      <c r="W805" s="1332"/>
      <c r="X805" s="1332"/>
      <c r="Y805" s="1332"/>
      <c r="Z805" s="1332"/>
      <c r="AA805" s="1332"/>
      <c r="AB805" s="1332"/>
    </row>
    <row r="806">
      <c r="A806" s="1332"/>
      <c r="B806" s="1366"/>
      <c r="C806" s="1366"/>
      <c r="D806" s="1375"/>
      <c r="E806" s="1332"/>
      <c r="F806" s="1332"/>
      <c r="G806" s="1378"/>
      <c r="H806" s="1378"/>
      <c r="I806" s="1332"/>
      <c r="J806" s="1332"/>
      <c r="K806" s="1332"/>
      <c r="L806" s="1332"/>
      <c r="M806" s="1332"/>
      <c r="N806" s="1332"/>
      <c r="O806" s="1332"/>
      <c r="P806" s="1332"/>
      <c r="Q806" s="1332"/>
      <c r="R806" s="1332"/>
      <c r="S806" s="1332"/>
      <c r="T806" s="1332"/>
      <c r="U806" s="1332"/>
      <c r="V806" s="1332"/>
      <c r="W806" s="1332"/>
      <c r="X806" s="1332"/>
      <c r="Y806" s="1332"/>
      <c r="Z806" s="1332"/>
      <c r="AA806" s="1332"/>
      <c r="AB806" s="1332"/>
    </row>
    <row r="807">
      <c r="A807" s="1332"/>
      <c r="B807" s="1366"/>
      <c r="C807" s="1366"/>
      <c r="D807" s="1375"/>
      <c r="E807" s="1332"/>
      <c r="F807" s="1332"/>
      <c r="G807" s="1378"/>
      <c r="H807" s="1378"/>
      <c r="I807" s="1332"/>
      <c r="J807" s="1332"/>
      <c r="K807" s="1332"/>
      <c r="L807" s="1332"/>
      <c r="M807" s="1332"/>
      <c r="N807" s="1332"/>
      <c r="O807" s="1332"/>
      <c r="P807" s="1332"/>
      <c r="Q807" s="1332"/>
      <c r="R807" s="1332"/>
      <c r="S807" s="1332"/>
      <c r="T807" s="1332"/>
      <c r="U807" s="1332"/>
      <c r="V807" s="1332"/>
      <c r="W807" s="1332"/>
      <c r="X807" s="1332"/>
      <c r="Y807" s="1332"/>
      <c r="Z807" s="1332"/>
      <c r="AA807" s="1332"/>
      <c r="AB807" s="1332"/>
    </row>
    <row r="808">
      <c r="A808" s="1332"/>
      <c r="B808" s="1366"/>
      <c r="C808" s="1366"/>
      <c r="D808" s="1375"/>
      <c r="E808" s="1332"/>
      <c r="F808" s="1332"/>
      <c r="G808" s="1378"/>
      <c r="H808" s="1378"/>
      <c r="I808" s="1332"/>
      <c r="J808" s="1332"/>
      <c r="K808" s="1332"/>
      <c r="L808" s="1332"/>
      <c r="M808" s="1332"/>
      <c r="N808" s="1332"/>
      <c r="O808" s="1332"/>
      <c r="P808" s="1332"/>
      <c r="Q808" s="1332"/>
      <c r="R808" s="1332"/>
      <c r="S808" s="1332"/>
      <c r="T808" s="1332"/>
      <c r="U808" s="1332"/>
      <c r="V808" s="1332"/>
      <c r="W808" s="1332"/>
      <c r="X808" s="1332"/>
      <c r="Y808" s="1332"/>
      <c r="Z808" s="1332"/>
      <c r="AA808" s="1332"/>
      <c r="AB808" s="1332"/>
    </row>
    <row r="809">
      <c r="A809" s="1332"/>
      <c r="B809" s="1366"/>
      <c r="C809" s="1366"/>
      <c r="D809" s="1375"/>
      <c r="E809" s="1332"/>
      <c r="F809" s="1332"/>
      <c r="G809" s="1378"/>
      <c r="H809" s="1378"/>
      <c r="I809" s="1332"/>
      <c r="J809" s="1332"/>
      <c r="K809" s="1332"/>
      <c r="L809" s="1332"/>
      <c r="M809" s="1332"/>
      <c r="N809" s="1332"/>
      <c r="O809" s="1332"/>
      <c r="P809" s="1332"/>
      <c r="Q809" s="1332"/>
      <c r="R809" s="1332"/>
      <c r="S809" s="1332"/>
      <c r="T809" s="1332"/>
      <c r="U809" s="1332"/>
      <c r="V809" s="1332"/>
      <c r="W809" s="1332"/>
      <c r="X809" s="1332"/>
      <c r="Y809" s="1332"/>
      <c r="Z809" s="1332"/>
      <c r="AA809" s="1332"/>
      <c r="AB809" s="1332"/>
    </row>
    <row r="810">
      <c r="A810" s="1332"/>
      <c r="B810" s="1366"/>
      <c r="C810" s="1366"/>
      <c r="D810" s="1375"/>
      <c r="E810" s="1332"/>
      <c r="F810" s="1332"/>
      <c r="G810" s="1378"/>
      <c r="H810" s="1378"/>
      <c r="I810" s="1332"/>
      <c r="J810" s="1332"/>
      <c r="K810" s="1332"/>
      <c r="L810" s="1332"/>
      <c r="M810" s="1332"/>
      <c r="N810" s="1332"/>
      <c r="O810" s="1332"/>
      <c r="P810" s="1332"/>
      <c r="Q810" s="1332"/>
      <c r="R810" s="1332"/>
      <c r="S810" s="1332"/>
      <c r="T810" s="1332"/>
      <c r="U810" s="1332"/>
      <c r="V810" s="1332"/>
      <c r="W810" s="1332"/>
      <c r="X810" s="1332"/>
      <c r="Y810" s="1332"/>
      <c r="Z810" s="1332"/>
      <c r="AA810" s="1332"/>
      <c r="AB810" s="1332"/>
    </row>
    <row r="811">
      <c r="A811" s="1332"/>
      <c r="B811" s="1366"/>
      <c r="C811" s="1366"/>
      <c r="D811" s="1375"/>
      <c r="E811" s="1332"/>
      <c r="F811" s="1332"/>
      <c r="G811" s="1378"/>
      <c r="H811" s="1378"/>
      <c r="I811" s="1332"/>
      <c r="J811" s="1332"/>
      <c r="K811" s="1332"/>
      <c r="L811" s="1332"/>
      <c r="M811" s="1332"/>
      <c r="N811" s="1332"/>
      <c r="O811" s="1332"/>
      <c r="P811" s="1332"/>
      <c r="Q811" s="1332"/>
      <c r="R811" s="1332"/>
      <c r="S811" s="1332"/>
      <c r="T811" s="1332"/>
      <c r="U811" s="1332"/>
      <c r="V811" s="1332"/>
      <c r="W811" s="1332"/>
      <c r="X811" s="1332"/>
      <c r="Y811" s="1332"/>
      <c r="Z811" s="1332"/>
      <c r="AA811" s="1332"/>
      <c r="AB811" s="1332"/>
    </row>
    <row r="812">
      <c r="A812" s="1332"/>
      <c r="B812" s="1366"/>
      <c r="C812" s="1366"/>
      <c r="D812" s="1375"/>
      <c r="E812" s="1332"/>
      <c r="F812" s="1332"/>
      <c r="G812" s="1378"/>
      <c r="H812" s="1378"/>
      <c r="I812" s="1332"/>
      <c r="J812" s="1332"/>
      <c r="K812" s="1332"/>
      <c r="L812" s="1332"/>
      <c r="M812" s="1332"/>
      <c r="N812" s="1332"/>
      <c r="O812" s="1332"/>
      <c r="P812" s="1332"/>
      <c r="Q812" s="1332"/>
      <c r="R812" s="1332"/>
      <c r="S812" s="1332"/>
      <c r="T812" s="1332"/>
      <c r="U812" s="1332"/>
      <c r="V812" s="1332"/>
      <c r="W812" s="1332"/>
      <c r="X812" s="1332"/>
      <c r="Y812" s="1332"/>
      <c r="Z812" s="1332"/>
      <c r="AA812" s="1332"/>
      <c r="AB812" s="1332"/>
    </row>
    <row r="813">
      <c r="A813" s="1332"/>
      <c r="B813" s="1366"/>
      <c r="C813" s="1366"/>
      <c r="D813" s="1375"/>
      <c r="E813" s="1332"/>
      <c r="F813" s="1332"/>
      <c r="G813" s="1378"/>
      <c r="H813" s="1378"/>
      <c r="I813" s="1332"/>
      <c r="J813" s="1332"/>
      <c r="K813" s="1332"/>
      <c r="L813" s="1332"/>
      <c r="M813" s="1332"/>
      <c r="N813" s="1332"/>
      <c r="O813" s="1332"/>
      <c r="P813" s="1332"/>
      <c r="Q813" s="1332"/>
      <c r="R813" s="1332"/>
      <c r="S813" s="1332"/>
      <c r="T813" s="1332"/>
      <c r="U813" s="1332"/>
      <c r="V813" s="1332"/>
      <c r="W813" s="1332"/>
      <c r="X813" s="1332"/>
      <c r="Y813" s="1332"/>
      <c r="Z813" s="1332"/>
      <c r="AA813" s="1332"/>
      <c r="AB813" s="1332"/>
    </row>
    <row r="814">
      <c r="A814" s="1332"/>
      <c r="B814" s="1366"/>
      <c r="C814" s="1366"/>
      <c r="D814" s="1375"/>
      <c r="E814" s="1332"/>
      <c r="F814" s="1332"/>
      <c r="G814" s="1378"/>
      <c r="H814" s="1378"/>
      <c r="I814" s="1332"/>
      <c r="J814" s="1332"/>
      <c r="K814" s="1332"/>
      <c r="L814" s="1332"/>
      <c r="M814" s="1332"/>
      <c r="N814" s="1332"/>
      <c r="O814" s="1332"/>
      <c r="P814" s="1332"/>
      <c r="Q814" s="1332"/>
      <c r="R814" s="1332"/>
      <c r="S814" s="1332"/>
      <c r="T814" s="1332"/>
      <c r="U814" s="1332"/>
      <c r="V814" s="1332"/>
      <c r="W814" s="1332"/>
      <c r="X814" s="1332"/>
      <c r="Y814" s="1332"/>
      <c r="Z814" s="1332"/>
      <c r="AA814" s="1332"/>
      <c r="AB814" s="1332"/>
    </row>
    <row r="815">
      <c r="A815" s="1332"/>
      <c r="B815" s="1366"/>
      <c r="C815" s="1366"/>
      <c r="D815" s="1375"/>
      <c r="E815" s="1332"/>
      <c r="F815" s="1332"/>
      <c r="G815" s="1378"/>
      <c r="H815" s="1378"/>
      <c r="I815" s="1332"/>
      <c r="J815" s="1332"/>
      <c r="K815" s="1332"/>
      <c r="L815" s="1332"/>
      <c r="M815" s="1332"/>
      <c r="N815" s="1332"/>
      <c r="O815" s="1332"/>
      <c r="P815" s="1332"/>
      <c r="Q815" s="1332"/>
      <c r="R815" s="1332"/>
      <c r="S815" s="1332"/>
      <c r="T815" s="1332"/>
      <c r="U815" s="1332"/>
      <c r="V815" s="1332"/>
      <c r="W815" s="1332"/>
      <c r="X815" s="1332"/>
      <c r="Y815" s="1332"/>
      <c r="Z815" s="1332"/>
      <c r="AA815" s="1332"/>
      <c r="AB815" s="1332"/>
    </row>
    <row r="816">
      <c r="A816" s="1332"/>
      <c r="B816" s="1366"/>
      <c r="C816" s="1366"/>
      <c r="D816" s="1375"/>
      <c r="E816" s="1332"/>
      <c r="F816" s="1332"/>
      <c r="G816" s="1378"/>
      <c r="H816" s="1378"/>
      <c r="I816" s="1332"/>
      <c r="J816" s="1332"/>
      <c r="K816" s="1332"/>
      <c r="L816" s="1332"/>
      <c r="M816" s="1332"/>
      <c r="N816" s="1332"/>
      <c r="O816" s="1332"/>
      <c r="P816" s="1332"/>
      <c r="Q816" s="1332"/>
      <c r="R816" s="1332"/>
      <c r="S816" s="1332"/>
      <c r="T816" s="1332"/>
      <c r="U816" s="1332"/>
      <c r="V816" s="1332"/>
      <c r="W816" s="1332"/>
      <c r="X816" s="1332"/>
      <c r="Y816" s="1332"/>
      <c r="Z816" s="1332"/>
      <c r="AA816" s="1332"/>
      <c r="AB816" s="1332"/>
    </row>
    <row r="817">
      <c r="A817" s="1332"/>
      <c r="B817" s="1366"/>
      <c r="C817" s="1366"/>
      <c r="D817" s="1375"/>
      <c r="E817" s="1332"/>
      <c r="F817" s="1332"/>
      <c r="G817" s="1378"/>
      <c r="H817" s="1378"/>
      <c r="I817" s="1332"/>
      <c r="J817" s="1332"/>
      <c r="K817" s="1332"/>
      <c r="L817" s="1332"/>
      <c r="M817" s="1332"/>
      <c r="N817" s="1332"/>
      <c r="O817" s="1332"/>
      <c r="P817" s="1332"/>
      <c r="Q817" s="1332"/>
      <c r="R817" s="1332"/>
      <c r="S817" s="1332"/>
      <c r="T817" s="1332"/>
      <c r="U817" s="1332"/>
      <c r="V817" s="1332"/>
      <c r="W817" s="1332"/>
      <c r="X817" s="1332"/>
      <c r="Y817" s="1332"/>
      <c r="Z817" s="1332"/>
      <c r="AA817" s="1332"/>
      <c r="AB817" s="1332"/>
    </row>
    <row r="818">
      <c r="A818" s="1332"/>
      <c r="B818" s="1366"/>
      <c r="C818" s="1366"/>
      <c r="D818" s="1375"/>
      <c r="E818" s="1332"/>
      <c r="F818" s="1332"/>
      <c r="G818" s="1378"/>
      <c r="H818" s="1378"/>
      <c r="I818" s="1332"/>
      <c r="J818" s="1332"/>
      <c r="K818" s="1332"/>
      <c r="L818" s="1332"/>
      <c r="M818" s="1332"/>
      <c r="N818" s="1332"/>
      <c r="O818" s="1332"/>
      <c r="P818" s="1332"/>
      <c r="Q818" s="1332"/>
      <c r="R818" s="1332"/>
      <c r="S818" s="1332"/>
      <c r="T818" s="1332"/>
      <c r="U818" s="1332"/>
      <c r="V818" s="1332"/>
      <c r="W818" s="1332"/>
      <c r="X818" s="1332"/>
      <c r="Y818" s="1332"/>
      <c r="Z818" s="1332"/>
      <c r="AA818" s="1332"/>
      <c r="AB818" s="1332"/>
    </row>
    <row r="819">
      <c r="A819" s="1332"/>
      <c r="B819" s="1366"/>
      <c r="C819" s="1366"/>
      <c r="D819" s="1375"/>
      <c r="E819" s="1332"/>
      <c r="F819" s="1332"/>
      <c r="G819" s="1378"/>
      <c r="H819" s="1378"/>
      <c r="I819" s="1332"/>
      <c r="J819" s="1332"/>
      <c r="K819" s="1332"/>
      <c r="L819" s="1332"/>
      <c r="M819" s="1332"/>
      <c r="N819" s="1332"/>
      <c r="O819" s="1332"/>
      <c r="P819" s="1332"/>
      <c r="Q819" s="1332"/>
      <c r="R819" s="1332"/>
      <c r="S819" s="1332"/>
      <c r="T819" s="1332"/>
      <c r="U819" s="1332"/>
      <c r="V819" s="1332"/>
      <c r="W819" s="1332"/>
      <c r="X819" s="1332"/>
      <c r="Y819" s="1332"/>
      <c r="Z819" s="1332"/>
      <c r="AA819" s="1332"/>
      <c r="AB819" s="1332"/>
    </row>
    <row r="820">
      <c r="A820" s="1332"/>
      <c r="B820" s="1366"/>
      <c r="C820" s="1366"/>
      <c r="D820" s="1375"/>
      <c r="E820" s="1332"/>
      <c r="F820" s="1332"/>
      <c r="G820" s="1378"/>
      <c r="H820" s="1378"/>
      <c r="I820" s="1332"/>
      <c r="J820" s="1332"/>
      <c r="K820" s="1332"/>
      <c r="L820" s="1332"/>
      <c r="M820" s="1332"/>
      <c r="N820" s="1332"/>
      <c r="O820" s="1332"/>
      <c r="P820" s="1332"/>
      <c r="Q820" s="1332"/>
      <c r="R820" s="1332"/>
      <c r="S820" s="1332"/>
      <c r="T820" s="1332"/>
      <c r="U820" s="1332"/>
      <c r="V820" s="1332"/>
      <c r="W820" s="1332"/>
      <c r="X820" s="1332"/>
      <c r="Y820" s="1332"/>
      <c r="Z820" s="1332"/>
      <c r="AA820" s="1332"/>
      <c r="AB820" s="1332"/>
    </row>
    <row r="821">
      <c r="A821" s="1332"/>
      <c r="B821" s="1366"/>
      <c r="C821" s="1366"/>
      <c r="D821" s="1375"/>
      <c r="E821" s="1332"/>
      <c r="F821" s="1332"/>
      <c r="G821" s="1378"/>
      <c r="H821" s="1378"/>
      <c r="I821" s="1332"/>
      <c r="J821" s="1332"/>
      <c r="K821" s="1332"/>
      <c r="L821" s="1332"/>
      <c r="M821" s="1332"/>
      <c r="N821" s="1332"/>
      <c r="O821" s="1332"/>
      <c r="P821" s="1332"/>
      <c r="Q821" s="1332"/>
      <c r="R821" s="1332"/>
      <c r="S821" s="1332"/>
      <c r="T821" s="1332"/>
      <c r="U821" s="1332"/>
      <c r="V821" s="1332"/>
      <c r="W821" s="1332"/>
      <c r="X821" s="1332"/>
      <c r="Y821" s="1332"/>
      <c r="Z821" s="1332"/>
      <c r="AA821" s="1332"/>
      <c r="AB821" s="1332"/>
    </row>
    <row r="822">
      <c r="A822" s="1332"/>
      <c r="B822" s="1366"/>
      <c r="C822" s="1366"/>
      <c r="D822" s="1375"/>
      <c r="E822" s="1332"/>
      <c r="F822" s="1332"/>
      <c r="G822" s="1378"/>
      <c r="H822" s="1378"/>
      <c r="I822" s="1332"/>
      <c r="J822" s="1332"/>
      <c r="K822" s="1332"/>
      <c r="L822" s="1332"/>
      <c r="M822" s="1332"/>
      <c r="N822" s="1332"/>
      <c r="O822" s="1332"/>
      <c r="P822" s="1332"/>
      <c r="Q822" s="1332"/>
      <c r="R822" s="1332"/>
      <c r="S822" s="1332"/>
      <c r="T822" s="1332"/>
      <c r="U822" s="1332"/>
      <c r="V822" s="1332"/>
      <c r="W822" s="1332"/>
      <c r="X822" s="1332"/>
      <c r="Y822" s="1332"/>
      <c r="Z822" s="1332"/>
      <c r="AA822" s="1332"/>
      <c r="AB822" s="1332"/>
    </row>
    <row r="823">
      <c r="A823" s="1332"/>
      <c r="B823" s="1366"/>
      <c r="C823" s="1366"/>
      <c r="D823" s="1375"/>
      <c r="E823" s="1332"/>
      <c r="F823" s="1332"/>
      <c r="G823" s="1378"/>
      <c r="H823" s="1378"/>
      <c r="I823" s="1332"/>
      <c r="J823" s="1332"/>
      <c r="K823" s="1332"/>
      <c r="L823" s="1332"/>
      <c r="M823" s="1332"/>
      <c r="N823" s="1332"/>
      <c r="O823" s="1332"/>
      <c r="P823" s="1332"/>
      <c r="Q823" s="1332"/>
      <c r="R823" s="1332"/>
      <c r="S823" s="1332"/>
      <c r="T823" s="1332"/>
      <c r="U823" s="1332"/>
      <c r="V823" s="1332"/>
      <c r="W823" s="1332"/>
      <c r="X823" s="1332"/>
      <c r="Y823" s="1332"/>
      <c r="Z823" s="1332"/>
      <c r="AA823" s="1332"/>
      <c r="AB823" s="1332"/>
    </row>
    <row r="824">
      <c r="A824" s="1332"/>
      <c r="B824" s="1366"/>
      <c r="C824" s="1366"/>
      <c r="D824" s="1375"/>
      <c r="E824" s="1332"/>
      <c r="F824" s="1332"/>
      <c r="G824" s="1378"/>
      <c r="H824" s="1378"/>
      <c r="I824" s="1332"/>
      <c r="J824" s="1332"/>
      <c r="K824" s="1332"/>
      <c r="L824" s="1332"/>
      <c r="M824" s="1332"/>
      <c r="N824" s="1332"/>
      <c r="O824" s="1332"/>
      <c r="P824" s="1332"/>
      <c r="Q824" s="1332"/>
      <c r="R824" s="1332"/>
      <c r="S824" s="1332"/>
      <c r="T824" s="1332"/>
      <c r="U824" s="1332"/>
      <c r="V824" s="1332"/>
      <c r="W824" s="1332"/>
      <c r="X824" s="1332"/>
      <c r="Y824" s="1332"/>
      <c r="Z824" s="1332"/>
      <c r="AA824" s="1332"/>
      <c r="AB824" s="1332"/>
    </row>
    <row r="825">
      <c r="A825" s="1332"/>
      <c r="B825" s="1366"/>
      <c r="C825" s="1366"/>
      <c r="D825" s="1375"/>
      <c r="E825" s="1332"/>
      <c r="F825" s="1332"/>
      <c r="G825" s="1378"/>
      <c r="H825" s="1378"/>
      <c r="I825" s="1332"/>
      <c r="J825" s="1332"/>
      <c r="K825" s="1332"/>
      <c r="L825" s="1332"/>
      <c r="M825" s="1332"/>
      <c r="N825" s="1332"/>
      <c r="O825" s="1332"/>
      <c r="P825" s="1332"/>
      <c r="Q825" s="1332"/>
      <c r="R825" s="1332"/>
      <c r="S825" s="1332"/>
      <c r="T825" s="1332"/>
      <c r="U825" s="1332"/>
      <c r="V825" s="1332"/>
      <c r="W825" s="1332"/>
      <c r="X825" s="1332"/>
      <c r="Y825" s="1332"/>
      <c r="Z825" s="1332"/>
      <c r="AA825" s="1332"/>
      <c r="AB825" s="1332"/>
    </row>
    <row r="826">
      <c r="A826" s="1332"/>
      <c r="B826" s="1366"/>
      <c r="C826" s="1366"/>
      <c r="D826" s="1375"/>
      <c r="E826" s="1332"/>
      <c r="F826" s="1332"/>
      <c r="G826" s="1378"/>
      <c r="H826" s="1378"/>
      <c r="I826" s="1332"/>
      <c r="J826" s="1332"/>
      <c r="K826" s="1332"/>
      <c r="L826" s="1332"/>
      <c r="M826" s="1332"/>
      <c r="N826" s="1332"/>
      <c r="O826" s="1332"/>
      <c r="P826" s="1332"/>
      <c r="Q826" s="1332"/>
      <c r="R826" s="1332"/>
      <c r="S826" s="1332"/>
      <c r="T826" s="1332"/>
      <c r="U826" s="1332"/>
      <c r="V826" s="1332"/>
      <c r="W826" s="1332"/>
      <c r="X826" s="1332"/>
      <c r="Y826" s="1332"/>
      <c r="Z826" s="1332"/>
      <c r="AA826" s="1332"/>
      <c r="AB826" s="1332"/>
    </row>
    <row r="827">
      <c r="A827" s="1332"/>
      <c r="B827" s="1366"/>
      <c r="C827" s="1366"/>
      <c r="D827" s="1375"/>
      <c r="E827" s="1332"/>
      <c r="F827" s="1332"/>
      <c r="G827" s="1378"/>
      <c r="H827" s="1378"/>
      <c r="I827" s="1332"/>
      <c r="J827" s="1332"/>
      <c r="K827" s="1332"/>
      <c r="L827" s="1332"/>
      <c r="M827" s="1332"/>
      <c r="N827" s="1332"/>
      <c r="O827" s="1332"/>
      <c r="P827" s="1332"/>
      <c r="Q827" s="1332"/>
      <c r="R827" s="1332"/>
      <c r="S827" s="1332"/>
      <c r="T827" s="1332"/>
      <c r="U827" s="1332"/>
      <c r="V827" s="1332"/>
      <c r="W827" s="1332"/>
      <c r="X827" s="1332"/>
      <c r="Y827" s="1332"/>
      <c r="Z827" s="1332"/>
      <c r="AA827" s="1332"/>
      <c r="AB827" s="1332"/>
    </row>
    <row r="828">
      <c r="A828" s="1332"/>
      <c r="B828" s="1366"/>
      <c r="C828" s="1366"/>
      <c r="D828" s="1375"/>
      <c r="E828" s="1332"/>
      <c r="F828" s="1332"/>
      <c r="G828" s="1378"/>
      <c r="H828" s="1378"/>
      <c r="I828" s="1332"/>
      <c r="J828" s="1332"/>
      <c r="K828" s="1332"/>
      <c r="L828" s="1332"/>
      <c r="M828" s="1332"/>
      <c r="N828" s="1332"/>
      <c r="O828" s="1332"/>
      <c r="P828" s="1332"/>
      <c r="Q828" s="1332"/>
      <c r="R828" s="1332"/>
      <c r="S828" s="1332"/>
      <c r="T828" s="1332"/>
      <c r="U828" s="1332"/>
      <c r="V828" s="1332"/>
      <c r="W828" s="1332"/>
      <c r="X828" s="1332"/>
      <c r="Y828" s="1332"/>
      <c r="Z828" s="1332"/>
      <c r="AA828" s="1332"/>
      <c r="AB828" s="1332"/>
    </row>
    <row r="829">
      <c r="A829" s="1332"/>
      <c r="B829" s="1366"/>
      <c r="C829" s="1366"/>
      <c r="D829" s="1375"/>
      <c r="E829" s="1332"/>
      <c r="F829" s="1332"/>
      <c r="G829" s="1378"/>
      <c r="H829" s="1378"/>
      <c r="I829" s="1332"/>
      <c r="J829" s="1332"/>
      <c r="K829" s="1332"/>
      <c r="L829" s="1332"/>
      <c r="M829" s="1332"/>
      <c r="N829" s="1332"/>
      <c r="O829" s="1332"/>
      <c r="P829" s="1332"/>
      <c r="Q829" s="1332"/>
      <c r="R829" s="1332"/>
      <c r="S829" s="1332"/>
      <c r="T829" s="1332"/>
      <c r="U829" s="1332"/>
      <c r="V829" s="1332"/>
      <c r="W829" s="1332"/>
      <c r="X829" s="1332"/>
      <c r="Y829" s="1332"/>
      <c r="Z829" s="1332"/>
      <c r="AA829" s="1332"/>
      <c r="AB829" s="1332"/>
    </row>
    <row r="830">
      <c r="A830" s="1332"/>
      <c r="B830" s="1366"/>
      <c r="C830" s="1366"/>
      <c r="D830" s="1375"/>
      <c r="E830" s="1332"/>
      <c r="F830" s="1332"/>
      <c r="G830" s="1378"/>
      <c r="H830" s="1378"/>
      <c r="I830" s="1332"/>
      <c r="J830" s="1332"/>
      <c r="K830" s="1332"/>
      <c r="L830" s="1332"/>
      <c r="M830" s="1332"/>
      <c r="N830" s="1332"/>
      <c r="O830" s="1332"/>
      <c r="P830" s="1332"/>
      <c r="Q830" s="1332"/>
      <c r="R830" s="1332"/>
      <c r="S830" s="1332"/>
      <c r="T830" s="1332"/>
      <c r="U830" s="1332"/>
      <c r="V830" s="1332"/>
      <c r="W830" s="1332"/>
      <c r="X830" s="1332"/>
      <c r="Y830" s="1332"/>
      <c r="Z830" s="1332"/>
      <c r="AA830" s="1332"/>
      <c r="AB830" s="1332"/>
    </row>
    <row r="831">
      <c r="A831" s="1332"/>
      <c r="B831" s="1366"/>
      <c r="C831" s="1366"/>
      <c r="D831" s="1375"/>
      <c r="E831" s="1332"/>
      <c r="F831" s="1332"/>
      <c r="G831" s="1378"/>
      <c r="H831" s="1378"/>
      <c r="I831" s="1332"/>
      <c r="J831" s="1332"/>
      <c r="K831" s="1332"/>
      <c r="L831" s="1332"/>
      <c r="M831" s="1332"/>
      <c r="N831" s="1332"/>
      <c r="O831" s="1332"/>
      <c r="P831" s="1332"/>
      <c r="Q831" s="1332"/>
      <c r="R831" s="1332"/>
      <c r="S831" s="1332"/>
      <c r="T831" s="1332"/>
      <c r="U831" s="1332"/>
      <c r="V831" s="1332"/>
      <c r="W831" s="1332"/>
      <c r="X831" s="1332"/>
      <c r="Y831" s="1332"/>
      <c r="Z831" s="1332"/>
      <c r="AA831" s="1332"/>
      <c r="AB831" s="1332"/>
    </row>
    <row r="832">
      <c r="A832" s="1332"/>
      <c r="B832" s="1366"/>
      <c r="C832" s="1366"/>
      <c r="D832" s="1375"/>
      <c r="E832" s="1332"/>
      <c r="F832" s="1332"/>
      <c r="G832" s="1378"/>
      <c r="H832" s="1378"/>
      <c r="I832" s="1332"/>
      <c r="J832" s="1332"/>
      <c r="K832" s="1332"/>
      <c r="L832" s="1332"/>
      <c r="M832" s="1332"/>
      <c r="N832" s="1332"/>
      <c r="O832" s="1332"/>
      <c r="P832" s="1332"/>
      <c r="Q832" s="1332"/>
      <c r="R832" s="1332"/>
      <c r="S832" s="1332"/>
      <c r="T832" s="1332"/>
      <c r="U832" s="1332"/>
      <c r="V832" s="1332"/>
      <c r="W832" s="1332"/>
      <c r="X832" s="1332"/>
      <c r="Y832" s="1332"/>
      <c r="Z832" s="1332"/>
      <c r="AA832" s="1332"/>
      <c r="AB832" s="1332"/>
    </row>
    <row r="833">
      <c r="A833" s="1332"/>
      <c r="B833" s="1366"/>
      <c r="C833" s="1366"/>
      <c r="D833" s="1375"/>
      <c r="E833" s="1332"/>
      <c r="F833" s="1332"/>
      <c r="G833" s="1378"/>
      <c r="H833" s="1378"/>
      <c r="I833" s="1332"/>
      <c r="J833" s="1332"/>
      <c r="K833" s="1332"/>
      <c r="L833" s="1332"/>
      <c r="M833" s="1332"/>
      <c r="N833" s="1332"/>
      <c r="O833" s="1332"/>
      <c r="P833" s="1332"/>
      <c r="Q833" s="1332"/>
      <c r="R833" s="1332"/>
      <c r="S833" s="1332"/>
      <c r="T833" s="1332"/>
      <c r="U833" s="1332"/>
      <c r="V833" s="1332"/>
      <c r="W833" s="1332"/>
      <c r="X833" s="1332"/>
      <c r="Y833" s="1332"/>
      <c r="Z833" s="1332"/>
      <c r="AA833" s="1332"/>
      <c r="AB833" s="1332"/>
    </row>
    <row r="834">
      <c r="A834" s="1332"/>
      <c r="B834" s="1366"/>
      <c r="C834" s="1366"/>
      <c r="D834" s="1375"/>
      <c r="E834" s="1332"/>
      <c r="F834" s="1332"/>
      <c r="G834" s="1378"/>
      <c r="H834" s="1378"/>
      <c r="I834" s="1332"/>
      <c r="J834" s="1332"/>
      <c r="K834" s="1332"/>
      <c r="L834" s="1332"/>
      <c r="M834" s="1332"/>
      <c r="N834" s="1332"/>
      <c r="O834" s="1332"/>
      <c r="P834" s="1332"/>
      <c r="Q834" s="1332"/>
      <c r="R834" s="1332"/>
      <c r="S834" s="1332"/>
      <c r="T834" s="1332"/>
      <c r="U834" s="1332"/>
      <c r="V834" s="1332"/>
      <c r="W834" s="1332"/>
      <c r="X834" s="1332"/>
      <c r="Y834" s="1332"/>
      <c r="Z834" s="1332"/>
      <c r="AA834" s="1332"/>
      <c r="AB834" s="1332"/>
    </row>
    <row r="835">
      <c r="A835" s="1332"/>
      <c r="B835" s="1366"/>
      <c r="C835" s="1366"/>
      <c r="D835" s="1375"/>
      <c r="E835" s="1332"/>
      <c r="F835" s="1332"/>
      <c r="G835" s="1378"/>
      <c r="H835" s="1378"/>
      <c r="I835" s="1332"/>
      <c r="J835" s="1332"/>
      <c r="K835" s="1332"/>
      <c r="L835" s="1332"/>
      <c r="M835" s="1332"/>
      <c r="N835" s="1332"/>
      <c r="O835" s="1332"/>
      <c r="P835" s="1332"/>
      <c r="Q835" s="1332"/>
      <c r="R835" s="1332"/>
      <c r="S835" s="1332"/>
      <c r="T835" s="1332"/>
      <c r="U835" s="1332"/>
      <c r="V835" s="1332"/>
      <c r="W835" s="1332"/>
      <c r="X835" s="1332"/>
      <c r="Y835" s="1332"/>
      <c r="Z835" s="1332"/>
      <c r="AA835" s="1332"/>
      <c r="AB835" s="1332"/>
    </row>
    <row r="836">
      <c r="A836" s="1332"/>
      <c r="B836" s="1366"/>
      <c r="C836" s="1366"/>
      <c r="D836" s="1375"/>
      <c r="E836" s="1332"/>
      <c r="F836" s="1332"/>
      <c r="G836" s="1378"/>
      <c r="H836" s="1378"/>
      <c r="I836" s="1332"/>
      <c r="J836" s="1332"/>
      <c r="K836" s="1332"/>
      <c r="L836" s="1332"/>
      <c r="M836" s="1332"/>
      <c r="N836" s="1332"/>
      <c r="O836" s="1332"/>
      <c r="P836" s="1332"/>
      <c r="Q836" s="1332"/>
      <c r="R836" s="1332"/>
      <c r="S836" s="1332"/>
      <c r="T836" s="1332"/>
      <c r="U836" s="1332"/>
      <c r="V836" s="1332"/>
      <c r="W836" s="1332"/>
      <c r="X836" s="1332"/>
      <c r="Y836" s="1332"/>
      <c r="Z836" s="1332"/>
      <c r="AA836" s="1332"/>
      <c r="AB836" s="1332"/>
    </row>
    <row r="837">
      <c r="A837" s="1332"/>
      <c r="B837" s="1366"/>
      <c r="C837" s="1366"/>
      <c r="D837" s="1375"/>
      <c r="E837" s="1332"/>
      <c r="F837" s="1332"/>
      <c r="G837" s="1378"/>
      <c r="H837" s="1378"/>
      <c r="I837" s="1332"/>
      <c r="J837" s="1332"/>
      <c r="K837" s="1332"/>
      <c r="L837" s="1332"/>
      <c r="M837" s="1332"/>
      <c r="N837" s="1332"/>
      <c r="O837" s="1332"/>
      <c r="P837" s="1332"/>
      <c r="Q837" s="1332"/>
      <c r="R837" s="1332"/>
      <c r="S837" s="1332"/>
      <c r="T837" s="1332"/>
      <c r="U837" s="1332"/>
      <c r="V837" s="1332"/>
      <c r="W837" s="1332"/>
      <c r="X837" s="1332"/>
      <c r="Y837" s="1332"/>
      <c r="Z837" s="1332"/>
      <c r="AA837" s="1332"/>
      <c r="AB837" s="1332"/>
    </row>
    <row r="838">
      <c r="A838" s="1332"/>
      <c r="B838" s="1366"/>
      <c r="C838" s="1366"/>
      <c r="D838" s="1375"/>
      <c r="E838" s="1332"/>
      <c r="F838" s="1332"/>
      <c r="G838" s="1378"/>
      <c r="H838" s="1378"/>
      <c r="I838" s="1332"/>
      <c r="J838" s="1332"/>
      <c r="K838" s="1332"/>
      <c r="L838" s="1332"/>
      <c r="M838" s="1332"/>
      <c r="N838" s="1332"/>
      <c r="O838" s="1332"/>
      <c r="P838" s="1332"/>
      <c r="Q838" s="1332"/>
      <c r="R838" s="1332"/>
      <c r="S838" s="1332"/>
      <c r="T838" s="1332"/>
      <c r="U838" s="1332"/>
      <c r="V838" s="1332"/>
      <c r="W838" s="1332"/>
      <c r="X838" s="1332"/>
      <c r="Y838" s="1332"/>
      <c r="Z838" s="1332"/>
      <c r="AA838" s="1332"/>
      <c r="AB838" s="1332"/>
    </row>
    <row r="839">
      <c r="A839" s="1332"/>
      <c r="B839" s="1366"/>
      <c r="C839" s="1366"/>
      <c r="D839" s="1375"/>
      <c r="E839" s="1332"/>
      <c r="F839" s="1332"/>
      <c r="G839" s="1378"/>
      <c r="H839" s="1378"/>
      <c r="I839" s="1332"/>
      <c r="J839" s="1332"/>
      <c r="K839" s="1332"/>
      <c r="L839" s="1332"/>
      <c r="M839" s="1332"/>
      <c r="N839" s="1332"/>
      <c r="O839" s="1332"/>
      <c r="P839" s="1332"/>
      <c r="Q839" s="1332"/>
      <c r="R839" s="1332"/>
      <c r="S839" s="1332"/>
      <c r="T839" s="1332"/>
      <c r="U839" s="1332"/>
      <c r="V839" s="1332"/>
      <c r="W839" s="1332"/>
      <c r="X839" s="1332"/>
      <c r="Y839" s="1332"/>
      <c r="Z839" s="1332"/>
      <c r="AA839" s="1332"/>
      <c r="AB839" s="1332"/>
    </row>
    <row r="840">
      <c r="A840" s="1332"/>
      <c r="B840" s="1366"/>
      <c r="C840" s="1366"/>
      <c r="D840" s="1375"/>
      <c r="E840" s="1332"/>
      <c r="F840" s="1332"/>
      <c r="G840" s="1378"/>
      <c r="H840" s="1378"/>
      <c r="I840" s="1332"/>
      <c r="J840" s="1332"/>
      <c r="K840" s="1332"/>
      <c r="L840" s="1332"/>
      <c r="M840" s="1332"/>
      <c r="N840" s="1332"/>
      <c r="O840" s="1332"/>
      <c r="P840" s="1332"/>
      <c r="Q840" s="1332"/>
      <c r="R840" s="1332"/>
      <c r="S840" s="1332"/>
      <c r="T840" s="1332"/>
      <c r="U840" s="1332"/>
      <c r="V840" s="1332"/>
      <c r="W840" s="1332"/>
      <c r="X840" s="1332"/>
      <c r="Y840" s="1332"/>
      <c r="Z840" s="1332"/>
      <c r="AA840" s="1332"/>
      <c r="AB840" s="1332"/>
    </row>
    <row r="841">
      <c r="A841" s="1332"/>
      <c r="B841" s="1366"/>
      <c r="C841" s="1366"/>
      <c r="D841" s="1375"/>
      <c r="E841" s="1332"/>
      <c r="F841" s="1332"/>
      <c r="G841" s="1378"/>
      <c r="H841" s="1378"/>
      <c r="I841" s="1332"/>
      <c r="J841" s="1332"/>
      <c r="K841" s="1332"/>
      <c r="L841" s="1332"/>
      <c r="M841" s="1332"/>
      <c r="N841" s="1332"/>
      <c r="O841" s="1332"/>
      <c r="P841" s="1332"/>
      <c r="Q841" s="1332"/>
      <c r="R841" s="1332"/>
      <c r="S841" s="1332"/>
      <c r="T841" s="1332"/>
      <c r="U841" s="1332"/>
      <c r="V841" s="1332"/>
      <c r="W841" s="1332"/>
      <c r="X841" s="1332"/>
      <c r="Y841" s="1332"/>
      <c r="Z841" s="1332"/>
      <c r="AA841" s="1332"/>
      <c r="AB841" s="1332"/>
    </row>
    <row r="842">
      <c r="A842" s="1332"/>
      <c r="B842" s="1366"/>
      <c r="C842" s="1366"/>
      <c r="D842" s="1375"/>
      <c r="E842" s="1332"/>
      <c r="F842" s="1332"/>
      <c r="G842" s="1378"/>
      <c r="H842" s="1378"/>
      <c r="I842" s="1332"/>
      <c r="J842" s="1332"/>
      <c r="K842" s="1332"/>
      <c r="L842" s="1332"/>
      <c r="M842" s="1332"/>
      <c r="N842" s="1332"/>
      <c r="O842" s="1332"/>
      <c r="P842" s="1332"/>
      <c r="Q842" s="1332"/>
      <c r="R842" s="1332"/>
      <c r="S842" s="1332"/>
      <c r="T842" s="1332"/>
      <c r="U842" s="1332"/>
      <c r="V842" s="1332"/>
      <c r="W842" s="1332"/>
      <c r="X842" s="1332"/>
      <c r="Y842" s="1332"/>
      <c r="Z842" s="1332"/>
      <c r="AA842" s="1332"/>
      <c r="AB842" s="1332"/>
    </row>
    <row r="843">
      <c r="A843" s="1332"/>
      <c r="B843" s="1366"/>
      <c r="C843" s="1366"/>
      <c r="D843" s="1375"/>
      <c r="E843" s="1332"/>
      <c r="F843" s="1332"/>
      <c r="G843" s="1378"/>
      <c r="H843" s="1378"/>
      <c r="I843" s="1332"/>
      <c r="J843" s="1332"/>
      <c r="K843" s="1332"/>
      <c r="L843" s="1332"/>
      <c r="M843" s="1332"/>
      <c r="N843" s="1332"/>
      <c r="O843" s="1332"/>
      <c r="P843" s="1332"/>
      <c r="Q843" s="1332"/>
      <c r="R843" s="1332"/>
      <c r="S843" s="1332"/>
      <c r="T843" s="1332"/>
      <c r="U843" s="1332"/>
      <c r="V843" s="1332"/>
      <c r="W843" s="1332"/>
      <c r="X843" s="1332"/>
      <c r="Y843" s="1332"/>
      <c r="Z843" s="1332"/>
      <c r="AA843" s="1332"/>
      <c r="AB843" s="1332"/>
    </row>
    <row r="844">
      <c r="A844" s="1332"/>
      <c r="B844" s="1366"/>
      <c r="C844" s="1366"/>
      <c r="D844" s="1375"/>
      <c r="E844" s="1332"/>
      <c r="F844" s="1332"/>
      <c r="G844" s="1378"/>
      <c r="H844" s="1378"/>
      <c r="I844" s="1332"/>
      <c r="J844" s="1332"/>
      <c r="K844" s="1332"/>
      <c r="L844" s="1332"/>
      <c r="M844" s="1332"/>
      <c r="N844" s="1332"/>
      <c r="O844" s="1332"/>
      <c r="P844" s="1332"/>
      <c r="Q844" s="1332"/>
      <c r="R844" s="1332"/>
      <c r="S844" s="1332"/>
      <c r="T844" s="1332"/>
      <c r="U844" s="1332"/>
      <c r="V844" s="1332"/>
      <c r="W844" s="1332"/>
      <c r="X844" s="1332"/>
      <c r="Y844" s="1332"/>
      <c r="Z844" s="1332"/>
      <c r="AA844" s="1332"/>
      <c r="AB844" s="1332"/>
    </row>
    <row r="845">
      <c r="A845" s="1332"/>
      <c r="B845" s="1366"/>
      <c r="C845" s="1366"/>
      <c r="D845" s="1375"/>
      <c r="E845" s="1332"/>
      <c r="F845" s="1332"/>
      <c r="G845" s="1378"/>
      <c r="H845" s="1378"/>
      <c r="I845" s="1332"/>
      <c r="J845" s="1332"/>
      <c r="K845" s="1332"/>
      <c r="L845" s="1332"/>
      <c r="M845" s="1332"/>
      <c r="N845" s="1332"/>
      <c r="O845" s="1332"/>
      <c r="P845" s="1332"/>
      <c r="Q845" s="1332"/>
      <c r="R845" s="1332"/>
      <c r="S845" s="1332"/>
      <c r="T845" s="1332"/>
      <c r="U845" s="1332"/>
      <c r="V845" s="1332"/>
      <c r="W845" s="1332"/>
      <c r="X845" s="1332"/>
      <c r="Y845" s="1332"/>
      <c r="Z845" s="1332"/>
      <c r="AA845" s="1332"/>
      <c r="AB845" s="1332"/>
    </row>
    <row r="846">
      <c r="A846" s="1332"/>
      <c r="B846" s="1366"/>
      <c r="C846" s="1366"/>
      <c r="D846" s="1375"/>
      <c r="E846" s="1332"/>
      <c r="F846" s="1332"/>
      <c r="G846" s="1378"/>
      <c r="H846" s="1378"/>
      <c r="I846" s="1332"/>
      <c r="J846" s="1332"/>
      <c r="K846" s="1332"/>
      <c r="L846" s="1332"/>
      <c r="M846" s="1332"/>
      <c r="N846" s="1332"/>
      <c r="O846" s="1332"/>
      <c r="P846" s="1332"/>
      <c r="Q846" s="1332"/>
      <c r="R846" s="1332"/>
      <c r="S846" s="1332"/>
      <c r="T846" s="1332"/>
      <c r="U846" s="1332"/>
      <c r="V846" s="1332"/>
      <c r="W846" s="1332"/>
      <c r="X846" s="1332"/>
      <c r="Y846" s="1332"/>
      <c r="Z846" s="1332"/>
      <c r="AA846" s="1332"/>
      <c r="AB846" s="1332"/>
    </row>
    <row r="847">
      <c r="A847" s="1332"/>
      <c r="B847" s="1366"/>
      <c r="C847" s="1366"/>
      <c r="D847" s="1375"/>
      <c r="E847" s="1332"/>
      <c r="F847" s="1332"/>
      <c r="G847" s="1378"/>
      <c r="H847" s="1378"/>
      <c r="I847" s="1332"/>
      <c r="J847" s="1332"/>
      <c r="K847" s="1332"/>
      <c r="L847" s="1332"/>
      <c r="M847" s="1332"/>
      <c r="N847" s="1332"/>
      <c r="O847" s="1332"/>
      <c r="P847" s="1332"/>
      <c r="Q847" s="1332"/>
      <c r="R847" s="1332"/>
      <c r="S847" s="1332"/>
      <c r="T847" s="1332"/>
      <c r="U847" s="1332"/>
      <c r="V847" s="1332"/>
      <c r="W847" s="1332"/>
      <c r="X847" s="1332"/>
      <c r="Y847" s="1332"/>
      <c r="Z847" s="1332"/>
      <c r="AA847" s="1332"/>
      <c r="AB847" s="1332"/>
    </row>
    <row r="848">
      <c r="A848" s="1332"/>
      <c r="B848" s="1366"/>
      <c r="C848" s="1366"/>
      <c r="D848" s="1375"/>
      <c r="E848" s="1332"/>
      <c r="F848" s="1332"/>
      <c r="G848" s="1378"/>
      <c r="H848" s="1378"/>
      <c r="I848" s="1332"/>
      <c r="J848" s="1332"/>
      <c r="K848" s="1332"/>
      <c r="L848" s="1332"/>
      <c r="M848" s="1332"/>
      <c r="N848" s="1332"/>
      <c r="O848" s="1332"/>
      <c r="P848" s="1332"/>
      <c r="Q848" s="1332"/>
      <c r="R848" s="1332"/>
      <c r="S848" s="1332"/>
      <c r="T848" s="1332"/>
      <c r="U848" s="1332"/>
      <c r="V848" s="1332"/>
      <c r="W848" s="1332"/>
      <c r="X848" s="1332"/>
      <c r="Y848" s="1332"/>
      <c r="Z848" s="1332"/>
      <c r="AA848" s="1332"/>
      <c r="AB848" s="1332"/>
    </row>
    <row r="849">
      <c r="A849" s="1332"/>
      <c r="B849" s="1366"/>
      <c r="C849" s="1366"/>
      <c r="D849" s="1375"/>
      <c r="E849" s="1332"/>
      <c r="F849" s="1332"/>
      <c r="G849" s="1378"/>
      <c r="H849" s="1378"/>
      <c r="I849" s="1332"/>
      <c r="J849" s="1332"/>
      <c r="K849" s="1332"/>
      <c r="L849" s="1332"/>
      <c r="M849" s="1332"/>
      <c r="N849" s="1332"/>
      <c r="O849" s="1332"/>
      <c r="P849" s="1332"/>
      <c r="Q849" s="1332"/>
      <c r="R849" s="1332"/>
      <c r="S849" s="1332"/>
      <c r="T849" s="1332"/>
      <c r="U849" s="1332"/>
      <c r="V849" s="1332"/>
      <c r="W849" s="1332"/>
      <c r="X849" s="1332"/>
      <c r="Y849" s="1332"/>
      <c r="Z849" s="1332"/>
      <c r="AA849" s="1332"/>
      <c r="AB849" s="1332"/>
    </row>
    <row r="850">
      <c r="A850" s="1332"/>
      <c r="B850" s="1366"/>
      <c r="C850" s="1366"/>
      <c r="D850" s="1375"/>
      <c r="E850" s="1332"/>
      <c r="F850" s="1332"/>
      <c r="G850" s="1378"/>
      <c r="H850" s="1378"/>
      <c r="I850" s="1332"/>
      <c r="J850" s="1332"/>
      <c r="K850" s="1332"/>
      <c r="L850" s="1332"/>
      <c r="M850" s="1332"/>
      <c r="N850" s="1332"/>
      <c r="O850" s="1332"/>
      <c r="P850" s="1332"/>
      <c r="Q850" s="1332"/>
      <c r="R850" s="1332"/>
      <c r="S850" s="1332"/>
      <c r="T850" s="1332"/>
      <c r="U850" s="1332"/>
      <c r="V850" s="1332"/>
      <c r="W850" s="1332"/>
      <c r="X850" s="1332"/>
      <c r="Y850" s="1332"/>
      <c r="Z850" s="1332"/>
      <c r="AA850" s="1332"/>
      <c r="AB850" s="1332"/>
    </row>
    <row r="851">
      <c r="A851" s="1332"/>
      <c r="B851" s="1366"/>
      <c r="C851" s="1366"/>
      <c r="D851" s="1375"/>
      <c r="E851" s="1332"/>
      <c r="F851" s="1332"/>
      <c r="G851" s="1378"/>
      <c r="H851" s="1378"/>
      <c r="I851" s="1332"/>
      <c r="J851" s="1332"/>
      <c r="K851" s="1332"/>
      <c r="L851" s="1332"/>
      <c r="M851" s="1332"/>
      <c r="N851" s="1332"/>
      <c r="O851" s="1332"/>
      <c r="P851" s="1332"/>
      <c r="Q851" s="1332"/>
      <c r="R851" s="1332"/>
      <c r="S851" s="1332"/>
      <c r="T851" s="1332"/>
      <c r="U851" s="1332"/>
      <c r="V851" s="1332"/>
      <c r="W851" s="1332"/>
      <c r="X851" s="1332"/>
      <c r="Y851" s="1332"/>
      <c r="Z851" s="1332"/>
      <c r="AA851" s="1332"/>
      <c r="AB851" s="1332"/>
    </row>
    <row r="852">
      <c r="A852" s="1332"/>
      <c r="B852" s="1366"/>
      <c r="C852" s="1366"/>
      <c r="D852" s="1375"/>
      <c r="E852" s="1332"/>
      <c r="F852" s="1332"/>
      <c r="G852" s="1378"/>
      <c r="H852" s="1378"/>
      <c r="I852" s="1332"/>
      <c r="J852" s="1332"/>
      <c r="K852" s="1332"/>
      <c r="L852" s="1332"/>
      <c r="M852" s="1332"/>
      <c r="N852" s="1332"/>
      <c r="O852" s="1332"/>
      <c r="P852" s="1332"/>
      <c r="Q852" s="1332"/>
      <c r="R852" s="1332"/>
      <c r="S852" s="1332"/>
      <c r="T852" s="1332"/>
      <c r="U852" s="1332"/>
      <c r="V852" s="1332"/>
      <c r="W852" s="1332"/>
      <c r="X852" s="1332"/>
      <c r="Y852" s="1332"/>
      <c r="Z852" s="1332"/>
      <c r="AA852" s="1332"/>
      <c r="AB852" s="1332"/>
    </row>
    <row r="853">
      <c r="A853" s="1332"/>
      <c r="B853" s="1366"/>
      <c r="C853" s="1366"/>
      <c r="D853" s="1375"/>
      <c r="E853" s="1332"/>
      <c r="F853" s="1332"/>
      <c r="G853" s="1378"/>
      <c r="H853" s="1378"/>
      <c r="I853" s="1332"/>
      <c r="J853" s="1332"/>
      <c r="K853" s="1332"/>
      <c r="L853" s="1332"/>
      <c r="M853" s="1332"/>
      <c r="N853" s="1332"/>
      <c r="O853" s="1332"/>
      <c r="P853" s="1332"/>
      <c r="Q853" s="1332"/>
      <c r="R853" s="1332"/>
      <c r="S853" s="1332"/>
      <c r="T853" s="1332"/>
      <c r="U853" s="1332"/>
      <c r="V853" s="1332"/>
      <c r="W853" s="1332"/>
      <c r="X853" s="1332"/>
      <c r="Y853" s="1332"/>
      <c r="Z853" s="1332"/>
      <c r="AA853" s="1332"/>
      <c r="AB853" s="1332"/>
    </row>
    <row r="854">
      <c r="A854" s="1332"/>
      <c r="B854" s="1366"/>
      <c r="C854" s="1366"/>
      <c r="D854" s="1375"/>
      <c r="E854" s="1332"/>
      <c r="F854" s="1332"/>
      <c r="G854" s="1378"/>
      <c r="H854" s="1378"/>
      <c r="I854" s="1332"/>
      <c r="J854" s="1332"/>
      <c r="K854" s="1332"/>
      <c r="L854" s="1332"/>
      <c r="M854" s="1332"/>
      <c r="N854" s="1332"/>
      <c r="O854" s="1332"/>
      <c r="P854" s="1332"/>
      <c r="Q854" s="1332"/>
      <c r="R854" s="1332"/>
      <c r="S854" s="1332"/>
      <c r="T854" s="1332"/>
      <c r="U854" s="1332"/>
      <c r="V854" s="1332"/>
      <c r="W854" s="1332"/>
      <c r="X854" s="1332"/>
      <c r="Y854" s="1332"/>
      <c r="Z854" s="1332"/>
      <c r="AA854" s="1332"/>
      <c r="AB854" s="1332"/>
    </row>
    <row r="855">
      <c r="A855" s="1332"/>
      <c r="B855" s="1366"/>
      <c r="C855" s="1366"/>
      <c r="D855" s="1375"/>
      <c r="E855" s="1332"/>
      <c r="F855" s="1332"/>
      <c r="G855" s="1378"/>
      <c r="H855" s="1378"/>
      <c r="I855" s="1332"/>
      <c r="J855" s="1332"/>
      <c r="K855" s="1332"/>
      <c r="L855" s="1332"/>
      <c r="M855" s="1332"/>
      <c r="N855" s="1332"/>
      <c r="O855" s="1332"/>
      <c r="P855" s="1332"/>
      <c r="Q855" s="1332"/>
      <c r="R855" s="1332"/>
      <c r="S855" s="1332"/>
      <c r="T855" s="1332"/>
      <c r="U855" s="1332"/>
      <c r="V855" s="1332"/>
      <c r="W855" s="1332"/>
      <c r="X855" s="1332"/>
      <c r="Y855" s="1332"/>
      <c r="Z855" s="1332"/>
      <c r="AA855" s="1332"/>
      <c r="AB855" s="1332"/>
    </row>
    <row r="856">
      <c r="A856" s="1332"/>
      <c r="B856" s="1366"/>
      <c r="C856" s="1366"/>
      <c r="D856" s="1375"/>
      <c r="E856" s="1332"/>
      <c r="F856" s="1332"/>
      <c r="G856" s="1378"/>
      <c r="H856" s="1378"/>
      <c r="I856" s="1332"/>
      <c r="J856" s="1332"/>
      <c r="K856" s="1332"/>
      <c r="L856" s="1332"/>
      <c r="M856" s="1332"/>
      <c r="N856" s="1332"/>
      <c r="O856" s="1332"/>
      <c r="P856" s="1332"/>
      <c r="Q856" s="1332"/>
      <c r="R856" s="1332"/>
      <c r="S856" s="1332"/>
      <c r="T856" s="1332"/>
      <c r="U856" s="1332"/>
      <c r="V856" s="1332"/>
      <c r="W856" s="1332"/>
      <c r="X856" s="1332"/>
      <c r="Y856" s="1332"/>
      <c r="Z856" s="1332"/>
      <c r="AA856" s="1332"/>
      <c r="AB856" s="1332"/>
    </row>
    <row r="857">
      <c r="A857" s="1332"/>
      <c r="B857" s="1366"/>
      <c r="C857" s="1366"/>
      <c r="D857" s="1375"/>
      <c r="E857" s="1332"/>
      <c r="F857" s="1332"/>
      <c r="G857" s="1378"/>
      <c r="H857" s="1378"/>
      <c r="I857" s="1332"/>
      <c r="J857" s="1332"/>
      <c r="K857" s="1332"/>
      <c r="L857" s="1332"/>
      <c r="M857" s="1332"/>
      <c r="N857" s="1332"/>
      <c r="O857" s="1332"/>
      <c r="P857" s="1332"/>
      <c r="Q857" s="1332"/>
      <c r="R857" s="1332"/>
      <c r="S857" s="1332"/>
      <c r="T857" s="1332"/>
      <c r="U857" s="1332"/>
      <c r="V857" s="1332"/>
      <c r="W857" s="1332"/>
      <c r="X857" s="1332"/>
      <c r="Y857" s="1332"/>
      <c r="Z857" s="1332"/>
      <c r="AA857" s="1332"/>
      <c r="AB857" s="1332"/>
    </row>
    <row r="858">
      <c r="A858" s="1332"/>
      <c r="B858" s="1366"/>
      <c r="C858" s="1366"/>
      <c r="D858" s="1375"/>
      <c r="E858" s="1332"/>
      <c r="F858" s="1332"/>
      <c r="G858" s="1378"/>
      <c r="H858" s="1378"/>
      <c r="I858" s="1332"/>
      <c r="J858" s="1332"/>
      <c r="K858" s="1332"/>
      <c r="L858" s="1332"/>
      <c r="M858" s="1332"/>
      <c r="N858" s="1332"/>
      <c r="O858" s="1332"/>
      <c r="P858" s="1332"/>
      <c r="Q858" s="1332"/>
      <c r="R858" s="1332"/>
      <c r="S858" s="1332"/>
      <c r="T858" s="1332"/>
      <c r="U858" s="1332"/>
      <c r="V858" s="1332"/>
      <c r="W858" s="1332"/>
      <c r="X858" s="1332"/>
      <c r="Y858" s="1332"/>
      <c r="Z858" s="1332"/>
      <c r="AA858" s="1332"/>
      <c r="AB858" s="1332"/>
    </row>
    <row r="859">
      <c r="A859" s="1332"/>
      <c r="B859" s="1366"/>
      <c r="C859" s="1366"/>
      <c r="D859" s="1375"/>
      <c r="E859" s="1332"/>
      <c r="F859" s="1332"/>
      <c r="G859" s="1378"/>
      <c r="H859" s="1378"/>
      <c r="I859" s="1332"/>
      <c r="J859" s="1332"/>
      <c r="K859" s="1332"/>
      <c r="L859" s="1332"/>
      <c r="M859" s="1332"/>
      <c r="N859" s="1332"/>
      <c r="O859" s="1332"/>
      <c r="P859" s="1332"/>
      <c r="Q859" s="1332"/>
      <c r="R859" s="1332"/>
      <c r="S859" s="1332"/>
      <c r="T859" s="1332"/>
      <c r="U859" s="1332"/>
      <c r="V859" s="1332"/>
      <c r="W859" s="1332"/>
      <c r="X859" s="1332"/>
      <c r="Y859" s="1332"/>
      <c r="Z859" s="1332"/>
      <c r="AA859" s="1332"/>
      <c r="AB859" s="1332"/>
    </row>
    <row r="860">
      <c r="A860" s="1332"/>
      <c r="B860" s="1366"/>
      <c r="C860" s="1366"/>
      <c r="D860" s="1375"/>
      <c r="E860" s="1332"/>
      <c r="F860" s="1332"/>
      <c r="G860" s="1378"/>
      <c r="H860" s="1378"/>
      <c r="I860" s="1332"/>
      <c r="J860" s="1332"/>
      <c r="K860" s="1332"/>
      <c r="L860" s="1332"/>
      <c r="M860" s="1332"/>
      <c r="N860" s="1332"/>
      <c r="O860" s="1332"/>
      <c r="P860" s="1332"/>
      <c r="Q860" s="1332"/>
      <c r="R860" s="1332"/>
      <c r="S860" s="1332"/>
      <c r="T860" s="1332"/>
      <c r="U860" s="1332"/>
      <c r="V860" s="1332"/>
      <c r="W860" s="1332"/>
      <c r="X860" s="1332"/>
      <c r="Y860" s="1332"/>
      <c r="Z860" s="1332"/>
      <c r="AA860" s="1332"/>
      <c r="AB860" s="1332"/>
    </row>
    <row r="861">
      <c r="A861" s="1332"/>
      <c r="B861" s="1366"/>
      <c r="C861" s="1366"/>
      <c r="D861" s="1375"/>
      <c r="E861" s="1332"/>
      <c r="F861" s="1332"/>
      <c r="G861" s="1378"/>
      <c r="H861" s="1378"/>
      <c r="I861" s="1332"/>
      <c r="J861" s="1332"/>
      <c r="K861" s="1332"/>
      <c r="L861" s="1332"/>
      <c r="M861" s="1332"/>
      <c r="N861" s="1332"/>
      <c r="O861" s="1332"/>
      <c r="P861" s="1332"/>
      <c r="Q861" s="1332"/>
      <c r="R861" s="1332"/>
      <c r="S861" s="1332"/>
      <c r="T861" s="1332"/>
      <c r="U861" s="1332"/>
      <c r="V861" s="1332"/>
      <c r="W861" s="1332"/>
      <c r="X861" s="1332"/>
      <c r="Y861" s="1332"/>
      <c r="Z861" s="1332"/>
      <c r="AA861" s="1332"/>
      <c r="AB861" s="1332"/>
    </row>
    <row r="862">
      <c r="A862" s="1332"/>
      <c r="B862" s="1366"/>
      <c r="C862" s="1366"/>
      <c r="D862" s="1375"/>
      <c r="E862" s="1332"/>
      <c r="F862" s="1332"/>
      <c r="G862" s="1378"/>
      <c r="H862" s="1378"/>
      <c r="I862" s="1332"/>
      <c r="J862" s="1332"/>
      <c r="K862" s="1332"/>
      <c r="L862" s="1332"/>
      <c r="M862" s="1332"/>
      <c r="N862" s="1332"/>
      <c r="O862" s="1332"/>
      <c r="P862" s="1332"/>
      <c r="Q862" s="1332"/>
      <c r="R862" s="1332"/>
      <c r="S862" s="1332"/>
      <c r="T862" s="1332"/>
      <c r="U862" s="1332"/>
      <c r="V862" s="1332"/>
      <c r="W862" s="1332"/>
      <c r="X862" s="1332"/>
      <c r="Y862" s="1332"/>
      <c r="Z862" s="1332"/>
      <c r="AA862" s="1332"/>
      <c r="AB862" s="1332"/>
    </row>
    <row r="863">
      <c r="A863" s="1332"/>
      <c r="B863" s="1366"/>
      <c r="C863" s="1366"/>
      <c r="D863" s="1375"/>
      <c r="E863" s="1332"/>
      <c r="F863" s="1332"/>
      <c r="G863" s="1378"/>
      <c r="H863" s="1378"/>
      <c r="I863" s="1332"/>
      <c r="J863" s="1332"/>
      <c r="K863" s="1332"/>
      <c r="L863" s="1332"/>
      <c r="M863" s="1332"/>
      <c r="N863" s="1332"/>
      <c r="O863" s="1332"/>
      <c r="P863" s="1332"/>
      <c r="Q863" s="1332"/>
      <c r="R863" s="1332"/>
      <c r="S863" s="1332"/>
      <c r="T863" s="1332"/>
      <c r="U863" s="1332"/>
      <c r="V863" s="1332"/>
      <c r="W863" s="1332"/>
      <c r="X863" s="1332"/>
      <c r="Y863" s="1332"/>
      <c r="Z863" s="1332"/>
      <c r="AA863" s="1332"/>
      <c r="AB863" s="1332"/>
    </row>
    <row r="864">
      <c r="A864" s="1332"/>
      <c r="B864" s="1366"/>
      <c r="C864" s="1366"/>
      <c r="D864" s="1375"/>
      <c r="E864" s="1332"/>
      <c r="F864" s="1332"/>
      <c r="G864" s="1378"/>
      <c r="H864" s="1378"/>
      <c r="I864" s="1332"/>
      <c r="J864" s="1332"/>
      <c r="K864" s="1332"/>
      <c r="L864" s="1332"/>
      <c r="M864" s="1332"/>
      <c r="N864" s="1332"/>
      <c r="O864" s="1332"/>
      <c r="P864" s="1332"/>
      <c r="Q864" s="1332"/>
      <c r="R864" s="1332"/>
      <c r="S864" s="1332"/>
      <c r="T864" s="1332"/>
      <c r="U864" s="1332"/>
      <c r="V864" s="1332"/>
      <c r="W864" s="1332"/>
      <c r="X864" s="1332"/>
      <c r="Y864" s="1332"/>
      <c r="Z864" s="1332"/>
      <c r="AA864" s="1332"/>
      <c r="AB864" s="1332"/>
    </row>
    <row r="865">
      <c r="A865" s="1332"/>
      <c r="B865" s="1366"/>
      <c r="C865" s="1366"/>
      <c r="D865" s="1375"/>
      <c r="E865" s="1332"/>
      <c r="F865" s="1332"/>
      <c r="G865" s="1378"/>
      <c r="H865" s="1378"/>
      <c r="I865" s="1332"/>
      <c r="J865" s="1332"/>
      <c r="K865" s="1332"/>
      <c r="L865" s="1332"/>
      <c r="M865" s="1332"/>
      <c r="N865" s="1332"/>
      <c r="O865" s="1332"/>
      <c r="P865" s="1332"/>
      <c r="Q865" s="1332"/>
      <c r="R865" s="1332"/>
      <c r="S865" s="1332"/>
      <c r="T865" s="1332"/>
      <c r="U865" s="1332"/>
      <c r="V865" s="1332"/>
      <c r="W865" s="1332"/>
      <c r="X865" s="1332"/>
      <c r="Y865" s="1332"/>
      <c r="Z865" s="1332"/>
      <c r="AA865" s="1332"/>
      <c r="AB865" s="1332"/>
    </row>
    <row r="866">
      <c r="A866" s="1332"/>
      <c r="B866" s="1366"/>
      <c r="C866" s="1366"/>
      <c r="D866" s="1375"/>
      <c r="E866" s="1332"/>
      <c r="F866" s="1332"/>
      <c r="G866" s="1378"/>
      <c r="H866" s="1378"/>
      <c r="I866" s="1332"/>
      <c r="J866" s="1332"/>
      <c r="K866" s="1332"/>
      <c r="L866" s="1332"/>
      <c r="M866" s="1332"/>
      <c r="N866" s="1332"/>
      <c r="O866" s="1332"/>
      <c r="P866" s="1332"/>
      <c r="Q866" s="1332"/>
      <c r="R866" s="1332"/>
      <c r="S866" s="1332"/>
      <c r="T866" s="1332"/>
      <c r="U866" s="1332"/>
      <c r="V866" s="1332"/>
      <c r="W866" s="1332"/>
      <c r="X866" s="1332"/>
      <c r="Y866" s="1332"/>
      <c r="Z866" s="1332"/>
      <c r="AA866" s="1332"/>
      <c r="AB866" s="1332"/>
    </row>
    <row r="867">
      <c r="A867" s="1332"/>
      <c r="B867" s="1366"/>
      <c r="C867" s="1366"/>
      <c r="D867" s="1375"/>
      <c r="E867" s="1332"/>
      <c r="F867" s="1332"/>
      <c r="G867" s="1378"/>
      <c r="H867" s="1378"/>
      <c r="I867" s="1332"/>
      <c r="J867" s="1332"/>
      <c r="K867" s="1332"/>
      <c r="L867" s="1332"/>
      <c r="M867" s="1332"/>
      <c r="N867" s="1332"/>
      <c r="O867" s="1332"/>
      <c r="P867" s="1332"/>
      <c r="Q867" s="1332"/>
      <c r="R867" s="1332"/>
      <c r="S867" s="1332"/>
      <c r="T867" s="1332"/>
      <c r="U867" s="1332"/>
      <c r="V867" s="1332"/>
      <c r="W867" s="1332"/>
      <c r="X867" s="1332"/>
      <c r="Y867" s="1332"/>
      <c r="Z867" s="1332"/>
      <c r="AA867" s="1332"/>
      <c r="AB867" s="1332"/>
    </row>
    <row r="868">
      <c r="A868" s="1332"/>
      <c r="B868" s="1366"/>
      <c r="C868" s="1366"/>
      <c r="D868" s="1375"/>
      <c r="E868" s="1332"/>
      <c r="F868" s="1332"/>
      <c r="G868" s="1378"/>
      <c r="H868" s="1378"/>
      <c r="I868" s="1332"/>
      <c r="J868" s="1332"/>
      <c r="K868" s="1332"/>
      <c r="L868" s="1332"/>
      <c r="M868" s="1332"/>
      <c r="N868" s="1332"/>
      <c r="O868" s="1332"/>
      <c r="P868" s="1332"/>
      <c r="Q868" s="1332"/>
      <c r="R868" s="1332"/>
      <c r="S868" s="1332"/>
      <c r="T868" s="1332"/>
      <c r="U868" s="1332"/>
      <c r="V868" s="1332"/>
      <c r="W868" s="1332"/>
      <c r="X868" s="1332"/>
      <c r="Y868" s="1332"/>
      <c r="Z868" s="1332"/>
      <c r="AA868" s="1332"/>
      <c r="AB868" s="1332"/>
    </row>
    <row r="869">
      <c r="A869" s="1332"/>
      <c r="B869" s="1366"/>
      <c r="C869" s="1366"/>
      <c r="D869" s="1375"/>
      <c r="E869" s="1332"/>
      <c r="F869" s="1332"/>
      <c r="G869" s="1378"/>
      <c r="H869" s="1378"/>
      <c r="I869" s="1332"/>
      <c r="J869" s="1332"/>
      <c r="K869" s="1332"/>
      <c r="L869" s="1332"/>
      <c r="M869" s="1332"/>
      <c r="N869" s="1332"/>
      <c r="O869" s="1332"/>
      <c r="P869" s="1332"/>
      <c r="Q869" s="1332"/>
      <c r="R869" s="1332"/>
      <c r="S869" s="1332"/>
      <c r="T869" s="1332"/>
      <c r="U869" s="1332"/>
      <c r="V869" s="1332"/>
      <c r="W869" s="1332"/>
      <c r="X869" s="1332"/>
      <c r="Y869" s="1332"/>
      <c r="Z869" s="1332"/>
      <c r="AA869" s="1332"/>
      <c r="AB869" s="1332"/>
    </row>
    <row r="870">
      <c r="A870" s="1332"/>
      <c r="B870" s="1366"/>
      <c r="C870" s="1366"/>
      <c r="D870" s="1375"/>
      <c r="E870" s="1332"/>
      <c r="F870" s="1332"/>
      <c r="G870" s="1378"/>
      <c r="H870" s="1378"/>
      <c r="I870" s="1332"/>
      <c r="J870" s="1332"/>
      <c r="K870" s="1332"/>
      <c r="L870" s="1332"/>
      <c r="M870" s="1332"/>
      <c r="N870" s="1332"/>
      <c r="O870" s="1332"/>
      <c r="P870" s="1332"/>
      <c r="Q870" s="1332"/>
      <c r="R870" s="1332"/>
      <c r="S870" s="1332"/>
      <c r="T870" s="1332"/>
      <c r="U870" s="1332"/>
      <c r="V870" s="1332"/>
      <c r="W870" s="1332"/>
      <c r="X870" s="1332"/>
      <c r="Y870" s="1332"/>
      <c r="Z870" s="1332"/>
      <c r="AA870" s="1332"/>
      <c r="AB870" s="1332"/>
    </row>
    <row r="871">
      <c r="A871" s="1332"/>
      <c r="B871" s="1366"/>
      <c r="C871" s="1366"/>
      <c r="D871" s="1375"/>
      <c r="E871" s="1332"/>
      <c r="F871" s="1332"/>
      <c r="G871" s="1378"/>
      <c r="H871" s="1378"/>
      <c r="I871" s="1332"/>
      <c r="J871" s="1332"/>
      <c r="K871" s="1332"/>
      <c r="L871" s="1332"/>
      <c r="M871" s="1332"/>
      <c r="N871" s="1332"/>
      <c r="O871" s="1332"/>
      <c r="P871" s="1332"/>
      <c r="Q871" s="1332"/>
      <c r="R871" s="1332"/>
      <c r="S871" s="1332"/>
      <c r="T871" s="1332"/>
      <c r="U871" s="1332"/>
      <c r="V871" s="1332"/>
      <c r="W871" s="1332"/>
      <c r="X871" s="1332"/>
      <c r="Y871" s="1332"/>
      <c r="Z871" s="1332"/>
      <c r="AA871" s="1332"/>
      <c r="AB871" s="1332"/>
    </row>
    <row r="872">
      <c r="A872" s="1332"/>
      <c r="B872" s="1366"/>
      <c r="C872" s="1366"/>
      <c r="D872" s="1375"/>
      <c r="E872" s="1332"/>
      <c r="F872" s="1332"/>
      <c r="G872" s="1378"/>
      <c r="H872" s="1378"/>
      <c r="I872" s="1332"/>
      <c r="J872" s="1332"/>
      <c r="K872" s="1332"/>
      <c r="L872" s="1332"/>
      <c r="M872" s="1332"/>
      <c r="N872" s="1332"/>
      <c r="O872" s="1332"/>
      <c r="P872" s="1332"/>
      <c r="Q872" s="1332"/>
      <c r="R872" s="1332"/>
      <c r="S872" s="1332"/>
      <c r="T872" s="1332"/>
      <c r="U872" s="1332"/>
      <c r="V872" s="1332"/>
      <c r="W872" s="1332"/>
      <c r="X872" s="1332"/>
      <c r="Y872" s="1332"/>
      <c r="Z872" s="1332"/>
      <c r="AA872" s="1332"/>
      <c r="AB872" s="1332"/>
    </row>
    <row r="873">
      <c r="A873" s="1332"/>
      <c r="B873" s="1366"/>
      <c r="C873" s="1366"/>
      <c r="D873" s="1375"/>
      <c r="E873" s="1332"/>
      <c r="F873" s="1332"/>
      <c r="G873" s="1378"/>
      <c r="H873" s="1378"/>
      <c r="I873" s="1332"/>
      <c r="J873" s="1332"/>
      <c r="K873" s="1332"/>
      <c r="L873" s="1332"/>
      <c r="M873" s="1332"/>
      <c r="N873" s="1332"/>
      <c r="O873" s="1332"/>
      <c r="P873" s="1332"/>
      <c r="Q873" s="1332"/>
      <c r="R873" s="1332"/>
      <c r="S873" s="1332"/>
      <c r="T873" s="1332"/>
      <c r="U873" s="1332"/>
      <c r="V873" s="1332"/>
      <c r="W873" s="1332"/>
      <c r="X873" s="1332"/>
      <c r="Y873" s="1332"/>
      <c r="Z873" s="1332"/>
      <c r="AA873" s="1332"/>
      <c r="AB873" s="1332"/>
    </row>
    <row r="874">
      <c r="A874" s="1332"/>
      <c r="B874" s="1366"/>
      <c r="C874" s="1366"/>
      <c r="D874" s="1375"/>
      <c r="E874" s="1332"/>
      <c r="F874" s="1332"/>
      <c r="G874" s="1378"/>
      <c r="H874" s="1378"/>
      <c r="I874" s="1332"/>
      <c r="J874" s="1332"/>
      <c r="K874" s="1332"/>
      <c r="L874" s="1332"/>
      <c r="M874" s="1332"/>
      <c r="N874" s="1332"/>
      <c r="O874" s="1332"/>
      <c r="P874" s="1332"/>
      <c r="Q874" s="1332"/>
      <c r="R874" s="1332"/>
      <c r="S874" s="1332"/>
      <c r="T874" s="1332"/>
      <c r="U874" s="1332"/>
      <c r="V874" s="1332"/>
      <c r="W874" s="1332"/>
      <c r="X874" s="1332"/>
      <c r="Y874" s="1332"/>
      <c r="Z874" s="1332"/>
      <c r="AA874" s="1332"/>
      <c r="AB874" s="1332"/>
    </row>
    <row r="875">
      <c r="A875" s="1332"/>
      <c r="B875" s="1366"/>
      <c r="C875" s="1366"/>
      <c r="D875" s="1375"/>
      <c r="E875" s="1332"/>
      <c r="F875" s="1332"/>
      <c r="G875" s="1378"/>
      <c r="H875" s="1378"/>
      <c r="I875" s="1332"/>
      <c r="J875" s="1332"/>
      <c r="K875" s="1332"/>
      <c r="L875" s="1332"/>
      <c r="M875" s="1332"/>
      <c r="N875" s="1332"/>
      <c r="O875" s="1332"/>
      <c r="P875" s="1332"/>
      <c r="Q875" s="1332"/>
      <c r="R875" s="1332"/>
      <c r="S875" s="1332"/>
      <c r="T875" s="1332"/>
      <c r="U875" s="1332"/>
      <c r="V875" s="1332"/>
      <c r="W875" s="1332"/>
      <c r="X875" s="1332"/>
      <c r="Y875" s="1332"/>
      <c r="Z875" s="1332"/>
      <c r="AA875" s="1332"/>
      <c r="AB875" s="1332"/>
    </row>
    <row r="876">
      <c r="A876" s="1332"/>
      <c r="B876" s="1366"/>
      <c r="C876" s="1366"/>
      <c r="D876" s="1375"/>
      <c r="E876" s="1332"/>
      <c r="F876" s="1332"/>
      <c r="G876" s="1378"/>
      <c r="H876" s="1378"/>
      <c r="I876" s="1332"/>
      <c r="J876" s="1332"/>
      <c r="K876" s="1332"/>
      <c r="L876" s="1332"/>
      <c r="M876" s="1332"/>
      <c r="N876" s="1332"/>
      <c r="O876" s="1332"/>
      <c r="P876" s="1332"/>
      <c r="Q876" s="1332"/>
      <c r="R876" s="1332"/>
      <c r="S876" s="1332"/>
      <c r="T876" s="1332"/>
      <c r="U876" s="1332"/>
      <c r="V876" s="1332"/>
      <c r="W876" s="1332"/>
      <c r="X876" s="1332"/>
      <c r="Y876" s="1332"/>
      <c r="Z876" s="1332"/>
      <c r="AA876" s="1332"/>
      <c r="AB876" s="1332"/>
    </row>
    <row r="877">
      <c r="A877" s="1332"/>
      <c r="B877" s="1366"/>
      <c r="C877" s="1366"/>
      <c r="D877" s="1375"/>
      <c r="E877" s="1332"/>
      <c r="F877" s="1332"/>
      <c r="G877" s="1378"/>
      <c r="H877" s="1378"/>
      <c r="I877" s="1332"/>
      <c r="J877" s="1332"/>
      <c r="K877" s="1332"/>
      <c r="L877" s="1332"/>
      <c r="M877" s="1332"/>
      <c r="N877" s="1332"/>
      <c r="O877" s="1332"/>
      <c r="P877" s="1332"/>
      <c r="Q877" s="1332"/>
      <c r="R877" s="1332"/>
      <c r="S877" s="1332"/>
      <c r="T877" s="1332"/>
      <c r="U877" s="1332"/>
      <c r="V877" s="1332"/>
      <c r="W877" s="1332"/>
      <c r="X877" s="1332"/>
      <c r="Y877" s="1332"/>
      <c r="Z877" s="1332"/>
      <c r="AA877" s="1332"/>
      <c r="AB877" s="1332"/>
    </row>
    <row r="878">
      <c r="A878" s="1332"/>
      <c r="B878" s="1366"/>
      <c r="C878" s="1366"/>
      <c r="D878" s="1375"/>
      <c r="E878" s="1332"/>
      <c r="F878" s="1332"/>
      <c r="G878" s="1378"/>
      <c r="H878" s="1378"/>
      <c r="I878" s="1332"/>
      <c r="J878" s="1332"/>
      <c r="K878" s="1332"/>
      <c r="L878" s="1332"/>
      <c r="M878" s="1332"/>
      <c r="N878" s="1332"/>
      <c r="O878" s="1332"/>
      <c r="P878" s="1332"/>
      <c r="Q878" s="1332"/>
      <c r="R878" s="1332"/>
      <c r="S878" s="1332"/>
      <c r="T878" s="1332"/>
      <c r="U878" s="1332"/>
      <c r="V878" s="1332"/>
      <c r="W878" s="1332"/>
      <c r="X878" s="1332"/>
      <c r="Y878" s="1332"/>
      <c r="Z878" s="1332"/>
      <c r="AA878" s="1332"/>
      <c r="AB878" s="1332"/>
    </row>
    <row r="879">
      <c r="A879" s="1332"/>
      <c r="B879" s="1366"/>
      <c r="C879" s="1366"/>
      <c r="D879" s="1375"/>
      <c r="E879" s="1332"/>
      <c r="F879" s="1332"/>
      <c r="G879" s="1378"/>
      <c r="H879" s="1378"/>
      <c r="I879" s="1332"/>
      <c r="J879" s="1332"/>
      <c r="K879" s="1332"/>
      <c r="L879" s="1332"/>
      <c r="M879" s="1332"/>
      <c r="N879" s="1332"/>
      <c r="O879" s="1332"/>
      <c r="P879" s="1332"/>
      <c r="Q879" s="1332"/>
      <c r="R879" s="1332"/>
      <c r="S879" s="1332"/>
      <c r="T879" s="1332"/>
      <c r="U879" s="1332"/>
      <c r="V879" s="1332"/>
      <c r="W879" s="1332"/>
      <c r="X879" s="1332"/>
      <c r="Y879" s="1332"/>
      <c r="Z879" s="1332"/>
      <c r="AA879" s="1332"/>
      <c r="AB879" s="1332"/>
    </row>
    <row r="880">
      <c r="A880" s="1332"/>
      <c r="B880" s="1366"/>
      <c r="C880" s="1366"/>
      <c r="D880" s="1375"/>
      <c r="E880" s="1332"/>
      <c r="F880" s="1332"/>
      <c r="G880" s="1378"/>
      <c r="H880" s="1378"/>
      <c r="I880" s="1332"/>
      <c r="J880" s="1332"/>
      <c r="K880" s="1332"/>
      <c r="L880" s="1332"/>
      <c r="M880" s="1332"/>
      <c r="N880" s="1332"/>
      <c r="O880" s="1332"/>
      <c r="P880" s="1332"/>
      <c r="Q880" s="1332"/>
      <c r="R880" s="1332"/>
      <c r="S880" s="1332"/>
      <c r="T880" s="1332"/>
      <c r="U880" s="1332"/>
      <c r="V880" s="1332"/>
      <c r="W880" s="1332"/>
      <c r="X880" s="1332"/>
      <c r="Y880" s="1332"/>
      <c r="Z880" s="1332"/>
      <c r="AA880" s="1332"/>
      <c r="AB880" s="1332"/>
    </row>
    <row r="881">
      <c r="A881" s="1332"/>
      <c r="B881" s="1366"/>
      <c r="C881" s="1366"/>
      <c r="D881" s="1375"/>
      <c r="E881" s="1332"/>
      <c r="F881" s="1332"/>
      <c r="G881" s="1378"/>
      <c r="H881" s="1378"/>
      <c r="I881" s="1332"/>
      <c r="J881" s="1332"/>
      <c r="K881" s="1332"/>
      <c r="L881" s="1332"/>
      <c r="M881" s="1332"/>
      <c r="N881" s="1332"/>
      <c r="O881" s="1332"/>
      <c r="P881" s="1332"/>
      <c r="Q881" s="1332"/>
      <c r="R881" s="1332"/>
      <c r="S881" s="1332"/>
      <c r="T881" s="1332"/>
      <c r="U881" s="1332"/>
      <c r="V881" s="1332"/>
      <c r="W881" s="1332"/>
      <c r="X881" s="1332"/>
      <c r="Y881" s="1332"/>
      <c r="Z881" s="1332"/>
      <c r="AA881" s="1332"/>
      <c r="AB881" s="1332"/>
    </row>
    <row r="882">
      <c r="A882" s="1332"/>
      <c r="B882" s="1366"/>
      <c r="C882" s="1366"/>
      <c r="D882" s="1375"/>
      <c r="E882" s="1332"/>
      <c r="F882" s="1332"/>
      <c r="G882" s="1378"/>
      <c r="H882" s="1378"/>
      <c r="I882" s="1332"/>
      <c r="J882" s="1332"/>
      <c r="K882" s="1332"/>
      <c r="L882" s="1332"/>
      <c r="M882" s="1332"/>
      <c r="N882" s="1332"/>
      <c r="O882" s="1332"/>
      <c r="P882" s="1332"/>
      <c r="Q882" s="1332"/>
      <c r="R882" s="1332"/>
      <c r="S882" s="1332"/>
      <c r="T882" s="1332"/>
      <c r="U882" s="1332"/>
      <c r="V882" s="1332"/>
      <c r="W882" s="1332"/>
      <c r="X882" s="1332"/>
      <c r="Y882" s="1332"/>
      <c r="Z882" s="1332"/>
      <c r="AA882" s="1332"/>
      <c r="AB882" s="1332"/>
    </row>
    <row r="883">
      <c r="A883" s="1332"/>
      <c r="B883" s="1366"/>
      <c r="C883" s="1366"/>
      <c r="D883" s="1375"/>
      <c r="E883" s="1332"/>
      <c r="F883" s="1332"/>
      <c r="G883" s="1378"/>
      <c r="H883" s="1378"/>
      <c r="I883" s="1332"/>
      <c r="J883" s="1332"/>
      <c r="K883" s="1332"/>
      <c r="L883" s="1332"/>
      <c r="M883" s="1332"/>
      <c r="N883" s="1332"/>
      <c r="O883" s="1332"/>
      <c r="P883" s="1332"/>
      <c r="Q883" s="1332"/>
      <c r="R883" s="1332"/>
      <c r="S883" s="1332"/>
      <c r="T883" s="1332"/>
      <c r="U883" s="1332"/>
      <c r="V883" s="1332"/>
      <c r="W883" s="1332"/>
      <c r="X883" s="1332"/>
      <c r="Y883" s="1332"/>
      <c r="Z883" s="1332"/>
      <c r="AA883" s="1332"/>
      <c r="AB883" s="1332"/>
    </row>
    <row r="884">
      <c r="A884" s="1332"/>
      <c r="B884" s="1366"/>
      <c r="C884" s="1366"/>
      <c r="D884" s="1375"/>
      <c r="E884" s="1332"/>
      <c r="F884" s="1332"/>
      <c r="G884" s="1378"/>
      <c r="H884" s="1378"/>
      <c r="I884" s="1332"/>
      <c r="J884" s="1332"/>
      <c r="K884" s="1332"/>
      <c r="L884" s="1332"/>
      <c r="M884" s="1332"/>
      <c r="N884" s="1332"/>
      <c r="O884" s="1332"/>
      <c r="P884" s="1332"/>
      <c r="Q884" s="1332"/>
      <c r="R884" s="1332"/>
      <c r="S884" s="1332"/>
      <c r="T884" s="1332"/>
      <c r="U884" s="1332"/>
      <c r="V884" s="1332"/>
      <c r="W884" s="1332"/>
      <c r="X884" s="1332"/>
      <c r="Y884" s="1332"/>
      <c r="Z884" s="1332"/>
      <c r="AA884" s="1332"/>
      <c r="AB884" s="1332"/>
    </row>
    <row r="885">
      <c r="A885" s="1332"/>
      <c r="B885" s="1366"/>
      <c r="C885" s="1366"/>
      <c r="D885" s="1375"/>
      <c r="E885" s="1332"/>
      <c r="F885" s="1332"/>
      <c r="G885" s="1378"/>
      <c r="H885" s="1378"/>
      <c r="I885" s="1332"/>
      <c r="J885" s="1332"/>
      <c r="K885" s="1332"/>
      <c r="L885" s="1332"/>
      <c r="M885" s="1332"/>
      <c r="N885" s="1332"/>
      <c r="O885" s="1332"/>
      <c r="P885" s="1332"/>
      <c r="Q885" s="1332"/>
      <c r="R885" s="1332"/>
      <c r="S885" s="1332"/>
      <c r="T885" s="1332"/>
      <c r="U885" s="1332"/>
      <c r="V885" s="1332"/>
      <c r="W885" s="1332"/>
      <c r="X885" s="1332"/>
      <c r="Y885" s="1332"/>
      <c r="Z885" s="1332"/>
      <c r="AA885" s="1332"/>
      <c r="AB885" s="1332"/>
    </row>
    <row r="886">
      <c r="A886" s="1332"/>
      <c r="B886" s="1366"/>
      <c r="C886" s="1366"/>
      <c r="D886" s="1375"/>
      <c r="E886" s="1332"/>
      <c r="F886" s="1332"/>
      <c r="G886" s="1378"/>
      <c r="H886" s="1378"/>
      <c r="I886" s="1332"/>
      <c r="J886" s="1332"/>
      <c r="K886" s="1332"/>
      <c r="L886" s="1332"/>
      <c r="M886" s="1332"/>
      <c r="N886" s="1332"/>
      <c r="O886" s="1332"/>
      <c r="P886" s="1332"/>
      <c r="Q886" s="1332"/>
      <c r="R886" s="1332"/>
      <c r="S886" s="1332"/>
      <c r="T886" s="1332"/>
      <c r="U886" s="1332"/>
      <c r="V886" s="1332"/>
      <c r="W886" s="1332"/>
      <c r="X886" s="1332"/>
      <c r="Y886" s="1332"/>
      <c r="Z886" s="1332"/>
      <c r="AA886" s="1332"/>
      <c r="AB886" s="1332"/>
    </row>
    <row r="887">
      <c r="A887" s="1332"/>
      <c r="B887" s="1366"/>
      <c r="C887" s="1366"/>
      <c r="D887" s="1375"/>
      <c r="E887" s="1332"/>
      <c r="F887" s="1332"/>
      <c r="G887" s="1378"/>
      <c r="H887" s="1378"/>
      <c r="I887" s="1332"/>
      <c r="J887" s="1332"/>
      <c r="K887" s="1332"/>
      <c r="L887" s="1332"/>
      <c r="M887" s="1332"/>
      <c r="N887" s="1332"/>
      <c r="O887" s="1332"/>
      <c r="P887" s="1332"/>
      <c r="Q887" s="1332"/>
      <c r="R887" s="1332"/>
      <c r="S887" s="1332"/>
      <c r="T887" s="1332"/>
      <c r="U887" s="1332"/>
      <c r="V887" s="1332"/>
      <c r="W887" s="1332"/>
      <c r="X887" s="1332"/>
      <c r="Y887" s="1332"/>
      <c r="Z887" s="1332"/>
      <c r="AA887" s="1332"/>
      <c r="AB887" s="1332"/>
    </row>
    <row r="888">
      <c r="A888" s="1332"/>
      <c r="B888" s="1366"/>
      <c r="C888" s="1366"/>
      <c r="D888" s="1375"/>
      <c r="E888" s="1332"/>
      <c r="F888" s="1332"/>
      <c r="G888" s="1378"/>
      <c r="H888" s="1378"/>
      <c r="I888" s="1332"/>
      <c r="J888" s="1332"/>
      <c r="K888" s="1332"/>
      <c r="L888" s="1332"/>
      <c r="M888" s="1332"/>
      <c r="N888" s="1332"/>
      <c r="O888" s="1332"/>
      <c r="P888" s="1332"/>
      <c r="Q888" s="1332"/>
      <c r="R888" s="1332"/>
      <c r="S888" s="1332"/>
      <c r="T888" s="1332"/>
      <c r="U888" s="1332"/>
      <c r="V888" s="1332"/>
      <c r="W888" s="1332"/>
      <c r="X888" s="1332"/>
      <c r="Y888" s="1332"/>
      <c r="Z888" s="1332"/>
      <c r="AA888" s="1332"/>
      <c r="AB888" s="1332"/>
    </row>
    <row r="889">
      <c r="A889" s="1332"/>
      <c r="B889" s="1366"/>
      <c r="C889" s="1366"/>
      <c r="D889" s="1375"/>
      <c r="E889" s="1332"/>
      <c r="F889" s="1332"/>
      <c r="G889" s="1378"/>
      <c r="H889" s="1378"/>
      <c r="I889" s="1332"/>
      <c r="J889" s="1332"/>
      <c r="K889" s="1332"/>
      <c r="L889" s="1332"/>
      <c r="M889" s="1332"/>
      <c r="N889" s="1332"/>
      <c r="O889" s="1332"/>
      <c r="P889" s="1332"/>
      <c r="Q889" s="1332"/>
      <c r="R889" s="1332"/>
      <c r="S889" s="1332"/>
      <c r="T889" s="1332"/>
      <c r="U889" s="1332"/>
      <c r="V889" s="1332"/>
      <c r="W889" s="1332"/>
      <c r="X889" s="1332"/>
      <c r="Y889" s="1332"/>
      <c r="Z889" s="1332"/>
      <c r="AA889" s="1332"/>
      <c r="AB889" s="1332"/>
    </row>
    <row r="890">
      <c r="A890" s="1332"/>
      <c r="B890" s="1366"/>
      <c r="C890" s="1366"/>
      <c r="D890" s="1375"/>
      <c r="E890" s="1332"/>
      <c r="F890" s="1332"/>
      <c r="G890" s="1378"/>
      <c r="H890" s="1378"/>
      <c r="I890" s="1332"/>
      <c r="J890" s="1332"/>
      <c r="K890" s="1332"/>
      <c r="L890" s="1332"/>
      <c r="M890" s="1332"/>
      <c r="N890" s="1332"/>
      <c r="O890" s="1332"/>
      <c r="P890" s="1332"/>
      <c r="Q890" s="1332"/>
      <c r="R890" s="1332"/>
      <c r="S890" s="1332"/>
      <c r="T890" s="1332"/>
      <c r="U890" s="1332"/>
      <c r="V890" s="1332"/>
      <c r="W890" s="1332"/>
      <c r="X890" s="1332"/>
      <c r="Y890" s="1332"/>
      <c r="Z890" s="1332"/>
      <c r="AA890" s="1332"/>
      <c r="AB890" s="1332"/>
    </row>
    <row r="891">
      <c r="A891" s="1332"/>
      <c r="B891" s="1366"/>
      <c r="C891" s="1366"/>
      <c r="D891" s="1375"/>
      <c r="E891" s="1332"/>
      <c r="F891" s="1332"/>
      <c r="G891" s="1378"/>
      <c r="H891" s="1378"/>
      <c r="I891" s="1332"/>
      <c r="J891" s="1332"/>
      <c r="K891" s="1332"/>
      <c r="L891" s="1332"/>
      <c r="M891" s="1332"/>
      <c r="N891" s="1332"/>
      <c r="O891" s="1332"/>
      <c r="P891" s="1332"/>
      <c r="Q891" s="1332"/>
      <c r="R891" s="1332"/>
      <c r="S891" s="1332"/>
      <c r="T891" s="1332"/>
      <c r="U891" s="1332"/>
      <c r="V891" s="1332"/>
      <c r="W891" s="1332"/>
      <c r="X891" s="1332"/>
      <c r="Y891" s="1332"/>
      <c r="Z891" s="1332"/>
      <c r="AA891" s="1332"/>
      <c r="AB891" s="1332"/>
    </row>
    <row r="892">
      <c r="A892" s="1332"/>
      <c r="B892" s="1366"/>
      <c r="C892" s="1366"/>
      <c r="D892" s="1375"/>
      <c r="E892" s="1332"/>
      <c r="F892" s="1332"/>
      <c r="G892" s="1378"/>
      <c r="H892" s="1378"/>
      <c r="I892" s="1332"/>
      <c r="J892" s="1332"/>
      <c r="K892" s="1332"/>
      <c r="L892" s="1332"/>
      <c r="M892" s="1332"/>
      <c r="N892" s="1332"/>
      <c r="O892" s="1332"/>
      <c r="P892" s="1332"/>
      <c r="Q892" s="1332"/>
      <c r="R892" s="1332"/>
      <c r="S892" s="1332"/>
      <c r="T892" s="1332"/>
      <c r="U892" s="1332"/>
      <c r="V892" s="1332"/>
      <c r="W892" s="1332"/>
      <c r="X892" s="1332"/>
      <c r="Y892" s="1332"/>
      <c r="Z892" s="1332"/>
      <c r="AA892" s="1332"/>
      <c r="AB892" s="1332"/>
    </row>
    <row r="893">
      <c r="A893" s="1332"/>
      <c r="B893" s="1366"/>
      <c r="C893" s="1366"/>
      <c r="D893" s="1375"/>
      <c r="E893" s="1332"/>
      <c r="F893" s="1332"/>
      <c r="G893" s="1378"/>
      <c r="H893" s="1378"/>
      <c r="I893" s="1332"/>
      <c r="J893" s="1332"/>
      <c r="K893" s="1332"/>
      <c r="L893" s="1332"/>
      <c r="M893" s="1332"/>
      <c r="N893" s="1332"/>
      <c r="O893" s="1332"/>
      <c r="P893" s="1332"/>
      <c r="Q893" s="1332"/>
      <c r="R893" s="1332"/>
      <c r="S893" s="1332"/>
      <c r="T893" s="1332"/>
      <c r="U893" s="1332"/>
      <c r="V893" s="1332"/>
      <c r="W893" s="1332"/>
      <c r="X893" s="1332"/>
      <c r="Y893" s="1332"/>
      <c r="Z893" s="1332"/>
      <c r="AA893" s="1332"/>
      <c r="AB893" s="1332"/>
    </row>
    <row r="894">
      <c r="A894" s="1332"/>
      <c r="B894" s="1366"/>
      <c r="C894" s="1366"/>
      <c r="D894" s="1375"/>
      <c r="E894" s="1332"/>
      <c r="F894" s="1332"/>
      <c r="G894" s="1378"/>
      <c r="H894" s="1378"/>
      <c r="I894" s="1332"/>
      <c r="J894" s="1332"/>
      <c r="K894" s="1332"/>
      <c r="L894" s="1332"/>
      <c r="M894" s="1332"/>
      <c r="N894" s="1332"/>
      <c r="O894" s="1332"/>
      <c r="P894" s="1332"/>
      <c r="Q894" s="1332"/>
      <c r="R894" s="1332"/>
      <c r="S894" s="1332"/>
      <c r="T894" s="1332"/>
      <c r="U894" s="1332"/>
      <c r="V894" s="1332"/>
      <c r="W894" s="1332"/>
      <c r="X894" s="1332"/>
      <c r="Y894" s="1332"/>
      <c r="Z894" s="1332"/>
      <c r="AA894" s="1332"/>
      <c r="AB894" s="1332"/>
    </row>
    <row r="895">
      <c r="A895" s="1332"/>
      <c r="B895" s="1366"/>
      <c r="C895" s="1366"/>
      <c r="D895" s="1375"/>
      <c r="E895" s="1332"/>
      <c r="F895" s="1332"/>
      <c r="G895" s="1378"/>
      <c r="H895" s="1378"/>
      <c r="I895" s="1332"/>
      <c r="J895" s="1332"/>
      <c r="K895" s="1332"/>
      <c r="L895" s="1332"/>
      <c r="M895" s="1332"/>
      <c r="N895" s="1332"/>
      <c r="O895" s="1332"/>
      <c r="P895" s="1332"/>
      <c r="Q895" s="1332"/>
      <c r="R895" s="1332"/>
      <c r="S895" s="1332"/>
      <c r="T895" s="1332"/>
      <c r="U895" s="1332"/>
      <c r="V895" s="1332"/>
      <c r="W895" s="1332"/>
      <c r="X895" s="1332"/>
      <c r="Y895" s="1332"/>
      <c r="Z895" s="1332"/>
      <c r="AA895" s="1332"/>
      <c r="AB895" s="1332"/>
    </row>
    <row r="896">
      <c r="A896" s="1332"/>
      <c r="B896" s="1366"/>
      <c r="C896" s="1366"/>
      <c r="D896" s="1375"/>
      <c r="E896" s="1332"/>
      <c r="F896" s="1332"/>
      <c r="G896" s="1378"/>
      <c r="H896" s="1378"/>
      <c r="I896" s="1332"/>
      <c r="J896" s="1332"/>
      <c r="K896" s="1332"/>
      <c r="L896" s="1332"/>
      <c r="M896" s="1332"/>
      <c r="N896" s="1332"/>
      <c r="O896" s="1332"/>
      <c r="P896" s="1332"/>
      <c r="Q896" s="1332"/>
      <c r="R896" s="1332"/>
      <c r="S896" s="1332"/>
      <c r="T896" s="1332"/>
      <c r="U896" s="1332"/>
      <c r="V896" s="1332"/>
      <c r="W896" s="1332"/>
      <c r="X896" s="1332"/>
      <c r="Y896" s="1332"/>
      <c r="Z896" s="1332"/>
      <c r="AA896" s="1332"/>
      <c r="AB896" s="1332"/>
    </row>
    <row r="897">
      <c r="A897" s="1332"/>
      <c r="B897" s="1366"/>
      <c r="C897" s="1366"/>
      <c r="D897" s="1375"/>
      <c r="E897" s="1332"/>
      <c r="F897" s="1332"/>
      <c r="G897" s="1378"/>
      <c r="H897" s="1378"/>
      <c r="I897" s="1332"/>
      <c r="J897" s="1332"/>
      <c r="K897" s="1332"/>
      <c r="L897" s="1332"/>
      <c r="M897" s="1332"/>
      <c r="N897" s="1332"/>
      <c r="O897" s="1332"/>
      <c r="P897" s="1332"/>
      <c r="Q897" s="1332"/>
      <c r="R897" s="1332"/>
      <c r="S897" s="1332"/>
      <c r="T897" s="1332"/>
      <c r="U897" s="1332"/>
      <c r="V897" s="1332"/>
      <c r="W897" s="1332"/>
      <c r="X897" s="1332"/>
      <c r="Y897" s="1332"/>
      <c r="Z897" s="1332"/>
      <c r="AA897" s="1332"/>
      <c r="AB897" s="1332"/>
    </row>
    <row r="898">
      <c r="A898" s="1332"/>
      <c r="B898" s="1366"/>
      <c r="C898" s="1366"/>
      <c r="D898" s="1375"/>
      <c r="E898" s="1332"/>
      <c r="F898" s="1332"/>
      <c r="G898" s="1378"/>
      <c r="H898" s="1378"/>
      <c r="I898" s="1332"/>
      <c r="J898" s="1332"/>
      <c r="K898" s="1332"/>
      <c r="L898" s="1332"/>
      <c r="M898" s="1332"/>
      <c r="N898" s="1332"/>
      <c r="O898" s="1332"/>
      <c r="P898" s="1332"/>
      <c r="Q898" s="1332"/>
      <c r="R898" s="1332"/>
      <c r="S898" s="1332"/>
      <c r="T898" s="1332"/>
      <c r="U898" s="1332"/>
      <c r="V898" s="1332"/>
      <c r="W898" s="1332"/>
      <c r="X898" s="1332"/>
      <c r="Y898" s="1332"/>
      <c r="Z898" s="1332"/>
      <c r="AA898" s="1332"/>
      <c r="AB898" s="1332"/>
    </row>
    <row r="899">
      <c r="A899" s="1332"/>
      <c r="B899" s="1366"/>
      <c r="C899" s="1366"/>
      <c r="D899" s="1375"/>
      <c r="E899" s="1332"/>
      <c r="F899" s="1332"/>
      <c r="G899" s="1378"/>
      <c r="H899" s="1378"/>
      <c r="I899" s="1332"/>
      <c r="J899" s="1332"/>
      <c r="K899" s="1332"/>
      <c r="L899" s="1332"/>
      <c r="M899" s="1332"/>
      <c r="N899" s="1332"/>
      <c r="O899" s="1332"/>
      <c r="P899" s="1332"/>
      <c r="Q899" s="1332"/>
      <c r="R899" s="1332"/>
      <c r="S899" s="1332"/>
      <c r="T899" s="1332"/>
      <c r="U899" s="1332"/>
      <c r="V899" s="1332"/>
      <c r="W899" s="1332"/>
      <c r="X899" s="1332"/>
      <c r="Y899" s="1332"/>
      <c r="Z899" s="1332"/>
      <c r="AA899" s="1332"/>
      <c r="AB899" s="1332"/>
    </row>
    <row r="900">
      <c r="A900" s="1332"/>
      <c r="B900" s="1366"/>
      <c r="C900" s="1366"/>
      <c r="D900" s="1375"/>
      <c r="E900" s="1332"/>
      <c r="F900" s="1332"/>
      <c r="G900" s="1378"/>
      <c r="H900" s="1378"/>
      <c r="I900" s="1332"/>
      <c r="J900" s="1332"/>
      <c r="K900" s="1332"/>
      <c r="L900" s="1332"/>
      <c r="M900" s="1332"/>
      <c r="N900" s="1332"/>
      <c r="O900" s="1332"/>
      <c r="P900" s="1332"/>
      <c r="Q900" s="1332"/>
      <c r="R900" s="1332"/>
      <c r="S900" s="1332"/>
      <c r="T900" s="1332"/>
      <c r="U900" s="1332"/>
      <c r="V900" s="1332"/>
      <c r="W900" s="1332"/>
      <c r="X900" s="1332"/>
      <c r="Y900" s="1332"/>
      <c r="Z900" s="1332"/>
      <c r="AA900" s="1332"/>
      <c r="AB900" s="1332"/>
    </row>
    <row r="901">
      <c r="A901" s="1332"/>
      <c r="B901" s="1366"/>
      <c r="C901" s="1366"/>
      <c r="D901" s="1375"/>
      <c r="E901" s="1332"/>
      <c r="F901" s="1332"/>
      <c r="G901" s="1378"/>
      <c r="H901" s="1378"/>
      <c r="I901" s="1332"/>
      <c r="J901" s="1332"/>
      <c r="K901" s="1332"/>
      <c r="L901" s="1332"/>
      <c r="M901" s="1332"/>
      <c r="N901" s="1332"/>
      <c r="O901" s="1332"/>
      <c r="P901" s="1332"/>
      <c r="Q901" s="1332"/>
      <c r="R901" s="1332"/>
      <c r="S901" s="1332"/>
      <c r="T901" s="1332"/>
      <c r="U901" s="1332"/>
      <c r="V901" s="1332"/>
      <c r="W901" s="1332"/>
      <c r="X901" s="1332"/>
      <c r="Y901" s="1332"/>
      <c r="Z901" s="1332"/>
      <c r="AA901" s="1332"/>
      <c r="AB901" s="1332"/>
    </row>
    <row r="902">
      <c r="A902" s="1332"/>
      <c r="B902" s="1366"/>
      <c r="C902" s="1366"/>
      <c r="D902" s="1375"/>
      <c r="E902" s="1332"/>
      <c r="F902" s="1332"/>
      <c r="G902" s="1378"/>
      <c r="H902" s="1378"/>
      <c r="I902" s="1332"/>
      <c r="J902" s="1332"/>
      <c r="K902" s="1332"/>
      <c r="L902" s="1332"/>
      <c r="M902" s="1332"/>
      <c r="N902" s="1332"/>
      <c r="O902" s="1332"/>
      <c r="P902" s="1332"/>
      <c r="Q902" s="1332"/>
      <c r="R902" s="1332"/>
      <c r="S902" s="1332"/>
      <c r="T902" s="1332"/>
      <c r="U902" s="1332"/>
      <c r="V902" s="1332"/>
      <c r="W902" s="1332"/>
      <c r="X902" s="1332"/>
      <c r="Y902" s="1332"/>
      <c r="Z902" s="1332"/>
      <c r="AA902" s="1332"/>
      <c r="AB902" s="1332"/>
    </row>
    <row r="903">
      <c r="A903" s="1332"/>
      <c r="B903" s="1366"/>
      <c r="C903" s="1366"/>
      <c r="D903" s="1375"/>
      <c r="E903" s="1332"/>
      <c r="F903" s="1332"/>
      <c r="G903" s="1378"/>
      <c r="H903" s="1378"/>
      <c r="I903" s="1332"/>
      <c r="J903" s="1332"/>
      <c r="K903" s="1332"/>
      <c r="L903" s="1332"/>
      <c r="M903" s="1332"/>
      <c r="N903" s="1332"/>
      <c r="O903" s="1332"/>
      <c r="P903" s="1332"/>
      <c r="Q903" s="1332"/>
      <c r="R903" s="1332"/>
      <c r="S903" s="1332"/>
      <c r="T903" s="1332"/>
      <c r="U903" s="1332"/>
      <c r="V903" s="1332"/>
      <c r="W903" s="1332"/>
      <c r="X903" s="1332"/>
      <c r="Y903" s="1332"/>
      <c r="Z903" s="1332"/>
      <c r="AA903" s="1332"/>
      <c r="AB903" s="1332"/>
    </row>
    <row r="904">
      <c r="A904" s="1332"/>
      <c r="B904" s="1366"/>
      <c r="C904" s="1366"/>
      <c r="D904" s="1375"/>
      <c r="E904" s="1332"/>
      <c r="F904" s="1332"/>
      <c r="G904" s="1378"/>
      <c r="H904" s="1378"/>
      <c r="I904" s="1332"/>
      <c r="J904" s="1332"/>
      <c r="K904" s="1332"/>
      <c r="L904" s="1332"/>
      <c r="M904" s="1332"/>
      <c r="N904" s="1332"/>
      <c r="O904" s="1332"/>
      <c r="P904" s="1332"/>
      <c r="Q904" s="1332"/>
      <c r="R904" s="1332"/>
      <c r="S904" s="1332"/>
      <c r="T904" s="1332"/>
      <c r="U904" s="1332"/>
      <c r="V904" s="1332"/>
      <c r="W904" s="1332"/>
      <c r="X904" s="1332"/>
      <c r="Y904" s="1332"/>
      <c r="Z904" s="1332"/>
      <c r="AA904" s="1332"/>
      <c r="AB904" s="1332"/>
    </row>
    <row r="905">
      <c r="A905" s="1332"/>
      <c r="B905" s="1366"/>
      <c r="C905" s="1366"/>
      <c r="D905" s="1375"/>
      <c r="E905" s="1332"/>
      <c r="F905" s="1332"/>
      <c r="G905" s="1378"/>
      <c r="H905" s="1378"/>
      <c r="I905" s="1332"/>
      <c r="J905" s="1332"/>
      <c r="K905" s="1332"/>
      <c r="L905" s="1332"/>
      <c r="M905" s="1332"/>
      <c r="N905" s="1332"/>
      <c r="O905" s="1332"/>
      <c r="P905" s="1332"/>
      <c r="Q905" s="1332"/>
      <c r="R905" s="1332"/>
      <c r="S905" s="1332"/>
      <c r="T905" s="1332"/>
      <c r="U905" s="1332"/>
      <c r="V905" s="1332"/>
      <c r="W905" s="1332"/>
      <c r="X905" s="1332"/>
      <c r="Y905" s="1332"/>
      <c r="Z905" s="1332"/>
      <c r="AA905" s="1332"/>
      <c r="AB905" s="1332"/>
    </row>
    <row r="906">
      <c r="A906" s="1332"/>
      <c r="B906" s="1366"/>
      <c r="C906" s="1366"/>
      <c r="D906" s="1375"/>
      <c r="E906" s="1332"/>
      <c r="F906" s="1332"/>
      <c r="G906" s="1378"/>
      <c r="H906" s="1378"/>
      <c r="I906" s="1332"/>
      <c r="J906" s="1332"/>
      <c r="K906" s="1332"/>
      <c r="L906" s="1332"/>
      <c r="M906" s="1332"/>
      <c r="N906" s="1332"/>
      <c r="O906" s="1332"/>
      <c r="P906" s="1332"/>
      <c r="Q906" s="1332"/>
      <c r="R906" s="1332"/>
      <c r="S906" s="1332"/>
      <c r="T906" s="1332"/>
      <c r="U906" s="1332"/>
      <c r="V906" s="1332"/>
      <c r="W906" s="1332"/>
      <c r="X906" s="1332"/>
      <c r="Y906" s="1332"/>
      <c r="Z906" s="1332"/>
      <c r="AA906" s="1332"/>
      <c r="AB906" s="1332"/>
    </row>
    <row r="907">
      <c r="A907" s="1332"/>
      <c r="B907" s="1366"/>
      <c r="C907" s="1366"/>
      <c r="D907" s="1375"/>
      <c r="E907" s="1332"/>
      <c r="F907" s="1332"/>
      <c r="G907" s="1378"/>
      <c r="H907" s="1378"/>
      <c r="I907" s="1332"/>
      <c r="J907" s="1332"/>
      <c r="K907" s="1332"/>
      <c r="L907" s="1332"/>
      <c r="M907" s="1332"/>
      <c r="N907" s="1332"/>
      <c r="O907" s="1332"/>
      <c r="P907" s="1332"/>
      <c r="Q907" s="1332"/>
      <c r="R907" s="1332"/>
      <c r="S907" s="1332"/>
      <c r="T907" s="1332"/>
      <c r="U907" s="1332"/>
      <c r="V907" s="1332"/>
      <c r="W907" s="1332"/>
      <c r="X907" s="1332"/>
      <c r="Y907" s="1332"/>
      <c r="Z907" s="1332"/>
      <c r="AA907" s="1332"/>
      <c r="AB907" s="1332"/>
    </row>
    <row r="908">
      <c r="A908" s="1332"/>
      <c r="B908" s="1366"/>
      <c r="C908" s="1366"/>
      <c r="D908" s="1375"/>
      <c r="E908" s="1332"/>
      <c r="F908" s="1332"/>
      <c r="G908" s="1378"/>
      <c r="H908" s="1378"/>
      <c r="I908" s="1332"/>
      <c r="J908" s="1332"/>
      <c r="K908" s="1332"/>
      <c r="L908" s="1332"/>
      <c r="M908" s="1332"/>
      <c r="N908" s="1332"/>
      <c r="O908" s="1332"/>
      <c r="P908" s="1332"/>
      <c r="Q908" s="1332"/>
      <c r="R908" s="1332"/>
      <c r="S908" s="1332"/>
      <c r="T908" s="1332"/>
      <c r="U908" s="1332"/>
      <c r="V908" s="1332"/>
      <c r="W908" s="1332"/>
      <c r="X908" s="1332"/>
      <c r="Y908" s="1332"/>
      <c r="Z908" s="1332"/>
      <c r="AA908" s="1332"/>
      <c r="AB908" s="1332"/>
    </row>
    <row r="909">
      <c r="A909" s="1332"/>
      <c r="B909" s="1366"/>
      <c r="C909" s="1366"/>
      <c r="D909" s="1375"/>
      <c r="E909" s="1332"/>
      <c r="F909" s="1332"/>
      <c r="G909" s="1378"/>
      <c r="H909" s="1378"/>
      <c r="I909" s="1332"/>
      <c r="J909" s="1332"/>
      <c r="K909" s="1332"/>
      <c r="L909" s="1332"/>
      <c r="M909" s="1332"/>
      <c r="N909" s="1332"/>
      <c r="O909" s="1332"/>
      <c r="P909" s="1332"/>
      <c r="Q909" s="1332"/>
      <c r="R909" s="1332"/>
      <c r="S909" s="1332"/>
      <c r="T909" s="1332"/>
      <c r="U909" s="1332"/>
      <c r="V909" s="1332"/>
      <c r="W909" s="1332"/>
      <c r="X909" s="1332"/>
      <c r="Y909" s="1332"/>
      <c r="Z909" s="1332"/>
      <c r="AA909" s="1332"/>
      <c r="AB909" s="1332"/>
    </row>
    <row r="910">
      <c r="A910" s="1332"/>
      <c r="B910" s="1366"/>
      <c r="C910" s="1366"/>
      <c r="D910" s="1375"/>
      <c r="E910" s="1332"/>
      <c r="F910" s="1332"/>
      <c r="G910" s="1378"/>
      <c r="H910" s="1378"/>
      <c r="I910" s="1332"/>
      <c r="J910" s="1332"/>
      <c r="K910" s="1332"/>
      <c r="L910" s="1332"/>
      <c r="M910" s="1332"/>
      <c r="N910" s="1332"/>
      <c r="O910" s="1332"/>
      <c r="P910" s="1332"/>
      <c r="Q910" s="1332"/>
      <c r="R910" s="1332"/>
      <c r="S910" s="1332"/>
      <c r="T910" s="1332"/>
      <c r="U910" s="1332"/>
      <c r="V910" s="1332"/>
      <c r="W910" s="1332"/>
      <c r="X910" s="1332"/>
      <c r="Y910" s="1332"/>
      <c r="Z910" s="1332"/>
      <c r="AA910" s="1332"/>
      <c r="AB910" s="1332"/>
    </row>
    <row r="911">
      <c r="A911" s="1332"/>
      <c r="B911" s="1366"/>
      <c r="C911" s="1366"/>
      <c r="D911" s="1375"/>
      <c r="E911" s="1332"/>
      <c r="F911" s="1332"/>
      <c r="G911" s="1378"/>
      <c r="H911" s="1378"/>
      <c r="I911" s="1332"/>
      <c r="J911" s="1332"/>
      <c r="K911" s="1332"/>
      <c r="L911" s="1332"/>
      <c r="M911" s="1332"/>
      <c r="N911" s="1332"/>
      <c r="O911" s="1332"/>
      <c r="P911" s="1332"/>
      <c r="Q911" s="1332"/>
      <c r="R911" s="1332"/>
      <c r="S911" s="1332"/>
      <c r="T911" s="1332"/>
      <c r="U911" s="1332"/>
      <c r="V911" s="1332"/>
      <c r="W911" s="1332"/>
      <c r="X911" s="1332"/>
      <c r="Y911" s="1332"/>
      <c r="Z911" s="1332"/>
      <c r="AA911" s="1332"/>
      <c r="AB911" s="1332"/>
    </row>
    <row r="912">
      <c r="A912" s="1332"/>
      <c r="B912" s="1366"/>
      <c r="C912" s="1366"/>
      <c r="D912" s="1375"/>
      <c r="E912" s="1332"/>
      <c r="F912" s="1332"/>
      <c r="G912" s="1378"/>
      <c r="H912" s="1378"/>
      <c r="I912" s="1332"/>
      <c r="J912" s="1332"/>
      <c r="K912" s="1332"/>
      <c r="L912" s="1332"/>
      <c r="M912" s="1332"/>
      <c r="N912" s="1332"/>
      <c r="O912" s="1332"/>
      <c r="P912" s="1332"/>
      <c r="Q912" s="1332"/>
      <c r="R912" s="1332"/>
      <c r="S912" s="1332"/>
      <c r="T912" s="1332"/>
      <c r="U912" s="1332"/>
      <c r="V912" s="1332"/>
      <c r="W912" s="1332"/>
      <c r="X912" s="1332"/>
      <c r="Y912" s="1332"/>
      <c r="Z912" s="1332"/>
      <c r="AA912" s="1332"/>
      <c r="AB912" s="1332"/>
    </row>
    <row r="913">
      <c r="A913" s="1332"/>
      <c r="B913" s="1366"/>
      <c r="C913" s="1366"/>
      <c r="D913" s="1375"/>
      <c r="E913" s="1332"/>
      <c r="F913" s="1332"/>
      <c r="G913" s="1378"/>
      <c r="H913" s="1378"/>
      <c r="I913" s="1332"/>
      <c r="J913" s="1332"/>
      <c r="K913" s="1332"/>
      <c r="L913" s="1332"/>
      <c r="M913" s="1332"/>
      <c r="N913" s="1332"/>
      <c r="O913" s="1332"/>
      <c r="P913" s="1332"/>
      <c r="Q913" s="1332"/>
      <c r="R913" s="1332"/>
      <c r="S913" s="1332"/>
      <c r="T913" s="1332"/>
      <c r="U913" s="1332"/>
      <c r="V913" s="1332"/>
      <c r="W913" s="1332"/>
      <c r="X913" s="1332"/>
      <c r="Y913" s="1332"/>
      <c r="Z913" s="1332"/>
      <c r="AA913" s="1332"/>
      <c r="AB913" s="1332"/>
    </row>
    <row r="914">
      <c r="A914" s="1332"/>
      <c r="B914" s="1366"/>
      <c r="C914" s="1366"/>
      <c r="D914" s="1375"/>
      <c r="E914" s="1332"/>
      <c r="F914" s="1332"/>
      <c r="G914" s="1378"/>
      <c r="H914" s="1378"/>
      <c r="I914" s="1332"/>
      <c r="J914" s="1332"/>
      <c r="K914" s="1332"/>
      <c r="L914" s="1332"/>
      <c r="M914" s="1332"/>
      <c r="N914" s="1332"/>
      <c r="O914" s="1332"/>
      <c r="P914" s="1332"/>
      <c r="Q914" s="1332"/>
      <c r="R914" s="1332"/>
      <c r="S914" s="1332"/>
      <c r="T914" s="1332"/>
      <c r="U914" s="1332"/>
      <c r="V914" s="1332"/>
      <c r="W914" s="1332"/>
      <c r="X914" s="1332"/>
      <c r="Y914" s="1332"/>
      <c r="Z914" s="1332"/>
      <c r="AA914" s="1332"/>
      <c r="AB914" s="1332"/>
    </row>
    <row r="915">
      <c r="A915" s="1332"/>
      <c r="B915" s="1366"/>
      <c r="C915" s="1366"/>
      <c r="D915" s="1375"/>
      <c r="E915" s="1332"/>
      <c r="F915" s="1332"/>
      <c r="G915" s="1378"/>
      <c r="H915" s="1378"/>
      <c r="I915" s="1332"/>
      <c r="J915" s="1332"/>
      <c r="K915" s="1332"/>
      <c r="L915" s="1332"/>
      <c r="M915" s="1332"/>
      <c r="N915" s="1332"/>
      <c r="O915" s="1332"/>
      <c r="P915" s="1332"/>
      <c r="Q915" s="1332"/>
      <c r="R915" s="1332"/>
      <c r="S915" s="1332"/>
      <c r="T915" s="1332"/>
      <c r="U915" s="1332"/>
      <c r="V915" s="1332"/>
      <c r="W915" s="1332"/>
      <c r="X915" s="1332"/>
      <c r="Y915" s="1332"/>
      <c r="Z915" s="1332"/>
      <c r="AA915" s="1332"/>
      <c r="AB915" s="1332"/>
    </row>
    <row r="916">
      <c r="A916" s="1332"/>
      <c r="B916" s="1366"/>
      <c r="C916" s="1366"/>
      <c r="D916" s="1375"/>
      <c r="E916" s="1332"/>
      <c r="F916" s="1332"/>
      <c r="G916" s="1378"/>
      <c r="H916" s="1378"/>
      <c r="I916" s="1332"/>
      <c r="J916" s="1332"/>
      <c r="K916" s="1332"/>
      <c r="L916" s="1332"/>
      <c r="M916" s="1332"/>
      <c r="N916" s="1332"/>
      <c r="O916" s="1332"/>
      <c r="P916" s="1332"/>
      <c r="Q916" s="1332"/>
      <c r="R916" s="1332"/>
      <c r="S916" s="1332"/>
      <c r="T916" s="1332"/>
      <c r="U916" s="1332"/>
      <c r="V916" s="1332"/>
      <c r="W916" s="1332"/>
      <c r="X916" s="1332"/>
      <c r="Y916" s="1332"/>
      <c r="Z916" s="1332"/>
      <c r="AA916" s="1332"/>
      <c r="AB916" s="1332"/>
    </row>
    <row r="917">
      <c r="A917" s="1332"/>
      <c r="B917" s="1366"/>
      <c r="C917" s="1366"/>
      <c r="D917" s="1375"/>
      <c r="E917" s="1332"/>
      <c r="F917" s="1332"/>
      <c r="G917" s="1378"/>
      <c r="H917" s="1378"/>
      <c r="I917" s="1332"/>
      <c r="J917" s="1332"/>
      <c r="K917" s="1332"/>
      <c r="L917" s="1332"/>
      <c r="M917" s="1332"/>
      <c r="N917" s="1332"/>
      <c r="O917" s="1332"/>
      <c r="P917" s="1332"/>
      <c r="Q917" s="1332"/>
      <c r="R917" s="1332"/>
      <c r="S917" s="1332"/>
      <c r="T917" s="1332"/>
      <c r="U917" s="1332"/>
      <c r="V917" s="1332"/>
      <c r="W917" s="1332"/>
      <c r="X917" s="1332"/>
      <c r="Y917" s="1332"/>
      <c r="Z917" s="1332"/>
      <c r="AA917" s="1332"/>
      <c r="AB917" s="1332"/>
    </row>
    <row r="918">
      <c r="A918" s="1332"/>
      <c r="B918" s="1366"/>
      <c r="C918" s="1366"/>
      <c r="D918" s="1375"/>
      <c r="E918" s="1332"/>
      <c r="F918" s="1332"/>
      <c r="G918" s="1378"/>
      <c r="H918" s="1378"/>
      <c r="I918" s="1332"/>
      <c r="J918" s="1332"/>
      <c r="K918" s="1332"/>
      <c r="L918" s="1332"/>
      <c r="M918" s="1332"/>
      <c r="N918" s="1332"/>
      <c r="O918" s="1332"/>
      <c r="P918" s="1332"/>
      <c r="Q918" s="1332"/>
      <c r="R918" s="1332"/>
      <c r="S918" s="1332"/>
      <c r="T918" s="1332"/>
      <c r="U918" s="1332"/>
      <c r="V918" s="1332"/>
      <c r="W918" s="1332"/>
      <c r="X918" s="1332"/>
      <c r="Y918" s="1332"/>
      <c r="Z918" s="1332"/>
      <c r="AA918" s="1332"/>
      <c r="AB918" s="1332"/>
    </row>
    <row r="919">
      <c r="A919" s="1332"/>
      <c r="B919" s="1366"/>
      <c r="C919" s="1366"/>
      <c r="D919" s="1375"/>
      <c r="E919" s="1332"/>
      <c r="F919" s="1332"/>
      <c r="G919" s="1378"/>
      <c r="H919" s="1378"/>
      <c r="I919" s="1332"/>
      <c r="J919" s="1332"/>
      <c r="K919" s="1332"/>
      <c r="L919" s="1332"/>
      <c r="M919" s="1332"/>
      <c r="N919" s="1332"/>
      <c r="O919" s="1332"/>
      <c r="P919" s="1332"/>
      <c r="Q919" s="1332"/>
      <c r="R919" s="1332"/>
      <c r="S919" s="1332"/>
      <c r="T919" s="1332"/>
      <c r="U919" s="1332"/>
      <c r="V919" s="1332"/>
      <c r="W919" s="1332"/>
      <c r="X919" s="1332"/>
      <c r="Y919" s="1332"/>
      <c r="Z919" s="1332"/>
      <c r="AA919" s="1332"/>
      <c r="AB919" s="1332"/>
    </row>
    <row r="920">
      <c r="A920" s="1332"/>
      <c r="B920" s="1366"/>
      <c r="C920" s="1366"/>
      <c r="D920" s="1375"/>
      <c r="E920" s="1332"/>
      <c r="F920" s="1332"/>
      <c r="G920" s="1378"/>
      <c r="H920" s="1378"/>
      <c r="I920" s="1332"/>
      <c r="J920" s="1332"/>
      <c r="K920" s="1332"/>
      <c r="L920" s="1332"/>
      <c r="M920" s="1332"/>
      <c r="N920" s="1332"/>
      <c r="O920" s="1332"/>
      <c r="P920" s="1332"/>
      <c r="Q920" s="1332"/>
      <c r="R920" s="1332"/>
      <c r="S920" s="1332"/>
      <c r="T920" s="1332"/>
      <c r="U920" s="1332"/>
      <c r="V920" s="1332"/>
      <c r="W920" s="1332"/>
      <c r="X920" s="1332"/>
      <c r="Y920" s="1332"/>
      <c r="Z920" s="1332"/>
      <c r="AA920" s="1332"/>
      <c r="AB920" s="1332"/>
    </row>
    <row r="921">
      <c r="A921" s="1332"/>
      <c r="B921" s="1366"/>
      <c r="C921" s="1366"/>
      <c r="D921" s="1375"/>
      <c r="E921" s="1332"/>
      <c r="F921" s="1332"/>
      <c r="G921" s="1378"/>
      <c r="H921" s="1378"/>
      <c r="I921" s="1332"/>
      <c r="J921" s="1332"/>
      <c r="K921" s="1332"/>
      <c r="L921" s="1332"/>
      <c r="M921" s="1332"/>
      <c r="N921" s="1332"/>
      <c r="O921" s="1332"/>
      <c r="P921" s="1332"/>
      <c r="Q921" s="1332"/>
      <c r="R921" s="1332"/>
      <c r="S921" s="1332"/>
      <c r="T921" s="1332"/>
      <c r="U921" s="1332"/>
      <c r="V921" s="1332"/>
      <c r="W921" s="1332"/>
      <c r="X921" s="1332"/>
      <c r="Y921" s="1332"/>
      <c r="Z921" s="1332"/>
      <c r="AA921" s="1332"/>
      <c r="AB921" s="1332"/>
    </row>
    <row r="922">
      <c r="A922" s="1332"/>
      <c r="B922" s="1366"/>
      <c r="C922" s="1366"/>
      <c r="D922" s="1375"/>
      <c r="E922" s="1332"/>
      <c r="F922" s="1332"/>
      <c r="G922" s="1378"/>
      <c r="H922" s="1378"/>
      <c r="I922" s="1332"/>
      <c r="J922" s="1332"/>
      <c r="K922" s="1332"/>
      <c r="L922" s="1332"/>
      <c r="M922" s="1332"/>
      <c r="N922" s="1332"/>
      <c r="O922" s="1332"/>
      <c r="P922" s="1332"/>
      <c r="Q922" s="1332"/>
      <c r="R922" s="1332"/>
      <c r="S922" s="1332"/>
      <c r="T922" s="1332"/>
      <c r="U922" s="1332"/>
      <c r="V922" s="1332"/>
      <c r="W922" s="1332"/>
      <c r="X922" s="1332"/>
      <c r="Y922" s="1332"/>
      <c r="Z922" s="1332"/>
      <c r="AA922" s="1332"/>
      <c r="AB922" s="1332"/>
    </row>
    <row r="923">
      <c r="A923" s="1332"/>
      <c r="B923" s="1366"/>
      <c r="C923" s="1366"/>
      <c r="D923" s="1375"/>
      <c r="E923" s="1332"/>
      <c r="F923" s="1332"/>
      <c r="G923" s="1378"/>
      <c r="H923" s="1378"/>
      <c r="I923" s="1332"/>
      <c r="J923" s="1332"/>
      <c r="K923" s="1332"/>
      <c r="L923" s="1332"/>
      <c r="M923" s="1332"/>
      <c r="N923" s="1332"/>
      <c r="O923" s="1332"/>
      <c r="P923" s="1332"/>
      <c r="Q923" s="1332"/>
      <c r="R923" s="1332"/>
      <c r="S923" s="1332"/>
      <c r="T923" s="1332"/>
      <c r="U923" s="1332"/>
      <c r="V923" s="1332"/>
      <c r="W923" s="1332"/>
      <c r="X923" s="1332"/>
      <c r="Y923" s="1332"/>
      <c r="Z923" s="1332"/>
      <c r="AA923" s="1332"/>
      <c r="AB923" s="1332"/>
    </row>
    <row r="924">
      <c r="A924" s="1332"/>
      <c r="B924" s="1366"/>
      <c r="C924" s="1366"/>
      <c r="D924" s="1375"/>
      <c r="E924" s="1332"/>
      <c r="F924" s="1332"/>
      <c r="G924" s="1378"/>
      <c r="H924" s="1378"/>
      <c r="I924" s="1332"/>
      <c r="J924" s="1332"/>
      <c r="K924" s="1332"/>
      <c r="L924" s="1332"/>
      <c r="M924" s="1332"/>
      <c r="N924" s="1332"/>
      <c r="O924" s="1332"/>
      <c r="P924" s="1332"/>
      <c r="Q924" s="1332"/>
      <c r="R924" s="1332"/>
      <c r="S924" s="1332"/>
      <c r="T924" s="1332"/>
      <c r="U924" s="1332"/>
      <c r="V924" s="1332"/>
      <c r="W924" s="1332"/>
      <c r="X924" s="1332"/>
      <c r="Y924" s="1332"/>
      <c r="Z924" s="1332"/>
      <c r="AA924" s="1332"/>
      <c r="AB924" s="1332"/>
    </row>
    <row r="925">
      <c r="A925" s="1332"/>
      <c r="B925" s="1366"/>
      <c r="C925" s="1366"/>
      <c r="D925" s="1375"/>
      <c r="E925" s="1332"/>
      <c r="F925" s="1332"/>
      <c r="G925" s="1378"/>
      <c r="H925" s="1378"/>
      <c r="I925" s="1332"/>
      <c r="J925" s="1332"/>
      <c r="K925" s="1332"/>
      <c r="L925" s="1332"/>
      <c r="M925" s="1332"/>
      <c r="N925" s="1332"/>
      <c r="O925" s="1332"/>
      <c r="P925" s="1332"/>
      <c r="Q925" s="1332"/>
      <c r="R925" s="1332"/>
      <c r="S925" s="1332"/>
      <c r="T925" s="1332"/>
      <c r="U925" s="1332"/>
      <c r="V925" s="1332"/>
      <c r="W925" s="1332"/>
      <c r="X925" s="1332"/>
      <c r="Y925" s="1332"/>
      <c r="Z925" s="1332"/>
      <c r="AA925" s="1332"/>
      <c r="AB925" s="1332"/>
    </row>
    <row r="926">
      <c r="A926" s="1332"/>
      <c r="B926" s="1366"/>
      <c r="C926" s="1366"/>
      <c r="D926" s="1375"/>
      <c r="E926" s="1332"/>
      <c r="F926" s="1332"/>
      <c r="G926" s="1378"/>
      <c r="H926" s="1378"/>
      <c r="I926" s="1332"/>
      <c r="J926" s="1332"/>
      <c r="K926" s="1332"/>
      <c r="L926" s="1332"/>
      <c r="M926" s="1332"/>
      <c r="N926" s="1332"/>
      <c r="O926" s="1332"/>
      <c r="P926" s="1332"/>
      <c r="Q926" s="1332"/>
      <c r="R926" s="1332"/>
      <c r="S926" s="1332"/>
      <c r="T926" s="1332"/>
      <c r="U926" s="1332"/>
      <c r="V926" s="1332"/>
      <c r="W926" s="1332"/>
      <c r="X926" s="1332"/>
      <c r="Y926" s="1332"/>
      <c r="Z926" s="1332"/>
      <c r="AA926" s="1332"/>
      <c r="AB926" s="1332"/>
    </row>
    <row r="927">
      <c r="A927" s="1332"/>
      <c r="B927" s="1366"/>
      <c r="C927" s="1366"/>
      <c r="D927" s="1375"/>
      <c r="E927" s="1332"/>
      <c r="F927" s="1332"/>
      <c r="G927" s="1378"/>
      <c r="H927" s="1378"/>
      <c r="I927" s="1332"/>
      <c r="J927" s="1332"/>
      <c r="K927" s="1332"/>
      <c r="L927" s="1332"/>
      <c r="M927" s="1332"/>
      <c r="N927" s="1332"/>
      <c r="O927" s="1332"/>
      <c r="P927" s="1332"/>
      <c r="Q927" s="1332"/>
      <c r="R927" s="1332"/>
      <c r="S927" s="1332"/>
      <c r="T927" s="1332"/>
      <c r="U927" s="1332"/>
      <c r="V927" s="1332"/>
      <c r="W927" s="1332"/>
      <c r="X927" s="1332"/>
      <c r="Y927" s="1332"/>
      <c r="Z927" s="1332"/>
      <c r="AA927" s="1332"/>
      <c r="AB927" s="1332"/>
    </row>
    <row r="928">
      <c r="A928" s="1332"/>
      <c r="B928" s="1366"/>
      <c r="C928" s="1366"/>
      <c r="D928" s="1375"/>
      <c r="E928" s="1332"/>
      <c r="F928" s="1332"/>
      <c r="G928" s="1378"/>
      <c r="H928" s="1378"/>
      <c r="I928" s="1332"/>
      <c r="J928" s="1332"/>
      <c r="K928" s="1332"/>
      <c r="L928" s="1332"/>
      <c r="M928" s="1332"/>
      <c r="N928" s="1332"/>
      <c r="O928" s="1332"/>
      <c r="P928" s="1332"/>
      <c r="Q928" s="1332"/>
      <c r="R928" s="1332"/>
      <c r="S928" s="1332"/>
      <c r="T928" s="1332"/>
      <c r="U928" s="1332"/>
      <c r="V928" s="1332"/>
      <c r="W928" s="1332"/>
      <c r="X928" s="1332"/>
      <c r="Y928" s="1332"/>
      <c r="Z928" s="1332"/>
      <c r="AA928" s="1332"/>
      <c r="AB928" s="1332"/>
    </row>
    <row r="929">
      <c r="A929" s="1332"/>
      <c r="B929" s="1366"/>
      <c r="C929" s="1366"/>
      <c r="D929" s="1375"/>
      <c r="E929" s="1332"/>
      <c r="F929" s="1332"/>
      <c r="G929" s="1378"/>
      <c r="H929" s="1378"/>
      <c r="I929" s="1332"/>
      <c r="J929" s="1332"/>
      <c r="K929" s="1332"/>
      <c r="L929" s="1332"/>
      <c r="M929" s="1332"/>
      <c r="N929" s="1332"/>
      <c r="O929" s="1332"/>
      <c r="P929" s="1332"/>
      <c r="Q929" s="1332"/>
      <c r="R929" s="1332"/>
      <c r="S929" s="1332"/>
      <c r="T929" s="1332"/>
      <c r="U929" s="1332"/>
      <c r="V929" s="1332"/>
      <c r="W929" s="1332"/>
      <c r="X929" s="1332"/>
      <c r="Y929" s="1332"/>
      <c r="Z929" s="1332"/>
      <c r="AA929" s="1332"/>
      <c r="AB929" s="1332"/>
    </row>
    <row r="930">
      <c r="A930" s="1332"/>
      <c r="B930" s="1366"/>
      <c r="C930" s="1366"/>
      <c r="D930" s="1375"/>
      <c r="E930" s="1332"/>
      <c r="F930" s="1332"/>
      <c r="G930" s="1378"/>
      <c r="H930" s="1378"/>
      <c r="I930" s="1332"/>
      <c r="J930" s="1332"/>
      <c r="K930" s="1332"/>
      <c r="L930" s="1332"/>
      <c r="M930" s="1332"/>
      <c r="N930" s="1332"/>
      <c r="O930" s="1332"/>
      <c r="P930" s="1332"/>
      <c r="Q930" s="1332"/>
      <c r="R930" s="1332"/>
      <c r="S930" s="1332"/>
      <c r="T930" s="1332"/>
      <c r="U930" s="1332"/>
      <c r="V930" s="1332"/>
      <c r="W930" s="1332"/>
      <c r="X930" s="1332"/>
      <c r="Y930" s="1332"/>
      <c r="Z930" s="1332"/>
      <c r="AA930" s="1332"/>
      <c r="AB930" s="1332"/>
    </row>
    <row r="931">
      <c r="A931" s="1332"/>
      <c r="B931" s="1366"/>
      <c r="C931" s="1366"/>
      <c r="D931" s="1375"/>
      <c r="E931" s="1332"/>
      <c r="F931" s="1332"/>
      <c r="G931" s="1378"/>
      <c r="H931" s="1378"/>
      <c r="I931" s="1332"/>
      <c r="J931" s="1332"/>
      <c r="K931" s="1332"/>
      <c r="L931" s="1332"/>
      <c r="M931" s="1332"/>
      <c r="N931" s="1332"/>
      <c r="O931" s="1332"/>
      <c r="P931" s="1332"/>
      <c r="Q931" s="1332"/>
      <c r="R931" s="1332"/>
      <c r="S931" s="1332"/>
      <c r="T931" s="1332"/>
      <c r="U931" s="1332"/>
      <c r="V931" s="1332"/>
      <c r="W931" s="1332"/>
      <c r="X931" s="1332"/>
      <c r="Y931" s="1332"/>
      <c r="Z931" s="1332"/>
      <c r="AA931" s="1332"/>
      <c r="AB931" s="1332"/>
    </row>
    <row r="932">
      <c r="A932" s="1332"/>
      <c r="B932" s="1366"/>
      <c r="C932" s="1366"/>
      <c r="D932" s="1375"/>
      <c r="E932" s="1332"/>
      <c r="F932" s="1332"/>
      <c r="G932" s="1378"/>
      <c r="H932" s="1378"/>
      <c r="I932" s="1332"/>
      <c r="J932" s="1332"/>
      <c r="K932" s="1332"/>
      <c r="L932" s="1332"/>
      <c r="M932" s="1332"/>
      <c r="N932" s="1332"/>
      <c r="O932" s="1332"/>
      <c r="P932" s="1332"/>
      <c r="Q932" s="1332"/>
      <c r="R932" s="1332"/>
      <c r="S932" s="1332"/>
      <c r="T932" s="1332"/>
      <c r="U932" s="1332"/>
      <c r="V932" s="1332"/>
      <c r="W932" s="1332"/>
      <c r="X932" s="1332"/>
      <c r="Y932" s="1332"/>
      <c r="Z932" s="1332"/>
      <c r="AA932" s="1332"/>
      <c r="AB932" s="1332"/>
    </row>
    <row r="933">
      <c r="A933" s="1332"/>
      <c r="B933" s="1366"/>
      <c r="C933" s="1366"/>
      <c r="D933" s="1375"/>
      <c r="E933" s="1332"/>
      <c r="F933" s="1332"/>
      <c r="G933" s="1378"/>
      <c r="H933" s="1378"/>
      <c r="I933" s="1332"/>
      <c r="J933" s="1332"/>
      <c r="K933" s="1332"/>
      <c r="L933" s="1332"/>
      <c r="M933" s="1332"/>
      <c r="N933" s="1332"/>
      <c r="O933" s="1332"/>
      <c r="P933" s="1332"/>
      <c r="Q933" s="1332"/>
      <c r="R933" s="1332"/>
      <c r="S933" s="1332"/>
      <c r="T933" s="1332"/>
      <c r="U933" s="1332"/>
      <c r="V933" s="1332"/>
      <c r="W933" s="1332"/>
      <c r="X933" s="1332"/>
      <c r="Y933" s="1332"/>
      <c r="Z933" s="1332"/>
      <c r="AA933" s="1332"/>
      <c r="AB933" s="1332"/>
    </row>
    <row r="934">
      <c r="A934" s="1332"/>
      <c r="B934" s="1366"/>
      <c r="C934" s="1366"/>
      <c r="D934" s="1375"/>
      <c r="E934" s="1332"/>
      <c r="F934" s="1332"/>
      <c r="G934" s="1378"/>
      <c r="H934" s="1378"/>
      <c r="I934" s="1332"/>
      <c r="J934" s="1332"/>
      <c r="K934" s="1332"/>
      <c r="L934" s="1332"/>
      <c r="M934" s="1332"/>
      <c r="N934" s="1332"/>
      <c r="O934" s="1332"/>
      <c r="P934" s="1332"/>
      <c r="Q934" s="1332"/>
      <c r="R934" s="1332"/>
      <c r="S934" s="1332"/>
      <c r="T934" s="1332"/>
      <c r="U934" s="1332"/>
      <c r="V934" s="1332"/>
      <c r="W934" s="1332"/>
      <c r="X934" s="1332"/>
      <c r="Y934" s="1332"/>
      <c r="Z934" s="1332"/>
      <c r="AA934" s="1332"/>
      <c r="AB934" s="1332"/>
    </row>
    <row r="935">
      <c r="A935" s="1332"/>
      <c r="B935" s="1366"/>
      <c r="C935" s="1366"/>
      <c r="D935" s="1375"/>
      <c r="E935" s="1332"/>
      <c r="F935" s="1332"/>
      <c r="G935" s="1378"/>
      <c r="H935" s="1378"/>
      <c r="I935" s="1332"/>
      <c r="J935" s="1332"/>
      <c r="K935" s="1332"/>
      <c r="L935" s="1332"/>
      <c r="M935" s="1332"/>
      <c r="N935" s="1332"/>
      <c r="O935" s="1332"/>
      <c r="P935" s="1332"/>
      <c r="Q935" s="1332"/>
      <c r="R935" s="1332"/>
      <c r="S935" s="1332"/>
      <c r="T935" s="1332"/>
      <c r="U935" s="1332"/>
      <c r="V935" s="1332"/>
      <c r="W935" s="1332"/>
      <c r="X935" s="1332"/>
      <c r="Y935" s="1332"/>
      <c r="Z935" s="1332"/>
      <c r="AA935" s="1332"/>
      <c r="AB935" s="1332"/>
    </row>
    <row r="936">
      <c r="A936" s="1332"/>
      <c r="B936" s="1366"/>
      <c r="C936" s="1366"/>
      <c r="D936" s="1375"/>
      <c r="E936" s="1332"/>
      <c r="F936" s="1332"/>
      <c r="G936" s="1378"/>
      <c r="H936" s="1378"/>
      <c r="I936" s="1332"/>
      <c r="J936" s="1332"/>
      <c r="K936" s="1332"/>
      <c r="L936" s="1332"/>
      <c r="M936" s="1332"/>
      <c r="N936" s="1332"/>
      <c r="O936" s="1332"/>
      <c r="P936" s="1332"/>
      <c r="Q936" s="1332"/>
      <c r="R936" s="1332"/>
      <c r="S936" s="1332"/>
      <c r="T936" s="1332"/>
      <c r="U936" s="1332"/>
      <c r="V936" s="1332"/>
      <c r="W936" s="1332"/>
      <c r="X936" s="1332"/>
      <c r="Y936" s="1332"/>
      <c r="Z936" s="1332"/>
      <c r="AA936" s="1332"/>
      <c r="AB936" s="1332"/>
    </row>
    <row r="937">
      <c r="A937" s="1332"/>
      <c r="B937" s="1366"/>
      <c r="C937" s="1366"/>
      <c r="D937" s="1375"/>
      <c r="E937" s="1332"/>
      <c r="F937" s="1332"/>
      <c r="G937" s="1378"/>
      <c r="H937" s="1378"/>
      <c r="I937" s="1332"/>
      <c r="J937" s="1332"/>
      <c r="K937" s="1332"/>
      <c r="L937" s="1332"/>
      <c r="M937" s="1332"/>
      <c r="N937" s="1332"/>
      <c r="O937" s="1332"/>
      <c r="P937" s="1332"/>
      <c r="Q937" s="1332"/>
      <c r="R937" s="1332"/>
      <c r="S937" s="1332"/>
      <c r="T937" s="1332"/>
      <c r="U937" s="1332"/>
      <c r="V937" s="1332"/>
      <c r="W937" s="1332"/>
      <c r="X937" s="1332"/>
      <c r="Y937" s="1332"/>
      <c r="Z937" s="1332"/>
      <c r="AA937" s="1332"/>
      <c r="AB937" s="1332"/>
    </row>
    <row r="938">
      <c r="A938" s="1332"/>
      <c r="B938" s="1366"/>
      <c r="C938" s="1366"/>
      <c r="D938" s="1375"/>
      <c r="E938" s="1332"/>
      <c r="F938" s="1332"/>
      <c r="G938" s="1378"/>
      <c r="H938" s="1378"/>
      <c r="I938" s="1332"/>
      <c r="J938" s="1332"/>
      <c r="K938" s="1332"/>
      <c r="L938" s="1332"/>
      <c r="M938" s="1332"/>
      <c r="N938" s="1332"/>
      <c r="O938" s="1332"/>
      <c r="P938" s="1332"/>
      <c r="Q938" s="1332"/>
      <c r="R938" s="1332"/>
      <c r="S938" s="1332"/>
      <c r="T938" s="1332"/>
      <c r="U938" s="1332"/>
      <c r="V938" s="1332"/>
      <c r="W938" s="1332"/>
      <c r="X938" s="1332"/>
      <c r="Y938" s="1332"/>
      <c r="Z938" s="1332"/>
      <c r="AA938" s="1332"/>
      <c r="AB938" s="1332"/>
    </row>
    <row r="939">
      <c r="A939" s="1332"/>
      <c r="B939" s="1366"/>
      <c r="C939" s="1366"/>
      <c r="D939" s="1375"/>
      <c r="E939" s="1332"/>
      <c r="F939" s="1332"/>
      <c r="G939" s="1378"/>
      <c r="H939" s="1378"/>
      <c r="I939" s="1332"/>
      <c r="J939" s="1332"/>
      <c r="K939" s="1332"/>
      <c r="L939" s="1332"/>
      <c r="M939" s="1332"/>
      <c r="N939" s="1332"/>
      <c r="O939" s="1332"/>
      <c r="P939" s="1332"/>
      <c r="Q939" s="1332"/>
      <c r="R939" s="1332"/>
      <c r="S939" s="1332"/>
      <c r="T939" s="1332"/>
      <c r="U939" s="1332"/>
      <c r="V939" s="1332"/>
      <c r="W939" s="1332"/>
      <c r="X939" s="1332"/>
      <c r="Y939" s="1332"/>
      <c r="Z939" s="1332"/>
      <c r="AA939" s="1332"/>
      <c r="AB939" s="1332"/>
    </row>
    <row r="940">
      <c r="A940" s="1332"/>
      <c r="B940" s="1366"/>
      <c r="C940" s="1366"/>
      <c r="D940" s="1375"/>
      <c r="E940" s="1332"/>
      <c r="F940" s="1332"/>
      <c r="G940" s="1378"/>
      <c r="H940" s="1378"/>
      <c r="I940" s="1332"/>
      <c r="J940" s="1332"/>
      <c r="K940" s="1332"/>
      <c r="L940" s="1332"/>
      <c r="M940" s="1332"/>
      <c r="N940" s="1332"/>
      <c r="O940" s="1332"/>
      <c r="P940" s="1332"/>
      <c r="Q940" s="1332"/>
      <c r="R940" s="1332"/>
      <c r="S940" s="1332"/>
      <c r="T940" s="1332"/>
      <c r="U940" s="1332"/>
      <c r="V940" s="1332"/>
      <c r="W940" s="1332"/>
      <c r="X940" s="1332"/>
      <c r="Y940" s="1332"/>
      <c r="Z940" s="1332"/>
      <c r="AA940" s="1332"/>
      <c r="AB940" s="1332"/>
    </row>
    <row r="941">
      <c r="A941" s="1332"/>
      <c r="B941" s="1366"/>
      <c r="C941" s="1366"/>
      <c r="D941" s="1375"/>
      <c r="E941" s="1332"/>
      <c r="F941" s="1332"/>
      <c r="G941" s="1378"/>
      <c r="H941" s="1378"/>
      <c r="I941" s="1332"/>
      <c r="J941" s="1332"/>
      <c r="K941" s="1332"/>
      <c r="L941" s="1332"/>
      <c r="M941" s="1332"/>
      <c r="N941" s="1332"/>
      <c r="O941" s="1332"/>
      <c r="P941" s="1332"/>
      <c r="Q941" s="1332"/>
      <c r="R941" s="1332"/>
      <c r="S941" s="1332"/>
      <c r="T941" s="1332"/>
      <c r="U941" s="1332"/>
      <c r="V941" s="1332"/>
      <c r="W941" s="1332"/>
      <c r="X941" s="1332"/>
      <c r="Y941" s="1332"/>
      <c r="Z941" s="1332"/>
      <c r="AA941" s="1332"/>
      <c r="AB941" s="1332"/>
    </row>
    <row r="942">
      <c r="A942" s="1332"/>
      <c r="B942" s="1366"/>
      <c r="C942" s="1366"/>
      <c r="D942" s="1375"/>
      <c r="E942" s="1332"/>
      <c r="F942" s="1332"/>
      <c r="G942" s="1378"/>
      <c r="H942" s="1378"/>
      <c r="I942" s="1332"/>
      <c r="J942" s="1332"/>
      <c r="K942" s="1332"/>
      <c r="L942" s="1332"/>
      <c r="M942" s="1332"/>
      <c r="N942" s="1332"/>
      <c r="O942" s="1332"/>
      <c r="P942" s="1332"/>
      <c r="Q942" s="1332"/>
      <c r="R942" s="1332"/>
      <c r="S942" s="1332"/>
      <c r="T942" s="1332"/>
      <c r="U942" s="1332"/>
      <c r="V942" s="1332"/>
      <c r="W942" s="1332"/>
      <c r="X942" s="1332"/>
      <c r="Y942" s="1332"/>
      <c r="Z942" s="1332"/>
      <c r="AA942" s="1332"/>
      <c r="AB942" s="1332"/>
    </row>
    <row r="943">
      <c r="A943" s="1332"/>
      <c r="B943" s="1366"/>
      <c r="C943" s="1366"/>
      <c r="D943" s="1375"/>
      <c r="E943" s="1332"/>
      <c r="F943" s="1332"/>
      <c r="G943" s="1378"/>
      <c r="H943" s="1378"/>
      <c r="I943" s="1332"/>
      <c r="J943" s="1332"/>
      <c r="K943" s="1332"/>
      <c r="L943" s="1332"/>
      <c r="M943" s="1332"/>
      <c r="N943" s="1332"/>
      <c r="O943" s="1332"/>
      <c r="P943" s="1332"/>
      <c r="Q943" s="1332"/>
      <c r="R943" s="1332"/>
      <c r="S943" s="1332"/>
      <c r="T943" s="1332"/>
      <c r="U943" s="1332"/>
      <c r="V943" s="1332"/>
      <c r="W943" s="1332"/>
      <c r="X943" s="1332"/>
      <c r="Y943" s="1332"/>
      <c r="Z943" s="1332"/>
      <c r="AA943" s="1332"/>
      <c r="AB943" s="1332"/>
    </row>
    <row r="944">
      <c r="A944" s="1332"/>
      <c r="B944" s="1366"/>
      <c r="C944" s="1366"/>
      <c r="D944" s="1375"/>
      <c r="E944" s="1332"/>
      <c r="F944" s="1332"/>
      <c r="G944" s="1378"/>
      <c r="H944" s="1378"/>
      <c r="I944" s="1332"/>
      <c r="J944" s="1332"/>
      <c r="K944" s="1332"/>
      <c r="L944" s="1332"/>
      <c r="M944" s="1332"/>
      <c r="N944" s="1332"/>
      <c r="O944" s="1332"/>
      <c r="P944" s="1332"/>
      <c r="Q944" s="1332"/>
      <c r="R944" s="1332"/>
      <c r="S944" s="1332"/>
      <c r="T944" s="1332"/>
      <c r="U944" s="1332"/>
      <c r="V944" s="1332"/>
      <c r="W944" s="1332"/>
      <c r="X944" s="1332"/>
      <c r="Y944" s="1332"/>
      <c r="Z944" s="1332"/>
      <c r="AA944" s="1332"/>
      <c r="AB944" s="1332"/>
    </row>
    <row r="945">
      <c r="A945" s="1332"/>
      <c r="B945" s="1366"/>
      <c r="C945" s="1366"/>
      <c r="D945" s="1375"/>
      <c r="E945" s="1332"/>
      <c r="F945" s="1332"/>
      <c r="G945" s="1378"/>
      <c r="H945" s="1378"/>
      <c r="I945" s="1332"/>
      <c r="J945" s="1332"/>
      <c r="K945" s="1332"/>
      <c r="L945" s="1332"/>
      <c r="M945" s="1332"/>
      <c r="N945" s="1332"/>
      <c r="O945" s="1332"/>
      <c r="P945" s="1332"/>
      <c r="Q945" s="1332"/>
      <c r="R945" s="1332"/>
      <c r="S945" s="1332"/>
      <c r="T945" s="1332"/>
      <c r="U945" s="1332"/>
      <c r="V945" s="1332"/>
      <c r="W945" s="1332"/>
      <c r="X945" s="1332"/>
      <c r="Y945" s="1332"/>
      <c r="Z945" s="1332"/>
      <c r="AA945" s="1332"/>
      <c r="AB945" s="1332"/>
    </row>
    <row r="946">
      <c r="A946" s="1332"/>
      <c r="B946" s="1366"/>
      <c r="C946" s="1366"/>
      <c r="D946" s="1375"/>
      <c r="E946" s="1332"/>
      <c r="F946" s="1332"/>
      <c r="G946" s="1378"/>
      <c r="H946" s="1378"/>
      <c r="I946" s="1332"/>
      <c r="J946" s="1332"/>
      <c r="K946" s="1332"/>
      <c r="L946" s="1332"/>
      <c r="M946" s="1332"/>
      <c r="N946" s="1332"/>
      <c r="O946" s="1332"/>
      <c r="P946" s="1332"/>
      <c r="Q946" s="1332"/>
      <c r="R946" s="1332"/>
      <c r="S946" s="1332"/>
      <c r="T946" s="1332"/>
      <c r="U946" s="1332"/>
      <c r="V946" s="1332"/>
      <c r="W946" s="1332"/>
      <c r="X946" s="1332"/>
      <c r="Y946" s="1332"/>
      <c r="Z946" s="1332"/>
      <c r="AA946" s="1332"/>
      <c r="AB946" s="1332"/>
    </row>
    <row r="947">
      <c r="A947" s="1332"/>
      <c r="B947" s="1366"/>
      <c r="C947" s="1366"/>
      <c r="D947" s="1375"/>
      <c r="E947" s="1332"/>
      <c r="F947" s="1332"/>
      <c r="G947" s="1378"/>
      <c r="H947" s="1378"/>
      <c r="I947" s="1332"/>
      <c r="J947" s="1332"/>
      <c r="K947" s="1332"/>
      <c r="L947" s="1332"/>
      <c r="M947" s="1332"/>
      <c r="N947" s="1332"/>
      <c r="O947" s="1332"/>
      <c r="P947" s="1332"/>
      <c r="Q947" s="1332"/>
      <c r="R947" s="1332"/>
      <c r="S947" s="1332"/>
      <c r="T947" s="1332"/>
      <c r="U947" s="1332"/>
      <c r="V947" s="1332"/>
      <c r="W947" s="1332"/>
      <c r="X947" s="1332"/>
      <c r="Y947" s="1332"/>
      <c r="Z947" s="1332"/>
      <c r="AA947" s="1332"/>
      <c r="AB947" s="1332"/>
    </row>
    <row r="948">
      <c r="A948" s="1332"/>
      <c r="B948" s="1366"/>
      <c r="C948" s="1366"/>
      <c r="D948" s="1375"/>
      <c r="E948" s="1332"/>
      <c r="F948" s="1332"/>
      <c r="G948" s="1378"/>
      <c r="H948" s="1378"/>
      <c r="I948" s="1332"/>
      <c r="J948" s="1332"/>
      <c r="K948" s="1332"/>
      <c r="L948" s="1332"/>
      <c r="M948" s="1332"/>
      <c r="N948" s="1332"/>
      <c r="O948" s="1332"/>
      <c r="P948" s="1332"/>
      <c r="Q948" s="1332"/>
      <c r="R948" s="1332"/>
      <c r="S948" s="1332"/>
      <c r="T948" s="1332"/>
      <c r="U948" s="1332"/>
      <c r="V948" s="1332"/>
      <c r="W948" s="1332"/>
      <c r="X948" s="1332"/>
      <c r="Y948" s="1332"/>
      <c r="Z948" s="1332"/>
      <c r="AA948" s="1332"/>
      <c r="AB948" s="1332"/>
    </row>
    <row r="949">
      <c r="A949" s="1332"/>
      <c r="B949" s="1366"/>
      <c r="C949" s="1366"/>
      <c r="D949" s="1375"/>
      <c r="E949" s="1332"/>
      <c r="F949" s="1332"/>
      <c r="G949" s="1378"/>
      <c r="H949" s="1378"/>
      <c r="I949" s="1332"/>
      <c r="J949" s="1332"/>
      <c r="K949" s="1332"/>
      <c r="L949" s="1332"/>
      <c r="M949" s="1332"/>
      <c r="N949" s="1332"/>
      <c r="O949" s="1332"/>
      <c r="P949" s="1332"/>
      <c r="Q949" s="1332"/>
      <c r="R949" s="1332"/>
      <c r="S949" s="1332"/>
      <c r="T949" s="1332"/>
      <c r="U949" s="1332"/>
      <c r="V949" s="1332"/>
      <c r="W949" s="1332"/>
      <c r="X949" s="1332"/>
      <c r="Y949" s="1332"/>
      <c r="Z949" s="1332"/>
      <c r="AA949" s="1332"/>
      <c r="AB949" s="1332"/>
    </row>
    <row r="950">
      <c r="A950" s="1332"/>
      <c r="B950" s="1366"/>
      <c r="C950" s="1366"/>
      <c r="D950" s="1375"/>
      <c r="E950" s="1332"/>
      <c r="F950" s="1332"/>
      <c r="G950" s="1378"/>
      <c r="H950" s="1378"/>
      <c r="I950" s="1332"/>
      <c r="J950" s="1332"/>
      <c r="K950" s="1332"/>
      <c r="L950" s="1332"/>
      <c r="M950" s="1332"/>
      <c r="N950" s="1332"/>
      <c r="O950" s="1332"/>
      <c r="P950" s="1332"/>
      <c r="Q950" s="1332"/>
      <c r="R950" s="1332"/>
      <c r="S950" s="1332"/>
      <c r="T950" s="1332"/>
      <c r="U950" s="1332"/>
      <c r="V950" s="1332"/>
      <c r="W950" s="1332"/>
      <c r="X950" s="1332"/>
      <c r="Y950" s="1332"/>
      <c r="Z950" s="1332"/>
      <c r="AA950" s="1332"/>
      <c r="AB950" s="1332"/>
    </row>
    <row r="951">
      <c r="A951" s="1332"/>
      <c r="B951" s="1366"/>
      <c r="C951" s="1366"/>
      <c r="D951" s="1375"/>
      <c r="E951" s="1332"/>
      <c r="F951" s="1332"/>
      <c r="G951" s="1378"/>
      <c r="H951" s="1378"/>
      <c r="I951" s="1332"/>
      <c r="J951" s="1332"/>
      <c r="K951" s="1332"/>
      <c r="L951" s="1332"/>
      <c r="M951" s="1332"/>
      <c r="N951" s="1332"/>
      <c r="O951" s="1332"/>
      <c r="P951" s="1332"/>
      <c r="Q951" s="1332"/>
      <c r="R951" s="1332"/>
      <c r="S951" s="1332"/>
      <c r="T951" s="1332"/>
      <c r="U951" s="1332"/>
      <c r="V951" s="1332"/>
      <c r="W951" s="1332"/>
      <c r="X951" s="1332"/>
      <c r="Y951" s="1332"/>
      <c r="Z951" s="1332"/>
      <c r="AA951" s="1332"/>
      <c r="AB951" s="1332"/>
    </row>
    <row r="952">
      <c r="A952" s="1332"/>
      <c r="B952" s="1366"/>
      <c r="C952" s="1366"/>
      <c r="D952" s="1375"/>
      <c r="E952" s="1332"/>
      <c r="F952" s="1332"/>
      <c r="G952" s="1378"/>
      <c r="H952" s="1378"/>
      <c r="I952" s="1332"/>
      <c r="J952" s="1332"/>
      <c r="K952" s="1332"/>
      <c r="L952" s="1332"/>
      <c r="M952" s="1332"/>
      <c r="N952" s="1332"/>
      <c r="O952" s="1332"/>
      <c r="P952" s="1332"/>
      <c r="Q952" s="1332"/>
      <c r="R952" s="1332"/>
      <c r="S952" s="1332"/>
      <c r="T952" s="1332"/>
      <c r="U952" s="1332"/>
      <c r="V952" s="1332"/>
      <c r="W952" s="1332"/>
      <c r="X952" s="1332"/>
      <c r="Y952" s="1332"/>
      <c r="Z952" s="1332"/>
      <c r="AA952" s="1332"/>
      <c r="AB952" s="1332"/>
    </row>
    <row r="953">
      <c r="A953" s="1332"/>
      <c r="B953" s="1366"/>
      <c r="C953" s="1366"/>
      <c r="D953" s="1375"/>
      <c r="E953" s="1332"/>
      <c r="F953" s="1332"/>
      <c r="G953" s="1378"/>
      <c r="H953" s="1378"/>
      <c r="I953" s="1332"/>
      <c r="J953" s="1332"/>
      <c r="K953" s="1332"/>
      <c r="L953" s="1332"/>
      <c r="M953" s="1332"/>
      <c r="N953" s="1332"/>
      <c r="O953" s="1332"/>
      <c r="P953" s="1332"/>
      <c r="Q953" s="1332"/>
      <c r="R953" s="1332"/>
      <c r="S953" s="1332"/>
      <c r="T953" s="1332"/>
      <c r="U953" s="1332"/>
      <c r="V953" s="1332"/>
      <c r="W953" s="1332"/>
      <c r="X953" s="1332"/>
      <c r="Y953" s="1332"/>
      <c r="Z953" s="1332"/>
      <c r="AA953" s="1332"/>
      <c r="AB953" s="1332"/>
    </row>
    <row r="954">
      <c r="A954" s="1332"/>
      <c r="B954" s="1366"/>
      <c r="C954" s="1366"/>
      <c r="D954" s="1375"/>
      <c r="E954" s="1332"/>
      <c r="F954" s="1332"/>
      <c r="G954" s="1378"/>
      <c r="H954" s="1378"/>
      <c r="I954" s="1332"/>
      <c r="J954" s="1332"/>
      <c r="K954" s="1332"/>
      <c r="L954" s="1332"/>
      <c r="M954" s="1332"/>
      <c r="N954" s="1332"/>
      <c r="O954" s="1332"/>
      <c r="P954" s="1332"/>
      <c r="Q954" s="1332"/>
      <c r="R954" s="1332"/>
      <c r="S954" s="1332"/>
      <c r="T954" s="1332"/>
      <c r="U954" s="1332"/>
      <c r="V954" s="1332"/>
      <c r="W954" s="1332"/>
      <c r="X954" s="1332"/>
      <c r="Y954" s="1332"/>
      <c r="Z954" s="1332"/>
      <c r="AA954" s="1332"/>
      <c r="AB954" s="1332"/>
    </row>
    <row r="955">
      <c r="A955" s="1332"/>
      <c r="B955" s="1366"/>
      <c r="C955" s="1366"/>
      <c r="D955" s="1375"/>
      <c r="E955" s="1332"/>
      <c r="F955" s="1332"/>
      <c r="G955" s="1378"/>
      <c r="H955" s="1378"/>
      <c r="I955" s="1332"/>
      <c r="J955" s="1332"/>
      <c r="K955" s="1332"/>
      <c r="L955" s="1332"/>
      <c r="M955" s="1332"/>
      <c r="N955" s="1332"/>
      <c r="O955" s="1332"/>
      <c r="P955" s="1332"/>
      <c r="Q955" s="1332"/>
      <c r="R955" s="1332"/>
      <c r="S955" s="1332"/>
      <c r="T955" s="1332"/>
      <c r="U955" s="1332"/>
      <c r="V955" s="1332"/>
      <c r="W955" s="1332"/>
      <c r="X955" s="1332"/>
      <c r="Y955" s="1332"/>
      <c r="Z955" s="1332"/>
      <c r="AA955" s="1332"/>
      <c r="AB955" s="1332"/>
    </row>
    <row r="956">
      <c r="A956" s="1332"/>
      <c r="B956" s="1366"/>
      <c r="C956" s="1366"/>
      <c r="D956" s="1375"/>
      <c r="E956" s="1332"/>
      <c r="F956" s="1332"/>
      <c r="G956" s="1378"/>
      <c r="H956" s="1378"/>
      <c r="I956" s="1332"/>
      <c r="J956" s="1332"/>
      <c r="K956" s="1332"/>
      <c r="L956" s="1332"/>
      <c r="M956" s="1332"/>
      <c r="N956" s="1332"/>
      <c r="O956" s="1332"/>
      <c r="P956" s="1332"/>
      <c r="Q956" s="1332"/>
      <c r="R956" s="1332"/>
      <c r="S956" s="1332"/>
      <c r="T956" s="1332"/>
      <c r="U956" s="1332"/>
      <c r="V956" s="1332"/>
      <c r="W956" s="1332"/>
      <c r="X956" s="1332"/>
      <c r="Y956" s="1332"/>
      <c r="Z956" s="1332"/>
      <c r="AA956" s="1332"/>
      <c r="AB956" s="1332"/>
    </row>
    <row r="957">
      <c r="A957" s="1332"/>
      <c r="B957" s="1366"/>
      <c r="C957" s="1366"/>
      <c r="D957" s="1375"/>
      <c r="E957" s="1332"/>
      <c r="F957" s="1332"/>
      <c r="G957" s="1378"/>
      <c r="H957" s="1378"/>
      <c r="I957" s="1332"/>
      <c r="J957" s="1332"/>
      <c r="K957" s="1332"/>
      <c r="L957" s="1332"/>
      <c r="M957" s="1332"/>
      <c r="N957" s="1332"/>
      <c r="O957" s="1332"/>
      <c r="P957" s="1332"/>
      <c r="Q957" s="1332"/>
      <c r="R957" s="1332"/>
      <c r="S957" s="1332"/>
      <c r="T957" s="1332"/>
      <c r="U957" s="1332"/>
      <c r="V957" s="1332"/>
      <c r="W957" s="1332"/>
      <c r="X957" s="1332"/>
      <c r="Y957" s="1332"/>
      <c r="Z957" s="1332"/>
      <c r="AA957" s="1332"/>
      <c r="AB957" s="1332"/>
    </row>
    <row r="958">
      <c r="A958" s="1332"/>
      <c r="B958" s="1366"/>
      <c r="C958" s="1366"/>
      <c r="D958" s="1375"/>
      <c r="E958" s="1332"/>
      <c r="F958" s="1332"/>
      <c r="G958" s="1378"/>
      <c r="H958" s="1378"/>
      <c r="I958" s="1332"/>
      <c r="J958" s="1332"/>
      <c r="K958" s="1332"/>
      <c r="L958" s="1332"/>
      <c r="M958" s="1332"/>
      <c r="N958" s="1332"/>
      <c r="O958" s="1332"/>
      <c r="P958" s="1332"/>
      <c r="Q958" s="1332"/>
      <c r="R958" s="1332"/>
      <c r="S958" s="1332"/>
      <c r="T958" s="1332"/>
      <c r="U958" s="1332"/>
      <c r="V958" s="1332"/>
      <c r="W958" s="1332"/>
      <c r="X958" s="1332"/>
      <c r="Y958" s="1332"/>
      <c r="Z958" s="1332"/>
      <c r="AA958" s="1332"/>
      <c r="AB958" s="1332"/>
    </row>
    <row r="959">
      <c r="A959" s="1332"/>
      <c r="B959" s="1366"/>
      <c r="C959" s="1366"/>
      <c r="D959" s="1375"/>
      <c r="E959" s="1332"/>
      <c r="F959" s="1332"/>
      <c r="G959" s="1378"/>
      <c r="H959" s="1378"/>
      <c r="I959" s="1332"/>
      <c r="J959" s="1332"/>
      <c r="K959" s="1332"/>
      <c r="L959" s="1332"/>
      <c r="M959" s="1332"/>
      <c r="N959" s="1332"/>
      <c r="O959" s="1332"/>
      <c r="P959" s="1332"/>
      <c r="Q959" s="1332"/>
      <c r="R959" s="1332"/>
      <c r="S959" s="1332"/>
      <c r="T959" s="1332"/>
      <c r="U959" s="1332"/>
      <c r="V959" s="1332"/>
      <c r="W959" s="1332"/>
      <c r="X959" s="1332"/>
      <c r="Y959" s="1332"/>
      <c r="Z959" s="1332"/>
      <c r="AA959" s="1332"/>
      <c r="AB959" s="1332"/>
    </row>
    <row r="960">
      <c r="A960" s="1332"/>
      <c r="B960" s="1366"/>
      <c r="C960" s="1366"/>
      <c r="D960" s="1375"/>
      <c r="E960" s="1332"/>
      <c r="F960" s="1332"/>
      <c r="G960" s="1378"/>
      <c r="H960" s="1378"/>
      <c r="I960" s="1332"/>
      <c r="J960" s="1332"/>
      <c r="K960" s="1332"/>
      <c r="L960" s="1332"/>
      <c r="M960" s="1332"/>
      <c r="N960" s="1332"/>
      <c r="O960" s="1332"/>
      <c r="P960" s="1332"/>
      <c r="Q960" s="1332"/>
      <c r="R960" s="1332"/>
      <c r="S960" s="1332"/>
      <c r="T960" s="1332"/>
      <c r="U960" s="1332"/>
      <c r="V960" s="1332"/>
      <c r="W960" s="1332"/>
      <c r="X960" s="1332"/>
      <c r="Y960" s="1332"/>
      <c r="Z960" s="1332"/>
      <c r="AA960" s="1332"/>
      <c r="AB960" s="1332"/>
    </row>
    <row r="961">
      <c r="A961" s="1332"/>
      <c r="B961" s="1366"/>
      <c r="C961" s="1366"/>
      <c r="D961" s="1375"/>
      <c r="E961" s="1332"/>
      <c r="F961" s="1332"/>
      <c r="G961" s="1378"/>
      <c r="H961" s="1378"/>
      <c r="I961" s="1332"/>
      <c r="J961" s="1332"/>
      <c r="K961" s="1332"/>
      <c r="L961" s="1332"/>
      <c r="M961" s="1332"/>
      <c r="N961" s="1332"/>
      <c r="O961" s="1332"/>
      <c r="P961" s="1332"/>
      <c r="Q961" s="1332"/>
      <c r="R961" s="1332"/>
      <c r="S961" s="1332"/>
      <c r="T961" s="1332"/>
      <c r="U961" s="1332"/>
      <c r="V961" s="1332"/>
      <c r="W961" s="1332"/>
      <c r="X961" s="1332"/>
      <c r="Y961" s="1332"/>
      <c r="Z961" s="1332"/>
      <c r="AA961" s="1332"/>
      <c r="AB961" s="1332"/>
    </row>
    <row r="962">
      <c r="A962" s="1332"/>
      <c r="B962" s="1366"/>
      <c r="C962" s="1366"/>
      <c r="D962" s="1375"/>
      <c r="E962" s="1332"/>
      <c r="F962" s="1332"/>
      <c r="G962" s="1378"/>
      <c r="H962" s="1378"/>
      <c r="I962" s="1332"/>
      <c r="J962" s="1332"/>
      <c r="K962" s="1332"/>
      <c r="L962" s="1332"/>
      <c r="M962" s="1332"/>
      <c r="N962" s="1332"/>
      <c r="O962" s="1332"/>
      <c r="P962" s="1332"/>
      <c r="Q962" s="1332"/>
      <c r="R962" s="1332"/>
      <c r="S962" s="1332"/>
      <c r="T962" s="1332"/>
      <c r="U962" s="1332"/>
      <c r="V962" s="1332"/>
      <c r="W962" s="1332"/>
      <c r="X962" s="1332"/>
      <c r="Y962" s="1332"/>
      <c r="Z962" s="1332"/>
      <c r="AA962" s="1332"/>
      <c r="AB962" s="1332"/>
    </row>
    <row r="963">
      <c r="A963" s="1332"/>
      <c r="B963" s="1366"/>
      <c r="C963" s="1366"/>
      <c r="D963" s="1375"/>
      <c r="E963" s="1332"/>
      <c r="F963" s="1332"/>
      <c r="G963" s="1378"/>
      <c r="H963" s="1378"/>
      <c r="I963" s="1332"/>
      <c r="J963" s="1332"/>
      <c r="K963" s="1332"/>
      <c r="L963" s="1332"/>
      <c r="M963" s="1332"/>
      <c r="N963" s="1332"/>
      <c r="O963" s="1332"/>
      <c r="P963" s="1332"/>
      <c r="Q963" s="1332"/>
      <c r="R963" s="1332"/>
      <c r="S963" s="1332"/>
      <c r="T963" s="1332"/>
      <c r="U963" s="1332"/>
      <c r="V963" s="1332"/>
      <c r="W963" s="1332"/>
      <c r="X963" s="1332"/>
      <c r="Y963" s="1332"/>
      <c r="Z963" s="1332"/>
      <c r="AA963" s="1332"/>
      <c r="AB963" s="1332"/>
    </row>
    <row r="964">
      <c r="A964" s="1332"/>
      <c r="B964" s="1366"/>
      <c r="C964" s="1366"/>
      <c r="D964" s="1375"/>
      <c r="E964" s="1332"/>
      <c r="F964" s="1332"/>
      <c r="G964" s="1378"/>
      <c r="H964" s="1378"/>
      <c r="I964" s="1332"/>
      <c r="J964" s="1332"/>
      <c r="K964" s="1332"/>
      <c r="L964" s="1332"/>
      <c r="M964" s="1332"/>
      <c r="N964" s="1332"/>
      <c r="O964" s="1332"/>
      <c r="P964" s="1332"/>
      <c r="Q964" s="1332"/>
      <c r="R964" s="1332"/>
      <c r="S964" s="1332"/>
      <c r="T964" s="1332"/>
      <c r="U964" s="1332"/>
      <c r="V964" s="1332"/>
      <c r="W964" s="1332"/>
      <c r="X964" s="1332"/>
      <c r="Y964" s="1332"/>
      <c r="Z964" s="1332"/>
      <c r="AA964" s="1332"/>
      <c r="AB964" s="1332"/>
    </row>
    <row r="965">
      <c r="A965" s="1332"/>
      <c r="B965" s="1366"/>
      <c r="C965" s="1366"/>
      <c r="D965" s="1375"/>
      <c r="E965" s="1332"/>
      <c r="F965" s="1332"/>
      <c r="G965" s="1378"/>
      <c r="H965" s="1378"/>
      <c r="I965" s="1332"/>
      <c r="J965" s="1332"/>
      <c r="K965" s="1332"/>
      <c r="L965" s="1332"/>
      <c r="M965" s="1332"/>
      <c r="N965" s="1332"/>
      <c r="O965" s="1332"/>
      <c r="P965" s="1332"/>
      <c r="Q965" s="1332"/>
      <c r="R965" s="1332"/>
      <c r="S965" s="1332"/>
      <c r="T965" s="1332"/>
      <c r="U965" s="1332"/>
      <c r="V965" s="1332"/>
      <c r="W965" s="1332"/>
      <c r="X965" s="1332"/>
      <c r="Y965" s="1332"/>
      <c r="Z965" s="1332"/>
      <c r="AA965" s="1332"/>
      <c r="AB965" s="1332"/>
    </row>
    <row r="966">
      <c r="A966" s="1332"/>
      <c r="B966" s="1366"/>
      <c r="C966" s="1366"/>
      <c r="D966" s="1375"/>
      <c r="E966" s="1332"/>
      <c r="F966" s="1332"/>
      <c r="G966" s="1378"/>
      <c r="H966" s="1378"/>
      <c r="I966" s="1332"/>
      <c r="J966" s="1332"/>
      <c r="K966" s="1332"/>
      <c r="L966" s="1332"/>
      <c r="M966" s="1332"/>
      <c r="N966" s="1332"/>
      <c r="O966" s="1332"/>
      <c r="P966" s="1332"/>
      <c r="Q966" s="1332"/>
      <c r="R966" s="1332"/>
      <c r="S966" s="1332"/>
      <c r="T966" s="1332"/>
      <c r="U966" s="1332"/>
      <c r="V966" s="1332"/>
      <c r="W966" s="1332"/>
      <c r="X966" s="1332"/>
      <c r="Y966" s="1332"/>
      <c r="Z966" s="1332"/>
      <c r="AA966" s="1332"/>
      <c r="AB966" s="1332"/>
    </row>
    <row r="967">
      <c r="A967" s="1332"/>
      <c r="B967" s="1366"/>
      <c r="C967" s="1366"/>
      <c r="D967" s="1375"/>
      <c r="E967" s="1332"/>
      <c r="F967" s="1332"/>
      <c r="G967" s="1378"/>
      <c r="H967" s="1378"/>
      <c r="I967" s="1332"/>
      <c r="J967" s="1332"/>
      <c r="K967" s="1332"/>
      <c r="L967" s="1332"/>
      <c r="M967" s="1332"/>
      <c r="N967" s="1332"/>
      <c r="O967" s="1332"/>
      <c r="P967" s="1332"/>
      <c r="Q967" s="1332"/>
      <c r="R967" s="1332"/>
      <c r="S967" s="1332"/>
      <c r="T967" s="1332"/>
      <c r="U967" s="1332"/>
      <c r="V967" s="1332"/>
      <c r="W967" s="1332"/>
      <c r="X967" s="1332"/>
      <c r="Y967" s="1332"/>
      <c r="Z967" s="1332"/>
      <c r="AA967" s="1332"/>
      <c r="AB967" s="1332"/>
    </row>
    <row r="968">
      <c r="A968" s="1332"/>
      <c r="B968" s="1366"/>
      <c r="C968" s="1366"/>
      <c r="D968" s="1375"/>
      <c r="E968" s="1332"/>
      <c r="F968" s="1332"/>
      <c r="G968" s="1378"/>
      <c r="H968" s="1378"/>
      <c r="I968" s="1332"/>
      <c r="J968" s="1332"/>
      <c r="K968" s="1332"/>
      <c r="L968" s="1332"/>
      <c r="M968" s="1332"/>
      <c r="N968" s="1332"/>
      <c r="O968" s="1332"/>
      <c r="P968" s="1332"/>
      <c r="Q968" s="1332"/>
      <c r="R968" s="1332"/>
      <c r="S968" s="1332"/>
      <c r="T968" s="1332"/>
      <c r="U968" s="1332"/>
      <c r="V968" s="1332"/>
      <c r="W968" s="1332"/>
      <c r="X968" s="1332"/>
      <c r="Y968" s="1332"/>
      <c r="Z968" s="1332"/>
      <c r="AA968" s="1332"/>
      <c r="AB968" s="1332"/>
    </row>
    <row r="969">
      <c r="A969" s="1332"/>
      <c r="B969" s="1366"/>
      <c r="C969" s="1366"/>
      <c r="D969" s="1375"/>
      <c r="E969" s="1332"/>
      <c r="F969" s="1332"/>
      <c r="G969" s="1378"/>
      <c r="H969" s="1378"/>
      <c r="I969" s="1332"/>
      <c r="J969" s="1332"/>
      <c r="K969" s="1332"/>
      <c r="L969" s="1332"/>
      <c r="M969" s="1332"/>
      <c r="N969" s="1332"/>
      <c r="O969" s="1332"/>
      <c r="P969" s="1332"/>
      <c r="Q969" s="1332"/>
      <c r="R969" s="1332"/>
      <c r="S969" s="1332"/>
      <c r="T969" s="1332"/>
      <c r="U969" s="1332"/>
      <c r="V969" s="1332"/>
      <c r="W969" s="1332"/>
      <c r="X969" s="1332"/>
      <c r="Y969" s="1332"/>
      <c r="Z969" s="1332"/>
      <c r="AA969" s="1332"/>
      <c r="AB969" s="1332"/>
    </row>
    <row r="970">
      <c r="A970" s="1332"/>
      <c r="B970" s="1366"/>
      <c r="C970" s="1366"/>
      <c r="D970" s="1375"/>
      <c r="E970" s="1332"/>
      <c r="F970" s="1332"/>
      <c r="G970" s="1378"/>
      <c r="H970" s="1378"/>
      <c r="I970" s="1332"/>
      <c r="J970" s="1332"/>
      <c r="K970" s="1332"/>
      <c r="L970" s="1332"/>
      <c r="M970" s="1332"/>
      <c r="N970" s="1332"/>
      <c r="O970" s="1332"/>
      <c r="P970" s="1332"/>
      <c r="Q970" s="1332"/>
      <c r="R970" s="1332"/>
      <c r="S970" s="1332"/>
      <c r="T970" s="1332"/>
      <c r="U970" s="1332"/>
      <c r="V970" s="1332"/>
      <c r="W970" s="1332"/>
      <c r="X970" s="1332"/>
      <c r="Y970" s="1332"/>
      <c r="Z970" s="1332"/>
      <c r="AA970" s="1332"/>
      <c r="AB970" s="1332"/>
    </row>
    <row r="971">
      <c r="A971" s="1332"/>
      <c r="B971" s="1366"/>
      <c r="C971" s="1366"/>
      <c r="D971" s="1375"/>
      <c r="E971" s="1332"/>
      <c r="F971" s="1332"/>
      <c r="G971" s="1378"/>
      <c r="H971" s="1378"/>
      <c r="I971" s="1332"/>
      <c r="J971" s="1332"/>
      <c r="K971" s="1332"/>
      <c r="L971" s="1332"/>
      <c r="M971" s="1332"/>
      <c r="N971" s="1332"/>
      <c r="O971" s="1332"/>
      <c r="P971" s="1332"/>
      <c r="Q971" s="1332"/>
      <c r="R971" s="1332"/>
      <c r="S971" s="1332"/>
      <c r="T971" s="1332"/>
      <c r="U971" s="1332"/>
      <c r="V971" s="1332"/>
      <c r="W971" s="1332"/>
      <c r="X971" s="1332"/>
      <c r="Y971" s="1332"/>
      <c r="Z971" s="1332"/>
      <c r="AA971" s="1332"/>
      <c r="AB971" s="1332"/>
    </row>
    <row r="972">
      <c r="A972" s="1332"/>
      <c r="B972" s="1366"/>
      <c r="C972" s="1366"/>
      <c r="D972" s="1375"/>
      <c r="E972" s="1332"/>
      <c r="F972" s="1332"/>
      <c r="G972" s="1378"/>
      <c r="H972" s="1378"/>
      <c r="I972" s="1332"/>
      <c r="J972" s="1332"/>
      <c r="K972" s="1332"/>
      <c r="L972" s="1332"/>
      <c r="M972" s="1332"/>
      <c r="N972" s="1332"/>
      <c r="O972" s="1332"/>
      <c r="P972" s="1332"/>
      <c r="Q972" s="1332"/>
      <c r="R972" s="1332"/>
      <c r="S972" s="1332"/>
      <c r="T972" s="1332"/>
      <c r="U972" s="1332"/>
      <c r="V972" s="1332"/>
      <c r="W972" s="1332"/>
      <c r="X972" s="1332"/>
      <c r="Y972" s="1332"/>
      <c r="Z972" s="1332"/>
      <c r="AA972" s="1332"/>
      <c r="AB972" s="1332"/>
    </row>
    <row r="973">
      <c r="A973" s="1332"/>
      <c r="B973" s="1366"/>
      <c r="C973" s="1366"/>
      <c r="D973" s="1375"/>
      <c r="E973" s="1332"/>
      <c r="F973" s="1332"/>
      <c r="G973" s="1378"/>
      <c r="H973" s="1378"/>
      <c r="I973" s="1332"/>
      <c r="J973" s="1332"/>
      <c r="K973" s="1332"/>
      <c r="L973" s="1332"/>
      <c r="M973" s="1332"/>
      <c r="N973" s="1332"/>
      <c r="O973" s="1332"/>
      <c r="P973" s="1332"/>
      <c r="Q973" s="1332"/>
      <c r="R973" s="1332"/>
      <c r="S973" s="1332"/>
      <c r="T973" s="1332"/>
      <c r="U973" s="1332"/>
      <c r="V973" s="1332"/>
      <c r="W973" s="1332"/>
      <c r="X973" s="1332"/>
      <c r="Y973" s="1332"/>
      <c r="Z973" s="1332"/>
      <c r="AA973" s="1332"/>
      <c r="AB973" s="1332"/>
    </row>
    <row r="974">
      <c r="A974" s="1332"/>
      <c r="B974" s="1366"/>
      <c r="C974" s="1366"/>
      <c r="D974" s="1375"/>
      <c r="E974" s="1332"/>
      <c r="F974" s="1332"/>
      <c r="G974" s="1378"/>
      <c r="H974" s="1378"/>
      <c r="I974" s="1332"/>
      <c r="J974" s="1332"/>
      <c r="K974" s="1332"/>
      <c r="L974" s="1332"/>
      <c r="M974" s="1332"/>
      <c r="N974" s="1332"/>
      <c r="O974" s="1332"/>
      <c r="P974" s="1332"/>
      <c r="Q974" s="1332"/>
      <c r="R974" s="1332"/>
      <c r="S974" s="1332"/>
      <c r="T974" s="1332"/>
      <c r="U974" s="1332"/>
      <c r="V974" s="1332"/>
      <c r="W974" s="1332"/>
      <c r="X974" s="1332"/>
      <c r="Y974" s="1332"/>
      <c r="Z974" s="1332"/>
      <c r="AA974" s="1332"/>
      <c r="AB974" s="1332"/>
    </row>
    <row r="975">
      <c r="A975" s="1332"/>
      <c r="B975" s="1366"/>
      <c r="C975" s="1366"/>
      <c r="D975" s="1375"/>
      <c r="E975" s="1332"/>
      <c r="F975" s="1332"/>
      <c r="G975" s="1378"/>
      <c r="H975" s="1378"/>
      <c r="I975" s="1332"/>
      <c r="J975" s="1332"/>
      <c r="K975" s="1332"/>
      <c r="L975" s="1332"/>
      <c r="M975" s="1332"/>
      <c r="N975" s="1332"/>
      <c r="O975" s="1332"/>
      <c r="P975" s="1332"/>
      <c r="Q975" s="1332"/>
      <c r="R975" s="1332"/>
      <c r="S975" s="1332"/>
      <c r="T975" s="1332"/>
      <c r="U975" s="1332"/>
      <c r="V975" s="1332"/>
      <c r="W975" s="1332"/>
      <c r="X975" s="1332"/>
      <c r="Y975" s="1332"/>
      <c r="Z975" s="1332"/>
      <c r="AA975" s="1332"/>
      <c r="AB975" s="1332"/>
    </row>
    <row r="976">
      <c r="A976" s="1332"/>
      <c r="B976" s="1366"/>
      <c r="C976" s="1366"/>
      <c r="D976" s="1375"/>
      <c r="E976" s="1332"/>
      <c r="F976" s="1332"/>
      <c r="G976" s="1378"/>
      <c r="H976" s="1378"/>
      <c r="I976" s="1332"/>
      <c r="J976" s="1332"/>
      <c r="K976" s="1332"/>
      <c r="L976" s="1332"/>
      <c r="M976" s="1332"/>
      <c r="N976" s="1332"/>
      <c r="O976" s="1332"/>
      <c r="P976" s="1332"/>
      <c r="Q976" s="1332"/>
      <c r="R976" s="1332"/>
      <c r="S976" s="1332"/>
      <c r="T976" s="1332"/>
      <c r="U976" s="1332"/>
      <c r="V976" s="1332"/>
      <c r="W976" s="1332"/>
      <c r="X976" s="1332"/>
      <c r="Y976" s="1332"/>
      <c r="Z976" s="1332"/>
      <c r="AA976" s="1332"/>
      <c r="AB976" s="1332"/>
    </row>
    <row r="977">
      <c r="A977" s="1332"/>
      <c r="B977" s="1366"/>
      <c r="C977" s="1366"/>
      <c r="D977" s="1375"/>
      <c r="E977" s="1332"/>
      <c r="F977" s="1332"/>
      <c r="G977" s="1378"/>
      <c r="H977" s="1378"/>
      <c r="I977" s="1332"/>
      <c r="J977" s="1332"/>
      <c r="K977" s="1332"/>
      <c r="L977" s="1332"/>
      <c r="M977" s="1332"/>
      <c r="N977" s="1332"/>
      <c r="O977" s="1332"/>
      <c r="P977" s="1332"/>
      <c r="Q977" s="1332"/>
      <c r="R977" s="1332"/>
      <c r="S977" s="1332"/>
      <c r="T977" s="1332"/>
      <c r="U977" s="1332"/>
      <c r="V977" s="1332"/>
      <c r="W977" s="1332"/>
      <c r="X977" s="1332"/>
      <c r="Y977" s="1332"/>
      <c r="Z977" s="1332"/>
      <c r="AA977" s="1332"/>
      <c r="AB977" s="1332"/>
    </row>
    <row r="978">
      <c r="A978" s="1332"/>
      <c r="B978" s="1366"/>
      <c r="C978" s="1366"/>
      <c r="D978" s="1375"/>
      <c r="E978" s="1332"/>
      <c r="F978" s="1332"/>
      <c r="G978" s="1378"/>
      <c r="H978" s="1378"/>
      <c r="I978" s="1332"/>
      <c r="J978" s="1332"/>
      <c r="K978" s="1332"/>
      <c r="L978" s="1332"/>
      <c r="M978" s="1332"/>
      <c r="N978" s="1332"/>
      <c r="O978" s="1332"/>
      <c r="P978" s="1332"/>
      <c r="Q978" s="1332"/>
      <c r="R978" s="1332"/>
      <c r="S978" s="1332"/>
      <c r="T978" s="1332"/>
      <c r="U978" s="1332"/>
      <c r="V978" s="1332"/>
      <c r="W978" s="1332"/>
      <c r="X978" s="1332"/>
      <c r="Y978" s="1332"/>
      <c r="Z978" s="1332"/>
      <c r="AA978" s="1332"/>
      <c r="AB978" s="1332"/>
    </row>
    <row r="979">
      <c r="A979" s="1332"/>
      <c r="B979" s="1366"/>
      <c r="C979" s="1366"/>
      <c r="D979" s="1375"/>
      <c r="E979" s="1332"/>
      <c r="F979" s="1332"/>
      <c r="G979" s="1378"/>
      <c r="H979" s="1378"/>
      <c r="I979" s="1332"/>
      <c r="J979" s="1332"/>
      <c r="K979" s="1332"/>
      <c r="L979" s="1332"/>
      <c r="M979" s="1332"/>
      <c r="N979" s="1332"/>
      <c r="O979" s="1332"/>
      <c r="P979" s="1332"/>
      <c r="Q979" s="1332"/>
      <c r="R979" s="1332"/>
      <c r="S979" s="1332"/>
      <c r="T979" s="1332"/>
      <c r="U979" s="1332"/>
      <c r="V979" s="1332"/>
      <c r="W979" s="1332"/>
      <c r="X979" s="1332"/>
      <c r="Y979" s="1332"/>
      <c r="Z979" s="1332"/>
      <c r="AA979" s="1332"/>
      <c r="AB979" s="1332"/>
    </row>
    <row r="980">
      <c r="A980" s="1332"/>
      <c r="B980" s="1366"/>
      <c r="C980" s="1366"/>
      <c r="D980" s="1375"/>
      <c r="E980" s="1332"/>
      <c r="F980" s="1332"/>
      <c r="G980" s="1378"/>
      <c r="H980" s="1378"/>
      <c r="I980" s="1332"/>
      <c r="J980" s="1332"/>
      <c r="K980" s="1332"/>
      <c r="L980" s="1332"/>
      <c r="M980" s="1332"/>
      <c r="N980" s="1332"/>
      <c r="O980" s="1332"/>
      <c r="P980" s="1332"/>
      <c r="Q980" s="1332"/>
      <c r="R980" s="1332"/>
      <c r="S980" s="1332"/>
      <c r="T980" s="1332"/>
      <c r="U980" s="1332"/>
      <c r="V980" s="1332"/>
      <c r="W980" s="1332"/>
      <c r="X980" s="1332"/>
      <c r="Y980" s="1332"/>
      <c r="Z980" s="1332"/>
      <c r="AA980" s="1332"/>
      <c r="AB980" s="1332"/>
    </row>
    <row r="981">
      <c r="A981" s="1332"/>
      <c r="B981" s="1366"/>
      <c r="C981" s="1366"/>
      <c r="D981" s="1375"/>
      <c r="E981" s="1332"/>
      <c r="F981" s="1332"/>
      <c r="G981" s="1378"/>
      <c r="H981" s="1378"/>
      <c r="I981" s="1332"/>
      <c r="J981" s="1332"/>
      <c r="K981" s="1332"/>
      <c r="L981" s="1332"/>
      <c r="M981" s="1332"/>
      <c r="N981" s="1332"/>
      <c r="O981" s="1332"/>
      <c r="P981" s="1332"/>
      <c r="Q981" s="1332"/>
      <c r="R981" s="1332"/>
      <c r="S981" s="1332"/>
      <c r="T981" s="1332"/>
      <c r="U981" s="1332"/>
      <c r="V981" s="1332"/>
      <c r="W981" s="1332"/>
      <c r="X981" s="1332"/>
      <c r="Y981" s="1332"/>
      <c r="Z981" s="1332"/>
      <c r="AA981" s="1332"/>
      <c r="AB981" s="1332"/>
    </row>
    <row r="982">
      <c r="A982" s="1332"/>
      <c r="B982" s="1366"/>
      <c r="C982" s="1366"/>
      <c r="D982" s="1375"/>
      <c r="E982" s="1332"/>
      <c r="F982" s="1332"/>
      <c r="G982" s="1378"/>
      <c r="H982" s="1378"/>
      <c r="I982" s="1332"/>
      <c r="J982" s="1332"/>
      <c r="K982" s="1332"/>
      <c r="L982" s="1332"/>
      <c r="M982" s="1332"/>
      <c r="N982" s="1332"/>
      <c r="O982" s="1332"/>
      <c r="P982" s="1332"/>
      <c r="Q982" s="1332"/>
      <c r="R982" s="1332"/>
      <c r="S982" s="1332"/>
      <c r="T982" s="1332"/>
      <c r="U982" s="1332"/>
      <c r="V982" s="1332"/>
      <c r="W982" s="1332"/>
      <c r="X982" s="1332"/>
      <c r="Y982" s="1332"/>
      <c r="Z982" s="1332"/>
      <c r="AA982" s="1332"/>
      <c r="AB982" s="1332"/>
    </row>
    <row r="983">
      <c r="A983" s="1332"/>
      <c r="B983" s="1366"/>
      <c r="C983" s="1366"/>
      <c r="D983" s="1375"/>
      <c r="E983" s="1332"/>
      <c r="F983" s="1332"/>
      <c r="G983" s="1378"/>
      <c r="H983" s="1378"/>
      <c r="I983" s="1332"/>
      <c r="J983" s="1332"/>
      <c r="K983" s="1332"/>
      <c r="L983" s="1332"/>
      <c r="M983" s="1332"/>
      <c r="N983" s="1332"/>
      <c r="O983" s="1332"/>
      <c r="P983" s="1332"/>
      <c r="Q983" s="1332"/>
      <c r="R983" s="1332"/>
      <c r="S983" s="1332"/>
      <c r="T983" s="1332"/>
      <c r="U983" s="1332"/>
      <c r="V983" s="1332"/>
      <c r="W983" s="1332"/>
      <c r="X983" s="1332"/>
      <c r="Y983" s="1332"/>
      <c r="Z983" s="1332"/>
      <c r="AA983" s="1332"/>
      <c r="AB983" s="1332"/>
    </row>
    <row r="984">
      <c r="A984" s="1332"/>
      <c r="B984" s="1366"/>
      <c r="C984" s="1366"/>
      <c r="D984" s="1375"/>
      <c r="E984" s="1332"/>
      <c r="F984" s="1332"/>
      <c r="G984" s="1378"/>
      <c r="H984" s="1378"/>
      <c r="I984" s="1332"/>
      <c r="J984" s="1332"/>
      <c r="K984" s="1332"/>
      <c r="L984" s="1332"/>
      <c r="M984" s="1332"/>
      <c r="N984" s="1332"/>
      <c r="O984" s="1332"/>
      <c r="P984" s="1332"/>
      <c r="Q984" s="1332"/>
      <c r="R984" s="1332"/>
      <c r="S984" s="1332"/>
      <c r="T984" s="1332"/>
      <c r="U984" s="1332"/>
      <c r="V984" s="1332"/>
      <c r="W984" s="1332"/>
      <c r="X984" s="1332"/>
      <c r="Y984" s="1332"/>
      <c r="Z984" s="1332"/>
      <c r="AA984" s="1332"/>
      <c r="AB984" s="1332"/>
    </row>
    <row r="985">
      <c r="A985" s="1332"/>
      <c r="B985" s="1366"/>
      <c r="C985" s="1366"/>
      <c r="D985" s="1375"/>
      <c r="E985" s="1332"/>
      <c r="F985" s="1332"/>
      <c r="G985" s="1378"/>
      <c r="H985" s="1378"/>
      <c r="I985" s="1332"/>
      <c r="J985" s="1332"/>
      <c r="K985" s="1332"/>
      <c r="L985" s="1332"/>
      <c r="M985" s="1332"/>
      <c r="N985" s="1332"/>
      <c r="O985" s="1332"/>
      <c r="P985" s="1332"/>
      <c r="Q985" s="1332"/>
      <c r="R985" s="1332"/>
      <c r="S985" s="1332"/>
      <c r="T985" s="1332"/>
      <c r="U985" s="1332"/>
      <c r="V985" s="1332"/>
      <c r="W985" s="1332"/>
      <c r="X985" s="1332"/>
      <c r="Y985" s="1332"/>
      <c r="Z985" s="1332"/>
      <c r="AA985" s="1332"/>
      <c r="AB985" s="1332"/>
    </row>
    <row r="986">
      <c r="A986" s="1332"/>
      <c r="B986" s="1366"/>
      <c r="C986" s="1366"/>
      <c r="D986" s="1375"/>
      <c r="E986" s="1332"/>
      <c r="F986" s="1332"/>
      <c r="G986" s="1378"/>
      <c r="H986" s="1378"/>
      <c r="I986" s="1332"/>
      <c r="J986" s="1332"/>
      <c r="K986" s="1332"/>
      <c r="L986" s="1332"/>
      <c r="M986" s="1332"/>
      <c r="N986" s="1332"/>
      <c r="O986" s="1332"/>
      <c r="P986" s="1332"/>
      <c r="Q986" s="1332"/>
      <c r="R986" s="1332"/>
      <c r="S986" s="1332"/>
      <c r="T986" s="1332"/>
      <c r="U986" s="1332"/>
      <c r="V986" s="1332"/>
      <c r="W986" s="1332"/>
      <c r="X986" s="1332"/>
      <c r="Y986" s="1332"/>
      <c r="Z986" s="1332"/>
      <c r="AA986" s="1332"/>
      <c r="AB986" s="1332"/>
    </row>
    <row r="987">
      <c r="A987" s="1332"/>
      <c r="B987" s="1366"/>
      <c r="C987" s="1366"/>
      <c r="D987" s="1375"/>
      <c r="E987" s="1332"/>
      <c r="F987" s="1332"/>
      <c r="G987" s="1378"/>
      <c r="H987" s="1378"/>
      <c r="I987" s="1332"/>
      <c r="J987" s="1332"/>
      <c r="K987" s="1332"/>
      <c r="L987" s="1332"/>
      <c r="M987" s="1332"/>
      <c r="N987" s="1332"/>
      <c r="O987" s="1332"/>
      <c r="P987" s="1332"/>
      <c r="Q987" s="1332"/>
      <c r="R987" s="1332"/>
      <c r="S987" s="1332"/>
      <c r="T987" s="1332"/>
      <c r="U987" s="1332"/>
      <c r="V987" s="1332"/>
      <c r="W987" s="1332"/>
      <c r="X987" s="1332"/>
      <c r="Y987" s="1332"/>
      <c r="Z987" s="1332"/>
      <c r="AA987" s="1332"/>
      <c r="AB987" s="1332"/>
    </row>
    <row r="988">
      <c r="A988" s="1332"/>
      <c r="B988" s="1366"/>
      <c r="C988" s="1366"/>
      <c r="D988" s="1375"/>
      <c r="E988" s="1332"/>
      <c r="F988" s="1332"/>
      <c r="G988" s="1378"/>
      <c r="H988" s="1378"/>
      <c r="I988" s="1332"/>
      <c r="J988" s="1332"/>
      <c r="K988" s="1332"/>
      <c r="L988" s="1332"/>
      <c r="M988" s="1332"/>
      <c r="N988" s="1332"/>
      <c r="O988" s="1332"/>
      <c r="P988" s="1332"/>
      <c r="Q988" s="1332"/>
      <c r="R988" s="1332"/>
      <c r="S988" s="1332"/>
      <c r="T988" s="1332"/>
      <c r="U988" s="1332"/>
      <c r="V988" s="1332"/>
      <c r="W988" s="1332"/>
      <c r="X988" s="1332"/>
      <c r="Y988" s="1332"/>
      <c r="Z988" s="1332"/>
      <c r="AA988" s="1332"/>
      <c r="AB988" s="1332"/>
    </row>
    <row r="989">
      <c r="A989" s="1332"/>
      <c r="B989" s="1366"/>
      <c r="C989" s="1366"/>
      <c r="D989" s="1375"/>
      <c r="E989" s="1332"/>
      <c r="F989" s="1332"/>
      <c r="G989" s="1378"/>
      <c r="H989" s="1378"/>
      <c r="I989" s="1332"/>
      <c r="J989" s="1332"/>
      <c r="K989" s="1332"/>
      <c r="L989" s="1332"/>
      <c r="M989" s="1332"/>
      <c r="N989" s="1332"/>
      <c r="O989" s="1332"/>
      <c r="P989" s="1332"/>
      <c r="Q989" s="1332"/>
      <c r="R989" s="1332"/>
      <c r="S989" s="1332"/>
      <c r="T989" s="1332"/>
      <c r="U989" s="1332"/>
      <c r="V989" s="1332"/>
      <c r="W989" s="1332"/>
      <c r="X989" s="1332"/>
      <c r="Y989" s="1332"/>
      <c r="Z989" s="1332"/>
      <c r="AA989" s="1332"/>
      <c r="AB989" s="1332"/>
    </row>
    <row r="990">
      <c r="A990" s="1332"/>
      <c r="B990" s="1366"/>
      <c r="C990" s="1366"/>
      <c r="D990" s="1375"/>
      <c r="E990" s="1332"/>
      <c r="F990" s="1332"/>
      <c r="G990" s="1378"/>
      <c r="H990" s="1378"/>
      <c r="I990" s="1332"/>
      <c r="J990" s="1332"/>
      <c r="K990" s="1332"/>
      <c r="L990" s="1332"/>
      <c r="M990" s="1332"/>
      <c r="N990" s="1332"/>
      <c r="O990" s="1332"/>
      <c r="P990" s="1332"/>
      <c r="Q990" s="1332"/>
      <c r="R990" s="1332"/>
      <c r="S990" s="1332"/>
      <c r="T990" s="1332"/>
      <c r="U990" s="1332"/>
      <c r="V990" s="1332"/>
      <c r="W990" s="1332"/>
      <c r="X990" s="1332"/>
      <c r="Y990" s="1332"/>
      <c r="Z990" s="1332"/>
      <c r="AA990" s="1332"/>
      <c r="AB990" s="1332"/>
    </row>
    <row r="991">
      <c r="A991" s="1332"/>
      <c r="B991" s="1366"/>
      <c r="C991" s="1366"/>
      <c r="D991" s="1375"/>
      <c r="E991" s="1332"/>
      <c r="F991" s="1332"/>
      <c r="G991" s="1378"/>
      <c r="H991" s="1378"/>
      <c r="I991" s="1332"/>
      <c r="J991" s="1332"/>
      <c r="K991" s="1332"/>
      <c r="L991" s="1332"/>
      <c r="M991" s="1332"/>
      <c r="N991" s="1332"/>
      <c r="O991" s="1332"/>
      <c r="P991" s="1332"/>
      <c r="Q991" s="1332"/>
      <c r="R991" s="1332"/>
      <c r="S991" s="1332"/>
      <c r="T991" s="1332"/>
      <c r="U991" s="1332"/>
      <c r="V991" s="1332"/>
      <c r="W991" s="1332"/>
      <c r="X991" s="1332"/>
      <c r="Y991" s="1332"/>
      <c r="Z991" s="1332"/>
      <c r="AA991" s="1332"/>
      <c r="AB991" s="1332"/>
    </row>
    <row r="992">
      <c r="A992" s="1332"/>
      <c r="B992" s="1366"/>
      <c r="C992" s="1366"/>
      <c r="D992" s="1375"/>
      <c r="E992" s="1332"/>
      <c r="F992" s="1332"/>
      <c r="G992" s="1378"/>
      <c r="H992" s="1378"/>
      <c r="I992" s="1332"/>
      <c r="J992" s="1332"/>
      <c r="K992" s="1332"/>
      <c r="L992" s="1332"/>
      <c r="M992" s="1332"/>
      <c r="N992" s="1332"/>
      <c r="O992" s="1332"/>
      <c r="P992" s="1332"/>
      <c r="Q992" s="1332"/>
      <c r="R992" s="1332"/>
      <c r="S992" s="1332"/>
      <c r="T992" s="1332"/>
      <c r="U992" s="1332"/>
      <c r="V992" s="1332"/>
      <c r="W992" s="1332"/>
      <c r="X992" s="1332"/>
      <c r="Y992" s="1332"/>
      <c r="Z992" s="1332"/>
      <c r="AA992" s="1332"/>
      <c r="AB992" s="1332"/>
    </row>
    <row r="993">
      <c r="A993" s="1332"/>
      <c r="B993" s="1366"/>
      <c r="C993" s="1366"/>
      <c r="D993" s="1375"/>
      <c r="E993" s="1332"/>
      <c r="F993" s="1332"/>
      <c r="G993" s="1378"/>
      <c r="H993" s="1378"/>
      <c r="I993" s="1332"/>
      <c r="J993" s="1332"/>
      <c r="K993" s="1332"/>
      <c r="L993" s="1332"/>
      <c r="M993" s="1332"/>
      <c r="N993" s="1332"/>
      <c r="O993" s="1332"/>
      <c r="P993" s="1332"/>
      <c r="Q993" s="1332"/>
      <c r="R993" s="1332"/>
      <c r="S993" s="1332"/>
      <c r="T993" s="1332"/>
      <c r="U993" s="1332"/>
      <c r="V993" s="1332"/>
      <c r="W993" s="1332"/>
      <c r="X993" s="1332"/>
      <c r="Y993" s="1332"/>
      <c r="Z993" s="1332"/>
      <c r="AA993" s="1332"/>
      <c r="AB993" s="1332"/>
    </row>
    <row r="994">
      <c r="A994" s="1332"/>
      <c r="B994" s="1366"/>
      <c r="C994" s="1366"/>
      <c r="D994" s="1375"/>
      <c r="E994" s="1332"/>
      <c r="F994" s="1332"/>
      <c r="G994" s="1378"/>
      <c r="H994" s="1378"/>
      <c r="I994" s="1332"/>
      <c r="J994" s="1332"/>
      <c r="K994" s="1332"/>
      <c r="L994" s="1332"/>
      <c r="M994" s="1332"/>
      <c r="N994" s="1332"/>
      <c r="O994" s="1332"/>
      <c r="P994" s="1332"/>
      <c r="Q994" s="1332"/>
      <c r="R994" s="1332"/>
      <c r="S994" s="1332"/>
      <c r="T994" s="1332"/>
      <c r="U994" s="1332"/>
      <c r="V994" s="1332"/>
      <c r="W994" s="1332"/>
      <c r="X994" s="1332"/>
      <c r="Y994" s="1332"/>
      <c r="Z994" s="1332"/>
      <c r="AA994" s="1332"/>
      <c r="AB994" s="1332"/>
    </row>
    <row r="995">
      <c r="A995" s="1332"/>
      <c r="B995" s="1366"/>
      <c r="C995" s="1366"/>
      <c r="D995" s="1375"/>
      <c r="E995" s="1332"/>
      <c r="F995" s="1332"/>
      <c r="G995" s="1378"/>
      <c r="H995" s="1378"/>
      <c r="I995" s="1332"/>
      <c r="J995" s="1332"/>
      <c r="K995" s="1332"/>
      <c r="L995" s="1332"/>
      <c r="M995" s="1332"/>
      <c r="N995" s="1332"/>
      <c r="O995" s="1332"/>
      <c r="P995" s="1332"/>
      <c r="Q995" s="1332"/>
      <c r="R995" s="1332"/>
      <c r="S995" s="1332"/>
      <c r="T995" s="1332"/>
      <c r="U995" s="1332"/>
      <c r="V995" s="1332"/>
      <c r="W995" s="1332"/>
      <c r="X995" s="1332"/>
      <c r="Y995" s="1332"/>
      <c r="Z995" s="1332"/>
      <c r="AA995" s="1332"/>
      <c r="AB995" s="1332"/>
    </row>
    <row r="996">
      <c r="A996" s="1332"/>
      <c r="B996" s="1366"/>
      <c r="C996" s="1366"/>
      <c r="D996" s="1375"/>
      <c r="E996" s="1332"/>
      <c r="F996" s="1332"/>
      <c r="G996" s="1378"/>
      <c r="H996" s="1378"/>
      <c r="I996" s="1332"/>
      <c r="J996" s="1332"/>
      <c r="K996" s="1332"/>
      <c r="L996" s="1332"/>
      <c r="M996" s="1332"/>
      <c r="N996" s="1332"/>
      <c r="O996" s="1332"/>
      <c r="P996" s="1332"/>
      <c r="Q996" s="1332"/>
      <c r="R996" s="1332"/>
      <c r="S996" s="1332"/>
      <c r="T996" s="1332"/>
      <c r="U996" s="1332"/>
      <c r="V996" s="1332"/>
      <c r="W996" s="1332"/>
      <c r="X996" s="1332"/>
      <c r="Y996" s="1332"/>
      <c r="Z996" s="1332"/>
      <c r="AA996" s="1332"/>
      <c r="AB996" s="1332"/>
    </row>
    <row r="997">
      <c r="A997" s="1332"/>
      <c r="B997" s="1366"/>
      <c r="C997" s="1366"/>
      <c r="D997" s="1375"/>
      <c r="E997" s="1332"/>
      <c r="F997" s="1332"/>
      <c r="G997" s="1378"/>
      <c r="H997" s="1378"/>
      <c r="I997" s="1332"/>
      <c r="J997" s="1332"/>
      <c r="K997" s="1332"/>
      <c r="L997" s="1332"/>
      <c r="M997" s="1332"/>
      <c r="N997" s="1332"/>
      <c r="O997" s="1332"/>
      <c r="P997" s="1332"/>
      <c r="Q997" s="1332"/>
      <c r="R997" s="1332"/>
      <c r="S997" s="1332"/>
      <c r="T997" s="1332"/>
      <c r="U997" s="1332"/>
      <c r="V997" s="1332"/>
      <c r="W997" s="1332"/>
      <c r="X997" s="1332"/>
      <c r="Y997" s="1332"/>
      <c r="Z997" s="1332"/>
      <c r="AA997" s="1332"/>
      <c r="AB997" s="1332"/>
    </row>
  </sheetData>
  <mergeCells count="6">
    <mergeCell ref="A1:H1"/>
    <mergeCell ref="A2:H2"/>
    <mergeCell ref="B3:G3"/>
    <mergeCell ref="A30:D30"/>
    <mergeCell ref="A31:D31"/>
    <mergeCell ref="A32:D32"/>
  </mergeCells>
  <conditionalFormatting sqref="F5:F9">
    <cfRule type="expression" dxfId="22" priority="1">
      <formula>ABS($F5)&gt;$G5</formula>
    </cfRule>
  </conditionalFormatting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38"/>
    <col customWidth="1" min="2" max="2" width="6.88"/>
    <col customWidth="1" min="3" max="3" width="46.25"/>
    <col customWidth="1" min="4" max="4" width="17.0"/>
    <col customWidth="1" hidden="1" min="5" max="5" width="24.38"/>
    <col customWidth="1" min="6" max="6" width="8.88"/>
    <col customWidth="1" min="7" max="7" width="7.0"/>
    <col customWidth="1" min="8" max="8" width="10.25"/>
    <col customWidth="1" min="9" max="9" width="9.13"/>
    <col customWidth="1" min="10" max="10" width="6.0"/>
    <col customWidth="1" min="11" max="11" width="8.13"/>
  </cols>
  <sheetData>
    <row r="1">
      <c r="A1" s="1381"/>
      <c r="B1" s="1381"/>
      <c r="C1" s="1381"/>
      <c r="D1" s="1381"/>
      <c r="E1" s="1381"/>
      <c r="F1" s="1382" t="s">
        <v>1222</v>
      </c>
      <c r="G1" s="1348"/>
      <c r="H1" s="1348"/>
      <c r="I1" s="1349"/>
      <c r="J1" s="1383" t="s">
        <v>1223</v>
      </c>
      <c r="K1" s="1349"/>
      <c r="L1" s="1356"/>
      <c r="M1" s="1356"/>
      <c r="N1" s="1356"/>
      <c r="O1" s="1356"/>
      <c r="P1" s="1356"/>
      <c r="Q1" s="1356"/>
      <c r="R1" s="1356"/>
      <c r="S1" s="1356"/>
      <c r="T1" s="1356"/>
      <c r="U1" s="1356"/>
      <c r="V1" s="1356"/>
      <c r="W1" s="1356"/>
      <c r="X1" s="1356"/>
    </row>
    <row r="2">
      <c r="A2" s="1351" t="s">
        <v>395</v>
      </c>
      <c r="B2" s="1351" t="s">
        <v>1224</v>
      </c>
      <c r="C2" s="1351" t="s">
        <v>1225</v>
      </c>
      <c r="D2" s="1351" t="s">
        <v>355</v>
      </c>
      <c r="E2" s="1351" t="s">
        <v>1226</v>
      </c>
      <c r="F2" s="1384" t="s">
        <v>1227</v>
      </c>
      <c r="G2" s="1351" t="s">
        <v>1228</v>
      </c>
      <c r="H2" s="1354" t="s">
        <v>1210</v>
      </c>
      <c r="I2" s="1351" t="s">
        <v>1229</v>
      </c>
      <c r="J2" s="1385" t="s">
        <v>1230</v>
      </c>
      <c r="K2" s="1386" t="s">
        <v>1231</v>
      </c>
      <c r="L2" s="1356"/>
      <c r="M2" s="1356"/>
      <c r="N2" s="1356"/>
      <c r="O2" s="1356"/>
      <c r="P2" s="1356"/>
      <c r="Q2" s="1356"/>
      <c r="R2" s="1356"/>
      <c r="S2" s="1356"/>
      <c r="T2" s="1356"/>
      <c r="U2" s="1356"/>
      <c r="V2" s="1356"/>
      <c r="W2" s="1356"/>
      <c r="X2" s="1356"/>
    </row>
    <row r="3">
      <c r="A3" s="1387" t="s">
        <v>1232</v>
      </c>
      <c r="B3" s="1387" t="s">
        <v>1233</v>
      </c>
      <c r="C3" s="1373" t="str">
        <f>IFERROR(__xludf.DUMMYFUNCTION("GOOGLEFINANCE($B3,""name"")"),"Vanguard Total Stock Market Index Fund Admiral Shares")</f>
        <v>Vanguard Total Stock Market Index Fund Admiral Shares</v>
      </c>
      <c r="D3" s="1373" t="s">
        <v>1217</v>
      </c>
      <c r="E3" s="1388" t="str">
        <f t="shared" ref="E3:E20" si="1">A3 &amp; " - " &amp; B3</f>
        <v>Vanguard Rollover IRA - VTSAX</v>
      </c>
      <c r="F3" s="1389">
        <v>3000.0</v>
      </c>
      <c r="G3" s="1390">
        <f>IFERROR(__xludf.DUMMYFUNCTION("GOOGLEFINANCE($B3,""price"")"),125.97)</f>
        <v>125.97</v>
      </c>
      <c r="H3" s="1364">
        <f t="shared" ref="H3:H20" si="2">F3*G3</f>
        <v>377910</v>
      </c>
      <c r="I3" s="1363" t="str">
        <f>'Copy of Holdings'!HoldingValue/'Copy of Holdings'!TotalValue</f>
        <v>#N/A</v>
      </c>
      <c r="J3" s="1391">
        <f>IFERROR(__xludf.DUMMYFUNCTION("IFERROR(GOOGLEFINANCE($B3,""expenseratio""),"""")"),0.04)</f>
        <v>0.04</v>
      </c>
      <c r="K3" s="1392" t="str">
        <f>$J3*'Copy of Holdings'!PortfolioPercent</f>
        <v>#N/A</v>
      </c>
      <c r="L3" s="1332"/>
      <c r="M3" s="1332"/>
      <c r="N3" s="1332"/>
      <c r="O3" s="1332"/>
      <c r="P3" s="1332"/>
      <c r="Q3" s="1332"/>
      <c r="R3" s="1332"/>
      <c r="S3" s="1332"/>
      <c r="T3" s="1332"/>
      <c r="U3" s="1332"/>
      <c r="V3" s="1332"/>
      <c r="W3" s="1332"/>
      <c r="X3" s="1332"/>
    </row>
    <row r="4">
      <c r="A4" s="1387" t="s">
        <v>1232</v>
      </c>
      <c r="B4" s="1387" t="s">
        <v>1234</v>
      </c>
      <c r="C4" s="1373" t="str">
        <f>IFERROR(__xludf.DUMMYFUNCTION("GOOGLEFINANCE($B4,""name"")"),"Vanguard Total International Stock Index Fund Admiral Shares")</f>
        <v>Vanguard Total International Stock Index Fund Admiral Shares</v>
      </c>
      <c r="D4" s="1373" t="s">
        <v>1218</v>
      </c>
      <c r="E4" s="1388" t="str">
        <f t="shared" si="1"/>
        <v>Vanguard Rollover IRA - VTIAX</v>
      </c>
      <c r="F4" s="1389">
        <v>1800.0</v>
      </c>
      <c r="G4" s="1390">
        <f>IFERROR(__xludf.DUMMYFUNCTION("GOOGLEFINANCE($B4,""price"")"),32.91)</f>
        <v>32.91</v>
      </c>
      <c r="H4" s="1364">
        <f t="shared" si="2"/>
        <v>59238</v>
      </c>
      <c r="I4" s="1363" t="str">
        <f>'Copy of Holdings'!HoldingValue/'Copy of Holdings'!TotalValue</f>
        <v>#N/A</v>
      </c>
      <c r="J4" s="1391">
        <f>IFERROR(__xludf.DUMMYFUNCTION("IFERROR(GOOGLEFINANCE($B4,""expenseratio""),"""")"),0.11)</f>
        <v>0.11</v>
      </c>
      <c r="K4" s="1392" t="str">
        <f>$J4*'Copy of Holdings'!PortfolioPercent</f>
        <v>#N/A</v>
      </c>
      <c r="L4" s="1332"/>
      <c r="M4" s="1332"/>
      <c r="N4" s="1332"/>
      <c r="O4" s="1332"/>
      <c r="P4" s="1332"/>
      <c r="Q4" s="1332"/>
      <c r="R4" s="1332"/>
      <c r="S4" s="1332"/>
      <c r="T4" s="1332"/>
      <c r="U4" s="1332"/>
      <c r="V4" s="1332"/>
      <c r="W4" s="1332"/>
      <c r="X4" s="1332"/>
    </row>
    <row r="5">
      <c r="A5" s="1387" t="s">
        <v>1232</v>
      </c>
      <c r="B5" s="1387" t="s">
        <v>1235</v>
      </c>
      <c r="C5" s="1373" t="str">
        <f>IFERROR(__xludf.DUMMYFUNCTION("GOOGLEFINANCE($B5,""name"")"),"Vanguard Total Bond Market Index Fund Admiral Shares")</f>
        <v>Vanguard Total Bond Market Index Fund Admiral Shares</v>
      </c>
      <c r="D5" s="1373" t="s">
        <v>1220</v>
      </c>
      <c r="E5" s="1388" t="str">
        <f t="shared" si="1"/>
        <v>Vanguard Rollover IRA - VBTLX</v>
      </c>
      <c r="F5" s="1389">
        <v>2000.0</v>
      </c>
      <c r="G5" s="1390">
        <f>IFERROR(__xludf.DUMMYFUNCTION("GOOGLEFINANCE($B5,""price"")"),9.56)</f>
        <v>9.56</v>
      </c>
      <c r="H5" s="1364">
        <f t="shared" si="2"/>
        <v>19120</v>
      </c>
      <c r="I5" s="1363" t="str">
        <f>'Copy of Holdings'!HoldingValue/'Copy of Holdings'!TotalValue</f>
        <v>#N/A</v>
      </c>
      <c r="J5" s="1391">
        <f>IFERROR(__xludf.DUMMYFUNCTION("IFERROR(GOOGLEFINANCE($B5,""expenseratio""),"""")"),0.05)</f>
        <v>0.05</v>
      </c>
      <c r="K5" s="1392" t="str">
        <f>$J5*'Copy of Holdings'!PortfolioPercent</f>
        <v>#N/A</v>
      </c>
      <c r="L5" s="1332"/>
      <c r="M5" s="1332"/>
      <c r="N5" s="1332"/>
      <c r="O5" s="1332"/>
      <c r="P5" s="1332"/>
      <c r="Q5" s="1332"/>
      <c r="R5" s="1332"/>
      <c r="S5" s="1332"/>
      <c r="T5" s="1332"/>
      <c r="U5" s="1332"/>
      <c r="V5" s="1332"/>
      <c r="W5" s="1332"/>
      <c r="X5" s="1332"/>
    </row>
    <row r="6">
      <c r="A6" s="1387" t="s">
        <v>1232</v>
      </c>
      <c r="B6" s="1393" t="s">
        <v>1236</v>
      </c>
      <c r="C6" s="1373" t="str">
        <f>IFERROR(__xludf.DUMMYFUNCTION("GOOGLEFINANCE($B6,""name"")"),"Vanguard Real Estate Index Fund Admiral Shares")</f>
        <v>Vanguard Real Estate Index Fund Admiral Shares</v>
      </c>
      <c r="D6" s="1373" t="s">
        <v>1219</v>
      </c>
      <c r="E6" s="1388" t="str">
        <f t="shared" si="1"/>
        <v>Vanguard Rollover IRA - VGSLX</v>
      </c>
      <c r="F6" s="1389">
        <v>200.0</v>
      </c>
      <c r="G6" s="1390">
        <f>IFERROR(__xludf.DUMMYFUNCTION("GOOGLEFINANCE($B6,""price"")"),123.06)</f>
        <v>123.06</v>
      </c>
      <c r="H6" s="1364">
        <f t="shared" si="2"/>
        <v>24612</v>
      </c>
      <c r="I6" s="1363" t="str">
        <f>'Copy of Holdings'!HoldingValue/'Copy of Holdings'!TotalValue</f>
        <v>#N/A</v>
      </c>
      <c r="J6" s="1391">
        <f>IFERROR(__xludf.DUMMYFUNCTION("IFERROR(GOOGLEFINANCE($B6,""expenseratio""),"""")"),0.12)</f>
        <v>0.12</v>
      </c>
      <c r="K6" s="1392" t="str">
        <f>$J6*'Copy of Holdings'!PortfolioPercent</f>
        <v>#N/A</v>
      </c>
      <c r="L6" s="1332"/>
      <c r="M6" s="1332"/>
      <c r="N6" s="1332"/>
      <c r="O6" s="1332"/>
      <c r="P6" s="1332"/>
      <c r="Q6" s="1332"/>
      <c r="R6" s="1332"/>
      <c r="S6" s="1332"/>
      <c r="T6" s="1332"/>
      <c r="U6" s="1332"/>
      <c r="V6" s="1332"/>
      <c r="W6" s="1332"/>
      <c r="X6" s="1332"/>
    </row>
    <row r="7">
      <c r="A7" s="1387" t="s">
        <v>1232</v>
      </c>
      <c r="B7" s="1387" t="s">
        <v>1237</v>
      </c>
      <c r="C7" s="1373" t="str">
        <f>IFERROR(__xludf.DUMMYFUNCTION("GOOGLEFINANCE($B7,""name"")"),"Vanguard Total Stock Market Index Fund ETF")</f>
        <v>Vanguard Total Stock Market Index Fund ETF</v>
      </c>
      <c r="D7" s="1373" t="s">
        <v>1217</v>
      </c>
      <c r="E7" s="1388" t="str">
        <f t="shared" si="1"/>
        <v>Vanguard Rollover IRA - VTI</v>
      </c>
      <c r="F7" s="1389">
        <v>200.0</v>
      </c>
      <c r="G7" s="1390">
        <f>IFERROR(__xludf.DUMMYFUNCTION("GOOGLEFINANCE($B7,""price"")"),258.75)</f>
        <v>258.75</v>
      </c>
      <c r="H7" s="1364">
        <f t="shared" si="2"/>
        <v>51750</v>
      </c>
      <c r="I7" s="1363" t="str">
        <f>'Copy of Holdings'!HoldingValue/'Copy of Holdings'!TotalValue</f>
        <v>#N/A</v>
      </c>
      <c r="J7" s="1394">
        <v>0.05</v>
      </c>
      <c r="K7" s="1392" t="str">
        <f>$J7*'Copy of Holdings'!PortfolioPercent</f>
        <v>#N/A</v>
      </c>
      <c r="L7" s="1332"/>
      <c r="M7" s="1332"/>
      <c r="N7" s="1332"/>
      <c r="O7" s="1332"/>
      <c r="P7" s="1332"/>
      <c r="Q7" s="1332"/>
      <c r="R7" s="1332"/>
      <c r="S7" s="1332"/>
      <c r="T7" s="1332"/>
      <c r="U7" s="1332"/>
      <c r="V7" s="1332"/>
      <c r="W7" s="1332"/>
      <c r="X7" s="1332"/>
    </row>
    <row r="8">
      <c r="A8" s="1395" t="s">
        <v>1238</v>
      </c>
      <c r="B8" s="1396" t="s">
        <v>1233</v>
      </c>
      <c r="C8" s="1397" t="str">
        <f>IFERROR(__xludf.DUMMYFUNCTION("GOOGLEFINANCE($B8,""name"")"),"Vanguard Total Stock Market Index Fund Admiral Shares")</f>
        <v>Vanguard Total Stock Market Index Fund Admiral Shares</v>
      </c>
      <c r="D8" s="1397" t="s">
        <v>1217</v>
      </c>
      <c r="E8" s="1398" t="str">
        <f t="shared" si="1"/>
        <v>Vanguard Roth IRA - VTSAX</v>
      </c>
      <c r="F8" s="1399">
        <v>2000.0</v>
      </c>
      <c r="G8" s="1400">
        <f>IFERROR(__xludf.DUMMYFUNCTION("GOOGLEFINANCE($B8,""price"")"),125.97)</f>
        <v>125.97</v>
      </c>
      <c r="H8" s="1401">
        <f t="shared" si="2"/>
        <v>251940</v>
      </c>
      <c r="I8" s="1358" t="str">
        <f>'Copy of Holdings'!HoldingValue/'Copy of Holdings'!TotalValue</f>
        <v>#N/A</v>
      </c>
      <c r="J8" s="1402">
        <f>IFERROR(__xludf.DUMMYFUNCTION("IFERROR(GOOGLEFINANCE($B8,""expenseratio""),"""")"),0.04)</f>
        <v>0.04</v>
      </c>
      <c r="K8" s="1403" t="str">
        <f>$J8*'Copy of Holdings'!PortfolioPercent</f>
        <v>#N/A</v>
      </c>
      <c r="L8" s="1332"/>
      <c r="M8" s="1332"/>
      <c r="N8" s="1332"/>
      <c r="O8" s="1332"/>
      <c r="P8" s="1332"/>
      <c r="Q8" s="1332"/>
      <c r="R8" s="1332"/>
      <c r="S8" s="1332"/>
      <c r="T8" s="1332"/>
      <c r="U8" s="1332"/>
      <c r="V8" s="1332"/>
      <c r="W8" s="1332"/>
      <c r="X8" s="1332"/>
    </row>
    <row r="9">
      <c r="A9" s="1395" t="s">
        <v>1238</v>
      </c>
      <c r="B9" s="1404" t="s">
        <v>1234</v>
      </c>
      <c r="C9" s="1397" t="str">
        <f>IFERROR(__xludf.DUMMYFUNCTION("GOOGLEFINANCE($B9,""name"")"),"Vanguard Total International Stock Index Fund Admiral Shares")</f>
        <v>Vanguard Total International Stock Index Fund Admiral Shares</v>
      </c>
      <c r="D9" s="1397" t="s">
        <v>1218</v>
      </c>
      <c r="E9" s="1398" t="str">
        <f t="shared" si="1"/>
        <v>Vanguard Roth IRA - VTIAX</v>
      </c>
      <c r="F9" s="1399">
        <v>1400.0</v>
      </c>
      <c r="G9" s="1400">
        <f>IFERROR(__xludf.DUMMYFUNCTION("GOOGLEFINANCE($B9,""price"")"),32.91)</f>
        <v>32.91</v>
      </c>
      <c r="H9" s="1401">
        <f t="shared" si="2"/>
        <v>46074</v>
      </c>
      <c r="I9" s="1358" t="str">
        <f>'Copy of Holdings'!HoldingValue/'Copy of Holdings'!TotalValue</f>
        <v>#N/A</v>
      </c>
      <c r="J9" s="1402">
        <f>IFERROR(__xludf.DUMMYFUNCTION("IFERROR(GOOGLEFINANCE($B9,""expenseratio""),"""")"),0.11)</f>
        <v>0.11</v>
      </c>
      <c r="K9" s="1403" t="str">
        <f>$J9*'Copy of Holdings'!PortfolioPercent</f>
        <v>#N/A</v>
      </c>
      <c r="L9" s="1332"/>
      <c r="M9" s="1332"/>
      <c r="N9" s="1332"/>
      <c r="O9" s="1332"/>
      <c r="P9" s="1332"/>
      <c r="Q9" s="1332"/>
      <c r="R9" s="1332"/>
      <c r="S9" s="1332"/>
      <c r="T9" s="1332"/>
      <c r="U9" s="1332"/>
      <c r="V9" s="1332"/>
      <c r="W9" s="1332"/>
      <c r="X9" s="1332"/>
    </row>
    <row r="10">
      <c r="A10" s="1395" t="s">
        <v>1238</v>
      </c>
      <c r="B10" s="1404" t="s">
        <v>1239</v>
      </c>
      <c r="C10" s="1397" t="str">
        <f>IFERROR(__xludf.DUMMYFUNCTION("GOOGLEFINANCE($B10,""name"")"),"Vanguard Total Bond Market Index Fund Investor Shares")</f>
        <v>Vanguard Total Bond Market Index Fund Investor Shares</v>
      </c>
      <c r="D10" s="1397" t="s">
        <v>1220</v>
      </c>
      <c r="E10" s="1398" t="str">
        <f t="shared" si="1"/>
        <v>Vanguard Roth IRA - VBMFX</v>
      </c>
      <c r="F10" s="1399">
        <v>1300.0</v>
      </c>
      <c r="G10" s="1400">
        <f>IFERROR(__xludf.DUMMYFUNCTION("GOOGLEFINANCE($B10,""price"")"),9.56)</f>
        <v>9.56</v>
      </c>
      <c r="H10" s="1401">
        <f t="shared" si="2"/>
        <v>12428</v>
      </c>
      <c r="I10" s="1358" t="str">
        <f>'Copy of Holdings'!HoldingValue/'Copy of Holdings'!TotalValue</f>
        <v>#N/A</v>
      </c>
      <c r="J10" s="1402">
        <f>IFERROR(__xludf.DUMMYFUNCTION("IFERROR(GOOGLEFINANCE($B10,""expenseratio""),"""")"),0.15)</f>
        <v>0.15</v>
      </c>
      <c r="K10" s="1403" t="str">
        <f>$J10*'Copy of Holdings'!PortfolioPercent</f>
        <v>#N/A</v>
      </c>
      <c r="L10" s="1332"/>
      <c r="M10" s="1332"/>
      <c r="N10" s="1332"/>
      <c r="O10" s="1332"/>
      <c r="P10" s="1332"/>
      <c r="Q10" s="1332"/>
      <c r="R10" s="1332"/>
      <c r="S10" s="1332"/>
      <c r="T10" s="1332"/>
      <c r="U10" s="1332"/>
      <c r="V10" s="1332"/>
      <c r="W10" s="1332"/>
      <c r="X10" s="1332"/>
    </row>
    <row r="11">
      <c r="A11" s="1395" t="s">
        <v>1238</v>
      </c>
      <c r="B11" s="1396" t="s">
        <v>1240</v>
      </c>
      <c r="C11" s="1397" t="str">
        <f>IFERROR(__xludf.DUMMYFUNCTION("GOOGLEFINANCE($B11,""name"")"),"Vanguard Real Estate Index Fund Investor Shares")</f>
        <v>Vanguard Real Estate Index Fund Investor Shares</v>
      </c>
      <c r="D11" s="1397" t="s">
        <v>1219</v>
      </c>
      <c r="E11" s="1398" t="str">
        <f t="shared" si="1"/>
        <v>Vanguard Roth IRA - VGSIX</v>
      </c>
      <c r="F11" s="1399">
        <v>500.0</v>
      </c>
      <c r="G11" s="1400">
        <f>IFERROR(__xludf.DUMMYFUNCTION("GOOGLEFINANCE($B11,""price"")"),28.86)</f>
        <v>28.86</v>
      </c>
      <c r="H11" s="1401">
        <f t="shared" si="2"/>
        <v>14430</v>
      </c>
      <c r="I11" s="1358" t="str">
        <f>'Copy of Holdings'!HoldingValue/'Copy of Holdings'!TotalValue</f>
        <v>#N/A</v>
      </c>
      <c r="J11" s="1402">
        <f>IFERROR(__xludf.DUMMYFUNCTION("IFERROR(GOOGLEFINANCE($B11,""expenseratio""),"""")"),0.26)</f>
        <v>0.26</v>
      </c>
      <c r="K11" s="1403" t="str">
        <f>$J11*'Copy of Holdings'!PortfolioPercent</f>
        <v>#N/A</v>
      </c>
      <c r="L11" s="1332"/>
      <c r="M11" s="1332"/>
      <c r="N11" s="1332"/>
      <c r="O11" s="1332"/>
      <c r="P11" s="1332"/>
      <c r="Q11" s="1332"/>
      <c r="R11" s="1332"/>
      <c r="S11" s="1332"/>
      <c r="T11" s="1332"/>
      <c r="U11" s="1332"/>
      <c r="V11" s="1332"/>
      <c r="W11" s="1332"/>
      <c r="X11" s="1332"/>
    </row>
    <row r="12">
      <c r="A12" s="1405" t="s">
        <v>1241</v>
      </c>
      <c r="B12" s="1405" t="s">
        <v>1233</v>
      </c>
      <c r="C12" s="1373" t="str">
        <f>IFERROR(__xludf.DUMMYFUNCTION("GOOGLEFINANCE($B12,""name"")"),"Vanguard Total Stock Market Index Fund Admiral Shares")</f>
        <v>Vanguard Total Stock Market Index Fund Admiral Shares</v>
      </c>
      <c r="D12" s="1373" t="s">
        <v>1217</v>
      </c>
      <c r="E12" s="1388" t="str">
        <f t="shared" si="1"/>
        <v>PCS 401K - VTSAX</v>
      </c>
      <c r="F12" s="1389">
        <v>700.0</v>
      </c>
      <c r="G12" s="1390">
        <f>IFERROR(__xludf.DUMMYFUNCTION("GOOGLEFINANCE($B12,""price"")"),125.97)</f>
        <v>125.97</v>
      </c>
      <c r="H12" s="1364">
        <f t="shared" si="2"/>
        <v>88179</v>
      </c>
      <c r="I12" s="1363" t="str">
        <f>'Copy of Holdings'!HoldingValue/'Copy of Holdings'!TotalValue</f>
        <v>#N/A</v>
      </c>
      <c r="J12" s="1391">
        <f>IFERROR(__xludf.DUMMYFUNCTION("IFERROR(GOOGLEFINANCE($B12,""expenseratio""),"""")"),0.04)</f>
        <v>0.04</v>
      </c>
      <c r="K12" s="1392" t="str">
        <f>$J12*'Copy of Holdings'!PortfolioPercent</f>
        <v>#N/A</v>
      </c>
      <c r="L12" s="1332"/>
      <c r="M12" s="1332"/>
      <c r="N12" s="1332"/>
      <c r="O12" s="1332"/>
      <c r="P12" s="1332"/>
      <c r="Q12" s="1332"/>
      <c r="R12" s="1332"/>
      <c r="S12" s="1332"/>
      <c r="T12" s="1332"/>
      <c r="U12" s="1332"/>
      <c r="V12" s="1332"/>
      <c r="W12" s="1332"/>
      <c r="X12" s="1332"/>
    </row>
    <row r="13">
      <c r="A13" s="1405" t="s">
        <v>1241</v>
      </c>
      <c r="B13" s="1405" t="s">
        <v>1234</v>
      </c>
      <c r="C13" s="1373" t="str">
        <f>IFERROR(__xludf.DUMMYFUNCTION("GOOGLEFINANCE($B13,""name"")"),"Vanguard Total International Stock Index Fund Admiral Shares")</f>
        <v>Vanguard Total International Stock Index Fund Admiral Shares</v>
      </c>
      <c r="D13" s="1373" t="s">
        <v>1218</v>
      </c>
      <c r="E13" s="1388" t="str">
        <f t="shared" si="1"/>
        <v>PCS 401K - VTIAX</v>
      </c>
      <c r="F13" s="1389">
        <v>300.0</v>
      </c>
      <c r="G13" s="1390">
        <f>IFERROR(__xludf.DUMMYFUNCTION("GOOGLEFINANCE($B13,""price"")"),32.91)</f>
        <v>32.91</v>
      </c>
      <c r="H13" s="1364">
        <f t="shared" si="2"/>
        <v>9873</v>
      </c>
      <c r="I13" s="1363" t="str">
        <f>'Copy of Holdings'!HoldingValue/'Copy of Holdings'!TotalValue</f>
        <v>#N/A</v>
      </c>
      <c r="J13" s="1391">
        <f>IFERROR(__xludf.DUMMYFUNCTION("IFERROR(GOOGLEFINANCE($B13,""expenseratio""),"""")"),0.11)</f>
        <v>0.11</v>
      </c>
      <c r="K13" s="1392" t="str">
        <f>$J13*'Copy of Holdings'!PortfolioPercent</f>
        <v>#N/A</v>
      </c>
      <c r="L13" s="1332"/>
      <c r="M13" s="1332"/>
      <c r="N13" s="1332"/>
      <c r="O13" s="1332"/>
      <c r="P13" s="1332"/>
      <c r="Q13" s="1332"/>
      <c r="R13" s="1332"/>
      <c r="S13" s="1332"/>
      <c r="T13" s="1332"/>
      <c r="U13" s="1332"/>
      <c r="V13" s="1332"/>
      <c r="W13" s="1332"/>
      <c r="X13" s="1332"/>
    </row>
    <row r="14">
      <c r="A14" s="1405" t="s">
        <v>1241</v>
      </c>
      <c r="B14" s="1405" t="s">
        <v>1235</v>
      </c>
      <c r="C14" s="1373" t="str">
        <f>IFERROR(__xludf.DUMMYFUNCTION("GOOGLEFINANCE($B14,""name"")"),"Vanguard Total Bond Market Index Fund Admiral Shares")</f>
        <v>Vanguard Total Bond Market Index Fund Admiral Shares</v>
      </c>
      <c r="D14" s="1373" t="s">
        <v>1220</v>
      </c>
      <c r="E14" s="1388" t="str">
        <f t="shared" si="1"/>
        <v>PCS 401K - VBTLX</v>
      </c>
      <c r="F14" s="1389">
        <v>400.0</v>
      </c>
      <c r="G14" s="1390">
        <f>IFERROR(__xludf.DUMMYFUNCTION("GOOGLEFINANCE($B14,""price"")"),9.56)</f>
        <v>9.56</v>
      </c>
      <c r="H14" s="1364">
        <f t="shared" si="2"/>
        <v>3824</v>
      </c>
      <c r="I14" s="1363" t="str">
        <f>'Copy of Holdings'!HoldingValue/'Copy of Holdings'!TotalValue</f>
        <v>#N/A</v>
      </c>
      <c r="J14" s="1391">
        <f>IFERROR(__xludf.DUMMYFUNCTION("IFERROR(GOOGLEFINANCE($B14,""expenseratio""),"""")"),0.05)</f>
        <v>0.05</v>
      </c>
      <c r="K14" s="1392" t="str">
        <f>$J14*'Copy of Holdings'!PortfolioPercent</f>
        <v>#N/A</v>
      </c>
      <c r="L14" s="1332"/>
      <c r="M14" s="1332"/>
      <c r="N14" s="1332"/>
      <c r="O14" s="1332"/>
      <c r="P14" s="1332"/>
      <c r="Q14" s="1332"/>
      <c r="R14" s="1332"/>
      <c r="S14" s="1332"/>
      <c r="T14" s="1332"/>
      <c r="U14" s="1332"/>
      <c r="V14" s="1332"/>
      <c r="W14" s="1332"/>
      <c r="X14" s="1332"/>
    </row>
    <row r="15">
      <c r="A15" s="1405" t="s">
        <v>1241</v>
      </c>
      <c r="B15" s="1405" t="s">
        <v>1236</v>
      </c>
      <c r="C15" s="1373" t="str">
        <f>IFERROR(__xludf.DUMMYFUNCTION("GOOGLEFINANCE($B15,""name"")"),"Vanguard Real Estate Index Fund Admiral Shares")</f>
        <v>Vanguard Real Estate Index Fund Admiral Shares</v>
      </c>
      <c r="D15" s="1373" t="s">
        <v>1219</v>
      </c>
      <c r="E15" s="1388" t="str">
        <f t="shared" si="1"/>
        <v>PCS 401K - VGSLX</v>
      </c>
      <c r="F15" s="1389">
        <v>40.0</v>
      </c>
      <c r="G15" s="1390">
        <f>IFERROR(__xludf.DUMMYFUNCTION("GOOGLEFINANCE($B15,""price"")"),123.06)</f>
        <v>123.06</v>
      </c>
      <c r="H15" s="1364">
        <f t="shared" si="2"/>
        <v>4922.4</v>
      </c>
      <c r="I15" s="1363" t="str">
        <f>'Copy of Holdings'!HoldingValue/'Copy of Holdings'!TotalValue</f>
        <v>#N/A</v>
      </c>
      <c r="J15" s="1406">
        <f>IFERROR(__xludf.DUMMYFUNCTION("IFERROR(GOOGLEFINANCE($B15,""expenseratio""),"""")"),0.12)</f>
        <v>0.12</v>
      </c>
      <c r="K15" s="1392" t="str">
        <f>$J15*'Copy of Holdings'!PortfolioPercent</f>
        <v>#N/A</v>
      </c>
      <c r="L15" s="1332"/>
      <c r="M15" s="1332"/>
      <c r="N15" s="1332"/>
      <c r="O15" s="1332"/>
      <c r="P15" s="1332"/>
      <c r="Q15" s="1332"/>
      <c r="R15" s="1332"/>
      <c r="S15" s="1332"/>
      <c r="T15" s="1332"/>
      <c r="U15" s="1332"/>
      <c r="V15" s="1332"/>
      <c r="W15" s="1332"/>
      <c r="X15" s="1332"/>
    </row>
    <row r="16">
      <c r="A16" s="1396" t="s">
        <v>1242</v>
      </c>
      <c r="B16" s="1396" t="s">
        <v>1237</v>
      </c>
      <c r="C16" s="1397" t="str">
        <f>IFERROR(__xludf.DUMMYFUNCTION("GOOGLEFINANCE($B16,""name"")"),"Vanguard Total Stock Market Index Fund ETF")</f>
        <v>Vanguard Total Stock Market Index Fund ETF</v>
      </c>
      <c r="D16" s="1397" t="s">
        <v>1217</v>
      </c>
      <c r="E16" s="1398" t="str">
        <f t="shared" si="1"/>
        <v>HSA Bank - VTI</v>
      </c>
      <c r="F16" s="1399">
        <v>150.0</v>
      </c>
      <c r="G16" s="1400">
        <f>IFERROR(__xludf.DUMMYFUNCTION("GOOGLEFINANCE($B16,""price"")"),258.75)</f>
        <v>258.75</v>
      </c>
      <c r="H16" s="1401">
        <f t="shared" si="2"/>
        <v>38812.5</v>
      </c>
      <c r="I16" s="1358" t="str">
        <f>'Copy of Holdings'!HoldingValue/'Copy of Holdings'!TotalValue</f>
        <v>#N/A</v>
      </c>
      <c r="J16" s="1407">
        <v>0.05</v>
      </c>
      <c r="K16" s="1403" t="str">
        <f>$J16*'Copy of Holdings'!PortfolioPercent</f>
        <v>#N/A</v>
      </c>
      <c r="L16" s="1332"/>
      <c r="M16" s="1332"/>
      <c r="N16" s="1332"/>
      <c r="O16" s="1332"/>
      <c r="P16" s="1332"/>
      <c r="Q16" s="1332"/>
      <c r="R16" s="1332"/>
      <c r="S16" s="1332"/>
      <c r="T16" s="1332"/>
      <c r="U16" s="1332"/>
      <c r="V16" s="1332"/>
      <c r="W16" s="1332"/>
      <c r="X16" s="1332"/>
    </row>
    <row r="17">
      <c r="A17" s="1396" t="s">
        <v>1242</v>
      </c>
      <c r="B17" s="1396" t="s">
        <v>1243</v>
      </c>
      <c r="C17" s="1397" t="str">
        <f>IFERROR(__xludf.DUMMYFUNCTION("GOOGLEFINANCE($B17,""name"")"),"Vanguard FTSE All World ex US ETF")</f>
        <v>Vanguard FTSE All World ex US ETF</v>
      </c>
      <c r="D17" s="1397" t="s">
        <v>1218</v>
      </c>
      <c r="E17" s="1398" t="str">
        <f t="shared" si="1"/>
        <v>HSA Bank - VEU</v>
      </c>
      <c r="F17" s="1399">
        <v>80.0</v>
      </c>
      <c r="G17" s="1400">
        <f>IFERROR(__xludf.DUMMYFUNCTION("GOOGLEFINANCE($B17,""price"")"),59.8)</f>
        <v>59.8</v>
      </c>
      <c r="H17" s="1401">
        <f t="shared" si="2"/>
        <v>4784</v>
      </c>
      <c r="I17" s="1358" t="str">
        <f>'Copy of Holdings'!HoldingValue/'Copy of Holdings'!TotalValue</f>
        <v>#N/A</v>
      </c>
      <c r="J17" s="1407">
        <v>0.15</v>
      </c>
      <c r="K17" s="1403" t="str">
        <f>$J17*'Copy of Holdings'!PortfolioPercent</f>
        <v>#N/A</v>
      </c>
      <c r="L17" s="1332"/>
      <c r="M17" s="1332"/>
      <c r="N17" s="1332"/>
      <c r="O17" s="1332"/>
      <c r="P17" s="1332"/>
      <c r="Q17" s="1332"/>
      <c r="R17" s="1332"/>
      <c r="S17" s="1332"/>
      <c r="T17" s="1332"/>
      <c r="U17" s="1332"/>
      <c r="V17" s="1332"/>
      <c r="W17" s="1332"/>
      <c r="X17" s="1332"/>
    </row>
    <row r="18">
      <c r="A18" s="1396" t="s">
        <v>1242</v>
      </c>
      <c r="B18" s="1396" t="s">
        <v>1244</v>
      </c>
      <c r="C18" s="1397" t="str">
        <f>IFERROR(__xludf.DUMMYFUNCTION("GOOGLEFINANCE($B18,""name"")"),"Vanguard Total Bond Market Index Fund ETF")</f>
        <v>Vanguard Total Bond Market Index Fund ETF</v>
      </c>
      <c r="D18" s="1397" t="s">
        <v>1220</v>
      </c>
      <c r="E18" s="1398" t="str">
        <f t="shared" si="1"/>
        <v>HSA Bank - BND</v>
      </c>
      <c r="F18" s="1399">
        <v>20.0</v>
      </c>
      <c r="G18" s="1400">
        <f>IFERROR(__xludf.DUMMYFUNCTION("GOOGLEFINANCE($B18,""price"")"),72.65)</f>
        <v>72.65</v>
      </c>
      <c r="H18" s="1401">
        <f t="shared" si="2"/>
        <v>1453</v>
      </c>
      <c r="I18" s="1358" t="str">
        <f>'Copy of Holdings'!HoldingValue/'Copy of Holdings'!TotalValue</f>
        <v>#N/A</v>
      </c>
      <c r="J18" s="1407">
        <v>0.08</v>
      </c>
      <c r="K18" s="1403" t="str">
        <f>$J18*'Copy of Holdings'!PortfolioPercent</f>
        <v>#N/A</v>
      </c>
      <c r="L18" s="1332"/>
      <c r="M18" s="1332"/>
      <c r="N18" s="1332"/>
      <c r="O18" s="1332"/>
      <c r="P18" s="1332"/>
      <c r="Q18" s="1332"/>
      <c r="R18" s="1332"/>
      <c r="S18" s="1332"/>
      <c r="T18" s="1332"/>
      <c r="U18" s="1332"/>
      <c r="V18" s="1332"/>
      <c r="W18" s="1332"/>
      <c r="X18" s="1332"/>
    </row>
    <row r="19">
      <c r="A19" s="1396" t="s">
        <v>1242</v>
      </c>
      <c r="B19" s="1396" t="s">
        <v>1245</v>
      </c>
      <c r="C19" s="1397" t="str">
        <f>IFERROR(__xludf.DUMMYFUNCTION("GOOGLEFINANCE($B19,""name"")"),"Vanguard Real Estate Index Fund ETF")</f>
        <v>Vanguard Real Estate Index Fund ETF</v>
      </c>
      <c r="D19" s="1397" t="s">
        <v>1219</v>
      </c>
      <c r="E19" s="1398" t="str">
        <f t="shared" si="1"/>
        <v>HSA Bank - VNQ</v>
      </c>
      <c r="F19" s="1399">
        <v>25.0</v>
      </c>
      <c r="G19" s="1400">
        <f>IFERROR(__xludf.DUMMYFUNCTION("GOOGLEFINANCE($B19,""price"")"),86.84)</f>
        <v>86.84</v>
      </c>
      <c r="H19" s="1401">
        <f t="shared" si="2"/>
        <v>2171</v>
      </c>
      <c r="I19" s="1358" t="str">
        <f>'Copy of Holdings'!HoldingValue/'Copy of Holdings'!TotalValue</f>
        <v>#N/A</v>
      </c>
      <c r="J19" s="1407">
        <v>0.1</v>
      </c>
      <c r="K19" s="1403" t="str">
        <f>$J19*'Copy of Holdings'!PortfolioPercent</f>
        <v>#N/A</v>
      </c>
      <c r="L19" s="1332"/>
      <c r="M19" s="1332"/>
      <c r="N19" s="1332"/>
      <c r="O19" s="1332"/>
      <c r="P19" s="1332"/>
      <c r="Q19" s="1332"/>
      <c r="R19" s="1332"/>
      <c r="S19" s="1332"/>
      <c r="T19" s="1332"/>
      <c r="U19" s="1332"/>
      <c r="V19" s="1332"/>
      <c r="W19" s="1332"/>
      <c r="X19" s="1332"/>
    </row>
    <row r="20">
      <c r="A20" s="1396" t="s">
        <v>1242</v>
      </c>
      <c r="B20" s="1396" t="s">
        <v>1246</v>
      </c>
      <c r="C20" s="1397" t="str">
        <f>IFERROR(__xludf.DUMMYFUNCTION("GOOGLEFINANCE($B20,""name"")"),"#N/A")</f>
        <v>#N/A</v>
      </c>
      <c r="D20" s="1397" t="s">
        <v>1168</v>
      </c>
      <c r="E20" s="1398" t="str">
        <f t="shared" si="1"/>
        <v>HSA Bank - TDAXX</v>
      </c>
      <c r="F20" s="1399">
        <v>30.0</v>
      </c>
      <c r="G20" s="1400" t="str">
        <f>IFERROR(__xludf.DUMMYFUNCTION("GOOGLEFINANCE($B20,""price"")"),"#N/A")</f>
        <v>#N/A</v>
      </c>
      <c r="H20" s="1408" t="str">
        <f t="shared" si="2"/>
        <v>#N/A</v>
      </c>
      <c r="I20" s="1358" t="str">
        <f>'Copy of Holdings'!HoldingValue/'Copy of Holdings'!TotalValue</f>
        <v>#N/A</v>
      </c>
      <c r="J20" s="1409" t="str">
        <f>IFERROR(__xludf.DUMMYFUNCTION("IFERROR(GOOGLEFINANCE($B20,""expenseratio""),"""")"),"")</f>
        <v/>
      </c>
      <c r="K20" s="1403" t="str">
        <f>$J20*'Copy of Holdings'!PortfolioPercent</f>
        <v>#N/A</v>
      </c>
      <c r="L20" s="1332"/>
      <c r="M20" s="1332"/>
      <c r="N20" s="1332"/>
      <c r="O20" s="1332"/>
      <c r="P20" s="1332"/>
      <c r="Q20" s="1332"/>
      <c r="R20" s="1332"/>
      <c r="S20" s="1332"/>
      <c r="T20" s="1332"/>
      <c r="U20" s="1332"/>
      <c r="V20" s="1332"/>
      <c r="W20" s="1332"/>
      <c r="X20" s="1332"/>
    </row>
    <row r="21">
      <c r="C21" s="110"/>
      <c r="D21" s="110"/>
      <c r="E21" s="110"/>
      <c r="F21" s="1410"/>
      <c r="H21" s="1411" t="str">
        <f>SUM('Copy of Holdings'!HoldingValue)</f>
        <v>#N/A</v>
      </c>
      <c r="I21" s="1412"/>
      <c r="J21" s="1413"/>
      <c r="K21" s="1414" t="str">
        <f>SUM(K3:K20)</f>
        <v>#N/A</v>
      </c>
    </row>
    <row r="22">
      <c r="C22" s="108"/>
      <c r="D22" s="110"/>
      <c r="E22" s="110"/>
      <c r="F22" s="1410"/>
      <c r="H22" s="1053"/>
      <c r="I22" s="1412"/>
      <c r="J22" s="1413"/>
      <c r="K22" s="1415"/>
    </row>
    <row r="23">
      <c r="C23" s="110"/>
      <c r="D23" s="110"/>
      <c r="E23" s="110"/>
      <c r="F23" s="1410"/>
      <c r="H23" s="1053"/>
      <c r="I23" s="1412"/>
      <c r="J23" s="1413"/>
      <c r="K23" s="1415"/>
    </row>
    <row r="24">
      <c r="C24" s="110"/>
      <c r="D24" s="110"/>
      <c r="E24" s="110"/>
      <c r="F24" s="1410"/>
      <c r="H24" s="1053"/>
      <c r="I24" s="1412"/>
      <c r="J24" s="1413"/>
      <c r="K24" s="1415"/>
    </row>
    <row r="25">
      <c r="C25" s="110"/>
      <c r="D25" s="110"/>
      <c r="E25" s="110"/>
      <c r="F25" s="1410"/>
      <c r="H25" s="1053"/>
      <c r="I25" s="1412"/>
      <c r="J25" s="1413"/>
      <c r="K25" s="1415"/>
    </row>
    <row r="26">
      <c r="C26" s="110"/>
      <c r="D26" s="110"/>
      <c r="E26" s="110"/>
      <c r="F26" s="1410"/>
      <c r="H26" s="1053"/>
      <c r="I26" s="1412"/>
      <c r="J26" s="1413"/>
      <c r="K26" s="1415"/>
    </row>
    <row r="27">
      <c r="C27" s="110"/>
      <c r="D27" s="110"/>
      <c r="E27" s="110"/>
      <c r="F27" s="1410"/>
      <c r="H27" s="1053"/>
      <c r="I27" s="1412"/>
      <c r="J27" s="1413"/>
      <c r="K27" s="1415"/>
    </row>
    <row r="28">
      <c r="C28" s="110"/>
      <c r="D28" s="110"/>
      <c r="E28" s="110"/>
      <c r="F28" s="1410"/>
      <c r="H28" s="1053"/>
      <c r="I28" s="1412"/>
      <c r="J28" s="1413"/>
      <c r="K28" s="1415"/>
    </row>
    <row r="29">
      <c r="C29" s="110"/>
      <c r="D29" s="110"/>
      <c r="E29" s="110"/>
      <c r="F29" s="1410"/>
      <c r="H29" s="1053"/>
      <c r="I29" s="1412"/>
      <c r="J29" s="1413"/>
      <c r="K29" s="1415"/>
    </row>
    <row r="30">
      <c r="F30" s="1410"/>
      <c r="H30" s="1053"/>
      <c r="I30" s="1412"/>
      <c r="J30" s="1413"/>
      <c r="K30" s="1415"/>
    </row>
    <row r="31">
      <c r="F31" s="1410"/>
      <c r="H31" s="1053"/>
      <c r="I31" s="1412"/>
      <c r="J31" s="1413"/>
      <c r="K31" s="1415"/>
    </row>
    <row r="32">
      <c r="F32" s="1410"/>
      <c r="H32" s="1053"/>
      <c r="I32" s="1412"/>
      <c r="J32" s="1413"/>
      <c r="K32" s="1415"/>
    </row>
    <row r="33">
      <c r="F33" s="1410"/>
      <c r="H33" s="1053"/>
      <c r="I33" s="1412"/>
      <c r="J33" s="1413"/>
      <c r="K33" s="1415"/>
    </row>
    <row r="34">
      <c r="F34" s="1410"/>
      <c r="H34" s="1053"/>
      <c r="I34" s="1412"/>
      <c r="J34" s="1413"/>
      <c r="K34" s="1415"/>
    </row>
    <row r="35">
      <c r="F35" s="1410"/>
      <c r="H35" s="1053"/>
      <c r="I35" s="1412"/>
      <c r="J35" s="1413"/>
      <c r="K35" s="1415"/>
    </row>
    <row r="36">
      <c r="F36" s="1410"/>
      <c r="H36" s="1053"/>
      <c r="I36" s="1412"/>
      <c r="J36" s="1413"/>
      <c r="K36" s="1415"/>
    </row>
    <row r="37">
      <c r="F37" s="1410"/>
      <c r="H37" s="1053"/>
      <c r="I37" s="1412"/>
      <c r="J37" s="1413"/>
      <c r="K37" s="1415"/>
    </row>
    <row r="38">
      <c r="F38" s="1410"/>
      <c r="H38" s="1053"/>
      <c r="I38" s="1412"/>
      <c r="J38" s="1413"/>
      <c r="K38" s="1415"/>
    </row>
    <row r="39">
      <c r="F39" s="1410"/>
      <c r="H39" s="1053"/>
      <c r="I39" s="1412"/>
      <c r="J39" s="1413"/>
      <c r="K39" s="1415"/>
    </row>
    <row r="40">
      <c r="F40" s="1410"/>
      <c r="H40" s="1053"/>
      <c r="I40" s="1412"/>
      <c r="J40" s="1413"/>
      <c r="K40" s="1415"/>
    </row>
    <row r="41">
      <c r="F41" s="1410"/>
      <c r="H41" s="1053"/>
      <c r="I41" s="1412"/>
      <c r="J41" s="1413"/>
      <c r="K41" s="1415"/>
    </row>
    <row r="42">
      <c r="F42" s="1410"/>
      <c r="H42" s="1053"/>
      <c r="I42" s="1412"/>
      <c r="J42" s="1413"/>
      <c r="K42" s="1415"/>
    </row>
    <row r="43">
      <c r="F43" s="1410"/>
      <c r="H43" s="1053"/>
      <c r="I43" s="1412"/>
      <c r="J43" s="1413"/>
      <c r="K43" s="1415"/>
    </row>
    <row r="44">
      <c r="F44" s="1410"/>
      <c r="H44" s="1053"/>
      <c r="I44" s="1412"/>
      <c r="J44" s="1413"/>
      <c r="K44" s="1415"/>
    </row>
    <row r="45">
      <c r="F45" s="1410"/>
      <c r="H45" s="1053"/>
      <c r="I45" s="1412"/>
      <c r="J45" s="1413"/>
      <c r="K45" s="1415"/>
    </row>
    <row r="46">
      <c r="F46" s="1410"/>
      <c r="H46" s="1053"/>
      <c r="I46" s="1412"/>
      <c r="J46" s="1413"/>
      <c r="K46" s="1415"/>
    </row>
    <row r="47">
      <c r="F47" s="1410"/>
      <c r="H47" s="1053"/>
      <c r="I47" s="1412"/>
      <c r="J47" s="1413"/>
      <c r="K47" s="1415"/>
    </row>
    <row r="48">
      <c r="F48" s="1410"/>
      <c r="H48" s="1053"/>
      <c r="I48" s="1412"/>
      <c r="J48" s="1413"/>
      <c r="K48" s="1415"/>
    </row>
    <row r="49">
      <c r="F49" s="1410"/>
      <c r="H49" s="1053"/>
      <c r="I49" s="1412"/>
      <c r="J49" s="1413"/>
      <c r="K49" s="1415"/>
    </row>
    <row r="50">
      <c r="F50" s="1410"/>
      <c r="H50" s="1053"/>
      <c r="I50" s="1412"/>
      <c r="J50" s="1413"/>
      <c r="K50" s="1415"/>
    </row>
    <row r="51">
      <c r="F51" s="1410"/>
      <c r="H51" s="1053"/>
      <c r="I51" s="1412"/>
      <c r="J51" s="1413"/>
      <c r="K51" s="1415"/>
    </row>
    <row r="52">
      <c r="F52" s="1410"/>
      <c r="H52" s="1053"/>
      <c r="I52" s="1412"/>
      <c r="J52" s="1413"/>
      <c r="K52" s="1415"/>
    </row>
    <row r="53">
      <c r="F53" s="1410"/>
      <c r="H53" s="1053"/>
      <c r="I53" s="1412"/>
      <c r="J53" s="1413"/>
      <c r="K53" s="1415"/>
    </row>
    <row r="54">
      <c r="F54" s="1410"/>
      <c r="H54" s="1053"/>
      <c r="I54" s="1412"/>
      <c r="J54" s="1413"/>
      <c r="K54" s="1415"/>
    </row>
    <row r="55">
      <c r="F55" s="1410"/>
      <c r="H55" s="1053"/>
      <c r="I55" s="1412"/>
      <c r="J55" s="1413"/>
      <c r="K55" s="1415"/>
    </row>
    <row r="56">
      <c r="F56" s="1410"/>
      <c r="H56" s="1053"/>
      <c r="I56" s="1412"/>
      <c r="J56" s="1413"/>
      <c r="K56" s="1415"/>
    </row>
    <row r="57">
      <c r="F57" s="1410"/>
      <c r="H57" s="1053"/>
      <c r="I57" s="1412"/>
      <c r="J57" s="1413"/>
      <c r="K57" s="1415"/>
    </row>
    <row r="58">
      <c r="F58" s="1410"/>
      <c r="H58" s="1053"/>
      <c r="I58" s="1412"/>
      <c r="J58" s="1413"/>
      <c r="K58" s="1415"/>
    </row>
    <row r="59">
      <c r="F59" s="1410"/>
      <c r="H59" s="1053"/>
      <c r="I59" s="1412"/>
      <c r="J59" s="1413"/>
      <c r="K59" s="1415"/>
    </row>
    <row r="60">
      <c r="F60" s="1410"/>
      <c r="H60" s="1053"/>
      <c r="I60" s="1412"/>
      <c r="J60" s="1413"/>
      <c r="K60" s="1415"/>
    </row>
    <row r="61">
      <c r="F61" s="1410"/>
      <c r="H61" s="1053"/>
      <c r="I61" s="1412"/>
      <c r="J61" s="1413"/>
      <c r="K61" s="1415"/>
    </row>
    <row r="62">
      <c r="F62" s="1410"/>
      <c r="H62" s="1053"/>
      <c r="I62" s="1412"/>
      <c r="J62" s="1413"/>
      <c r="K62" s="1415"/>
    </row>
    <row r="63">
      <c r="F63" s="1410"/>
      <c r="H63" s="1053"/>
      <c r="I63" s="1412"/>
      <c r="J63" s="1413"/>
      <c r="K63" s="1415"/>
    </row>
    <row r="64">
      <c r="F64" s="1410"/>
      <c r="H64" s="1053"/>
      <c r="I64" s="1412"/>
      <c r="J64" s="1413"/>
      <c r="K64" s="1415"/>
    </row>
    <row r="65">
      <c r="F65" s="1410"/>
      <c r="H65" s="1053"/>
      <c r="I65" s="1412"/>
      <c r="J65" s="1413"/>
      <c r="K65" s="1415"/>
    </row>
    <row r="66">
      <c r="F66" s="1410"/>
      <c r="H66" s="1053"/>
      <c r="I66" s="1412"/>
      <c r="J66" s="1413"/>
      <c r="K66" s="1415"/>
    </row>
    <row r="67">
      <c r="F67" s="1410"/>
      <c r="H67" s="1053"/>
      <c r="I67" s="1412"/>
      <c r="J67" s="1413"/>
      <c r="K67" s="1415"/>
    </row>
    <row r="68">
      <c r="F68" s="1410"/>
      <c r="H68" s="1053"/>
      <c r="I68" s="1412"/>
      <c r="J68" s="1413"/>
      <c r="K68" s="1415"/>
    </row>
    <row r="69">
      <c r="F69" s="1410"/>
      <c r="H69" s="1053"/>
      <c r="I69" s="1412"/>
      <c r="J69" s="1413"/>
      <c r="K69" s="1415"/>
    </row>
    <row r="70">
      <c r="F70" s="1410"/>
      <c r="H70" s="1053"/>
      <c r="I70" s="1412"/>
      <c r="J70" s="1413"/>
      <c r="K70" s="1415"/>
    </row>
    <row r="71">
      <c r="F71" s="1410"/>
      <c r="H71" s="1053"/>
      <c r="I71" s="1412"/>
      <c r="J71" s="1413"/>
      <c r="K71" s="1415"/>
    </row>
    <row r="72">
      <c r="F72" s="1410"/>
      <c r="H72" s="1053"/>
      <c r="I72" s="1412"/>
      <c r="J72" s="1413"/>
      <c r="K72" s="1415"/>
    </row>
    <row r="73">
      <c r="F73" s="1410"/>
      <c r="H73" s="1053"/>
      <c r="I73" s="1412"/>
      <c r="J73" s="1413"/>
      <c r="K73" s="1415"/>
    </row>
    <row r="74">
      <c r="F74" s="1410"/>
      <c r="H74" s="1053"/>
      <c r="I74" s="1412"/>
      <c r="J74" s="1413"/>
      <c r="K74" s="1415"/>
    </row>
    <row r="75">
      <c r="F75" s="1410"/>
      <c r="H75" s="1053"/>
      <c r="I75" s="1412"/>
      <c r="J75" s="1413"/>
      <c r="K75" s="1415"/>
    </row>
    <row r="76">
      <c r="F76" s="1410"/>
      <c r="H76" s="1053"/>
      <c r="I76" s="1412"/>
      <c r="J76" s="1413"/>
      <c r="K76" s="1415"/>
    </row>
    <row r="77">
      <c r="F77" s="1410"/>
      <c r="H77" s="1053"/>
      <c r="I77" s="1412"/>
      <c r="J77" s="1413"/>
      <c r="K77" s="1415"/>
    </row>
    <row r="78">
      <c r="F78" s="1410"/>
      <c r="H78" s="1053"/>
      <c r="I78" s="1412"/>
      <c r="J78" s="1413"/>
      <c r="K78" s="1415"/>
    </row>
    <row r="79">
      <c r="F79" s="1410"/>
      <c r="H79" s="1053"/>
      <c r="I79" s="1412"/>
      <c r="J79" s="1413"/>
      <c r="K79" s="1415"/>
    </row>
    <row r="80">
      <c r="F80" s="1410"/>
      <c r="H80" s="1053"/>
      <c r="I80" s="1412"/>
      <c r="J80" s="1413"/>
      <c r="K80" s="1415"/>
    </row>
    <row r="81">
      <c r="F81" s="1410"/>
      <c r="H81" s="1053"/>
      <c r="I81" s="1412"/>
      <c r="J81" s="1413"/>
      <c r="K81" s="1415"/>
    </row>
    <row r="82">
      <c r="F82" s="1410"/>
      <c r="H82" s="1053"/>
      <c r="I82" s="1412"/>
      <c r="J82" s="1413"/>
      <c r="K82" s="1415"/>
    </row>
    <row r="83">
      <c r="F83" s="1410"/>
      <c r="H83" s="1053"/>
      <c r="I83" s="1412"/>
      <c r="J83" s="1413"/>
      <c r="K83" s="1415"/>
    </row>
    <row r="84">
      <c r="F84" s="1410"/>
      <c r="H84" s="1053"/>
      <c r="I84" s="1412"/>
      <c r="J84" s="1413"/>
      <c r="K84" s="1415"/>
    </row>
    <row r="85">
      <c r="F85" s="1410"/>
      <c r="H85" s="1053"/>
      <c r="I85" s="1412"/>
      <c r="J85" s="1413"/>
      <c r="K85" s="1415"/>
    </row>
    <row r="86">
      <c r="F86" s="1410"/>
      <c r="H86" s="1053"/>
      <c r="I86" s="1412"/>
      <c r="J86" s="1413"/>
      <c r="K86" s="1415"/>
    </row>
    <row r="87">
      <c r="F87" s="1410"/>
      <c r="H87" s="1053"/>
      <c r="I87" s="1412"/>
      <c r="J87" s="1413"/>
      <c r="K87" s="1415"/>
    </row>
    <row r="88">
      <c r="F88" s="1410"/>
      <c r="H88" s="1053"/>
      <c r="I88" s="1412"/>
      <c r="J88" s="1413"/>
      <c r="K88" s="1415"/>
    </row>
    <row r="89">
      <c r="F89" s="1410"/>
      <c r="H89" s="1053"/>
      <c r="I89" s="1412"/>
      <c r="J89" s="1413"/>
      <c r="K89" s="1415"/>
    </row>
    <row r="90">
      <c r="F90" s="1410"/>
      <c r="H90" s="1053"/>
      <c r="I90" s="1412"/>
      <c r="J90" s="1413"/>
      <c r="K90" s="1415"/>
    </row>
    <row r="91">
      <c r="F91" s="1410"/>
      <c r="H91" s="1053"/>
      <c r="I91" s="1412"/>
      <c r="J91" s="1413"/>
      <c r="K91" s="1415"/>
    </row>
    <row r="92">
      <c r="F92" s="1410"/>
      <c r="H92" s="1053"/>
      <c r="I92" s="1412"/>
      <c r="J92" s="1413"/>
      <c r="K92" s="1415"/>
    </row>
    <row r="93">
      <c r="F93" s="1410"/>
      <c r="H93" s="1053"/>
      <c r="I93" s="1412"/>
      <c r="J93" s="1413"/>
      <c r="K93" s="1415"/>
    </row>
    <row r="94">
      <c r="F94" s="1410"/>
      <c r="H94" s="1053"/>
      <c r="I94" s="1412"/>
      <c r="J94" s="1413"/>
      <c r="K94" s="1415"/>
    </row>
    <row r="95">
      <c r="F95" s="1410"/>
      <c r="H95" s="1053"/>
      <c r="I95" s="1412"/>
      <c r="J95" s="1413"/>
      <c r="K95" s="1415"/>
    </row>
    <row r="96">
      <c r="F96" s="1410"/>
      <c r="H96" s="1053"/>
      <c r="I96" s="1412"/>
      <c r="J96" s="1413"/>
      <c r="K96" s="1415"/>
    </row>
    <row r="97">
      <c r="F97" s="1410"/>
      <c r="H97" s="1053"/>
      <c r="I97" s="1412"/>
      <c r="J97" s="1413"/>
      <c r="K97" s="1415"/>
    </row>
    <row r="98">
      <c r="F98" s="1410"/>
      <c r="H98" s="1053"/>
      <c r="I98" s="1412"/>
      <c r="J98" s="1413"/>
      <c r="K98" s="1415"/>
    </row>
    <row r="99">
      <c r="F99" s="1410"/>
      <c r="H99" s="1053"/>
      <c r="I99" s="1412"/>
      <c r="J99" s="1413"/>
      <c r="K99" s="1415"/>
    </row>
    <row r="100">
      <c r="F100" s="1410"/>
      <c r="H100" s="1053"/>
      <c r="I100" s="1412"/>
      <c r="J100" s="1413"/>
      <c r="K100" s="1415"/>
    </row>
    <row r="101">
      <c r="F101" s="1410"/>
      <c r="H101" s="1053"/>
      <c r="I101" s="1412"/>
      <c r="J101" s="1413"/>
      <c r="K101" s="1415"/>
    </row>
    <row r="102">
      <c r="F102" s="1410"/>
      <c r="H102" s="1053"/>
      <c r="I102" s="1412"/>
      <c r="J102" s="1413"/>
      <c r="K102" s="1415"/>
    </row>
    <row r="103">
      <c r="F103" s="1410"/>
      <c r="H103" s="1053"/>
      <c r="I103" s="1412"/>
      <c r="J103" s="1413"/>
      <c r="K103" s="1415"/>
    </row>
    <row r="104">
      <c r="F104" s="1410"/>
      <c r="H104" s="1053"/>
      <c r="I104" s="1412"/>
      <c r="J104" s="1413"/>
      <c r="K104" s="1415"/>
    </row>
    <row r="105">
      <c r="F105" s="1410"/>
      <c r="H105" s="1053"/>
      <c r="I105" s="1412"/>
      <c r="J105" s="1413"/>
      <c r="K105" s="1415"/>
    </row>
    <row r="106">
      <c r="F106" s="1410"/>
      <c r="H106" s="1053"/>
      <c r="I106" s="1412"/>
      <c r="J106" s="1413"/>
      <c r="K106" s="1415"/>
    </row>
    <row r="107">
      <c r="F107" s="1410"/>
      <c r="H107" s="1053"/>
      <c r="I107" s="1412"/>
      <c r="J107" s="1413"/>
      <c r="K107" s="1415"/>
    </row>
    <row r="108">
      <c r="F108" s="1410"/>
      <c r="H108" s="1053"/>
      <c r="I108" s="1412"/>
      <c r="J108" s="1413"/>
      <c r="K108" s="1415"/>
    </row>
    <row r="109">
      <c r="F109" s="1410"/>
      <c r="H109" s="1053"/>
      <c r="I109" s="1412"/>
      <c r="J109" s="1413"/>
      <c r="K109" s="1415"/>
    </row>
    <row r="110">
      <c r="F110" s="1410"/>
      <c r="H110" s="1053"/>
      <c r="I110" s="1412"/>
      <c r="J110" s="1413"/>
      <c r="K110" s="1415"/>
    </row>
    <row r="111">
      <c r="F111" s="1410"/>
      <c r="H111" s="1053"/>
      <c r="I111" s="1412"/>
      <c r="J111" s="1413"/>
      <c r="K111" s="1415"/>
    </row>
    <row r="112">
      <c r="F112" s="1410"/>
      <c r="H112" s="1053"/>
      <c r="I112" s="1412"/>
      <c r="J112" s="1413"/>
      <c r="K112" s="1415"/>
    </row>
    <row r="113">
      <c r="F113" s="1410"/>
      <c r="H113" s="1053"/>
      <c r="I113" s="1412"/>
      <c r="J113" s="1413"/>
      <c r="K113" s="1415"/>
    </row>
    <row r="114">
      <c r="F114" s="1410"/>
      <c r="H114" s="1053"/>
      <c r="I114" s="1412"/>
      <c r="J114" s="1413"/>
      <c r="K114" s="1415"/>
    </row>
    <row r="115">
      <c r="F115" s="1410"/>
      <c r="H115" s="1053"/>
      <c r="I115" s="1412"/>
      <c r="J115" s="1413"/>
      <c r="K115" s="1415"/>
    </row>
    <row r="116">
      <c r="F116" s="1410"/>
      <c r="H116" s="1053"/>
      <c r="I116" s="1412"/>
      <c r="J116" s="1413"/>
      <c r="K116" s="1415"/>
    </row>
    <row r="117">
      <c r="F117" s="1410"/>
      <c r="H117" s="1053"/>
      <c r="I117" s="1412"/>
      <c r="J117" s="1413"/>
      <c r="K117" s="1415"/>
    </row>
    <row r="118">
      <c r="F118" s="1410"/>
      <c r="H118" s="1053"/>
      <c r="I118" s="1412"/>
      <c r="J118" s="1413"/>
      <c r="K118" s="1415"/>
    </row>
    <row r="119">
      <c r="F119" s="1410"/>
      <c r="H119" s="1053"/>
      <c r="I119" s="1412"/>
      <c r="J119" s="1413"/>
      <c r="K119" s="1415"/>
    </row>
    <row r="120">
      <c r="F120" s="1410"/>
      <c r="H120" s="1053"/>
      <c r="I120" s="1412"/>
      <c r="J120" s="1413"/>
      <c r="K120" s="1415"/>
    </row>
    <row r="121">
      <c r="F121" s="1410"/>
      <c r="H121" s="1053"/>
      <c r="I121" s="1412"/>
      <c r="J121" s="1413"/>
      <c r="K121" s="1415"/>
    </row>
    <row r="122">
      <c r="F122" s="1410"/>
      <c r="H122" s="1053"/>
      <c r="I122" s="1412"/>
      <c r="J122" s="1413"/>
      <c r="K122" s="1415"/>
    </row>
    <row r="123">
      <c r="F123" s="1410"/>
      <c r="H123" s="1053"/>
      <c r="I123" s="1412"/>
      <c r="J123" s="1413"/>
      <c r="K123" s="1415"/>
    </row>
    <row r="124">
      <c r="F124" s="1410"/>
      <c r="H124" s="1053"/>
      <c r="I124" s="1412"/>
      <c r="J124" s="1413"/>
      <c r="K124" s="1415"/>
    </row>
    <row r="125">
      <c r="F125" s="1410"/>
      <c r="H125" s="1053"/>
      <c r="I125" s="1412"/>
      <c r="J125" s="1413"/>
      <c r="K125" s="1415"/>
    </row>
    <row r="126">
      <c r="F126" s="1410"/>
      <c r="H126" s="1053"/>
      <c r="I126" s="1412"/>
      <c r="J126" s="1413"/>
      <c r="K126" s="1415"/>
    </row>
    <row r="127">
      <c r="F127" s="1410"/>
      <c r="H127" s="1053"/>
      <c r="I127" s="1412"/>
      <c r="J127" s="1413"/>
      <c r="K127" s="1415"/>
    </row>
    <row r="128">
      <c r="F128" s="1410"/>
      <c r="H128" s="1053"/>
      <c r="I128" s="1412"/>
      <c r="J128" s="1413"/>
      <c r="K128" s="1415"/>
    </row>
    <row r="129">
      <c r="F129" s="1410"/>
      <c r="H129" s="1053"/>
      <c r="I129" s="1412"/>
      <c r="J129" s="1413"/>
      <c r="K129" s="1415"/>
    </row>
    <row r="130">
      <c r="F130" s="1410"/>
      <c r="H130" s="1053"/>
      <c r="I130" s="1412"/>
      <c r="J130" s="1413"/>
      <c r="K130" s="1415"/>
    </row>
    <row r="131">
      <c r="F131" s="1410"/>
      <c r="H131" s="1053"/>
      <c r="I131" s="1412"/>
      <c r="J131" s="1413"/>
      <c r="K131" s="1415"/>
    </row>
    <row r="132">
      <c r="F132" s="1410"/>
      <c r="H132" s="1053"/>
      <c r="I132" s="1412"/>
      <c r="J132" s="1413"/>
      <c r="K132" s="1415"/>
    </row>
    <row r="133">
      <c r="F133" s="1410"/>
      <c r="H133" s="1053"/>
      <c r="I133" s="1412"/>
      <c r="J133" s="1413"/>
      <c r="K133" s="1415"/>
    </row>
    <row r="134">
      <c r="F134" s="1410"/>
      <c r="H134" s="1053"/>
      <c r="I134" s="1412"/>
      <c r="J134" s="1413"/>
      <c r="K134" s="1415"/>
    </row>
    <row r="135">
      <c r="F135" s="1410"/>
      <c r="H135" s="1053"/>
      <c r="I135" s="1412"/>
      <c r="J135" s="1413"/>
      <c r="K135" s="1415"/>
    </row>
    <row r="136">
      <c r="F136" s="1410"/>
      <c r="H136" s="1053"/>
      <c r="I136" s="1412"/>
      <c r="J136" s="1413"/>
      <c r="K136" s="1415"/>
    </row>
    <row r="137">
      <c r="F137" s="1410"/>
      <c r="H137" s="1053"/>
      <c r="I137" s="1412"/>
      <c r="J137" s="1413"/>
      <c r="K137" s="1415"/>
    </row>
    <row r="138">
      <c r="F138" s="1410"/>
      <c r="H138" s="1053"/>
      <c r="I138" s="1412"/>
      <c r="J138" s="1413"/>
      <c r="K138" s="1415"/>
    </row>
    <row r="139">
      <c r="F139" s="1410"/>
      <c r="H139" s="1053"/>
      <c r="I139" s="1412"/>
      <c r="J139" s="1413"/>
      <c r="K139" s="1415"/>
    </row>
    <row r="140">
      <c r="F140" s="1410"/>
      <c r="H140" s="1053"/>
      <c r="I140" s="1412"/>
      <c r="J140" s="1413"/>
      <c r="K140" s="1415"/>
    </row>
    <row r="141">
      <c r="F141" s="1410"/>
      <c r="H141" s="1053"/>
      <c r="I141" s="1412"/>
      <c r="J141" s="1413"/>
      <c r="K141" s="1415"/>
    </row>
    <row r="142">
      <c r="F142" s="1410"/>
      <c r="H142" s="1053"/>
      <c r="I142" s="1412"/>
      <c r="J142" s="1413"/>
      <c r="K142" s="1415"/>
    </row>
    <row r="143">
      <c r="F143" s="1410"/>
      <c r="H143" s="1053"/>
      <c r="I143" s="1412"/>
      <c r="J143" s="1413"/>
      <c r="K143" s="1415"/>
    </row>
    <row r="144">
      <c r="F144" s="1410"/>
      <c r="H144" s="1053"/>
      <c r="I144" s="1412"/>
      <c r="J144" s="1413"/>
      <c r="K144" s="1415"/>
    </row>
    <row r="145">
      <c r="F145" s="1410"/>
      <c r="H145" s="1053"/>
      <c r="I145" s="1412"/>
      <c r="J145" s="1413"/>
      <c r="K145" s="1415"/>
    </row>
    <row r="146">
      <c r="F146" s="1410"/>
      <c r="H146" s="1053"/>
      <c r="I146" s="1412"/>
      <c r="J146" s="1413"/>
      <c r="K146" s="1415"/>
    </row>
    <row r="147">
      <c r="F147" s="1410"/>
      <c r="H147" s="1053"/>
      <c r="I147" s="1412"/>
      <c r="J147" s="1413"/>
      <c r="K147" s="1415"/>
    </row>
    <row r="148">
      <c r="F148" s="1410"/>
      <c r="H148" s="1053"/>
      <c r="I148" s="1412"/>
      <c r="J148" s="1413"/>
      <c r="K148" s="1415"/>
    </row>
    <row r="149">
      <c r="F149" s="1410"/>
      <c r="H149" s="1053"/>
      <c r="I149" s="1412"/>
      <c r="J149" s="1413"/>
      <c r="K149" s="1415"/>
    </row>
    <row r="150">
      <c r="F150" s="1410"/>
      <c r="H150" s="1053"/>
      <c r="I150" s="1412"/>
      <c r="J150" s="1413"/>
      <c r="K150" s="1415"/>
    </row>
    <row r="151">
      <c r="F151" s="1410"/>
      <c r="H151" s="1053"/>
      <c r="I151" s="1412"/>
      <c r="J151" s="1413"/>
      <c r="K151" s="1415"/>
    </row>
    <row r="152">
      <c r="F152" s="1410"/>
      <c r="H152" s="1053"/>
      <c r="I152" s="1412"/>
      <c r="J152" s="1413"/>
      <c r="K152" s="1415"/>
    </row>
    <row r="153">
      <c r="F153" s="1410"/>
      <c r="H153" s="1053"/>
      <c r="I153" s="1412"/>
      <c r="J153" s="1413"/>
      <c r="K153" s="1415"/>
    </row>
    <row r="154">
      <c r="F154" s="1410"/>
      <c r="H154" s="1053"/>
      <c r="I154" s="1412"/>
      <c r="J154" s="1413"/>
      <c r="K154" s="1415"/>
    </row>
    <row r="155">
      <c r="F155" s="1410"/>
      <c r="H155" s="1053"/>
      <c r="I155" s="1412"/>
      <c r="J155" s="1413"/>
      <c r="K155" s="1415"/>
    </row>
    <row r="156">
      <c r="F156" s="1410"/>
      <c r="H156" s="1053"/>
      <c r="I156" s="1412"/>
      <c r="J156" s="1413"/>
      <c r="K156" s="1415"/>
    </row>
    <row r="157">
      <c r="F157" s="1410"/>
      <c r="H157" s="1053"/>
      <c r="I157" s="1412"/>
      <c r="J157" s="1413"/>
      <c r="K157" s="1415"/>
    </row>
    <row r="158">
      <c r="F158" s="1410"/>
      <c r="H158" s="1053"/>
      <c r="I158" s="1412"/>
      <c r="J158" s="1413"/>
      <c r="K158" s="1415"/>
    </row>
    <row r="159">
      <c r="F159" s="1410"/>
      <c r="H159" s="1053"/>
      <c r="I159" s="1412"/>
      <c r="J159" s="1413"/>
      <c r="K159" s="1415"/>
    </row>
    <row r="160">
      <c r="F160" s="1410"/>
      <c r="H160" s="1053"/>
      <c r="I160" s="1412"/>
      <c r="J160" s="1413"/>
      <c r="K160" s="1415"/>
    </row>
    <row r="161">
      <c r="F161" s="1410"/>
      <c r="H161" s="1053"/>
      <c r="I161" s="1412"/>
      <c r="J161" s="1413"/>
      <c r="K161" s="1415"/>
    </row>
    <row r="162">
      <c r="F162" s="1410"/>
      <c r="H162" s="1053"/>
      <c r="I162" s="1412"/>
      <c r="J162" s="1413"/>
      <c r="K162" s="1415"/>
    </row>
    <row r="163">
      <c r="F163" s="1410"/>
      <c r="H163" s="1053"/>
      <c r="I163" s="1412"/>
      <c r="J163" s="1413"/>
      <c r="K163" s="1415"/>
    </row>
    <row r="164">
      <c r="F164" s="1410"/>
      <c r="H164" s="1053"/>
      <c r="I164" s="1412"/>
      <c r="J164" s="1413"/>
      <c r="K164" s="1415"/>
    </row>
    <row r="165">
      <c r="F165" s="1410"/>
      <c r="H165" s="1053"/>
      <c r="I165" s="1412"/>
      <c r="J165" s="1413"/>
      <c r="K165" s="1415"/>
    </row>
    <row r="166">
      <c r="F166" s="1410"/>
      <c r="H166" s="1053"/>
      <c r="I166" s="1412"/>
      <c r="J166" s="1413"/>
      <c r="K166" s="1415"/>
    </row>
    <row r="167">
      <c r="F167" s="1410"/>
      <c r="H167" s="1053"/>
      <c r="I167" s="1412"/>
      <c r="J167" s="1413"/>
      <c r="K167" s="1415"/>
    </row>
    <row r="168">
      <c r="F168" s="1410"/>
      <c r="H168" s="1053"/>
      <c r="I168" s="1412"/>
      <c r="J168" s="1413"/>
      <c r="K168" s="1415"/>
    </row>
    <row r="169">
      <c r="F169" s="1410"/>
      <c r="H169" s="1053"/>
      <c r="I169" s="1412"/>
      <c r="J169" s="1413"/>
      <c r="K169" s="1415"/>
    </row>
    <row r="170">
      <c r="F170" s="1410"/>
      <c r="H170" s="1053"/>
      <c r="I170" s="1412"/>
      <c r="J170" s="1413"/>
      <c r="K170" s="1415"/>
    </row>
    <row r="171">
      <c r="F171" s="1410"/>
      <c r="H171" s="1053"/>
      <c r="I171" s="1412"/>
      <c r="J171" s="1413"/>
      <c r="K171" s="1415"/>
    </row>
    <row r="172">
      <c r="F172" s="1410"/>
      <c r="H172" s="1053"/>
      <c r="I172" s="1412"/>
      <c r="J172" s="1413"/>
      <c r="K172" s="1415"/>
    </row>
    <row r="173">
      <c r="F173" s="1410"/>
      <c r="H173" s="1053"/>
      <c r="I173" s="1412"/>
      <c r="J173" s="1413"/>
      <c r="K173" s="1415"/>
    </row>
    <row r="174">
      <c r="F174" s="1410"/>
      <c r="H174" s="1053"/>
      <c r="I174" s="1412"/>
      <c r="J174" s="1413"/>
      <c r="K174" s="1415"/>
    </row>
    <row r="175">
      <c r="F175" s="1410"/>
      <c r="H175" s="1053"/>
      <c r="I175" s="1412"/>
      <c r="J175" s="1413"/>
      <c r="K175" s="1415"/>
    </row>
    <row r="176">
      <c r="F176" s="1410"/>
      <c r="H176" s="1053"/>
      <c r="I176" s="1412"/>
      <c r="J176" s="1413"/>
      <c r="K176" s="1415"/>
    </row>
    <row r="177">
      <c r="F177" s="1410"/>
      <c r="H177" s="1053"/>
      <c r="I177" s="1412"/>
      <c r="J177" s="1413"/>
      <c r="K177" s="1415"/>
    </row>
    <row r="178">
      <c r="F178" s="1410"/>
      <c r="H178" s="1053"/>
      <c r="I178" s="1412"/>
      <c r="J178" s="1413"/>
      <c r="K178" s="1415"/>
    </row>
    <row r="179">
      <c r="F179" s="1410"/>
      <c r="H179" s="1053"/>
      <c r="I179" s="1412"/>
      <c r="J179" s="1413"/>
      <c r="K179" s="1415"/>
    </row>
    <row r="180">
      <c r="F180" s="1410"/>
      <c r="H180" s="1053"/>
      <c r="I180" s="1412"/>
      <c r="J180" s="1413"/>
      <c r="K180" s="1415"/>
    </row>
    <row r="181">
      <c r="F181" s="1410"/>
      <c r="H181" s="1053"/>
      <c r="I181" s="1412"/>
      <c r="J181" s="1413"/>
      <c r="K181" s="1415"/>
    </row>
    <row r="182">
      <c r="F182" s="1410"/>
      <c r="H182" s="1053"/>
      <c r="I182" s="1412"/>
      <c r="J182" s="1413"/>
      <c r="K182" s="1415"/>
    </row>
    <row r="183">
      <c r="F183" s="1410"/>
      <c r="H183" s="1053"/>
      <c r="I183" s="1412"/>
      <c r="J183" s="1413"/>
      <c r="K183" s="1415"/>
    </row>
    <row r="184">
      <c r="F184" s="1410"/>
      <c r="H184" s="1053"/>
      <c r="I184" s="1412"/>
      <c r="J184" s="1413"/>
      <c r="K184" s="1415"/>
    </row>
    <row r="185">
      <c r="F185" s="1410"/>
      <c r="H185" s="1053"/>
      <c r="I185" s="1412"/>
      <c r="J185" s="1413"/>
      <c r="K185" s="1415"/>
    </row>
    <row r="186">
      <c r="F186" s="1410"/>
      <c r="H186" s="1053"/>
      <c r="I186" s="1412"/>
      <c r="J186" s="1413"/>
      <c r="K186" s="1415"/>
    </row>
    <row r="187">
      <c r="F187" s="1410"/>
      <c r="H187" s="1053"/>
      <c r="I187" s="1412"/>
      <c r="J187" s="1413"/>
      <c r="K187" s="1415"/>
    </row>
    <row r="188">
      <c r="F188" s="1410"/>
      <c r="H188" s="1053"/>
      <c r="I188" s="1412"/>
      <c r="J188" s="1413"/>
      <c r="K188" s="1415"/>
    </row>
    <row r="189">
      <c r="F189" s="1410"/>
      <c r="H189" s="1053"/>
      <c r="I189" s="1412"/>
      <c r="J189" s="1413"/>
      <c r="K189" s="1415"/>
    </row>
    <row r="190">
      <c r="F190" s="1410"/>
      <c r="H190" s="1053"/>
      <c r="I190" s="1412"/>
      <c r="J190" s="1413"/>
      <c r="K190" s="1415"/>
    </row>
    <row r="191">
      <c r="F191" s="1410"/>
      <c r="H191" s="1053"/>
      <c r="I191" s="1412"/>
      <c r="J191" s="1413"/>
      <c r="K191" s="1415"/>
    </row>
    <row r="192">
      <c r="F192" s="1410"/>
      <c r="H192" s="1053"/>
      <c r="I192" s="1412"/>
      <c r="J192" s="1413"/>
      <c r="K192" s="1415"/>
    </row>
    <row r="193">
      <c r="F193" s="1410"/>
      <c r="H193" s="1053"/>
      <c r="I193" s="1412"/>
      <c r="J193" s="1413"/>
      <c r="K193" s="1415"/>
    </row>
    <row r="194">
      <c r="F194" s="1410"/>
      <c r="H194" s="1053"/>
      <c r="I194" s="1412"/>
      <c r="J194" s="1413"/>
      <c r="K194" s="1415"/>
    </row>
    <row r="195">
      <c r="F195" s="1410"/>
      <c r="H195" s="1053"/>
      <c r="I195" s="1412"/>
      <c r="J195" s="1413"/>
      <c r="K195" s="1415"/>
    </row>
    <row r="196">
      <c r="F196" s="1410"/>
      <c r="H196" s="1053"/>
      <c r="I196" s="1412"/>
      <c r="J196" s="1413"/>
      <c r="K196" s="1415"/>
    </row>
    <row r="197">
      <c r="F197" s="1410"/>
      <c r="H197" s="1053"/>
      <c r="I197" s="1412"/>
      <c r="J197" s="1413"/>
      <c r="K197" s="1415"/>
    </row>
    <row r="198">
      <c r="F198" s="1410"/>
      <c r="H198" s="1053"/>
      <c r="I198" s="1412"/>
      <c r="J198" s="1413"/>
      <c r="K198" s="1415"/>
    </row>
    <row r="199">
      <c r="F199" s="1410"/>
      <c r="H199" s="1053"/>
      <c r="I199" s="1412"/>
      <c r="J199" s="1413"/>
      <c r="K199" s="1415"/>
    </row>
    <row r="200">
      <c r="F200" s="1410"/>
      <c r="H200" s="1053"/>
      <c r="I200" s="1412"/>
      <c r="J200" s="1413"/>
      <c r="K200" s="1415"/>
    </row>
    <row r="201">
      <c r="F201" s="1410"/>
      <c r="H201" s="1053"/>
      <c r="I201" s="1412"/>
      <c r="J201" s="1413"/>
      <c r="K201" s="1415"/>
    </row>
    <row r="202">
      <c r="F202" s="1410"/>
      <c r="H202" s="1053"/>
      <c r="I202" s="1412"/>
      <c r="J202" s="1413"/>
      <c r="K202" s="1415"/>
    </row>
    <row r="203">
      <c r="F203" s="1410"/>
      <c r="H203" s="1053"/>
      <c r="I203" s="1412"/>
      <c r="J203" s="1413"/>
      <c r="K203" s="1415"/>
    </row>
    <row r="204">
      <c r="F204" s="1410"/>
      <c r="H204" s="1053"/>
      <c r="I204" s="1412"/>
      <c r="J204" s="1413"/>
      <c r="K204" s="1415"/>
    </row>
    <row r="205">
      <c r="F205" s="1410"/>
      <c r="H205" s="1053"/>
      <c r="I205" s="1412"/>
      <c r="J205" s="1413"/>
      <c r="K205" s="1415"/>
    </row>
    <row r="206">
      <c r="F206" s="1410"/>
      <c r="H206" s="1053"/>
      <c r="I206" s="1412"/>
      <c r="J206" s="1413"/>
      <c r="K206" s="1415"/>
    </row>
    <row r="207">
      <c r="F207" s="1410"/>
      <c r="H207" s="1053"/>
      <c r="I207" s="1412"/>
      <c r="J207" s="1413"/>
      <c r="K207" s="1415"/>
    </row>
    <row r="208">
      <c r="F208" s="1410"/>
      <c r="H208" s="1053"/>
      <c r="I208" s="1412"/>
      <c r="J208" s="1413"/>
      <c r="K208" s="1415"/>
    </row>
    <row r="209">
      <c r="F209" s="1410"/>
      <c r="H209" s="1053"/>
      <c r="I209" s="1412"/>
      <c r="J209" s="1413"/>
      <c r="K209" s="1415"/>
    </row>
    <row r="210">
      <c r="F210" s="1410"/>
      <c r="H210" s="1053"/>
      <c r="I210" s="1412"/>
      <c r="J210" s="1413"/>
      <c r="K210" s="1415"/>
    </row>
    <row r="211">
      <c r="F211" s="1410"/>
      <c r="H211" s="1053"/>
      <c r="I211" s="1412"/>
      <c r="J211" s="1413"/>
      <c r="K211" s="1415"/>
    </row>
    <row r="212">
      <c r="F212" s="1410"/>
      <c r="H212" s="1053"/>
      <c r="I212" s="1412"/>
      <c r="J212" s="1413"/>
      <c r="K212" s="1415"/>
    </row>
    <row r="213">
      <c r="F213" s="1410"/>
      <c r="H213" s="1053"/>
      <c r="I213" s="1412"/>
      <c r="J213" s="1413"/>
      <c r="K213" s="1415"/>
    </row>
    <row r="214">
      <c r="F214" s="1410"/>
      <c r="H214" s="1053"/>
      <c r="I214" s="1412"/>
      <c r="J214" s="1413"/>
      <c r="K214" s="1415"/>
    </row>
    <row r="215">
      <c r="F215" s="1410"/>
      <c r="H215" s="1053"/>
      <c r="I215" s="1412"/>
      <c r="J215" s="1413"/>
      <c r="K215" s="1415"/>
    </row>
    <row r="216">
      <c r="F216" s="1410"/>
      <c r="H216" s="1053"/>
      <c r="I216" s="1412"/>
      <c r="J216" s="1413"/>
      <c r="K216" s="1415"/>
    </row>
    <row r="217">
      <c r="F217" s="1410"/>
      <c r="H217" s="1053"/>
      <c r="I217" s="1412"/>
      <c r="J217" s="1413"/>
      <c r="K217" s="1415"/>
    </row>
    <row r="218">
      <c r="F218" s="1410"/>
      <c r="H218" s="1053"/>
      <c r="I218" s="1412"/>
      <c r="J218" s="1413"/>
      <c r="K218" s="1415"/>
    </row>
    <row r="219">
      <c r="F219" s="1410"/>
      <c r="H219" s="1053"/>
      <c r="I219" s="1412"/>
      <c r="J219" s="1413"/>
      <c r="K219" s="1415"/>
    </row>
    <row r="220">
      <c r="F220" s="1410"/>
      <c r="H220" s="1053"/>
      <c r="I220" s="1412"/>
      <c r="J220" s="1413"/>
      <c r="K220" s="1415"/>
    </row>
    <row r="221">
      <c r="F221" s="1410"/>
      <c r="H221" s="1053"/>
      <c r="I221" s="1412"/>
      <c r="J221" s="1413"/>
      <c r="K221" s="1415"/>
    </row>
    <row r="222">
      <c r="F222" s="1410"/>
      <c r="H222" s="1053"/>
      <c r="I222" s="1412"/>
      <c r="J222" s="1413"/>
      <c r="K222" s="1415"/>
    </row>
    <row r="223">
      <c r="F223" s="1410"/>
      <c r="H223" s="1053"/>
      <c r="I223" s="1412"/>
      <c r="J223" s="1413"/>
      <c r="K223" s="1415"/>
    </row>
    <row r="224">
      <c r="F224" s="1410"/>
      <c r="H224" s="1053"/>
      <c r="I224" s="1412"/>
      <c r="J224" s="1413"/>
      <c r="K224" s="1415"/>
    </row>
    <row r="225">
      <c r="F225" s="1410"/>
      <c r="H225" s="1053"/>
      <c r="I225" s="1412"/>
      <c r="J225" s="1413"/>
      <c r="K225" s="1415"/>
    </row>
    <row r="226">
      <c r="F226" s="1410"/>
      <c r="H226" s="1053"/>
      <c r="I226" s="1412"/>
      <c r="J226" s="1413"/>
      <c r="K226" s="1415"/>
    </row>
    <row r="227">
      <c r="F227" s="1410"/>
      <c r="H227" s="1053"/>
      <c r="I227" s="1412"/>
      <c r="J227" s="1413"/>
      <c r="K227" s="1415"/>
    </row>
    <row r="228">
      <c r="F228" s="1410"/>
      <c r="H228" s="1053"/>
      <c r="I228" s="1412"/>
      <c r="J228" s="1413"/>
      <c r="K228" s="1415"/>
    </row>
    <row r="229">
      <c r="F229" s="1410"/>
      <c r="H229" s="1053"/>
      <c r="I229" s="1412"/>
      <c r="J229" s="1413"/>
      <c r="K229" s="1415"/>
    </row>
    <row r="230">
      <c r="F230" s="1410"/>
      <c r="H230" s="1053"/>
      <c r="I230" s="1412"/>
      <c r="J230" s="1413"/>
      <c r="K230" s="1415"/>
    </row>
    <row r="231">
      <c r="F231" s="1410"/>
      <c r="H231" s="1053"/>
      <c r="I231" s="1412"/>
      <c r="J231" s="1413"/>
      <c r="K231" s="1415"/>
    </row>
    <row r="232">
      <c r="F232" s="1410"/>
      <c r="H232" s="1053"/>
      <c r="I232" s="1412"/>
      <c r="J232" s="1413"/>
      <c r="K232" s="1415"/>
    </row>
    <row r="233">
      <c r="F233" s="1410"/>
      <c r="H233" s="1053"/>
      <c r="I233" s="1412"/>
      <c r="J233" s="1413"/>
      <c r="K233" s="1415"/>
    </row>
    <row r="234">
      <c r="F234" s="1410"/>
      <c r="H234" s="1053"/>
      <c r="I234" s="1412"/>
      <c r="J234" s="1413"/>
      <c r="K234" s="1415"/>
    </row>
    <row r="235">
      <c r="F235" s="1410"/>
      <c r="H235" s="1053"/>
      <c r="I235" s="1412"/>
      <c r="J235" s="1413"/>
      <c r="K235" s="1415"/>
    </row>
    <row r="236">
      <c r="F236" s="1410"/>
      <c r="H236" s="1053"/>
      <c r="I236" s="1412"/>
      <c r="J236" s="1413"/>
      <c r="K236" s="1415"/>
    </row>
    <row r="237">
      <c r="F237" s="1410"/>
      <c r="H237" s="1053"/>
      <c r="I237" s="1412"/>
      <c r="J237" s="1413"/>
      <c r="K237" s="1415"/>
    </row>
    <row r="238">
      <c r="F238" s="1410"/>
      <c r="H238" s="1053"/>
      <c r="I238" s="1412"/>
      <c r="J238" s="1413"/>
      <c r="K238" s="1415"/>
    </row>
    <row r="239">
      <c r="F239" s="1410"/>
      <c r="H239" s="1053"/>
      <c r="I239" s="1412"/>
      <c r="J239" s="1413"/>
      <c r="K239" s="1415"/>
    </row>
    <row r="240">
      <c r="F240" s="1410"/>
      <c r="H240" s="1053"/>
      <c r="I240" s="1412"/>
      <c r="J240" s="1413"/>
      <c r="K240" s="1415"/>
    </row>
    <row r="241">
      <c r="F241" s="1410"/>
      <c r="H241" s="1053"/>
      <c r="I241" s="1412"/>
      <c r="J241" s="1413"/>
      <c r="K241" s="1415"/>
    </row>
    <row r="242">
      <c r="F242" s="1410"/>
      <c r="H242" s="1053"/>
      <c r="I242" s="1412"/>
      <c r="J242" s="1413"/>
      <c r="K242" s="1415"/>
    </row>
    <row r="243">
      <c r="F243" s="1410"/>
      <c r="H243" s="1053"/>
      <c r="I243" s="1412"/>
      <c r="J243" s="1413"/>
      <c r="K243" s="1415"/>
    </row>
    <row r="244">
      <c r="F244" s="1410"/>
      <c r="H244" s="1053"/>
      <c r="I244" s="1412"/>
      <c r="J244" s="1413"/>
      <c r="K244" s="1415"/>
    </row>
    <row r="245">
      <c r="F245" s="1410"/>
      <c r="H245" s="1053"/>
      <c r="I245" s="1412"/>
      <c r="J245" s="1413"/>
      <c r="K245" s="1415"/>
    </row>
    <row r="246">
      <c r="F246" s="1410"/>
      <c r="H246" s="1053"/>
      <c r="I246" s="1412"/>
      <c r="J246" s="1413"/>
      <c r="K246" s="1415"/>
    </row>
    <row r="247">
      <c r="F247" s="1410"/>
      <c r="H247" s="1053"/>
      <c r="I247" s="1412"/>
      <c r="J247" s="1413"/>
      <c r="K247" s="1415"/>
    </row>
    <row r="248">
      <c r="F248" s="1410"/>
      <c r="H248" s="1053"/>
      <c r="I248" s="1412"/>
      <c r="J248" s="1413"/>
      <c r="K248" s="1415"/>
    </row>
    <row r="249">
      <c r="F249" s="1410"/>
      <c r="H249" s="1053"/>
      <c r="I249" s="1412"/>
      <c r="J249" s="1413"/>
      <c r="K249" s="1415"/>
    </row>
    <row r="250">
      <c r="F250" s="1410"/>
      <c r="H250" s="1053"/>
      <c r="I250" s="1412"/>
      <c r="J250" s="1413"/>
      <c r="K250" s="1415"/>
    </row>
    <row r="251">
      <c r="F251" s="1410"/>
      <c r="H251" s="1053"/>
      <c r="I251" s="1412"/>
      <c r="J251" s="1413"/>
      <c r="K251" s="1415"/>
    </row>
    <row r="252">
      <c r="F252" s="1410"/>
      <c r="H252" s="1053"/>
      <c r="I252" s="1412"/>
      <c r="J252" s="1413"/>
      <c r="K252" s="1415"/>
    </row>
    <row r="253">
      <c r="F253" s="1410"/>
      <c r="H253" s="1053"/>
      <c r="I253" s="1412"/>
      <c r="J253" s="1413"/>
      <c r="K253" s="1415"/>
    </row>
    <row r="254">
      <c r="F254" s="1410"/>
      <c r="H254" s="1053"/>
      <c r="I254" s="1412"/>
      <c r="J254" s="1413"/>
      <c r="K254" s="1415"/>
    </row>
    <row r="255">
      <c r="F255" s="1410"/>
      <c r="H255" s="1053"/>
      <c r="I255" s="1412"/>
      <c r="J255" s="1413"/>
      <c r="K255" s="1415"/>
    </row>
    <row r="256">
      <c r="F256" s="1410"/>
      <c r="H256" s="1053"/>
      <c r="I256" s="1412"/>
      <c r="J256" s="1413"/>
      <c r="K256" s="1415"/>
    </row>
    <row r="257">
      <c r="F257" s="1410"/>
      <c r="H257" s="1053"/>
      <c r="I257" s="1412"/>
      <c r="J257" s="1413"/>
      <c r="K257" s="1415"/>
    </row>
    <row r="258">
      <c r="F258" s="1410"/>
      <c r="H258" s="1053"/>
      <c r="I258" s="1412"/>
      <c r="J258" s="1413"/>
      <c r="K258" s="1415"/>
    </row>
    <row r="259">
      <c r="F259" s="1410"/>
      <c r="H259" s="1053"/>
      <c r="I259" s="1412"/>
      <c r="J259" s="1413"/>
      <c r="K259" s="1415"/>
    </row>
    <row r="260">
      <c r="F260" s="1410"/>
      <c r="H260" s="1053"/>
      <c r="I260" s="1412"/>
      <c r="J260" s="1413"/>
      <c r="K260" s="1415"/>
    </row>
    <row r="261">
      <c r="F261" s="1410"/>
      <c r="H261" s="1053"/>
      <c r="I261" s="1412"/>
      <c r="J261" s="1413"/>
      <c r="K261" s="1415"/>
    </row>
    <row r="262">
      <c r="F262" s="1410"/>
      <c r="H262" s="1053"/>
      <c r="I262" s="1412"/>
      <c r="J262" s="1413"/>
      <c r="K262" s="1415"/>
    </row>
    <row r="263">
      <c r="F263" s="1410"/>
      <c r="H263" s="1053"/>
      <c r="I263" s="1412"/>
      <c r="J263" s="1413"/>
      <c r="K263" s="1415"/>
    </row>
    <row r="264">
      <c r="F264" s="1410"/>
      <c r="H264" s="1053"/>
      <c r="I264" s="1412"/>
      <c r="J264" s="1413"/>
      <c r="K264" s="1415"/>
    </row>
    <row r="265">
      <c r="F265" s="1410"/>
      <c r="H265" s="1053"/>
      <c r="I265" s="1412"/>
      <c r="J265" s="1413"/>
      <c r="K265" s="1415"/>
    </row>
    <row r="266">
      <c r="F266" s="1410"/>
      <c r="H266" s="1053"/>
      <c r="I266" s="1412"/>
      <c r="J266" s="1413"/>
      <c r="K266" s="1415"/>
    </row>
    <row r="267">
      <c r="F267" s="1410"/>
      <c r="H267" s="1053"/>
      <c r="I267" s="1412"/>
      <c r="J267" s="1413"/>
      <c r="K267" s="1415"/>
    </row>
    <row r="268">
      <c r="F268" s="1410"/>
      <c r="H268" s="1053"/>
      <c r="I268" s="1412"/>
      <c r="J268" s="1413"/>
      <c r="K268" s="1415"/>
    </row>
    <row r="269">
      <c r="F269" s="1410"/>
      <c r="H269" s="1053"/>
      <c r="I269" s="1412"/>
      <c r="J269" s="1413"/>
      <c r="K269" s="1415"/>
    </row>
    <row r="270">
      <c r="F270" s="1410"/>
      <c r="H270" s="1053"/>
      <c r="I270" s="1412"/>
      <c r="J270" s="1413"/>
      <c r="K270" s="1415"/>
    </row>
    <row r="271">
      <c r="F271" s="1410"/>
      <c r="H271" s="1053"/>
      <c r="I271" s="1412"/>
      <c r="J271" s="1413"/>
      <c r="K271" s="1415"/>
    </row>
    <row r="272">
      <c r="F272" s="1410"/>
      <c r="H272" s="1053"/>
      <c r="I272" s="1412"/>
      <c r="J272" s="1413"/>
      <c r="K272" s="1415"/>
    </row>
    <row r="273">
      <c r="F273" s="1410"/>
      <c r="H273" s="1053"/>
      <c r="I273" s="1412"/>
      <c r="J273" s="1413"/>
      <c r="K273" s="1415"/>
    </row>
    <row r="274">
      <c r="F274" s="1410"/>
      <c r="H274" s="1053"/>
      <c r="I274" s="1412"/>
      <c r="J274" s="1413"/>
      <c r="K274" s="1415"/>
    </row>
    <row r="275">
      <c r="F275" s="1410"/>
      <c r="H275" s="1053"/>
      <c r="I275" s="1412"/>
      <c r="J275" s="1413"/>
      <c r="K275" s="1415"/>
    </row>
    <row r="276">
      <c r="F276" s="1410"/>
      <c r="H276" s="1053"/>
      <c r="I276" s="1412"/>
      <c r="J276" s="1413"/>
      <c r="K276" s="1415"/>
    </row>
    <row r="277">
      <c r="F277" s="1410"/>
      <c r="H277" s="1053"/>
      <c r="I277" s="1412"/>
      <c r="J277" s="1413"/>
      <c r="K277" s="1415"/>
    </row>
    <row r="278">
      <c r="F278" s="1410"/>
      <c r="H278" s="1053"/>
      <c r="I278" s="1412"/>
      <c r="J278" s="1413"/>
      <c r="K278" s="1415"/>
    </row>
    <row r="279">
      <c r="F279" s="1410"/>
      <c r="H279" s="1053"/>
      <c r="I279" s="1412"/>
      <c r="J279" s="1413"/>
      <c r="K279" s="1415"/>
    </row>
    <row r="280">
      <c r="F280" s="1410"/>
      <c r="H280" s="1053"/>
      <c r="I280" s="1412"/>
      <c r="J280" s="1413"/>
      <c r="K280" s="1415"/>
    </row>
    <row r="281">
      <c r="F281" s="1410"/>
      <c r="H281" s="1053"/>
      <c r="I281" s="1412"/>
      <c r="J281" s="1413"/>
      <c r="K281" s="1415"/>
    </row>
    <row r="282">
      <c r="F282" s="1410"/>
      <c r="H282" s="1053"/>
      <c r="I282" s="1412"/>
      <c r="J282" s="1413"/>
      <c r="K282" s="1415"/>
    </row>
    <row r="283">
      <c r="F283" s="1410"/>
      <c r="H283" s="1053"/>
      <c r="I283" s="1412"/>
      <c r="J283" s="1413"/>
      <c r="K283" s="1415"/>
    </row>
    <row r="284">
      <c r="F284" s="1410"/>
      <c r="H284" s="1053"/>
      <c r="I284" s="1412"/>
      <c r="J284" s="1413"/>
      <c r="K284" s="1415"/>
    </row>
    <row r="285">
      <c r="F285" s="1410"/>
      <c r="H285" s="1053"/>
      <c r="I285" s="1412"/>
      <c r="J285" s="1413"/>
      <c r="K285" s="1415"/>
    </row>
    <row r="286">
      <c r="F286" s="1410"/>
      <c r="H286" s="1053"/>
      <c r="I286" s="1412"/>
      <c r="J286" s="1413"/>
      <c r="K286" s="1415"/>
    </row>
    <row r="287">
      <c r="F287" s="1410"/>
      <c r="H287" s="1053"/>
      <c r="I287" s="1412"/>
      <c r="J287" s="1413"/>
      <c r="K287" s="1415"/>
    </row>
    <row r="288">
      <c r="F288" s="1410"/>
      <c r="H288" s="1053"/>
      <c r="I288" s="1412"/>
      <c r="J288" s="1413"/>
      <c r="K288" s="1415"/>
    </row>
    <row r="289">
      <c r="F289" s="1410"/>
      <c r="H289" s="1053"/>
      <c r="I289" s="1412"/>
      <c r="J289" s="1413"/>
      <c r="K289" s="1415"/>
    </row>
    <row r="290">
      <c r="F290" s="1410"/>
      <c r="H290" s="1053"/>
      <c r="I290" s="1412"/>
      <c r="J290" s="1413"/>
      <c r="K290" s="1415"/>
    </row>
    <row r="291">
      <c r="F291" s="1410"/>
      <c r="H291" s="1053"/>
      <c r="I291" s="1412"/>
      <c r="J291" s="1413"/>
      <c r="K291" s="1415"/>
    </row>
    <row r="292">
      <c r="F292" s="1410"/>
      <c r="H292" s="1053"/>
      <c r="I292" s="1412"/>
      <c r="J292" s="1413"/>
      <c r="K292" s="1415"/>
    </row>
    <row r="293">
      <c r="F293" s="1410"/>
      <c r="H293" s="1053"/>
      <c r="I293" s="1412"/>
      <c r="J293" s="1413"/>
      <c r="K293" s="1415"/>
    </row>
    <row r="294">
      <c r="F294" s="1410"/>
      <c r="H294" s="1053"/>
      <c r="I294" s="1412"/>
      <c r="J294" s="1413"/>
      <c r="K294" s="1415"/>
    </row>
    <row r="295">
      <c r="F295" s="1410"/>
      <c r="H295" s="1053"/>
      <c r="I295" s="1412"/>
      <c r="J295" s="1413"/>
      <c r="K295" s="1415"/>
    </row>
    <row r="296">
      <c r="F296" s="1410"/>
      <c r="H296" s="1053"/>
      <c r="I296" s="1412"/>
      <c r="J296" s="1413"/>
      <c r="K296" s="1415"/>
    </row>
    <row r="297">
      <c r="F297" s="1410"/>
      <c r="H297" s="1053"/>
      <c r="I297" s="1412"/>
      <c r="J297" s="1413"/>
      <c r="K297" s="1415"/>
    </row>
    <row r="298">
      <c r="F298" s="1410"/>
      <c r="H298" s="1053"/>
      <c r="I298" s="1412"/>
      <c r="J298" s="1413"/>
      <c r="K298" s="1415"/>
    </row>
    <row r="299">
      <c r="F299" s="1410"/>
      <c r="H299" s="1053"/>
      <c r="I299" s="1412"/>
      <c r="J299" s="1413"/>
      <c r="K299" s="1415"/>
    </row>
    <row r="300">
      <c r="F300" s="1410"/>
      <c r="H300" s="1053"/>
      <c r="I300" s="1412"/>
      <c r="J300" s="1413"/>
      <c r="K300" s="1415"/>
    </row>
    <row r="301">
      <c r="F301" s="1410"/>
      <c r="H301" s="1053"/>
      <c r="I301" s="1412"/>
      <c r="J301" s="1413"/>
      <c r="K301" s="1415"/>
    </row>
    <row r="302">
      <c r="F302" s="1410"/>
      <c r="H302" s="1053"/>
      <c r="I302" s="1412"/>
      <c r="J302" s="1413"/>
      <c r="K302" s="1415"/>
    </row>
    <row r="303">
      <c r="F303" s="1410"/>
      <c r="H303" s="1053"/>
      <c r="I303" s="1412"/>
      <c r="J303" s="1413"/>
      <c r="K303" s="1415"/>
    </row>
    <row r="304">
      <c r="F304" s="1410"/>
      <c r="H304" s="1053"/>
      <c r="I304" s="1412"/>
      <c r="J304" s="1413"/>
      <c r="K304" s="1415"/>
    </row>
    <row r="305">
      <c r="F305" s="1410"/>
      <c r="H305" s="1053"/>
      <c r="I305" s="1412"/>
      <c r="J305" s="1413"/>
      <c r="K305" s="1415"/>
    </row>
    <row r="306">
      <c r="F306" s="1410"/>
      <c r="H306" s="1053"/>
      <c r="I306" s="1412"/>
      <c r="J306" s="1413"/>
      <c r="K306" s="1415"/>
    </row>
    <row r="307">
      <c r="F307" s="1410"/>
      <c r="H307" s="1053"/>
      <c r="I307" s="1412"/>
      <c r="J307" s="1413"/>
      <c r="K307" s="1415"/>
    </row>
    <row r="308">
      <c r="F308" s="1410"/>
      <c r="H308" s="1053"/>
      <c r="I308" s="1412"/>
      <c r="J308" s="1413"/>
      <c r="K308" s="1415"/>
    </row>
    <row r="309">
      <c r="F309" s="1410"/>
      <c r="H309" s="1053"/>
      <c r="I309" s="1412"/>
      <c r="J309" s="1413"/>
      <c r="K309" s="1415"/>
    </row>
    <row r="310">
      <c r="F310" s="1410"/>
      <c r="H310" s="1053"/>
      <c r="I310" s="1412"/>
      <c r="J310" s="1413"/>
      <c r="K310" s="1415"/>
    </row>
    <row r="311">
      <c r="F311" s="1410"/>
      <c r="H311" s="1053"/>
      <c r="I311" s="1412"/>
      <c r="J311" s="1413"/>
      <c r="K311" s="1415"/>
    </row>
    <row r="312">
      <c r="F312" s="1410"/>
      <c r="H312" s="1053"/>
      <c r="I312" s="1412"/>
      <c r="J312" s="1413"/>
      <c r="K312" s="1415"/>
    </row>
    <row r="313">
      <c r="F313" s="1410"/>
      <c r="H313" s="1053"/>
      <c r="I313" s="1412"/>
      <c r="J313" s="1413"/>
      <c r="K313" s="1415"/>
    </row>
    <row r="314">
      <c r="F314" s="1410"/>
      <c r="H314" s="1053"/>
      <c r="I314" s="1412"/>
      <c r="J314" s="1413"/>
      <c r="K314" s="1415"/>
    </row>
    <row r="315">
      <c r="F315" s="1410"/>
      <c r="H315" s="1053"/>
      <c r="I315" s="1412"/>
      <c r="J315" s="1413"/>
      <c r="K315" s="1415"/>
    </row>
    <row r="316">
      <c r="F316" s="1410"/>
      <c r="H316" s="1053"/>
      <c r="I316" s="1412"/>
      <c r="J316" s="1413"/>
      <c r="K316" s="1415"/>
    </row>
    <row r="317">
      <c r="F317" s="1410"/>
      <c r="H317" s="1053"/>
      <c r="I317" s="1412"/>
      <c r="J317" s="1413"/>
      <c r="K317" s="1415"/>
    </row>
    <row r="318">
      <c r="F318" s="1410"/>
      <c r="H318" s="1053"/>
      <c r="I318" s="1412"/>
      <c r="J318" s="1413"/>
      <c r="K318" s="1415"/>
    </row>
    <row r="319">
      <c r="F319" s="1410"/>
      <c r="H319" s="1053"/>
      <c r="I319" s="1412"/>
      <c r="J319" s="1413"/>
      <c r="K319" s="1415"/>
    </row>
    <row r="320">
      <c r="F320" s="1410"/>
      <c r="H320" s="1053"/>
      <c r="I320" s="1412"/>
      <c r="J320" s="1413"/>
      <c r="K320" s="1415"/>
    </row>
    <row r="321">
      <c r="F321" s="1410"/>
      <c r="H321" s="1053"/>
      <c r="I321" s="1412"/>
      <c r="J321" s="1413"/>
      <c r="K321" s="1415"/>
    </row>
    <row r="322">
      <c r="F322" s="1410"/>
      <c r="H322" s="1053"/>
      <c r="I322" s="1412"/>
      <c r="J322" s="1413"/>
      <c r="K322" s="1415"/>
    </row>
    <row r="323">
      <c r="F323" s="1410"/>
      <c r="H323" s="1053"/>
      <c r="I323" s="1412"/>
      <c r="J323" s="1413"/>
      <c r="K323" s="1415"/>
    </row>
    <row r="324">
      <c r="F324" s="1410"/>
      <c r="H324" s="1053"/>
      <c r="I324" s="1412"/>
      <c r="J324" s="1413"/>
      <c r="K324" s="1415"/>
    </row>
    <row r="325">
      <c r="F325" s="1410"/>
      <c r="H325" s="1053"/>
      <c r="I325" s="1412"/>
      <c r="J325" s="1413"/>
      <c r="K325" s="1415"/>
    </row>
    <row r="326">
      <c r="F326" s="1410"/>
      <c r="H326" s="1053"/>
      <c r="I326" s="1412"/>
      <c r="J326" s="1413"/>
      <c r="K326" s="1415"/>
    </row>
    <row r="327">
      <c r="F327" s="1410"/>
      <c r="H327" s="1053"/>
      <c r="I327" s="1412"/>
      <c r="J327" s="1413"/>
      <c r="K327" s="1415"/>
    </row>
    <row r="328">
      <c r="F328" s="1410"/>
      <c r="H328" s="1053"/>
      <c r="I328" s="1412"/>
      <c r="J328" s="1413"/>
      <c r="K328" s="1415"/>
    </row>
    <row r="329">
      <c r="F329" s="1410"/>
      <c r="H329" s="1053"/>
      <c r="I329" s="1412"/>
      <c r="J329" s="1413"/>
      <c r="K329" s="1415"/>
    </row>
    <row r="330">
      <c r="F330" s="1410"/>
      <c r="H330" s="1053"/>
      <c r="I330" s="1412"/>
      <c r="J330" s="1413"/>
      <c r="K330" s="1415"/>
    </row>
    <row r="331">
      <c r="F331" s="1410"/>
      <c r="H331" s="1053"/>
      <c r="I331" s="1412"/>
      <c r="J331" s="1413"/>
      <c r="K331" s="1415"/>
    </row>
    <row r="332">
      <c r="F332" s="1410"/>
      <c r="H332" s="1053"/>
      <c r="I332" s="1412"/>
      <c r="J332" s="1413"/>
      <c r="K332" s="1415"/>
    </row>
    <row r="333">
      <c r="F333" s="1410"/>
      <c r="H333" s="1053"/>
      <c r="I333" s="1412"/>
      <c r="J333" s="1413"/>
      <c r="K333" s="1415"/>
    </row>
    <row r="334">
      <c r="F334" s="1410"/>
      <c r="H334" s="1053"/>
      <c r="I334" s="1412"/>
      <c r="J334" s="1413"/>
      <c r="K334" s="1415"/>
    </row>
    <row r="335">
      <c r="F335" s="1410"/>
      <c r="H335" s="1053"/>
      <c r="I335" s="1412"/>
      <c r="J335" s="1413"/>
      <c r="K335" s="1415"/>
    </row>
    <row r="336">
      <c r="F336" s="1410"/>
      <c r="H336" s="1053"/>
      <c r="I336" s="1412"/>
      <c r="J336" s="1413"/>
      <c r="K336" s="1415"/>
    </row>
    <row r="337">
      <c r="F337" s="1410"/>
      <c r="H337" s="1053"/>
      <c r="I337" s="1412"/>
      <c r="J337" s="1413"/>
      <c r="K337" s="1415"/>
    </row>
    <row r="338">
      <c r="F338" s="1410"/>
      <c r="H338" s="1053"/>
      <c r="I338" s="1412"/>
      <c r="J338" s="1413"/>
      <c r="K338" s="1415"/>
    </row>
    <row r="339">
      <c r="F339" s="1410"/>
      <c r="H339" s="1053"/>
      <c r="I339" s="1412"/>
      <c r="J339" s="1413"/>
      <c r="K339" s="1415"/>
    </row>
    <row r="340">
      <c r="F340" s="1410"/>
      <c r="H340" s="1053"/>
      <c r="I340" s="1412"/>
      <c r="J340" s="1413"/>
      <c r="K340" s="1415"/>
    </row>
    <row r="341">
      <c r="F341" s="1410"/>
      <c r="H341" s="1053"/>
      <c r="I341" s="1412"/>
      <c r="J341" s="1413"/>
      <c r="K341" s="1415"/>
    </row>
    <row r="342">
      <c r="F342" s="1410"/>
      <c r="H342" s="1053"/>
      <c r="I342" s="1412"/>
      <c r="J342" s="1413"/>
      <c r="K342" s="1415"/>
    </row>
    <row r="343">
      <c r="F343" s="1410"/>
      <c r="H343" s="1053"/>
      <c r="I343" s="1412"/>
      <c r="J343" s="1413"/>
      <c r="K343" s="1415"/>
    </row>
    <row r="344">
      <c r="F344" s="1410"/>
      <c r="H344" s="1053"/>
      <c r="I344" s="1412"/>
      <c r="J344" s="1413"/>
      <c r="K344" s="1415"/>
    </row>
    <row r="345">
      <c r="F345" s="1410"/>
      <c r="H345" s="1053"/>
      <c r="I345" s="1412"/>
      <c r="J345" s="1413"/>
      <c r="K345" s="1415"/>
    </row>
    <row r="346">
      <c r="F346" s="1410"/>
      <c r="H346" s="1053"/>
      <c r="I346" s="1412"/>
      <c r="J346" s="1413"/>
      <c r="K346" s="1415"/>
    </row>
    <row r="347">
      <c r="F347" s="1410"/>
      <c r="H347" s="1053"/>
      <c r="I347" s="1412"/>
      <c r="J347" s="1413"/>
      <c r="K347" s="1415"/>
    </row>
    <row r="348">
      <c r="F348" s="1410"/>
      <c r="H348" s="1053"/>
      <c r="I348" s="1412"/>
      <c r="J348" s="1413"/>
      <c r="K348" s="1415"/>
    </row>
    <row r="349">
      <c r="F349" s="1410"/>
      <c r="H349" s="1053"/>
      <c r="I349" s="1412"/>
      <c r="J349" s="1413"/>
      <c r="K349" s="1415"/>
    </row>
    <row r="350">
      <c r="F350" s="1410"/>
      <c r="H350" s="1053"/>
      <c r="I350" s="1412"/>
      <c r="J350" s="1413"/>
      <c r="K350" s="1415"/>
    </row>
    <row r="351">
      <c r="F351" s="1410"/>
      <c r="H351" s="1053"/>
      <c r="I351" s="1412"/>
      <c r="J351" s="1413"/>
      <c r="K351" s="1415"/>
    </row>
    <row r="352">
      <c r="F352" s="1410"/>
      <c r="H352" s="1053"/>
      <c r="I352" s="1412"/>
      <c r="J352" s="1413"/>
      <c r="K352" s="1415"/>
    </row>
    <row r="353">
      <c r="F353" s="1410"/>
      <c r="H353" s="1053"/>
      <c r="I353" s="1412"/>
      <c r="J353" s="1413"/>
      <c r="K353" s="1415"/>
    </row>
    <row r="354">
      <c r="F354" s="1410"/>
      <c r="H354" s="1053"/>
      <c r="I354" s="1412"/>
      <c r="J354" s="1413"/>
      <c r="K354" s="1415"/>
    </row>
    <row r="355">
      <c r="F355" s="1410"/>
      <c r="H355" s="1053"/>
      <c r="I355" s="1412"/>
      <c r="J355" s="1413"/>
      <c r="K355" s="1415"/>
    </row>
    <row r="356">
      <c r="F356" s="1410"/>
      <c r="H356" s="1053"/>
      <c r="I356" s="1412"/>
      <c r="J356" s="1413"/>
      <c r="K356" s="1415"/>
    </row>
    <row r="357">
      <c r="F357" s="1410"/>
      <c r="H357" s="1053"/>
      <c r="I357" s="1412"/>
      <c r="J357" s="1413"/>
      <c r="K357" s="1415"/>
    </row>
    <row r="358">
      <c r="F358" s="1410"/>
      <c r="H358" s="1053"/>
      <c r="I358" s="1412"/>
      <c r="J358" s="1413"/>
      <c r="K358" s="1415"/>
    </row>
    <row r="359">
      <c r="F359" s="1410"/>
      <c r="H359" s="1053"/>
      <c r="I359" s="1412"/>
      <c r="J359" s="1413"/>
      <c r="K359" s="1415"/>
    </row>
    <row r="360">
      <c r="F360" s="1410"/>
      <c r="H360" s="1053"/>
      <c r="I360" s="1412"/>
      <c r="J360" s="1413"/>
      <c r="K360" s="1415"/>
    </row>
    <row r="361">
      <c r="F361" s="1410"/>
      <c r="H361" s="1053"/>
      <c r="I361" s="1412"/>
      <c r="J361" s="1413"/>
      <c r="K361" s="1415"/>
    </row>
    <row r="362">
      <c r="F362" s="1410"/>
      <c r="H362" s="1053"/>
      <c r="I362" s="1412"/>
      <c r="J362" s="1413"/>
      <c r="K362" s="1415"/>
    </row>
    <row r="363">
      <c r="F363" s="1410"/>
      <c r="H363" s="1053"/>
      <c r="I363" s="1412"/>
      <c r="J363" s="1413"/>
      <c r="K363" s="1415"/>
    </row>
    <row r="364">
      <c r="F364" s="1410"/>
      <c r="H364" s="1053"/>
      <c r="I364" s="1412"/>
      <c r="J364" s="1413"/>
      <c r="K364" s="1415"/>
    </row>
    <row r="365">
      <c r="F365" s="1410"/>
      <c r="H365" s="1053"/>
      <c r="I365" s="1412"/>
      <c r="J365" s="1413"/>
      <c r="K365" s="1415"/>
    </row>
    <row r="366">
      <c r="F366" s="1410"/>
      <c r="H366" s="1053"/>
      <c r="I366" s="1412"/>
      <c r="J366" s="1413"/>
      <c r="K366" s="1415"/>
    </row>
    <row r="367">
      <c r="F367" s="1410"/>
      <c r="H367" s="1053"/>
      <c r="I367" s="1412"/>
      <c r="J367" s="1413"/>
      <c r="K367" s="1415"/>
    </row>
    <row r="368">
      <c r="F368" s="1410"/>
      <c r="H368" s="1053"/>
      <c r="I368" s="1412"/>
      <c r="J368" s="1413"/>
      <c r="K368" s="1415"/>
    </row>
    <row r="369">
      <c r="F369" s="1410"/>
      <c r="H369" s="1053"/>
      <c r="I369" s="1412"/>
      <c r="J369" s="1413"/>
      <c r="K369" s="1415"/>
    </row>
    <row r="370">
      <c r="F370" s="1410"/>
      <c r="H370" s="1053"/>
      <c r="I370" s="1412"/>
      <c r="J370" s="1413"/>
      <c r="K370" s="1415"/>
    </row>
    <row r="371">
      <c r="F371" s="1410"/>
      <c r="H371" s="1053"/>
      <c r="I371" s="1412"/>
      <c r="J371" s="1413"/>
      <c r="K371" s="1415"/>
    </row>
    <row r="372">
      <c r="F372" s="1410"/>
      <c r="H372" s="1053"/>
      <c r="I372" s="1412"/>
      <c r="J372" s="1413"/>
      <c r="K372" s="1415"/>
    </row>
    <row r="373">
      <c r="F373" s="1410"/>
      <c r="H373" s="1053"/>
      <c r="I373" s="1412"/>
      <c r="J373" s="1413"/>
      <c r="K373" s="1415"/>
    </row>
    <row r="374">
      <c r="F374" s="1410"/>
      <c r="H374" s="1053"/>
      <c r="I374" s="1412"/>
      <c r="J374" s="1413"/>
      <c r="K374" s="1415"/>
    </row>
    <row r="375">
      <c r="F375" s="1410"/>
      <c r="H375" s="1053"/>
      <c r="I375" s="1412"/>
      <c r="J375" s="1413"/>
      <c r="K375" s="1415"/>
    </row>
    <row r="376">
      <c r="F376" s="1410"/>
      <c r="H376" s="1053"/>
      <c r="I376" s="1412"/>
      <c r="J376" s="1413"/>
      <c r="K376" s="1415"/>
    </row>
    <row r="377">
      <c r="F377" s="1410"/>
      <c r="H377" s="1053"/>
      <c r="I377" s="1412"/>
      <c r="J377" s="1413"/>
      <c r="K377" s="1415"/>
    </row>
    <row r="378">
      <c r="F378" s="1410"/>
      <c r="H378" s="1053"/>
      <c r="I378" s="1412"/>
      <c r="J378" s="1413"/>
      <c r="K378" s="1415"/>
    </row>
    <row r="379">
      <c r="F379" s="1410"/>
      <c r="H379" s="1053"/>
      <c r="I379" s="1412"/>
      <c r="J379" s="1413"/>
      <c r="K379" s="1415"/>
    </row>
    <row r="380">
      <c r="F380" s="1410"/>
      <c r="H380" s="1053"/>
      <c r="I380" s="1412"/>
      <c r="J380" s="1413"/>
      <c r="K380" s="1415"/>
    </row>
    <row r="381">
      <c r="F381" s="1410"/>
      <c r="H381" s="1053"/>
      <c r="I381" s="1412"/>
      <c r="J381" s="1413"/>
      <c r="K381" s="1415"/>
    </row>
    <row r="382">
      <c r="F382" s="1410"/>
      <c r="H382" s="1053"/>
      <c r="I382" s="1412"/>
      <c r="J382" s="1413"/>
      <c r="K382" s="1415"/>
    </row>
    <row r="383">
      <c r="F383" s="1410"/>
      <c r="H383" s="1053"/>
      <c r="I383" s="1412"/>
      <c r="J383" s="1413"/>
      <c r="K383" s="1415"/>
    </row>
    <row r="384">
      <c r="F384" s="1410"/>
      <c r="H384" s="1053"/>
      <c r="I384" s="1412"/>
      <c r="J384" s="1413"/>
      <c r="K384" s="1415"/>
    </row>
    <row r="385">
      <c r="F385" s="1410"/>
      <c r="H385" s="1053"/>
      <c r="I385" s="1412"/>
      <c r="J385" s="1413"/>
      <c r="K385" s="1415"/>
    </row>
    <row r="386">
      <c r="F386" s="1410"/>
      <c r="H386" s="1053"/>
      <c r="I386" s="1412"/>
      <c r="J386" s="1413"/>
      <c r="K386" s="1415"/>
    </row>
    <row r="387">
      <c r="F387" s="1410"/>
      <c r="H387" s="1053"/>
      <c r="I387" s="1412"/>
      <c r="J387" s="1413"/>
      <c r="K387" s="1415"/>
    </row>
    <row r="388">
      <c r="F388" s="1410"/>
      <c r="H388" s="1053"/>
      <c r="I388" s="1412"/>
      <c r="J388" s="1413"/>
      <c r="K388" s="1415"/>
    </row>
    <row r="389">
      <c r="F389" s="1410"/>
      <c r="H389" s="1053"/>
      <c r="I389" s="1412"/>
      <c r="J389" s="1413"/>
      <c r="K389" s="1415"/>
    </row>
    <row r="390">
      <c r="F390" s="1410"/>
      <c r="H390" s="1053"/>
      <c r="I390" s="1412"/>
      <c r="J390" s="1413"/>
      <c r="K390" s="1415"/>
    </row>
    <row r="391">
      <c r="F391" s="1410"/>
      <c r="H391" s="1053"/>
      <c r="I391" s="1412"/>
      <c r="J391" s="1413"/>
      <c r="K391" s="1415"/>
    </row>
    <row r="392">
      <c r="F392" s="1410"/>
      <c r="H392" s="1053"/>
      <c r="I392" s="1412"/>
      <c r="J392" s="1413"/>
      <c r="K392" s="1415"/>
    </row>
    <row r="393">
      <c r="F393" s="1410"/>
      <c r="H393" s="1053"/>
      <c r="I393" s="1412"/>
      <c r="J393" s="1413"/>
      <c r="K393" s="1415"/>
    </row>
    <row r="394">
      <c r="F394" s="1410"/>
      <c r="H394" s="1053"/>
      <c r="I394" s="1412"/>
      <c r="J394" s="1413"/>
      <c r="K394" s="1415"/>
    </row>
    <row r="395">
      <c r="F395" s="1410"/>
      <c r="H395" s="1053"/>
      <c r="I395" s="1412"/>
      <c r="J395" s="1413"/>
      <c r="K395" s="1415"/>
    </row>
    <row r="396">
      <c r="F396" s="1410"/>
      <c r="H396" s="1053"/>
      <c r="I396" s="1412"/>
      <c r="J396" s="1413"/>
      <c r="K396" s="1415"/>
    </row>
    <row r="397">
      <c r="F397" s="1410"/>
      <c r="H397" s="1053"/>
      <c r="I397" s="1412"/>
      <c r="J397" s="1413"/>
      <c r="K397" s="1415"/>
    </row>
    <row r="398">
      <c r="F398" s="1410"/>
      <c r="H398" s="1053"/>
      <c r="I398" s="1412"/>
      <c r="J398" s="1413"/>
      <c r="K398" s="1415"/>
    </row>
    <row r="399">
      <c r="F399" s="1410"/>
      <c r="H399" s="1053"/>
      <c r="I399" s="1412"/>
      <c r="J399" s="1413"/>
      <c r="K399" s="1415"/>
    </row>
    <row r="400">
      <c r="F400" s="1410"/>
      <c r="H400" s="1053"/>
      <c r="I400" s="1412"/>
      <c r="J400" s="1413"/>
      <c r="K400" s="1415"/>
    </row>
    <row r="401">
      <c r="F401" s="1410"/>
      <c r="H401" s="1053"/>
      <c r="I401" s="1412"/>
      <c r="J401" s="1413"/>
      <c r="K401" s="1415"/>
    </row>
    <row r="402">
      <c r="F402" s="1410"/>
      <c r="H402" s="1053"/>
      <c r="I402" s="1412"/>
      <c r="J402" s="1413"/>
      <c r="K402" s="1415"/>
    </row>
    <row r="403">
      <c r="F403" s="1410"/>
      <c r="H403" s="1053"/>
      <c r="I403" s="1412"/>
      <c r="J403" s="1413"/>
      <c r="K403" s="1415"/>
    </row>
    <row r="404">
      <c r="F404" s="1410"/>
      <c r="H404" s="1053"/>
      <c r="I404" s="1412"/>
      <c r="J404" s="1413"/>
      <c r="K404" s="1415"/>
    </row>
    <row r="405">
      <c r="F405" s="1410"/>
      <c r="H405" s="1053"/>
      <c r="I405" s="1412"/>
      <c r="J405" s="1413"/>
      <c r="K405" s="1415"/>
    </row>
    <row r="406">
      <c r="F406" s="1410"/>
      <c r="H406" s="1053"/>
      <c r="I406" s="1412"/>
      <c r="J406" s="1413"/>
      <c r="K406" s="1415"/>
    </row>
    <row r="407">
      <c r="F407" s="1410"/>
      <c r="H407" s="1053"/>
      <c r="I407" s="1412"/>
      <c r="J407" s="1413"/>
      <c r="K407" s="1415"/>
    </row>
    <row r="408">
      <c r="F408" s="1410"/>
      <c r="H408" s="1053"/>
      <c r="I408" s="1412"/>
      <c r="J408" s="1413"/>
      <c r="K408" s="1415"/>
    </row>
    <row r="409">
      <c r="F409" s="1410"/>
      <c r="H409" s="1053"/>
      <c r="I409" s="1412"/>
      <c r="J409" s="1413"/>
      <c r="K409" s="1415"/>
    </row>
    <row r="410">
      <c r="F410" s="1410"/>
      <c r="H410" s="1053"/>
      <c r="I410" s="1412"/>
      <c r="J410" s="1413"/>
      <c r="K410" s="1415"/>
    </row>
    <row r="411">
      <c r="F411" s="1410"/>
      <c r="H411" s="1053"/>
      <c r="I411" s="1412"/>
      <c r="J411" s="1413"/>
      <c r="K411" s="1415"/>
    </row>
    <row r="412">
      <c r="F412" s="1410"/>
      <c r="H412" s="1053"/>
      <c r="I412" s="1412"/>
      <c r="J412" s="1413"/>
      <c r="K412" s="1415"/>
    </row>
    <row r="413">
      <c r="F413" s="1410"/>
      <c r="H413" s="1053"/>
      <c r="I413" s="1412"/>
      <c r="J413" s="1413"/>
      <c r="K413" s="1415"/>
    </row>
    <row r="414">
      <c r="F414" s="1410"/>
      <c r="H414" s="1053"/>
      <c r="I414" s="1412"/>
      <c r="J414" s="1413"/>
      <c r="K414" s="1415"/>
    </row>
    <row r="415">
      <c r="F415" s="1410"/>
      <c r="H415" s="1053"/>
      <c r="I415" s="1412"/>
      <c r="J415" s="1413"/>
      <c r="K415" s="1415"/>
    </row>
    <row r="416">
      <c r="F416" s="1410"/>
      <c r="H416" s="1053"/>
      <c r="I416" s="1412"/>
      <c r="J416" s="1413"/>
      <c r="K416" s="1415"/>
    </row>
    <row r="417">
      <c r="F417" s="1410"/>
      <c r="H417" s="1053"/>
      <c r="I417" s="1412"/>
      <c r="J417" s="1413"/>
      <c r="K417" s="1415"/>
    </row>
    <row r="418">
      <c r="F418" s="1410"/>
      <c r="H418" s="1053"/>
      <c r="I418" s="1412"/>
      <c r="J418" s="1413"/>
      <c r="K418" s="1415"/>
    </row>
    <row r="419">
      <c r="F419" s="1410"/>
      <c r="H419" s="1053"/>
      <c r="I419" s="1412"/>
      <c r="J419" s="1413"/>
      <c r="K419" s="1415"/>
    </row>
    <row r="420">
      <c r="F420" s="1410"/>
      <c r="H420" s="1053"/>
      <c r="I420" s="1412"/>
      <c r="J420" s="1413"/>
      <c r="K420" s="1415"/>
    </row>
    <row r="421">
      <c r="F421" s="1410"/>
      <c r="H421" s="1053"/>
      <c r="I421" s="1412"/>
      <c r="J421" s="1413"/>
      <c r="K421" s="1415"/>
    </row>
    <row r="422">
      <c r="F422" s="1410"/>
      <c r="H422" s="1053"/>
      <c r="I422" s="1412"/>
      <c r="J422" s="1413"/>
      <c r="K422" s="1415"/>
    </row>
    <row r="423">
      <c r="F423" s="1410"/>
      <c r="H423" s="1053"/>
      <c r="I423" s="1412"/>
      <c r="J423" s="1413"/>
      <c r="K423" s="1415"/>
    </row>
    <row r="424">
      <c r="F424" s="1410"/>
      <c r="H424" s="1053"/>
      <c r="I424" s="1412"/>
      <c r="J424" s="1413"/>
      <c r="K424" s="1415"/>
    </row>
    <row r="425">
      <c r="F425" s="1410"/>
      <c r="H425" s="1053"/>
      <c r="I425" s="1412"/>
      <c r="J425" s="1413"/>
      <c r="K425" s="1415"/>
    </row>
    <row r="426">
      <c r="F426" s="1410"/>
      <c r="H426" s="1053"/>
      <c r="I426" s="1412"/>
      <c r="J426" s="1413"/>
      <c r="K426" s="1415"/>
    </row>
    <row r="427">
      <c r="F427" s="1410"/>
      <c r="H427" s="1053"/>
      <c r="I427" s="1412"/>
      <c r="J427" s="1413"/>
      <c r="K427" s="1415"/>
    </row>
    <row r="428">
      <c r="F428" s="1410"/>
      <c r="H428" s="1053"/>
      <c r="I428" s="1412"/>
      <c r="J428" s="1413"/>
      <c r="K428" s="1415"/>
    </row>
    <row r="429">
      <c r="F429" s="1410"/>
      <c r="H429" s="1053"/>
      <c r="I429" s="1412"/>
      <c r="J429" s="1413"/>
      <c r="K429" s="1415"/>
    </row>
    <row r="430">
      <c r="F430" s="1410"/>
      <c r="H430" s="1053"/>
      <c r="I430" s="1412"/>
      <c r="J430" s="1413"/>
      <c r="K430" s="1415"/>
    </row>
    <row r="431">
      <c r="F431" s="1410"/>
      <c r="H431" s="1053"/>
      <c r="I431" s="1412"/>
      <c r="J431" s="1413"/>
      <c r="K431" s="1415"/>
    </row>
    <row r="432">
      <c r="F432" s="1410"/>
      <c r="H432" s="1053"/>
      <c r="I432" s="1412"/>
      <c r="J432" s="1413"/>
      <c r="K432" s="1415"/>
    </row>
    <row r="433">
      <c r="F433" s="1410"/>
      <c r="H433" s="1053"/>
      <c r="I433" s="1412"/>
      <c r="J433" s="1413"/>
      <c r="K433" s="1415"/>
    </row>
    <row r="434">
      <c r="F434" s="1410"/>
      <c r="H434" s="1053"/>
      <c r="I434" s="1412"/>
      <c r="J434" s="1413"/>
      <c r="K434" s="1415"/>
    </row>
    <row r="435">
      <c r="F435" s="1410"/>
      <c r="H435" s="1053"/>
      <c r="I435" s="1412"/>
      <c r="J435" s="1413"/>
      <c r="K435" s="1415"/>
    </row>
    <row r="436">
      <c r="F436" s="1410"/>
      <c r="H436" s="1053"/>
      <c r="I436" s="1412"/>
      <c r="J436" s="1413"/>
      <c r="K436" s="1415"/>
    </row>
    <row r="437">
      <c r="F437" s="1410"/>
      <c r="H437" s="1053"/>
      <c r="I437" s="1412"/>
      <c r="J437" s="1413"/>
      <c r="K437" s="1415"/>
    </row>
    <row r="438">
      <c r="F438" s="1410"/>
      <c r="H438" s="1053"/>
      <c r="I438" s="1412"/>
      <c r="J438" s="1413"/>
      <c r="K438" s="1415"/>
    </row>
    <row r="439">
      <c r="F439" s="1410"/>
      <c r="H439" s="1053"/>
      <c r="I439" s="1412"/>
      <c r="J439" s="1413"/>
      <c r="K439" s="1415"/>
    </row>
    <row r="440">
      <c r="F440" s="1410"/>
      <c r="H440" s="1053"/>
      <c r="I440" s="1412"/>
      <c r="J440" s="1413"/>
      <c r="K440" s="1415"/>
    </row>
    <row r="441">
      <c r="F441" s="1410"/>
      <c r="H441" s="1053"/>
      <c r="I441" s="1412"/>
      <c r="J441" s="1413"/>
      <c r="K441" s="1415"/>
    </row>
    <row r="442">
      <c r="F442" s="1410"/>
      <c r="H442" s="1053"/>
      <c r="I442" s="1412"/>
      <c r="J442" s="1413"/>
      <c r="K442" s="1415"/>
    </row>
    <row r="443">
      <c r="F443" s="1410"/>
      <c r="H443" s="1053"/>
      <c r="I443" s="1412"/>
      <c r="J443" s="1413"/>
      <c r="K443" s="1415"/>
    </row>
    <row r="444">
      <c r="F444" s="1410"/>
      <c r="H444" s="1053"/>
      <c r="I444" s="1412"/>
      <c r="J444" s="1413"/>
      <c r="K444" s="1415"/>
    </row>
    <row r="445">
      <c r="F445" s="1410"/>
      <c r="H445" s="1053"/>
      <c r="I445" s="1412"/>
      <c r="J445" s="1413"/>
      <c r="K445" s="1415"/>
    </row>
    <row r="446">
      <c r="F446" s="1410"/>
      <c r="H446" s="1053"/>
      <c r="I446" s="1412"/>
      <c r="J446" s="1413"/>
      <c r="K446" s="1415"/>
    </row>
    <row r="447">
      <c r="F447" s="1410"/>
      <c r="H447" s="1053"/>
      <c r="I447" s="1412"/>
      <c r="J447" s="1413"/>
      <c r="K447" s="1415"/>
    </row>
    <row r="448">
      <c r="F448" s="1410"/>
      <c r="H448" s="1053"/>
      <c r="I448" s="1412"/>
      <c r="J448" s="1413"/>
      <c r="K448" s="1415"/>
    </row>
    <row r="449">
      <c r="F449" s="1410"/>
      <c r="H449" s="1053"/>
      <c r="I449" s="1412"/>
      <c r="J449" s="1413"/>
      <c r="K449" s="1415"/>
    </row>
    <row r="450">
      <c r="F450" s="1410"/>
      <c r="H450" s="1053"/>
      <c r="I450" s="1412"/>
      <c r="J450" s="1413"/>
      <c r="K450" s="1415"/>
    </row>
    <row r="451">
      <c r="F451" s="1410"/>
      <c r="H451" s="1053"/>
      <c r="I451" s="1412"/>
      <c r="J451" s="1413"/>
      <c r="K451" s="1415"/>
    </row>
    <row r="452">
      <c r="F452" s="1410"/>
      <c r="H452" s="1053"/>
      <c r="I452" s="1412"/>
      <c r="J452" s="1413"/>
      <c r="K452" s="1415"/>
    </row>
    <row r="453">
      <c r="F453" s="1410"/>
      <c r="H453" s="1053"/>
      <c r="I453" s="1412"/>
      <c r="J453" s="1413"/>
      <c r="K453" s="1415"/>
    </row>
    <row r="454">
      <c r="F454" s="1410"/>
      <c r="H454" s="1053"/>
      <c r="I454" s="1412"/>
      <c r="J454" s="1413"/>
      <c r="K454" s="1415"/>
    </row>
    <row r="455">
      <c r="F455" s="1410"/>
      <c r="H455" s="1053"/>
      <c r="I455" s="1412"/>
      <c r="J455" s="1413"/>
      <c r="K455" s="1415"/>
    </row>
    <row r="456">
      <c r="F456" s="1410"/>
      <c r="H456" s="1053"/>
      <c r="I456" s="1412"/>
      <c r="J456" s="1413"/>
      <c r="K456" s="1415"/>
    </row>
    <row r="457">
      <c r="F457" s="1410"/>
      <c r="H457" s="1053"/>
      <c r="I457" s="1412"/>
      <c r="J457" s="1413"/>
      <c r="K457" s="1415"/>
    </row>
    <row r="458">
      <c r="F458" s="1410"/>
      <c r="H458" s="1053"/>
      <c r="I458" s="1412"/>
      <c r="J458" s="1413"/>
      <c r="K458" s="1415"/>
    </row>
    <row r="459">
      <c r="F459" s="1410"/>
      <c r="H459" s="1053"/>
      <c r="I459" s="1412"/>
      <c r="J459" s="1413"/>
      <c r="K459" s="1415"/>
    </row>
    <row r="460">
      <c r="F460" s="1410"/>
      <c r="H460" s="1053"/>
      <c r="I460" s="1412"/>
      <c r="J460" s="1413"/>
      <c r="K460" s="1415"/>
    </row>
    <row r="461">
      <c r="F461" s="1410"/>
      <c r="H461" s="1053"/>
      <c r="I461" s="1412"/>
      <c r="J461" s="1413"/>
      <c r="K461" s="1415"/>
    </row>
    <row r="462">
      <c r="F462" s="1410"/>
      <c r="H462" s="1053"/>
      <c r="I462" s="1412"/>
      <c r="J462" s="1413"/>
      <c r="K462" s="1415"/>
    </row>
    <row r="463">
      <c r="F463" s="1410"/>
      <c r="H463" s="1053"/>
      <c r="I463" s="1412"/>
      <c r="J463" s="1413"/>
      <c r="K463" s="1415"/>
    </row>
    <row r="464">
      <c r="F464" s="1410"/>
      <c r="H464" s="1053"/>
      <c r="I464" s="1412"/>
      <c r="J464" s="1413"/>
      <c r="K464" s="1415"/>
    </row>
    <row r="465">
      <c r="F465" s="1410"/>
      <c r="H465" s="1053"/>
      <c r="I465" s="1412"/>
      <c r="J465" s="1413"/>
      <c r="K465" s="1415"/>
    </row>
    <row r="466">
      <c r="F466" s="1410"/>
      <c r="H466" s="1053"/>
      <c r="I466" s="1412"/>
      <c r="J466" s="1413"/>
      <c r="K466" s="1415"/>
    </row>
    <row r="467">
      <c r="F467" s="1410"/>
      <c r="H467" s="1053"/>
      <c r="I467" s="1412"/>
      <c r="J467" s="1413"/>
      <c r="K467" s="1415"/>
    </row>
    <row r="468">
      <c r="F468" s="1410"/>
      <c r="H468" s="1053"/>
      <c r="I468" s="1412"/>
      <c r="J468" s="1413"/>
      <c r="K468" s="1415"/>
    </row>
    <row r="469">
      <c r="F469" s="1410"/>
      <c r="H469" s="1053"/>
      <c r="I469" s="1412"/>
      <c r="J469" s="1413"/>
      <c r="K469" s="1415"/>
    </row>
    <row r="470">
      <c r="F470" s="1410"/>
      <c r="H470" s="1053"/>
      <c r="I470" s="1412"/>
      <c r="J470" s="1413"/>
      <c r="K470" s="1415"/>
    </row>
    <row r="471">
      <c r="F471" s="1410"/>
      <c r="H471" s="1053"/>
      <c r="I471" s="1412"/>
      <c r="J471" s="1413"/>
      <c r="K471" s="1415"/>
    </row>
    <row r="472">
      <c r="F472" s="1410"/>
      <c r="H472" s="1053"/>
      <c r="I472" s="1412"/>
      <c r="J472" s="1413"/>
      <c r="K472" s="1415"/>
    </row>
    <row r="473">
      <c r="F473" s="1410"/>
      <c r="H473" s="1053"/>
      <c r="I473" s="1412"/>
      <c r="J473" s="1413"/>
      <c r="K473" s="1415"/>
    </row>
    <row r="474">
      <c r="F474" s="1410"/>
      <c r="H474" s="1053"/>
      <c r="I474" s="1412"/>
      <c r="J474" s="1413"/>
      <c r="K474" s="1415"/>
    </row>
    <row r="475">
      <c r="F475" s="1410"/>
      <c r="H475" s="1053"/>
      <c r="I475" s="1412"/>
      <c r="J475" s="1413"/>
      <c r="K475" s="1415"/>
    </row>
    <row r="476">
      <c r="F476" s="1410"/>
      <c r="H476" s="1053"/>
      <c r="I476" s="1412"/>
      <c r="J476" s="1413"/>
      <c r="K476" s="1415"/>
    </row>
    <row r="477">
      <c r="F477" s="1410"/>
      <c r="H477" s="1053"/>
      <c r="I477" s="1412"/>
      <c r="J477" s="1413"/>
      <c r="K477" s="1415"/>
    </row>
    <row r="478">
      <c r="F478" s="1410"/>
      <c r="H478" s="1053"/>
      <c r="I478" s="1412"/>
      <c r="J478" s="1413"/>
      <c r="K478" s="1415"/>
    </row>
    <row r="479">
      <c r="F479" s="1410"/>
      <c r="H479" s="1053"/>
      <c r="I479" s="1412"/>
      <c r="J479" s="1413"/>
      <c r="K479" s="1415"/>
    </row>
    <row r="480">
      <c r="F480" s="1410"/>
      <c r="H480" s="1053"/>
      <c r="I480" s="1412"/>
      <c r="J480" s="1413"/>
      <c r="K480" s="1415"/>
    </row>
    <row r="481">
      <c r="F481" s="1410"/>
      <c r="H481" s="1053"/>
      <c r="I481" s="1412"/>
      <c r="J481" s="1413"/>
      <c r="K481" s="1415"/>
    </row>
    <row r="482">
      <c r="F482" s="1410"/>
      <c r="H482" s="1053"/>
      <c r="I482" s="1412"/>
      <c r="J482" s="1413"/>
      <c r="K482" s="1415"/>
    </row>
    <row r="483">
      <c r="F483" s="1410"/>
      <c r="H483" s="1053"/>
      <c r="I483" s="1412"/>
      <c r="J483" s="1413"/>
      <c r="K483" s="1415"/>
    </row>
    <row r="484">
      <c r="F484" s="1410"/>
      <c r="H484" s="1053"/>
      <c r="I484" s="1412"/>
      <c r="J484" s="1413"/>
      <c r="K484" s="1415"/>
    </row>
    <row r="485">
      <c r="F485" s="1410"/>
      <c r="H485" s="1053"/>
      <c r="I485" s="1412"/>
      <c r="J485" s="1413"/>
      <c r="K485" s="1415"/>
    </row>
    <row r="486">
      <c r="F486" s="1410"/>
      <c r="H486" s="1053"/>
      <c r="I486" s="1412"/>
      <c r="J486" s="1413"/>
      <c r="K486" s="1415"/>
    </row>
    <row r="487">
      <c r="F487" s="1410"/>
      <c r="H487" s="1053"/>
      <c r="I487" s="1412"/>
      <c r="J487" s="1413"/>
      <c r="K487" s="1415"/>
    </row>
    <row r="488">
      <c r="F488" s="1410"/>
      <c r="H488" s="1053"/>
      <c r="I488" s="1412"/>
      <c r="J488" s="1413"/>
      <c r="K488" s="1415"/>
    </row>
    <row r="489">
      <c r="F489" s="1410"/>
      <c r="H489" s="1053"/>
      <c r="I489" s="1412"/>
      <c r="J489" s="1413"/>
      <c r="K489" s="1415"/>
    </row>
    <row r="490">
      <c r="F490" s="1410"/>
      <c r="H490" s="1053"/>
      <c r="I490" s="1412"/>
      <c r="J490" s="1413"/>
      <c r="K490" s="1415"/>
    </row>
    <row r="491">
      <c r="F491" s="1410"/>
      <c r="H491" s="1053"/>
      <c r="I491" s="1412"/>
      <c r="J491" s="1413"/>
      <c r="K491" s="1415"/>
    </row>
    <row r="492">
      <c r="F492" s="1410"/>
      <c r="H492" s="1053"/>
      <c r="I492" s="1412"/>
      <c r="J492" s="1413"/>
      <c r="K492" s="1415"/>
    </row>
    <row r="493">
      <c r="F493" s="1410"/>
      <c r="H493" s="1053"/>
      <c r="I493" s="1412"/>
      <c r="J493" s="1413"/>
      <c r="K493" s="1415"/>
    </row>
    <row r="494">
      <c r="F494" s="1410"/>
      <c r="H494" s="1053"/>
      <c r="I494" s="1412"/>
      <c r="J494" s="1413"/>
      <c r="K494" s="1415"/>
    </row>
    <row r="495">
      <c r="F495" s="1410"/>
      <c r="H495" s="1053"/>
      <c r="I495" s="1412"/>
      <c r="J495" s="1413"/>
      <c r="K495" s="1415"/>
    </row>
    <row r="496">
      <c r="F496" s="1410"/>
      <c r="H496" s="1053"/>
      <c r="I496" s="1412"/>
      <c r="J496" s="1413"/>
      <c r="K496" s="1415"/>
    </row>
    <row r="497">
      <c r="F497" s="1410"/>
      <c r="H497" s="1053"/>
      <c r="I497" s="1412"/>
      <c r="J497" s="1413"/>
      <c r="K497" s="1415"/>
    </row>
    <row r="498">
      <c r="F498" s="1410"/>
      <c r="H498" s="1053"/>
      <c r="I498" s="1412"/>
      <c r="J498" s="1413"/>
      <c r="K498" s="1415"/>
    </row>
    <row r="499">
      <c r="F499" s="1410"/>
      <c r="H499" s="1053"/>
      <c r="I499" s="1412"/>
      <c r="J499" s="1413"/>
      <c r="K499" s="1415"/>
    </row>
    <row r="500">
      <c r="F500" s="1410"/>
      <c r="H500" s="1053"/>
      <c r="I500" s="1412"/>
      <c r="J500" s="1413"/>
      <c r="K500" s="1415"/>
    </row>
    <row r="501">
      <c r="F501" s="1410"/>
      <c r="H501" s="1053"/>
      <c r="I501" s="1412"/>
      <c r="J501" s="1413"/>
      <c r="K501" s="1415"/>
    </row>
    <row r="502">
      <c r="F502" s="1410"/>
      <c r="H502" s="1053"/>
      <c r="I502" s="1412"/>
      <c r="J502" s="1413"/>
      <c r="K502" s="1415"/>
    </row>
    <row r="503">
      <c r="F503" s="1410"/>
      <c r="H503" s="1053"/>
      <c r="I503" s="1412"/>
      <c r="J503" s="1413"/>
      <c r="K503" s="1415"/>
    </row>
    <row r="504">
      <c r="F504" s="1410"/>
      <c r="H504" s="1053"/>
      <c r="I504" s="1412"/>
      <c r="J504" s="1413"/>
      <c r="K504" s="1415"/>
    </row>
    <row r="505">
      <c r="F505" s="1410"/>
      <c r="H505" s="1053"/>
      <c r="I505" s="1412"/>
      <c r="J505" s="1413"/>
      <c r="K505" s="1415"/>
    </row>
    <row r="506">
      <c r="F506" s="1410"/>
      <c r="H506" s="1053"/>
      <c r="I506" s="1412"/>
      <c r="J506" s="1413"/>
      <c r="K506" s="1415"/>
    </row>
    <row r="507">
      <c r="F507" s="1410"/>
      <c r="H507" s="1053"/>
      <c r="I507" s="1412"/>
      <c r="J507" s="1413"/>
      <c r="K507" s="1415"/>
    </row>
    <row r="508">
      <c r="F508" s="1410"/>
      <c r="H508" s="1053"/>
      <c r="I508" s="1412"/>
      <c r="J508" s="1413"/>
      <c r="K508" s="1415"/>
    </row>
    <row r="509">
      <c r="F509" s="1410"/>
      <c r="H509" s="1053"/>
      <c r="I509" s="1412"/>
      <c r="J509" s="1413"/>
      <c r="K509" s="1415"/>
    </row>
    <row r="510">
      <c r="F510" s="1410"/>
      <c r="H510" s="1053"/>
      <c r="I510" s="1412"/>
      <c r="J510" s="1413"/>
      <c r="K510" s="1415"/>
    </row>
    <row r="511">
      <c r="F511" s="1410"/>
      <c r="H511" s="1053"/>
      <c r="I511" s="1412"/>
      <c r="J511" s="1413"/>
      <c r="K511" s="1415"/>
    </row>
    <row r="512">
      <c r="F512" s="1410"/>
      <c r="H512" s="1053"/>
      <c r="I512" s="1412"/>
      <c r="J512" s="1413"/>
      <c r="K512" s="1415"/>
    </row>
    <row r="513">
      <c r="F513" s="1410"/>
      <c r="H513" s="1053"/>
      <c r="I513" s="1412"/>
      <c r="J513" s="1413"/>
      <c r="K513" s="1415"/>
    </row>
    <row r="514">
      <c r="F514" s="1410"/>
      <c r="H514" s="1053"/>
      <c r="I514" s="1412"/>
      <c r="J514" s="1413"/>
      <c r="K514" s="1415"/>
    </row>
    <row r="515">
      <c r="F515" s="1410"/>
      <c r="H515" s="1053"/>
      <c r="I515" s="1412"/>
      <c r="J515" s="1413"/>
      <c r="K515" s="1415"/>
    </row>
    <row r="516">
      <c r="F516" s="1410"/>
      <c r="H516" s="1053"/>
      <c r="I516" s="1412"/>
      <c r="J516" s="1413"/>
      <c r="K516" s="1415"/>
    </row>
    <row r="517">
      <c r="F517" s="1410"/>
      <c r="H517" s="1053"/>
      <c r="I517" s="1412"/>
      <c r="J517" s="1413"/>
      <c r="K517" s="1415"/>
    </row>
    <row r="518">
      <c r="F518" s="1410"/>
      <c r="H518" s="1053"/>
      <c r="I518" s="1412"/>
      <c r="J518" s="1413"/>
      <c r="K518" s="1415"/>
    </row>
    <row r="519">
      <c r="F519" s="1410"/>
      <c r="H519" s="1053"/>
      <c r="I519" s="1412"/>
      <c r="J519" s="1413"/>
      <c r="K519" s="1415"/>
    </row>
    <row r="520">
      <c r="F520" s="1410"/>
      <c r="H520" s="1053"/>
      <c r="I520" s="1412"/>
      <c r="J520" s="1413"/>
      <c r="K520" s="1415"/>
    </row>
    <row r="521">
      <c r="F521" s="1410"/>
      <c r="H521" s="1053"/>
      <c r="I521" s="1412"/>
      <c r="J521" s="1413"/>
      <c r="K521" s="1415"/>
    </row>
    <row r="522">
      <c r="F522" s="1410"/>
      <c r="H522" s="1053"/>
      <c r="I522" s="1412"/>
      <c r="J522" s="1413"/>
      <c r="K522" s="1415"/>
    </row>
    <row r="523">
      <c r="F523" s="1410"/>
      <c r="H523" s="1053"/>
      <c r="I523" s="1412"/>
      <c r="J523" s="1413"/>
      <c r="K523" s="1415"/>
    </row>
    <row r="524">
      <c r="F524" s="1410"/>
      <c r="H524" s="1053"/>
      <c r="I524" s="1412"/>
      <c r="J524" s="1413"/>
      <c r="K524" s="1415"/>
    </row>
    <row r="525">
      <c r="F525" s="1410"/>
      <c r="H525" s="1053"/>
      <c r="I525" s="1412"/>
      <c r="J525" s="1413"/>
      <c r="K525" s="1415"/>
    </row>
    <row r="526">
      <c r="F526" s="1410"/>
      <c r="H526" s="1053"/>
      <c r="I526" s="1412"/>
      <c r="J526" s="1413"/>
      <c r="K526" s="1415"/>
    </row>
    <row r="527">
      <c r="F527" s="1410"/>
      <c r="H527" s="1053"/>
      <c r="I527" s="1412"/>
      <c r="J527" s="1413"/>
      <c r="K527" s="1415"/>
    </row>
    <row r="528">
      <c r="F528" s="1410"/>
      <c r="H528" s="1053"/>
      <c r="I528" s="1412"/>
      <c r="J528" s="1413"/>
      <c r="K528" s="1415"/>
    </row>
    <row r="529">
      <c r="F529" s="1410"/>
      <c r="H529" s="1053"/>
      <c r="I529" s="1412"/>
      <c r="J529" s="1413"/>
      <c r="K529" s="1415"/>
    </row>
    <row r="530">
      <c r="F530" s="1410"/>
      <c r="H530" s="1053"/>
      <c r="I530" s="1412"/>
      <c r="J530" s="1413"/>
      <c r="K530" s="1415"/>
    </row>
    <row r="531">
      <c r="F531" s="1410"/>
      <c r="H531" s="1053"/>
      <c r="I531" s="1412"/>
      <c r="J531" s="1413"/>
      <c r="K531" s="1415"/>
    </row>
    <row r="532">
      <c r="F532" s="1410"/>
      <c r="H532" s="1053"/>
      <c r="I532" s="1412"/>
      <c r="J532" s="1413"/>
      <c r="K532" s="1415"/>
    </row>
    <row r="533">
      <c r="F533" s="1410"/>
      <c r="H533" s="1053"/>
      <c r="I533" s="1412"/>
      <c r="J533" s="1413"/>
      <c r="K533" s="1415"/>
    </row>
    <row r="534">
      <c r="F534" s="1410"/>
      <c r="H534" s="1053"/>
      <c r="I534" s="1412"/>
      <c r="J534" s="1413"/>
      <c r="K534" s="1415"/>
    </row>
    <row r="535">
      <c r="F535" s="1410"/>
      <c r="H535" s="1053"/>
      <c r="I535" s="1412"/>
      <c r="J535" s="1413"/>
      <c r="K535" s="1415"/>
    </row>
    <row r="536">
      <c r="F536" s="1410"/>
      <c r="H536" s="1053"/>
      <c r="I536" s="1412"/>
      <c r="J536" s="1413"/>
      <c r="K536" s="1415"/>
    </row>
    <row r="537">
      <c r="F537" s="1410"/>
      <c r="H537" s="1053"/>
      <c r="I537" s="1412"/>
      <c r="J537" s="1413"/>
      <c r="K537" s="1415"/>
    </row>
    <row r="538">
      <c r="F538" s="1410"/>
      <c r="H538" s="1053"/>
      <c r="I538" s="1412"/>
      <c r="J538" s="1413"/>
      <c r="K538" s="1415"/>
    </row>
    <row r="539">
      <c r="F539" s="1410"/>
      <c r="H539" s="1053"/>
      <c r="I539" s="1412"/>
      <c r="J539" s="1413"/>
      <c r="K539" s="1415"/>
    </row>
    <row r="540">
      <c r="F540" s="1410"/>
      <c r="H540" s="1053"/>
      <c r="I540" s="1412"/>
      <c r="J540" s="1413"/>
      <c r="K540" s="1415"/>
    </row>
    <row r="541">
      <c r="F541" s="1410"/>
      <c r="H541" s="1053"/>
      <c r="I541" s="1412"/>
      <c r="J541" s="1413"/>
      <c r="K541" s="1415"/>
    </row>
    <row r="542">
      <c r="F542" s="1410"/>
      <c r="H542" s="1053"/>
      <c r="I542" s="1412"/>
      <c r="J542" s="1413"/>
      <c r="K542" s="1415"/>
    </row>
    <row r="543">
      <c r="F543" s="1410"/>
      <c r="H543" s="1053"/>
      <c r="I543" s="1412"/>
      <c r="J543" s="1413"/>
      <c r="K543" s="1415"/>
    </row>
    <row r="544">
      <c r="F544" s="1410"/>
      <c r="H544" s="1053"/>
      <c r="I544" s="1412"/>
      <c r="J544" s="1413"/>
      <c r="K544" s="1415"/>
    </row>
    <row r="545">
      <c r="F545" s="1410"/>
      <c r="H545" s="1053"/>
      <c r="I545" s="1412"/>
      <c r="J545" s="1413"/>
      <c r="K545" s="1415"/>
    </row>
    <row r="546">
      <c r="F546" s="1410"/>
      <c r="H546" s="1053"/>
      <c r="I546" s="1412"/>
      <c r="J546" s="1413"/>
      <c r="K546" s="1415"/>
    </row>
    <row r="547">
      <c r="F547" s="1410"/>
      <c r="H547" s="1053"/>
      <c r="I547" s="1412"/>
      <c r="J547" s="1413"/>
      <c r="K547" s="1415"/>
    </row>
    <row r="548">
      <c r="F548" s="1410"/>
      <c r="H548" s="1053"/>
      <c r="I548" s="1412"/>
      <c r="J548" s="1413"/>
      <c r="K548" s="1415"/>
    </row>
    <row r="549">
      <c r="F549" s="1410"/>
      <c r="H549" s="1053"/>
      <c r="I549" s="1412"/>
      <c r="J549" s="1413"/>
      <c r="K549" s="1415"/>
    </row>
    <row r="550">
      <c r="F550" s="1410"/>
      <c r="H550" s="1053"/>
      <c r="I550" s="1412"/>
      <c r="J550" s="1413"/>
      <c r="K550" s="1415"/>
    </row>
    <row r="551">
      <c r="F551" s="1410"/>
      <c r="H551" s="1053"/>
      <c r="I551" s="1412"/>
      <c r="J551" s="1413"/>
      <c r="K551" s="1415"/>
    </row>
    <row r="552">
      <c r="F552" s="1410"/>
      <c r="H552" s="1053"/>
      <c r="I552" s="1412"/>
      <c r="J552" s="1413"/>
      <c r="K552" s="1415"/>
    </row>
    <row r="553">
      <c r="F553" s="1410"/>
      <c r="H553" s="1053"/>
      <c r="I553" s="1412"/>
      <c r="J553" s="1413"/>
      <c r="K553" s="1415"/>
    </row>
    <row r="554">
      <c r="F554" s="1410"/>
      <c r="H554" s="1053"/>
      <c r="I554" s="1412"/>
      <c r="J554" s="1413"/>
      <c r="K554" s="1415"/>
    </row>
    <row r="555">
      <c r="F555" s="1410"/>
      <c r="H555" s="1053"/>
      <c r="I555" s="1412"/>
      <c r="J555" s="1413"/>
      <c r="K555" s="1415"/>
    </row>
    <row r="556">
      <c r="F556" s="1410"/>
      <c r="H556" s="1053"/>
      <c r="I556" s="1412"/>
      <c r="J556" s="1413"/>
      <c r="K556" s="1415"/>
    </row>
    <row r="557">
      <c r="F557" s="1410"/>
      <c r="H557" s="1053"/>
      <c r="I557" s="1412"/>
      <c r="J557" s="1413"/>
      <c r="K557" s="1415"/>
    </row>
    <row r="558">
      <c r="F558" s="1410"/>
      <c r="H558" s="1053"/>
      <c r="I558" s="1412"/>
      <c r="J558" s="1413"/>
      <c r="K558" s="1415"/>
    </row>
    <row r="559">
      <c r="F559" s="1410"/>
      <c r="H559" s="1053"/>
      <c r="I559" s="1412"/>
      <c r="J559" s="1413"/>
      <c r="K559" s="1415"/>
    </row>
    <row r="560">
      <c r="F560" s="1410"/>
      <c r="H560" s="1053"/>
      <c r="I560" s="1412"/>
      <c r="J560" s="1413"/>
      <c r="K560" s="1415"/>
    </row>
    <row r="561">
      <c r="F561" s="1410"/>
      <c r="H561" s="1053"/>
      <c r="I561" s="1412"/>
      <c r="J561" s="1413"/>
      <c r="K561" s="1415"/>
    </row>
    <row r="562">
      <c r="F562" s="1410"/>
      <c r="H562" s="1053"/>
      <c r="I562" s="1412"/>
      <c r="J562" s="1413"/>
      <c r="K562" s="1415"/>
    </row>
    <row r="563">
      <c r="F563" s="1410"/>
      <c r="H563" s="1053"/>
      <c r="I563" s="1412"/>
      <c r="J563" s="1413"/>
      <c r="K563" s="1415"/>
    </row>
    <row r="564">
      <c r="F564" s="1410"/>
      <c r="H564" s="1053"/>
      <c r="I564" s="1412"/>
      <c r="J564" s="1413"/>
      <c r="K564" s="1415"/>
    </row>
    <row r="565">
      <c r="F565" s="1410"/>
      <c r="H565" s="1053"/>
      <c r="I565" s="1412"/>
      <c r="J565" s="1413"/>
      <c r="K565" s="1415"/>
    </row>
    <row r="566">
      <c r="F566" s="1410"/>
      <c r="H566" s="1053"/>
      <c r="I566" s="1412"/>
      <c r="J566" s="1413"/>
      <c r="K566" s="1415"/>
    </row>
    <row r="567">
      <c r="F567" s="1410"/>
      <c r="H567" s="1053"/>
      <c r="I567" s="1412"/>
      <c r="J567" s="1413"/>
      <c r="K567" s="1415"/>
    </row>
    <row r="568">
      <c r="F568" s="1410"/>
      <c r="H568" s="1053"/>
      <c r="I568" s="1412"/>
      <c r="J568" s="1413"/>
      <c r="K568" s="1415"/>
    </row>
    <row r="569">
      <c r="F569" s="1410"/>
      <c r="H569" s="1053"/>
      <c r="I569" s="1412"/>
      <c r="J569" s="1413"/>
      <c r="K569" s="1415"/>
    </row>
    <row r="570">
      <c r="F570" s="1410"/>
      <c r="H570" s="1053"/>
      <c r="I570" s="1412"/>
      <c r="J570" s="1413"/>
      <c r="K570" s="1415"/>
    </row>
    <row r="571">
      <c r="F571" s="1410"/>
      <c r="H571" s="1053"/>
      <c r="I571" s="1412"/>
      <c r="J571" s="1413"/>
      <c r="K571" s="1415"/>
    </row>
    <row r="572">
      <c r="F572" s="1410"/>
      <c r="H572" s="1053"/>
      <c r="I572" s="1412"/>
      <c r="J572" s="1413"/>
      <c r="K572" s="1415"/>
    </row>
    <row r="573">
      <c r="F573" s="1410"/>
      <c r="H573" s="1053"/>
      <c r="I573" s="1412"/>
      <c r="J573" s="1413"/>
      <c r="K573" s="1415"/>
    </row>
    <row r="574">
      <c r="F574" s="1410"/>
      <c r="H574" s="1053"/>
      <c r="I574" s="1412"/>
      <c r="J574" s="1413"/>
      <c r="K574" s="1415"/>
    </row>
    <row r="575">
      <c r="F575" s="1410"/>
      <c r="H575" s="1053"/>
      <c r="I575" s="1412"/>
      <c r="J575" s="1413"/>
      <c r="K575" s="1415"/>
    </row>
    <row r="576">
      <c r="F576" s="1410"/>
      <c r="H576" s="1053"/>
      <c r="I576" s="1412"/>
      <c r="J576" s="1413"/>
      <c r="K576" s="1415"/>
    </row>
    <row r="577">
      <c r="F577" s="1410"/>
      <c r="H577" s="1053"/>
      <c r="I577" s="1412"/>
      <c r="J577" s="1413"/>
      <c r="K577" s="1415"/>
    </row>
    <row r="578">
      <c r="F578" s="1410"/>
      <c r="H578" s="1053"/>
      <c r="I578" s="1412"/>
      <c r="J578" s="1413"/>
      <c r="K578" s="1415"/>
    </row>
    <row r="579">
      <c r="F579" s="1410"/>
      <c r="H579" s="1053"/>
      <c r="I579" s="1412"/>
      <c r="J579" s="1413"/>
      <c r="K579" s="1415"/>
    </row>
    <row r="580">
      <c r="F580" s="1410"/>
      <c r="H580" s="1053"/>
      <c r="I580" s="1412"/>
      <c r="J580" s="1413"/>
      <c r="K580" s="1415"/>
    </row>
    <row r="581">
      <c r="F581" s="1410"/>
      <c r="H581" s="1053"/>
      <c r="I581" s="1412"/>
      <c r="J581" s="1413"/>
      <c r="K581" s="1415"/>
    </row>
    <row r="582">
      <c r="F582" s="1410"/>
      <c r="H582" s="1053"/>
      <c r="I582" s="1412"/>
      <c r="J582" s="1413"/>
      <c r="K582" s="1415"/>
    </row>
    <row r="583">
      <c r="F583" s="1410"/>
      <c r="H583" s="1053"/>
      <c r="I583" s="1412"/>
      <c r="J583" s="1413"/>
      <c r="K583" s="1415"/>
    </row>
    <row r="584">
      <c r="F584" s="1410"/>
      <c r="H584" s="1053"/>
      <c r="I584" s="1412"/>
      <c r="J584" s="1413"/>
      <c r="K584" s="1415"/>
    </row>
    <row r="585">
      <c r="F585" s="1410"/>
      <c r="H585" s="1053"/>
      <c r="I585" s="1412"/>
      <c r="J585" s="1413"/>
      <c r="K585" s="1415"/>
    </row>
    <row r="586">
      <c r="F586" s="1410"/>
      <c r="H586" s="1053"/>
      <c r="I586" s="1412"/>
      <c r="J586" s="1413"/>
      <c r="K586" s="1415"/>
    </row>
    <row r="587">
      <c r="F587" s="1410"/>
      <c r="H587" s="1053"/>
      <c r="I587" s="1412"/>
      <c r="J587" s="1413"/>
      <c r="K587" s="1415"/>
    </row>
    <row r="588">
      <c r="F588" s="1410"/>
      <c r="H588" s="1053"/>
      <c r="I588" s="1412"/>
      <c r="J588" s="1413"/>
      <c r="K588" s="1415"/>
    </row>
    <row r="589">
      <c r="F589" s="1410"/>
      <c r="H589" s="1053"/>
      <c r="I589" s="1412"/>
      <c r="J589" s="1413"/>
      <c r="K589" s="1415"/>
    </row>
    <row r="590">
      <c r="F590" s="1410"/>
      <c r="H590" s="1053"/>
      <c r="I590" s="1412"/>
      <c r="J590" s="1413"/>
      <c r="K590" s="1415"/>
    </row>
    <row r="591">
      <c r="F591" s="1410"/>
      <c r="H591" s="1053"/>
      <c r="I591" s="1412"/>
      <c r="J591" s="1413"/>
      <c r="K591" s="1415"/>
    </row>
    <row r="592">
      <c r="F592" s="1410"/>
      <c r="H592" s="1053"/>
      <c r="I592" s="1412"/>
      <c r="J592" s="1413"/>
      <c r="K592" s="1415"/>
    </row>
    <row r="593">
      <c r="F593" s="1410"/>
      <c r="H593" s="1053"/>
      <c r="I593" s="1412"/>
      <c r="J593" s="1413"/>
      <c r="K593" s="1415"/>
    </row>
    <row r="594">
      <c r="F594" s="1410"/>
      <c r="H594" s="1053"/>
      <c r="I594" s="1412"/>
      <c r="J594" s="1413"/>
      <c r="K594" s="1415"/>
    </row>
    <row r="595">
      <c r="F595" s="1410"/>
      <c r="H595" s="1053"/>
      <c r="I595" s="1412"/>
      <c r="J595" s="1413"/>
      <c r="K595" s="1415"/>
    </row>
    <row r="596">
      <c r="F596" s="1410"/>
      <c r="H596" s="1053"/>
      <c r="I596" s="1412"/>
      <c r="J596" s="1413"/>
      <c r="K596" s="1415"/>
    </row>
    <row r="597">
      <c r="F597" s="1410"/>
      <c r="H597" s="1053"/>
      <c r="I597" s="1412"/>
      <c r="J597" s="1413"/>
      <c r="K597" s="1415"/>
    </row>
    <row r="598">
      <c r="F598" s="1410"/>
      <c r="H598" s="1053"/>
      <c r="I598" s="1412"/>
      <c r="J598" s="1413"/>
      <c r="K598" s="1415"/>
    </row>
    <row r="599">
      <c r="F599" s="1410"/>
      <c r="H599" s="1053"/>
      <c r="I599" s="1412"/>
      <c r="J599" s="1413"/>
      <c r="K599" s="1415"/>
    </row>
    <row r="600">
      <c r="F600" s="1410"/>
      <c r="H600" s="1053"/>
      <c r="I600" s="1412"/>
      <c r="J600" s="1413"/>
      <c r="K600" s="1415"/>
    </row>
    <row r="601">
      <c r="F601" s="1410"/>
      <c r="H601" s="1053"/>
      <c r="I601" s="1412"/>
      <c r="J601" s="1413"/>
      <c r="K601" s="1415"/>
    </row>
    <row r="602">
      <c r="F602" s="1410"/>
      <c r="H602" s="1053"/>
      <c r="I602" s="1412"/>
      <c r="J602" s="1413"/>
      <c r="K602" s="1415"/>
    </row>
    <row r="603">
      <c r="F603" s="1410"/>
      <c r="H603" s="1053"/>
      <c r="I603" s="1412"/>
      <c r="J603" s="1413"/>
      <c r="K603" s="1415"/>
    </row>
    <row r="604">
      <c r="F604" s="1410"/>
      <c r="H604" s="1053"/>
      <c r="I604" s="1412"/>
      <c r="J604" s="1413"/>
      <c r="K604" s="1415"/>
    </row>
    <row r="605">
      <c r="F605" s="1410"/>
      <c r="H605" s="1053"/>
      <c r="I605" s="1412"/>
      <c r="J605" s="1413"/>
      <c r="K605" s="1415"/>
    </row>
    <row r="606">
      <c r="F606" s="1410"/>
      <c r="H606" s="1053"/>
      <c r="I606" s="1412"/>
      <c r="J606" s="1413"/>
      <c r="K606" s="1415"/>
    </row>
    <row r="607">
      <c r="F607" s="1410"/>
      <c r="H607" s="1053"/>
      <c r="I607" s="1412"/>
      <c r="J607" s="1413"/>
      <c r="K607" s="1415"/>
    </row>
    <row r="608">
      <c r="F608" s="1410"/>
      <c r="H608" s="1053"/>
      <c r="I608" s="1412"/>
      <c r="J608" s="1413"/>
      <c r="K608" s="1415"/>
    </row>
    <row r="609">
      <c r="F609" s="1410"/>
      <c r="H609" s="1053"/>
      <c r="I609" s="1412"/>
      <c r="J609" s="1413"/>
      <c r="K609" s="1415"/>
    </row>
    <row r="610">
      <c r="F610" s="1410"/>
      <c r="H610" s="1053"/>
      <c r="I610" s="1412"/>
      <c r="J610" s="1413"/>
      <c r="K610" s="1415"/>
    </row>
    <row r="611">
      <c r="F611" s="1410"/>
      <c r="H611" s="1053"/>
      <c r="I611" s="1412"/>
      <c r="J611" s="1413"/>
      <c r="K611" s="1415"/>
    </row>
    <row r="612">
      <c r="F612" s="1410"/>
      <c r="H612" s="1053"/>
      <c r="I612" s="1412"/>
      <c r="J612" s="1413"/>
      <c r="K612" s="1415"/>
    </row>
    <row r="613">
      <c r="F613" s="1410"/>
      <c r="H613" s="1053"/>
      <c r="I613" s="1412"/>
      <c r="J613" s="1413"/>
      <c r="K613" s="1415"/>
    </row>
    <row r="614">
      <c r="F614" s="1410"/>
      <c r="H614" s="1053"/>
      <c r="I614" s="1412"/>
      <c r="J614" s="1413"/>
      <c r="K614" s="1415"/>
    </row>
    <row r="615">
      <c r="F615" s="1410"/>
      <c r="H615" s="1053"/>
      <c r="I615" s="1412"/>
      <c r="J615" s="1413"/>
      <c r="K615" s="1415"/>
    </row>
    <row r="616">
      <c r="F616" s="1410"/>
      <c r="H616" s="1053"/>
      <c r="I616" s="1412"/>
      <c r="J616" s="1413"/>
      <c r="K616" s="1415"/>
    </row>
    <row r="617">
      <c r="F617" s="1410"/>
      <c r="H617" s="1053"/>
      <c r="I617" s="1412"/>
      <c r="J617" s="1413"/>
      <c r="K617" s="1415"/>
    </row>
    <row r="618">
      <c r="F618" s="1410"/>
      <c r="H618" s="1053"/>
      <c r="I618" s="1412"/>
      <c r="J618" s="1413"/>
      <c r="K618" s="1415"/>
    </row>
    <row r="619">
      <c r="F619" s="1410"/>
      <c r="H619" s="1053"/>
      <c r="I619" s="1412"/>
      <c r="J619" s="1413"/>
      <c r="K619" s="1415"/>
    </row>
    <row r="620">
      <c r="F620" s="1410"/>
      <c r="H620" s="1053"/>
      <c r="I620" s="1412"/>
      <c r="J620" s="1413"/>
      <c r="K620" s="1415"/>
    </row>
    <row r="621">
      <c r="F621" s="1410"/>
      <c r="H621" s="1053"/>
      <c r="I621" s="1412"/>
      <c r="J621" s="1413"/>
      <c r="K621" s="1415"/>
    </row>
    <row r="622">
      <c r="F622" s="1410"/>
      <c r="H622" s="1053"/>
      <c r="I622" s="1412"/>
      <c r="J622" s="1413"/>
      <c r="K622" s="1415"/>
    </row>
    <row r="623">
      <c r="F623" s="1410"/>
      <c r="H623" s="1053"/>
      <c r="I623" s="1412"/>
      <c r="J623" s="1413"/>
      <c r="K623" s="1415"/>
    </row>
    <row r="624">
      <c r="F624" s="1410"/>
      <c r="H624" s="1053"/>
      <c r="I624" s="1412"/>
      <c r="J624" s="1413"/>
      <c r="K624" s="1415"/>
    </row>
    <row r="625">
      <c r="F625" s="1410"/>
      <c r="H625" s="1053"/>
      <c r="I625" s="1412"/>
      <c r="J625" s="1413"/>
      <c r="K625" s="1415"/>
    </row>
    <row r="626">
      <c r="F626" s="1410"/>
      <c r="H626" s="1053"/>
      <c r="I626" s="1412"/>
      <c r="J626" s="1413"/>
      <c r="K626" s="1415"/>
    </row>
    <row r="627">
      <c r="F627" s="1410"/>
      <c r="H627" s="1053"/>
      <c r="I627" s="1412"/>
      <c r="J627" s="1413"/>
      <c r="K627" s="1415"/>
    </row>
    <row r="628">
      <c r="F628" s="1410"/>
      <c r="H628" s="1053"/>
      <c r="I628" s="1412"/>
      <c r="J628" s="1413"/>
      <c r="K628" s="1415"/>
    </row>
    <row r="629">
      <c r="F629" s="1410"/>
      <c r="H629" s="1053"/>
      <c r="I629" s="1412"/>
      <c r="J629" s="1413"/>
      <c r="K629" s="1415"/>
    </row>
    <row r="630">
      <c r="F630" s="1410"/>
      <c r="H630" s="1053"/>
      <c r="I630" s="1412"/>
      <c r="J630" s="1413"/>
      <c r="K630" s="1415"/>
    </row>
    <row r="631">
      <c r="F631" s="1410"/>
      <c r="H631" s="1053"/>
      <c r="I631" s="1412"/>
      <c r="J631" s="1413"/>
      <c r="K631" s="1415"/>
    </row>
    <row r="632">
      <c r="F632" s="1410"/>
      <c r="H632" s="1053"/>
      <c r="I632" s="1412"/>
      <c r="J632" s="1413"/>
      <c r="K632" s="1415"/>
    </row>
    <row r="633">
      <c r="F633" s="1410"/>
      <c r="H633" s="1053"/>
      <c r="I633" s="1412"/>
      <c r="J633" s="1413"/>
      <c r="K633" s="1415"/>
    </row>
    <row r="634">
      <c r="F634" s="1410"/>
      <c r="H634" s="1053"/>
      <c r="I634" s="1412"/>
      <c r="J634" s="1413"/>
      <c r="K634" s="1415"/>
    </row>
    <row r="635">
      <c r="F635" s="1410"/>
      <c r="H635" s="1053"/>
      <c r="I635" s="1412"/>
      <c r="J635" s="1413"/>
      <c r="K635" s="1415"/>
    </row>
    <row r="636">
      <c r="F636" s="1410"/>
      <c r="H636" s="1053"/>
      <c r="I636" s="1412"/>
      <c r="J636" s="1413"/>
      <c r="K636" s="1415"/>
    </row>
    <row r="637">
      <c r="F637" s="1410"/>
      <c r="H637" s="1053"/>
      <c r="I637" s="1412"/>
      <c r="J637" s="1413"/>
      <c r="K637" s="1415"/>
    </row>
    <row r="638">
      <c r="F638" s="1410"/>
      <c r="H638" s="1053"/>
      <c r="I638" s="1412"/>
      <c r="J638" s="1413"/>
      <c r="K638" s="1415"/>
    </row>
    <row r="639">
      <c r="F639" s="1410"/>
      <c r="H639" s="1053"/>
      <c r="I639" s="1412"/>
      <c r="J639" s="1413"/>
      <c r="K639" s="1415"/>
    </row>
    <row r="640">
      <c r="F640" s="1410"/>
      <c r="H640" s="1053"/>
      <c r="I640" s="1412"/>
      <c r="J640" s="1413"/>
      <c r="K640" s="1415"/>
    </row>
    <row r="641">
      <c r="F641" s="1410"/>
      <c r="H641" s="1053"/>
      <c r="I641" s="1412"/>
      <c r="J641" s="1413"/>
      <c r="K641" s="1415"/>
    </row>
    <row r="642">
      <c r="F642" s="1410"/>
      <c r="H642" s="1053"/>
      <c r="I642" s="1412"/>
      <c r="J642" s="1413"/>
      <c r="K642" s="1415"/>
    </row>
    <row r="643">
      <c r="F643" s="1410"/>
      <c r="H643" s="1053"/>
      <c r="I643" s="1412"/>
      <c r="J643" s="1413"/>
      <c r="K643" s="1415"/>
    </row>
    <row r="644">
      <c r="F644" s="1410"/>
      <c r="H644" s="1053"/>
      <c r="I644" s="1412"/>
      <c r="J644" s="1413"/>
      <c r="K644" s="1415"/>
    </row>
    <row r="645">
      <c r="F645" s="1410"/>
      <c r="H645" s="1053"/>
      <c r="I645" s="1412"/>
      <c r="J645" s="1413"/>
      <c r="K645" s="1415"/>
    </row>
    <row r="646">
      <c r="F646" s="1410"/>
      <c r="H646" s="1053"/>
      <c r="I646" s="1412"/>
      <c r="J646" s="1413"/>
      <c r="K646" s="1415"/>
    </row>
    <row r="647">
      <c r="F647" s="1410"/>
      <c r="H647" s="1053"/>
      <c r="I647" s="1412"/>
      <c r="J647" s="1413"/>
      <c r="K647" s="1415"/>
    </row>
    <row r="648">
      <c r="F648" s="1410"/>
      <c r="H648" s="1053"/>
      <c r="I648" s="1412"/>
      <c r="J648" s="1413"/>
      <c r="K648" s="1415"/>
    </row>
    <row r="649">
      <c r="F649" s="1410"/>
      <c r="H649" s="1053"/>
      <c r="I649" s="1412"/>
      <c r="J649" s="1413"/>
      <c r="K649" s="1415"/>
    </row>
    <row r="650">
      <c r="F650" s="1410"/>
      <c r="H650" s="1053"/>
      <c r="I650" s="1412"/>
      <c r="J650" s="1413"/>
      <c r="K650" s="1415"/>
    </row>
    <row r="651">
      <c r="F651" s="1410"/>
      <c r="H651" s="1053"/>
      <c r="I651" s="1412"/>
      <c r="J651" s="1413"/>
      <c r="K651" s="1415"/>
    </row>
    <row r="652">
      <c r="F652" s="1410"/>
      <c r="H652" s="1053"/>
      <c r="I652" s="1412"/>
      <c r="J652" s="1413"/>
      <c r="K652" s="1415"/>
    </row>
    <row r="653">
      <c r="F653" s="1410"/>
      <c r="H653" s="1053"/>
      <c r="I653" s="1412"/>
      <c r="J653" s="1413"/>
      <c r="K653" s="1415"/>
    </row>
    <row r="654">
      <c r="F654" s="1410"/>
      <c r="H654" s="1053"/>
      <c r="I654" s="1412"/>
      <c r="J654" s="1413"/>
      <c r="K654" s="1415"/>
    </row>
    <row r="655">
      <c r="F655" s="1410"/>
      <c r="H655" s="1053"/>
      <c r="I655" s="1412"/>
      <c r="J655" s="1413"/>
      <c r="K655" s="1415"/>
    </row>
    <row r="656">
      <c r="F656" s="1410"/>
      <c r="H656" s="1053"/>
      <c r="I656" s="1412"/>
      <c r="J656" s="1413"/>
      <c r="K656" s="1415"/>
    </row>
    <row r="657">
      <c r="F657" s="1410"/>
      <c r="H657" s="1053"/>
      <c r="I657" s="1412"/>
      <c r="J657" s="1413"/>
      <c r="K657" s="1415"/>
    </row>
    <row r="658">
      <c r="F658" s="1410"/>
      <c r="H658" s="1053"/>
      <c r="I658" s="1412"/>
      <c r="J658" s="1413"/>
      <c r="K658" s="1415"/>
    </row>
    <row r="659">
      <c r="F659" s="1410"/>
      <c r="H659" s="1053"/>
      <c r="I659" s="1412"/>
      <c r="J659" s="1413"/>
      <c r="K659" s="1415"/>
    </row>
    <row r="660">
      <c r="F660" s="1410"/>
      <c r="H660" s="1053"/>
      <c r="I660" s="1412"/>
      <c r="J660" s="1413"/>
      <c r="K660" s="1415"/>
    </row>
    <row r="661">
      <c r="F661" s="1410"/>
      <c r="H661" s="1053"/>
      <c r="I661" s="1412"/>
      <c r="J661" s="1413"/>
      <c r="K661" s="1415"/>
    </row>
    <row r="662">
      <c r="F662" s="1410"/>
      <c r="H662" s="1053"/>
      <c r="I662" s="1412"/>
      <c r="J662" s="1413"/>
      <c r="K662" s="1415"/>
    </row>
    <row r="663">
      <c r="F663" s="1410"/>
      <c r="H663" s="1053"/>
      <c r="I663" s="1412"/>
      <c r="J663" s="1413"/>
      <c r="K663" s="1415"/>
    </row>
    <row r="664">
      <c r="F664" s="1410"/>
      <c r="H664" s="1053"/>
      <c r="I664" s="1412"/>
      <c r="J664" s="1413"/>
      <c r="K664" s="1415"/>
    </row>
    <row r="665">
      <c r="F665" s="1410"/>
      <c r="H665" s="1053"/>
      <c r="I665" s="1412"/>
      <c r="J665" s="1413"/>
      <c r="K665" s="1415"/>
    </row>
    <row r="666">
      <c r="F666" s="1410"/>
      <c r="H666" s="1053"/>
      <c r="I666" s="1412"/>
      <c r="J666" s="1413"/>
      <c r="K666" s="1415"/>
    </row>
    <row r="667">
      <c r="F667" s="1410"/>
      <c r="H667" s="1053"/>
      <c r="I667" s="1412"/>
      <c r="J667" s="1413"/>
      <c r="K667" s="1415"/>
    </row>
    <row r="668">
      <c r="F668" s="1410"/>
      <c r="H668" s="1053"/>
      <c r="I668" s="1412"/>
      <c r="J668" s="1413"/>
      <c r="K668" s="1415"/>
    </row>
    <row r="669">
      <c r="F669" s="1410"/>
      <c r="H669" s="1053"/>
      <c r="I669" s="1412"/>
      <c r="J669" s="1413"/>
      <c r="K669" s="1415"/>
    </row>
    <row r="670">
      <c r="F670" s="1410"/>
      <c r="H670" s="1053"/>
      <c r="I670" s="1412"/>
      <c r="J670" s="1413"/>
      <c r="K670" s="1415"/>
    </row>
    <row r="671">
      <c r="F671" s="1410"/>
      <c r="H671" s="1053"/>
      <c r="I671" s="1412"/>
      <c r="J671" s="1413"/>
      <c r="K671" s="1415"/>
    </row>
    <row r="672">
      <c r="F672" s="1410"/>
      <c r="H672" s="1053"/>
      <c r="I672" s="1412"/>
      <c r="J672" s="1413"/>
      <c r="K672" s="1415"/>
    </row>
    <row r="673">
      <c r="F673" s="1410"/>
      <c r="H673" s="1053"/>
      <c r="I673" s="1412"/>
      <c r="J673" s="1413"/>
      <c r="K673" s="1415"/>
    </row>
    <row r="674">
      <c r="F674" s="1410"/>
      <c r="H674" s="1053"/>
      <c r="I674" s="1412"/>
      <c r="J674" s="1413"/>
      <c r="K674" s="1415"/>
    </row>
    <row r="675">
      <c r="F675" s="1410"/>
      <c r="H675" s="1053"/>
      <c r="I675" s="1412"/>
      <c r="J675" s="1413"/>
      <c r="K675" s="1415"/>
    </row>
    <row r="676">
      <c r="F676" s="1410"/>
      <c r="H676" s="1053"/>
      <c r="I676" s="1412"/>
      <c r="J676" s="1413"/>
      <c r="K676" s="1415"/>
    </row>
    <row r="677">
      <c r="F677" s="1410"/>
      <c r="H677" s="1053"/>
      <c r="I677" s="1412"/>
      <c r="J677" s="1413"/>
      <c r="K677" s="1415"/>
    </row>
    <row r="678">
      <c r="F678" s="1410"/>
      <c r="H678" s="1053"/>
      <c r="I678" s="1412"/>
      <c r="J678" s="1413"/>
      <c r="K678" s="1415"/>
    </row>
    <row r="679">
      <c r="F679" s="1410"/>
      <c r="H679" s="1053"/>
      <c r="I679" s="1412"/>
      <c r="J679" s="1413"/>
      <c r="K679" s="1415"/>
    </row>
    <row r="680">
      <c r="F680" s="1410"/>
      <c r="H680" s="1053"/>
      <c r="I680" s="1412"/>
      <c r="J680" s="1413"/>
      <c r="K680" s="1415"/>
    </row>
    <row r="681">
      <c r="F681" s="1410"/>
      <c r="H681" s="1053"/>
      <c r="I681" s="1412"/>
      <c r="J681" s="1413"/>
      <c r="K681" s="1415"/>
    </row>
    <row r="682">
      <c r="F682" s="1410"/>
      <c r="H682" s="1053"/>
      <c r="I682" s="1412"/>
      <c r="J682" s="1413"/>
      <c r="K682" s="1415"/>
    </row>
    <row r="683">
      <c r="F683" s="1410"/>
      <c r="H683" s="1053"/>
      <c r="I683" s="1412"/>
      <c r="J683" s="1413"/>
      <c r="K683" s="1415"/>
    </row>
    <row r="684">
      <c r="F684" s="1410"/>
      <c r="H684" s="1053"/>
      <c r="I684" s="1412"/>
      <c r="J684" s="1413"/>
      <c r="K684" s="1415"/>
    </row>
    <row r="685">
      <c r="F685" s="1410"/>
      <c r="H685" s="1053"/>
      <c r="I685" s="1412"/>
      <c r="J685" s="1413"/>
      <c r="K685" s="1415"/>
    </row>
    <row r="686">
      <c r="F686" s="1410"/>
      <c r="H686" s="1053"/>
      <c r="I686" s="1412"/>
      <c r="J686" s="1413"/>
      <c r="K686" s="1415"/>
    </row>
    <row r="687">
      <c r="F687" s="1410"/>
      <c r="H687" s="1053"/>
      <c r="I687" s="1412"/>
      <c r="J687" s="1413"/>
      <c r="K687" s="1415"/>
    </row>
    <row r="688">
      <c r="F688" s="1410"/>
      <c r="H688" s="1053"/>
      <c r="I688" s="1412"/>
      <c r="J688" s="1413"/>
      <c r="K688" s="1415"/>
    </row>
    <row r="689">
      <c r="F689" s="1410"/>
      <c r="H689" s="1053"/>
      <c r="I689" s="1412"/>
      <c r="J689" s="1413"/>
      <c r="K689" s="1415"/>
    </row>
    <row r="690">
      <c r="F690" s="1410"/>
      <c r="H690" s="1053"/>
      <c r="I690" s="1412"/>
      <c r="J690" s="1413"/>
      <c r="K690" s="1415"/>
    </row>
    <row r="691">
      <c r="F691" s="1410"/>
      <c r="H691" s="1053"/>
      <c r="I691" s="1412"/>
      <c r="J691" s="1413"/>
      <c r="K691" s="1415"/>
    </row>
    <row r="692">
      <c r="F692" s="1410"/>
      <c r="H692" s="1053"/>
      <c r="I692" s="1412"/>
      <c r="J692" s="1413"/>
      <c r="K692" s="1415"/>
    </row>
    <row r="693">
      <c r="F693" s="1410"/>
      <c r="H693" s="1053"/>
      <c r="I693" s="1412"/>
      <c r="J693" s="1413"/>
      <c r="K693" s="1415"/>
    </row>
    <row r="694">
      <c r="F694" s="1410"/>
      <c r="H694" s="1053"/>
      <c r="I694" s="1412"/>
      <c r="J694" s="1413"/>
      <c r="K694" s="1415"/>
    </row>
    <row r="695">
      <c r="F695" s="1410"/>
      <c r="H695" s="1053"/>
      <c r="I695" s="1412"/>
      <c r="J695" s="1413"/>
      <c r="K695" s="1415"/>
    </row>
    <row r="696">
      <c r="F696" s="1410"/>
      <c r="H696" s="1053"/>
      <c r="I696" s="1412"/>
      <c r="J696" s="1413"/>
      <c r="K696" s="1415"/>
    </row>
    <row r="697">
      <c r="F697" s="1410"/>
      <c r="H697" s="1053"/>
      <c r="I697" s="1412"/>
      <c r="J697" s="1413"/>
      <c r="K697" s="1415"/>
    </row>
    <row r="698">
      <c r="F698" s="1410"/>
      <c r="H698" s="1053"/>
      <c r="I698" s="1412"/>
      <c r="J698" s="1413"/>
      <c r="K698" s="1415"/>
    </row>
    <row r="699">
      <c r="F699" s="1410"/>
      <c r="H699" s="1053"/>
      <c r="I699" s="1412"/>
      <c r="J699" s="1413"/>
      <c r="K699" s="1415"/>
    </row>
    <row r="700">
      <c r="F700" s="1410"/>
      <c r="H700" s="1053"/>
      <c r="I700" s="1412"/>
      <c r="J700" s="1413"/>
      <c r="K700" s="1415"/>
    </row>
    <row r="701">
      <c r="F701" s="1410"/>
      <c r="H701" s="1053"/>
      <c r="I701" s="1412"/>
      <c r="J701" s="1413"/>
      <c r="K701" s="1415"/>
    </row>
    <row r="702">
      <c r="F702" s="1410"/>
      <c r="H702" s="1053"/>
      <c r="I702" s="1412"/>
      <c r="J702" s="1413"/>
      <c r="K702" s="1415"/>
    </row>
    <row r="703">
      <c r="F703" s="1410"/>
      <c r="H703" s="1053"/>
      <c r="I703" s="1412"/>
      <c r="J703" s="1413"/>
      <c r="K703" s="1415"/>
    </row>
    <row r="704">
      <c r="F704" s="1410"/>
      <c r="H704" s="1053"/>
      <c r="I704" s="1412"/>
      <c r="J704" s="1413"/>
      <c r="K704" s="1415"/>
    </row>
    <row r="705">
      <c r="F705" s="1410"/>
      <c r="H705" s="1053"/>
      <c r="I705" s="1412"/>
      <c r="J705" s="1413"/>
      <c r="K705" s="1415"/>
    </row>
    <row r="706">
      <c r="F706" s="1410"/>
      <c r="H706" s="1053"/>
      <c r="I706" s="1412"/>
      <c r="J706" s="1413"/>
      <c r="K706" s="1415"/>
    </row>
    <row r="707">
      <c r="F707" s="1410"/>
      <c r="H707" s="1053"/>
      <c r="I707" s="1412"/>
      <c r="J707" s="1413"/>
      <c r="K707" s="1415"/>
    </row>
    <row r="708">
      <c r="F708" s="1410"/>
      <c r="H708" s="1053"/>
      <c r="I708" s="1412"/>
      <c r="J708" s="1413"/>
      <c r="K708" s="1415"/>
    </row>
    <row r="709">
      <c r="F709" s="1410"/>
      <c r="H709" s="1053"/>
      <c r="I709" s="1412"/>
      <c r="J709" s="1413"/>
      <c r="K709" s="1415"/>
    </row>
    <row r="710">
      <c r="F710" s="1410"/>
      <c r="H710" s="1053"/>
      <c r="I710" s="1412"/>
      <c r="J710" s="1413"/>
      <c r="K710" s="1415"/>
    </row>
    <row r="711">
      <c r="F711" s="1410"/>
      <c r="H711" s="1053"/>
      <c r="I711" s="1412"/>
      <c r="J711" s="1413"/>
      <c r="K711" s="1415"/>
    </row>
    <row r="712">
      <c r="F712" s="1410"/>
      <c r="H712" s="1053"/>
      <c r="I712" s="1412"/>
      <c r="J712" s="1413"/>
      <c r="K712" s="1415"/>
    </row>
    <row r="713">
      <c r="F713" s="1410"/>
      <c r="H713" s="1053"/>
      <c r="I713" s="1412"/>
      <c r="J713" s="1413"/>
      <c r="K713" s="1415"/>
    </row>
    <row r="714">
      <c r="F714" s="1410"/>
      <c r="H714" s="1053"/>
      <c r="I714" s="1412"/>
      <c r="J714" s="1413"/>
      <c r="K714" s="1415"/>
    </row>
    <row r="715">
      <c r="F715" s="1410"/>
      <c r="H715" s="1053"/>
      <c r="I715" s="1412"/>
      <c r="J715" s="1413"/>
      <c r="K715" s="1415"/>
    </row>
    <row r="716">
      <c r="F716" s="1410"/>
      <c r="H716" s="1053"/>
      <c r="I716" s="1412"/>
      <c r="J716" s="1413"/>
      <c r="K716" s="1415"/>
    </row>
    <row r="717">
      <c r="F717" s="1410"/>
      <c r="H717" s="1053"/>
      <c r="I717" s="1412"/>
      <c r="J717" s="1413"/>
      <c r="K717" s="1415"/>
    </row>
    <row r="718">
      <c r="F718" s="1410"/>
      <c r="H718" s="1053"/>
      <c r="I718" s="1412"/>
      <c r="J718" s="1413"/>
      <c r="K718" s="1415"/>
    </row>
    <row r="719">
      <c r="F719" s="1410"/>
      <c r="H719" s="1053"/>
      <c r="I719" s="1412"/>
      <c r="J719" s="1413"/>
      <c r="K719" s="1415"/>
    </row>
    <row r="720">
      <c r="F720" s="1410"/>
      <c r="H720" s="1053"/>
      <c r="I720" s="1412"/>
      <c r="J720" s="1413"/>
      <c r="K720" s="1415"/>
    </row>
    <row r="721">
      <c r="F721" s="1410"/>
      <c r="H721" s="1053"/>
      <c r="I721" s="1412"/>
      <c r="J721" s="1413"/>
      <c r="K721" s="1415"/>
    </row>
    <row r="722">
      <c r="F722" s="1410"/>
      <c r="H722" s="1053"/>
      <c r="I722" s="1412"/>
      <c r="J722" s="1413"/>
      <c r="K722" s="1415"/>
    </row>
    <row r="723">
      <c r="F723" s="1410"/>
      <c r="H723" s="1053"/>
      <c r="I723" s="1412"/>
      <c r="J723" s="1413"/>
      <c r="K723" s="1415"/>
    </row>
    <row r="724">
      <c r="F724" s="1410"/>
      <c r="H724" s="1053"/>
      <c r="I724" s="1412"/>
      <c r="J724" s="1413"/>
      <c r="K724" s="1415"/>
    </row>
    <row r="725">
      <c r="F725" s="1410"/>
      <c r="H725" s="1053"/>
      <c r="I725" s="1412"/>
      <c r="J725" s="1413"/>
      <c r="K725" s="1415"/>
    </row>
    <row r="726">
      <c r="F726" s="1410"/>
      <c r="H726" s="1053"/>
      <c r="I726" s="1412"/>
      <c r="J726" s="1413"/>
      <c r="K726" s="1415"/>
    </row>
    <row r="727">
      <c r="F727" s="1410"/>
      <c r="H727" s="1053"/>
      <c r="I727" s="1412"/>
      <c r="J727" s="1413"/>
      <c r="K727" s="1415"/>
    </row>
    <row r="728">
      <c r="F728" s="1410"/>
      <c r="H728" s="1053"/>
      <c r="I728" s="1412"/>
      <c r="J728" s="1413"/>
      <c r="K728" s="1415"/>
    </row>
    <row r="729">
      <c r="F729" s="1410"/>
      <c r="H729" s="1053"/>
      <c r="I729" s="1412"/>
      <c r="J729" s="1413"/>
      <c r="K729" s="1415"/>
    </row>
    <row r="730">
      <c r="F730" s="1410"/>
      <c r="H730" s="1053"/>
      <c r="I730" s="1412"/>
      <c r="J730" s="1413"/>
      <c r="K730" s="1415"/>
    </row>
    <row r="731">
      <c r="F731" s="1410"/>
      <c r="H731" s="1053"/>
      <c r="I731" s="1412"/>
      <c r="J731" s="1413"/>
      <c r="K731" s="1415"/>
    </row>
    <row r="732">
      <c r="F732" s="1410"/>
      <c r="H732" s="1053"/>
      <c r="I732" s="1412"/>
      <c r="J732" s="1413"/>
      <c r="K732" s="1415"/>
    </row>
    <row r="733">
      <c r="F733" s="1410"/>
      <c r="H733" s="1053"/>
      <c r="I733" s="1412"/>
      <c r="J733" s="1413"/>
      <c r="K733" s="1415"/>
    </row>
    <row r="734">
      <c r="F734" s="1410"/>
      <c r="H734" s="1053"/>
      <c r="I734" s="1412"/>
      <c r="J734" s="1413"/>
      <c r="K734" s="1415"/>
    </row>
    <row r="735">
      <c r="F735" s="1410"/>
      <c r="H735" s="1053"/>
      <c r="I735" s="1412"/>
      <c r="J735" s="1413"/>
      <c r="K735" s="1415"/>
    </row>
    <row r="736">
      <c r="F736" s="1410"/>
      <c r="H736" s="1053"/>
      <c r="I736" s="1412"/>
      <c r="J736" s="1413"/>
      <c r="K736" s="1415"/>
    </row>
    <row r="737">
      <c r="F737" s="1410"/>
      <c r="H737" s="1053"/>
      <c r="I737" s="1412"/>
      <c r="J737" s="1413"/>
      <c r="K737" s="1415"/>
    </row>
    <row r="738">
      <c r="F738" s="1410"/>
      <c r="H738" s="1053"/>
      <c r="I738" s="1412"/>
      <c r="J738" s="1413"/>
      <c r="K738" s="1415"/>
    </row>
    <row r="739">
      <c r="F739" s="1410"/>
      <c r="H739" s="1053"/>
      <c r="I739" s="1412"/>
      <c r="J739" s="1413"/>
      <c r="K739" s="1415"/>
    </row>
    <row r="740">
      <c r="F740" s="1410"/>
      <c r="H740" s="1053"/>
      <c r="I740" s="1412"/>
      <c r="J740" s="1413"/>
      <c r="K740" s="1415"/>
    </row>
    <row r="741">
      <c r="F741" s="1410"/>
      <c r="H741" s="1053"/>
      <c r="I741" s="1412"/>
      <c r="J741" s="1413"/>
      <c r="K741" s="1415"/>
    </row>
    <row r="742">
      <c r="F742" s="1410"/>
      <c r="H742" s="1053"/>
      <c r="I742" s="1412"/>
      <c r="J742" s="1413"/>
      <c r="K742" s="1415"/>
    </row>
    <row r="743">
      <c r="F743" s="1410"/>
      <c r="H743" s="1053"/>
      <c r="I743" s="1412"/>
      <c r="J743" s="1413"/>
      <c r="K743" s="1415"/>
    </row>
    <row r="744">
      <c r="F744" s="1410"/>
      <c r="H744" s="1053"/>
      <c r="I744" s="1412"/>
      <c r="J744" s="1413"/>
      <c r="K744" s="1415"/>
    </row>
    <row r="745">
      <c r="F745" s="1410"/>
      <c r="H745" s="1053"/>
      <c r="I745" s="1412"/>
      <c r="J745" s="1413"/>
      <c r="K745" s="1415"/>
    </row>
    <row r="746">
      <c r="F746" s="1410"/>
      <c r="H746" s="1053"/>
      <c r="I746" s="1412"/>
      <c r="J746" s="1413"/>
      <c r="K746" s="1415"/>
    </row>
    <row r="747">
      <c r="F747" s="1410"/>
      <c r="H747" s="1053"/>
      <c r="I747" s="1412"/>
      <c r="J747" s="1413"/>
      <c r="K747" s="1415"/>
    </row>
    <row r="748">
      <c r="F748" s="1410"/>
      <c r="H748" s="1053"/>
      <c r="I748" s="1412"/>
      <c r="J748" s="1413"/>
      <c r="K748" s="1415"/>
    </row>
    <row r="749">
      <c r="F749" s="1410"/>
      <c r="H749" s="1053"/>
      <c r="I749" s="1412"/>
      <c r="J749" s="1413"/>
      <c r="K749" s="1415"/>
    </row>
    <row r="750">
      <c r="F750" s="1410"/>
      <c r="H750" s="1053"/>
      <c r="I750" s="1412"/>
      <c r="J750" s="1413"/>
      <c r="K750" s="1415"/>
    </row>
    <row r="751">
      <c r="F751" s="1410"/>
      <c r="H751" s="1053"/>
      <c r="I751" s="1412"/>
      <c r="J751" s="1413"/>
      <c r="K751" s="1415"/>
    </row>
    <row r="752">
      <c r="F752" s="1410"/>
      <c r="H752" s="1053"/>
      <c r="I752" s="1412"/>
      <c r="J752" s="1413"/>
      <c r="K752" s="1415"/>
    </row>
    <row r="753">
      <c r="F753" s="1410"/>
      <c r="H753" s="1053"/>
      <c r="I753" s="1412"/>
      <c r="J753" s="1413"/>
      <c r="K753" s="1415"/>
    </row>
    <row r="754">
      <c r="F754" s="1410"/>
      <c r="H754" s="1053"/>
      <c r="I754" s="1412"/>
      <c r="J754" s="1413"/>
      <c r="K754" s="1415"/>
    </row>
    <row r="755">
      <c r="F755" s="1410"/>
      <c r="H755" s="1053"/>
      <c r="I755" s="1412"/>
      <c r="J755" s="1413"/>
      <c r="K755" s="1415"/>
    </row>
    <row r="756">
      <c r="F756" s="1410"/>
      <c r="H756" s="1053"/>
      <c r="I756" s="1412"/>
      <c r="J756" s="1413"/>
      <c r="K756" s="1415"/>
    </row>
    <row r="757">
      <c r="F757" s="1410"/>
      <c r="H757" s="1053"/>
      <c r="I757" s="1412"/>
      <c r="J757" s="1413"/>
      <c r="K757" s="1415"/>
    </row>
    <row r="758">
      <c r="F758" s="1410"/>
      <c r="H758" s="1053"/>
      <c r="I758" s="1412"/>
      <c r="J758" s="1413"/>
      <c r="K758" s="1415"/>
    </row>
    <row r="759">
      <c r="F759" s="1410"/>
      <c r="H759" s="1053"/>
      <c r="I759" s="1412"/>
      <c r="J759" s="1413"/>
      <c r="K759" s="1415"/>
    </row>
    <row r="760">
      <c r="F760" s="1410"/>
      <c r="H760" s="1053"/>
      <c r="I760" s="1412"/>
      <c r="J760" s="1413"/>
      <c r="K760" s="1415"/>
    </row>
    <row r="761">
      <c r="F761" s="1410"/>
      <c r="H761" s="1053"/>
      <c r="I761" s="1412"/>
      <c r="J761" s="1413"/>
      <c r="K761" s="1415"/>
    </row>
    <row r="762">
      <c r="F762" s="1410"/>
      <c r="H762" s="1053"/>
      <c r="I762" s="1412"/>
      <c r="J762" s="1413"/>
      <c r="K762" s="1415"/>
    </row>
    <row r="763">
      <c r="F763" s="1410"/>
      <c r="H763" s="1053"/>
      <c r="I763" s="1412"/>
      <c r="J763" s="1413"/>
      <c r="K763" s="1415"/>
    </row>
    <row r="764">
      <c r="F764" s="1410"/>
      <c r="H764" s="1053"/>
      <c r="I764" s="1412"/>
      <c r="J764" s="1413"/>
      <c r="K764" s="1415"/>
    </row>
    <row r="765">
      <c r="F765" s="1410"/>
      <c r="H765" s="1053"/>
      <c r="I765" s="1412"/>
      <c r="J765" s="1413"/>
      <c r="K765" s="1415"/>
    </row>
    <row r="766">
      <c r="F766" s="1410"/>
      <c r="H766" s="1053"/>
      <c r="I766" s="1412"/>
      <c r="J766" s="1413"/>
      <c r="K766" s="1415"/>
    </row>
    <row r="767">
      <c r="F767" s="1410"/>
      <c r="H767" s="1053"/>
      <c r="I767" s="1412"/>
      <c r="J767" s="1413"/>
      <c r="K767" s="1415"/>
    </row>
    <row r="768">
      <c r="F768" s="1410"/>
      <c r="H768" s="1053"/>
      <c r="I768" s="1412"/>
      <c r="J768" s="1413"/>
      <c r="K768" s="1415"/>
    </row>
    <row r="769">
      <c r="F769" s="1410"/>
      <c r="H769" s="1053"/>
      <c r="I769" s="1412"/>
      <c r="J769" s="1413"/>
      <c r="K769" s="1415"/>
    </row>
    <row r="770">
      <c r="F770" s="1410"/>
      <c r="H770" s="1053"/>
      <c r="I770" s="1412"/>
      <c r="J770" s="1413"/>
      <c r="K770" s="1415"/>
    </row>
    <row r="771">
      <c r="F771" s="1410"/>
      <c r="H771" s="1053"/>
      <c r="I771" s="1412"/>
      <c r="J771" s="1413"/>
      <c r="K771" s="1415"/>
    </row>
    <row r="772">
      <c r="F772" s="1410"/>
      <c r="H772" s="1053"/>
      <c r="I772" s="1412"/>
      <c r="J772" s="1413"/>
      <c r="K772" s="1415"/>
    </row>
    <row r="773">
      <c r="F773" s="1410"/>
      <c r="H773" s="1053"/>
      <c r="I773" s="1412"/>
      <c r="J773" s="1413"/>
      <c r="K773" s="1415"/>
    </row>
    <row r="774">
      <c r="F774" s="1410"/>
      <c r="H774" s="1053"/>
      <c r="I774" s="1412"/>
      <c r="J774" s="1413"/>
      <c r="K774" s="1415"/>
    </row>
    <row r="775">
      <c r="F775" s="1410"/>
      <c r="H775" s="1053"/>
      <c r="I775" s="1412"/>
      <c r="J775" s="1413"/>
      <c r="K775" s="1415"/>
    </row>
    <row r="776">
      <c r="F776" s="1410"/>
      <c r="H776" s="1053"/>
      <c r="I776" s="1412"/>
      <c r="J776" s="1413"/>
      <c r="K776" s="1415"/>
    </row>
    <row r="777">
      <c r="F777" s="1410"/>
      <c r="H777" s="1053"/>
      <c r="I777" s="1412"/>
      <c r="J777" s="1413"/>
      <c r="K777" s="1415"/>
    </row>
    <row r="778">
      <c r="F778" s="1410"/>
      <c r="H778" s="1053"/>
      <c r="I778" s="1412"/>
      <c r="J778" s="1413"/>
      <c r="K778" s="1415"/>
    </row>
    <row r="779">
      <c r="F779" s="1410"/>
      <c r="H779" s="1053"/>
      <c r="I779" s="1412"/>
      <c r="J779" s="1413"/>
      <c r="K779" s="1415"/>
    </row>
    <row r="780">
      <c r="F780" s="1410"/>
      <c r="H780" s="1053"/>
      <c r="I780" s="1412"/>
      <c r="J780" s="1413"/>
      <c r="K780" s="1415"/>
    </row>
    <row r="781">
      <c r="F781" s="1410"/>
      <c r="H781" s="1053"/>
      <c r="I781" s="1412"/>
      <c r="J781" s="1413"/>
      <c r="K781" s="1415"/>
    </row>
    <row r="782">
      <c r="F782" s="1410"/>
      <c r="H782" s="1053"/>
      <c r="I782" s="1412"/>
      <c r="J782" s="1413"/>
      <c r="K782" s="1415"/>
    </row>
    <row r="783">
      <c r="F783" s="1410"/>
      <c r="H783" s="1053"/>
      <c r="I783" s="1412"/>
      <c r="J783" s="1413"/>
      <c r="K783" s="1415"/>
    </row>
    <row r="784">
      <c r="F784" s="1410"/>
      <c r="H784" s="1053"/>
      <c r="I784" s="1412"/>
      <c r="J784" s="1413"/>
      <c r="K784" s="1415"/>
    </row>
    <row r="785">
      <c r="F785" s="1410"/>
      <c r="H785" s="1053"/>
      <c r="I785" s="1412"/>
      <c r="J785" s="1413"/>
      <c r="K785" s="1415"/>
    </row>
    <row r="786">
      <c r="F786" s="1410"/>
      <c r="H786" s="1053"/>
      <c r="I786" s="1412"/>
      <c r="J786" s="1413"/>
      <c r="K786" s="1415"/>
    </row>
    <row r="787">
      <c r="F787" s="1410"/>
      <c r="H787" s="1053"/>
      <c r="I787" s="1412"/>
      <c r="J787" s="1413"/>
      <c r="K787" s="1415"/>
    </row>
    <row r="788">
      <c r="F788" s="1410"/>
      <c r="H788" s="1053"/>
      <c r="I788" s="1412"/>
      <c r="J788" s="1413"/>
      <c r="K788" s="1415"/>
    </row>
    <row r="789">
      <c r="F789" s="1410"/>
      <c r="H789" s="1053"/>
      <c r="I789" s="1412"/>
      <c r="J789" s="1413"/>
      <c r="K789" s="1415"/>
    </row>
    <row r="790">
      <c r="F790" s="1410"/>
      <c r="H790" s="1053"/>
      <c r="I790" s="1412"/>
      <c r="J790" s="1413"/>
      <c r="K790" s="1415"/>
    </row>
    <row r="791">
      <c r="F791" s="1410"/>
      <c r="H791" s="1053"/>
      <c r="I791" s="1412"/>
      <c r="J791" s="1413"/>
      <c r="K791" s="1415"/>
    </row>
    <row r="792">
      <c r="F792" s="1410"/>
      <c r="H792" s="1053"/>
      <c r="I792" s="1412"/>
      <c r="J792" s="1413"/>
      <c r="K792" s="1415"/>
    </row>
    <row r="793">
      <c r="F793" s="1410"/>
      <c r="H793" s="1053"/>
      <c r="I793" s="1412"/>
      <c r="J793" s="1413"/>
      <c r="K793" s="1415"/>
    </row>
    <row r="794">
      <c r="F794" s="1410"/>
      <c r="H794" s="1053"/>
      <c r="I794" s="1412"/>
      <c r="J794" s="1413"/>
      <c r="K794" s="1415"/>
    </row>
    <row r="795">
      <c r="F795" s="1410"/>
      <c r="H795" s="1053"/>
      <c r="I795" s="1412"/>
      <c r="J795" s="1413"/>
      <c r="K795" s="1415"/>
    </row>
    <row r="796">
      <c r="F796" s="1410"/>
      <c r="H796" s="1053"/>
      <c r="I796" s="1412"/>
      <c r="J796" s="1413"/>
      <c r="K796" s="1415"/>
    </row>
    <row r="797">
      <c r="F797" s="1410"/>
      <c r="H797" s="1053"/>
      <c r="I797" s="1412"/>
      <c r="J797" s="1413"/>
      <c r="K797" s="1415"/>
    </row>
    <row r="798">
      <c r="F798" s="1410"/>
      <c r="H798" s="1053"/>
      <c r="I798" s="1412"/>
      <c r="J798" s="1413"/>
      <c r="K798" s="1415"/>
    </row>
    <row r="799">
      <c r="F799" s="1410"/>
      <c r="H799" s="1053"/>
      <c r="I799" s="1412"/>
      <c r="J799" s="1413"/>
      <c r="K799" s="1415"/>
    </row>
    <row r="800">
      <c r="F800" s="1410"/>
      <c r="H800" s="1053"/>
      <c r="I800" s="1412"/>
      <c r="J800" s="1413"/>
      <c r="K800" s="1415"/>
    </row>
    <row r="801">
      <c r="F801" s="1410"/>
      <c r="H801" s="1053"/>
      <c r="I801" s="1412"/>
      <c r="J801" s="1413"/>
      <c r="K801" s="1415"/>
    </row>
    <row r="802">
      <c r="F802" s="1410"/>
      <c r="H802" s="1053"/>
      <c r="I802" s="1412"/>
      <c r="J802" s="1413"/>
      <c r="K802" s="1415"/>
    </row>
    <row r="803">
      <c r="F803" s="1410"/>
      <c r="H803" s="1053"/>
      <c r="I803" s="1412"/>
      <c r="J803" s="1413"/>
      <c r="K803" s="1415"/>
    </row>
    <row r="804">
      <c r="F804" s="1410"/>
      <c r="H804" s="1053"/>
      <c r="I804" s="1412"/>
      <c r="J804" s="1413"/>
      <c r="K804" s="1415"/>
    </row>
    <row r="805">
      <c r="F805" s="1410"/>
      <c r="H805" s="1053"/>
      <c r="I805" s="1412"/>
      <c r="J805" s="1413"/>
      <c r="K805" s="1415"/>
    </row>
    <row r="806">
      <c r="F806" s="1410"/>
      <c r="H806" s="1053"/>
      <c r="I806" s="1412"/>
      <c r="J806" s="1413"/>
      <c r="K806" s="1415"/>
    </row>
    <row r="807">
      <c r="F807" s="1410"/>
      <c r="H807" s="1053"/>
      <c r="I807" s="1412"/>
      <c r="J807" s="1413"/>
      <c r="K807" s="1415"/>
    </row>
    <row r="808">
      <c r="F808" s="1410"/>
      <c r="H808" s="1053"/>
      <c r="I808" s="1412"/>
      <c r="J808" s="1413"/>
      <c r="K808" s="1415"/>
    </row>
    <row r="809">
      <c r="F809" s="1410"/>
      <c r="H809" s="1053"/>
      <c r="I809" s="1412"/>
      <c r="J809" s="1413"/>
      <c r="K809" s="1415"/>
    </row>
    <row r="810">
      <c r="F810" s="1410"/>
      <c r="H810" s="1053"/>
      <c r="I810" s="1412"/>
      <c r="J810" s="1413"/>
      <c r="K810" s="1415"/>
    </row>
    <row r="811">
      <c r="F811" s="1410"/>
      <c r="H811" s="1053"/>
      <c r="I811" s="1412"/>
      <c r="J811" s="1413"/>
      <c r="K811" s="1415"/>
    </row>
    <row r="812">
      <c r="F812" s="1410"/>
      <c r="H812" s="1053"/>
      <c r="I812" s="1412"/>
      <c r="J812" s="1413"/>
      <c r="K812" s="1415"/>
    </row>
    <row r="813">
      <c r="F813" s="1410"/>
      <c r="H813" s="1053"/>
      <c r="I813" s="1412"/>
      <c r="J813" s="1413"/>
      <c r="K813" s="1415"/>
    </row>
    <row r="814">
      <c r="F814" s="1410"/>
      <c r="H814" s="1053"/>
      <c r="I814" s="1412"/>
      <c r="J814" s="1413"/>
      <c r="K814" s="1415"/>
    </row>
    <row r="815">
      <c r="F815" s="1410"/>
      <c r="H815" s="1053"/>
      <c r="I815" s="1412"/>
      <c r="J815" s="1413"/>
      <c r="K815" s="1415"/>
    </row>
    <row r="816">
      <c r="F816" s="1410"/>
      <c r="H816" s="1053"/>
      <c r="I816" s="1412"/>
      <c r="J816" s="1413"/>
      <c r="K816" s="1415"/>
    </row>
    <row r="817">
      <c r="F817" s="1410"/>
      <c r="H817" s="1053"/>
      <c r="I817" s="1412"/>
      <c r="J817" s="1413"/>
      <c r="K817" s="1415"/>
    </row>
    <row r="818">
      <c r="F818" s="1410"/>
      <c r="H818" s="1053"/>
      <c r="I818" s="1412"/>
      <c r="J818" s="1413"/>
      <c r="K818" s="1415"/>
    </row>
    <row r="819">
      <c r="F819" s="1410"/>
      <c r="H819" s="1053"/>
      <c r="I819" s="1412"/>
      <c r="J819" s="1413"/>
      <c r="K819" s="1415"/>
    </row>
    <row r="820">
      <c r="F820" s="1410"/>
      <c r="H820" s="1053"/>
      <c r="I820" s="1412"/>
      <c r="J820" s="1413"/>
      <c r="K820" s="1415"/>
    </row>
    <row r="821">
      <c r="F821" s="1410"/>
      <c r="H821" s="1053"/>
      <c r="I821" s="1412"/>
      <c r="J821" s="1413"/>
      <c r="K821" s="1415"/>
    </row>
    <row r="822">
      <c r="F822" s="1410"/>
      <c r="H822" s="1053"/>
      <c r="I822" s="1412"/>
      <c r="J822" s="1413"/>
      <c r="K822" s="1415"/>
    </row>
    <row r="823">
      <c r="F823" s="1410"/>
      <c r="H823" s="1053"/>
      <c r="I823" s="1412"/>
      <c r="J823" s="1413"/>
      <c r="K823" s="1415"/>
    </row>
    <row r="824">
      <c r="F824" s="1410"/>
      <c r="H824" s="1053"/>
      <c r="I824" s="1412"/>
      <c r="J824" s="1413"/>
      <c r="K824" s="1415"/>
    </row>
    <row r="825">
      <c r="F825" s="1410"/>
      <c r="H825" s="1053"/>
      <c r="I825" s="1412"/>
      <c r="J825" s="1413"/>
      <c r="K825" s="1415"/>
    </row>
    <row r="826">
      <c r="F826" s="1410"/>
      <c r="H826" s="1053"/>
      <c r="I826" s="1412"/>
      <c r="J826" s="1413"/>
      <c r="K826" s="1415"/>
    </row>
    <row r="827">
      <c r="F827" s="1410"/>
      <c r="H827" s="1053"/>
      <c r="I827" s="1412"/>
      <c r="J827" s="1413"/>
      <c r="K827" s="1415"/>
    </row>
    <row r="828">
      <c r="F828" s="1410"/>
      <c r="H828" s="1053"/>
      <c r="I828" s="1412"/>
      <c r="J828" s="1413"/>
      <c r="K828" s="1415"/>
    </row>
    <row r="829">
      <c r="F829" s="1410"/>
      <c r="H829" s="1053"/>
      <c r="I829" s="1412"/>
      <c r="J829" s="1413"/>
      <c r="K829" s="1415"/>
    </row>
    <row r="830">
      <c r="F830" s="1410"/>
      <c r="H830" s="1053"/>
      <c r="I830" s="1412"/>
      <c r="J830" s="1413"/>
      <c r="K830" s="1415"/>
    </row>
    <row r="831">
      <c r="F831" s="1410"/>
      <c r="H831" s="1053"/>
      <c r="I831" s="1412"/>
      <c r="J831" s="1413"/>
      <c r="K831" s="1415"/>
    </row>
    <row r="832">
      <c r="F832" s="1410"/>
      <c r="H832" s="1053"/>
      <c r="I832" s="1412"/>
      <c r="J832" s="1413"/>
      <c r="K832" s="1415"/>
    </row>
    <row r="833">
      <c r="F833" s="1410"/>
      <c r="H833" s="1053"/>
      <c r="I833" s="1412"/>
      <c r="J833" s="1413"/>
      <c r="K833" s="1415"/>
    </row>
    <row r="834">
      <c r="F834" s="1410"/>
      <c r="H834" s="1053"/>
      <c r="I834" s="1412"/>
      <c r="J834" s="1413"/>
      <c r="K834" s="1415"/>
    </row>
    <row r="835">
      <c r="F835" s="1410"/>
      <c r="H835" s="1053"/>
      <c r="I835" s="1412"/>
      <c r="J835" s="1413"/>
      <c r="K835" s="1415"/>
    </row>
    <row r="836">
      <c r="F836" s="1410"/>
      <c r="H836" s="1053"/>
      <c r="I836" s="1412"/>
      <c r="J836" s="1413"/>
      <c r="K836" s="1415"/>
    </row>
    <row r="837">
      <c r="F837" s="1410"/>
      <c r="H837" s="1053"/>
      <c r="I837" s="1412"/>
      <c r="J837" s="1413"/>
      <c r="K837" s="1415"/>
    </row>
    <row r="838">
      <c r="F838" s="1410"/>
      <c r="H838" s="1053"/>
      <c r="I838" s="1412"/>
      <c r="J838" s="1413"/>
      <c r="K838" s="1415"/>
    </row>
    <row r="839">
      <c r="F839" s="1410"/>
      <c r="H839" s="1053"/>
      <c r="I839" s="1412"/>
      <c r="J839" s="1413"/>
      <c r="K839" s="1415"/>
    </row>
    <row r="840">
      <c r="F840" s="1410"/>
      <c r="H840" s="1053"/>
      <c r="I840" s="1412"/>
      <c r="J840" s="1413"/>
      <c r="K840" s="1415"/>
    </row>
    <row r="841">
      <c r="F841" s="1410"/>
      <c r="H841" s="1053"/>
      <c r="I841" s="1412"/>
      <c r="J841" s="1413"/>
      <c r="K841" s="1415"/>
    </row>
    <row r="842">
      <c r="F842" s="1410"/>
      <c r="H842" s="1053"/>
      <c r="I842" s="1412"/>
      <c r="J842" s="1413"/>
      <c r="K842" s="1415"/>
    </row>
    <row r="843">
      <c r="F843" s="1410"/>
      <c r="H843" s="1053"/>
      <c r="I843" s="1412"/>
      <c r="J843" s="1413"/>
      <c r="K843" s="1415"/>
    </row>
    <row r="844">
      <c r="F844" s="1410"/>
      <c r="H844" s="1053"/>
      <c r="I844" s="1412"/>
      <c r="J844" s="1413"/>
      <c r="K844" s="1415"/>
    </row>
    <row r="845">
      <c r="F845" s="1410"/>
      <c r="H845" s="1053"/>
      <c r="I845" s="1412"/>
      <c r="J845" s="1413"/>
      <c r="K845" s="1415"/>
    </row>
    <row r="846">
      <c r="F846" s="1410"/>
      <c r="H846" s="1053"/>
      <c r="I846" s="1412"/>
      <c r="J846" s="1413"/>
      <c r="K846" s="1415"/>
    </row>
    <row r="847">
      <c r="F847" s="1410"/>
      <c r="H847" s="1053"/>
      <c r="I847" s="1412"/>
      <c r="J847" s="1413"/>
      <c r="K847" s="1415"/>
    </row>
    <row r="848">
      <c r="F848" s="1410"/>
      <c r="H848" s="1053"/>
      <c r="I848" s="1412"/>
      <c r="J848" s="1413"/>
      <c r="K848" s="1415"/>
    </row>
    <row r="849">
      <c r="F849" s="1410"/>
      <c r="H849" s="1053"/>
      <c r="I849" s="1412"/>
      <c r="J849" s="1413"/>
      <c r="K849" s="1415"/>
    </row>
    <row r="850">
      <c r="F850" s="1410"/>
      <c r="H850" s="1053"/>
      <c r="I850" s="1412"/>
      <c r="J850" s="1413"/>
      <c r="K850" s="1415"/>
    </row>
    <row r="851">
      <c r="F851" s="1410"/>
      <c r="H851" s="1053"/>
      <c r="I851" s="1412"/>
      <c r="J851" s="1413"/>
      <c r="K851" s="1415"/>
    </row>
    <row r="852">
      <c r="F852" s="1410"/>
      <c r="H852" s="1053"/>
      <c r="I852" s="1412"/>
      <c r="J852" s="1413"/>
      <c r="K852" s="1415"/>
    </row>
    <row r="853">
      <c r="F853" s="1410"/>
      <c r="H853" s="1053"/>
      <c r="I853" s="1412"/>
      <c r="J853" s="1413"/>
      <c r="K853" s="1415"/>
    </row>
    <row r="854">
      <c r="F854" s="1410"/>
      <c r="H854" s="1053"/>
      <c r="I854" s="1412"/>
      <c r="J854" s="1413"/>
      <c r="K854" s="1415"/>
    </row>
    <row r="855">
      <c r="F855" s="1410"/>
      <c r="H855" s="1053"/>
      <c r="I855" s="1412"/>
      <c r="J855" s="1413"/>
      <c r="K855" s="1415"/>
    </row>
    <row r="856">
      <c r="F856" s="1410"/>
      <c r="H856" s="1053"/>
      <c r="I856" s="1412"/>
      <c r="J856" s="1413"/>
      <c r="K856" s="1415"/>
    </row>
    <row r="857">
      <c r="F857" s="1410"/>
      <c r="H857" s="1053"/>
      <c r="I857" s="1412"/>
      <c r="J857" s="1413"/>
      <c r="K857" s="1415"/>
    </row>
    <row r="858">
      <c r="F858" s="1410"/>
      <c r="H858" s="1053"/>
      <c r="I858" s="1412"/>
      <c r="J858" s="1413"/>
      <c r="K858" s="1415"/>
    </row>
    <row r="859">
      <c r="F859" s="1410"/>
      <c r="H859" s="1053"/>
      <c r="I859" s="1412"/>
      <c r="J859" s="1413"/>
      <c r="K859" s="1415"/>
    </row>
    <row r="860">
      <c r="F860" s="1410"/>
      <c r="H860" s="1053"/>
      <c r="I860" s="1412"/>
      <c r="J860" s="1413"/>
      <c r="K860" s="1415"/>
    </row>
    <row r="861">
      <c r="F861" s="1410"/>
      <c r="H861" s="1053"/>
      <c r="I861" s="1412"/>
      <c r="J861" s="1413"/>
      <c r="K861" s="1415"/>
    </row>
    <row r="862">
      <c r="F862" s="1410"/>
      <c r="H862" s="1053"/>
      <c r="I862" s="1412"/>
      <c r="J862" s="1413"/>
      <c r="K862" s="1415"/>
    </row>
    <row r="863">
      <c r="F863" s="1410"/>
      <c r="H863" s="1053"/>
      <c r="I863" s="1412"/>
      <c r="J863" s="1413"/>
      <c r="K863" s="1415"/>
    </row>
    <row r="864">
      <c r="F864" s="1410"/>
      <c r="H864" s="1053"/>
      <c r="I864" s="1412"/>
      <c r="J864" s="1413"/>
      <c r="K864" s="1415"/>
    </row>
    <row r="865">
      <c r="F865" s="1410"/>
      <c r="H865" s="1053"/>
      <c r="I865" s="1412"/>
      <c r="J865" s="1413"/>
      <c r="K865" s="1415"/>
    </row>
    <row r="866">
      <c r="F866" s="1410"/>
      <c r="H866" s="1053"/>
      <c r="I866" s="1412"/>
      <c r="J866" s="1413"/>
      <c r="K866" s="1415"/>
    </row>
    <row r="867">
      <c r="F867" s="1410"/>
      <c r="H867" s="1053"/>
      <c r="I867" s="1412"/>
      <c r="J867" s="1413"/>
      <c r="K867" s="1415"/>
    </row>
    <row r="868">
      <c r="F868" s="1410"/>
      <c r="H868" s="1053"/>
      <c r="I868" s="1412"/>
      <c r="J868" s="1413"/>
      <c r="K868" s="1415"/>
    </row>
    <row r="869">
      <c r="F869" s="1410"/>
      <c r="H869" s="1053"/>
      <c r="I869" s="1412"/>
      <c r="J869" s="1413"/>
      <c r="K869" s="1415"/>
    </row>
    <row r="870">
      <c r="F870" s="1410"/>
      <c r="H870" s="1053"/>
      <c r="I870" s="1412"/>
      <c r="J870" s="1413"/>
      <c r="K870" s="1415"/>
    </row>
    <row r="871">
      <c r="F871" s="1410"/>
      <c r="H871" s="1053"/>
      <c r="I871" s="1412"/>
      <c r="J871" s="1413"/>
      <c r="K871" s="1415"/>
    </row>
    <row r="872">
      <c r="F872" s="1410"/>
      <c r="H872" s="1053"/>
      <c r="I872" s="1412"/>
      <c r="J872" s="1413"/>
      <c r="K872" s="1415"/>
    </row>
    <row r="873">
      <c r="F873" s="1410"/>
      <c r="H873" s="1053"/>
      <c r="I873" s="1412"/>
      <c r="J873" s="1413"/>
      <c r="K873" s="1415"/>
    </row>
    <row r="874">
      <c r="F874" s="1410"/>
      <c r="H874" s="1053"/>
      <c r="I874" s="1412"/>
      <c r="J874" s="1413"/>
      <c r="K874" s="1415"/>
    </row>
    <row r="875">
      <c r="F875" s="1410"/>
      <c r="H875" s="1053"/>
      <c r="I875" s="1412"/>
      <c r="J875" s="1413"/>
      <c r="K875" s="1415"/>
    </row>
    <row r="876">
      <c r="F876" s="1410"/>
      <c r="H876" s="1053"/>
      <c r="I876" s="1412"/>
      <c r="J876" s="1413"/>
      <c r="K876" s="1415"/>
    </row>
    <row r="877">
      <c r="F877" s="1410"/>
      <c r="H877" s="1053"/>
      <c r="I877" s="1412"/>
      <c r="J877" s="1413"/>
      <c r="K877" s="1415"/>
    </row>
    <row r="878">
      <c r="F878" s="1410"/>
      <c r="H878" s="1053"/>
      <c r="I878" s="1412"/>
      <c r="J878" s="1413"/>
      <c r="K878" s="1415"/>
    </row>
    <row r="879">
      <c r="F879" s="1410"/>
      <c r="H879" s="1053"/>
      <c r="I879" s="1412"/>
      <c r="J879" s="1413"/>
      <c r="K879" s="1415"/>
    </row>
    <row r="880">
      <c r="F880" s="1410"/>
      <c r="H880" s="1053"/>
      <c r="I880" s="1412"/>
      <c r="J880" s="1413"/>
      <c r="K880" s="1415"/>
    </row>
    <row r="881">
      <c r="F881" s="1410"/>
      <c r="H881" s="1053"/>
      <c r="I881" s="1412"/>
      <c r="J881" s="1413"/>
      <c r="K881" s="1415"/>
    </row>
    <row r="882">
      <c r="F882" s="1410"/>
      <c r="H882" s="1053"/>
      <c r="I882" s="1412"/>
      <c r="J882" s="1413"/>
      <c r="K882" s="1415"/>
    </row>
    <row r="883">
      <c r="F883" s="1410"/>
      <c r="H883" s="1053"/>
      <c r="I883" s="1412"/>
      <c r="J883" s="1413"/>
      <c r="K883" s="1415"/>
    </row>
    <row r="884">
      <c r="F884" s="1410"/>
      <c r="H884" s="1053"/>
      <c r="I884" s="1412"/>
      <c r="J884" s="1413"/>
      <c r="K884" s="1415"/>
    </row>
    <row r="885">
      <c r="F885" s="1410"/>
      <c r="H885" s="1053"/>
      <c r="I885" s="1412"/>
      <c r="J885" s="1413"/>
      <c r="K885" s="1415"/>
    </row>
    <row r="886">
      <c r="F886" s="1410"/>
      <c r="H886" s="1053"/>
      <c r="I886" s="1412"/>
      <c r="J886" s="1413"/>
      <c r="K886" s="1415"/>
    </row>
    <row r="887">
      <c r="F887" s="1410"/>
      <c r="H887" s="1053"/>
      <c r="I887" s="1412"/>
      <c r="J887" s="1413"/>
      <c r="K887" s="1415"/>
    </row>
    <row r="888">
      <c r="F888" s="1410"/>
      <c r="H888" s="1053"/>
      <c r="I888" s="1412"/>
      <c r="J888" s="1413"/>
      <c r="K888" s="1415"/>
    </row>
    <row r="889">
      <c r="F889" s="1410"/>
      <c r="H889" s="1053"/>
      <c r="I889" s="1412"/>
      <c r="J889" s="1413"/>
      <c r="K889" s="1415"/>
    </row>
    <row r="890">
      <c r="F890" s="1410"/>
      <c r="H890" s="1053"/>
      <c r="I890" s="1412"/>
      <c r="J890" s="1413"/>
      <c r="K890" s="1415"/>
    </row>
    <row r="891">
      <c r="F891" s="1410"/>
      <c r="H891" s="1053"/>
      <c r="I891" s="1412"/>
      <c r="J891" s="1413"/>
      <c r="K891" s="1415"/>
    </row>
    <row r="892">
      <c r="F892" s="1410"/>
      <c r="H892" s="1053"/>
      <c r="I892" s="1412"/>
      <c r="J892" s="1413"/>
      <c r="K892" s="1415"/>
    </row>
    <row r="893">
      <c r="F893" s="1410"/>
      <c r="H893" s="1053"/>
      <c r="I893" s="1412"/>
      <c r="J893" s="1413"/>
      <c r="K893" s="1415"/>
    </row>
    <row r="894">
      <c r="F894" s="1410"/>
      <c r="H894" s="1053"/>
      <c r="I894" s="1412"/>
      <c r="J894" s="1413"/>
      <c r="K894" s="1415"/>
    </row>
    <row r="895">
      <c r="F895" s="1410"/>
      <c r="H895" s="1053"/>
      <c r="I895" s="1412"/>
      <c r="J895" s="1413"/>
      <c r="K895" s="1415"/>
    </row>
    <row r="896">
      <c r="F896" s="1410"/>
      <c r="H896" s="1053"/>
      <c r="I896" s="1412"/>
      <c r="J896" s="1413"/>
      <c r="K896" s="1415"/>
    </row>
    <row r="897">
      <c r="F897" s="1410"/>
      <c r="H897" s="1053"/>
      <c r="I897" s="1412"/>
      <c r="J897" s="1413"/>
      <c r="K897" s="1415"/>
    </row>
    <row r="898">
      <c r="F898" s="1410"/>
      <c r="H898" s="1053"/>
      <c r="I898" s="1412"/>
      <c r="J898" s="1413"/>
      <c r="K898" s="1415"/>
    </row>
    <row r="899">
      <c r="F899" s="1410"/>
      <c r="H899" s="1053"/>
      <c r="I899" s="1412"/>
      <c r="J899" s="1413"/>
      <c r="K899" s="1415"/>
    </row>
    <row r="900">
      <c r="F900" s="1410"/>
      <c r="H900" s="1053"/>
      <c r="I900" s="1412"/>
      <c r="J900" s="1413"/>
      <c r="K900" s="1415"/>
    </row>
    <row r="901">
      <c r="F901" s="1410"/>
      <c r="H901" s="1053"/>
      <c r="I901" s="1412"/>
      <c r="J901" s="1413"/>
      <c r="K901" s="1415"/>
    </row>
    <row r="902">
      <c r="F902" s="1410"/>
      <c r="H902" s="1053"/>
      <c r="I902" s="1412"/>
      <c r="J902" s="1413"/>
      <c r="K902" s="1415"/>
    </row>
    <row r="903">
      <c r="F903" s="1410"/>
      <c r="H903" s="1053"/>
      <c r="I903" s="1412"/>
      <c r="J903" s="1413"/>
      <c r="K903" s="1415"/>
    </row>
    <row r="904">
      <c r="F904" s="1410"/>
      <c r="H904" s="1053"/>
      <c r="I904" s="1412"/>
      <c r="J904" s="1413"/>
      <c r="K904" s="1415"/>
    </row>
    <row r="905">
      <c r="F905" s="1410"/>
      <c r="H905" s="1053"/>
      <c r="I905" s="1412"/>
      <c r="J905" s="1413"/>
      <c r="K905" s="1415"/>
    </row>
    <row r="906">
      <c r="F906" s="1410"/>
      <c r="H906" s="1053"/>
      <c r="I906" s="1412"/>
      <c r="J906" s="1413"/>
      <c r="K906" s="1415"/>
    </row>
    <row r="907">
      <c r="F907" s="1410"/>
      <c r="H907" s="1053"/>
      <c r="I907" s="1412"/>
      <c r="J907" s="1413"/>
      <c r="K907" s="1415"/>
    </row>
    <row r="908">
      <c r="F908" s="1410"/>
      <c r="H908" s="1053"/>
      <c r="I908" s="1412"/>
      <c r="J908" s="1413"/>
      <c r="K908" s="1415"/>
    </row>
    <row r="909">
      <c r="F909" s="1410"/>
      <c r="H909" s="1053"/>
      <c r="I909" s="1412"/>
      <c r="J909" s="1413"/>
      <c r="K909" s="1415"/>
    </row>
    <row r="910">
      <c r="F910" s="1410"/>
      <c r="H910" s="1053"/>
      <c r="I910" s="1412"/>
      <c r="J910" s="1413"/>
      <c r="K910" s="1415"/>
    </row>
    <row r="911">
      <c r="F911" s="1410"/>
      <c r="H911" s="1053"/>
      <c r="I911" s="1412"/>
      <c r="J911" s="1413"/>
      <c r="K911" s="1415"/>
    </row>
    <row r="912">
      <c r="F912" s="1410"/>
      <c r="H912" s="1053"/>
      <c r="I912" s="1412"/>
      <c r="J912" s="1413"/>
      <c r="K912" s="1415"/>
    </row>
    <row r="913">
      <c r="F913" s="1410"/>
      <c r="H913" s="1053"/>
      <c r="I913" s="1412"/>
      <c r="J913" s="1413"/>
      <c r="K913" s="1415"/>
    </row>
    <row r="914">
      <c r="F914" s="1410"/>
      <c r="H914" s="1053"/>
      <c r="I914" s="1412"/>
      <c r="J914" s="1413"/>
      <c r="K914" s="1415"/>
    </row>
    <row r="915">
      <c r="F915" s="1410"/>
      <c r="H915" s="1053"/>
      <c r="I915" s="1412"/>
      <c r="J915" s="1413"/>
      <c r="K915" s="1415"/>
    </row>
    <row r="916">
      <c r="F916" s="1410"/>
      <c r="H916" s="1053"/>
      <c r="I916" s="1412"/>
      <c r="J916" s="1413"/>
      <c r="K916" s="1415"/>
    </row>
    <row r="917">
      <c r="F917" s="1410"/>
      <c r="H917" s="1053"/>
      <c r="I917" s="1412"/>
      <c r="J917" s="1413"/>
      <c r="K917" s="1415"/>
    </row>
    <row r="918">
      <c r="F918" s="1410"/>
      <c r="H918" s="1053"/>
      <c r="I918" s="1412"/>
      <c r="J918" s="1413"/>
      <c r="K918" s="1415"/>
    </row>
    <row r="919">
      <c r="F919" s="1410"/>
      <c r="H919" s="1053"/>
      <c r="I919" s="1412"/>
      <c r="J919" s="1413"/>
      <c r="K919" s="1415"/>
    </row>
    <row r="920">
      <c r="F920" s="1410"/>
      <c r="H920" s="1053"/>
      <c r="I920" s="1412"/>
      <c r="J920" s="1413"/>
      <c r="K920" s="1415"/>
    </row>
    <row r="921">
      <c r="F921" s="1410"/>
      <c r="H921" s="1053"/>
      <c r="I921" s="1412"/>
      <c r="J921" s="1413"/>
      <c r="K921" s="1415"/>
    </row>
    <row r="922">
      <c r="F922" s="1410"/>
      <c r="H922" s="1053"/>
      <c r="I922" s="1412"/>
      <c r="J922" s="1413"/>
      <c r="K922" s="1415"/>
    </row>
    <row r="923">
      <c r="F923" s="1410"/>
      <c r="H923" s="1053"/>
      <c r="I923" s="1412"/>
      <c r="J923" s="1413"/>
      <c r="K923" s="1415"/>
    </row>
    <row r="924">
      <c r="F924" s="1410"/>
      <c r="H924" s="1053"/>
      <c r="I924" s="1412"/>
      <c r="J924" s="1413"/>
      <c r="K924" s="1415"/>
    </row>
    <row r="925">
      <c r="F925" s="1410"/>
      <c r="H925" s="1053"/>
      <c r="I925" s="1412"/>
      <c r="J925" s="1413"/>
      <c r="K925" s="1415"/>
    </row>
    <row r="926">
      <c r="F926" s="1410"/>
      <c r="H926" s="1053"/>
      <c r="I926" s="1412"/>
      <c r="J926" s="1413"/>
      <c r="K926" s="1415"/>
    </row>
    <row r="927">
      <c r="F927" s="1410"/>
      <c r="H927" s="1053"/>
      <c r="I927" s="1412"/>
      <c r="J927" s="1413"/>
      <c r="K927" s="1415"/>
    </row>
    <row r="928">
      <c r="F928" s="1410"/>
      <c r="H928" s="1053"/>
      <c r="I928" s="1412"/>
      <c r="J928" s="1413"/>
      <c r="K928" s="1415"/>
    </row>
    <row r="929">
      <c r="F929" s="1410"/>
      <c r="H929" s="1053"/>
      <c r="I929" s="1412"/>
      <c r="J929" s="1413"/>
      <c r="K929" s="1415"/>
    </row>
    <row r="930">
      <c r="F930" s="1410"/>
      <c r="H930" s="1053"/>
      <c r="I930" s="1412"/>
      <c r="J930" s="1413"/>
      <c r="K930" s="1415"/>
    </row>
    <row r="931">
      <c r="F931" s="1410"/>
      <c r="H931" s="1053"/>
      <c r="I931" s="1412"/>
      <c r="J931" s="1413"/>
      <c r="K931" s="1415"/>
    </row>
    <row r="932">
      <c r="F932" s="1410"/>
      <c r="H932" s="1053"/>
      <c r="I932" s="1412"/>
      <c r="J932" s="1413"/>
      <c r="K932" s="1415"/>
    </row>
    <row r="933">
      <c r="F933" s="1410"/>
      <c r="H933" s="1053"/>
      <c r="I933" s="1412"/>
      <c r="J933" s="1413"/>
      <c r="K933" s="1415"/>
    </row>
    <row r="934">
      <c r="F934" s="1410"/>
      <c r="H934" s="1053"/>
      <c r="I934" s="1412"/>
      <c r="J934" s="1413"/>
      <c r="K934" s="1415"/>
    </row>
    <row r="935">
      <c r="F935" s="1410"/>
      <c r="H935" s="1053"/>
      <c r="I935" s="1412"/>
      <c r="J935" s="1413"/>
      <c r="K935" s="1415"/>
    </row>
    <row r="936">
      <c r="F936" s="1410"/>
      <c r="H936" s="1053"/>
      <c r="I936" s="1412"/>
      <c r="J936" s="1413"/>
      <c r="K936" s="1415"/>
    </row>
    <row r="937">
      <c r="F937" s="1410"/>
      <c r="H937" s="1053"/>
      <c r="I937" s="1412"/>
      <c r="J937" s="1413"/>
      <c r="K937" s="1415"/>
    </row>
    <row r="938">
      <c r="F938" s="1410"/>
      <c r="H938" s="1053"/>
      <c r="I938" s="1412"/>
      <c r="J938" s="1413"/>
      <c r="K938" s="1415"/>
    </row>
    <row r="939">
      <c r="F939" s="1410"/>
      <c r="H939" s="1053"/>
      <c r="I939" s="1412"/>
      <c r="J939" s="1413"/>
      <c r="K939" s="1415"/>
    </row>
    <row r="940">
      <c r="F940" s="1410"/>
      <c r="H940" s="1053"/>
      <c r="I940" s="1412"/>
      <c r="J940" s="1413"/>
      <c r="K940" s="1415"/>
    </row>
    <row r="941">
      <c r="F941" s="1410"/>
      <c r="H941" s="1053"/>
      <c r="I941" s="1412"/>
      <c r="J941" s="1413"/>
      <c r="K941" s="1415"/>
    </row>
    <row r="942">
      <c r="F942" s="1410"/>
      <c r="H942" s="1053"/>
      <c r="I942" s="1412"/>
      <c r="J942" s="1413"/>
      <c r="K942" s="1415"/>
    </row>
    <row r="943">
      <c r="F943" s="1410"/>
      <c r="H943" s="1053"/>
      <c r="I943" s="1412"/>
      <c r="J943" s="1413"/>
      <c r="K943" s="1415"/>
    </row>
    <row r="944">
      <c r="F944" s="1410"/>
      <c r="H944" s="1053"/>
      <c r="I944" s="1412"/>
      <c r="J944" s="1413"/>
      <c r="K944" s="1415"/>
    </row>
    <row r="945">
      <c r="F945" s="1410"/>
      <c r="H945" s="1053"/>
      <c r="I945" s="1412"/>
      <c r="J945" s="1413"/>
      <c r="K945" s="1415"/>
    </row>
    <row r="946">
      <c r="F946" s="1410"/>
      <c r="H946" s="1053"/>
      <c r="I946" s="1412"/>
      <c r="J946" s="1413"/>
      <c r="K946" s="1415"/>
    </row>
    <row r="947">
      <c r="F947" s="1410"/>
      <c r="H947" s="1053"/>
      <c r="I947" s="1412"/>
      <c r="J947" s="1413"/>
      <c r="K947" s="1415"/>
    </row>
    <row r="948">
      <c r="F948" s="1410"/>
      <c r="H948" s="1053"/>
      <c r="I948" s="1412"/>
      <c r="J948" s="1413"/>
      <c r="K948" s="1415"/>
    </row>
    <row r="949">
      <c r="F949" s="1410"/>
      <c r="H949" s="1053"/>
      <c r="I949" s="1412"/>
      <c r="J949" s="1413"/>
      <c r="K949" s="1415"/>
    </row>
    <row r="950">
      <c r="F950" s="1410"/>
      <c r="H950" s="1053"/>
      <c r="I950" s="1412"/>
      <c r="J950" s="1413"/>
      <c r="K950" s="1415"/>
    </row>
    <row r="951">
      <c r="F951" s="1410"/>
      <c r="H951" s="1053"/>
      <c r="I951" s="1412"/>
      <c r="J951" s="1413"/>
      <c r="K951" s="1415"/>
    </row>
    <row r="952">
      <c r="F952" s="1410"/>
      <c r="H952" s="1053"/>
      <c r="I952" s="1412"/>
      <c r="J952" s="1413"/>
      <c r="K952" s="1415"/>
    </row>
    <row r="953">
      <c r="F953" s="1410"/>
      <c r="H953" s="1053"/>
      <c r="I953" s="1412"/>
      <c r="J953" s="1413"/>
      <c r="K953" s="1415"/>
    </row>
    <row r="954">
      <c r="F954" s="1410"/>
      <c r="H954" s="1053"/>
      <c r="I954" s="1412"/>
      <c r="J954" s="1413"/>
      <c r="K954" s="1415"/>
    </row>
    <row r="955">
      <c r="F955" s="1410"/>
      <c r="H955" s="1053"/>
      <c r="I955" s="1412"/>
      <c r="J955" s="1413"/>
      <c r="K955" s="1415"/>
    </row>
    <row r="956">
      <c r="F956" s="1410"/>
      <c r="H956" s="1053"/>
      <c r="I956" s="1412"/>
      <c r="J956" s="1413"/>
      <c r="K956" s="1415"/>
    </row>
    <row r="957">
      <c r="F957" s="1410"/>
      <c r="H957" s="1053"/>
      <c r="I957" s="1412"/>
      <c r="J957" s="1413"/>
      <c r="K957" s="1415"/>
    </row>
    <row r="958">
      <c r="F958" s="1410"/>
      <c r="H958" s="1053"/>
      <c r="I958" s="1412"/>
      <c r="J958" s="1413"/>
      <c r="K958" s="1415"/>
    </row>
    <row r="959">
      <c r="F959" s="1410"/>
      <c r="H959" s="1053"/>
      <c r="I959" s="1412"/>
      <c r="J959" s="1413"/>
      <c r="K959" s="1415"/>
    </row>
    <row r="960">
      <c r="F960" s="1410"/>
      <c r="H960" s="1053"/>
      <c r="I960" s="1412"/>
      <c r="J960" s="1413"/>
      <c r="K960" s="1415"/>
    </row>
    <row r="961">
      <c r="F961" s="1410"/>
      <c r="H961" s="1053"/>
      <c r="I961" s="1412"/>
      <c r="J961" s="1413"/>
      <c r="K961" s="1415"/>
    </row>
    <row r="962">
      <c r="F962" s="1410"/>
      <c r="H962" s="1053"/>
      <c r="I962" s="1412"/>
      <c r="J962" s="1413"/>
      <c r="K962" s="1415"/>
    </row>
    <row r="963">
      <c r="F963" s="1410"/>
      <c r="H963" s="1053"/>
      <c r="I963" s="1412"/>
      <c r="J963" s="1413"/>
      <c r="K963" s="1415"/>
    </row>
    <row r="964">
      <c r="F964" s="1410"/>
      <c r="H964" s="1053"/>
      <c r="I964" s="1412"/>
      <c r="J964" s="1413"/>
      <c r="K964" s="1415"/>
    </row>
    <row r="965">
      <c r="F965" s="1410"/>
      <c r="H965" s="1053"/>
      <c r="I965" s="1412"/>
      <c r="J965" s="1413"/>
      <c r="K965" s="1415"/>
    </row>
    <row r="966">
      <c r="F966" s="1410"/>
      <c r="H966" s="1053"/>
      <c r="I966" s="1412"/>
      <c r="J966" s="1413"/>
      <c r="K966" s="1415"/>
    </row>
    <row r="967">
      <c r="F967" s="1410"/>
      <c r="H967" s="1053"/>
      <c r="I967" s="1412"/>
      <c r="J967" s="1413"/>
      <c r="K967" s="1415"/>
    </row>
    <row r="968">
      <c r="F968" s="1410"/>
      <c r="H968" s="1053"/>
      <c r="I968" s="1412"/>
      <c r="J968" s="1413"/>
      <c r="K968" s="1415"/>
    </row>
    <row r="969">
      <c r="F969" s="1410"/>
      <c r="H969" s="1053"/>
      <c r="I969" s="1412"/>
      <c r="J969" s="1413"/>
      <c r="K969" s="1415"/>
    </row>
    <row r="970">
      <c r="F970" s="1410"/>
      <c r="H970" s="1053"/>
      <c r="I970" s="1412"/>
      <c r="J970" s="1413"/>
      <c r="K970" s="1415"/>
    </row>
    <row r="971">
      <c r="F971" s="1410"/>
      <c r="H971" s="1053"/>
      <c r="I971" s="1412"/>
      <c r="J971" s="1413"/>
      <c r="K971" s="1415"/>
    </row>
    <row r="972">
      <c r="F972" s="1410"/>
      <c r="H972" s="1053"/>
      <c r="I972" s="1412"/>
      <c r="J972" s="1413"/>
      <c r="K972" s="1415"/>
    </row>
    <row r="973">
      <c r="F973" s="1410"/>
      <c r="H973" s="1053"/>
      <c r="I973" s="1412"/>
      <c r="J973" s="1413"/>
      <c r="K973" s="1415"/>
    </row>
    <row r="974">
      <c r="F974" s="1410"/>
      <c r="H974" s="1053"/>
      <c r="I974" s="1412"/>
      <c r="J974" s="1413"/>
      <c r="K974" s="1415"/>
    </row>
    <row r="975">
      <c r="F975" s="1410"/>
      <c r="H975" s="1053"/>
      <c r="I975" s="1412"/>
      <c r="J975" s="1413"/>
      <c r="K975" s="1415"/>
    </row>
    <row r="976">
      <c r="F976" s="1410"/>
      <c r="H976" s="1053"/>
      <c r="I976" s="1412"/>
      <c r="J976" s="1413"/>
      <c r="K976" s="1415"/>
    </row>
    <row r="977">
      <c r="F977" s="1410"/>
      <c r="H977" s="1053"/>
      <c r="I977" s="1412"/>
      <c r="J977" s="1413"/>
      <c r="K977" s="1415"/>
    </row>
    <row r="978">
      <c r="F978" s="1410"/>
      <c r="H978" s="1053"/>
      <c r="I978" s="1412"/>
      <c r="J978" s="1413"/>
      <c r="K978" s="1415"/>
    </row>
    <row r="979">
      <c r="F979" s="1410"/>
      <c r="H979" s="1053"/>
      <c r="I979" s="1412"/>
      <c r="J979" s="1413"/>
      <c r="K979" s="1415"/>
    </row>
    <row r="980">
      <c r="F980" s="1410"/>
      <c r="H980" s="1053"/>
      <c r="I980" s="1412"/>
      <c r="J980" s="1413"/>
      <c r="K980" s="1415"/>
    </row>
    <row r="981">
      <c r="F981" s="1410"/>
      <c r="H981" s="1053"/>
      <c r="I981" s="1412"/>
      <c r="J981" s="1413"/>
      <c r="K981" s="1415"/>
    </row>
    <row r="982">
      <c r="F982" s="1410"/>
      <c r="H982" s="1053"/>
      <c r="I982" s="1412"/>
      <c r="J982" s="1413"/>
      <c r="K982" s="1415"/>
    </row>
    <row r="983">
      <c r="F983" s="1410"/>
      <c r="H983" s="1053"/>
      <c r="I983" s="1412"/>
      <c r="J983" s="1413"/>
      <c r="K983" s="1415"/>
    </row>
    <row r="984">
      <c r="F984" s="1410"/>
      <c r="H984" s="1053"/>
      <c r="I984" s="1412"/>
      <c r="J984" s="1413"/>
      <c r="K984" s="1415"/>
    </row>
    <row r="985">
      <c r="F985" s="1410"/>
      <c r="H985" s="1053"/>
      <c r="I985" s="1412"/>
      <c r="J985" s="1413"/>
      <c r="K985" s="1415"/>
    </row>
    <row r="986">
      <c r="F986" s="1410"/>
      <c r="H986" s="1053"/>
      <c r="I986" s="1412"/>
      <c r="J986" s="1413"/>
      <c r="K986" s="1415"/>
    </row>
    <row r="987">
      <c r="F987" s="1410"/>
      <c r="H987" s="1053"/>
      <c r="I987" s="1412"/>
      <c r="J987" s="1413"/>
      <c r="K987" s="1415"/>
    </row>
    <row r="988">
      <c r="F988" s="1410"/>
      <c r="H988" s="1053"/>
      <c r="I988" s="1412"/>
      <c r="J988" s="1413"/>
      <c r="K988" s="1415"/>
    </row>
    <row r="989">
      <c r="F989" s="1410"/>
      <c r="H989" s="1053"/>
      <c r="I989" s="1412"/>
      <c r="J989" s="1413"/>
      <c r="K989" s="1415"/>
    </row>
    <row r="990">
      <c r="F990" s="1410"/>
      <c r="H990" s="1053"/>
      <c r="I990" s="1412"/>
      <c r="J990" s="1413"/>
      <c r="K990" s="1415"/>
    </row>
    <row r="991">
      <c r="F991" s="1410"/>
      <c r="H991" s="1053"/>
      <c r="I991" s="1412"/>
      <c r="J991" s="1413"/>
      <c r="K991" s="1415"/>
    </row>
    <row r="992">
      <c r="F992" s="1410"/>
      <c r="H992" s="1053"/>
      <c r="I992" s="1412"/>
      <c r="J992" s="1413"/>
      <c r="K992" s="1415"/>
    </row>
    <row r="993">
      <c r="F993" s="1410"/>
      <c r="H993" s="1053"/>
      <c r="I993" s="1412"/>
      <c r="J993" s="1413"/>
      <c r="K993" s="1415"/>
    </row>
    <row r="994">
      <c r="F994" s="1410"/>
      <c r="H994" s="1053"/>
      <c r="I994" s="1412"/>
      <c r="J994" s="1413"/>
      <c r="K994" s="1415"/>
    </row>
    <row r="995">
      <c r="F995" s="1410"/>
      <c r="H995" s="1053"/>
      <c r="I995" s="1412"/>
      <c r="J995" s="1413"/>
      <c r="K995" s="1415"/>
    </row>
    <row r="996">
      <c r="F996" s="1410"/>
      <c r="H996" s="1053"/>
      <c r="I996" s="1412"/>
      <c r="J996" s="1413"/>
      <c r="K996" s="1415"/>
    </row>
    <row r="997">
      <c r="F997" s="1410"/>
      <c r="H997" s="1053"/>
      <c r="I997" s="1412"/>
      <c r="J997" s="1413"/>
      <c r="K997" s="1415"/>
    </row>
    <row r="998">
      <c r="F998" s="1410"/>
      <c r="H998" s="1053"/>
      <c r="I998" s="1412"/>
      <c r="J998" s="1413"/>
      <c r="K998" s="1415"/>
    </row>
    <row r="999">
      <c r="F999" s="1410"/>
      <c r="H999" s="1053"/>
      <c r="I999" s="1412"/>
      <c r="J999" s="1413"/>
      <c r="K999" s="1415"/>
    </row>
    <row r="1000">
      <c r="F1000" s="1410"/>
      <c r="H1000" s="1053"/>
      <c r="I1000" s="1412"/>
      <c r="J1000" s="1413"/>
      <c r="K1000" s="1415"/>
    </row>
    <row r="1001">
      <c r="F1001" s="1410"/>
      <c r="H1001" s="1053"/>
      <c r="I1001" s="1412"/>
      <c r="J1001" s="1413"/>
      <c r="K1001" s="1415"/>
    </row>
    <row r="1002">
      <c r="F1002" s="1410"/>
      <c r="H1002" s="1053"/>
      <c r="I1002" s="1412"/>
      <c r="J1002" s="1413"/>
      <c r="K1002" s="1415"/>
    </row>
    <row r="1003">
      <c r="F1003" s="1410"/>
      <c r="H1003" s="1053"/>
      <c r="I1003" s="1412"/>
      <c r="J1003" s="1413"/>
      <c r="K1003" s="1415"/>
    </row>
    <row r="1004">
      <c r="F1004" s="1410"/>
      <c r="H1004" s="1053"/>
      <c r="I1004" s="1412"/>
      <c r="J1004" s="1413"/>
      <c r="K1004" s="1415"/>
    </row>
  </sheetData>
  <mergeCells count="2">
    <mergeCell ref="F1:I1"/>
    <mergeCell ref="J1:K1"/>
  </mergeCells>
  <dataValidations>
    <dataValidation type="list" allowBlank="1" sqref="D3:D20">
      <formula1>"US Stocks,International Stocks,Bonds,Alternatives,Cash"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6.88"/>
    <col customWidth="1" min="3" max="3" width="26.25"/>
    <col hidden="1" min="5" max="5" width="12.63"/>
  </cols>
  <sheetData>
    <row r="1">
      <c r="A1" s="1381" t="s">
        <v>1247</v>
      </c>
      <c r="B1" s="1381"/>
      <c r="C1" s="1381"/>
      <c r="D1" s="1381"/>
      <c r="E1" s="1381"/>
      <c r="F1" s="1381"/>
      <c r="G1" s="1381"/>
      <c r="H1" s="1381"/>
      <c r="I1" s="1381"/>
    </row>
    <row r="2">
      <c r="A2" s="1381"/>
      <c r="B2" s="1381"/>
      <c r="C2" s="1381"/>
      <c r="D2" s="1381"/>
      <c r="E2" s="1381"/>
      <c r="F2" s="1381"/>
      <c r="G2" s="1381"/>
      <c r="H2" s="1381"/>
      <c r="I2" s="1381"/>
    </row>
    <row r="3">
      <c r="A3" s="1381"/>
      <c r="B3" s="1381"/>
      <c r="C3" s="1381"/>
      <c r="D3" s="1381"/>
      <c r="E3" s="1381"/>
      <c r="F3" s="1382" t="s">
        <v>1222</v>
      </c>
      <c r="G3" s="1348"/>
      <c r="H3" s="1348"/>
      <c r="I3" s="1348"/>
      <c r="J3" s="1349"/>
    </row>
    <row r="4">
      <c r="A4" s="1416" t="s">
        <v>395</v>
      </c>
      <c r="B4" s="1416" t="s">
        <v>1224</v>
      </c>
      <c r="C4" s="1416" t="s">
        <v>1225</v>
      </c>
      <c r="D4" s="1416" t="s">
        <v>355</v>
      </c>
      <c r="E4" s="1416" t="s">
        <v>1226</v>
      </c>
      <c r="F4" s="1417" t="s">
        <v>1227</v>
      </c>
      <c r="G4" s="1416" t="s">
        <v>1228</v>
      </c>
      <c r="H4" s="1418" t="s">
        <v>1210</v>
      </c>
      <c r="I4" s="1416" t="s">
        <v>1229</v>
      </c>
      <c r="J4" s="1419" t="s">
        <v>1248</v>
      </c>
      <c r="K4" s="1049"/>
      <c r="L4" s="1420"/>
      <c r="M4" s="1420"/>
    </row>
    <row r="5">
      <c r="A5" s="1387" t="s">
        <v>1232</v>
      </c>
      <c r="B5" s="1421" t="s">
        <v>1249</v>
      </c>
      <c r="C5" s="1373" t="str">
        <f>IFERROR(__xludf.DUMMYFUNCTION("GOOGLEFINANCE($B5,""name"")"),"Deere &amp; Co")</f>
        <v>Deere &amp; Co</v>
      </c>
      <c r="D5" s="1373" t="s">
        <v>1217</v>
      </c>
      <c r="E5" s="1388" t="str">
        <f t="shared" ref="E5:E12" si="1">A5 &amp; " - " &amp; B5</f>
        <v>Vanguard Rollover IRA - DE</v>
      </c>
      <c r="F5" s="1389">
        <v>100.0</v>
      </c>
      <c r="G5" s="1390">
        <f>IFERROR(__xludf.DUMMYFUNCTION("GOOGLEFINANCE($B5,""price"")"),452.07)</f>
        <v>452.07</v>
      </c>
      <c r="H5" s="1364">
        <f t="shared" ref="H5:H12" si="2">F5*G5</f>
        <v>45207</v>
      </c>
      <c r="I5" s="1422" t="str">
        <f>'Copy of Stocks'!StocksValue/(#REF! + 'Copy of Stocks'!TotalStockValue)</f>
        <v>#REF!</v>
      </c>
      <c r="J5" s="1423">
        <f>IFERROR(__xludf.DUMMYFUNCTION("GOOGLEFINANCE(B5,""PE"")"),20.04)</f>
        <v>20.04</v>
      </c>
    </row>
    <row r="6">
      <c r="A6" s="1387" t="s">
        <v>1232</v>
      </c>
      <c r="B6" s="1421" t="s">
        <v>1250</v>
      </c>
      <c r="C6" s="1373" t="str">
        <f>IFERROR(__xludf.DUMMYFUNCTION("GOOGLEFINANCE($B6,""name"")"),"Exxon Mobil Corp")</f>
        <v>Exxon Mobil Corp</v>
      </c>
      <c r="D6" s="1373" t="s">
        <v>1218</v>
      </c>
      <c r="E6" s="1388" t="str">
        <f t="shared" si="1"/>
        <v>Vanguard Rollover IRA - XOM</v>
      </c>
      <c r="F6" s="1389">
        <v>100.0</v>
      </c>
      <c r="G6" s="1390">
        <f>IFERROR(__xludf.DUMMYFUNCTION("GOOGLEFINANCE($B6,""price"")"),106.92)</f>
        <v>106.92</v>
      </c>
      <c r="H6" s="1364">
        <f t="shared" si="2"/>
        <v>10692</v>
      </c>
      <c r="I6" s="1422" t="str">
        <f>'Copy of Stocks'!StocksValue/(#REF! + 'Copy of Stocks'!TotalStockValue)</f>
        <v>#REF!</v>
      </c>
      <c r="J6" s="1423">
        <f>IFERROR(__xludf.DUMMYFUNCTION("GOOGLEFINANCE(B6,""PE"")"),13.66)</f>
        <v>13.66</v>
      </c>
    </row>
    <row r="7">
      <c r="A7" s="1387" t="s">
        <v>1232</v>
      </c>
      <c r="B7" s="1421" t="s">
        <v>1251</v>
      </c>
      <c r="C7" s="1373" t="str">
        <f>IFERROR(__xludf.DUMMYFUNCTION("GOOGLEFINANCE($B7,""name"")"),"Apple Inc")</f>
        <v>Apple Inc</v>
      </c>
      <c r="D7" s="1373" t="s">
        <v>1220</v>
      </c>
      <c r="E7" s="1388" t="str">
        <f t="shared" si="1"/>
        <v>Vanguard Rollover IRA - AAPL</v>
      </c>
      <c r="F7" s="1389">
        <v>100.0</v>
      </c>
      <c r="G7" s="1390">
        <f>IFERROR(__xludf.DUMMYFUNCTION("GOOGLEFINANCE($B7,""price"")"),196.94)</f>
        <v>196.94</v>
      </c>
      <c r="H7" s="1364">
        <f t="shared" si="2"/>
        <v>19694</v>
      </c>
      <c r="I7" s="1422" t="str">
        <f>'Copy of Stocks'!StocksValue/(#REF! + 'Copy of Stocks'!TotalStockValue)</f>
        <v>#REF!</v>
      </c>
      <c r="J7" s="1423">
        <f>IFERROR(__xludf.DUMMYFUNCTION("GOOGLEFINANCE(B7,""PE"")"),31.31)</f>
        <v>31.31</v>
      </c>
    </row>
    <row r="8">
      <c r="A8" s="1387" t="s">
        <v>1232</v>
      </c>
      <c r="B8" s="1421" t="s">
        <v>1252</v>
      </c>
      <c r="C8" s="1373" t="str">
        <f>IFERROR(__xludf.DUMMYFUNCTION("GOOGLEFINANCE($B8,""name"")"),"Berkshire Hathaway Inc Class B")</f>
        <v>Berkshire Hathaway Inc Class B</v>
      </c>
      <c r="D8" s="1373" t="s">
        <v>1219</v>
      </c>
      <c r="E8" s="1388" t="str">
        <f t="shared" si="1"/>
        <v>Vanguard Rollover IRA - BRK.B</v>
      </c>
      <c r="F8" s="1389">
        <v>100.0</v>
      </c>
      <c r="G8" s="1390">
        <f>IFERROR(__xludf.DUMMYFUNCTION("GOOGLEFINANCE($B8,""price"")"),518.21)</f>
        <v>518.21</v>
      </c>
      <c r="H8" s="1364">
        <f t="shared" si="2"/>
        <v>51821</v>
      </c>
      <c r="I8" s="1422" t="str">
        <f>'Copy of Stocks'!StocksValue/(#REF! + 'Copy of Stocks'!TotalStockValue)</f>
        <v>#REF!</v>
      </c>
      <c r="J8" s="1423">
        <f>IFERROR(__xludf.DUMMYFUNCTION("GOOGLEFINANCE(B8,""PE"")"),0.01)</f>
        <v>0.01</v>
      </c>
    </row>
    <row r="9">
      <c r="A9" s="1387" t="s">
        <v>1232</v>
      </c>
      <c r="B9" s="1421" t="s">
        <v>1253</v>
      </c>
      <c r="C9" s="1373" t="str">
        <f>IFERROR(__xludf.DUMMYFUNCTION("GOOGLEFINANCE($B9,""name"")"),"PepsiCo Inc")</f>
        <v>PepsiCo Inc</v>
      </c>
      <c r="D9" s="1373" t="s">
        <v>1217</v>
      </c>
      <c r="E9" s="1388" t="str">
        <f t="shared" si="1"/>
        <v>Vanguard Rollover IRA - PEP</v>
      </c>
      <c r="F9" s="1389">
        <v>100.0</v>
      </c>
      <c r="G9" s="1390">
        <f>IFERROR(__xludf.DUMMYFUNCTION("GOOGLEFINANCE($B9,""price"")"),142.84)</f>
        <v>142.84</v>
      </c>
      <c r="H9" s="1364">
        <f t="shared" si="2"/>
        <v>14284</v>
      </c>
      <c r="I9" s="1422" t="str">
        <f>'Copy of Stocks'!StocksValue/(#REF! + 'Copy of Stocks'!TotalStockValue)</f>
        <v>#REF!</v>
      </c>
      <c r="J9" s="1423">
        <f>IFERROR(__xludf.DUMMYFUNCTION("GOOGLEFINANCE(B9,""PE"")"),20.55)</f>
        <v>20.55</v>
      </c>
    </row>
    <row r="10">
      <c r="A10" s="1395" t="s">
        <v>1238</v>
      </c>
      <c r="B10" s="1424" t="s">
        <v>1254</v>
      </c>
      <c r="C10" s="1373" t="str">
        <f>IFERROR(__xludf.DUMMYFUNCTION("GOOGLEFINANCE($B10,""name"")"),"General Motors Co")</f>
        <v>General Motors Co</v>
      </c>
      <c r="D10" s="1373" t="s">
        <v>1217</v>
      </c>
      <c r="E10" s="1398" t="str">
        <f t="shared" si="1"/>
        <v>Vanguard Roth IRA - GM</v>
      </c>
      <c r="F10" s="1399">
        <v>100.0</v>
      </c>
      <c r="G10" s="1390">
        <f>IFERROR(__xludf.DUMMYFUNCTION("GOOGLEFINANCE($B10,""price"")"),44.57)</f>
        <v>44.57</v>
      </c>
      <c r="H10" s="1364">
        <f t="shared" si="2"/>
        <v>4457</v>
      </c>
      <c r="I10" s="1422" t="str">
        <f>'Copy of Stocks'!StocksValue/(#REF! + 'Copy of Stocks'!TotalStockValue)</f>
        <v>#REF!</v>
      </c>
      <c r="J10" s="1423">
        <f>IFERROR(__xludf.DUMMYFUNCTION("GOOGLEFINANCE(B10,""PE"")"),7.0)</f>
        <v>7</v>
      </c>
    </row>
    <row r="11">
      <c r="A11" s="1395" t="s">
        <v>1238</v>
      </c>
      <c r="B11" s="1424" t="s">
        <v>1255</v>
      </c>
      <c r="C11" s="1373" t="str">
        <f>IFERROR(__xludf.DUMMYFUNCTION("GOOGLEFINANCE($B11,""name"")"),"Ford Motor Co")</f>
        <v>Ford Motor Co</v>
      </c>
      <c r="D11" s="1373" t="s">
        <v>1218</v>
      </c>
      <c r="E11" s="1398" t="str">
        <f t="shared" si="1"/>
        <v>Vanguard Roth IRA - F</v>
      </c>
      <c r="F11" s="1399">
        <v>100.0</v>
      </c>
      <c r="G11" s="1390">
        <f>IFERROR(__xludf.DUMMYFUNCTION("GOOGLEFINANCE($B11,""price"")"),9.63)</f>
        <v>9.63</v>
      </c>
      <c r="H11" s="1364">
        <f t="shared" si="2"/>
        <v>963</v>
      </c>
      <c r="I11" s="1422" t="str">
        <f>'Copy of Stocks'!StocksValue/(#REF! + 'Copy of Stocks'!TotalStockValue)</f>
        <v>#REF!</v>
      </c>
      <c r="J11" s="1423">
        <f>IFERROR(__xludf.DUMMYFUNCTION("GOOGLEFINANCE(B11,""PE"")"),6.59)</f>
        <v>6.59</v>
      </c>
    </row>
    <row r="12">
      <c r="A12" s="1395" t="s">
        <v>1238</v>
      </c>
      <c r="B12" s="1424" t="s">
        <v>1256</v>
      </c>
      <c r="C12" s="1373" t="str">
        <f>IFERROR(__xludf.DUMMYFUNCTION("GOOGLEFINANCE($B12,""name"")"),"IBM Common Stock")</f>
        <v>IBM Common Stock</v>
      </c>
      <c r="D12" s="1373" t="s">
        <v>1220</v>
      </c>
      <c r="E12" s="1398" t="str">
        <f t="shared" si="1"/>
        <v>Vanguard Roth IRA - IBM</v>
      </c>
      <c r="F12" s="1399">
        <v>100.0</v>
      </c>
      <c r="G12" s="1390">
        <f>IFERROR(__xludf.DUMMYFUNCTION("GOOGLEFINANCE($B12,""price"")"),238.81)</f>
        <v>238.81</v>
      </c>
      <c r="H12" s="1364">
        <f t="shared" si="2"/>
        <v>23881</v>
      </c>
      <c r="I12" s="1422" t="str">
        <f>'Copy of Stocks'!StocksValue/(#REF! + 'Copy of Stocks'!TotalStockValue)</f>
        <v>#REF!</v>
      </c>
      <c r="J12" s="1423">
        <f>IFERROR(__xludf.DUMMYFUNCTION("GOOGLEFINANCE(B12,""PE"")"),34.59)</f>
        <v>34.59</v>
      </c>
    </row>
    <row r="13">
      <c r="C13" s="110"/>
      <c r="D13" s="110"/>
      <c r="E13" s="110"/>
      <c r="F13" s="1410"/>
      <c r="H13" s="1425">
        <f>sum('Copy of Stocks'!StocksValue)</f>
        <v>170999</v>
      </c>
      <c r="I13" s="1412"/>
    </row>
  </sheetData>
  <mergeCells count="1">
    <mergeCell ref="F3:J3"/>
  </mergeCells>
  <dataValidations>
    <dataValidation type="list" allowBlank="1" sqref="D5:D12">
      <formula1>"US Stocks,International Stocks,Bonds,Alternatives,Cash"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</cols>
  <sheetData>
    <row r="1">
      <c r="A1" s="1426" t="s">
        <v>1257</v>
      </c>
      <c r="B1" s="1426" t="s">
        <v>1088</v>
      </c>
      <c r="C1" s="1426" t="s">
        <v>1258</v>
      </c>
      <c r="D1" s="1427"/>
      <c r="E1" s="1427"/>
      <c r="F1" s="1427"/>
      <c r="G1" s="1427"/>
      <c r="H1" s="1427"/>
      <c r="I1" s="1427"/>
      <c r="J1" s="1427"/>
      <c r="K1" s="1427"/>
      <c r="L1" s="1427"/>
      <c r="M1" s="1427"/>
      <c r="N1" s="1427"/>
      <c r="O1" s="1427"/>
      <c r="P1" s="1427"/>
      <c r="Q1" s="1427"/>
      <c r="R1" s="1427"/>
      <c r="S1" s="1427"/>
      <c r="T1" s="1427"/>
      <c r="U1" s="1427"/>
      <c r="V1" s="1427"/>
      <c r="W1" s="1427"/>
      <c r="X1" s="1427"/>
      <c r="Y1" s="1427"/>
      <c r="Z1" s="1427"/>
    </row>
    <row r="2">
      <c r="A2" s="110" t="s">
        <v>1259</v>
      </c>
      <c r="B2" s="110" t="s">
        <v>1260</v>
      </c>
      <c r="C2" s="1428">
        <v>16.05</v>
      </c>
    </row>
    <row r="3">
      <c r="A3" s="110" t="s">
        <v>1259</v>
      </c>
      <c r="B3" s="110" t="s">
        <v>1261</v>
      </c>
      <c r="C3" s="1428">
        <v>85.18</v>
      </c>
    </row>
    <row r="4">
      <c r="A4" s="110" t="s">
        <v>225</v>
      </c>
      <c r="B4" s="110" t="s">
        <v>1262</v>
      </c>
      <c r="C4" s="1428">
        <f>72.8+8</f>
        <v>80.8</v>
      </c>
    </row>
    <row r="5">
      <c r="A5" s="110" t="s">
        <v>1259</v>
      </c>
      <c r="B5" s="110" t="s">
        <v>1263</v>
      </c>
      <c r="C5" s="1428">
        <v>32.85</v>
      </c>
    </row>
    <row r="6">
      <c r="A6" s="110" t="s">
        <v>1259</v>
      </c>
      <c r="B6" s="110" t="s">
        <v>1264</v>
      </c>
      <c r="C6" s="1428">
        <v>14.11</v>
      </c>
    </row>
    <row r="7">
      <c r="A7" s="110" t="s">
        <v>225</v>
      </c>
      <c r="B7" s="110" t="s">
        <v>1265</v>
      </c>
      <c r="C7" s="113">
        <v>33.0</v>
      </c>
    </row>
    <row r="8">
      <c r="A8" s="110" t="s">
        <v>1168</v>
      </c>
      <c r="B8" s="110" t="s">
        <v>1266</v>
      </c>
      <c r="C8" s="110">
        <v>223.85</v>
      </c>
    </row>
    <row r="9">
      <c r="A9" s="110" t="s">
        <v>225</v>
      </c>
      <c r="B9" s="110" t="s">
        <v>1267</v>
      </c>
      <c r="C9" s="110">
        <f>252.59-150</f>
        <v>102.59</v>
      </c>
    </row>
    <row r="10">
      <c r="A10" s="110" t="s">
        <v>1259</v>
      </c>
      <c r="B10" s="110" t="s">
        <v>1268</v>
      </c>
      <c r="C10" s="1428">
        <v>31.37</v>
      </c>
    </row>
    <row r="11">
      <c r="A11" s="110" t="s">
        <v>1259</v>
      </c>
      <c r="B11" s="110" t="s">
        <v>1269</v>
      </c>
      <c r="C11" s="1428">
        <v>247.97</v>
      </c>
    </row>
    <row r="12">
      <c r="A12" s="110" t="s">
        <v>1168</v>
      </c>
      <c r="B12" s="110" t="s">
        <v>1270</v>
      </c>
      <c r="C12" s="1428">
        <v>493.75</v>
      </c>
    </row>
    <row r="13">
      <c r="A13" s="110" t="s">
        <v>1259</v>
      </c>
      <c r="B13" s="110" t="s">
        <v>1271</v>
      </c>
      <c r="C13" s="1428">
        <v>45.26</v>
      </c>
    </row>
    <row r="14">
      <c r="A14" s="110" t="s">
        <v>1259</v>
      </c>
      <c r="B14" s="110" t="s">
        <v>1272</v>
      </c>
      <c r="C14" s="1428">
        <v>91.44</v>
      </c>
    </row>
    <row r="15">
      <c r="A15" s="110" t="s">
        <v>1259</v>
      </c>
      <c r="B15" s="110" t="s">
        <v>1273</v>
      </c>
      <c r="C15" s="1428">
        <v>551.68</v>
      </c>
    </row>
    <row r="16">
      <c r="A16" s="110" t="s">
        <v>225</v>
      </c>
      <c r="B16" s="110" t="s">
        <v>1274</v>
      </c>
      <c r="C16" s="1053">
        <f>92.1</f>
        <v>92.1</v>
      </c>
    </row>
    <row r="17">
      <c r="A17" s="110" t="s">
        <v>225</v>
      </c>
      <c r="B17" s="110" t="s">
        <v>1274</v>
      </c>
      <c r="C17" s="1428">
        <v>55.1</v>
      </c>
    </row>
    <row r="18">
      <c r="A18" s="110" t="s">
        <v>225</v>
      </c>
      <c r="B18" s="110" t="s">
        <v>1274</v>
      </c>
      <c r="C18" s="1429">
        <v>33.99</v>
      </c>
    </row>
    <row r="19">
      <c r="A19" s="110" t="s">
        <v>225</v>
      </c>
      <c r="B19" s="110" t="s">
        <v>1275</v>
      </c>
      <c r="C19" s="1053"/>
    </row>
    <row r="20">
      <c r="A20" s="110" t="s">
        <v>1276</v>
      </c>
      <c r="B20" s="110" t="s">
        <v>509</v>
      </c>
      <c r="C20" s="1053">
        <f>1097.47/2</f>
        <v>548.735</v>
      </c>
    </row>
    <row r="21">
      <c r="A21" s="110" t="s">
        <v>225</v>
      </c>
      <c r="B21" s="110" t="s">
        <v>1277</v>
      </c>
      <c r="C21" s="113">
        <v>103.0</v>
      </c>
    </row>
    <row r="22">
      <c r="A22" s="110" t="s">
        <v>225</v>
      </c>
      <c r="B22" s="110" t="s">
        <v>1278</v>
      </c>
      <c r="C22" s="113">
        <v>30.0</v>
      </c>
    </row>
    <row r="23">
      <c r="A23" s="110" t="s">
        <v>225</v>
      </c>
      <c r="B23" s="110" t="s">
        <v>1279</v>
      </c>
      <c r="C23" s="113">
        <v>7.81</v>
      </c>
    </row>
    <row r="24">
      <c r="A24" s="110" t="s">
        <v>225</v>
      </c>
      <c r="B24" s="110" t="s">
        <v>1280</v>
      </c>
      <c r="C24" s="113">
        <v>23.81</v>
      </c>
    </row>
    <row r="25">
      <c r="A25" s="110" t="s">
        <v>225</v>
      </c>
      <c r="B25" s="110" t="s">
        <v>1281</v>
      </c>
      <c r="C25" s="113">
        <v>52.32</v>
      </c>
    </row>
    <row r="26">
      <c r="A26" s="110" t="s">
        <v>225</v>
      </c>
      <c r="B26" s="110" t="s">
        <v>1265</v>
      </c>
      <c r="C26" s="113">
        <v>13.31</v>
      </c>
    </row>
    <row r="27">
      <c r="A27" s="110" t="s">
        <v>225</v>
      </c>
      <c r="B27" s="110" t="s">
        <v>1265</v>
      </c>
      <c r="C27" s="113">
        <v>14.0</v>
      </c>
    </row>
    <row r="28">
      <c r="A28" s="110" t="s">
        <v>225</v>
      </c>
      <c r="B28" s="110" t="s">
        <v>1282</v>
      </c>
      <c r="C28" s="113">
        <v>200.09</v>
      </c>
    </row>
    <row r="29">
      <c r="A29" s="110" t="s">
        <v>225</v>
      </c>
      <c r="B29" s="110" t="s">
        <v>1283</v>
      </c>
      <c r="C29" s="113">
        <v>132.37</v>
      </c>
    </row>
    <row r="30">
      <c r="A30" s="110" t="s">
        <v>225</v>
      </c>
      <c r="B30" s="110" t="s">
        <v>1284</v>
      </c>
      <c r="C30" s="113">
        <v>57.0</v>
      </c>
    </row>
    <row r="31">
      <c r="A31" s="110" t="s">
        <v>225</v>
      </c>
      <c r="B31" s="110" t="s">
        <v>1285</v>
      </c>
      <c r="C31" s="110">
        <v>208.25</v>
      </c>
    </row>
    <row r="32">
      <c r="C32" s="1022">
        <f>sum(C2:C31)</f>
        <v>3621.785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34.5"/>
    <col customWidth="1" min="3" max="4" width="11.38"/>
    <col customWidth="1" min="5" max="5" width="2.63"/>
    <col customWidth="1" min="6" max="6" width="34.5"/>
    <col customWidth="1" min="7" max="8" width="11.38"/>
    <col customWidth="1" min="9" max="9" width="2.63"/>
    <col customWidth="1" hidden="1" min="10" max="10" width="5.13"/>
    <col customWidth="1" hidden="1" min="11" max="12" width="12.63"/>
    <col customWidth="1" hidden="1" min="13" max="13" width="28.25"/>
    <col customWidth="1" hidden="1" min="14" max="15" width="12.63"/>
    <col customWidth="1" hidden="1" min="16" max="16" width="2.63"/>
    <col customWidth="1" hidden="1" min="17" max="17" width="5.13"/>
    <col customWidth="1" hidden="1" min="18" max="19" width="12.63"/>
    <col customWidth="1" hidden="1" min="20" max="20" width="28.25"/>
    <col customWidth="1" hidden="1" min="21" max="22" width="12.63"/>
    <col customWidth="1" hidden="1" min="23" max="23" width="2.63"/>
    <col customWidth="1" hidden="1" min="24" max="24" width="12.63"/>
    <col customWidth="1" hidden="1" min="25" max="25" width="25.13"/>
  </cols>
  <sheetData>
    <row r="1" ht="14.25" customHeight="1">
      <c r="A1" s="1430"/>
      <c r="B1" s="1431"/>
      <c r="C1" s="878"/>
      <c r="D1" s="878"/>
      <c r="E1" s="878"/>
      <c r="F1" s="1432"/>
      <c r="I1" s="1433"/>
      <c r="J1" s="1434" t="s">
        <v>1286</v>
      </c>
      <c r="P1" s="1435"/>
      <c r="Q1" s="1434" t="s">
        <v>1287</v>
      </c>
      <c r="W1" s="783"/>
      <c r="X1" s="1436" t="s">
        <v>1288</v>
      </c>
    </row>
    <row r="2" ht="26.25" customHeight="1">
      <c r="A2" s="1430"/>
      <c r="B2" s="1437" t="s">
        <v>1289</v>
      </c>
      <c r="C2" s="1438"/>
      <c r="D2" s="1439"/>
      <c r="E2" s="1439"/>
      <c r="F2" s="1440"/>
      <c r="G2" s="1439"/>
      <c r="H2" s="1441" t="str">
        <f>image("https://assets.templates.tillermoney.com/Tiller_Icon%402xCrop.png",4,50,38)</f>
        <v/>
      </c>
      <c r="I2" s="1433"/>
      <c r="J2" s="1442" t="s">
        <v>1290</v>
      </c>
      <c r="K2" s="1443" t="s">
        <v>657</v>
      </c>
      <c r="L2" s="1444" t="s">
        <v>672</v>
      </c>
      <c r="M2" s="1444" t="s">
        <v>395</v>
      </c>
      <c r="N2" s="1445" t="s">
        <v>1291</v>
      </c>
      <c r="O2" s="1445" t="s">
        <v>300</v>
      </c>
      <c r="P2" s="1446"/>
      <c r="Q2" s="1447" t="str">
        <f t="shared" ref="Q2:V2" si="1">J2</f>
        <v>Row</v>
      </c>
      <c r="R2" s="1448" t="str">
        <f t="shared" si="1"/>
        <v>Id</v>
      </c>
      <c r="S2" s="1449" t="str">
        <f t="shared" si="1"/>
        <v>Group</v>
      </c>
      <c r="T2" s="1449" t="str">
        <f t="shared" si="1"/>
        <v>Account</v>
      </c>
      <c r="U2" s="1449" t="str">
        <f t="shared" si="1"/>
        <v>Last Updated</v>
      </c>
      <c r="V2" s="1446" t="str">
        <f t="shared" si="1"/>
        <v>Balance</v>
      </c>
      <c r="W2" s="783"/>
      <c r="X2" s="1450" t="s">
        <v>662</v>
      </c>
    </row>
    <row r="3" ht="17.25" customHeight="1">
      <c r="A3" s="1451"/>
      <c r="B3" s="1452" t="str">
        <f>text(today(),"mmmm d, yyyy")</f>
        <v>April 20, 2025</v>
      </c>
      <c r="C3" s="1453"/>
      <c r="D3" s="1454"/>
      <c r="E3" s="1451"/>
      <c r="F3" s="1455"/>
      <c r="G3" s="1454"/>
      <c r="I3" s="1433"/>
      <c r="J3" s="1456" t="str">
        <f>if(ISblank(K3),iferror(1/0),1)</f>
        <v/>
      </c>
      <c r="K3" s="1457" t="str">
        <f>IFERROR(__xludf.DUMMYFUNCTION("iferror(sort(filter({INDIRECT(Y11),INDIRECT(Y12),INDIRECT(Y13)&amp;if(isblank(INDIRECT(Y14)),"""","" (""&amp;INDIRECT(Y14)&amp;"")""),today()-INDIRECT(Y15),Indirect(Y16)},indirect(Y17)=""Asset"",indirect(Y18)&lt;&gt;""Hide""),2,true, 4, true, 3, true))"),"")</f>
        <v/>
      </c>
      <c r="L3" s="1458"/>
      <c r="M3" s="1459"/>
      <c r="N3" s="1460"/>
      <c r="O3" s="1461"/>
      <c r="P3" s="1458"/>
      <c r="Q3" s="1456" t="str">
        <f>if(ISBlank(R3),iferror(1/0),1)</f>
        <v/>
      </c>
      <c r="R3" s="1462" t="str">
        <f>IFERROR(__xludf.DUMMYFUNCTION("iferror(sort(filter({INDIRECT(Y11),INDIRECT(Y12),INDIRECT(Y13)&amp;if(isblank(INDIRECT(Y14)),"""","" (""&amp;INDIRECT(Y14)&amp;"")""),today()-INDIRECT(Y15),Indirect(Y16)},indirect(Y17)=""Liability"",indirect(Y18)&lt;&gt;""Hide""),2,true, 4, true, 3, true))"),"")</f>
        <v/>
      </c>
      <c r="S3" s="1458"/>
      <c r="T3" s="1459"/>
      <c r="U3" s="1460"/>
      <c r="V3" s="1461"/>
      <c r="W3" s="783"/>
      <c r="X3" s="1463" t="s">
        <v>660</v>
      </c>
      <c r="Y3" s="1464" t="str">
        <f t="array" ref="Y3">iferror(char(65+small((IF(X3=Accounts!$G$1:Y$1,COLUMN(Accounts!$G$1:Y$1)-1)),1)))</f>
        <v/>
      </c>
    </row>
    <row r="4" ht="17.25" customHeight="1">
      <c r="A4" s="1451"/>
      <c r="B4" s="1455"/>
      <c r="C4" s="1453"/>
      <c r="D4" s="1454"/>
      <c r="E4" s="1451"/>
      <c r="F4" s="1455"/>
      <c r="G4" s="1454"/>
      <c r="H4" s="1465" t="s">
        <v>1292</v>
      </c>
      <c r="I4" s="1433"/>
      <c r="J4" s="1466" t="str">
        <f t="shared" ref="J4:J102" si="2">if(isblank(L4),iferror(1/0),if(L4=L3,J3+1,J3+3))</f>
        <v/>
      </c>
      <c r="K4" s="1457"/>
      <c r="L4" s="1435"/>
      <c r="M4" s="1435"/>
      <c r="N4" s="1460"/>
      <c r="O4" s="1461"/>
      <c r="P4" s="1435"/>
      <c r="Q4" s="1466" t="str">
        <f t="shared" ref="Q4:Q102" si="3">if(isblank(S4),iferror(1/0),if(S4=S3,Q3+1,Q3+3))</f>
        <v/>
      </c>
      <c r="R4" s="1457"/>
      <c r="S4" s="1435"/>
      <c r="T4" s="1435"/>
      <c r="U4" s="1460"/>
      <c r="V4" s="1467"/>
      <c r="W4" s="783"/>
      <c r="X4" s="1468" t="s">
        <v>672</v>
      </c>
      <c r="Y4" s="1464" t="str">
        <f t="array" ref="Y4">iferror(char(65+small((IF(X4=Accounts!$G$1:Y$1,COLUMN(Accounts!$G$1:Y$1)-1)),1)))</f>
        <v/>
      </c>
    </row>
    <row r="5" ht="22.5" customHeight="1">
      <c r="A5" s="1469"/>
      <c r="B5" s="1470" t="s">
        <v>665</v>
      </c>
      <c r="C5" s="1471"/>
      <c r="D5" s="1471"/>
      <c r="E5" s="1471"/>
      <c r="F5" s="1471"/>
      <c r="G5" s="1471"/>
      <c r="H5" s="1471">
        <f>D7-H7</f>
        <v>0</v>
      </c>
      <c r="I5" s="1433"/>
      <c r="J5" s="1466" t="str">
        <f t="shared" si="2"/>
        <v/>
      </c>
      <c r="K5" s="1457"/>
      <c r="L5" s="1435"/>
      <c r="M5" s="1435"/>
      <c r="N5" s="1460"/>
      <c r="O5" s="1461"/>
      <c r="P5" s="1435"/>
      <c r="Q5" s="1466" t="str">
        <f t="shared" si="3"/>
        <v/>
      </c>
      <c r="R5" s="1457"/>
      <c r="S5" s="1435"/>
      <c r="T5" s="1435"/>
      <c r="U5" s="1460"/>
      <c r="V5" s="1467"/>
      <c r="W5" s="783"/>
      <c r="X5" s="1468" t="s">
        <v>395</v>
      </c>
      <c r="Y5" s="1464" t="str">
        <f t="array" ref="Y5">iferror(char(65+small((IF(X5=Accounts!$G$1:Y$1,COLUMN(Accounts!$G$1:Y$1)-1)),1)))</f>
        <v/>
      </c>
    </row>
    <row r="6" ht="17.25" customHeight="1">
      <c r="A6" s="878"/>
      <c r="I6" s="1433"/>
      <c r="J6" s="1466" t="str">
        <f t="shared" si="2"/>
        <v/>
      </c>
      <c r="K6" s="1457"/>
      <c r="L6" s="1435"/>
      <c r="M6" s="1435"/>
      <c r="N6" s="1460"/>
      <c r="O6" s="1461"/>
      <c r="P6" s="1435"/>
      <c r="Q6" s="1466" t="str">
        <f t="shared" si="3"/>
        <v/>
      </c>
      <c r="R6" s="1457"/>
      <c r="S6" s="1435"/>
      <c r="T6" s="1435"/>
      <c r="U6" s="1460"/>
      <c r="V6" s="1467"/>
      <c r="W6" s="783"/>
      <c r="X6" s="1468" t="s">
        <v>658</v>
      </c>
      <c r="Y6" s="1464" t="str">
        <f t="array" ref="Y6">iferror(char(65+small((IF(X6=Accounts!$G$1:Y$1,COLUMN(Accounts!$G$1:Y$1)-1)),1)))</f>
        <v/>
      </c>
    </row>
    <row r="7" ht="22.5" customHeight="1">
      <c r="A7" s="1472"/>
      <c r="B7" s="1473" t="s">
        <v>673</v>
      </c>
      <c r="C7" s="1474"/>
      <c r="D7" s="1474">
        <f>sum(D8:D104)/2</f>
        <v>0</v>
      </c>
      <c r="E7" s="777"/>
      <c r="F7" s="1475" t="s">
        <v>697</v>
      </c>
      <c r="G7" s="1476"/>
      <c r="H7" s="1474">
        <f>sum(H8:H104)/2</f>
        <v>0</v>
      </c>
      <c r="I7" s="1433"/>
      <c r="J7" s="1466" t="str">
        <f t="shared" si="2"/>
        <v/>
      </c>
      <c r="K7" s="1457"/>
      <c r="L7" s="1435"/>
      <c r="M7" s="1435"/>
      <c r="N7" s="1460"/>
      <c r="O7" s="1461"/>
      <c r="P7" s="1435"/>
      <c r="Q7" s="1466" t="str">
        <f t="shared" si="3"/>
        <v/>
      </c>
      <c r="R7" s="1457"/>
      <c r="S7" s="1435"/>
      <c r="T7" s="1435"/>
      <c r="U7" s="1460"/>
      <c r="V7" s="1467"/>
      <c r="W7" s="783"/>
      <c r="X7" s="1468" t="s">
        <v>664</v>
      </c>
      <c r="Y7" s="1464" t="str">
        <f t="array" ref="Y7">iferror(char(65+small((IF(X7=Accounts!$G$1:Y$1,COLUMN(Accounts!$G$1:Y$1)-1)),1)))</f>
        <v/>
      </c>
    </row>
    <row r="8" ht="17.25" customHeight="1">
      <c r="A8" s="1472"/>
      <c r="B8" s="1477"/>
      <c r="C8" s="1478"/>
      <c r="D8" s="857"/>
      <c r="E8" s="777"/>
      <c r="F8" s="1477"/>
      <c r="G8" s="1478"/>
      <c r="H8" s="852"/>
      <c r="I8" s="1433"/>
      <c r="J8" s="1466" t="str">
        <f t="shared" si="2"/>
        <v/>
      </c>
      <c r="K8" s="1457"/>
      <c r="L8" s="1435"/>
      <c r="M8" s="1435"/>
      <c r="N8" s="1460"/>
      <c r="O8" s="1461"/>
      <c r="P8" s="1435"/>
      <c r="Q8" s="1466" t="str">
        <f t="shared" si="3"/>
        <v/>
      </c>
      <c r="R8" s="1457"/>
      <c r="S8" s="1435"/>
      <c r="T8" s="1435"/>
      <c r="U8" s="1460"/>
      <c r="V8" s="1467"/>
      <c r="W8" s="783"/>
      <c r="X8" s="1468" t="s">
        <v>663</v>
      </c>
      <c r="Y8" s="1464" t="str">
        <f t="array" ref="Y8">iferror(char(65+small((IF(X8=Accounts!$G$1:Y$1,COLUMN(Accounts!$G$1:Y$1)-1)),1)))</f>
        <v/>
      </c>
    </row>
    <row r="9" ht="22.5" customHeight="1">
      <c r="A9" s="1472"/>
      <c r="B9" s="1452" t="str">
        <f t="array" ref="B9:D9">iferror(if(iserror(match(row($B9)-row($B$9),$J$3:$J104,0)),if(iserror(match(row($B9)-row($B$9)+1,$J$3:$J104,0)),{iferror(1/0),iferror(1/0),iferror(1/0)},{upper(vlookup(row(B9)-row(B$9)+1,$J$3:$L104,3,false)),"Updated",sumif($L$3:$L104,vlookup(row($B9)-row($B$9)+1,$J$3:$L104,3,false),$O$3:$O104)}),vlookup(row($B9)-row($B$9),{$J$3:J104,$M$3:M104,$N$3:N104,$O$3:O104},{2,3,4},false)))</f>
        <v/>
      </c>
      <c r="C9" s="1460"/>
      <c r="D9" s="852"/>
      <c r="E9" s="777"/>
      <c r="F9" s="1479" t="str">
        <f t="array" ref="F9:H9">iferror(if(iserror(match(row($B9)-row($B$9),$Q$3:$Q104,0)),if(iserror(match(row($B9)-row($B$9)+1,$Q$3:$Q104,0)),{iferror(1/0),iferror(1/0),iferror(1/0)},{upper(vlookup(row(B9)-row(B$9)+1,$Q$3:$S104,3,false)),"Updated",sumif($S$3:$S104,vlookup(row($B9)-row($B$9)+1,$Q$3:$S104,3,false),$V$3:$V104)}),vlookup(row($B9)-row($B$9),{$Q$3:Q104,$T$3:T104,$U$3:U104,$V$3:V104},{2,3,4},false)))</f>
        <v/>
      </c>
      <c r="G9" s="1460"/>
      <c r="H9" s="852"/>
      <c r="I9" s="1433"/>
      <c r="J9" s="1466" t="str">
        <f t="shared" si="2"/>
        <v/>
      </c>
      <c r="K9" s="1457"/>
      <c r="L9" s="1435"/>
      <c r="M9" s="1435"/>
      <c r="N9" s="1460"/>
      <c r="O9" s="1461"/>
      <c r="P9" s="1435"/>
      <c r="Q9" s="1466" t="str">
        <f t="shared" si="3"/>
        <v/>
      </c>
      <c r="R9" s="1457"/>
      <c r="S9" s="1435"/>
      <c r="T9" s="1435"/>
      <c r="U9" s="1460"/>
      <c r="V9" s="1467"/>
      <c r="W9" s="783"/>
      <c r="X9" s="1468" t="s">
        <v>656</v>
      </c>
      <c r="Y9" s="1464" t="str">
        <f t="array" ref="Y9">iferror(char(65+small((IF(X9=Accounts!$G$1:Y$1,COLUMN(Accounts!$G$1:Y$1)-1)),1)))</f>
        <v/>
      </c>
    </row>
    <row r="10" ht="17.25" customHeight="1">
      <c r="A10" s="1472"/>
      <c r="B10" s="1452" t="str">
        <f t="array" ref="B10:D10">iferror(if(iserror(match(row($B10)-row($B$9),$J$3:$J104,0)),if(iserror(match(row($B10)-row($B$9)+1,$J$3:$J104,0)),{iferror(1/0),iferror(1/0),iferror(1/0)},{upper(vlookup(row(B10)-row(B$9)+1,$J$3:$L104,3,false)),"Updated",sumif($L$3:$L104,vlookup(row($B10)-row($B$9)+1,$J$3:$L104,3,false),$O$3:$O104)}),vlookup(row($B10)-row($B$9),{$J$3:J104,$M$3:M104,$N$3:N104,$O$3:O104},{2,3,4},false)))</f>
        <v/>
      </c>
      <c r="C10" s="1460"/>
      <c r="D10" s="852"/>
      <c r="E10" s="777"/>
      <c r="F10" s="1479" t="str">
        <f t="array" ref="F10:H10">iferror(if(iserror(match(row($B10)-row($B$9),$Q$3:$Q104,0)),if(iserror(match(row($B10)-row($B$9)+1,$Q$3:$Q104,0)),{iferror(1/0),iferror(1/0),iferror(1/0)},{upper(vlookup(row(B10)-row(B$9)+1,$Q$3:$S104,3,false)),"Updated",sumif($S$3:$S104,vlookup(row($B10)-row($B$9)+1,$Q$3:$S104,3,false),$V$3:$V104)}),vlookup(row($B10)-row($B$9),{$Q$3:Q104,$T$3:T104,$U$3:U104,$V$3:V104},{2,3,4},false)))</f>
        <v/>
      </c>
      <c r="G10" s="1460"/>
      <c r="H10" s="852"/>
      <c r="I10" s="1433"/>
      <c r="J10" s="1466" t="str">
        <f t="shared" si="2"/>
        <v/>
      </c>
      <c r="K10" s="1457"/>
      <c r="L10" s="1435"/>
      <c r="M10" s="1435"/>
      <c r="N10" s="1460"/>
      <c r="O10" s="1461"/>
      <c r="P10" s="1435"/>
      <c r="Q10" s="1466" t="str">
        <f t="shared" si="3"/>
        <v/>
      </c>
      <c r="R10" s="1457"/>
      <c r="S10" s="1435"/>
      <c r="T10" s="1435"/>
      <c r="U10" s="1460"/>
      <c r="V10" s="1467"/>
      <c r="W10" s="783"/>
      <c r="X10" s="1468" t="s">
        <v>674</v>
      </c>
      <c r="Y10" s="1464" t="str">
        <f t="array" ref="Y10">iferror(char(65+small((IF(X10=Accounts!$G$1:Y$1,COLUMN(Accounts!$G$1:Y$1)-1)),1)))</f>
        <v/>
      </c>
    </row>
    <row r="11" ht="17.25" customHeight="1">
      <c r="A11" s="1472"/>
      <c r="B11" s="1452" t="str">
        <f t="array" ref="B11:D11">iferror(if(iserror(match(row($B11)-row($B$9),$J$3:$J104,0)),if(iserror(match(row($B11)-row($B$9)+1,$J$3:$J104,0)),{iferror(1/0),iferror(1/0),iferror(1/0)},{upper(vlookup(row(B11)-row(B$9)+1,$J$3:$L104,3,false)),"Updated",sumif($L$3:$L104,vlookup(row($B11)-row($B$9)+1,$J$3:$L104,3,false),$O$3:$O104)}),vlookup(row($B11)-row($B$9),{$J$3:J104,$M$3:M104,$N$3:N104,$O$3:O104},{2,3,4},false)))</f>
        <v/>
      </c>
      <c r="C11" s="1460"/>
      <c r="D11" s="852"/>
      <c r="E11" s="777"/>
      <c r="F11" s="1479" t="str">
        <f t="array" ref="F11:H11">iferror(if(iserror(match(row($B11)-row($B$9),$Q$3:$Q104,0)),if(iserror(match(row($B11)-row($B$9)+1,$Q$3:$Q104,0)),{iferror(1/0),iferror(1/0),iferror(1/0)},{upper(vlookup(row(B11)-row(B$9)+1,$Q$3:$S104,3,false)),"Updated",sumif($S$3:$S104,vlookup(row($B11)-row($B$9)+1,$Q$3:$S104,3,false),$V$3:$V104)}),vlookup(row($B11)-row($B$9),{$Q$3:Q104,$T$3:T104,$U$3:U104,$V$3:V104},{2,3,4},false)))</f>
        <v/>
      </c>
      <c r="G11" s="1460"/>
      <c r="H11" s="852"/>
      <c r="I11" s="1433"/>
      <c r="J11" s="1466" t="str">
        <f t="shared" si="2"/>
        <v/>
      </c>
      <c r="K11" s="1457"/>
      <c r="L11" s="1435"/>
      <c r="M11" s="1435"/>
      <c r="N11" s="1460"/>
      <c r="O11" s="1461"/>
      <c r="P11" s="1435"/>
      <c r="Q11" s="1466" t="str">
        <f t="shared" si="3"/>
        <v/>
      </c>
      <c r="R11" s="1457"/>
      <c r="S11" s="1435"/>
      <c r="T11" s="1435"/>
      <c r="U11" s="1460"/>
      <c r="V11" s="1467"/>
      <c r="W11" s="783"/>
      <c r="X11" s="1468" t="str">
        <f t="shared" ref="X11:X18" si="4">X3</f>
        <v>Account Id</v>
      </c>
      <c r="Y11" s="1468" t="str">
        <f t="shared" ref="Y11:Y18" si="5">"'"&amp;$X$2&amp;"'!$"&amp;Y3&amp;"$2:$"&amp;Y3</f>
        <v>'Accounts'!$$2:$</v>
      </c>
    </row>
    <row r="12" ht="17.25" customHeight="1">
      <c r="A12" s="1472"/>
      <c r="B12" s="1452" t="str">
        <f t="array" ref="B12:D12">iferror(if(iserror(match(row($B12)-row($B$9),$J$3:$J104,0)),if(iserror(match(row($B12)-row($B$9)+1,$J$3:$J104,0)),{iferror(1/0),iferror(1/0),iferror(1/0)},{upper(vlookup(row(B12)-row(B$9)+1,$J$3:$L104,3,false)),"Updated",sumif($L$3:$L104,vlookup(row($B12)-row($B$9)+1,$J$3:$L104,3,false),$O$3:$O104)}),vlookup(row($B12)-row($B$9),{$J$3:J104,$M$3:M104,$N$3:N104,$O$3:O104},{2,3,4},false)))</f>
        <v/>
      </c>
      <c r="C12" s="1460"/>
      <c r="D12" s="852"/>
      <c r="E12" s="777"/>
      <c r="F12" s="1479" t="str">
        <f t="array" ref="F12:H12">iferror(if(iserror(match(row($B12)-row($B$9),$Q$3:$Q104,0)),if(iserror(match(row($B12)-row($B$9)+1,$Q$3:$Q104,0)),{iferror(1/0),iferror(1/0),iferror(1/0)},{upper(vlookup(row(B12)-row(B$9)+1,$Q$3:$S104,3,false)),"Updated",sumif($S$3:$S104,vlookup(row($B12)-row($B$9)+1,$Q$3:$S104,3,false),$V$3:$V104)}),vlookup(row($B12)-row($B$9),{$Q$3:Q104,$T$3:T104,$U$3:U104,$V$3:V104},{2,3,4},false)))</f>
        <v/>
      </c>
      <c r="G12" s="1460"/>
      <c r="H12" s="852"/>
      <c r="I12" s="1433"/>
      <c r="J12" s="1466" t="str">
        <f t="shared" si="2"/>
        <v/>
      </c>
      <c r="K12" s="1457"/>
      <c r="L12" s="1435"/>
      <c r="M12" s="1435"/>
      <c r="N12" s="1460"/>
      <c r="O12" s="1461"/>
      <c r="P12" s="1435"/>
      <c r="Q12" s="1466" t="str">
        <f t="shared" si="3"/>
        <v/>
      </c>
      <c r="R12" s="1457"/>
      <c r="S12" s="1435"/>
      <c r="T12" s="1435"/>
      <c r="U12" s="1460"/>
      <c r="V12" s="1467"/>
      <c r="W12" s="783"/>
      <c r="X12" s="1468" t="str">
        <f t="shared" si="4"/>
        <v>Group</v>
      </c>
      <c r="Y12" s="1468" t="str">
        <f t="shared" si="5"/>
        <v>'Accounts'!$$2:$</v>
      </c>
    </row>
    <row r="13" ht="17.25" customHeight="1">
      <c r="A13" s="1472"/>
      <c r="B13" s="1452" t="str">
        <f t="array" ref="B13:D13">iferror(if(iserror(match(row($B13)-row($B$9),$J$3:$J104,0)),if(iserror(match(row($B13)-row($B$9)+1,$J$3:$J104,0)),{iferror(1/0),iferror(1/0),iferror(1/0)},{upper(vlookup(row(B13)-row(B$9)+1,$J$3:$L104,3,false)),"Updated",sumif($L$3:$L104,vlookup(row($B13)-row($B$9)+1,$J$3:$L104,3,false),$O$3:$O104)}),vlookup(row($B13)-row($B$9),{$J$3:J104,$M$3:M104,$N$3:N104,$O$3:O104},{2,3,4},false)))</f>
        <v/>
      </c>
      <c r="C13" s="1460"/>
      <c r="D13" s="852"/>
      <c r="E13" s="777"/>
      <c r="F13" s="1479" t="str">
        <f t="array" ref="F13:H13">iferror(if(iserror(match(row($B13)-row($B$9),$Q$3:$Q104,0)),if(iserror(match(row($B13)-row($B$9)+1,$Q$3:$Q104,0)),{iferror(1/0),iferror(1/0),iferror(1/0)},{upper(vlookup(row(B13)-row(B$9)+1,$Q$3:$S104,3,false)),"Updated",sumif($S$3:$S104,vlookup(row($B13)-row($B$9)+1,$Q$3:$S104,3,false),$V$3:$V104)}),vlookup(row($B13)-row($B$9),{$Q$3:Q104,$T$3:T104,$U$3:U104,$V$3:V104},{2,3,4},false)))</f>
        <v/>
      </c>
      <c r="G13" s="1460"/>
      <c r="H13" s="852"/>
      <c r="I13" s="1433"/>
      <c r="J13" s="1466" t="str">
        <f t="shared" si="2"/>
        <v/>
      </c>
      <c r="K13" s="1457"/>
      <c r="L13" s="1435"/>
      <c r="M13" s="1435"/>
      <c r="N13" s="1460"/>
      <c r="O13" s="1461"/>
      <c r="P13" s="1435"/>
      <c r="Q13" s="1466" t="str">
        <f t="shared" si="3"/>
        <v/>
      </c>
      <c r="R13" s="1457"/>
      <c r="S13" s="1435"/>
      <c r="T13" s="1435"/>
      <c r="U13" s="1460"/>
      <c r="V13" s="1467"/>
      <c r="W13" s="783"/>
      <c r="X13" s="1468" t="str">
        <f t="shared" si="4"/>
        <v>Account</v>
      </c>
      <c r="Y13" s="1468" t="str">
        <f t="shared" si="5"/>
        <v>'Accounts'!$$2:$</v>
      </c>
    </row>
    <row r="14" ht="17.25" customHeight="1">
      <c r="A14" s="878"/>
      <c r="B14" s="1452" t="str">
        <f t="array" ref="B14:D14">iferror(if(iserror(match(row($B14)-row($B$9),$J$3:$J104,0)),if(iserror(match(row($B14)-row($B$9)+1,$J$3:$J104,0)),{iferror(1/0),iferror(1/0),iferror(1/0)},{upper(vlookup(row(B14)-row(B$9)+1,$J$3:$L104,3,false)),"Updated",sumif($L$3:$L104,vlookup(row($B14)-row($B$9)+1,$J$3:$L104,3,false),$O$3:$O104)}),vlookup(row($B14)-row($B$9),{$J$3:J104,$M$3:M104,$N$3:N104,$O$3:O104},{2,3,4},false)))</f>
        <v/>
      </c>
      <c r="C14" s="1460"/>
      <c r="D14" s="852"/>
      <c r="E14" s="777"/>
      <c r="F14" s="1479" t="str">
        <f t="array" ref="F14:H14">iferror(if(iserror(match(row($B14)-row($B$9),$Q$3:$Q104,0)),if(iserror(match(row($B14)-row($B$9)+1,$Q$3:$Q104,0)),{iferror(1/0),iferror(1/0),iferror(1/0)},{upper(vlookup(row(B14)-row(B$9)+1,$Q$3:$S104,3,false)),"Updated",sumif($S$3:$S104,vlookup(row($B14)-row($B$9)+1,$Q$3:$S104,3,false),$V$3:$V104)}),vlookup(row($B14)-row($B$9),{$Q$3:Q104,$T$3:T104,$U$3:U104,$V$3:V104},{2,3,4},false)))</f>
        <v/>
      </c>
      <c r="G14" s="1460"/>
      <c r="H14" s="852"/>
      <c r="I14" s="1433"/>
      <c r="J14" s="1466" t="str">
        <f t="shared" si="2"/>
        <v/>
      </c>
      <c r="K14" s="1457"/>
      <c r="L14" s="1435"/>
      <c r="M14" s="1435"/>
      <c r="N14" s="1460"/>
      <c r="O14" s="1461"/>
      <c r="P14" s="1435"/>
      <c r="Q14" s="1466" t="str">
        <f t="shared" si="3"/>
        <v/>
      </c>
      <c r="R14" s="1457"/>
      <c r="S14" s="1435"/>
      <c r="T14" s="1435"/>
      <c r="U14" s="1460"/>
      <c r="V14" s="1467"/>
      <c r="W14" s="783"/>
      <c r="X14" s="1468" t="str">
        <f t="shared" si="4"/>
        <v>Account #</v>
      </c>
      <c r="Y14" s="1468" t="str">
        <f t="shared" si="5"/>
        <v>'Accounts'!$$2:$</v>
      </c>
    </row>
    <row r="15" ht="17.25" customHeight="1">
      <c r="A15" s="878"/>
      <c r="B15" s="1452" t="str">
        <f t="array" ref="B15:D15">iferror(if(iserror(match(row($B15)-row($B$9),$J$3:$J104,0)),if(iserror(match(row($B15)-row($B$9)+1,$J$3:$J104,0)),{iferror(1/0),iferror(1/0),iferror(1/0)},{upper(vlookup(row(B15)-row(B$9)+1,$J$3:$L104,3,false)),"Updated",sumif($L$3:$L104,vlookup(row($B15)-row($B$9)+1,$J$3:$L104,3,false),$O$3:$O104)}),vlookup(row($B15)-row($B$9),{$J$3:J104,$M$3:M104,$N$3:N104,$O$3:O104},{2,3,4},false)))</f>
        <v/>
      </c>
      <c r="C15" s="1460"/>
      <c r="D15" s="852"/>
      <c r="E15" s="777"/>
      <c r="F15" s="1479" t="str">
        <f t="array" ref="F15:H15">iferror(if(iserror(match(row($B15)-row($B$9),$Q$3:$Q104,0)),if(iserror(match(row($B15)-row($B$9)+1,$Q$3:$Q104,0)),{iferror(1/0),iferror(1/0),iferror(1/0)},{upper(vlookup(row(B15)-row(B$9)+1,$Q$3:$S104,3,false)),"Updated",sumif($S$3:$S104,vlookup(row($B15)-row($B$9)+1,$Q$3:$S104,3,false),$V$3:$V104)}),vlookup(row($B15)-row($B$9),{$Q$3:Q104,$T$3:T104,$U$3:U104,$V$3:V104},{2,3,4},false)))</f>
        <v/>
      </c>
      <c r="G15" s="1460"/>
      <c r="H15" s="852"/>
      <c r="I15" s="1433"/>
      <c r="J15" s="1466" t="str">
        <f t="shared" si="2"/>
        <v/>
      </c>
      <c r="K15" s="1457"/>
      <c r="L15" s="1435"/>
      <c r="M15" s="1435"/>
      <c r="N15" s="1460"/>
      <c r="O15" s="1461"/>
      <c r="P15" s="1435"/>
      <c r="Q15" s="1466" t="str">
        <f t="shared" si="3"/>
        <v/>
      </c>
      <c r="R15" s="1457"/>
      <c r="S15" s="1435"/>
      <c r="T15" s="1435"/>
      <c r="U15" s="1460"/>
      <c r="V15" s="1467"/>
      <c r="W15" s="783"/>
      <c r="X15" s="1468" t="str">
        <f t="shared" si="4"/>
        <v>Last Update</v>
      </c>
      <c r="Y15" s="1468" t="str">
        <f t="shared" si="5"/>
        <v>'Accounts'!$$2:$</v>
      </c>
    </row>
    <row r="16" ht="17.25" customHeight="1">
      <c r="A16" s="878"/>
      <c r="B16" s="1452" t="str">
        <f t="array" ref="B16:D16">iferror(if(iserror(match(row($B16)-row($B$9),$J$3:$J104,0)),if(iserror(match(row($B16)-row($B$9)+1,$J$3:$J104,0)),{iferror(1/0),iferror(1/0),iferror(1/0)},{upper(vlookup(row(B16)-row(B$9)+1,$J$3:$L104,3,false)),"Updated",sumif($L$3:$L104,vlookup(row($B16)-row($B$9)+1,$J$3:$L104,3,false),$O$3:$O104)}),vlookup(row($B16)-row($B$9),{$J$3:J104,$M$3:M104,$N$3:N104,$O$3:O104},{2,3,4},false)))</f>
        <v/>
      </c>
      <c r="C16" s="1460"/>
      <c r="D16" s="852"/>
      <c r="E16" s="777"/>
      <c r="F16" s="1479" t="str">
        <f t="array" ref="F16:H16">iferror(if(iserror(match(row($B16)-row($B$9),$Q$3:$Q104,0)),if(iserror(match(row($B16)-row($B$9)+1,$Q$3:$Q104,0)),{iferror(1/0),iferror(1/0),iferror(1/0)},{upper(vlookup(row(B16)-row(B$9)+1,$Q$3:$S104,3,false)),"Updated",sumif($S$3:$S104,vlookup(row($B16)-row($B$9)+1,$Q$3:$S104,3,false),$V$3:$V104)}),vlookup(row($B16)-row($B$9),{$Q$3:Q104,$T$3:T104,$U$3:U104,$V$3:V104},{2,3,4},false)))</f>
        <v/>
      </c>
      <c r="G16" s="1460"/>
      <c r="H16" s="852"/>
      <c r="I16" s="1433"/>
      <c r="J16" s="1466" t="str">
        <f t="shared" si="2"/>
        <v/>
      </c>
      <c r="K16" s="1457"/>
      <c r="L16" s="1435"/>
      <c r="M16" s="1435"/>
      <c r="N16" s="1460"/>
      <c r="O16" s="1461"/>
      <c r="P16" s="1435"/>
      <c r="Q16" s="1466" t="str">
        <f t="shared" si="3"/>
        <v/>
      </c>
      <c r="R16" s="1457"/>
      <c r="S16" s="1435"/>
      <c r="T16" s="1435"/>
      <c r="U16" s="1460"/>
      <c r="V16" s="1467"/>
      <c r="W16" s="783"/>
      <c r="X16" s="1468" t="str">
        <f t="shared" si="4"/>
        <v>Last Balance</v>
      </c>
      <c r="Y16" s="1468" t="str">
        <f t="shared" si="5"/>
        <v>'Accounts'!$$2:$</v>
      </c>
    </row>
    <row r="17" ht="17.25" customHeight="1">
      <c r="A17" s="878"/>
      <c r="B17" s="1452" t="str">
        <f t="array" ref="B17:D17">iferror(if(iserror(match(row($B17)-row($B$9),$J$3:$J104,0)),if(iserror(match(row($B17)-row($B$9)+1,$J$3:$J104,0)),{iferror(1/0),iferror(1/0),iferror(1/0)},{upper(vlookup(row(B17)-row(B$9)+1,$J$3:$L104,3,false)),"Updated",sumif($L$3:$L104,vlookup(row($B17)-row($B$9)+1,$J$3:$L104,3,false),$O$3:$O104)}),vlookup(row($B17)-row($B$9),{$J$3:J104,$M$3:M104,$N$3:N104,$O$3:O104},{2,3,4},false)))</f>
        <v/>
      </c>
      <c r="C17" s="1460"/>
      <c r="D17" s="852"/>
      <c r="E17" s="777"/>
      <c r="F17" s="1479" t="str">
        <f t="array" ref="F17:H17">iferror(if(iserror(match(row($B17)-row($B$9),$Q$3:$Q104,0)),if(iserror(match(row($B17)-row($B$9)+1,$Q$3:$Q104,0)),{iferror(1/0),iferror(1/0),iferror(1/0)},{upper(vlookup(row(B17)-row(B$9)+1,$Q$3:$S104,3,false)),"Updated",sumif($S$3:$S104,vlookup(row($B17)-row($B$9)+1,$Q$3:$S104,3,false),$V$3:$V104)}),vlookup(row($B17)-row($B$9),{$Q$3:Q104,$T$3:T104,$U$3:U104,$V$3:V104},{2,3,4},false)))</f>
        <v/>
      </c>
      <c r="G17" s="1460"/>
      <c r="H17" s="852"/>
      <c r="I17" s="1433"/>
      <c r="J17" s="1466" t="str">
        <f t="shared" si="2"/>
        <v/>
      </c>
      <c r="K17" s="1457"/>
      <c r="L17" s="1435"/>
      <c r="M17" s="1435"/>
      <c r="N17" s="1460"/>
      <c r="O17" s="1461"/>
      <c r="P17" s="1435"/>
      <c r="Q17" s="1466" t="str">
        <f t="shared" si="3"/>
        <v/>
      </c>
      <c r="R17" s="1457"/>
      <c r="S17" s="1435"/>
      <c r="T17" s="1435"/>
      <c r="U17" s="1460"/>
      <c r="V17" s="1467"/>
      <c r="W17" s="783"/>
      <c r="X17" s="1468" t="str">
        <f t="shared" si="4"/>
        <v>Class</v>
      </c>
      <c r="Y17" s="1468" t="str">
        <f t="shared" si="5"/>
        <v>'Accounts'!$$2:$</v>
      </c>
    </row>
    <row r="18" ht="17.25" customHeight="1">
      <c r="A18" s="878"/>
      <c r="B18" s="1452" t="str">
        <f t="array" ref="B18:D18">iferror(if(iserror(match(row($B18)-row($B$9),$J$3:$J104,0)),if(iserror(match(row($B18)-row($B$9)+1,$J$3:$J104,0)),{iferror(1/0),iferror(1/0),iferror(1/0)},{upper(vlookup(row(B18)-row(B$9)+1,$J$3:$L104,3,false)),"Updated",sumif($L$3:$L104,vlookup(row($B18)-row($B$9)+1,$J$3:$L104,3,false),$O$3:$O104)}),vlookup(row($B18)-row($B$9),{$J$3:J104,$M$3:M104,$N$3:N104,$O$3:O104},{2,3,4},false)))</f>
        <v/>
      </c>
      <c r="C18" s="1460"/>
      <c r="D18" s="852"/>
      <c r="E18" s="777"/>
      <c r="F18" s="1479" t="str">
        <f t="array" ref="F18:H18">iferror(if(iserror(match(row($B18)-row($B$9),$Q$3:$Q104,0)),if(iserror(match(row($B18)-row($B$9)+1,$Q$3:$Q104,0)),{iferror(1/0),iferror(1/0),iferror(1/0)},{upper(vlookup(row(B18)-row(B$9)+1,$Q$3:$S104,3,false)),"Updated",sumif($S$3:$S104,vlookup(row($B18)-row($B$9)+1,$Q$3:$S104,3,false),$V$3:$V104)}),vlookup(row($B18)-row($B$9),{$Q$3:Q104,$T$3:T104,$U$3:U104,$V$3:V104},{2,3,4},false)))</f>
        <v/>
      </c>
      <c r="G18" s="1460"/>
      <c r="H18" s="852"/>
      <c r="I18" s="1433"/>
      <c r="J18" s="1466" t="str">
        <f t="shared" si="2"/>
        <v/>
      </c>
      <c r="K18" s="1457"/>
      <c r="L18" s="1435"/>
      <c r="M18" s="1435"/>
      <c r="N18" s="1460"/>
      <c r="O18" s="1461"/>
      <c r="P18" s="1435"/>
      <c r="Q18" s="1466" t="str">
        <f t="shared" si="3"/>
        <v/>
      </c>
      <c r="R18" s="1457"/>
      <c r="S18" s="1435"/>
      <c r="T18" s="1435"/>
      <c r="U18" s="1460"/>
      <c r="V18" s="1467"/>
      <c r="W18" s="783"/>
      <c r="X18" s="1468" t="str">
        <f t="shared" si="4"/>
        <v>Hide</v>
      </c>
      <c r="Y18" s="1468" t="str">
        <f t="shared" si="5"/>
        <v>'Accounts'!$$2:$</v>
      </c>
    </row>
    <row r="19" ht="17.25" customHeight="1">
      <c r="A19" s="878"/>
      <c r="B19" s="1452" t="str">
        <f t="array" ref="B19:D19">iferror(if(iserror(match(row($B19)-row($B$9),$J$3:$J104,0)),if(iserror(match(row($B19)-row($B$9)+1,$J$3:$J104,0)),{iferror(1/0),iferror(1/0),iferror(1/0)},{upper(vlookup(row(B19)-row(B$9)+1,$J$3:$L104,3,false)),"Updated",sumif($L$3:$L104,vlookup(row($B19)-row($B$9)+1,$J$3:$L104,3,false),$O$3:$O104)}),vlookup(row($B19)-row($B$9),{$J$3:J104,$M$3:M104,$N$3:N104,$O$3:O104},{2,3,4},false)))</f>
        <v/>
      </c>
      <c r="C19" s="1460"/>
      <c r="D19" s="852"/>
      <c r="E19" s="777"/>
      <c r="F19" s="1479" t="str">
        <f t="array" ref="F19:H19">iferror(if(iserror(match(row($B19)-row($B$9),$Q$3:$Q104,0)),if(iserror(match(row($B19)-row($B$9)+1,$Q$3:$Q104,0)),{iferror(1/0),iferror(1/0),iferror(1/0)},{upper(vlookup(row(B19)-row(B$9)+1,$Q$3:$S104,3,false)),"Updated",sumif($S$3:$S104,vlookup(row($B19)-row($B$9)+1,$Q$3:$S104,3,false),$V$3:$V104)}),vlookup(row($B19)-row($B$9),{$Q$3:Q104,$T$3:T104,$U$3:U104,$V$3:V104},{2,3,4},false)))</f>
        <v/>
      </c>
      <c r="G19" s="1460"/>
      <c r="H19" s="852"/>
      <c r="I19" s="1433"/>
      <c r="J19" s="1466" t="str">
        <f t="shared" si="2"/>
        <v/>
      </c>
      <c r="K19" s="1457"/>
      <c r="L19" s="1435"/>
      <c r="M19" s="1435"/>
      <c r="N19" s="1460"/>
      <c r="O19" s="1461"/>
      <c r="P19" s="1435"/>
      <c r="Q19" s="1466" t="str">
        <f t="shared" si="3"/>
        <v/>
      </c>
      <c r="R19" s="1457"/>
      <c r="S19" s="1435"/>
      <c r="T19" s="1435"/>
      <c r="U19" s="1460"/>
      <c r="V19" s="1467"/>
      <c r="W19" s="783"/>
      <c r="X19" s="1468"/>
    </row>
    <row r="20" ht="17.25" customHeight="1">
      <c r="A20" s="878"/>
      <c r="B20" s="1452" t="str">
        <f t="array" ref="B20:D20">iferror(if(iserror(match(row($B20)-row($B$9),$J$3:$J104,0)),if(iserror(match(row($B20)-row($B$9)+1,$J$3:$J104,0)),{iferror(1/0),iferror(1/0),iferror(1/0)},{upper(vlookup(row(B20)-row(B$9)+1,$J$3:$L104,3,false)),"Updated",sumif($L$3:$L104,vlookup(row($B20)-row($B$9)+1,$J$3:$L104,3,false),$O$3:$O104)}),vlookup(row($B20)-row($B$9),{$J$3:J104,$M$3:M104,$N$3:N104,$O$3:O104},{2,3,4},false)))</f>
        <v/>
      </c>
      <c r="C20" s="1460"/>
      <c r="D20" s="852"/>
      <c r="E20" s="777"/>
      <c r="F20" s="1479" t="str">
        <f t="array" ref="F20:H20">iferror(if(iserror(match(row($B20)-row($B$9),$Q$3:$Q104,0)),if(iserror(match(row($B20)-row($B$9)+1,$Q$3:$Q104,0)),{iferror(1/0),iferror(1/0),iferror(1/0)},{upper(vlookup(row(B20)-row(B$9)+1,$Q$3:$S104,3,false)),"Updated",sumif($S$3:$S104,vlookup(row($B20)-row($B$9)+1,$Q$3:$S104,3,false),$V$3:$V104)}),vlookup(row($B20)-row($B$9),{$Q$3:Q104,$T$3:T104,$U$3:U104,$V$3:V104},{2,3,4},false)))</f>
        <v/>
      </c>
      <c r="G20" s="1460"/>
      <c r="H20" s="852"/>
      <c r="I20" s="1433"/>
      <c r="J20" s="1466" t="str">
        <f t="shared" si="2"/>
        <v/>
      </c>
      <c r="K20" s="1480"/>
      <c r="L20" s="878"/>
      <c r="M20" s="1481"/>
      <c r="N20" s="1460"/>
      <c r="O20" s="1461"/>
      <c r="P20" s="1435"/>
      <c r="Q20" s="1466" t="str">
        <f t="shared" si="3"/>
        <v/>
      </c>
      <c r="R20" s="1457"/>
      <c r="S20" s="1435"/>
      <c r="T20" s="1435"/>
      <c r="U20" s="1460"/>
      <c r="V20" s="1467"/>
      <c r="W20" s="783"/>
    </row>
    <row r="21" ht="17.25" customHeight="1">
      <c r="A21" s="878"/>
      <c r="B21" s="1452" t="str">
        <f t="array" ref="B21:D21">iferror(if(iserror(match(row($B21)-row($B$9),$J$3:$J104,0)),if(iserror(match(row($B21)-row($B$9)+1,$J$3:$J104,0)),{iferror(1/0),iferror(1/0),iferror(1/0)},{upper(vlookup(row(B21)-row(B$9)+1,$J$3:$L104,3,false)),"Updated",sumif($L$3:$L104,vlookup(row($B21)-row($B$9)+1,$J$3:$L104,3,false),$O$3:$O104)}),vlookup(row($B21)-row($B$9),{$J$3:J104,$M$3:M104,$N$3:N104,$O$3:O104},{2,3,4},false)))</f>
        <v/>
      </c>
      <c r="C21" s="1460"/>
      <c r="D21" s="852"/>
      <c r="E21" s="777"/>
      <c r="F21" s="1479" t="str">
        <f t="array" ref="F21:H21">iferror(if(iserror(match(row($B21)-row($B$9),$Q$3:$Q104,0)),if(iserror(match(row($B21)-row($B$9)+1,$Q$3:$Q104,0)),{iferror(1/0),iferror(1/0),iferror(1/0)},{upper(vlookup(row(B21)-row(B$9)+1,$Q$3:$S104,3,false)),"Updated",sumif($S$3:$S104,vlookup(row($B21)-row($B$9)+1,$Q$3:$S104,3,false),$V$3:$V104)}),vlookup(row($B21)-row($B$9),{$Q$3:Q104,$T$3:T104,$U$3:U104,$V$3:V104},{2,3,4},false)))</f>
        <v/>
      </c>
      <c r="G21" s="1460"/>
      <c r="H21" s="852"/>
      <c r="I21" s="1433"/>
      <c r="J21" s="1466" t="str">
        <f t="shared" si="2"/>
        <v/>
      </c>
      <c r="K21" s="1457"/>
      <c r="L21" s="1435"/>
      <c r="M21" s="1435"/>
      <c r="N21" s="1460"/>
      <c r="O21" s="1461"/>
      <c r="P21" s="1435"/>
      <c r="Q21" s="1466" t="str">
        <f t="shared" si="3"/>
        <v/>
      </c>
      <c r="R21" s="1457"/>
      <c r="S21" s="1435"/>
      <c r="T21" s="1435"/>
      <c r="U21" s="1460"/>
      <c r="V21" s="1467"/>
      <c r="W21" s="783"/>
    </row>
    <row r="22" ht="17.25" customHeight="1">
      <c r="A22" s="878"/>
      <c r="B22" s="1452" t="str">
        <f t="array" ref="B22:D22">iferror(if(iserror(match(row($B22)-row($B$9),$J$3:$J104,0)),if(iserror(match(row($B22)-row($B$9)+1,$J$3:$J104,0)),{iferror(1/0),iferror(1/0),iferror(1/0)},{upper(vlookup(row(B22)-row(B$9)+1,$J$3:$L104,3,false)),"Updated",sumif($L$3:$L104,vlookup(row($B22)-row($B$9)+1,$J$3:$L104,3,false),$O$3:$O104)}),vlookup(row($B22)-row($B$9),{$J$3:J104,$M$3:M104,$N$3:N104,$O$3:O104},{2,3,4},false)))</f>
        <v/>
      </c>
      <c r="C22" s="1460"/>
      <c r="D22" s="852"/>
      <c r="E22" s="777"/>
      <c r="F22" s="1479" t="str">
        <f t="array" ref="F22:H22">iferror(if(iserror(match(row($B22)-row($B$9),$Q$3:$Q104,0)),if(iserror(match(row($B22)-row($B$9)+1,$Q$3:$Q104,0)),{iferror(1/0),iferror(1/0),iferror(1/0)},{upper(vlookup(row(B22)-row(B$9)+1,$Q$3:$S104,3,false)),"Updated",sumif($S$3:$S104,vlookup(row($B22)-row($B$9)+1,$Q$3:$S104,3,false),$V$3:$V104)}),vlookup(row($B22)-row($B$9),{$Q$3:Q104,$T$3:T104,$U$3:U104,$V$3:V104},{2,3,4},false)))</f>
        <v/>
      </c>
      <c r="G22" s="1460"/>
      <c r="H22" s="852"/>
      <c r="I22" s="1433"/>
      <c r="J22" s="1466" t="str">
        <f t="shared" si="2"/>
        <v/>
      </c>
      <c r="K22" s="1457"/>
      <c r="L22" s="1435"/>
      <c r="M22" s="1435"/>
      <c r="N22" s="1460"/>
      <c r="O22" s="1461"/>
      <c r="P22" s="1435"/>
      <c r="Q22" s="1466" t="str">
        <f t="shared" si="3"/>
        <v/>
      </c>
      <c r="R22" s="1457"/>
      <c r="S22" s="1435"/>
      <c r="T22" s="1435"/>
      <c r="U22" s="1460"/>
      <c r="V22" s="1467"/>
      <c r="W22" s="783"/>
    </row>
    <row r="23" ht="17.25" customHeight="1">
      <c r="A23" s="878"/>
      <c r="B23" s="1452" t="str">
        <f t="array" ref="B23:D23">iferror(if(iserror(match(row($B23)-row($B$9),$J$3:$J104,0)),if(iserror(match(row($B23)-row($B$9)+1,$J$3:$J104,0)),{iferror(1/0),iferror(1/0),iferror(1/0)},{upper(vlookup(row(B23)-row(B$9)+1,$J$3:$L104,3,false)),"Updated",sumif($L$3:$L104,vlookup(row($B23)-row($B$9)+1,$J$3:$L104,3,false),$O$3:$O104)}),vlookup(row($B23)-row($B$9),{$J$3:J104,$M$3:M104,$N$3:N104,$O$3:O104},{2,3,4},false)))</f>
        <v/>
      </c>
      <c r="C23" s="1460"/>
      <c r="D23" s="852"/>
      <c r="E23" s="777"/>
      <c r="F23" s="1479" t="str">
        <f t="array" ref="F23:H23">iferror(if(iserror(match(row($B23)-row($B$9),$Q$3:$Q104,0)),if(iserror(match(row($B23)-row($B$9)+1,$Q$3:$Q104,0)),{iferror(1/0),iferror(1/0),iferror(1/0)},{upper(vlookup(row(B23)-row(B$9)+1,$Q$3:$S104,3,false)),"Updated",sumif($S$3:$S104,vlookup(row($B23)-row($B$9)+1,$Q$3:$S104,3,false),$V$3:$V104)}),vlookup(row($B23)-row($B$9),{$Q$3:Q104,$T$3:T104,$U$3:U104,$V$3:V104},{2,3,4},false)))</f>
        <v/>
      </c>
      <c r="G23" s="1460"/>
      <c r="H23" s="852"/>
      <c r="I23" s="1433"/>
      <c r="J23" s="1466" t="str">
        <f t="shared" si="2"/>
        <v/>
      </c>
      <c r="K23" s="1457"/>
      <c r="L23" s="1435"/>
      <c r="M23" s="1435"/>
      <c r="N23" s="1460"/>
      <c r="O23" s="1461"/>
      <c r="P23" s="1435"/>
      <c r="Q23" s="1466" t="str">
        <f t="shared" si="3"/>
        <v/>
      </c>
      <c r="R23" s="1457"/>
      <c r="S23" s="1435"/>
      <c r="T23" s="1435"/>
      <c r="U23" s="1460"/>
      <c r="V23" s="1467"/>
      <c r="W23" s="783"/>
    </row>
    <row r="24" ht="17.25" customHeight="1">
      <c r="A24" s="878"/>
      <c r="B24" s="1452" t="str">
        <f t="array" ref="B24:D24">iferror(if(iserror(match(row($B24)-row($B$9),$J$3:$J104,0)),if(iserror(match(row($B24)-row($B$9)+1,$J$3:$J104,0)),{iferror(1/0),iferror(1/0),iferror(1/0)},{upper(vlookup(row(B24)-row(B$9)+1,$J$3:$L104,3,false)),"Updated",sumif($L$3:$L104,vlookup(row($B24)-row($B$9)+1,$J$3:$L104,3,false),$O$3:$O104)}),vlookup(row($B24)-row($B$9),{$J$3:J104,$M$3:M104,$N$3:N104,$O$3:O104},{2,3,4},false)))</f>
        <v/>
      </c>
      <c r="C24" s="1460"/>
      <c r="D24" s="852"/>
      <c r="E24" s="777"/>
      <c r="F24" s="1479" t="str">
        <f t="array" ref="F24:H24">iferror(if(iserror(match(row($B24)-row($B$9),$Q$3:$Q104,0)),if(iserror(match(row($B24)-row($B$9)+1,$Q$3:$Q104,0)),{iferror(1/0),iferror(1/0),iferror(1/0)},{upper(vlookup(row(B24)-row(B$9)+1,$Q$3:$S104,3,false)),"Updated",sumif($S$3:$S104,vlookup(row($B24)-row($B$9)+1,$Q$3:$S104,3,false),$V$3:$V104)}),vlookup(row($B24)-row($B$9),{$Q$3:Q104,$T$3:T104,$U$3:U104,$V$3:V104},{2,3,4},false)))</f>
        <v/>
      </c>
      <c r="G24" s="1460"/>
      <c r="H24" s="852"/>
      <c r="I24" s="1433"/>
      <c r="J24" s="1466" t="str">
        <f t="shared" si="2"/>
        <v/>
      </c>
      <c r="K24" s="1457"/>
      <c r="L24" s="1435"/>
      <c r="M24" s="1435"/>
      <c r="N24" s="1460"/>
      <c r="O24" s="1461"/>
      <c r="P24" s="1435"/>
      <c r="Q24" s="1466" t="str">
        <f t="shared" si="3"/>
        <v/>
      </c>
      <c r="R24" s="1457"/>
      <c r="S24" s="1435"/>
      <c r="T24" s="1435"/>
      <c r="U24" s="1460"/>
      <c r="V24" s="1467"/>
      <c r="W24" s="783"/>
    </row>
    <row r="25" ht="17.25" customHeight="1">
      <c r="A25" s="878"/>
      <c r="B25" s="1452" t="str">
        <f t="array" ref="B25:D25">iferror(if(iserror(match(row($B25)-row($B$9),$J$3:$J104,0)),if(iserror(match(row($B25)-row($B$9)+1,$J$3:$J104,0)),{iferror(1/0),iferror(1/0),iferror(1/0)},{upper(vlookup(row(B25)-row(B$9)+1,$J$3:$L104,3,false)),"Updated",sumif($L$3:$L104,vlookup(row($B25)-row($B$9)+1,$J$3:$L104,3,false),$O$3:$O104)}),vlookup(row($B25)-row($B$9),{$J$3:J104,$M$3:M104,$N$3:N104,$O$3:O104},{2,3,4},false)))</f>
        <v/>
      </c>
      <c r="C25" s="1460"/>
      <c r="D25" s="852"/>
      <c r="E25" s="777"/>
      <c r="F25" s="1479" t="str">
        <f t="array" ref="F25:H25">iferror(if(iserror(match(row($B25)-row($B$9),$Q$3:$Q104,0)),if(iserror(match(row($B25)-row($B$9)+1,$Q$3:$Q104,0)),{iferror(1/0),iferror(1/0),iferror(1/0)},{upper(vlookup(row(B25)-row(B$9)+1,$Q$3:$S104,3,false)),"Updated",sumif($S$3:$S104,vlookup(row($B25)-row($B$9)+1,$Q$3:$S104,3,false),$V$3:$V104)}),vlookup(row($B25)-row($B$9),{$Q$3:Q104,$T$3:T104,$U$3:U104,$V$3:V104},{2,3,4},false)))</f>
        <v/>
      </c>
      <c r="G25" s="1460"/>
      <c r="H25" s="852"/>
      <c r="I25" s="1433"/>
      <c r="J25" s="1466" t="str">
        <f t="shared" si="2"/>
        <v/>
      </c>
      <c r="K25" s="1457"/>
      <c r="L25" s="1435"/>
      <c r="M25" s="1435"/>
      <c r="N25" s="1460"/>
      <c r="O25" s="1461"/>
      <c r="P25" s="1435"/>
      <c r="Q25" s="1466" t="str">
        <f t="shared" si="3"/>
        <v/>
      </c>
      <c r="R25" s="1457"/>
      <c r="S25" s="1435"/>
      <c r="T25" s="1435"/>
      <c r="U25" s="1460"/>
      <c r="V25" s="1467"/>
      <c r="W25" s="783"/>
    </row>
    <row r="26" ht="17.25" customHeight="1">
      <c r="A26" s="878"/>
      <c r="B26" s="1452" t="str">
        <f t="array" ref="B26:D26">iferror(if(iserror(match(row($B26)-row($B$9),$J$3:$J104,0)),if(iserror(match(row($B26)-row($B$9)+1,$J$3:$J104,0)),{iferror(1/0),iferror(1/0),iferror(1/0)},{upper(vlookup(row(B26)-row(B$9)+1,$J$3:$L104,3,false)),"Updated",sumif($L$3:$L104,vlookup(row($B26)-row($B$9)+1,$J$3:$L104,3,false),$O$3:$O104)}),vlookup(row($B26)-row($B$9),{$J$3:J104,$M$3:M104,$N$3:N104,$O$3:O104},{2,3,4},false)))</f>
        <v/>
      </c>
      <c r="C26" s="1460"/>
      <c r="D26" s="852"/>
      <c r="E26" s="777"/>
      <c r="F26" s="1479" t="str">
        <f t="array" ref="F26:H26">iferror(if(iserror(match(row($B26)-row($B$9),$Q$3:$Q104,0)),if(iserror(match(row($B26)-row($B$9)+1,$Q$3:$Q104,0)),{iferror(1/0),iferror(1/0),iferror(1/0)},{upper(vlookup(row(B26)-row(B$9)+1,$Q$3:$S104,3,false)),"Updated",sumif($S$3:$S104,vlookup(row($B26)-row($B$9)+1,$Q$3:$S104,3,false),$V$3:$V104)}),vlookup(row($B26)-row($B$9),{$Q$3:Q104,$T$3:T104,$U$3:U104,$V$3:V104},{2,3,4},false)))</f>
        <v/>
      </c>
      <c r="G26" s="1460"/>
      <c r="H26" s="852"/>
      <c r="I26" s="1433"/>
      <c r="J26" s="1466" t="str">
        <f t="shared" si="2"/>
        <v/>
      </c>
      <c r="K26" s="1457"/>
      <c r="L26" s="1435"/>
      <c r="M26" s="1435"/>
      <c r="N26" s="1460"/>
      <c r="O26" s="1461"/>
      <c r="P26" s="1435"/>
      <c r="Q26" s="1466" t="str">
        <f t="shared" si="3"/>
        <v/>
      </c>
      <c r="R26" s="1457"/>
      <c r="S26" s="1435"/>
      <c r="T26" s="1435"/>
      <c r="U26" s="1460"/>
      <c r="V26" s="1467"/>
      <c r="W26" s="783"/>
    </row>
    <row r="27" ht="17.25" customHeight="1">
      <c r="A27" s="878"/>
      <c r="B27" s="1452" t="str">
        <f t="array" ref="B27:D27">iferror(if(iserror(match(row($B27)-row($B$9),$J$3:$J104,0)),if(iserror(match(row($B27)-row($B$9)+1,$J$3:$J104,0)),{iferror(1/0),iferror(1/0),iferror(1/0)},{upper(vlookup(row(B27)-row(B$9)+1,$J$3:$L104,3,false)),"Updated",sumif($L$3:$L104,vlookup(row($B27)-row($B$9)+1,$J$3:$L104,3,false),$O$3:$O104)}),vlookup(row($B27)-row($B$9),{$J$3:J104,$M$3:M104,$N$3:N104,$O$3:O104},{2,3,4},false)))</f>
        <v/>
      </c>
      <c r="C27" s="1460"/>
      <c r="D27" s="852"/>
      <c r="E27" s="777"/>
      <c r="F27" s="1479" t="str">
        <f t="array" ref="F27:H27">iferror(if(iserror(match(row($B27)-row($B$9),$Q$3:$Q104,0)),if(iserror(match(row($B27)-row($B$9)+1,$Q$3:$Q104,0)),{iferror(1/0),iferror(1/0),iferror(1/0)},{upper(vlookup(row(B27)-row(B$9)+1,$Q$3:$S104,3,false)),"Updated",sumif($S$3:$S104,vlookup(row($B27)-row($B$9)+1,$Q$3:$S104,3,false),$V$3:$V104)}),vlookup(row($B27)-row($B$9),{$Q$3:Q104,$T$3:T104,$U$3:U104,$V$3:V104},{2,3,4},false)))</f>
        <v/>
      </c>
      <c r="G27" s="1460"/>
      <c r="H27" s="852"/>
      <c r="I27" s="878"/>
      <c r="J27" s="1466" t="str">
        <f t="shared" si="2"/>
        <v/>
      </c>
      <c r="K27" s="1457"/>
      <c r="L27" s="1435"/>
      <c r="M27" s="1435"/>
      <c r="N27" s="1460"/>
      <c r="O27" s="1461"/>
      <c r="P27" s="1435"/>
      <c r="Q27" s="1466" t="str">
        <f t="shared" si="3"/>
        <v/>
      </c>
      <c r="R27" s="1457"/>
      <c r="S27" s="1435"/>
      <c r="T27" s="1435"/>
      <c r="U27" s="1460"/>
      <c r="V27" s="1467"/>
      <c r="W27" s="783"/>
    </row>
    <row r="28" ht="17.25" customHeight="1">
      <c r="A28" s="878"/>
      <c r="B28" s="1452" t="str">
        <f t="array" ref="B28:D28">iferror(if(iserror(match(row($B28)-row($B$9),$J$3:$J104,0)),if(iserror(match(row($B28)-row($B$9)+1,$J$3:$J104,0)),{iferror(1/0),iferror(1/0),iferror(1/0)},{upper(vlookup(row(B28)-row(B$9)+1,$J$3:$L104,3,false)),"Updated",sumif($L$3:$L104,vlookup(row($B28)-row($B$9)+1,$J$3:$L104,3,false),$O$3:$O104)}),vlookup(row($B28)-row($B$9),{$J$3:J104,$M$3:M104,$N$3:N104,$O$3:O104},{2,3,4},false)))</f>
        <v/>
      </c>
      <c r="C28" s="1460"/>
      <c r="D28" s="852"/>
      <c r="E28" s="777"/>
      <c r="F28" s="1479" t="str">
        <f t="array" ref="F28:H28">iferror(if(iserror(match(row($B28)-row($B$9),$Q$3:$Q104,0)),if(iserror(match(row($B28)-row($B$9)+1,$Q$3:$Q104,0)),{iferror(1/0),iferror(1/0),iferror(1/0)},{upper(vlookup(row(B28)-row(B$9)+1,$Q$3:$S104,3,false)),"Updated",sumif($S$3:$S104,vlookup(row($B28)-row($B$9)+1,$Q$3:$S104,3,false),$V$3:$V104)}),vlookup(row($B28)-row($B$9),{$Q$3:Q104,$T$3:T104,$U$3:U104,$V$3:V104},{2,3,4},false)))</f>
        <v/>
      </c>
      <c r="G28" s="1460"/>
      <c r="H28" s="852"/>
      <c r="I28" s="878"/>
      <c r="J28" s="1466" t="str">
        <f t="shared" si="2"/>
        <v/>
      </c>
      <c r="K28" s="1457"/>
      <c r="L28" s="1435"/>
      <c r="M28" s="1435"/>
      <c r="N28" s="1460"/>
      <c r="O28" s="1461"/>
      <c r="P28" s="1435"/>
      <c r="Q28" s="1466" t="str">
        <f t="shared" si="3"/>
        <v/>
      </c>
      <c r="R28" s="1457"/>
      <c r="S28" s="1435"/>
      <c r="T28" s="1435"/>
      <c r="U28" s="1460"/>
      <c r="V28" s="1467"/>
      <c r="W28" s="783"/>
    </row>
    <row r="29" ht="17.25" customHeight="1">
      <c r="A29" s="878"/>
      <c r="B29" s="1452" t="str">
        <f t="array" ref="B29:D29">iferror(if(iserror(match(row($B29)-row($B$9),$J$3:$J104,0)),if(iserror(match(row($B29)-row($B$9)+1,$J$3:$J104,0)),{iferror(1/0),iferror(1/0),iferror(1/0)},{upper(vlookup(row(B29)-row(B$9)+1,$J$3:$L104,3,false)),"Updated",sumif($L$3:$L104,vlookup(row($B29)-row($B$9)+1,$J$3:$L104,3,false),$O$3:$O104)}),vlookup(row($B29)-row($B$9),{$J$3:J104,$M$3:M104,$N$3:N104,$O$3:O104},{2,3,4},false)))</f>
        <v/>
      </c>
      <c r="C29" s="1460"/>
      <c r="D29" s="852"/>
      <c r="E29" s="777"/>
      <c r="F29" s="1479" t="str">
        <f t="array" ref="F29:H29">iferror(if(iserror(match(row($B29)-row($B$9),$Q$3:$Q104,0)),if(iserror(match(row($B29)-row($B$9)+1,$Q$3:$Q104,0)),{iferror(1/0),iferror(1/0),iferror(1/0)},{upper(vlookup(row(B29)-row(B$9)+1,$Q$3:$S104,3,false)),"Updated",sumif($S$3:$S104,vlookup(row($B29)-row($B$9)+1,$Q$3:$S104,3,false),$V$3:$V104)}),vlookup(row($B29)-row($B$9),{$Q$3:Q104,$T$3:T104,$U$3:U104,$V$3:V104},{2,3,4},false)))</f>
        <v/>
      </c>
      <c r="G29" s="1460"/>
      <c r="H29" s="852"/>
      <c r="I29" s="878"/>
      <c r="J29" s="1466" t="str">
        <f t="shared" si="2"/>
        <v/>
      </c>
      <c r="K29" s="1457"/>
      <c r="L29" s="1435"/>
      <c r="M29" s="1435"/>
      <c r="N29" s="1460"/>
      <c r="O29" s="1461"/>
      <c r="P29" s="1435"/>
      <c r="Q29" s="1466" t="str">
        <f t="shared" si="3"/>
        <v/>
      </c>
      <c r="R29" s="1457"/>
      <c r="S29" s="1435"/>
      <c r="T29" s="1435"/>
      <c r="U29" s="1460"/>
      <c r="V29" s="1467"/>
      <c r="W29" s="783"/>
      <c r="X29" s="782"/>
      <c r="Y29" s="1464"/>
    </row>
    <row r="30" ht="17.25" customHeight="1">
      <c r="A30" s="878"/>
      <c r="B30" s="1452" t="str">
        <f t="array" ref="B30:D30">iferror(if(iserror(match(row($B30)-row($B$9),$J$3:$J104,0)),if(iserror(match(row($B30)-row($B$9)+1,$J$3:$J104,0)),{iferror(1/0),iferror(1/0),iferror(1/0)},{upper(vlookup(row(B30)-row(B$9)+1,$J$3:$L104,3,false)),"Updated",sumif($L$3:$L104,vlookup(row($B30)-row($B$9)+1,$J$3:$L104,3,false),$O$3:$O104)}),vlookup(row($B30)-row($B$9),{$J$3:J104,$M$3:M104,$N$3:N104,$O$3:O104},{2,3,4},false)))</f>
        <v/>
      </c>
      <c r="C30" s="1460"/>
      <c r="D30" s="852"/>
      <c r="E30" s="777"/>
      <c r="F30" s="1479" t="str">
        <f t="array" ref="F30:H30">iferror(if(iserror(match(row($B30)-row($B$9),$Q$3:$Q104,0)),if(iserror(match(row($B30)-row($B$9)+1,$Q$3:$Q104,0)),{iferror(1/0),iferror(1/0),iferror(1/0)},{upper(vlookup(row(B30)-row(B$9)+1,$Q$3:$S104,3,false)),"Updated",sumif($S$3:$S104,vlookup(row($B30)-row($B$9)+1,$Q$3:$S104,3,false),$V$3:$V104)}),vlookup(row($B30)-row($B$9),{$Q$3:Q104,$T$3:T104,$U$3:U104,$V$3:V104},{2,3,4},false)))</f>
        <v/>
      </c>
      <c r="G30" s="1460"/>
      <c r="H30" s="852"/>
      <c r="I30" s="878"/>
      <c r="J30" s="1466" t="str">
        <f t="shared" si="2"/>
        <v/>
      </c>
      <c r="K30" s="1457"/>
      <c r="L30" s="1435"/>
      <c r="M30" s="1435"/>
      <c r="N30" s="1460"/>
      <c r="O30" s="1461"/>
      <c r="P30" s="1435"/>
      <c r="Q30" s="1466" t="str">
        <f t="shared" si="3"/>
        <v/>
      </c>
      <c r="R30" s="1457"/>
      <c r="S30" s="1435"/>
      <c r="T30" s="1435"/>
      <c r="U30" s="1460"/>
      <c r="V30" s="1467"/>
      <c r="W30" s="783"/>
      <c r="X30" s="782"/>
      <c r="Y30" s="1464"/>
    </row>
    <row r="31" ht="17.25" customHeight="1">
      <c r="A31" s="878"/>
      <c r="B31" s="1452" t="str">
        <f t="array" ref="B31:D31">iferror(if(iserror(match(row($B31)-row($B$9),$J$3:$J104,0)),if(iserror(match(row($B31)-row($B$9)+1,$J$3:$J104,0)),{iferror(1/0),iferror(1/0),iferror(1/0)},{upper(vlookup(row(B31)-row(B$9)+1,$J$3:$L104,3,false)),"Updated",sumif($L$3:$L104,vlookup(row($B31)-row($B$9)+1,$J$3:$L104,3,false),$O$3:$O104)}),vlookup(row($B31)-row($B$9),{$J$3:J104,$M$3:M104,$N$3:N104,$O$3:O104},{2,3,4},false)))</f>
        <v/>
      </c>
      <c r="C31" s="1460"/>
      <c r="D31" s="852"/>
      <c r="E31" s="777"/>
      <c r="F31" s="1479" t="str">
        <f t="array" ref="F31:H31">iferror(if(iserror(match(row($B31)-row($B$9),$Q$3:$Q104,0)),if(iserror(match(row($B31)-row($B$9)+1,$Q$3:$Q104,0)),{iferror(1/0),iferror(1/0),iferror(1/0)},{upper(vlookup(row(B31)-row(B$9)+1,$Q$3:$S104,3,false)),"Updated",sumif($S$3:$S104,vlookup(row($B31)-row($B$9)+1,$Q$3:$S104,3,false),$V$3:$V104)}),vlookup(row($B31)-row($B$9),{$Q$3:Q104,$T$3:T104,$U$3:U104,$V$3:V104},{2,3,4},false)))</f>
        <v/>
      </c>
      <c r="G31" s="1460"/>
      <c r="H31" s="852"/>
      <c r="I31" s="878"/>
      <c r="J31" s="1466" t="str">
        <f t="shared" si="2"/>
        <v/>
      </c>
      <c r="K31" s="1457"/>
      <c r="L31" s="1435"/>
      <c r="M31" s="1435"/>
      <c r="N31" s="1460"/>
      <c r="O31" s="1461"/>
      <c r="P31" s="1435"/>
      <c r="Q31" s="1466" t="str">
        <f t="shared" si="3"/>
        <v/>
      </c>
      <c r="R31" s="1457"/>
      <c r="S31" s="1435"/>
      <c r="T31" s="1435"/>
      <c r="U31" s="1460"/>
      <c r="V31" s="1467"/>
      <c r="W31" s="783"/>
      <c r="X31" s="782"/>
      <c r="Y31" s="1464"/>
    </row>
    <row r="32" ht="17.25" customHeight="1">
      <c r="A32" s="878"/>
      <c r="B32" s="1452" t="str">
        <f t="array" ref="B32:D32">iferror(if(iserror(match(row($B32)-row($B$9),$J$3:$J104,0)),if(iserror(match(row($B32)-row($B$9)+1,$J$3:$J104,0)),{iferror(1/0),iferror(1/0),iferror(1/0)},{upper(vlookup(row(B32)-row(B$9)+1,$J$3:$L104,3,false)),"Updated",sumif($L$3:$L104,vlookup(row($B32)-row($B$9)+1,$J$3:$L104,3,false),$O$3:$O104)}),vlookup(row($B32)-row($B$9),{$J$3:J104,$M$3:M104,$N$3:N104,$O$3:O104},{2,3,4},false)))</f>
        <v/>
      </c>
      <c r="C32" s="1460"/>
      <c r="D32" s="852"/>
      <c r="E32" s="777"/>
      <c r="F32" s="1479" t="str">
        <f t="array" ref="F32:H32">iferror(if(iserror(match(row($B32)-row($B$9),$Q$3:$Q104,0)),if(iserror(match(row($B32)-row($B$9)+1,$Q$3:$Q104,0)),{iferror(1/0),iferror(1/0),iferror(1/0)},{upper(vlookup(row(B32)-row(B$9)+1,$Q$3:$S104,3,false)),"Updated",sumif($S$3:$S104,vlookup(row($B32)-row($B$9)+1,$Q$3:$S104,3,false),$V$3:$V104)}),vlookup(row($B32)-row($B$9),{$Q$3:Q104,$T$3:T104,$U$3:U104,$V$3:V104},{2,3,4},false)))</f>
        <v/>
      </c>
      <c r="G32" s="1460"/>
      <c r="H32" s="852"/>
      <c r="I32" s="878"/>
      <c r="J32" s="1466" t="str">
        <f t="shared" si="2"/>
        <v/>
      </c>
      <c r="K32" s="1457"/>
      <c r="L32" s="1435"/>
      <c r="M32" s="1435"/>
      <c r="N32" s="1460"/>
      <c r="O32" s="1461"/>
      <c r="P32" s="1435"/>
      <c r="Q32" s="1466" t="str">
        <f t="shared" si="3"/>
        <v/>
      </c>
      <c r="R32" s="1457"/>
      <c r="S32" s="1435"/>
      <c r="T32" s="1435"/>
      <c r="U32" s="1460"/>
      <c r="V32" s="1467"/>
      <c r="W32" s="783"/>
      <c r="X32" s="782"/>
      <c r="Y32" s="1464"/>
    </row>
    <row r="33" ht="17.25" customHeight="1">
      <c r="A33" s="878"/>
      <c r="B33" s="1452" t="str">
        <f t="array" ref="B33:D33">iferror(if(iserror(match(row($B33)-row($B$9),$J$3:$J104,0)),if(iserror(match(row($B33)-row($B$9)+1,$J$3:$J104,0)),{iferror(1/0),iferror(1/0),iferror(1/0)},{upper(vlookup(row(B33)-row(B$9)+1,$J$3:$L104,3,false)),"Updated",sumif($L$3:$L104,vlookup(row($B33)-row($B$9)+1,$J$3:$L104,3,false),$O$3:$O104)}),vlookup(row($B33)-row($B$9),{$J$3:J104,$M$3:M104,$N$3:N104,$O$3:O104},{2,3,4},false)))</f>
        <v/>
      </c>
      <c r="C33" s="1460"/>
      <c r="D33" s="852"/>
      <c r="E33" s="777"/>
      <c r="F33" s="1479" t="str">
        <f t="array" ref="F33:H33">iferror(if(iserror(match(row($B33)-row($B$9),$Q$3:$Q104,0)),if(iserror(match(row($B33)-row($B$9)+1,$Q$3:$Q104,0)),{iferror(1/0),iferror(1/0),iferror(1/0)},{upper(vlookup(row(B33)-row(B$9)+1,$Q$3:$S104,3,false)),"Updated",sumif($S$3:$S104,vlookup(row($B33)-row($B$9)+1,$Q$3:$S104,3,false),$V$3:$V104)}),vlookup(row($B33)-row($B$9),{$Q$3:Q104,$T$3:T104,$U$3:U104,$V$3:V104},{2,3,4},false)))</f>
        <v/>
      </c>
      <c r="G33" s="1460"/>
      <c r="H33" s="852"/>
      <c r="I33" s="878"/>
      <c r="J33" s="1466" t="str">
        <f t="shared" si="2"/>
        <v/>
      </c>
      <c r="K33" s="1457"/>
      <c r="L33" s="1435"/>
      <c r="M33" s="1435"/>
      <c r="N33" s="1460"/>
      <c r="O33" s="1461"/>
      <c r="P33" s="1435"/>
      <c r="Q33" s="1466" t="str">
        <f t="shared" si="3"/>
        <v/>
      </c>
      <c r="R33" s="1457"/>
      <c r="S33" s="1435"/>
      <c r="T33" s="1435"/>
      <c r="U33" s="1460"/>
      <c r="V33" s="1467"/>
      <c r="W33" s="783"/>
      <c r="X33" s="782"/>
      <c r="Y33" s="1464"/>
    </row>
    <row r="34" ht="17.25" customHeight="1">
      <c r="A34" s="878"/>
      <c r="B34" s="1452" t="str">
        <f t="array" ref="B34:D34">iferror(if(iserror(match(row($B34)-row($B$9),$J$3:$J104,0)),if(iserror(match(row($B34)-row($B$9)+1,$J$3:$J104,0)),{iferror(1/0),iferror(1/0),iferror(1/0)},{upper(vlookup(row(B34)-row(B$9)+1,$J$3:$L104,3,false)),"Updated",sumif($L$3:$L104,vlookup(row($B34)-row($B$9)+1,$J$3:$L104,3,false),$O$3:$O104)}),vlookup(row($B34)-row($B$9),{$J$3:J104,$M$3:M104,$N$3:N104,$O$3:O104},{2,3,4},false)))</f>
        <v/>
      </c>
      <c r="C34" s="1460"/>
      <c r="D34" s="852"/>
      <c r="E34" s="777"/>
      <c r="F34" s="1479" t="str">
        <f t="array" ref="F34:H34">iferror(if(iserror(match(row($B34)-row($B$9),$Q$3:$Q104,0)),if(iserror(match(row($B34)-row($B$9)+1,$Q$3:$Q104,0)),{iferror(1/0),iferror(1/0),iferror(1/0)},{upper(vlookup(row(B34)-row(B$9)+1,$Q$3:$S104,3,false)),"Updated",sumif($S$3:$S104,vlookup(row($B34)-row($B$9)+1,$Q$3:$S104,3,false),$V$3:$V104)}),vlookup(row($B34)-row($B$9),{$Q$3:Q104,$T$3:T104,$U$3:U104,$V$3:V104},{2,3,4},false)))</f>
        <v/>
      </c>
      <c r="G34" s="1460"/>
      <c r="H34" s="852"/>
      <c r="I34" s="878"/>
      <c r="J34" s="1466" t="str">
        <f t="shared" si="2"/>
        <v/>
      </c>
      <c r="K34" s="1457"/>
      <c r="L34" s="1435"/>
      <c r="M34" s="1435"/>
      <c r="N34" s="1460"/>
      <c r="O34" s="1461"/>
      <c r="P34" s="1435"/>
      <c r="Q34" s="1466" t="str">
        <f t="shared" si="3"/>
        <v/>
      </c>
      <c r="R34" s="1457"/>
      <c r="S34" s="1435"/>
      <c r="T34" s="1435"/>
      <c r="U34" s="1460"/>
      <c r="V34" s="1467"/>
      <c r="W34" s="783"/>
      <c r="X34" s="782"/>
      <c r="Y34" s="1464"/>
    </row>
    <row r="35" ht="17.25" customHeight="1">
      <c r="A35" s="878"/>
      <c r="B35" s="1452" t="str">
        <f t="array" ref="B35:D35">iferror(if(iserror(match(row($B35)-row($B$9),$J$3:$J104,0)),if(iserror(match(row($B35)-row($B$9)+1,$J$3:$J104,0)),{iferror(1/0),iferror(1/0),iferror(1/0)},{upper(vlookup(row(B35)-row(B$9)+1,$J$3:$L104,3,false)),"Updated",sumif($L$3:$L104,vlookup(row($B35)-row($B$9)+1,$J$3:$L104,3,false),$O$3:$O104)}),vlookup(row($B35)-row($B$9),{$J$3:J104,$M$3:M104,$N$3:N104,$O$3:O104},{2,3,4},false)))</f>
        <v/>
      </c>
      <c r="C35" s="1460"/>
      <c r="D35" s="852"/>
      <c r="E35" s="777"/>
      <c r="F35" s="1479" t="str">
        <f t="array" ref="F35:H35">iferror(if(iserror(match(row($B35)-row($B$9),$Q$3:$Q104,0)),if(iserror(match(row($B35)-row($B$9)+1,$Q$3:$Q104,0)),{iferror(1/0),iferror(1/0),iferror(1/0)},{upper(vlookup(row(B35)-row(B$9)+1,$Q$3:$S104,3,false)),"Updated",sumif($S$3:$S104,vlookup(row($B35)-row($B$9)+1,$Q$3:$S104,3,false),$V$3:$V104)}),vlookup(row($B35)-row($B$9),{$Q$3:Q104,$T$3:T104,$U$3:U104,$V$3:V104},{2,3,4},false)))</f>
        <v/>
      </c>
      <c r="G35" s="1460"/>
      <c r="H35" s="852"/>
      <c r="I35" s="878"/>
      <c r="J35" s="1466" t="str">
        <f t="shared" si="2"/>
        <v/>
      </c>
      <c r="K35" s="1457"/>
      <c r="L35" s="1435"/>
      <c r="M35" s="1435"/>
      <c r="N35" s="1460"/>
      <c r="O35" s="1461"/>
      <c r="P35" s="1435"/>
      <c r="Q35" s="1466" t="str">
        <f t="shared" si="3"/>
        <v/>
      </c>
      <c r="R35" s="1457"/>
      <c r="S35" s="1435"/>
      <c r="T35" s="1435"/>
      <c r="U35" s="1460"/>
      <c r="V35" s="1467"/>
      <c r="W35" s="783"/>
      <c r="X35" s="782"/>
      <c r="Y35" s="1464"/>
    </row>
    <row r="36" ht="17.25" customHeight="1">
      <c r="A36" s="878"/>
      <c r="B36" s="1452" t="str">
        <f t="array" ref="B36:D36">iferror(if(iserror(match(row($B36)-row($B$9),$J$3:$J104,0)),if(iserror(match(row($B36)-row($B$9)+1,$J$3:$J104,0)),{iferror(1/0),iferror(1/0),iferror(1/0)},{upper(vlookup(row(B36)-row(B$9)+1,$J$3:$L104,3,false)),"Updated",sumif($L$3:$L104,vlookup(row($B36)-row($B$9)+1,$J$3:$L104,3,false),$O$3:$O104)}),vlookup(row($B36)-row($B$9),{$J$3:J104,$M$3:M104,$N$3:N104,$O$3:O104},{2,3,4},false)))</f>
        <v/>
      </c>
      <c r="C36" s="1460"/>
      <c r="D36" s="852"/>
      <c r="E36" s="777"/>
      <c r="F36" s="1479" t="str">
        <f t="array" ref="F36:H36">iferror(if(iserror(match(row($B36)-row($B$9),$Q$3:$Q104,0)),if(iserror(match(row($B36)-row($B$9)+1,$Q$3:$Q104,0)),{iferror(1/0),iferror(1/0),iferror(1/0)},{upper(vlookup(row(B36)-row(B$9)+1,$Q$3:$S104,3,false)),"Updated",sumif($S$3:$S104,vlookup(row($B36)-row($B$9)+1,$Q$3:$S104,3,false),$V$3:$V104)}),vlookup(row($B36)-row($B$9),{$Q$3:Q104,$T$3:T104,$U$3:U104,$V$3:V104},{2,3,4},false)))</f>
        <v/>
      </c>
      <c r="G36" s="1460"/>
      <c r="H36" s="852"/>
      <c r="I36" s="878"/>
      <c r="J36" s="1466" t="str">
        <f t="shared" si="2"/>
        <v/>
      </c>
      <c r="K36" s="1457"/>
      <c r="L36" s="1435"/>
      <c r="M36" s="1435"/>
      <c r="N36" s="1460"/>
      <c r="O36" s="1461"/>
      <c r="P36" s="1435"/>
      <c r="Q36" s="1466" t="str">
        <f t="shared" si="3"/>
        <v/>
      </c>
      <c r="R36" s="1457"/>
      <c r="S36" s="1435"/>
      <c r="T36" s="1435"/>
      <c r="U36" s="1460"/>
      <c r="V36" s="1467"/>
      <c r="W36" s="783"/>
      <c r="X36" s="782"/>
      <c r="Y36" s="1464"/>
    </row>
    <row r="37" ht="17.25" customHeight="1">
      <c r="A37" s="878"/>
      <c r="B37" s="1452" t="str">
        <f t="array" ref="B37:D37">iferror(if(iserror(match(row($B37)-row($B$9),$J$3:$J104,0)),if(iserror(match(row($B37)-row($B$9)+1,$J$3:$J104,0)),{iferror(1/0),iferror(1/0),iferror(1/0)},{upper(vlookup(row(B37)-row(B$9)+1,$J$3:$L104,3,false)),"Updated",sumif($L$3:$L104,vlookup(row($B37)-row($B$9)+1,$J$3:$L104,3,false),$O$3:$O104)}),vlookup(row($B37)-row($B$9),{$J$3:J104,$M$3:M104,$N$3:N104,$O$3:O104},{2,3,4},false)))</f>
        <v/>
      </c>
      <c r="C37" s="1460"/>
      <c r="D37" s="852"/>
      <c r="E37" s="777"/>
      <c r="F37" s="1479" t="str">
        <f t="array" ref="F37:H37">iferror(if(iserror(match(row($B37)-row($B$9),$Q$3:$Q104,0)),if(iserror(match(row($B37)-row($B$9)+1,$Q$3:$Q104,0)),{iferror(1/0),iferror(1/0),iferror(1/0)},{upper(vlookup(row(B37)-row(B$9)+1,$Q$3:$S104,3,false)),"Updated",sumif($S$3:$S104,vlookup(row($B37)-row($B$9)+1,$Q$3:$S104,3,false),$V$3:$V104)}),vlookup(row($B37)-row($B$9),{$Q$3:Q104,$T$3:T104,$U$3:U104,$V$3:V104},{2,3,4},false)))</f>
        <v/>
      </c>
      <c r="G37" s="1460"/>
      <c r="H37" s="852"/>
      <c r="I37" s="878"/>
      <c r="J37" s="1466" t="str">
        <f t="shared" si="2"/>
        <v/>
      </c>
      <c r="K37" s="1457"/>
      <c r="L37" s="1435"/>
      <c r="M37" s="1435"/>
      <c r="N37" s="1460"/>
      <c r="O37" s="1461"/>
      <c r="P37" s="1435"/>
      <c r="Q37" s="1466" t="str">
        <f t="shared" si="3"/>
        <v/>
      </c>
      <c r="R37" s="1457"/>
      <c r="S37" s="1435"/>
      <c r="T37" s="1435"/>
      <c r="U37" s="1460"/>
      <c r="V37" s="1467"/>
      <c r="W37" s="783"/>
      <c r="X37" s="782"/>
      <c r="Y37" s="1464"/>
    </row>
    <row r="38" ht="17.25" customHeight="1">
      <c r="A38" s="878"/>
      <c r="B38" s="1452" t="str">
        <f t="array" ref="B38:D38">iferror(if(iserror(match(row($B38)-row($B$9),$J$3:$J104,0)),if(iserror(match(row($B38)-row($B$9)+1,$J$3:$J104,0)),{iferror(1/0),iferror(1/0),iferror(1/0)},{upper(vlookup(row(B38)-row(B$9)+1,$J$3:$L104,3,false)),"Updated",sumif($L$3:$L104,vlookup(row($B38)-row($B$9)+1,$J$3:$L104,3,false),$O$3:$O104)}),vlookup(row($B38)-row($B$9),{$J$3:J104,$M$3:M104,$N$3:N104,$O$3:O104},{2,3,4},false)))</f>
        <v/>
      </c>
      <c r="C38" s="1460"/>
      <c r="D38" s="852"/>
      <c r="E38" s="777"/>
      <c r="F38" s="1479" t="str">
        <f t="array" ref="F38:H38">iferror(if(iserror(match(row($B38)-row($B$9),$Q$3:$Q104,0)),if(iserror(match(row($B38)-row($B$9)+1,$Q$3:$Q104,0)),{iferror(1/0),iferror(1/0),iferror(1/0)},{upper(vlookup(row(B38)-row(B$9)+1,$Q$3:$S104,3,false)),"Updated",sumif($S$3:$S104,vlookup(row($B38)-row($B$9)+1,$Q$3:$S104,3,false),$V$3:$V104)}),vlookup(row($B38)-row($B$9),{$Q$3:Q104,$T$3:T104,$U$3:U104,$V$3:V104},{2,3,4},false)))</f>
        <v/>
      </c>
      <c r="G38" s="1460"/>
      <c r="H38" s="852"/>
      <c r="I38" s="878"/>
      <c r="J38" s="1466" t="str">
        <f t="shared" si="2"/>
        <v/>
      </c>
      <c r="K38" s="1457"/>
      <c r="L38" s="1435"/>
      <c r="M38" s="1435"/>
      <c r="N38" s="1460"/>
      <c r="O38" s="1461"/>
      <c r="P38" s="1435"/>
      <c r="Q38" s="1466" t="str">
        <f t="shared" si="3"/>
        <v/>
      </c>
      <c r="R38" s="1457"/>
      <c r="S38" s="1435"/>
      <c r="T38" s="1435"/>
      <c r="U38" s="1460"/>
      <c r="V38" s="1467"/>
      <c r="W38" s="783"/>
      <c r="X38" s="782"/>
      <c r="Y38" s="1464"/>
    </row>
    <row r="39" ht="17.25" customHeight="1">
      <c r="A39" s="878"/>
      <c r="B39" s="1452" t="str">
        <f t="array" ref="B39:D39">iferror(if(iserror(match(row($B39)-row($B$9),$J$3:$J104,0)),if(iserror(match(row($B39)-row($B$9)+1,$J$3:$J104,0)),{iferror(1/0),iferror(1/0),iferror(1/0)},{upper(vlookup(row(B39)-row(B$9)+1,$J$3:$L104,3,false)),"Updated",sumif($L$3:$L104,vlookup(row($B39)-row($B$9)+1,$J$3:$L104,3,false),$O$3:$O104)}),vlookup(row($B39)-row($B$9),{$J$3:J104,$M$3:M104,$N$3:N104,$O$3:O104},{2,3,4},false)))</f>
        <v/>
      </c>
      <c r="C39" s="1460"/>
      <c r="D39" s="852"/>
      <c r="E39" s="777"/>
      <c r="F39" s="1479" t="str">
        <f t="array" ref="F39:H39">iferror(if(iserror(match(row($B39)-row($B$9),$Q$3:$Q104,0)),if(iserror(match(row($B39)-row($B$9)+1,$Q$3:$Q104,0)),{iferror(1/0),iferror(1/0),iferror(1/0)},{upper(vlookup(row(B39)-row(B$9)+1,$Q$3:$S104,3,false)),"Updated",sumif($S$3:$S104,vlookup(row($B39)-row($B$9)+1,$Q$3:$S104,3,false),$V$3:$V104)}),vlookup(row($B39)-row($B$9),{$Q$3:Q104,$T$3:T104,$U$3:U104,$V$3:V104},{2,3,4},false)))</f>
        <v/>
      </c>
      <c r="G39" s="1460"/>
      <c r="H39" s="852"/>
      <c r="I39" s="878"/>
      <c r="J39" s="1466" t="str">
        <f t="shared" si="2"/>
        <v/>
      </c>
      <c r="K39" s="1457"/>
      <c r="L39" s="1435"/>
      <c r="M39" s="1435"/>
      <c r="N39" s="1460"/>
      <c r="O39" s="1461"/>
      <c r="P39" s="1435"/>
      <c r="Q39" s="1466" t="str">
        <f t="shared" si="3"/>
        <v/>
      </c>
      <c r="R39" s="1457"/>
      <c r="S39" s="1435"/>
      <c r="T39" s="1435"/>
      <c r="U39" s="1460"/>
      <c r="V39" s="1467"/>
      <c r="W39" s="783"/>
      <c r="X39" s="782"/>
      <c r="Y39" s="1464"/>
    </row>
    <row r="40" ht="17.25" customHeight="1">
      <c r="A40" s="878"/>
      <c r="B40" s="1452" t="str">
        <f t="array" ref="B40:D40">iferror(if(iserror(match(row($B40)-row($B$9),$J$3:$J104,0)),if(iserror(match(row($B40)-row($B$9)+1,$J$3:$J104,0)),{iferror(1/0),iferror(1/0),iferror(1/0)},{upper(vlookup(row(B40)-row(B$9)+1,$J$3:$L104,3,false)),"Updated",sumif($L$3:$L104,vlookup(row($B40)-row($B$9)+1,$J$3:$L104,3,false),$O$3:$O104)}),vlookup(row($B40)-row($B$9),{$J$3:J104,$M$3:M104,$N$3:N104,$O$3:O104},{2,3,4},false)))</f>
        <v/>
      </c>
      <c r="C40" s="1460"/>
      <c r="D40" s="852"/>
      <c r="E40" s="777"/>
      <c r="F40" s="1479" t="str">
        <f t="array" ref="F40:H40">iferror(if(iserror(match(row($B40)-row($B$9),$Q$3:$Q104,0)),if(iserror(match(row($B40)-row($B$9)+1,$Q$3:$Q104,0)),{iferror(1/0),iferror(1/0),iferror(1/0)},{upper(vlookup(row(B40)-row(B$9)+1,$Q$3:$S104,3,false)),"Updated",sumif($S$3:$S104,vlookup(row($B40)-row($B$9)+1,$Q$3:$S104,3,false),$V$3:$V104)}),vlookup(row($B40)-row($B$9),{$Q$3:Q104,$T$3:T104,$U$3:U104,$V$3:V104},{2,3,4},false)))</f>
        <v/>
      </c>
      <c r="G40" s="1460"/>
      <c r="H40" s="852"/>
      <c r="I40" s="878"/>
      <c r="J40" s="1466" t="str">
        <f t="shared" si="2"/>
        <v/>
      </c>
      <c r="K40" s="1457"/>
      <c r="L40" s="1435"/>
      <c r="M40" s="1435"/>
      <c r="N40" s="1460"/>
      <c r="O40" s="1461"/>
      <c r="P40" s="1435"/>
      <c r="Q40" s="1466" t="str">
        <f t="shared" si="3"/>
        <v/>
      </c>
      <c r="R40" s="1457"/>
      <c r="S40" s="1435"/>
      <c r="T40" s="1435"/>
      <c r="U40" s="1460"/>
      <c r="V40" s="1467"/>
      <c r="W40" s="783"/>
      <c r="X40" s="782"/>
      <c r="Y40" s="1464"/>
    </row>
    <row r="41" ht="17.25" customHeight="1">
      <c r="A41" s="878"/>
      <c r="B41" s="1452" t="str">
        <f t="array" ref="B41:D41">iferror(if(iserror(match(row($B41)-row($B$9),$J$3:$J104,0)),if(iserror(match(row($B41)-row($B$9)+1,$J$3:$J104,0)),{iferror(1/0),iferror(1/0),iferror(1/0)},{upper(vlookup(row(B41)-row(B$9)+1,$J$3:$L104,3,false)),"Updated",sumif($L$3:$L104,vlookup(row($B41)-row($B$9)+1,$J$3:$L104,3,false),$O$3:$O104)}),vlookup(row($B41)-row($B$9),{$J$3:J104,$M$3:M104,$N$3:N104,$O$3:O104},{2,3,4},false)))</f>
        <v/>
      </c>
      <c r="C41" s="1460"/>
      <c r="D41" s="852"/>
      <c r="E41" s="777"/>
      <c r="F41" s="1479" t="str">
        <f t="array" ref="F41:H41">iferror(if(iserror(match(row($B41)-row($B$9),$Q$3:$Q104,0)),if(iserror(match(row($B41)-row($B$9)+1,$Q$3:$Q104,0)),{iferror(1/0),iferror(1/0),iferror(1/0)},{upper(vlookup(row(B41)-row(B$9)+1,$Q$3:$S104,3,false)),"Updated",sumif($S$3:$S104,vlookup(row($B41)-row($B$9)+1,$Q$3:$S104,3,false),$V$3:$V104)}),vlookup(row($B41)-row($B$9),{$Q$3:Q104,$T$3:T104,$U$3:U104,$V$3:V104},{2,3,4},false)))</f>
        <v/>
      </c>
      <c r="G41" s="1460"/>
      <c r="H41" s="852"/>
      <c r="I41" s="878"/>
      <c r="J41" s="1466" t="str">
        <f t="shared" si="2"/>
        <v/>
      </c>
      <c r="K41" s="1457"/>
      <c r="L41" s="1435"/>
      <c r="M41" s="1435"/>
      <c r="N41" s="1460"/>
      <c r="O41" s="1461"/>
      <c r="P41" s="1435"/>
      <c r="Q41" s="1466" t="str">
        <f t="shared" si="3"/>
        <v/>
      </c>
      <c r="R41" s="1457"/>
      <c r="S41" s="1435"/>
      <c r="T41" s="1435"/>
      <c r="U41" s="1460"/>
      <c r="V41" s="1467"/>
      <c r="W41" s="783"/>
      <c r="X41" s="782"/>
      <c r="Y41" s="1464"/>
    </row>
    <row r="42" ht="17.25" customHeight="1">
      <c r="A42" s="878"/>
      <c r="B42" s="1452" t="str">
        <f t="array" ref="B42:D42">iferror(if(iserror(match(row($B42)-row($B$9),$J$3:$J104,0)),if(iserror(match(row($B42)-row($B$9)+1,$J$3:$J104,0)),{iferror(1/0),iferror(1/0),iferror(1/0)},{upper(vlookup(row(B42)-row(B$9)+1,$J$3:$L104,3,false)),"Updated",sumif($L$3:$L104,vlookup(row($B42)-row($B$9)+1,$J$3:$L104,3,false),$O$3:$O104)}),vlookup(row($B42)-row($B$9),{$J$3:J104,$M$3:M104,$N$3:N104,$O$3:O104},{2,3,4},false)))</f>
        <v/>
      </c>
      <c r="C42" s="1460"/>
      <c r="D42" s="852"/>
      <c r="E42" s="777"/>
      <c r="F42" s="1479" t="str">
        <f t="array" ref="F42:H42">iferror(if(iserror(match(row($B42)-row($B$9),$Q$3:$Q104,0)),if(iserror(match(row($B42)-row($B$9)+1,$Q$3:$Q104,0)),{iferror(1/0),iferror(1/0),iferror(1/0)},{upper(vlookup(row(B42)-row(B$9)+1,$Q$3:$S104,3,false)),"Updated",sumif($S$3:$S104,vlookup(row($B42)-row($B$9)+1,$Q$3:$S104,3,false),$V$3:$V104)}),vlookup(row($B42)-row($B$9),{$Q$3:Q104,$T$3:T104,$U$3:U104,$V$3:V104},{2,3,4},false)))</f>
        <v/>
      </c>
      <c r="G42" s="1460"/>
      <c r="H42" s="852"/>
      <c r="I42" s="878"/>
      <c r="J42" s="1466" t="str">
        <f t="shared" si="2"/>
        <v/>
      </c>
      <c r="K42" s="1457"/>
      <c r="L42" s="1435"/>
      <c r="M42" s="1435"/>
      <c r="N42" s="1460"/>
      <c r="O42" s="1461"/>
      <c r="P42" s="1435"/>
      <c r="Q42" s="1466" t="str">
        <f t="shared" si="3"/>
        <v/>
      </c>
      <c r="R42" s="1457"/>
      <c r="S42" s="1435"/>
      <c r="T42" s="1435"/>
      <c r="U42" s="1460"/>
      <c r="V42" s="1467"/>
      <c r="W42" s="783"/>
      <c r="X42" s="782"/>
      <c r="Y42" s="1464"/>
    </row>
    <row r="43" ht="17.25" customHeight="1">
      <c r="A43" s="878"/>
      <c r="B43" s="1452" t="str">
        <f t="array" ref="B43:D43">iferror(if(iserror(match(row($B43)-row($B$9),$J$3:$J104,0)),if(iserror(match(row($B43)-row($B$9)+1,$J$3:$J104,0)),{iferror(1/0),iferror(1/0),iferror(1/0)},{upper(vlookup(row(B43)-row(B$9)+1,$J$3:$L104,3,false)),"Updated",sumif($L$3:$L104,vlookup(row($B43)-row($B$9)+1,$J$3:$L104,3,false),$O$3:$O104)}),vlookup(row($B43)-row($B$9),{$J$3:J104,$M$3:M104,$N$3:N104,$O$3:O104},{2,3,4},false)))</f>
        <v/>
      </c>
      <c r="C43" s="1460"/>
      <c r="D43" s="852"/>
      <c r="E43" s="777"/>
      <c r="F43" s="1479" t="str">
        <f t="array" ref="F43:H43">iferror(if(iserror(match(row($B43)-row($B$9),$Q$3:$Q104,0)),if(iserror(match(row($B43)-row($B$9)+1,$Q$3:$Q104,0)),{iferror(1/0),iferror(1/0),iferror(1/0)},{upper(vlookup(row(B43)-row(B$9)+1,$Q$3:$S104,3,false)),"Updated",sumif($S$3:$S104,vlookup(row($B43)-row($B$9)+1,$Q$3:$S104,3,false),$V$3:$V104)}),vlookup(row($B43)-row($B$9),{$Q$3:Q104,$T$3:T104,$U$3:U104,$V$3:V104},{2,3,4},false)))</f>
        <v/>
      </c>
      <c r="G43" s="1460"/>
      <c r="H43" s="852"/>
      <c r="I43" s="878"/>
      <c r="J43" s="1466" t="str">
        <f t="shared" si="2"/>
        <v/>
      </c>
      <c r="K43" s="1457"/>
      <c r="L43" s="1435"/>
      <c r="M43" s="1435"/>
      <c r="N43" s="1460"/>
      <c r="O43" s="1461"/>
      <c r="P43" s="1435"/>
      <c r="Q43" s="1466" t="str">
        <f t="shared" si="3"/>
        <v/>
      </c>
      <c r="R43" s="1457"/>
      <c r="S43" s="1435"/>
      <c r="T43" s="1435"/>
      <c r="U43" s="1460"/>
      <c r="V43" s="1467"/>
      <c r="W43" s="783"/>
      <c r="X43" s="782"/>
      <c r="Y43" s="1464"/>
    </row>
    <row r="44" ht="17.25" customHeight="1">
      <c r="A44" s="878"/>
      <c r="B44" s="1452" t="str">
        <f t="array" ref="B44:D44">iferror(if(iserror(match(row($B44)-row($B$9),$J$3:$J104,0)),if(iserror(match(row($B44)-row($B$9)+1,$J$3:$J104,0)),{iferror(1/0),iferror(1/0),iferror(1/0)},{upper(vlookup(row(B44)-row(B$9)+1,$J$3:$L104,3,false)),"Updated",sumif($L$3:$L104,vlookup(row($B44)-row($B$9)+1,$J$3:$L104,3,false),$O$3:$O104)}),vlookup(row($B44)-row($B$9),{$J$3:J104,$M$3:M104,$N$3:N104,$O$3:O104},{2,3,4},false)))</f>
        <v/>
      </c>
      <c r="C44" s="1460"/>
      <c r="D44" s="852"/>
      <c r="E44" s="777"/>
      <c r="F44" s="1479" t="str">
        <f t="array" ref="F44:H44">iferror(if(iserror(match(row($B44)-row($B$9),$Q$3:$Q104,0)),if(iserror(match(row($B44)-row($B$9)+1,$Q$3:$Q104,0)),{iferror(1/0),iferror(1/0),iferror(1/0)},{upper(vlookup(row(B44)-row(B$9)+1,$Q$3:$S104,3,false)),"Updated",sumif($S$3:$S104,vlookup(row($B44)-row($B$9)+1,$Q$3:$S104,3,false),$V$3:$V104)}),vlookup(row($B44)-row($B$9),{$Q$3:Q104,$T$3:T104,$U$3:U104,$V$3:V104},{2,3,4},false)))</f>
        <v/>
      </c>
      <c r="G44" s="1460"/>
      <c r="H44" s="852"/>
      <c r="I44" s="878"/>
      <c r="J44" s="1466" t="str">
        <f t="shared" si="2"/>
        <v/>
      </c>
      <c r="K44" s="1457"/>
      <c r="L44" s="1435"/>
      <c r="M44" s="1435"/>
      <c r="N44" s="1460"/>
      <c r="O44" s="1461"/>
      <c r="P44" s="1435"/>
      <c r="Q44" s="1466" t="str">
        <f t="shared" si="3"/>
        <v/>
      </c>
      <c r="R44" s="1457"/>
      <c r="S44" s="1435"/>
      <c r="T44" s="1435"/>
      <c r="U44" s="1460"/>
      <c r="V44" s="1467"/>
      <c r="W44" s="783"/>
      <c r="X44" s="782"/>
      <c r="Y44" s="1464"/>
    </row>
    <row r="45" ht="17.25" customHeight="1">
      <c r="A45" s="878"/>
      <c r="B45" s="1452" t="str">
        <f t="array" ref="B45:D45">iferror(if(iserror(match(row($B45)-row($B$9),$J$3:$J104,0)),if(iserror(match(row($B45)-row($B$9)+1,$J$3:$J104,0)),{iferror(1/0),iferror(1/0),iferror(1/0)},{upper(vlookup(row(B45)-row(B$9)+1,$J$3:$L104,3,false)),"Updated",sumif($L$3:$L104,vlookup(row($B45)-row($B$9)+1,$J$3:$L104,3,false),$O$3:$O104)}),vlookup(row($B45)-row($B$9),{$J$3:J104,$M$3:M104,$N$3:N104,$O$3:O104},{2,3,4},false)))</f>
        <v/>
      </c>
      <c r="C45" s="1460"/>
      <c r="D45" s="852"/>
      <c r="E45" s="777"/>
      <c r="F45" s="1479" t="str">
        <f t="array" ref="F45:H45">iferror(if(iserror(match(row($B45)-row($B$9),$Q$3:$Q104,0)),if(iserror(match(row($B45)-row($B$9)+1,$Q$3:$Q104,0)),{iferror(1/0),iferror(1/0),iferror(1/0)},{upper(vlookup(row(B45)-row(B$9)+1,$Q$3:$S104,3,false)),"Updated",sumif($S$3:$S104,vlookup(row($B45)-row($B$9)+1,$Q$3:$S104,3,false),$V$3:$V104)}),vlookup(row($B45)-row($B$9),{$Q$3:Q104,$T$3:T104,$U$3:U104,$V$3:V104},{2,3,4},false)))</f>
        <v/>
      </c>
      <c r="G45" s="1460"/>
      <c r="H45" s="852"/>
      <c r="I45" s="878"/>
      <c r="J45" s="1466" t="str">
        <f t="shared" si="2"/>
        <v/>
      </c>
      <c r="K45" s="1457"/>
      <c r="L45" s="1435"/>
      <c r="M45" s="1435"/>
      <c r="N45" s="1460"/>
      <c r="O45" s="1461"/>
      <c r="P45" s="1435"/>
      <c r="Q45" s="1466" t="str">
        <f t="shared" si="3"/>
        <v/>
      </c>
      <c r="R45" s="1457"/>
      <c r="S45" s="1435"/>
      <c r="T45" s="1435"/>
      <c r="U45" s="1460"/>
      <c r="V45" s="1467"/>
      <c r="W45" s="783"/>
      <c r="X45" s="782"/>
      <c r="Y45" s="1464"/>
    </row>
    <row r="46" ht="17.25" customHeight="1">
      <c r="A46" s="878"/>
      <c r="B46" s="1452" t="str">
        <f t="array" ref="B46:D46">iferror(if(iserror(match(row($B46)-row($B$9),$J$3:$J104,0)),if(iserror(match(row($B46)-row($B$9)+1,$J$3:$J104,0)),{iferror(1/0),iferror(1/0),iferror(1/0)},{upper(vlookup(row(B46)-row(B$9)+1,$J$3:$L104,3,false)),"Updated",sumif($L$3:$L104,vlookup(row($B46)-row($B$9)+1,$J$3:$L104,3,false),$O$3:$O104)}),vlookup(row($B46)-row($B$9),{$J$3:J104,$M$3:M104,$N$3:N104,$O$3:O104},{2,3,4},false)))</f>
        <v/>
      </c>
      <c r="C46" s="1460"/>
      <c r="D46" s="852"/>
      <c r="E46" s="777"/>
      <c r="F46" s="1479" t="str">
        <f t="array" ref="F46:H46">iferror(if(iserror(match(row($B46)-row($B$9),$Q$3:$Q104,0)),if(iserror(match(row($B46)-row($B$9)+1,$Q$3:$Q104,0)),{iferror(1/0),iferror(1/0),iferror(1/0)},{upper(vlookup(row(B46)-row(B$9)+1,$Q$3:$S104,3,false)),"Updated",sumif($S$3:$S104,vlookup(row($B46)-row($B$9)+1,$Q$3:$S104,3,false),$V$3:$V104)}),vlookup(row($B46)-row($B$9),{$Q$3:Q104,$T$3:T104,$U$3:U104,$V$3:V104},{2,3,4},false)))</f>
        <v/>
      </c>
      <c r="G46" s="1460"/>
      <c r="H46" s="852"/>
      <c r="I46" s="878"/>
      <c r="J46" s="1466" t="str">
        <f t="shared" si="2"/>
        <v/>
      </c>
      <c r="K46" s="1457"/>
      <c r="L46" s="1435"/>
      <c r="M46" s="1435"/>
      <c r="N46" s="1460"/>
      <c r="O46" s="1461"/>
      <c r="P46" s="1435"/>
      <c r="Q46" s="1466" t="str">
        <f t="shared" si="3"/>
        <v/>
      </c>
      <c r="R46" s="1457"/>
      <c r="S46" s="1435"/>
      <c r="T46" s="1435"/>
      <c r="U46" s="1460"/>
      <c r="V46" s="1467"/>
      <c r="W46" s="783"/>
      <c r="X46" s="782"/>
      <c r="Y46" s="1464"/>
    </row>
    <row r="47" ht="17.25" customHeight="1">
      <c r="A47" s="878"/>
      <c r="B47" s="1452" t="str">
        <f t="array" ref="B47:D47">iferror(if(iserror(match(row($B47)-row($B$9),$J$3:$J104,0)),if(iserror(match(row($B47)-row($B$9)+1,$J$3:$J104,0)),{iferror(1/0),iferror(1/0),iferror(1/0)},{upper(vlookup(row(B47)-row(B$9)+1,$J$3:$L104,3,false)),"Updated",sumif($L$3:$L104,vlookup(row($B47)-row($B$9)+1,$J$3:$L104,3,false),$O$3:$O104)}),vlookup(row($B47)-row($B$9),{$J$3:J104,$M$3:M104,$N$3:N104,$O$3:O104},{2,3,4},false)))</f>
        <v/>
      </c>
      <c r="C47" s="1460"/>
      <c r="D47" s="852"/>
      <c r="E47" s="777"/>
      <c r="F47" s="1479" t="str">
        <f t="array" ref="F47:H47">iferror(if(iserror(match(row($B47)-row($B$9),$Q$3:$Q104,0)),if(iserror(match(row($B47)-row($B$9)+1,$Q$3:$Q104,0)),{iferror(1/0),iferror(1/0),iferror(1/0)},{upper(vlookup(row(B47)-row(B$9)+1,$Q$3:$S104,3,false)),"Updated",sumif($S$3:$S104,vlookup(row($B47)-row($B$9)+1,$Q$3:$S104,3,false),$V$3:$V104)}),vlookup(row($B47)-row($B$9),{$Q$3:Q104,$T$3:T104,$U$3:U104,$V$3:V104},{2,3,4},false)))</f>
        <v/>
      </c>
      <c r="G47" s="1460"/>
      <c r="H47" s="852"/>
      <c r="I47" s="878"/>
      <c r="J47" s="1466" t="str">
        <f t="shared" si="2"/>
        <v/>
      </c>
      <c r="K47" s="1457"/>
      <c r="L47" s="1435"/>
      <c r="M47" s="1435"/>
      <c r="N47" s="1460"/>
      <c r="O47" s="1461"/>
      <c r="P47" s="1435"/>
      <c r="Q47" s="1466" t="str">
        <f t="shared" si="3"/>
        <v/>
      </c>
      <c r="R47" s="1457"/>
      <c r="S47" s="1435"/>
      <c r="T47" s="1435"/>
      <c r="U47" s="1460"/>
      <c r="V47" s="1467"/>
      <c r="W47" s="783"/>
      <c r="X47" s="782"/>
      <c r="Y47" s="1464"/>
    </row>
    <row r="48" ht="17.25" customHeight="1">
      <c r="A48" s="878"/>
      <c r="B48" s="1452" t="str">
        <f t="array" ref="B48:D48">iferror(if(iserror(match(row($B48)-row($B$9),$J$3:$J104,0)),if(iserror(match(row($B48)-row($B$9)+1,$J$3:$J104,0)),{iferror(1/0),iferror(1/0),iferror(1/0)},{upper(vlookup(row(B48)-row(B$9)+1,$J$3:$L104,3,false)),"Updated",sumif($L$3:$L104,vlookup(row($B48)-row($B$9)+1,$J$3:$L104,3,false),$O$3:$O104)}),vlookup(row($B48)-row($B$9),{$J$3:J104,$M$3:M104,$N$3:N104,$O$3:O104},{2,3,4},false)))</f>
        <v/>
      </c>
      <c r="C48" s="1460"/>
      <c r="D48" s="852"/>
      <c r="E48" s="777"/>
      <c r="F48" s="1479" t="str">
        <f t="array" ref="F48:H48">iferror(if(iserror(match(row($B48)-row($B$9),$Q$3:$Q104,0)),if(iserror(match(row($B48)-row($B$9)+1,$Q$3:$Q104,0)),{iferror(1/0),iferror(1/0),iferror(1/0)},{upper(vlookup(row(B48)-row(B$9)+1,$Q$3:$S104,3,false)),"Updated",sumif($S$3:$S104,vlookup(row($B48)-row($B$9)+1,$Q$3:$S104,3,false),$V$3:$V104)}),vlookup(row($B48)-row($B$9),{$Q$3:Q104,$T$3:T104,$U$3:U104,$V$3:V104},{2,3,4},false)))</f>
        <v/>
      </c>
      <c r="G48" s="1460"/>
      <c r="H48" s="852"/>
      <c r="I48" s="878"/>
      <c r="J48" s="1466" t="str">
        <f t="shared" si="2"/>
        <v/>
      </c>
      <c r="K48" s="1457"/>
      <c r="L48" s="1435"/>
      <c r="M48" s="1435"/>
      <c r="N48" s="1460"/>
      <c r="O48" s="1461"/>
      <c r="P48" s="1435"/>
      <c r="Q48" s="1466" t="str">
        <f t="shared" si="3"/>
        <v/>
      </c>
      <c r="R48" s="1457"/>
      <c r="S48" s="1435"/>
      <c r="T48" s="1435"/>
      <c r="U48" s="1460"/>
      <c r="V48" s="1467"/>
      <c r="W48" s="783"/>
      <c r="X48" s="782"/>
      <c r="Y48" s="1464"/>
    </row>
    <row r="49" ht="17.25" customHeight="1">
      <c r="A49" s="878"/>
      <c r="B49" s="1452" t="str">
        <f t="array" ref="B49:D49">iferror(if(iserror(match(row($B49)-row($B$9),$J$3:$J104,0)),if(iserror(match(row($B49)-row($B$9)+1,$J$3:$J104,0)),{iferror(1/0),iferror(1/0),iferror(1/0)},{upper(vlookup(row(B49)-row(B$9)+1,$J$3:$L104,3,false)),"Updated",sumif($L$3:$L104,vlookup(row($B49)-row($B$9)+1,$J$3:$L104,3,false),$O$3:$O104)}),vlookup(row($B49)-row($B$9),{$J$3:J104,$M$3:M104,$N$3:N104,$O$3:O104},{2,3,4},false)))</f>
        <v/>
      </c>
      <c r="C49" s="1460"/>
      <c r="D49" s="852"/>
      <c r="E49" s="777"/>
      <c r="F49" s="1479" t="str">
        <f t="array" ref="F49:H49">iferror(if(iserror(match(row($B49)-row($B$9),$Q$3:$Q104,0)),if(iserror(match(row($B49)-row($B$9)+1,$Q$3:$Q104,0)),{iferror(1/0),iferror(1/0),iferror(1/0)},{upper(vlookup(row(B49)-row(B$9)+1,$Q$3:$S104,3,false)),"Updated",sumif($S$3:$S104,vlookup(row($B49)-row($B$9)+1,$Q$3:$S104,3,false),$V$3:$V104)}),vlookup(row($B49)-row($B$9),{$Q$3:Q104,$T$3:T104,$U$3:U104,$V$3:V104},{2,3,4},false)))</f>
        <v/>
      </c>
      <c r="G49" s="1460"/>
      <c r="H49" s="852"/>
      <c r="I49" s="878"/>
      <c r="J49" s="1466" t="str">
        <f t="shared" si="2"/>
        <v/>
      </c>
      <c r="K49" s="1457"/>
      <c r="L49" s="1435"/>
      <c r="M49" s="1435"/>
      <c r="N49" s="1460"/>
      <c r="O49" s="1461"/>
      <c r="P49" s="1435"/>
      <c r="Q49" s="1466" t="str">
        <f t="shared" si="3"/>
        <v/>
      </c>
      <c r="R49" s="1457"/>
      <c r="S49" s="1435"/>
      <c r="T49" s="1435"/>
      <c r="U49" s="1460"/>
      <c r="V49" s="1467"/>
      <c r="W49" s="783"/>
      <c r="X49" s="782"/>
      <c r="Y49" s="1464"/>
    </row>
    <row r="50" ht="17.25" customHeight="1">
      <c r="A50" s="878"/>
      <c r="B50" s="1452" t="str">
        <f t="array" ref="B50:D50">iferror(if(iserror(match(row($B50)-row($B$9),$J$3:$J104,0)),if(iserror(match(row($B50)-row($B$9)+1,$J$3:$J104,0)),{iferror(1/0),iferror(1/0),iferror(1/0)},{upper(vlookup(row(B50)-row(B$9)+1,$J$3:$L104,3,false)),"Updated",sumif($L$3:$L104,vlookup(row($B50)-row($B$9)+1,$J$3:$L104,3,false),$O$3:$O104)}),vlookup(row($B50)-row($B$9),{$J$3:J104,$M$3:M104,$N$3:N104,$O$3:O104},{2,3,4},false)))</f>
        <v/>
      </c>
      <c r="C50" s="1460"/>
      <c r="D50" s="852"/>
      <c r="E50" s="777"/>
      <c r="F50" s="1479" t="str">
        <f t="array" ref="F50:H50">iferror(if(iserror(match(row($B50)-row($B$9),$Q$3:$Q104,0)),if(iserror(match(row($B50)-row($B$9)+1,$Q$3:$Q104,0)),{iferror(1/0),iferror(1/0),iferror(1/0)},{upper(vlookup(row(B50)-row(B$9)+1,$Q$3:$S104,3,false)),"Updated",sumif($S$3:$S104,vlookup(row($B50)-row($B$9)+1,$Q$3:$S104,3,false),$V$3:$V104)}),vlookup(row($B50)-row($B$9),{$Q$3:Q104,$T$3:T104,$U$3:U104,$V$3:V104},{2,3,4},false)))</f>
        <v/>
      </c>
      <c r="G50" s="1460"/>
      <c r="H50" s="852"/>
      <c r="I50" s="878"/>
      <c r="J50" s="1466" t="str">
        <f t="shared" si="2"/>
        <v/>
      </c>
      <c r="K50" s="1457"/>
      <c r="L50" s="1435"/>
      <c r="M50" s="1435"/>
      <c r="N50" s="1460"/>
      <c r="O50" s="1461"/>
      <c r="P50" s="1435"/>
      <c r="Q50" s="1466" t="str">
        <f t="shared" si="3"/>
        <v/>
      </c>
      <c r="R50" s="1457"/>
      <c r="S50" s="1435"/>
      <c r="T50" s="1435"/>
      <c r="U50" s="1460"/>
      <c r="V50" s="1467"/>
      <c r="W50" s="783"/>
      <c r="X50" s="782"/>
      <c r="Y50" s="1464"/>
    </row>
    <row r="51" ht="17.25" customHeight="1">
      <c r="A51" s="878"/>
      <c r="B51" s="1452" t="str">
        <f t="array" ref="B51:D51">iferror(if(iserror(match(row($B51)-row($B$9),$J$3:$J104,0)),if(iserror(match(row($B51)-row($B$9)+1,$J$3:$J104,0)),{iferror(1/0),iferror(1/0),iferror(1/0)},{upper(vlookup(row(B51)-row(B$9)+1,$J$3:$L104,3,false)),"Updated",sumif($L$3:$L104,vlookup(row($B51)-row($B$9)+1,$J$3:$L104,3,false),$O$3:$O104)}),vlookup(row($B51)-row($B$9),{$J$3:J104,$M$3:M104,$N$3:N104,$O$3:O104},{2,3,4},false)))</f>
        <v/>
      </c>
      <c r="C51" s="1460"/>
      <c r="D51" s="852"/>
      <c r="E51" s="777"/>
      <c r="F51" s="1479" t="str">
        <f t="array" ref="F51:H51">iferror(if(iserror(match(row($B51)-row($B$9),$Q$3:$Q104,0)),if(iserror(match(row($B51)-row($B$9)+1,$Q$3:$Q104,0)),{iferror(1/0),iferror(1/0),iferror(1/0)},{upper(vlookup(row(B51)-row(B$9)+1,$Q$3:$S104,3,false)),"Updated",sumif($S$3:$S104,vlookup(row($B51)-row($B$9)+1,$Q$3:$S104,3,false),$V$3:$V104)}),vlookup(row($B51)-row($B$9),{$Q$3:Q104,$T$3:T104,$U$3:U104,$V$3:V104},{2,3,4},false)))</f>
        <v/>
      </c>
      <c r="G51" s="1460"/>
      <c r="H51" s="852"/>
      <c r="I51" s="878"/>
      <c r="J51" s="1466" t="str">
        <f t="shared" si="2"/>
        <v/>
      </c>
      <c r="K51" s="1457"/>
      <c r="L51" s="1435"/>
      <c r="M51" s="1435"/>
      <c r="N51" s="1460"/>
      <c r="O51" s="1461"/>
      <c r="P51" s="1435"/>
      <c r="Q51" s="1466" t="str">
        <f t="shared" si="3"/>
        <v/>
      </c>
      <c r="R51" s="1457"/>
      <c r="S51" s="1435"/>
      <c r="T51" s="1435"/>
      <c r="U51" s="1460"/>
      <c r="V51" s="1467"/>
      <c r="W51" s="783"/>
      <c r="X51" s="782"/>
      <c r="Y51" s="1464"/>
    </row>
    <row r="52" ht="17.25" customHeight="1">
      <c r="A52" s="878"/>
      <c r="B52" s="1452" t="str">
        <f t="array" ref="B52:D52">iferror(if(iserror(match(row($B52)-row($B$9),$J$3:$J104,0)),if(iserror(match(row($B52)-row($B$9)+1,$J$3:$J104,0)),{iferror(1/0),iferror(1/0),iferror(1/0)},{upper(vlookup(row(B52)-row(B$9)+1,$J$3:$L104,3,false)),"Updated",sumif($L$3:$L104,vlookup(row($B52)-row($B$9)+1,$J$3:$L104,3,false),$O$3:$O104)}),vlookup(row($B52)-row($B$9),{$J$3:J104,$M$3:M104,$N$3:N104,$O$3:O104},{2,3,4},false)))</f>
        <v/>
      </c>
      <c r="C52" s="1460"/>
      <c r="D52" s="852"/>
      <c r="E52" s="777"/>
      <c r="F52" s="1479" t="str">
        <f t="array" ref="F52:H52">iferror(if(iserror(match(row($B52)-row($B$9),$Q$3:$Q104,0)),if(iserror(match(row($B52)-row($B$9)+1,$Q$3:$Q104,0)),{iferror(1/0),iferror(1/0),iferror(1/0)},{upper(vlookup(row(B52)-row(B$9)+1,$Q$3:$S104,3,false)),"Updated",sumif($S$3:$S104,vlookup(row($B52)-row($B$9)+1,$Q$3:$S104,3,false),$V$3:$V104)}),vlookup(row($B52)-row($B$9),{$Q$3:Q104,$T$3:T104,$U$3:U104,$V$3:V104},{2,3,4},false)))</f>
        <v/>
      </c>
      <c r="G52" s="1460"/>
      <c r="H52" s="852"/>
      <c r="I52" s="878"/>
      <c r="J52" s="1466" t="str">
        <f t="shared" si="2"/>
        <v/>
      </c>
      <c r="K52" s="1457"/>
      <c r="L52" s="1435"/>
      <c r="M52" s="1435"/>
      <c r="N52" s="1460"/>
      <c r="O52" s="1461"/>
      <c r="P52" s="1435"/>
      <c r="Q52" s="1466" t="str">
        <f t="shared" si="3"/>
        <v/>
      </c>
      <c r="R52" s="1457"/>
      <c r="S52" s="1435"/>
      <c r="T52" s="1435"/>
      <c r="U52" s="1460"/>
      <c r="V52" s="1467"/>
      <c r="W52" s="783"/>
      <c r="X52" s="782"/>
      <c r="Y52" s="1464"/>
    </row>
    <row r="53" ht="17.25" customHeight="1">
      <c r="A53" s="878"/>
      <c r="B53" s="1452" t="str">
        <f t="array" ref="B53:D53">iferror(if(iserror(match(row($B53)-row($B$9),$J$3:$J104,0)),if(iserror(match(row($B53)-row($B$9)+1,$J$3:$J104,0)),{iferror(1/0),iferror(1/0),iferror(1/0)},{upper(vlookup(row(B53)-row(B$9)+1,$J$3:$L104,3,false)),"Updated",sumif($L$3:$L104,vlookup(row($B53)-row($B$9)+1,$J$3:$L104,3,false),$O$3:$O104)}),vlookup(row($B53)-row($B$9),{$J$3:J104,$M$3:M104,$N$3:N104,$O$3:O104},{2,3,4},false)))</f>
        <v/>
      </c>
      <c r="C53" s="1460"/>
      <c r="D53" s="852"/>
      <c r="E53" s="777"/>
      <c r="F53" s="1479" t="str">
        <f t="array" ref="F53:H53">iferror(if(iserror(match(row($B53)-row($B$9),$Q$3:$Q104,0)),if(iserror(match(row($B53)-row($B$9)+1,$Q$3:$Q104,0)),{iferror(1/0),iferror(1/0),iferror(1/0)},{upper(vlookup(row(B53)-row(B$9)+1,$Q$3:$S104,3,false)),"Updated",sumif($S$3:$S104,vlookup(row($B53)-row($B$9)+1,$Q$3:$S104,3,false),$V$3:$V104)}),vlookup(row($B53)-row($B$9),{$Q$3:Q104,$T$3:T104,$U$3:U104,$V$3:V104},{2,3,4},false)))</f>
        <v/>
      </c>
      <c r="G53" s="1460"/>
      <c r="H53" s="852"/>
      <c r="I53" s="878"/>
      <c r="J53" s="1466" t="str">
        <f t="shared" si="2"/>
        <v/>
      </c>
      <c r="K53" s="1457"/>
      <c r="L53" s="1435"/>
      <c r="M53" s="1435"/>
      <c r="N53" s="1460"/>
      <c r="O53" s="1461"/>
      <c r="P53" s="1435"/>
      <c r="Q53" s="1466" t="str">
        <f t="shared" si="3"/>
        <v/>
      </c>
      <c r="R53" s="1457"/>
      <c r="S53" s="1435"/>
      <c r="T53" s="1435"/>
      <c r="U53" s="1460"/>
      <c r="V53" s="1467"/>
      <c r="W53" s="783"/>
      <c r="X53" s="782"/>
      <c r="Y53" s="1464"/>
    </row>
    <row r="54" ht="17.25" customHeight="1">
      <c r="A54" s="878"/>
      <c r="B54" s="1452" t="str">
        <f t="array" ref="B54:D54">iferror(if(iserror(match(row($B54)-row($B$9),$J$3:$J104,0)),if(iserror(match(row($B54)-row($B$9)+1,$J$3:$J104,0)),{iferror(1/0),iferror(1/0),iferror(1/0)},{upper(vlookup(row(B54)-row(B$9)+1,$J$3:$L104,3,false)),"Updated",sumif($L$3:$L104,vlookup(row($B54)-row($B$9)+1,$J$3:$L104,3,false),$O$3:$O104)}),vlookup(row($B54)-row($B$9),{$J$3:J104,$M$3:M104,$N$3:N104,$O$3:O104},{2,3,4},false)))</f>
        <v/>
      </c>
      <c r="C54" s="1460"/>
      <c r="D54" s="852"/>
      <c r="E54" s="777"/>
      <c r="F54" s="1479" t="str">
        <f t="array" ref="F54:H54">iferror(if(iserror(match(row($B54)-row($B$9),$Q$3:$Q104,0)),if(iserror(match(row($B54)-row($B$9)+1,$Q$3:$Q104,0)),{iferror(1/0),iferror(1/0),iferror(1/0)},{upper(vlookup(row(B54)-row(B$9)+1,$Q$3:$S104,3,false)),"Updated",sumif($S$3:$S104,vlookup(row($B54)-row($B$9)+1,$Q$3:$S104,3,false),$V$3:$V104)}),vlookup(row($B54)-row($B$9),{$Q$3:Q104,$T$3:T104,$U$3:U104,$V$3:V104},{2,3,4},false)))</f>
        <v/>
      </c>
      <c r="G54" s="1460"/>
      <c r="H54" s="852"/>
      <c r="I54" s="878"/>
      <c r="J54" s="1466" t="str">
        <f t="shared" si="2"/>
        <v/>
      </c>
      <c r="K54" s="1457"/>
      <c r="L54" s="1435"/>
      <c r="M54" s="1435"/>
      <c r="N54" s="1460"/>
      <c r="O54" s="1461"/>
      <c r="P54" s="1435"/>
      <c r="Q54" s="1466" t="str">
        <f t="shared" si="3"/>
        <v/>
      </c>
      <c r="R54" s="1457"/>
      <c r="S54" s="1435"/>
      <c r="T54" s="1435"/>
      <c r="U54" s="1460"/>
      <c r="V54" s="1467"/>
      <c r="W54" s="783"/>
      <c r="X54" s="782"/>
      <c r="Y54" s="1464"/>
    </row>
    <row r="55" ht="17.25" customHeight="1">
      <c r="A55" s="878"/>
      <c r="B55" s="1452" t="str">
        <f t="array" ref="B55:D55">iferror(if(iserror(match(row($B55)-row($B$9),$J$3:$J104,0)),if(iserror(match(row($B55)-row($B$9)+1,$J$3:$J104,0)),{iferror(1/0),iferror(1/0),iferror(1/0)},{upper(vlookup(row(B55)-row(B$9)+1,$J$3:$L104,3,false)),"Updated",sumif($L$3:$L104,vlookup(row($B55)-row($B$9)+1,$J$3:$L104,3,false),$O$3:$O104)}),vlookup(row($B55)-row($B$9),{$J$3:J104,$M$3:M104,$N$3:N104,$O$3:O104},{2,3,4},false)))</f>
        <v/>
      </c>
      <c r="C55" s="1460"/>
      <c r="D55" s="852"/>
      <c r="E55" s="777"/>
      <c r="F55" s="1479" t="str">
        <f t="array" ref="F55:H55">iferror(if(iserror(match(row($B55)-row($B$9),$Q$3:$Q104,0)),if(iserror(match(row($B55)-row($B$9)+1,$Q$3:$Q104,0)),{iferror(1/0),iferror(1/0),iferror(1/0)},{upper(vlookup(row(B55)-row(B$9)+1,$Q$3:$S104,3,false)),"Updated",sumif($S$3:$S104,vlookup(row($B55)-row($B$9)+1,$Q$3:$S104,3,false),$V$3:$V104)}),vlookup(row($B55)-row($B$9),{$Q$3:Q104,$T$3:T104,$U$3:U104,$V$3:V104},{2,3,4},false)))</f>
        <v/>
      </c>
      <c r="G55" s="1460"/>
      <c r="H55" s="852"/>
      <c r="I55" s="878"/>
      <c r="J55" s="1466" t="str">
        <f t="shared" si="2"/>
        <v/>
      </c>
      <c r="K55" s="1457"/>
      <c r="L55" s="1435"/>
      <c r="M55" s="1435"/>
      <c r="N55" s="1460"/>
      <c r="O55" s="1461"/>
      <c r="P55" s="1435"/>
      <c r="Q55" s="1466" t="str">
        <f t="shared" si="3"/>
        <v/>
      </c>
      <c r="R55" s="1457"/>
      <c r="S55" s="1435"/>
      <c r="T55" s="1435"/>
      <c r="U55" s="1460"/>
      <c r="V55" s="1467"/>
      <c r="W55" s="783"/>
      <c r="X55" s="782"/>
      <c r="Y55" s="1464"/>
    </row>
    <row r="56" ht="17.25" customHeight="1">
      <c r="A56" s="878"/>
      <c r="B56" s="1452" t="str">
        <f t="array" ref="B56:D56">iferror(if(iserror(match(row($B56)-row($B$9),$J$3:$J104,0)),if(iserror(match(row($B56)-row($B$9)+1,$J$3:$J104,0)),{iferror(1/0),iferror(1/0),iferror(1/0)},{upper(vlookup(row(B56)-row(B$9)+1,$J$3:$L104,3,false)),"Updated",sumif($L$3:$L104,vlookup(row($B56)-row($B$9)+1,$J$3:$L104,3,false),$O$3:$O104)}),vlookup(row($B56)-row($B$9),{$J$3:J104,$M$3:M104,$N$3:N104,$O$3:O104},{2,3,4},false)))</f>
        <v/>
      </c>
      <c r="C56" s="1460"/>
      <c r="D56" s="852"/>
      <c r="E56" s="777"/>
      <c r="F56" s="1479" t="str">
        <f t="array" ref="F56:H56">iferror(if(iserror(match(row($B56)-row($B$9),$Q$3:$Q104,0)),if(iserror(match(row($B56)-row($B$9)+1,$Q$3:$Q104,0)),{iferror(1/0),iferror(1/0),iferror(1/0)},{upper(vlookup(row(B56)-row(B$9)+1,$Q$3:$S104,3,false)),"Updated",sumif($S$3:$S104,vlookup(row($B56)-row($B$9)+1,$Q$3:$S104,3,false),$V$3:$V104)}),vlookup(row($B56)-row($B$9),{$Q$3:Q104,$T$3:T104,$U$3:U104,$V$3:V104},{2,3,4},false)))</f>
        <v/>
      </c>
      <c r="G56" s="1460"/>
      <c r="H56" s="852"/>
      <c r="I56" s="878"/>
      <c r="J56" s="1466" t="str">
        <f t="shared" si="2"/>
        <v/>
      </c>
      <c r="K56" s="1457"/>
      <c r="L56" s="1435"/>
      <c r="M56" s="1435"/>
      <c r="N56" s="1460"/>
      <c r="O56" s="1461"/>
      <c r="P56" s="1435"/>
      <c r="Q56" s="1466" t="str">
        <f t="shared" si="3"/>
        <v/>
      </c>
      <c r="R56" s="1457"/>
      <c r="S56" s="1435"/>
      <c r="T56" s="1435"/>
      <c r="U56" s="1460"/>
      <c r="V56" s="1467"/>
      <c r="W56" s="783"/>
      <c r="X56" s="782"/>
      <c r="Y56" s="1464"/>
    </row>
    <row r="57" ht="17.25" customHeight="1">
      <c r="A57" s="878"/>
      <c r="B57" s="1452" t="str">
        <f t="array" ref="B57:D57">iferror(if(iserror(match(row($B57)-row($B$9),$J$3:$J104,0)),if(iserror(match(row($B57)-row($B$9)+1,$J$3:$J104,0)),{iferror(1/0),iferror(1/0),iferror(1/0)},{upper(vlookup(row(B57)-row(B$9)+1,$J$3:$L104,3,false)),"Updated",sumif($L$3:$L104,vlookup(row($B57)-row($B$9)+1,$J$3:$L104,3,false),$O$3:$O104)}),vlookup(row($B57)-row($B$9),{$J$3:J104,$M$3:M104,$N$3:N104,$O$3:O104},{2,3,4},false)))</f>
        <v/>
      </c>
      <c r="C57" s="1460"/>
      <c r="D57" s="852"/>
      <c r="E57" s="777"/>
      <c r="F57" s="1479" t="str">
        <f t="array" ref="F57:H57">iferror(if(iserror(match(row($B57)-row($B$9),$Q$3:$Q104,0)),if(iserror(match(row($B57)-row($B$9)+1,$Q$3:$Q104,0)),{iferror(1/0),iferror(1/0),iferror(1/0)},{upper(vlookup(row(B57)-row(B$9)+1,$Q$3:$S104,3,false)),"Updated",sumif($S$3:$S104,vlookup(row($B57)-row($B$9)+1,$Q$3:$S104,3,false),$V$3:$V104)}),vlookup(row($B57)-row($B$9),{$Q$3:Q104,$T$3:T104,$U$3:U104,$V$3:V104},{2,3,4},false)))</f>
        <v/>
      </c>
      <c r="G57" s="1460"/>
      <c r="H57" s="852"/>
      <c r="I57" s="878"/>
      <c r="J57" s="1466" t="str">
        <f t="shared" si="2"/>
        <v/>
      </c>
      <c r="K57" s="1457"/>
      <c r="L57" s="1435"/>
      <c r="M57" s="1435"/>
      <c r="N57" s="1460"/>
      <c r="O57" s="1461"/>
      <c r="P57" s="1435"/>
      <c r="Q57" s="1466" t="str">
        <f t="shared" si="3"/>
        <v/>
      </c>
      <c r="R57" s="1457"/>
      <c r="S57" s="1435"/>
      <c r="T57" s="1435"/>
      <c r="U57" s="1460"/>
      <c r="V57" s="1467"/>
      <c r="W57" s="783"/>
      <c r="X57" s="782"/>
      <c r="Y57" s="1464"/>
    </row>
    <row r="58" ht="17.25" customHeight="1">
      <c r="A58" s="878"/>
      <c r="B58" s="1452" t="str">
        <f t="array" ref="B58:D58">iferror(if(iserror(match(row($B58)-row($B$9),$J$3:$J104,0)),if(iserror(match(row($B58)-row($B$9)+1,$J$3:$J104,0)),{iferror(1/0),iferror(1/0),iferror(1/0)},{upper(vlookup(row(B58)-row(B$9)+1,$J$3:$L104,3,false)),"Updated",sumif($L$3:$L104,vlookup(row($B58)-row($B$9)+1,$J$3:$L104,3,false),$O$3:$O104)}),vlookup(row($B58)-row($B$9),{$J$3:J104,$M$3:M104,$N$3:N104,$O$3:O104},{2,3,4},false)))</f>
        <v/>
      </c>
      <c r="C58" s="1460"/>
      <c r="D58" s="852"/>
      <c r="E58" s="777"/>
      <c r="F58" s="1479" t="str">
        <f t="array" ref="F58:H58">iferror(if(iserror(match(row($B58)-row($B$9),$Q$3:$Q104,0)),if(iserror(match(row($B58)-row($B$9)+1,$Q$3:$Q104,0)),{iferror(1/0),iferror(1/0),iferror(1/0)},{upper(vlookup(row(B58)-row(B$9)+1,$Q$3:$S104,3,false)),"Updated",sumif($S$3:$S104,vlookup(row($B58)-row($B$9)+1,$Q$3:$S104,3,false),$V$3:$V104)}),vlookup(row($B58)-row($B$9),{$Q$3:Q104,$T$3:T104,$U$3:U104,$V$3:V104},{2,3,4},false)))</f>
        <v/>
      </c>
      <c r="G58" s="1460"/>
      <c r="H58" s="852"/>
      <c r="I58" s="878"/>
      <c r="J58" s="1466" t="str">
        <f t="shared" si="2"/>
        <v/>
      </c>
      <c r="K58" s="1457"/>
      <c r="L58" s="1435"/>
      <c r="M58" s="1435"/>
      <c r="N58" s="1460"/>
      <c r="O58" s="1461"/>
      <c r="P58" s="1435"/>
      <c r="Q58" s="1466" t="str">
        <f t="shared" si="3"/>
        <v/>
      </c>
      <c r="R58" s="1457"/>
      <c r="S58" s="1435"/>
      <c r="T58" s="1435"/>
      <c r="U58" s="1460"/>
      <c r="V58" s="1467"/>
      <c r="W58" s="783"/>
      <c r="X58" s="782"/>
      <c r="Y58" s="1464"/>
    </row>
    <row r="59" ht="17.25" customHeight="1">
      <c r="A59" s="878"/>
      <c r="B59" s="1452" t="str">
        <f t="array" ref="B59:D59">iferror(if(iserror(match(row($B59)-row($B$9),$J$3:$J104,0)),if(iserror(match(row($B59)-row($B$9)+1,$J$3:$J104,0)),{iferror(1/0),iferror(1/0),iferror(1/0)},{upper(vlookup(row(B59)-row(B$9)+1,$J$3:$L104,3,false)),"Updated",sumif($L$3:$L104,vlookup(row($B59)-row($B$9)+1,$J$3:$L104,3,false),$O$3:$O104)}),vlookup(row($B59)-row($B$9),{$J$3:J104,$M$3:M104,$N$3:N104,$O$3:O104},{2,3,4},false)))</f>
        <v/>
      </c>
      <c r="C59" s="1460"/>
      <c r="D59" s="852"/>
      <c r="E59" s="777"/>
      <c r="F59" s="1479" t="str">
        <f t="array" ref="F59:H59">iferror(if(iserror(match(row($B59)-row($B$9),$Q$3:$Q104,0)),if(iserror(match(row($B59)-row($B$9)+1,$Q$3:$Q104,0)),{iferror(1/0),iferror(1/0),iferror(1/0)},{upper(vlookup(row(B59)-row(B$9)+1,$Q$3:$S104,3,false)),"Updated",sumif($S$3:$S104,vlookup(row($B59)-row($B$9)+1,$Q$3:$S104,3,false),$V$3:$V104)}),vlookup(row($B59)-row($B$9),{$Q$3:Q104,$T$3:T104,$U$3:U104,$V$3:V104},{2,3,4},false)))</f>
        <v/>
      </c>
      <c r="G59" s="1460"/>
      <c r="H59" s="852"/>
      <c r="I59" s="878"/>
      <c r="J59" s="1466" t="str">
        <f t="shared" si="2"/>
        <v/>
      </c>
      <c r="K59" s="1457"/>
      <c r="L59" s="1435"/>
      <c r="M59" s="1435"/>
      <c r="N59" s="1460"/>
      <c r="O59" s="1461"/>
      <c r="P59" s="1435"/>
      <c r="Q59" s="1466" t="str">
        <f t="shared" si="3"/>
        <v/>
      </c>
      <c r="R59" s="1457"/>
      <c r="S59" s="1435"/>
      <c r="T59" s="1435"/>
      <c r="U59" s="1460"/>
      <c r="V59" s="1467"/>
      <c r="W59" s="783"/>
      <c r="X59" s="782"/>
      <c r="Y59" s="1464"/>
    </row>
    <row r="60" ht="17.25" customHeight="1">
      <c r="A60" s="878"/>
      <c r="B60" s="1452" t="str">
        <f t="array" ref="B60:D60">iferror(if(iserror(match(row($B60)-row($B$9),$J$3:$J104,0)),if(iserror(match(row($B60)-row($B$9)+1,$J$3:$J104,0)),{iferror(1/0),iferror(1/0),iferror(1/0)},{upper(vlookup(row(B60)-row(B$9)+1,$J$3:$L104,3,false)),"Updated",sumif($L$3:$L104,vlookup(row($B60)-row($B$9)+1,$J$3:$L104,3,false),$O$3:$O104)}),vlookup(row($B60)-row($B$9),{$J$3:J104,$M$3:M104,$N$3:N104,$O$3:O104},{2,3,4},false)))</f>
        <v/>
      </c>
      <c r="C60" s="1460"/>
      <c r="D60" s="852"/>
      <c r="E60" s="777"/>
      <c r="F60" s="1479" t="str">
        <f t="array" ref="F60:H60">iferror(if(iserror(match(row($B60)-row($B$9),$Q$3:$Q104,0)),if(iserror(match(row($B60)-row($B$9)+1,$Q$3:$Q104,0)),{iferror(1/0),iferror(1/0),iferror(1/0)},{upper(vlookup(row(B60)-row(B$9)+1,$Q$3:$S104,3,false)),"Updated",sumif($S$3:$S104,vlookup(row($B60)-row($B$9)+1,$Q$3:$S104,3,false),$V$3:$V104)}),vlookup(row($B60)-row($B$9),{$Q$3:Q104,$T$3:T104,$U$3:U104,$V$3:V104},{2,3,4},false)))</f>
        <v/>
      </c>
      <c r="G60" s="1460"/>
      <c r="H60" s="852"/>
      <c r="I60" s="878"/>
      <c r="J60" s="1466" t="str">
        <f t="shared" si="2"/>
        <v/>
      </c>
      <c r="K60" s="1457"/>
      <c r="L60" s="1435"/>
      <c r="M60" s="1435"/>
      <c r="N60" s="1460"/>
      <c r="O60" s="1461"/>
      <c r="P60" s="1435"/>
      <c r="Q60" s="1466" t="str">
        <f t="shared" si="3"/>
        <v/>
      </c>
      <c r="R60" s="1457"/>
      <c r="S60" s="1435"/>
      <c r="T60" s="1435"/>
      <c r="U60" s="1460"/>
      <c r="V60" s="1467"/>
      <c r="W60" s="783"/>
      <c r="X60" s="782"/>
      <c r="Y60" s="1464"/>
    </row>
    <row r="61" ht="17.25" customHeight="1">
      <c r="A61" s="878"/>
      <c r="B61" s="1452" t="str">
        <f t="array" ref="B61:D61">iferror(if(iserror(match(row($B61)-row($B$9),$J$3:$J104,0)),if(iserror(match(row($B61)-row($B$9)+1,$J$3:$J104,0)),{iferror(1/0),iferror(1/0),iferror(1/0)},{upper(vlookup(row(B61)-row(B$9)+1,$J$3:$L104,3,false)),"Updated",sumif($L$3:$L104,vlookup(row($B61)-row($B$9)+1,$J$3:$L104,3,false),$O$3:$O104)}),vlookup(row($B61)-row($B$9),{$J$3:J104,$M$3:M104,$N$3:N104,$O$3:O104},{2,3,4},false)))</f>
        <v/>
      </c>
      <c r="C61" s="1460"/>
      <c r="D61" s="852"/>
      <c r="E61" s="777"/>
      <c r="F61" s="1479" t="str">
        <f t="array" ref="F61:H61">iferror(if(iserror(match(row($B61)-row($B$9),$Q$3:$Q104,0)),if(iserror(match(row($B61)-row($B$9)+1,$Q$3:$Q104,0)),{iferror(1/0),iferror(1/0),iferror(1/0)},{upper(vlookup(row(B61)-row(B$9)+1,$Q$3:$S104,3,false)),"Updated",sumif($S$3:$S104,vlookup(row($B61)-row($B$9)+1,$Q$3:$S104,3,false),$V$3:$V104)}),vlookup(row($B61)-row($B$9),{$Q$3:Q104,$T$3:T104,$U$3:U104,$V$3:V104},{2,3,4},false)))</f>
        <v/>
      </c>
      <c r="G61" s="1460"/>
      <c r="H61" s="852"/>
      <c r="I61" s="878"/>
      <c r="J61" s="1466" t="str">
        <f t="shared" si="2"/>
        <v/>
      </c>
      <c r="K61" s="1457"/>
      <c r="L61" s="1435"/>
      <c r="M61" s="1435"/>
      <c r="N61" s="1460"/>
      <c r="O61" s="1461"/>
      <c r="P61" s="1435"/>
      <c r="Q61" s="1466" t="str">
        <f t="shared" si="3"/>
        <v/>
      </c>
      <c r="R61" s="1457"/>
      <c r="S61" s="1435"/>
      <c r="T61" s="1435"/>
      <c r="U61" s="1460"/>
      <c r="V61" s="1467"/>
      <c r="W61" s="783"/>
      <c r="X61" s="782"/>
      <c r="Y61" s="1464"/>
    </row>
    <row r="62" ht="17.25" customHeight="1">
      <c r="A62" s="878"/>
      <c r="B62" s="1452" t="str">
        <f t="array" ref="B62:D62">iferror(if(iserror(match(row($B62)-row($B$9),$J$3:$J104,0)),if(iserror(match(row($B62)-row($B$9)+1,$J$3:$J104,0)),{iferror(1/0),iferror(1/0),iferror(1/0)},{upper(vlookup(row(B62)-row(B$9)+1,$J$3:$L104,3,false)),"Updated",sumif($L$3:$L104,vlookup(row($B62)-row($B$9)+1,$J$3:$L104,3,false),$O$3:$O104)}),vlookup(row($B62)-row($B$9),{$J$3:J104,$M$3:M104,$N$3:N104,$O$3:O104},{2,3,4},false)))</f>
        <v/>
      </c>
      <c r="C62" s="1460"/>
      <c r="D62" s="852"/>
      <c r="E62" s="777"/>
      <c r="F62" s="1479" t="str">
        <f t="array" ref="F62:H62">iferror(if(iserror(match(row($B62)-row($B$9),$Q$3:$Q104,0)),if(iserror(match(row($B62)-row($B$9)+1,$Q$3:$Q104,0)),{iferror(1/0),iferror(1/0),iferror(1/0)},{upper(vlookup(row(B62)-row(B$9)+1,$Q$3:$S104,3,false)),"Updated",sumif($S$3:$S104,vlookup(row($B62)-row($B$9)+1,$Q$3:$S104,3,false),$V$3:$V104)}),vlookup(row($B62)-row($B$9),{$Q$3:Q104,$T$3:T104,$U$3:U104,$V$3:V104},{2,3,4},false)))</f>
        <v/>
      </c>
      <c r="G62" s="1460"/>
      <c r="H62" s="852"/>
      <c r="I62" s="878"/>
      <c r="J62" s="1466" t="str">
        <f t="shared" si="2"/>
        <v/>
      </c>
      <c r="K62" s="1457"/>
      <c r="L62" s="1435"/>
      <c r="M62" s="1435"/>
      <c r="N62" s="1460"/>
      <c r="O62" s="1461"/>
      <c r="P62" s="1435"/>
      <c r="Q62" s="1466" t="str">
        <f t="shared" si="3"/>
        <v/>
      </c>
      <c r="R62" s="1457"/>
      <c r="S62" s="1435"/>
      <c r="T62" s="1435"/>
      <c r="U62" s="1460"/>
      <c r="V62" s="1467"/>
      <c r="W62" s="783"/>
      <c r="X62" s="782"/>
      <c r="Y62" s="1464"/>
    </row>
    <row r="63" ht="17.25" customHeight="1">
      <c r="A63" s="878"/>
      <c r="B63" s="1452" t="str">
        <f t="array" ref="B63:D63">iferror(if(iserror(match(row($B63)-row($B$9),$J$3:$J104,0)),if(iserror(match(row($B63)-row($B$9)+1,$J$3:$J104,0)),{iferror(1/0),iferror(1/0),iferror(1/0)},{upper(vlookup(row(B63)-row(B$9)+1,$J$3:$L104,3,false)),"Updated",sumif($L$3:$L104,vlookup(row($B63)-row($B$9)+1,$J$3:$L104,3,false),$O$3:$O104)}),vlookup(row($B63)-row($B$9),{$J$3:J104,$M$3:M104,$N$3:N104,$O$3:O104},{2,3,4},false)))</f>
        <v/>
      </c>
      <c r="C63" s="1460"/>
      <c r="D63" s="852"/>
      <c r="E63" s="777"/>
      <c r="F63" s="1479" t="str">
        <f t="array" ref="F63:H63">iferror(if(iserror(match(row($B63)-row($B$9),$Q$3:$Q104,0)),if(iserror(match(row($B63)-row($B$9)+1,$Q$3:$Q104,0)),{iferror(1/0),iferror(1/0),iferror(1/0)},{upper(vlookup(row(B63)-row(B$9)+1,$Q$3:$S104,3,false)),"Updated",sumif($S$3:$S104,vlookup(row($B63)-row($B$9)+1,$Q$3:$S104,3,false),$V$3:$V104)}),vlookup(row($B63)-row($B$9),{$Q$3:Q104,$T$3:T104,$U$3:U104,$V$3:V104},{2,3,4},false)))</f>
        <v/>
      </c>
      <c r="G63" s="1460"/>
      <c r="H63" s="852"/>
      <c r="I63" s="878"/>
      <c r="J63" s="1466" t="str">
        <f t="shared" si="2"/>
        <v/>
      </c>
      <c r="K63" s="1457"/>
      <c r="L63" s="1435"/>
      <c r="M63" s="1435"/>
      <c r="N63" s="1460"/>
      <c r="O63" s="1461"/>
      <c r="P63" s="1435"/>
      <c r="Q63" s="1466" t="str">
        <f t="shared" si="3"/>
        <v/>
      </c>
      <c r="R63" s="1457"/>
      <c r="S63" s="1435"/>
      <c r="T63" s="1435"/>
      <c r="U63" s="1460"/>
      <c r="V63" s="1467"/>
      <c r="W63" s="783"/>
      <c r="X63" s="782"/>
      <c r="Y63" s="1464"/>
    </row>
    <row r="64" ht="17.25" customHeight="1">
      <c r="A64" s="878"/>
      <c r="B64" s="1452" t="str">
        <f t="array" ref="B64:D64">iferror(if(iserror(match(row($B64)-row($B$9),$J$3:$J104,0)),if(iserror(match(row($B64)-row($B$9)+1,$J$3:$J104,0)),{iferror(1/0),iferror(1/0),iferror(1/0)},{upper(vlookup(row(B64)-row(B$9)+1,$J$3:$L104,3,false)),"Updated",sumif($L$3:$L104,vlookup(row($B64)-row($B$9)+1,$J$3:$L104,3,false),$O$3:$O104)}),vlookup(row($B64)-row($B$9),{$J$3:J104,$M$3:M104,$N$3:N104,$O$3:O104},{2,3,4},false)))</f>
        <v/>
      </c>
      <c r="C64" s="1460"/>
      <c r="D64" s="852"/>
      <c r="E64" s="777"/>
      <c r="F64" s="1479" t="str">
        <f t="array" ref="F64:H64">iferror(if(iserror(match(row($B64)-row($B$9),$Q$3:$Q104,0)),if(iserror(match(row($B64)-row($B$9)+1,$Q$3:$Q104,0)),{iferror(1/0),iferror(1/0),iferror(1/0)},{upper(vlookup(row(B64)-row(B$9)+1,$Q$3:$S104,3,false)),"Updated",sumif($S$3:$S104,vlookup(row($B64)-row($B$9)+1,$Q$3:$S104,3,false),$V$3:$V104)}),vlookup(row($B64)-row($B$9),{$Q$3:Q104,$T$3:T104,$U$3:U104,$V$3:V104},{2,3,4},false)))</f>
        <v/>
      </c>
      <c r="G64" s="1460"/>
      <c r="H64" s="852"/>
      <c r="I64" s="878"/>
      <c r="J64" s="1466" t="str">
        <f t="shared" si="2"/>
        <v/>
      </c>
      <c r="K64" s="1457"/>
      <c r="L64" s="1435"/>
      <c r="M64" s="1435"/>
      <c r="N64" s="1460"/>
      <c r="O64" s="1461"/>
      <c r="P64" s="1435"/>
      <c r="Q64" s="1466" t="str">
        <f t="shared" si="3"/>
        <v/>
      </c>
      <c r="R64" s="1457"/>
      <c r="S64" s="1435"/>
      <c r="T64" s="1435"/>
      <c r="U64" s="1460"/>
      <c r="V64" s="1467"/>
      <c r="W64" s="783"/>
      <c r="X64" s="782"/>
      <c r="Y64" s="1464"/>
    </row>
    <row r="65" ht="17.25" customHeight="1">
      <c r="A65" s="878"/>
      <c r="B65" s="1452" t="str">
        <f t="array" ref="B65:D65">iferror(if(iserror(match(row($B65)-row($B$9),$J$3:$J104,0)),if(iserror(match(row($B65)-row($B$9)+1,$J$3:$J104,0)),{iferror(1/0),iferror(1/0),iferror(1/0)},{upper(vlookup(row(B65)-row(B$9)+1,$J$3:$L104,3,false)),"Updated",sumif($L$3:$L104,vlookup(row($B65)-row($B$9)+1,$J$3:$L104,3,false),$O$3:$O104)}),vlookup(row($B65)-row($B$9),{$J$3:J104,$M$3:M104,$N$3:N104,$O$3:O104},{2,3,4},false)))</f>
        <v/>
      </c>
      <c r="C65" s="1460"/>
      <c r="D65" s="852"/>
      <c r="E65" s="777"/>
      <c r="F65" s="1479" t="str">
        <f t="array" ref="F65:H65">iferror(if(iserror(match(row($B65)-row($B$9),$Q$3:$Q104,0)),if(iserror(match(row($B65)-row($B$9)+1,$Q$3:$Q104,0)),{iferror(1/0),iferror(1/0),iferror(1/0)},{upper(vlookup(row(B65)-row(B$9)+1,$Q$3:$S104,3,false)),"Updated",sumif($S$3:$S104,vlookup(row($B65)-row($B$9)+1,$Q$3:$S104,3,false),$V$3:$V104)}),vlookup(row($B65)-row($B$9),{$Q$3:Q104,$T$3:T104,$U$3:U104,$V$3:V104},{2,3,4},false)))</f>
        <v/>
      </c>
      <c r="G65" s="1460"/>
      <c r="H65" s="852"/>
      <c r="I65" s="878"/>
      <c r="J65" s="1466" t="str">
        <f t="shared" si="2"/>
        <v/>
      </c>
      <c r="K65" s="1457"/>
      <c r="L65" s="1435"/>
      <c r="M65" s="1435"/>
      <c r="N65" s="1460"/>
      <c r="O65" s="1461"/>
      <c r="P65" s="1435"/>
      <c r="Q65" s="1466" t="str">
        <f t="shared" si="3"/>
        <v/>
      </c>
      <c r="R65" s="1457"/>
      <c r="S65" s="1435"/>
      <c r="T65" s="1435"/>
      <c r="U65" s="1460"/>
      <c r="V65" s="1467"/>
      <c r="W65" s="783"/>
      <c r="X65" s="782"/>
      <c r="Y65" s="1464"/>
    </row>
    <row r="66" ht="17.25" customHeight="1">
      <c r="A66" s="878"/>
      <c r="B66" s="1452" t="str">
        <f t="array" ref="B66:D66">iferror(if(iserror(match(row($B66)-row($B$9),$J$3:$J104,0)),if(iserror(match(row($B66)-row($B$9)+1,$J$3:$J104,0)),{iferror(1/0),iferror(1/0),iferror(1/0)},{upper(vlookup(row(B66)-row(B$9)+1,$J$3:$L104,3,false)),"Updated",sumif($L$3:$L104,vlookup(row($B66)-row($B$9)+1,$J$3:$L104,3,false),$O$3:$O104)}),vlookup(row($B66)-row($B$9),{$J$3:J104,$M$3:M104,$N$3:N104,$O$3:O104},{2,3,4},false)))</f>
        <v/>
      </c>
      <c r="C66" s="1460"/>
      <c r="D66" s="852"/>
      <c r="E66" s="777"/>
      <c r="F66" s="1479" t="str">
        <f t="array" ref="F66:H66">iferror(if(iserror(match(row($B66)-row($B$9),$Q$3:$Q104,0)),if(iserror(match(row($B66)-row($B$9)+1,$Q$3:$Q104,0)),{iferror(1/0),iferror(1/0),iferror(1/0)},{upper(vlookup(row(B66)-row(B$9)+1,$Q$3:$S104,3,false)),"Updated",sumif($S$3:$S104,vlookup(row($B66)-row($B$9)+1,$Q$3:$S104,3,false),$V$3:$V104)}),vlookup(row($B66)-row($B$9),{$Q$3:Q104,$T$3:T104,$U$3:U104,$V$3:V104},{2,3,4},false)))</f>
        <v/>
      </c>
      <c r="G66" s="1460"/>
      <c r="H66" s="852"/>
      <c r="I66" s="878"/>
      <c r="J66" s="1466" t="str">
        <f t="shared" si="2"/>
        <v/>
      </c>
      <c r="K66" s="1457"/>
      <c r="L66" s="1435"/>
      <c r="M66" s="1435"/>
      <c r="N66" s="1460"/>
      <c r="O66" s="1461"/>
      <c r="P66" s="1435"/>
      <c r="Q66" s="1466" t="str">
        <f t="shared" si="3"/>
        <v/>
      </c>
      <c r="R66" s="1457"/>
      <c r="S66" s="1435"/>
      <c r="T66" s="1435"/>
      <c r="U66" s="1460"/>
      <c r="V66" s="1467"/>
      <c r="W66" s="783"/>
      <c r="X66" s="782"/>
      <c r="Y66" s="1464"/>
    </row>
    <row r="67" ht="17.25" customHeight="1">
      <c r="A67" s="878"/>
      <c r="B67" s="1452" t="str">
        <f t="array" ref="B67:D67">iferror(if(iserror(match(row($B67)-row($B$9),$J$3:$J104,0)),if(iserror(match(row($B67)-row($B$9)+1,$J$3:$J104,0)),{iferror(1/0),iferror(1/0),iferror(1/0)},{upper(vlookup(row(B67)-row(B$9)+1,$J$3:$L104,3,false)),"Updated",sumif($L$3:$L104,vlookup(row($B67)-row($B$9)+1,$J$3:$L104,3,false),$O$3:$O104)}),vlookup(row($B67)-row($B$9),{$J$3:J104,$M$3:M104,$N$3:N104,$O$3:O104},{2,3,4},false)))</f>
        <v/>
      </c>
      <c r="C67" s="1460"/>
      <c r="D67" s="852"/>
      <c r="E67" s="777"/>
      <c r="F67" s="1479" t="str">
        <f t="array" ref="F67:H67">iferror(if(iserror(match(row($B67)-row($B$9),$Q$3:$Q104,0)),if(iserror(match(row($B67)-row($B$9)+1,$Q$3:$Q104,0)),{iferror(1/0),iferror(1/0),iferror(1/0)},{upper(vlookup(row(B67)-row(B$9)+1,$Q$3:$S104,3,false)),"Updated",sumif($S$3:$S104,vlookup(row($B67)-row($B$9)+1,$Q$3:$S104,3,false),$V$3:$V104)}),vlookup(row($B67)-row($B$9),{$Q$3:Q104,$T$3:T104,$U$3:U104,$V$3:V104},{2,3,4},false)))</f>
        <v/>
      </c>
      <c r="G67" s="1460"/>
      <c r="H67" s="852"/>
      <c r="I67" s="878"/>
      <c r="J67" s="1466" t="str">
        <f t="shared" si="2"/>
        <v/>
      </c>
      <c r="K67" s="1457"/>
      <c r="L67" s="1435"/>
      <c r="M67" s="1435"/>
      <c r="N67" s="1460"/>
      <c r="O67" s="1461"/>
      <c r="P67" s="1435"/>
      <c r="Q67" s="1466" t="str">
        <f t="shared" si="3"/>
        <v/>
      </c>
      <c r="R67" s="1457"/>
      <c r="S67" s="1435"/>
      <c r="T67" s="1435"/>
      <c r="U67" s="1460"/>
      <c r="V67" s="1467"/>
      <c r="W67" s="783"/>
      <c r="X67" s="782"/>
      <c r="Y67" s="1464"/>
    </row>
    <row r="68" ht="17.25" customHeight="1">
      <c r="A68" s="878"/>
      <c r="B68" s="1452" t="str">
        <f t="array" ref="B68:D68">iferror(if(iserror(match(row($B68)-row($B$9),$J$3:$J104,0)),if(iserror(match(row($B68)-row($B$9)+1,$J$3:$J104,0)),{iferror(1/0),iferror(1/0),iferror(1/0)},{upper(vlookup(row(B68)-row(B$9)+1,$J$3:$L104,3,false)),"Updated",sumif($L$3:$L104,vlookup(row($B68)-row($B$9)+1,$J$3:$L104,3,false),$O$3:$O104)}),vlookup(row($B68)-row($B$9),{$J$3:J104,$M$3:M104,$N$3:N104,$O$3:O104},{2,3,4},false)))</f>
        <v/>
      </c>
      <c r="C68" s="1460"/>
      <c r="D68" s="852"/>
      <c r="E68" s="777"/>
      <c r="F68" s="1479" t="str">
        <f t="array" ref="F68:H68">iferror(if(iserror(match(row($B68)-row($B$9),$Q$3:$Q104,0)),if(iserror(match(row($B68)-row($B$9)+1,$Q$3:$Q104,0)),{iferror(1/0),iferror(1/0),iferror(1/0)},{upper(vlookup(row(B68)-row(B$9)+1,$Q$3:$S104,3,false)),"Updated",sumif($S$3:$S104,vlookup(row($B68)-row($B$9)+1,$Q$3:$S104,3,false),$V$3:$V104)}),vlookup(row($B68)-row($B$9),{$Q$3:Q104,$T$3:T104,$U$3:U104,$V$3:V104},{2,3,4},false)))</f>
        <v/>
      </c>
      <c r="G68" s="1460"/>
      <c r="H68" s="852"/>
      <c r="I68" s="878"/>
      <c r="J68" s="1466" t="str">
        <f t="shared" si="2"/>
        <v/>
      </c>
      <c r="K68" s="1457"/>
      <c r="L68" s="1435"/>
      <c r="M68" s="1435"/>
      <c r="N68" s="1460"/>
      <c r="O68" s="1461"/>
      <c r="P68" s="1435"/>
      <c r="Q68" s="1466" t="str">
        <f t="shared" si="3"/>
        <v/>
      </c>
      <c r="R68" s="1457"/>
      <c r="S68" s="1435"/>
      <c r="T68" s="1435"/>
      <c r="U68" s="1460"/>
      <c r="V68" s="1467"/>
      <c r="W68" s="783"/>
      <c r="X68" s="782"/>
      <c r="Y68" s="1464"/>
    </row>
    <row r="69" ht="17.25" customHeight="1">
      <c r="A69" s="878"/>
      <c r="B69" s="1452" t="str">
        <f t="array" ref="B69:D69">iferror(if(iserror(match(row($B69)-row($B$9),$J$3:$J104,0)),if(iserror(match(row($B69)-row($B$9)+1,$J$3:$J104,0)),{iferror(1/0),iferror(1/0),iferror(1/0)},{upper(vlookup(row(B69)-row(B$9)+1,$J$3:$L104,3,false)),"Updated",sumif($L$3:$L104,vlookup(row($B69)-row($B$9)+1,$J$3:$L104,3,false),$O$3:$O104)}),vlookup(row($B69)-row($B$9),{$J$3:J104,$M$3:M104,$N$3:N104,$O$3:O104},{2,3,4},false)))</f>
        <v/>
      </c>
      <c r="C69" s="1460"/>
      <c r="D69" s="852"/>
      <c r="E69" s="777"/>
      <c r="F69" s="1479" t="str">
        <f t="array" ref="F69:H69">iferror(if(iserror(match(row($B69)-row($B$9),$Q$3:$Q104,0)),if(iserror(match(row($B69)-row($B$9)+1,$Q$3:$Q104,0)),{iferror(1/0),iferror(1/0),iferror(1/0)},{upper(vlookup(row(B69)-row(B$9)+1,$Q$3:$S104,3,false)),"Updated",sumif($S$3:$S104,vlookup(row($B69)-row($B$9)+1,$Q$3:$S104,3,false),$V$3:$V104)}),vlookup(row($B69)-row($B$9),{$Q$3:Q104,$T$3:T104,$U$3:U104,$V$3:V104},{2,3,4},false)))</f>
        <v/>
      </c>
      <c r="G69" s="1460"/>
      <c r="H69" s="852"/>
      <c r="I69" s="878"/>
      <c r="J69" s="1466" t="str">
        <f t="shared" si="2"/>
        <v/>
      </c>
      <c r="K69" s="1457"/>
      <c r="L69" s="1435"/>
      <c r="M69" s="1435"/>
      <c r="N69" s="1460"/>
      <c r="O69" s="1461"/>
      <c r="P69" s="1435"/>
      <c r="Q69" s="1466" t="str">
        <f t="shared" si="3"/>
        <v/>
      </c>
      <c r="R69" s="1457"/>
      <c r="S69" s="1435"/>
      <c r="T69" s="1435"/>
      <c r="U69" s="1460"/>
      <c r="V69" s="1467"/>
      <c r="W69" s="783"/>
      <c r="X69" s="782"/>
      <c r="Y69" s="1464"/>
    </row>
    <row r="70" ht="17.25" customHeight="1">
      <c r="A70" s="878"/>
      <c r="B70" s="1452" t="str">
        <f t="array" ref="B70:D70">iferror(if(iserror(match(row($B70)-row($B$9),$J$3:$J104,0)),if(iserror(match(row($B70)-row($B$9)+1,$J$3:$J104,0)),{iferror(1/0),iferror(1/0),iferror(1/0)},{upper(vlookup(row(B70)-row(B$9)+1,$J$3:$L104,3,false)),"Updated",sumif($L$3:$L104,vlookup(row($B70)-row($B$9)+1,$J$3:$L104,3,false),$O$3:$O104)}),vlookup(row($B70)-row($B$9),{$J$3:J104,$M$3:M104,$N$3:N104,$O$3:O104},{2,3,4},false)))</f>
        <v/>
      </c>
      <c r="C70" s="1460"/>
      <c r="D70" s="852"/>
      <c r="E70" s="777"/>
      <c r="F70" s="1479" t="str">
        <f t="array" ref="F70:H70">iferror(if(iserror(match(row($B70)-row($B$9),$Q$3:$Q104,0)),if(iserror(match(row($B70)-row($B$9)+1,$Q$3:$Q104,0)),{iferror(1/0),iferror(1/0),iferror(1/0)},{upper(vlookup(row(B70)-row(B$9)+1,$Q$3:$S104,3,false)),"Updated",sumif($S$3:$S104,vlookup(row($B70)-row($B$9)+1,$Q$3:$S104,3,false),$V$3:$V104)}),vlookup(row($B70)-row($B$9),{$Q$3:Q104,$T$3:T104,$U$3:U104,$V$3:V104},{2,3,4},false)))</f>
        <v/>
      </c>
      <c r="G70" s="1460"/>
      <c r="H70" s="852"/>
      <c r="I70" s="878"/>
      <c r="J70" s="1466" t="str">
        <f t="shared" si="2"/>
        <v/>
      </c>
      <c r="K70" s="1457"/>
      <c r="L70" s="1435"/>
      <c r="M70" s="1435"/>
      <c r="N70" s="1460"/>
      <c r="O70" s="1461"/>
      <c r="P70" s="1435"/>
      <c r="Q70" s="1466" t="str">
        <f t="shared" si="3"/>
        <v/>
      </c>
      <c r="R70" s="1457"/>
      <c r="S70" s="1435"/>
      <c r="T70" s="1435"/>
      <c r="U70" s="1460"/>
      <c r="V70" s="1467"/>
      <c r="W70" s="783"/>
      <c r="X70" s="782"/>
      <c r="Y70" s="1464"/>
    </row>
    <row r="71" ht="17.25" customHeight="1">
      <c r="A71" s="878"/>
      <c r="B71" s="1452" t="str">
        <f t="array" ref="B71:D71">iferror(if(iserror(match(row($B71)-row($B$9),$J$3:$J104,0)),if(iserror(match(row($B71)-row($B$9)+1,$J$3:$J104,0)),{iferror(1/0),iferror(1/0),iferror(1/0)},{upper(vlookup(row(B71)-row(B$9)+1,$J$3:$L104,3,false)),"Updated",sumif($L$3:$L104,vlookup(row($B71)-row($B$9)+1,$J$3:$L104,3,false),$O$3:$O104)}),vlookup(row($B71)-row($B$9),{$J$3:J104,$M$3:M104,$N$3:N104,$O$3:O104},{2,3,4},false)))</f>
        <v/>
      </c>
      <c r="C71" s="1460"/>
      <c r="D71" s="852"/>
      <c r="E71" s="777"/>
      <c r="F71" s="1479" t="str">
        <f t="array" ref="F71:H71">iferror(if(iserror(match(row($B71)-row($B$9),$Q$3:$Q104,0)),if(iserror(match(row($B71)-row($B$9)+1,$Q$3:$Q104,0)),{iferror(1/0),iferror(1/0),iferror(1/0)},{upper(vlookup(row(B71)-row(B$9)+1,$Q$3:$S104,3,false)),"Updated",sumif($S$3:$S104,vlookup(row($B71)-row($B$9)+1,$Q$3:$S104,3,false),$V$3:$V104)}),vlookup(row($B71)-row($B$9),{$Q$3:Q104,$T$3:T104,$U$3:U104,$V$3:V104},{2,3,4},false)))</f>
        <v/>
      </c>
      <c r="G71" s="1460"/>
      <c r="H71" s="852"/>
      <c r="I71" s="878"/>
      <c r="J71" s="1466" t="str">
        <f t="shared" si="2"/>
        <v/>
      </c>
      <c r="K71" s="1457"/>
      <c r="L71" s="1435"/>
      <c r="M71" s="1435"/>
      <c r="N71" s="1460"/>
      <c r="O71" s="1461"/>
      <c r="P71" s="1435"/>
      <c r="Q71" s="1466" t="str">
        <f t="shared" si="3"/>
        <v/>
      </c>
      <c r="R71" s="1457"/>
      <c r="S71" s="1435"/>
      <c r="T71" s="1435"/>
      <c r="U71" s="1460"/>
      <c r="V71" s="1467"/>
      <c r="W71" s="783"/>
      <c r="X71" s="782"/>
      <c r="Y71" s="1464"/>
    </row>
    <row r="72" ht="17.25" customHeight="1">
      <c r="A72" s="878"/>
      <c r="B72" s="1452" t="str">
        <f t="array" ref="B72:D72">iferror(if(iserror(match(row($B72)-row($B$9),$J$3:$J104,0)),if(iserror(match(row($B72)-row($B$9)+1,$J$3:$J104,0)),{iferror(1/0),iferror(1/0),iferror(1/0)},{upper(vlookup(row(B72)-row(B$9)+1,$J$3:$L104,3,false)),"Updated",sumif($L$3:$L104,vlookup(row($B72)-row($B$9)+1,$J$3:$L104,3,false),$O$3:$O104)}),vlookup(row($B72)-row($B$9),{$J$3:J104,$M$3:M104,$N$3:N104,$O$3:O104},{2,3,4},false)))</f>
        <v/>
      </c>
      <c r="C72" s="1460"/>
      <c r="D72" s="852"/>
      <c r="E72" s="777"/>
      <c r="F72" s="1479" t="str">
        <f t="array" ref="F72:H72">iferror(if(iserror(match(row($B72)-row($B$9),$Q$3:$Q104,0)),if(iserror(match(row($B72)-row($B$9)+1,$Q$3:$Q104,0)),{iferror(1/0),iferror(1/0),iferror(1/0)},{upper(vlookup(row(B72)-row(B$9)+1,$Q$3:$S104,3,false)),"Updated",sumif($S$3:$S104,vlookup(row($B72)-row($B$9)+1,$Q$3:$S104,3,false),$V$3:$V104)}),vlookup(row($B72)-row($B$9),{$Q$3:Q104,$T$3:T104,$U$3:U104,$V$3:V104},{2,3,4},false)))</f>
        <v/>
      </c>
      <c r="G72" s="1460"/>
      <c r="H72" s="852"/>
      <c r="I72" s="878"/>
      <c r="J72" s="1466" t="str">
        <f t="shared" si="2"/>
        <v/>
      </c>
      <c r="K72" s="1457"/>
      <c r="L72" s="1435"/>
      <c r="M72" s="1435"/>
      <c r="N72" s="1460"/>
      <c r="O72" s="1461"/>
      <c r="P72" s="1435"/>
      <c r="Q72" s="1466" t="str">
        <f t="shared" si="3"/>
        <v/>
      </c>
      <c r="R72" s="1457"/>
      <c r="S72" s="1435"/>
      <c r="T72" s="1435"/>
      <c r="U72" s="1460"/>
      <c r="V72" s="1467"/>
      <c r="W72" s="783"/>
      <c r="X72" s="782"/>
      <c r="Y72" s="1464"/>
    </row>
    <row r="73" ht="17.25" customHeight="1">
      <c r="A73" s="878"/>
      <c r="B73" s="1452" t="str">
        <f t="array" ref="B73:D73">iferror(if(iserror(match(row($B73)-row($B$9),$J$3:$J104,0)),if(iserror(match(row($B73)-row($B$9)+1,$J$3:$J104,0)),{iferror(1/0),iferror(1/0),iferror(1/0)},{upper(vlookup(row(B73)-row(B$9)+1,$J$3:$L104,3,false)),"Updated",sumif($L$3:$L104,vlookup(row($B73)-row($B$9)+1,$J$3:$L104,3,false),$O$3:$O104)}),vlookup(row($B73)-row($B$9),{$J$3:J104,$M$3:M104,$N$3:N104,$O$3:O104},{2,3,4},false)))</f>
        <v/>
      </c>
      <c r="C73" s="1460"/>
      <c r="D73" s="852"/>
      <c r="E73" s="777"/>
      <c r="F73" s="1479" t="str">
        <f t="array" ref="F73:H73">iferror(if(iserror(match(row($B73)-row($B$9),$Q$3:$Q104,0)),if(iserror(match(row($B73)-row($B$9)+1,$Q$3:$Q104,0)),{iferror(1/0),iferror(1/0),iferror(1/0)},{upper(vlookup(row(B73)-row(B$9)+1,$Q$3:$S104,3,false)),"Updated",sumif($S$3:$S104,vlookup(row($B73)-row($B$9)+1,$Q$3:$S104,3,false),$V$3:$V104)}),vlookup(row($B73)-row($B$9),{$Q$3:Q104,$T$3:T104,$U$3:U104,$V$3:V104},{2,3,4},false)))</f>
        <v/>
      </c>
      <c r="G73" s="1460"/>
      <c r="H73" s="852"/>
      <c r="I73" s="878"/>
      <c r="J73" s="1466" t="str">
        <f t="shared" si="2"/>
        <v/>
      </c>
      <c r="K73" s="1457"/>
      <c r="L73" s="1435"/>
      <c r="M73" s="1435"/>
      <c r="N73" s="1460"/>
      <c r="O73" s="1461"/>
      <c r="P73" s="1435"/>
      <c r="Q73" s="1466" t="str">
        <f t="shared" si="3"/>
        <v/>
      </c>
      <c r="R73" s="1457"/>
      <c r="S73" s="1435"/>
      <c r="T73" s="1435"/>
      <c r="U73" s="1460"/>
      <c r="V73" s="1467"/>
      <c r="W73" s="783"/>
      <c r="X73" s="782"/>
      <c r="Y73" s="1464"/>
    </row>
    <row r="74" ht="17.25" customHeight="1">
      <c r="A74" s="878"/>
      <c r="B74" s="1452" t="str">
        <f t="array" ref="B74:D74">iferror(if(iserror(match(row($B74)-row($B$9),$J$3:$J104,0)),if(iserror(match(row($B74)-row($B$9)+1,$J$3:$J104,0)),{iferror(1/0),iferror(1/0),iferror(1/0)},{upper(vlookup(row(B74)-row(B$9)+1,$J$3:$L104,3,false)),"Updated",sumif($L$3:$L104,vlookup(row($B74)-row($B$9)+1,$J$3:$L104,3,false),$O$3:$O104)}),vlookup(row($B74)-row($B$9),{$J$3:J104,$M$3:M104,$N$3:N104,$O$3:O104},{2,3,4},false)))</f>
        <v/>
      </c>
      <c r="C74" s="1460"/>
      <c r="D74" s="852"/>
      <c r="E74" s="777"/>
      <c r="F74" s="1479" t="str">
        <f t="array" ref="F74:H74">iferror(if(iserror(match(row($B74)-row($B$9),$Q$3:$Q104,0)),if(iserror(match(row($B74)-row($B$9)+1,$Q$3:$Q104,0)),{iferror(1/0),iferror(1/0),iferror(1/0)},{upper(vlookup(row(B74)-row(B$9)+1,$Q$3:$S104,3,false)),"Updated",sumif($S$3:$S104,vlookup(row($B74)-row($B$9)+1,$Q$3:$S104,3,false),$V$3:$V104)}),vlookup(row($B74)-row($B$9),{$Q$3:Q104,$T$3:T104,$U$3:U104,$V$3:V104},{2,3,4},false)))</f>
        <v/>
      </c>
      <c r="G74" s="1460"/>
      <c r="H74" s="852"/>
      <c r="I74" s="878"/>
      <c r="J74" s="1466" t="str">
        <f t="shared" si="2"/>
        <v/>
      </c>
      <c r="K74" s="1457"/>
      <c r="L74" s="1435"/>
      <c r="M74" s="1435"/>
      <c r="N74" s="1460"/>
      <c r="O74" s="1461"/>
      <c r="P74" s="1435"/>
      <c r="Q74" s="1466" t="str">
        <f t="shared" si="3"/>
        <v/>
      </c>
      <c r="R74" s="1457"/>
      <c r="S74" s="1435"/>
      <c r="T74" s="1435"/>
      <c r="U74" s="1460"/>
      <c r="V74" s="1467"/>
      <c r="W74" s="783"/>
      <c r="X74" s="782"/>
      <c r="Y74" s="1464"/>
    </row>
    <row r="75" ht="17.25" customHeight="1">
      <c r="A75" s="878"/>
      <c r="B75" s="1452" t="str">
        <f t="array" ref="B75:D75">iferror(if(iserror(match(row($B75)-row($B$9),$J$3:$J104,0)),if(iserror(match(row($B75)-row($B$9)+1,$J$3:$J104,0)),{iferror(1/0),iferror(1/0),iferror(1/0)},{upper(vlookup(row(B75)-row(B$9)+1,$J$3:$L104,3,false)),"Updated",sumif($L$3:$L104,vlookup(row($B75)-row($B$9)+1,$J$3:$L104,3,false),$O$3:$O104)}),vlookup(row($B75)-row($B$9),{$J$3:J104,$M$3:M104,$N$3:N104,$O$3:O104},{2,3,4},false)))</f>
        <v/>
      </c>
      <c r="C75" s="1460"/>
      <c r="D75" s="852"/>
      <c r="E75" s="777"/>
      <c r="F75" s="1479" t="str">
        <f t="array" ref="F75:H75">iferror(if(iserror(match(row($B75)-row($B$9),$Q$3:$Q104,0)),if(iserror(match(row($B75)-row($B$9)+1,$Q$3:$Q104,0)),{iferror(1/0),iferror(1/0),iferror(1/0)},{upper(vlookup(row(B75)-row(B$9)+1,$Q$3:$S104,3,false)),"Updated",sumif($S$3:$S104,vlookup(row($B75)-row($B$9)+1,$Q$3:$S104,3,false),$V$3:$V104)}),vlookup(row($B75)-row($B$9),{$Q$3:Q104,$T$3:T104,$U$3:U104,$V$3:V104},{2,3,4},false)))</f>
        <v/>
      </c>
      <c r="G75" s="1460"/>
      <c r="H75" s="852"/>
      <c r="I75" s="878"/>
      <c r="J75" s="1466" t="str">
        <f t="shared" si="2"/>
        <v/>
      </c>
      <c r="K75" s="1457"/>
      <c r="L75" s="1435"/>
      <c r="M75" s="1435"/>
      <c r="N75" s="1460"/>
      <c r="O75" s="1461"/>
      <c r="P75" s="1435"/>
      <c r="Q75" s="1466" t="str">
        <f t="shared" si="3"/>
        <v/>
      </c>
      <c r="R75" s="1457"/>
      <c r="S75" s="1435"/>
      <c r="T75" s="1435"/>
      <c r="U75" s="1460"/>
      <c r="V75" s="1467"/>
      <c r="W75" s="783"/>
      <c r="X75" s="782"/>
      <c r="Y75" s="1464"/>
    </row>
    <row r="76" ht="17.25" customHeight="1">
      <c r="A76" s="878"/>
      <c r="B76" s="1452" t="str">
        <f t="array" ref="B76:D76">iferror(if(iserror(match(row($B76)-row($B$9),$J$3:$J104,0)),if(iserror(match(row($B76)-row($B$9)+1,$J$3:$J104,0)),{iferror(1/0),iferror(1/0),iferror(1/0)},{upper(vlookup(row(B76)-row(B$9)+1,$J$3:$L104,3,false)),"Updated",sumif($L$3:$L104,vlookup(row($B76)-row($B$9)+1,$J$3:$L104,3,false),$O$3:$O104)}),vlookup(row($B76)-row($B$9),{$J$3:J104,$M$3:M104,$N$3:N104,$O$3:O104},{2,3,4},false)))</f>
        <v/>
      </c>
      <c r="C76" s="1460"/>
      <c r="D76" s="852"/>
      <c r="E76" s="777"/>
      <c r="F76" s="1479" t="str">
        <f t="array" ref="F76:H76">iferror(if(iserror(match(row($B76)-row($B$9),$Q$3:$Q104,0)),if(iserror(match(row($B76)-row($B$9)+1,$Q$3:$Q104,0)),{iferror(1/0),iferror(1/0),iferror(1/0)},{upper(vlookup(row(B76)-row(B$9)+1,$Q$3:$S104,3,false)),"Updated",sumif($S$3:$S104,vlookup(row($B76)-row($B$9)+1,$Q$3:$S104,3,false),$V$3:$V104)}),vlookup(row($B76)-row($B$9),{$Q$3:Q104,$T$3:T104,$U$3:U104,$V$3:V104},{2,3,4},false)))</f>
        <v/>
      </c>
      <c r="G76" s="1460"/>
      <c r="H76" s="852"/>
      <c r="I76" s="878"/>
      <c r="J76" s="1466" t="str">
        <f t="shared" si="2"/>
        <v/>
      </c>
      <c r="K76" s="1457"/>
      <c r="L76" s="1435"/>
      <c r="M76" s="1435"/>
      <c r="N76" s="1460"/>
      <c r="O76" s="1461"/>
      <c r="P76" s="1435"/>
      <c r="Q76" s="1466" t="str">
        <f t="shared" si="3"/>
        <v/>
      </c>
      <c r="R76" s="1457"/>
      <c r="S76" s="1435"/>
      <c r="T76" s="1435"/>
      <c r="U76" s="1460"/>
      <c r="V76" s="1467"/>
      <c r="W76" s="783"/>
      <c r="X76" s="782"/>
      <c r="Y76" s="1464"/>
    </row>
    <row r="77" ht="17.25" customHeight="1">
      <c r="A77" s="878"/>
      <c r="B77" s="1452" t="str">
        <f t="array" ref="B77:D77">iferror(if(iserror(match(row($B77)-row($B$9),$J$3:$J104,0)),if(iserror(match(row($B77)-row($B$9)+1,$J$3:$J104,0)),{iferror(1/0),iferror(1/0),iferror(1/0)},{upper(vlookup(row(B77)-row(B$9)+1,$J$3:$L104,3,false)),"Updated",sumif($L$3:$L104,vlookup(row($B77)-row($B$9)+1,$J$3:$L104,3,false),$O$3:$O104)}),vlookup(row($B77)-row($B$9),{$J$3:J104,$M$3:M104,$N$3:N104,$O$3:O104},{2,3,4},false)))</f>
        <v/>
      </c>
      <c r="C77" s="1460"/>
      <c r="D77" s="852"/>
      <c r="E77" s="777"/>
      <c r="F77" s="1479" t="str">
        <f t="array" ref="F77:H77">iferror(if(iserror(match(row($B77)-row($B$9),$Q$3:$Q104,0)),if(iserror(match(row($B77)-row($B$9)+1,$Q$3:$Q104,0)),{iferror(1/0),iferror(1/0),iferror(1/0)},{upper(vlookup(row(B77)-row(B$9)+1,$Q$3:$S104,3,false)),"Updated",sumif($S$3:$S104,vlookup(row($B77)-row($B$9)+1,$Q$3:$S104,3,false),$V$3:$V104)}),vlookup(row($B77)-row($B$9),{$Q$3:Q104,$T$3:T104,$U$3:U104,$V$3:V104},{2,3,4},false)))</f>
        <v/>
      </c>
      <c r="G77" s="1460"/>
      <c r="H77" s="852"/>
      <c r="I77" s="878"/>
      <c r="J77" s="1466" t="str">
        <f t="shared" si="2"/>
        <v/>
      </c>
      <c r="K77" s="1457"/>
      <c r="L77" s="1435"/>
      <c r="M77" s="1435"/>
      <c r="N77" s="1460"/>
      <c r="O77" s="1461"/>
      <c r="P77" s="1435"/>
      <c r="Q77" s="1466" t="str">
        <f t="shared" si="3"/>
        <v/>
      </c>
      <c r="R77" s="1457"/>
      <c r="S77" s="1435"/>
      <c r="T77" s="1435"/>
      <c r="U77" s="1460"/>
      <c r="V77" s="1467"/>
      <c r="W77" s="783"/>
      <c r="X77" s="782"/>
      <c r="Y77" s="1464"/>
    </row>
    <row r="78" ht="17.25" customHeight="1">
      <c r="A78" s="878"/>
      <c r="B78" s="1452" t="str">
        <f t="array" ref="B78:D78">iferror(if(iserror(match(row($B78)-row($B$9),$J$3:$J104,0)),if(iserror(match(row($B78)-row($B$9)+1,$J$3:$J104,0)),{iferror(1/0),iferror(1/0),iferror(1/0)},{upper(vlookup(row(B78)-row(B$9)+1,$J$3:$L104,3,false)),"Updated",sumif($L$3:$L104,vlookup(row($B78)-row($B$9)+1,$J$3:$L104,3,false),$O$3:$O104)}),vlookup(row($B78)-row($B$9),{$J$3:J104,$M$3:M104,$N$3:N104,$O$3:O104},{2,3,4},false)))</f>
        <v/>
      </c>
      <c r="C78" s="1460"/>
      <c r="D78" s="852"/>
      <c r="E78" s="777"/>
      <c r="F78" s="1479" t="str">
        <f t="array" ref="F78:H78">iferror(if(iserror(match(row($B78)-row($B$9),$Q$3:$Q104,0)),if(iserror(match(row($B78)-row($B$9)+1,$Q$3:$Q104,0)),{iferror(1/0),iferror(1/0),iferror(1/0)},{upper(vlookup(row(B78)-row(B$9)+1,$Q$3:$S104,3,false)),"Updated",sumif($S$3:$S104,vlookup(row($B78)-row($B$9)+1,$Q$3:$S104,3,false),$V$3:$V104)}),vlookup(row($B78)-row($B$9),{$Q$3:Q104,$T$3:T104,$U$3:U104,$V$3:V104},{2,3,4},false)))</f>
        <v/>
      </c>
      <c r="G78" s="1460"/>
      <c r="H78" s="852"/>
      <c r="I78" s="878"/>
      <c r="J78" s="1466" t="str">
        <f t="shared" si="2"/>
        <v/>
      </c>
      <c r="K78" s="1457"/>
      <c r="L78" s="1435"/>
      <c r="M78" s="1435"/>
      <c r="N78" s="1460"/>
      <c r="O78" s="1461"/>
      <c r="P78" s="1435"/>
      <c r="Q78" s="1466" t="str">
        <f t="shared" si="3"/>
        <v/>
      </c>
      <c r="R78" s="1457"/>
      <c r="S78" s="1435"/>
      <c r="T78" s="1435"/>
      <c r="U78" s="1460"/>
      <c r="V78" s="1467"/>
      <c r="W78" s="783"/>
      <c r="X78" s="782"/>
      <c r="Y78" s="1464"/>
    </row>
    <row r="79" ht="17.25" customHeight="1">
      <c r="A79" s="878"/>
      <c r="B79" s="1452" t="str">
        <f t="array" ref="B79:D79">iferror(if(iserror(match(row($B79)-row($B$9),$J$3:$J104,0)),if(iserror(match(row($B79)-row($B$9)+1,$J$3:$J104,0)),{iferror(1/0),iferror(1/0),iferror(1/0)},{upper(vlookup(row(B79)-row(B$9)+1,$J$3:$L104,3,false)),"Updated",sumif($L$3:$L104,vlookup(row($B79)-row($B$9)+1,$J$3:$L104,3,false),$O$3:$O104)}),vlookup(row($B79)-row($B$9),{$J$3:J104,$M$3:M104,$N$3:N104,$O$3:O104},{2,3,4},false)))</f>
        <v/>
      </c>
      <c r="C79" s="1460"/>
      <c r="D79" s="852"/>
      <c r="E79" s="777"/>
      <c r="F79" s="1479" t="str">
        <f t="array" ref="F79:H79">iferror(if(iserror(match(row($B79)-row($B$9),$Q$3:$Q104,0)),if(iserror(match(row($B79)-row($B$9)+1,$Q$3:$Q104,0)),{iferror(1/0),iferror(1/0),iferror(1/0)},{upper(vlookup(row(B79)-row(B$9)+1,$Q$3:$S104,3,false)),"Updated",sumif($S$3:$S104,vlookup(row($B79)-row($B$9)+1,$Q$3:$S104,3,false),$V$3:$V104)}),vlookup(row($B79)-row($B$9),{$Q$3:Q104,$T$3:T104,$U$3:U104,$V$3:V104},{2,3,4},false)))</f>
        <v/>
      </c>
      <c r="G79" s="1460"/>
      <c r="H79" s="852"/>
      <c r="I79" s="878"/>
      <c r="J79" s="1466" t="str">
        <f t="shared" si="2"/>
        <v/>
      </c>
      <c r="K79" s="1457"/>
      <c r="L79" s="1435"/>
      <c r="M79" s="1435"/>
      <c r="N79" s="1460"/>
      <c r="O79" s="1461"/>
      <c r="P79" s="1435"/>
      <c r="Q79" s="1466" t="str">
        <f t="shared" si="3"/>
        <v/>
      </c>
      <c r="R79" s="1457"/>
      <c r="S79" s="1435"/>
      <c r="T79" s="1435"/>
      <c r="U79" s="1460"/>
      <c r="V79" s="1467"/>
      <c r="W79" s="783"/>
      <c r="X79" s="782"/>
      <c r="Y79" s="1464"/>
    </row>
    <row r="80" ht="17.25" customHeight="1">
      <c r="A80" s="878"/>
      <c r="B80" s="1452" t="str">
        <f t="array" ref="B80:D80">iferror(if(iserror(match(row($B80)-row($B$9),$J$3:$J104,0)),if(iserror(match(row($B80)-row($B$9)+1,$J$3:$J104,0)),{iferror(1/0),iferror(1/0),iferror(1/0)},{upper(vlookup(row(B80)-row(B$9)+1,$J$3:$L104,3,false)),"Updated",sumif($L$3:$L104,vlookup(row($B80)-row($B$9)+1,$J$3:$L104,3,false),$O$3:$O104)}),vlookup(row($B80)-row($B$9),{$J$3:J104,$M$3:M104,$N$3:N104,$O$3:O104},{2,3,4},false)))</f>
        <v/>
      </c>
      <c r="C80" s="1460"/>
      <c r="D80" s="852"/>
      <c r="E80" s="777"/>
      <c r="F80" s="1479" t="str">
        <f t="array" ref="F80:H80">iferror(if(iserror(match(row($B80)-row($B$9),$Q$3:$Q104,0)),if(iserror(match(row($B80)-row($B$9)+1,$Q$3:$Q104,0)),{iferror(1/0),iferror(1/0),iferror(1/0)},{upper(vlookup(row(B80)-row(B$9)+1,$Q$3:$S104,3,false)),"Updated",sumif($S$3:$S104,vlookup(row($B80)-row($B$9)+1,$Q$3:$S104,3,false),$V$3:$V104)}),vlookup(row($B80)-row($B$9),{$Q$3:Q104,$T$3:T104,$U$3:U104,$V$3:V104},{2,3,4},false)))</f>
        <v/>
      </c>
      <c r="G80" s="1460"/>
      <c r="H80" s="852"/>
      <c r="I80" s="878"/>
      <c r="J80" s="1466" t="str">
        <f t="shared" si="2"/>
        <v/>
      </c>
      <c r="K80" s="1457"/>
      <c r="L80" s="1435"/>
      <c r="M80" s="1435"/>
      <c r="N80" s="1460"/>
      <c r="O80" s="1461"/>
      <c r="P80" s="1435"/>
      <c r="Q80" s="1466" t="str">
        <f t="shared" si="3"/>
        <v/>
      </c>
      <c r="R80" s="1457"/>
      <c r="S80" s="1435"/>
      <c r="T80" s="1435"/>
      <c r="U80" s="1460"/>
      <c r="V80" s="1467"/>
      <c r="W80" s="783"/>
      <c r="X80" s="782"/>
      <c r="Y80" s="1464"/>
    </row>
    <row r="81" ht="17.25" customHeight="1">
      <c r="A81" s="878"/>
      <c r="B81" s="1452" t="str">
        <f t="array" ref="B81:D81">iferror(if(iserror(match(row($B81)-row($B$9),$J$3:$J104,0)),if(iserror(match(row($B81)-row($B$9)+1,$J$3:$J104,0)),{iferror(1/0),iferror(1/0),iferror(1/0)},{upper(vlookup(row(B81)-row(B$9)+1,$J$3:$L104,3,false)),"Updated",sumif($L$3:$L104,vlookup(row($B81)-row($B$9)+1,$J$3:$L104,3,false),$O$3:$O104)}),vlookup(row($B81)-row($B$9),{$J$3:J104,$M$3:M104,$N$3:N104,$O$3:O104},{2,3,4},false)))</f>
        <v/>
      </c>
      <c r="C81" s="1460"/>
      <c r="D81" s="852"/>
      <c r="E81" s="777"/>
      <c r="F81" s="1479" t="str">
        <f t="array" ref="F81:H81">iferror(if(iserror(match(row($B81)-row($B$9),$Q$3:$Q104,0)),if(iserror(match(row($B81)-row($B$9)+1,$Q$3:$Q104,0)),{iferror(1/0),iferror(1/0),iferror(1/0)},{upper(vlookup(row(B81)-row(B$9)+1,$Q$3:$S104,3,false)),"Updated",sumif($S$3:$S104,vlookup(row($B81)-row($B$9)+1,$Q$3:$S104,3,false),$V$3:$V104)}),vlookup(row($B81)-row($B$9),{$Q$3:Q104,$T$3:T104,$U$3:U104,$V$3:V104},{2,3,4},false)))</f>
        <v/>
      </c>
      <c r="G81" s="1460"/>
      <c r="H81" s="852"/>
      <c r="I81" s="878"/>
      <c r="J81" s="1466" t="str">
        <f t="shared" si="2"/>
        <v/>
      </c>
      <c r="K81" s="1457"/>
      <c r="L81" s="1435"/>
      <c r="M81" s="1435"/>
      <c r="N81" s="1460"/>
      <c r="O81" s="1461"/>
      <c r="P81" s="1435"/>
      <c r="Q81" s="1466" t="str">
        <f t="shared" si="3"/>
        <v/>
      </c>
      <c r="R81" s="1457"/>
      <c r="S81" s="1435"/>
      <c r="T81" s="1435"/>
      <c r="U81" s="1460"/>
      <c r="V81" s="1467"/>
      <c r="W81" s="783"/>
      <c r="X81" s="782"/>
      <c r="Y81" s="1464"/>
    </row>
    <row r="82" ht="17.25" customHeight="1">
      <c r="A82" s="878"/>
      <c r="B82" s="1452" t="str">
        <f t="array" ref="B82:D82">iferror(if(iserror(match(row($B82)-row($B$9),$J$3:$J104,0)),if(iserror(match(row($B82)-row($B$9)+1,$J$3:$J104,0)),{iferror(1/0),iferror(1/0),iferror(1/0)},{upper(vlookup(row(B82)-row(B$9)+1,$J$3:$L104,3,false)),"Updated",sumif($L$3:$L104,vlookup(row($B82)-row($B$9)+1,$J$3:$L104,3,false),$O$3:$O104)}),vlookup(row($B82)-row($B$9),{$J$3:J104,$M$3:M104,$N$3:N104,$O$3:O104},{2,3,4},false)))</f>
        <v/>
      </c>
      <c r="C82" s="1460"/>
      <c r="D82" s="852"/>
      <c r="E82" s="777"/>
      <c r="F82" s="1479" t="str">
        <f t="array" ref="F82:H82">iferror(if(iserror(match(row($B82)-row($B$9),$Q$3:$Q104,0)),if(iserror(match(row($B82)-row($B$9)+1,$Q$3:$Q104,0)),{iferror(1/0),iferror(1/0),iferror(1/0)},{upper(vlookup(row(B82)-row(B$9)+1,$Q$3:$S104,3,false)),"Updated",sumif($S$3:$S104,vlookup(row($B82)-row($B$9)+1,$Q$3:$S104,3,false),$V$3:$V104)}),vlookup(row($B82)-row($B$9),{$Q$3:Q104,$T$3:T104,$U$3:U104,$V$3:V104},{2,3,4},false)))</f>
        <v/>
      </c>
      <c r="G82" s="1460"/>
      <c r="H82" s="852"/>
      <c r="I82" s="878"/>
      <c r="J82" s="1466" t="str">
        <f t="shared" si="2"/>
        <v/>
      </c>
      <c r="K82" s="1457"/>
      <c r="L82" s="1435"/>
      <c r="M82" s="1435"/>
      <c r="N82" s="1460"/>
      <c r="O82" s="1461"/>
      <c r="P82" s="1435"/>
      <c r="Q82" s="1466" t="str">
        <f t="shared" si="3"/>
        <v/>
      </c>
      <c r="R82" s="1457"/>
      <c r="S82" s="1435"/>
      <c r="T82" s="1435"/>
      <c r="U82" s="1460"/>
      <c r="V82" s="1467"/>
      <c r="W82" s="783"/>
      <c r="X82" s="782"/>
      <c r="Y82" s="1464"/>
    </row>
    <row r="83" ht="17.25" customHeight="1">
      <c r="A83" s="878"/>
      <c r="B83" s="1452" t="str">
        <f t="array" ref="B83:D83">iferror(if(iserror(match(row($B83)-row($B$9),$J$3:$J104,0)),if(iserror(match(row($B83)-row($B$9)+1,$J$3:$J104,0)),{iferror(1/0),iferror(1/0),iferror(1/0)},{upper(vlookup(row(B83)-row(B$9)+1,$J$3:$L104,3,false)),"Updated",sumif($L$3:$L104,vlookup(row($B83)-row($B$9)+1,$J$3:$L104,3,false),$O$3:$O104)}),vlookup(row($B83)-row($B$9),{$J$3:J104,$M$3:M104,$N$3:N104,$O$3:O104},{2,3,4},false)))</f>
        <v/>
      </c>
      <c r="C83" s="1460"/>
      <c r="D83" s="852"/>
      <c r="E83" s="777"/>
      <c r="F83" s="1479" t="str">
        <f t="array" ref="F83:H83">iferror(if(iserror(match(row($B83)-row($B$9),$Q$3:$Q104,0)),if(iserror(match(row($B83)-row($B$9)+1,$Q$3:$Q104,0)),{iferror(1/0),iferror(1/0),iferror(1/0)},{upper(vlookup(row(B83)-row(B$9)+1,$Q$3:$S104,3,false)),"Updated",sumif($S$3:$S104,vlookup(row($B83)-row($B$9)+1,$Q$3:$S104,3,false),$V$3:$V104)}),vlookup(row($B83)-row($B$9),{$Q$3:Q104,$T$3:T104,$U$3:U104,$V$3:V104},{2,3,4},false)))</f>
        <v/>
      </c>
      <c r="G83" s="1460"/>
      <c r="H83" s="852"/>
      <c r="I83" s="878"/>
      <c r="J83" s="1466" t="str">
        <f t="shared" si="2"/>
        <v/>
      </c>
      <c r="K83" s="1457"/>
      <c r="L83" s="1435"/>
      <c r="M83" s="1435"/>
      <c r="N83" s="1460"/>
      <c r="O83" s="1461"/>
      <c r="P83" s="1435"/>
      <c r="Q83" s="1466" t="str">
        <f t="shared" si="3"/>
        <v/>
      </c>
      <c r="R83" s="1457"/>
      <c r="S83" s="1435"/>
      <c r="T83" s="1435"/>
      <c r="U83" s="1460"/>
      <c r="V83" s="1467"/>
      <c r="W83" s="783"/>
      <c r="X83" s="782"/>
      <c r="Y83" s="1464"/>
    </row>
    <row r="84" ht="17.25" customHeight="1">
      <c r="A84" s="878"/>
      <c r="B84" s="1452" t="str">
        <f t="array" ref="B84:D84">iferror(if(iserror(match(row($B84)-row($B$9),$J$3:$J104,0)),if(iserror(match(row($B84)-row($B$9)+1,$J$3:$J104,0)),{iferror(1/0),iferror(1/0),iferror(1/0)},{upper(vlookup(row(B84)-row(B$9)+1,$J$3:$L104,3,false)),"Updated",sumif($L$3:$L104,vlookup(row($B84)-row($B$9)+1,$J$3:$L104,3,false),$O$3:$O104)}),vlookup(row($B84)-row($B$9),{$J$3:J104,$M$3:M104,$N$3:N104,$O$3:O104},{2,3,4},false)))</f>
        <v/>
      </c>
      <c r="C84" s="1460"/>
      <c r="D84" s="852"/>
      <c r="E84" s="777"/>
      <c r="F84" s="1479" t="str">
        <f t="array" ref="F84:H84">iferror(if(iserror(match(row($B84)-row($B$9),$Q$3:$Q104,0)),if(iserror(match(row($B84)-row($B$9)+1,$Q$3:$Q104,0)),{iferror(1/0),iferror(1/0),iferror(1/0)},{upper(vlookup(row(B84)-row(B$9)+1,$Q$3:$S104,3,false)),"Updated",sumif($S$3:$S104,vlookup(row($B84)-row($B$9)+1,$Q$3:$S104,3,false),$V$3:$V104)}),vlookup(row($B84)-row($B$9),{$Q$3:Q104,$T$3:T104,$U$3:U104,$V$3:V104},{2,3,4},false)))</f>
        <v/>
      </c>
      <c r="G84" s="1460"/>
      <c r="H84" s="852"/>
      <c r="I84" s="878"/>
      <c r="J84" s="1466" t="str">
        <f t="shared" si="2"/>
        <v/>
      </c>
      <c r="K84" s="1457"/>
      <c r="L84" s="1435"/>
      <c r="M84" s="1435"/>
      <c r="N84" s="1460"/>
      <c r="O84" s="1461"/>
      <c r="P84" s="1435"/>
      <c r="Q84" s="1466" t="str">
        <f t="shared" si="3"/>
        <v/>
      </c>
      <c r="R84" s="1457"/>
      <c r="S84" s="1435"/>
      <c r="T84" s="1435"/>
      <c r="U84" s="1460"/>
      <c r="V84" s="1467"/>
      <c r="W84" s="783"/>
      <c r="X84" s="782"/>
      <c r="Y84" s="1464"/>
    </row>
    <row r="85" ht="17.25" customHeight="1">
      <c r="A85" s="878"/>
      <c r="B85" s="1452" t="str">
        <f t="array" ref="B85:D85">iferror(if(iserror(match(row($B85)-row($B$9),$J$3:$J104,0)),if(iserror(match(row($B85)-row($B$9)+1,$J$3:$J104,0)),{iferror(1/0),iferror(1/0),iferror(1/0)},{upper(vlookup(row(B85)-row(B$9)+1,$J$3:$L104,3,false)),"Updated",sumif($L$3:$L104,vlookup(row($B85)-row($B$9)+1,$J$3:$L104,3,false),$O$3:$O104)}),vlookup(row($B85)-row($B$9),{$J$3:J104,$M$3:M104,$N$3:N104,$O$3:O104},{2,3,4},false)))</f>
        <v/>
      </c>
      <c r="C85" s="1460"/>
      <c r="D85" s="852"/>
      <c r="E85" s="777"/>
      <c r="F85" s="1479" t="str">
        <f t="array" ref="F85:H85">iferror(if(iserror(match(row($B85)-row($B$9),$Q$3:$Q104,0)),if(iserror(match(row($B85)-row($B$9)+1,$Q$3:$Q104,0)),{iferror(1/0),iferror(1/0),iferror(1/0)},{upper(vlookup(row(B85)-row(B$9)+1,$Q$3:$S104,3,false)),"Updated",sumif($S$3:$S104,vlookup(row($B85)-row($B$9)+1,$Q$3:$S104,3,false),$V$3:$V104)}),vlookup(row($B85)-row($B$9),{$Q$3:Q104,$T$3:T104,$U$3:U104,$V$3:V104},{2,3,4},false)))</f>
        <v/>
      </c>
      <c r="G85" s="1460"/>
      <c r="H85" s="852"/>
      <c r="I85" s="878"/>
      <c r="J85" s="1466" t="str">
        <f t="shared" si="2"/>
        <v/>
      </c>
      <c r="K85" s="1457"/>
      <c r="L85" s="1435"/>
      <c r="M85" s="1435"/>
      <c r="N85" s="1460"/>
      <c r="O85" s="1461"/>
      <c r="P85" s="1435"/>
      <c r="Q85" s="1466" t="str">
        <f t="shared" si="3"/>
        <v/>
      </c>
      <c r="R85" s="1457"/>
      <c r="S85" s="1435"/>
      <c r="T85" s="1435"/>
      <c r="U85" s="1460"/>
      <c r="V85" s="1467"/>
      <c r="W85" s="783"/>
      <c r="X85" s="782"/>
      <c r="Y85" s="1464"/>
    </row>
    <row r="86" ht="17.25" customHeight="1">
      <c r="A86" s="878"/>
      <c r="B86" s="1452" t="str">
        <f t="array" ref="B86:D86">iferror(if(iserror(match(row($B86)-row($B$9),$J$3:$J104,0)),if(iserror(match(row($B86)-row($B$9)+1,$J$3:$J104,0)),{iferror(1/0),iferror(1/0),iferror(1/0)},{upper(vlookup(row(B86)-row(B$9)+1,$J$3:$L104,3,false)),"Updated",sumif($L$3:$L104,vlookup(row($B86)-row($B$9)+1,$J$3:$L104,3,false),$O$3:$O104)}),vlookup(row($B86)-row($B$9),{$J$3:J104,$M$3:M104,$N$3:N104,$O$3:O104},{2,3,4},false)))</f>
        <v/>
      </c>
      <c r="C86" s="1460"/>
      <c r="D86" s="852"/>
      <c r="E86" s="777"/>
      <c r="F86" s="1479" t="str">
        <f t="array" ref="F86:H86">iferror(if(iserror(match(row($B86)-row($B$9),$Q$3:$Q104,0)),if(iserror(match(row($B86)-row($B$9)+1,$Q$3:$Q104,0)),{iferror(1/0),iferror(1/0),iferror(1/0)},{upper(vlookup(row(B86)-row(B$9)+1,$Q$3:$S104,3,false)),"Updated",sumif($S$3:$S104,vlookup(row($B86)-row($B$9)+1,$Q$3:$S104,3,false),$V$3:$V104)}),vlookup(row($B86)-row($B$9),{$Q$3:Q104,$T$3:T104,$U$3:U104,$V$3:V104},{2,3,4},false)))</f>
        <v/>
      </c>
      <c r="G86" s="1460"/>
      <c r="H86" s="852"/>
      <c r="I86" s="878"/>
      <c r="J86" s="1466" t="str">
        <f t="shared" si="2"/>
        <v/>
      </c>
      <c r="K86" s="1457"/>
      <c r="L86" s="1435"/>
      <c r="M86" s="1435"/>
      <c r="N86" s="1460"/>
      <c r="O86" s="1461"/>
      <c r="P86" s="1435"/>
      <c r="Q86" s="1466" t="str">
        <f t="shared" si="3"/>
        <v/>
      </c>
      <c r="R86" s="1457"/>
      <c r="S86" s="1435"/>
      <c r="T86" s="1435"/>
      <c r="U86" s="1460"/>
      <c r="V86" s="1467"/>
      <c r="W86" s="783"/>
      <c r="X86" s="782"/>
      <c r="Y86" s="1464"/>
    </row>
    <row r="87" ht="17.25" customHeight="1">
      <c r="A87" s="878"/>
      <c r="B87" s="1452" t="str">
        <f t="array" ref="B87:D87">iferror(if(iserror(match(row($B87)-row($B$9),$J$3:$J104,0)),if(iserror(match(row($B87)-row($B$9)+1,$J$3:$J104,0)),{iferror(1/0),iferror(1/0),iferror(1/0)},{upper(vlookup(row(B87)-row(B$9)+1,$J$3:$L104,3,false)),"Updated",sumif($L$3:$L104,vlookup(row($B87)-row($B$9)+1,$J$3:$L104,3,false),$O$3:$O104)}),vlookup(row($B87)-row($B$9),{$J$3:J104,$M$3:M104,$N$3:N104,$O$3:O104},{2,3,4},false)))</f>
        <v/>
      </c>
      <c r="C87" s="1460"/>
      <c r="D87" s="852"/>
      <c r="E87" s="777"/>
      <c r="F87" s="1479" t="str">
        <f t="array" ref="F87:H87">iferror(if(iserror(match(row($B87)-row($B$9),$Q$3:$Q104,0)),if(iserror(match(row($B87)-row($B$9)+1,$Q$3:$Q104,0)),{iferror(1/0),iferror(1/0),iferror(1/0)},{upper(vlookup(row(B87)-row(B$9)+1,$Q$3:$S104,3,false)),"Updated",sumif($S$3:$S104,vlookup(row($B87)-row($B$9)+1,$Q$3:$S104,3,false),$V$3:$V104)}),vlookup(row($B87)-row($B$9),{$Q$3:Q104,$T$3:T104,$U$3:U104,$V$3:V104},{2,3,4},false)))</f>
        <v/>
      </c>
      <c r="G87" s="1460"/>
      <c r="H87" s="852"/>
      <c r="I87" s="878"/>
      <c r="J87" s="1466" t="str">
        <f t="shared" si="2"/>
        <v/>
      </c>
      <c r="K87" s="1457"/>
      <c r="L87" s="1435"/>
      <c r="M87" s="1435"/>
      <c r="N87" s="1460"/>
      <c r="O87" s="1461"/>
      <c r="P87" s="1435"/>
      <c r="Q87" s="1466" t="str">
        <f t="shared" si="3"/>
        <v/>
      </c>
      <c r="R87" s="1457"/>
      <c r="S87" s="1435"/>
      <c r="T87" s="1435"/>
      <c r="U87" s="1460"/>
      <c r="V87" s="1467"/>
      <c r="W87" s="783"/>
      <c r="X87" s="782"/>
      <c r="Y87" s="1464"/>
    </row>
    <row r="88" ht="17.25" customHeight="1">
      <c r="A88" s="878"/>
      <c r="B88" s="1452" t="str">
        <f t="array" ref="B88:D88">iferror(if(iserror(match(row($B88)-row($B$9),$J$3:$J104,0)),if(iserror(match(row($B88)-row($B$9)+1,$J$3:$J104,0)),{iferror(1/0),iferror(1/0),iferror(1/0)},{upper(vlookup(row(B88)-row(B$9)+1,$J$3:$L104,3,false)),"Updated",sumif($L$3:$L104,vlookup(row($B88)-row($B$9)+1,$J$3:$L104,3,false),$O$3:$O104)}),vlookup(row($B88)-row($B$9),{$J$3:J104,$M$3:M104,$N$3:N104,$O$3:O104},{2,3,4},false)))</f>
        <v/>
      </c>
      <c r="C88" s="1460"/>
      <c r="D88" s="852"/>
      <c r="E88" s="777"/>
      <c r="F88" s="1479" t="str">
        <f t="array" ref="F88:H88">iferror(if(iserror(match(row($B88)-row($B$9),$Q$3:$Q104,0)),if(iserror(match(row($B88)-row($B$9)+1,$Q$3:$Q104,0)),{iferror(1/0),iferror(1/0),iferror(1/0)},{upper(vlookup(row(B88)-row(B$9)+1,$Q$3:$S104,3,false)),"Updated",sumif($S$3:$S104,vlookup(row($B88)-row($B$9)+1,$Q$3:$S104,3,false),$V$3:$V104)}),vlookup(row($B88)-row($B$9),{$Q$3:Q104,$T$3:T104,$U$3:U104,$V$3:V104},{2,3,4},false)))</f>
        <v/>
      </c>
      <c r="G88" s="1460"/>
      <c r="H88" s="852"/>
      <c r="I88" s="878"/>
      <c r="J88" s="1466" t="str">
        <f t="shared" si="2"/>
        <v/>
      </c>
      <c r="K88" s="1457"/>
      <c r="L88" s="1435"/>
      <c r="M88" s="1435"/>
      <c r="N88" s="1460"/>
      <c r="O88" s="1461"/>
      <c r="P88" s="1435"/>
      <c r="Q88" s="1466" t="str">
        <f t="shared" si="3"/>
        <v/>
      </c>
      <c r="R88" s="1457"/>
      <c r="S88" s="1435"/>
      <c r="T88" s="1435"/>
      <c r="U88" s="1460"/>
      <c r="V88" s="1467"/>
      <c r="W88" s="783"/>
      <c r="X88" s="782"/>
      <c r="Y88" s="1464"/>
    </row>
    <row r="89" ht="17.25" customHeight="1">
      <c r="A89" s="878"/>
      <c r="B89" s="1452" t="str">
        <f t="array" ref="B89:D89">iferror(if(iserror(match(row($B89)-row($B$9),$J$3:$J104,0)),if(iserror(match(row($B89)-row($B$9)+1,$J$3:$J104,0)),{iferror(1/0),iferror(1/0),iferror(1/0)},{upper(vlookup(row(B89)-row(B$9)+1,$J$3:$L104,3,false)),"Updated",sumif($L$3:$L104,vlookup(row($B89)-row($B$9)+1,$J$3:$L104,3,false),$O$3:$O104)}),vlookup(row($B89)-row($B$9),{$J$3:J104,$M$3:M104,$N$3:N104,$O$3:O104},{2,3,4},false)))</f>
        <v/>
      </c>
      <c r="C89" s="1460"/>
      <c r="D89" s="852"/>
      <c r="E89" s="777"/>
      <c r="F89" s="1479" t="str">
        <f t="array" ref="F89:H89">iferror(if(iserror(match(row($B89)-row($B$9),$Q$3:$Q104,0)),if(iserror(match(row($B89)-row($B$9)+1,$Q$3:$Q104,0)),{iferror(1/0),iferror(1/0),iferror(1/0)},{upper(vlookup(row(B89)-row(B$9)+1,$Q$3:$S104,3,false)),"Updated",sumif($S$3:$S104,vlookup(row($B89)-row($B$9)+1,$Q$3:$S104,3,false),$V$3:$V104)}),vlookup(row($B89)-row($B$9),{$Q$3:Q104,$T$3:T104,$U$3:U104,$V$3:V104},{2,3,4},false)))</f>
        <v/>
      </c>
      <c r="G89" s="1460"/>
      <c r="H89" s="852"/>
      <c r="I89" s="878"/>
      <c r="J89" s="1466" t="str">
        <f t="shared" si="2"/>
        <v/>
      </c>
      <c r="K89" s="1457"/>
      <c r="L89" s="1435"/>
      <c r="M89" s="1435"/>
      <c r="N89" s="1460"/>
      <c r="O89" s="1461"/>
      <c r="P89" s="1435"/>
      <c r="Q89" s="1466" t="str">
        <f t="shared" si="3"/>
        <v/>
      </c>
      <c r="R89" s="1457"/>
      <c r="S89" s="1435"/>
      <c r="T89" s="1435"/>
      <c r="U89" s="1460"/>
      <c r="V89" s="1467"/>
      <c r="W89" s="783"/>
      <c r="X89" s="782"/>
      <c r="Y89" s="1464"/>
    </row>
    <row r="90" ht="17.25" customHeight="1">
      <c r="A90" s="878"/>
      <c r="B90" s="1452" t="str">
        <f t="array" ref="B90:D90">iferror(if(iserror(match(row($B90)-row($B$9),$J$3:$J104,0)),if(iserror(match(row($B90)-row($B$9)+1,$J$3:$J104,0)),{iferror(1/0),iferror(1/0),iferror(1/0)},{upper(vlookup(row(B90)-row(B$9)+1,$J$3:$L104,3,false)),"Updated",sumif($L$3:$L104,vlookup(row($B90)-row($B$9)+1,$J$3:$L104,3,false),$O$3:$O104)}),vlookup(row($B90)-row($B$9),{$J$3:J104,$M$3:M104,$N$3:N104,$O$3:O104},{2,3,4},false)))</f>
        <v/>
      </c>
      <c r="C90" s="1460"/>
      <c r="D90" s="852"/>
      <c r="E90" s="777"/>
      <c r="F90" s="1479" t="str">
        <f t="array" ref="F90:H90">iferror(if(iserror(match(row($B90)-row($B$9),$Q$3:$Q104,0)),if(iserror(match(row($B90)-row($B$9)+1,$Q$3:$Q104,0)),{iferror(1/0),iferror(1/0),iferror(1/0)},{upper(vlookup(row(B90)-row(B$9)+1,$Q$3:$S104,3,false)),"Updated",sumif($S$3:$S104,vlookup(row($B90)-row($B$9)+1,$Q$3:$S104,3,false),$V$3:$V104)}),vlookup(row($B90)-row($B$9),{$Q$3:Q104,$T$3:T104,$U$3:U104,$V$3:V104},{2,3,4},false)))</f>
        <v/>
      </c>
      <c r="G90" s="1460"/>
      <c r="H90" s="852"/>
      <c r="I90" s="878"/>
      <c r="J90" s="1466" t="str">
        <f t="shared" si="2"/>
        <v/>
      </c>
      <c r="K90" s="1457"/>
      <c r="L90" s="1435"/>
      <c r="M90" s="1435"/>
      <c r="N90" s="1460"/>
      <c r="O90" s="1461"/>
      <c r="P90" s="1435"/>
      <c r="Q90" s="1466" t="str">
        <f t="shared" si="3"/>
        <v/>
      </c>
      <c r="R90" s="1457"/>
      <c r="S90" s="1435"/>
      <c r="T90" s="1435"/>
      <c r="U90" s="1460"/>
      <c r="V90" s="1467"/>
      <c r="W90" s="783"/>
      <c r="X90" s="782"/>
      <c r="Y90" s="1464"/>
    </row>
    <row r="91" ht="17.25" customHeight="1">
      <c r="A91" s="878"/>
      <c r="B91" s="1452" t="str">
        <f t="array" ref="B91:D91">iferror(if(iserror(match(row($B91)-row($B$9),$J$3:$J104,0)),if(iserror(match(row($B91)-row($B$9)+1,$J$3:$J104,0)),{iferror(1/0),iferror(1/0),iferror(1/0)},{upper(vlookup(row(B91)-row(B$9)+1,$J$3:$L104,3,false)),"Updated",sumif($L$3:$L104,vlookup(row($B91)-row($B$9)+1,$J$3:$L104,3,false),$O$3:$O104)}),vlookup(row($B91)-row($B$9),{$J$3:J104,$M$3:M104,$N$3:N104,$O$3:O104},{2,3,4},false)))</f>
        <v/>
      </c>
      <c r="C91" s="1460"/>
      <c r="D91" s="852"/>
      <c r="E91" s="777"/>
      <c r="F91" s="1479" t="str">
        <f t="array" ref="F91:H91">iferror(if(iserror(match(row($B91)-row($B$9),$Q$3:$Q104,0)),if(iserror(match(row($B91)-row($B$9)+1,$Q$3:$Q104,0)),{iferror(1/0),iferror(1/0),iferror(1/0)},{upper(vlookup(row(B91)-row(B$9)+1,$Q$3:$S104,3,false)),"Updated",sumif($S$3:$S104,vlookup(row($B91)-row($B$9)+1,$Q$3:$S104,3,false),$V$3:$V104)}),vlookup(row($B91)-row($B$9),{$Q$3:Q104,$T$3:T104,$U$3:U104,$V$3:V104},{2,3,4},false)))</f>
        <v/>
      </c>
      <c r="G91" s="1460"/>
      <c r="H91" s="852"/>
      <c r="I91" s="878"/>
      <c r="J91" s="1466" t="str">
        <f t="shared" si="2"/>
        <v/>
      </c>
      <c r="K91" s="1457"/>
      <c r="L91" s="1435"/>
      <c r="M91" s="1435"/>
      <c r="N91" s="1460"/>
      <c r="O91" s="1461"/>
      <c r="P91" s="1435"/>
      <c r="Q91" s="1466" t="str">
        <f t="shared" si="3"/>
        <v/>
      </c>
      <c r="R91" s="1457"/>
      <c r="S91" s="1435"/>
      <c r="T91" s="1435"/>
      <c r="U91" s="1460"/>
      <c r="V91" s="1467"/>
      <c r="W91" s="783"/>
      <c r="X91" s="782"/>
      <c r="Y91" s="1464"/>
    </row>
    <row r="92" ht="17.25" customHeight="1">
      <c r="A92" s="878"/>
      <c r="B92" s="1452" t="str">
        <f t="array" ref="B92:D92">iferror(if(iserror(match(row($B92)-row($B$9),$J$3:$J104,0)),if(iserror(match(row($B92)-row($B$9)+1,$J$3:$J104,0)),{iferror(1/0),iferror(1/0),iferror(1/0)},{upper(vlookup(row(B92)-row(B$9)+1,$J$3:$L104,3,false)),"Updated",sumif($L$3:$L104,vlookup(row($B92)-row($B$9)+1,$J$3:$L104,3,false),$O$3:$O104)}),vlookup(row($B92)-row($B$9),{$J$3:J104,$M$3:M104,$N$3:N104,$O$3:O104},{2,3,4},false)))</f>
        <v/>
      </c>
      <c r="C92" s="1460"/>
      <c r="D92" s="852"/>
      <c r="E92" s="777"/>
      <c r="F92" s="1479" t="str">
        <f t="array" ref="F92:H92">iferror(if(iserror(match(row($B92)-row($B$9),$Q$3:$Q104,0)),if(iserror(match(row($B92)-row($B$9)+1,$Q$3:$Q104,0)),{iferror(1/0),iferror(1/0),iferror(1/0)},{upper(vlookup(row(B92)-row(B$9)+1,$Q$3:$S104,3,false)),"Updated",sumif($S$3:$S104,vlookup(row($B92)-row($B$9)+1,$Q$3:$S104,3,false),$V$3:$V104)}),vlookup(row($B92)-row($B$9),{$Q$3:Q104,$T$3:T104,$U$3:U104,$V$3:V104},{2,3,4},false)))</f>
        <v/>
      </c>
      <c r="G92" s="1460"/>
      <c r="H92" s="852"/>
      <c r="I92" s="878"/>
      <c r="J92" s="1466" t="str">
        <f t="shared" si="2"/>
        <v/>
      </c>
      <c r="K92" s="1457"/>
      <c r="L92" s="1435"/>
      <c r="M92" s="1435"/>
      <c r="N92" s="1460"/>
      <c r="O92" s="1461"/>
      <c r="P92" s="1435"/>
      <c r="Q92" s="1466" t="str">
        <f t="shared" si="3"/>
        <v/>
      </c>
      <c r="R92" s="1457"/>
      <c r="S92" s="1435"/>
      <c r="T92" s="1435"/>
      <c r="U92" s="1460"/>
      <c r="V92" s="1467"/>
      <c r="W92" s="783"/>
      <c r="X92" s="782"/>
      <c r="Y92" s="1464"/>
    </row>
    <row r="93" ht="17.25" customHeight="1">
      <c r="A93" s="878"/>
      <c r="B93" s="1452" t="str">
        <f t="array" ref="B93:D93">iferror(if(iserror(match(row($B93)-row($B$9),$J$3:$J104,0)),if(iserror(match(row($B93)-row($B$9)+1,$J$3:$J104,0)),{iferror(1/0),iferror(1/0),iferror(1/0)},{upper(vlookup(row(B93)-row(B$9)+1,$J$3:$L104,3,false)),"Updated",sumif($L$3:$L104,vlookup(row($B93)-row($B$9)+1,$J$3:$L104,3,false),$O$3:$O104)}),vlookup(row($B93)-row($B$9),{$J$3:J104,$M$3:M104,$N$3:N104,$O$3:O104},{2,3,4},false)))</f>
        <v/>
      </c>
      <c r="C93" s="1460"/>
      <c r="D93" s="852"/>
      <c r="E93" s="777"/>
      <c r="F93" s="1479" t="str">
        <f t="array" ref="F93:H93">iferror(if(iserror(match(row($B93)-row($B$9),$Q$3:$Q104,0)),if(iserror(match(row($B93)-row($B$9)+1,$Q$3:$Q104,0)),{iferror(1/0),iferror(1/0),iferror(1/0)},{upper(vlookup(row(B93)-row(B$9)+1,$Q$3:$S104,3,false)),"Updated",sumif($S$3:$S104,vlookup(row($B93)-row($B$9)+1,$Q$3:$S104,3,false),$V$3:$V104)}),vlookup(row($B93)-row($B$9),{$Q$3:Q104,$T$3:T104,$U$3:U104,$V$3:V104},{2,3,4},false)))</f>
        <v/>
      </c>
      <c r="G93" s="1460"/>
      <c r="H93" s="852"/>
      <c r="I93" s="878"/>
      <c r="J93" s="1466" t="str">
        <f t="shared" si="2"/>
        <v/>
      </c>
      <c r="K93" s="1457"/>
      <c r="L93" s="1435"/>
      <c r="M93" s="1435"/>
      <c r="N93" s="1460"/>
      <c r="O93" s="1461"/>
      <c r="P93" s="1435"/>
      <c r="Q93" s="1466" t="str">
        <f t="shared" si="3"/>
        <v/>
      </c>
      <c r="R93" s="1457"/>
      <c r="S93" s="1435"/>
      <c r="T93" s="1435"/>
      <c r="U93" s="1460"/>
      <c r="V93" s="1467"/>
      <c r="W93" s="783"/>
      <c r="X93" s="782"/>
      <c r="Y93" s="1464"/>
    </row>
    <row r="94" ht="17.25" customHeight="1">
      <c r="A94" s="878"/>
      <c r="B94" s="1452" t="str">
        <f t="array" ref="B94:D94">iferror(if(iserror(match(row($B94)-row($B$9),$J$3:$J104,0)),if(iserror(match(row($B94)-row($B$9)+1,$J$3:$J104,0)),{iferror(1/0),iferror(1/0),iferror(1/0)},{upper(vlookup(row(B94)-row(B$9)+1,$J$3:$L104,3,false)),"Updated",sumif($L$3:$L104,vlookup(row($B94)-row($B$9)+1,$J$3:$L104,3,false),$O$3:$O104)}),vlookup(row($B94)-row($B$9),{$J$3:J104,$M$3:M104,$N$3:N104,$O$3:O104},{2,3,4},false)))</f>
        <v/>
      </c>
      <c r="C94" s="1460"/>
      <c r="D94" s="852"/>
      <c r="E94" s="777"/>
      <c r="F94" s="1479" t="str">
        <f t="array" ref="F94:H94">iferror(if(iserror(match(row($B94)-row($B$9),$Q$3:$Q104,0)),if(iserror(match(row($B94)-row($B$9)+1,$Q$3:$Q104,0)),{iferror(1/0),iferror(1/0),iferror(1/0)},{upper(vlookup(row(B94)-row(B$9)+1,$Q$3:$S104,3,false)),"Updated",sumif($S$3:$S104,vlookup(row($B94)-row($B$9)+1,$Q$3:$S104,3,false),$V$3:$V104)}),vlookup(row($B94)-row($B$9),{$Q$3:Q104,$T$3:T104,$U$3:U104,$V$3:V104},{2,3,4},false)))</f>
        <v/>
      </c>
      <c r="G94" s="1460"/>
      <c r="H94" s="852"/>
      <c r="I94" s="878"/>
      <c r="J94" s="1466" t="str">
        <f t="shared" si="2"/>
        <v/>
      </c>
      <c r="K94" s="1457"/>
      <c r="L94" s="1435"/>
      <c r="M94" s="1435"/>
      <c r="N94" s="1460"/>
      <c r="O94" s="1461"/>
      <c r="P94" s="1435"/>
      <c r="Q94" s="1466" t="str">
        <f t="shared" si="3"/>
        <v/>
      </c>
      <c r="R94" s="1457"/>
      <c r="S94" s="1435"/>
      <c r="T94" s="1435"/>
      <c r="U94" s="1460"/>
      <c r="V94" s="1467"/>
      <c r="W94" s="783"/>
      <c r="X94" s="782"/>
      <c r="Y94" s="1464"/>
    </row>
    <row r="95" ht="17.25" customHeight="1">
      <c r="A95" s="878"/>
      <c r="B95" s="1452" t="str">
        <f t="array" ref="B95:D95">iferror(if(iserror(match(row($B95)-row($B$9),$J$3:$J104,0)),if(iserror(match(row($B95)-row($B$9)+1,$J$3:$J104,0)),{iferror(1/0),iferror(1/0),iferror(1/0)},{upper(vlookup(row(B95)-row(B$9)+1,$J$3:$L104,3,false)),"Updated",sumif($L$3:$L104,vlookup(row($B95)-row($B$9)+1,$J$3:$L104,3,false),$O$3:$O104)}),vlookup(row($B95)-row($B$9),{$J$3:J104,$M$3:M104,$N$3:N104,$O$3:O104},{2,3,4},false)))</f>
        <v/>
      </c>
      <c r="C95" s="1460"/>
      <c r="D95" s="852"/>
      <c r="E95" s="777"/>
      <c r="F95" s="1479" t="str">
        <f t="array" ref="F95:H95">iferror(if(iserror(match(row($B95)-row($B$9),$Q$3:$Q104,0)),if(iserror(match(row($B95)-row($B$9)+1,$Q$3:$Q104,0)),{iferror(1/0),iferror(1/0),iferror(1/0)},{upper(vlookup(row(B95)-row(B$9)+1,$Q$3:$S104,3,false)),"Updated",sumif($S$3:$S104,vlookup(row($B95)-row($B$9)+1,$Q$3:$S104,3,false),$V$3:$V104)}),vlookup(row($B95)-row($B$9),{$Q$3:Q104,$T$3:T104,$U$3:U104,$V$3:V104},{2,3,4},false)))</f>
        <v/>
      </c>
      <c r="G95" s="1460"/>
      <c r="H95" s="852"/>
      <c r="I95" s="878"/>
      <c r="J95" s="1466" t="str">
        <f t="shared" si="2"/>
        <v/>
      </c>
      <c r="K95" s="1457"/>
      <c r="L95" s="1435"/>
      <c r="M95" s="1435"/>
      <c r="N95" s="1460"/>
      <c r="O95" s="1461"/>
      <c r="P95" s="1435"/>
      <c r="Q95" s="1466" t="str">
        <f t="shared" si="3"/>
        <v/>
      </c>
      <c r="R95" s="1457"/>
      <c r="S95" s="1435"/>
      <c r="T95" s="1435"/>
      <c r="U95" s="1460"/>
      <c r="V95" s="1467"/>
      <c r="W95" s="783"/>
      <c r="X95" s="782"/>
      <c r="Y95" s="1464"/>
    </row>
    <row r="96" ht="17.25" customHeight="1">
      <c r="A96" s="878"/>
      <c r="B96" s="1452" t="str">
        <f t="array" ref="B96:D96">iferror(if(iserror(match(row($B96)-row($B$9),$J$3:$J104,0)),if(iserror(match(row($B96)-row($B$9)+1,$J$3:$J104,0)),{iferror(1/0),iferror(1/0),iferror(1/0)},{upper(vlookup(row(B96)-row(B$9)+1,$J$3:$L104,3,false)),"Updated",sumif($L$3:$L104,vlookup(row($B96)-row($B$9)+1,$J$3:$L104,3,false),$O$3:$O104)}),vlookup(row($B96)-row($B$9),{$J$3:J104,$M$3:M104,$N$3:N104,$O$3:O104},{2,3,4},false)))</f>
        <v/>
      </c>
      <c r="C96" s="1460"/>
      <c r="D96" s="852"/>
      <c r="E96" s="777"/>
      <c r="F96" s="1479" t="str">
        <f t="array" ref="F96:H96">iferror(if(iserror(match(row($B96)-row($B$9),$Q$3:$Q104,0)),if(iserror(match(row($B96)-row($B$9)+1,$Q$3:$Q104,0)),{iferror(1/0),iferror(1/0),iferror(1/0)},{upper(vlookup(row(B96)-row(B$9)+1,$Q$3:$S104,3,false)),"Updated",sumif($S$3:$S104,vlookup(row($B96)-row($B$9)+1,$Q$3:$S104,3,false),$V$3:$V104)}),vlookup(row($B96)-row($B$9),{$Q$3:Q104,$T$3:T104,$U$3:U104,$V$3:V104},{2,3,4},false)))</f>
        <v/>
      </c>
      <c r="G96" s="1460"/>
      <c r="H96" s="852"/>
      <c r="I96" s="878"/>
      <c r="J96" s="1466" t="str">
        <f t="shared" si="2"/>
        <v/>
      </c>
      <c r="K96" s="1457"/>
      <c r="L96" s="1435"/>
      <c r="M96" s="1435"/>
      <c r="N96" s="1460"/>
      <c r="O96" s="1461"/>
      <c r="P96" s="1435"/>
      <c r="Q96" s="1466" t="str">
        <f t="shared" si="3"/>
        <v/>
      </c>
      <c r="R96" s="1457"/>
      <c r="S96" s="1435"/>
      <c r="T96" s="1435"/>
      <c r="U96" s="1460"/>
      <c r="V96" s="1467"/>
      <c r="W96" s="783"/>
      <c r="X96" s="782"/>
      <c r="Y96" s="1464"/>
    </row>
    <row r="97" ht="17.25" customHeight="1">
      <c r="A97" s="878"/>
      <c r="B97" s="1452" t="str">
        <f t="array" ref="B97:D97">iferror(if(iserror(match(row($B97)-row($B$9),$J$3:$J104,0)),if(iserror(match(row($B97)-row($B$9)+1,$J$3:$J104,0)),{iferror(1/0),iferror(1/0),iferror(1/0)},{upper(vlookup(row(B97)-row(B$9)+1,$J$3:$L104,3,false)),"Updated",sumif($L$3:$L104,vlookup(row($B97)-row($B$9)+1,$J$3:$L104,3,false),$O$3:$O104)}),vlookup(row($B97)-row($B$9),{$J$3:J104,$M$3:M104,$N$3:N104,$O$3:O104},{2,3,4},false)))</f>
        <v/>
      </c>
      <c r="C97" s="1460"/>
      <c r="D97" s="852"/>
      <c r="E97" s="777"/>
      <c r="F97" s="1479" t="str">
        <f t="array" ref="F97:H97">iferror(if(iserror(match(row($B97)-row($B$9),$Q$3:$Q104,0)),if(iserror(match(row($B97)-row($B$9)+1,$Q$3:$Q104,0)),{iferror(1/0),iferror(1/0),iferror(1/0)},{upper(vlookup(row(B97)-row(B$9)+1,$Q$3:$S104,3,false)),"Updated",sumif($S$3:$S104,vlookup(row($B97)-row($B$9)+1,$Q$3:$S104,3,false),$V$3:$V104)}),vlookup(row($B97)-row($B$9),{$Q$3:Q104,$T$3:T104,$U$3:U104,$V$3:V104},{2,3,4},false)))</f>
        <v/>
      </c>
      <c r="G97" s="1460"/>
      <c r="H97" s="852"/>
      <c r="I97" s="878"/>
      <c r="J97" s="1466" t="str">
        <f t="shared" si="2"/>
        <v/>
      </c>
      <c r="K97" s="1457"/>
      <c r="L97" s="1435"/>
      <c r="M97" s="1435"/>
      <c r="N97" s="1460"/>
      <c r="O97" s="1461"/>
      <c r="P97" s="1435"/>
      <c r="Q97" s="1466" t="str">
        <f t="shared" si="3"/>
        <v/>
      </c>
      <c r="R97" s="1457"/>
      <c r="S97" s="1435"/>
      <c r="T97" s="1435"/>
      <c r="U97" s="1460"/>
      <c r="V97" s="1467"/>
      <c r="W97" s="783"/>
      <c r="X97" s="782"/>
      <c r="Y97" s="1464"/>
    </row>
    <row r="98" ht="17.25" customHeight="1">
      <c r="A98" s="878"/>
      <c r="B98" s="1452" t="str">
        <f t="array" ref="B98:D98">iferror(if(iserror(match(row($B98)-row($B$9),$J$3:$J104,0)),if(iserror(match(row($B98)-row($B$9)+1,$J$3:$J104,0)),{iferror(1/0),iferror(1/0),iferror(1/0)},{upper(vlookup(row(B98)-row(B$9)+1,$J$3:$L104,3,false)),"Updated",sumif($L$3:$L104,vlookup(row($B98)-row($B$9)+1,$J$3:$L104,3,false),$O$3:$O104)}),vlookup(row($B98)-row($B$9),{$J$3:J104,$M$3:M104,$N$3:N104,$O$3:O104},{2,3,4},false)))</f>
        <v/>
      </c>
      <c r="C98" s="1460"/>
      <c r="D98" s="852"/>
      <c r="E98" s="777"/>
      <c r="F98" s="1479" t="str">
        <f t="array" ref="F98:H98">iferror(if(iserror(match(row($B98)-row($B$9),$Q$3:$Q104,0)),if(iserror(match(row($B98)-row($B$9)+1,$Q$3:$Q104,0)),{iferror(1/0),iferror(1/0),iferror(1/0)},{upper(vlookup(row(B98)-row(B$9)+1,$Q$3:$S104,3,false)),"Updated",sumif($S$3:$S104,vlookup(row($B98)-row($B$9)+1,$Q$3:$S104,3,false),$V$3:$V104)}),vlookup(row($B98)-row($B$9),{$Q$3:Q104,$T$3:T104,$U$3:U104,$V$3:V104},{2,3,4},false)))</f>
        <v/>
      </c>
      <c r="G98" s="1460"/>
      <c r="H98" s="852"/>
      <c r="I98" s="878"/>
      <c r="J98" s="1466" t="str">
        <f t="shared" si="2"/>
        <v/>
      </c>
      <c r="K98" s="1457"/>
      <c r="L98" s="1435"/>
      <c r="M98" s="1435"/>
      <c r="N98" s="1460"/>
      <c r="O98" s="1461"/>
      <c r="P98" s="1435"/>
      <c r="Q98" s="1466" t="str">
        <f t="shared" si="3"/>
        <v/>
      </c>
      <c r="R98" s="1457"/>
      <c r="S98" s="1435"/>
      <c r="T98" s="1435"/>
      <c r="U98" s="1460"/>
      <c r="V98" s="1467"/>
      <c r="W98" s="783"/>
      <c r="X98" s="782"/>
      <c r="Y98" s="1464"/>
    </row>
    <row r="99" ht="17.25" customHeight="1">
      <c r="A99" s="878"/>
      <c r="B99" s="1452" t="str">
        <f t="array" ref="B99:D99">iferror(if(iserror(match(row($B99)-row($B$9),$J$3:$J104,0)),if(iserror(match(row($B99)-row($B$9)+1,$J$3:$J104,0)),{iferror(1/0),iferror(1/0),iferror(1/0)},{upper(vlookup(row(B99)-row(B$9)+1,$J$3:$L104,3,false)),"Updated",sumif($L$3:$L104,vlookup(row($B99)-row($B$9)+1,$J$3:$L104,3,false),$O$3:$O104)}),vlookup(row($B99)-row($B$9),{$J$3:J104,$M$3:M104,$N$3:N104,$O$3:O104},{2,3,4},false)))</f>
        <v/>
      </c>
      <c r="C99" s="1460"/>
      <c r="D99" s="852"/>
      <c r="E99" s="777"/>
      <c r="F99" s="1479" t="str">
        <f t="array" ref="F99:H99">iferror(if(iserror(match(row($B99)-row($B$9),$Q$3:$Q104,0)),if(iserror(match(row($B99)-row($B$9)+1,$Q$3:$Q104,0)),{iferror(1/0),iferror(1/0),iferror(1/0)},{upper(vlookup(row(B99)-row(B$9)+1,$Q$3:$S104,3,false)),"Updated",sumif($S$3:$S104,vlookup(row($B99)-row($B$9)+1,$Q$3:$S104,3,false),$V$3:$V104)}),vlookup(row($B99)-row($B$9),{$Q$3:Q104,$T$3:T104,$U$3:U104,$V$3:V104},{2,3,4},false)))</f>
        <v/>
      </c>
      <c r="G99" s="1460"/>
      <c r="H99" s="852"/>
      <c r="I99" s="878"/>
      <c r="J99" s="1466" t="str">
        <f t="shared" si="2"/>
        <v/>
      </c>
      <c r="K99" s="1457"/>
      <c r="L99" s="1435"/>
      <c r="M99" s="1435"/>
      <c r="N99" s="1460"/>
      <c r="O99" s="1461"/>
      <c r="P99" s="1435"/>
      <c r="Q99" s="1466" t="str">
        <f t="shared" si="3"/>
        <v/>
      </c>
      <c r="R99" s="1457"/>
      <c r="S99" s="1435"/>
      <c r="T99" s="1435"/>
      <c r="U99" s="1460"/>
      <c r="V99" s="1467"/>
      <c r="W99" s="783"/>
      <c r="X99" s="782"/>
      <c r="Y99" s="1464"/>
    </row>
    <row r="100" ht="17.25" customHeight="1">
      <c r="A100" s="878"/>
      <c r="B100" s="1452" t="str">
        <f t="array" ref="B100:D100">iferror(if(iserror(match(row($B100)-row($B$9),$J$3:$J104,0)),if(iserror(match(row($B100)-row($B$9)+1,$J$3:$J104,0)),{iferror(1/0),iferror(1/0),iferror(1/0)},{upper(vlookup(row(B100)-row(B$9)+1,$J$3:$L104,3,false)),"Updated",sumif($L$3:$L104,vlookup(row($B100)-row($B$9)+1,$J$3:$L104,3,false),$O$3:$O104)}),vlookup(row($B100)-row($B$9),{$J$3:J104,$M$3:M104,$N$3:N104,$O$3:O104},{2,3,4},false)))</f>
        <v/>
      </c>
      <c r="C100" s="1460"/>
      <c r="D100" s="852"/>
      <c r="E100" s="777"/>
      <c r="F100" s="1479" t="str">
        <f t="array" ref="F100:H100">iferror(if(iserror(match(row($B100)-row($B$9),$Q$3:$Q104,0)),if(iserror(match(row($B100)-row($B$9)+1,$Q$3:$Q104,0)),{iferror(1/0),iferror(1/0),iferror(1/0)},{upper(vlookup(row(B100)-row(B$9)+1,$Q$3:$S104,3,false)),"Updated",sumif($S$3:$S104,vlookup(row($B100)-row($B$9)+1,$Q$3:$S104,3,false),$V$3:$V104)}),vlookup(row($B100)-row($B$9),{$Q$3:Q104,$T$3:T104,$U$3:U104,$V$3:V104},{2,3,4},false)))</f>
        <v/>
      </c>
      <c r="G100" s="1460"/>
      <c r="H100" s="852"/>
      <c r="I100" s="878"/>
      <c r="J100" s="1466" t="str">
        <f t="shared" si="2"/>
        <v/>
      </c>
      <c r="K100" s="1457"/>
      <c r="L100" s="1435"/>
      <c r="M100" s="1435"/>
      <c r="N100" s="1460"/>
      <c r="O100" s="1461"/>
      <c r="P100" s="1435"/>
      <c r="Q100" s="1466" t="str">
        <f t="shared" si="3"/>
        <v/>
      </c>
      <c r="R100" s="1457"/>
      <c r="S100" s="1435"/>
      <c r="T100" s="1435"/>
      <c r="U100" s="1460"/>
      <c r="V100" s="1467"/>
      <c r="W100" s="783"/>
      <c r="X100" s="782"/>
      <c r="Y100" s="1464"/>
    </row>
    <row r="101" ht="17.25" customHeight="1">
      <c r="A101" s="878"/>
      <c r="B101" s="1452" t="str">
        <f t="array" ref="B101:D101">iferror(if(iserror(match(row($B101)-row($B$9),$J$3:$J104,0)),if(iserror(match(row($B101)-row($B$9)+1,$J$3:$J104,0)),{iferror(1/0),iferror(1/0),iferror(1/0)},{upper(vlookup(row(B101)-row(B$9)+1,$J$3:$L104,3,false)),"Updated",sumif($L$3:$L104,vlookup(row($B101)-row($B$9)+1,$J$3:$L104,3,false),$O$3:$O104)}),vlookup(row($B101)-row($B$9),{$J$3:J104,$M$3:M104,$N$3:N104,$O$3:O104},{2,3,4},false)))</f>
        <v/>
      </c>
      <c r="C101" s="1460"/>
      <c r="D101" s="852"/>
      <c r="E101" s="777"/>
      <c r="F101" s="1479" t="str">
        <f t="array" ref="F101:H101">iferror(if(iserror(match(row($B101)-row($B$9),$Q$3:$Q104,0)),if(iserror(match(row($B101)-row($B$9)+1,$Q$3:$Q104,0)),{iferror(1/0),iferror(1/0),iferror(1/0)},{upper(vlookup(row(B101)-row(B$9)+1,$Q$3:$S104,3,false)),"Updated",sumif($S$3:$S104,vlookup(row($B101)-row($B$9)+1,$Q$3:$S104,3,false),$V$3:$V104)}),vlookup(row($B101)-row($B$9),{$Q$3:Q104,$T$3:T104,$U$3:U104,$V$3:V104},{2,3,4},false)))</f>
        <v/>
      </c>
      <c r="G101" s="1460"/>
      <c r="H101" s="852"/>
      <c r="I101" s="878"/>
      <c r="J101" s="1466" t="str">
        <f t="shared" si="2"/>
        <v/>
      </c>
      <c r="K101" s="1457"/>
      <c r="L101" s="1435"/>
      <c r="M101" s="1435"/>
      <c r="N101" s="1460"/>
      <c r="O101" s="1461"/>
      <c r="P101" s="1435"/>
      <c r="Q101" s="1466" t="str">
        <f t="shared" si="3"/>
        <v/>
      </c>
      <c r="R101" s="1457"/>
      <c r="S101" s="1435"/>
      <c r="T101" s="1435"/>
      <c r="U101" s="1460"/>
      <c r="V101" s="1467"/>
      <c r="W101" s="783"/>
      <c r="X101" s="782"/>
      <c r="Y101" s="1464"/>
    </row>
    <row r="102" ht="17.25" customHeight="1">
      <c r="A102" s="878"/>
      <c r="B102" s="1452" t="str">
        <f t="array" ref="B102:D102">iferror(if(iserror(match(row($B102)-row($B$9),$J$3:$J104,0)),if(iserror(match(row($B102)-row($B$9)+1,$J$3:$J104,0)),{iferror(1/0),iferror(1/0),iferror(1/0)},{upper(vlookup(row(B102)-row(B$9)+1,$J$3:$L104,3,false)),"Updated",sumif($L$3:$L104,vlookup(row($B102)-row($B$9)+1,$J$3:$L104,3,false),$O$3:$O104)}),vlookup(row($B102)-row($B$9),{$J$3:J104,$M$3:M104,$N$3:N104,$O$3:O104},{2,3,4},false)))</f>
        <v/>
      </c>
      <c r="C102" s="1460"/>
      <c r="D102" s="852"/>
      <c r="E102" s="777"/>
      <c r="F102" s="1479" t="str">
        <f t="array" ref="F102:H102">iferror(if(iserror(match(row($B102)-row($B$9),$Q$3:$Q104,0)),if(iserror(match(row($B102)-row($B$9)+1,$Q$3:$Q104,0)),{iferror(1/0),iferror(1/0),iferror(1/0)},{upper(vlookup(row(B102)-row(B$9)+1,$Q$3:$S104,3,false)),"Updated",sumif($S$3:$S104,vlookup(row($B102)-row($B$9)+1,$Q$3:$S104,3,false),$V$3:$V104)}),vlookup(row($B102)-row($B$9),{$Q$3:Q104,$T$3:T104,$U$3:U104,$V$3:V104},{2,3,4},false)))</f>
        <v/>
      </c>
      <c r="G102" s="1460"/>
      <c r="H102" s="852"/>
      <c r="I102" s="878"/>
      <c r="J102" s="1466" t="str">
        <f t="shared" si="2"/>
        <v/>
      </c>
      <c r="K102" s="1457"/>
      <c r="L102" s="1435"/>
      <c r="M102" s="1435"/>
      <c r="N102" s="1460"/>
      <c r="O102" s="1461"/>
      <c r="P102" s="1435"/>
      <c r="Q102" s="1466" t="str">
        <f t="shared" si="3"/>
        <v/>
      </c>
      <c r="R102" s="1457"/>
      <c r="S102" s="1435"/>
      <c r="T102" s="1435"/>
      <c r="U102" s="1460"/>
      <c r="V102" s="1467"/>
      <c r="W102" s="783"/>
      <c r="X102" s="782"/>
      <c r="Y102" s="1464"/>
    </row>
    <row r="103" ht="17.25" customHeight="1">
      <c r="A103" s="878"/>
      <c r="B103" s="1452" t="str">
        <f t="array" ref="B103:D103">iferror(if(iserror(match(row($B103)-row($B$9),$J$3:$J104,0)),if(iserror(match(row($B103)-row($B$9)+1,$J$3:$J104,0)),{iferror(1/0),iferror(1/0),iferror(1/0)},{upper(vlookup(row(B103)-row(B$9)+1,$J$3:$L104,3,false)),"Updated",sumif($L$3:$L104,vlookup(row($B103)-row($B$9)+1,$J$3:$L104,3,false),$O$3:$O104)}),vlookup(row($B103)-row($B$9),{$J$3:J104,$M$3:M104,$N$3:N104,$O$3:O104},{2,3,4},false)))</f>
        <v/>
      </c>
      <c r="C103" s="1460"/>
      <c r="D103" s="852"/>
      <c r="E103" s="777"/>
      <c r="F103" s="1479" t="str">
        <f t="array" ref="F103:H103">iferror(if(iserror(match(row($B103)-row($B$9),$Q$3:$Q104,0)),if(iserror(match(row($B103)-row($B$9)+1,$Q$3:$Q104,0)),{iferror(1/0),iferror(1/0),iferror(1/0)},{upper(vlookup(row(B103)-row(B$9)+1,$Q$3:$S104,3,false)),"Updated",sumif($S$3:$S104,vlookup(row($B103)-row($B$9)+1,$Q$3:$S104,3,false),$V$3:$V104)}),vlookup(row($B103)-row($B$9),{$Q$3:Q104,$T$3:T104,$U$3:U104,$V$3:V104},{2,3,4},false)))</f>
        <v/>
      </c>
      <c r="G103" s="1460"/>
      <c r="H103" s="852"/>
      <c r="I103" s="878"/>
      <c r="J103" s="1466"/>
      <c r="K103" s="1457"/>
      <c r="L103" s="1435"/>
      <c r="M103" s="1435"/>
      <c r="N103" s="1460"/>
      <c r="O103" s="1461"/>
      <c r="P103" s="1435"/>
      <c r="Q103" s="1466"/>
      <c r="R103" s="1457"/>
      <c r="S103" s="1435"/>
      <c r="T103" s="1435"/>
      <c r="U103" s="1460"/>
      <c r="V103" s="1467"/>
      <c r="W103" s="783"/>
      <c r="X103" s="782"/>
      <c r="Y103" s="1464"/>
    </row>
    <row r="104" ht="17.25" customHeight="1">
      <c r="A104" s="878"/>
      <c r="B104" s="1452" t="str">
        <f t="array" ref="B104:D104">iferror(if(iserror(match(row($B104)-row($B$9),$J$3:$J104,0)),if(iserror(match(row($B104)-row($B$9)+1,$J$3:$J104,0)),{iferror(1/0),iferror(1/0),iferror(1/0)},{upper(vlookup(row(B104)-row(B$9)+1,$J$3:$L104,3,false)),"Updated",sumif($L$3:$L104,vlookup(row($B104)-row($B$9)+1,$J$3:$L104,3,false),$O$3:$O104)}),vlookup(row($B104)-row($B$9),{$J$3:J104,$M$3:M104,$N$3:N104,$O$3:O104},{2,3,4},false)))</f>
        <v/>
      </c>
      <c r="C104" s="1460"/>
      <c r="D104" s="852"/>
      <c r="E104" s="777"/>
      <c r="F104" s="1479" t="str">
        <f t="array" ref="F104:H104">iferror(if(iserror(match(row($B104)-row($B$9),$Q$3:$Q104,0)),if(iserror(match(row($B104)-row($B$9)+1,$Q$3:$Q104,0)),{iferror(1/0),iferror(1/0),iferror(1/0)},{upper(vlookup(row(B104)-row(B$9)+1,$Q$3:$S104,3,false)),"Updated",sumif($S$3:$S104,vlookup(row($B104)-row($B$9)+1,$Q$3:$S104,3,false),$V$3:$V104)}),vlookup(row($B104)-row($B$9),{$Q$3:Q104,$T$3:T104,$U$3:U104,$V$3:V104},{2,3,4},false)))</f>
        <v/>
      </c>
      <c r="G104" s="1460"/>
      <c r="H104" s="852"/>
      <c r="I104" s="878"/>
      <c r="J104" s="1466"/>
      <c r="K104" s="1457"/>
      <c r="L104" s="1435"/>
      <c r="M104" s="1435"/>
      <c r="N104" s="1460"/>
      <c r="O104" s="1461"/>
      <c r="P104" s="1435"/>
      <c r="Q104" s="1466"/>
      <c r="R104" s="1457"/>
      <c r="S104" s="1435"/>
      <c r="T104" s="1435"/>
      <c r="U104" s="1460"/>
      <c r="V104" s="1467"/>
      <c r="W104" s="783"/>
      <c r="X104" s="782"/>
      <c r="Y104" s="1464"/>
    </row>
  </sheetData>
  <mergeCells count="6">
    <mergeCell ref="F1:H1"/>
    <mergeCell ref="J1:O1"/>
    <mergeCell ref="Q1:V1"/>
    <mergeCell ref="X1:Y1"/>
    <mergeCell ref="H2:H3"/>
    <mergeCell ref="X2:Y2"/>
  </mergeCells>
  <conditionalFormatting sqref="A1">
    <cfRule type="notContainsBlanks" dxfId="13" priority="1">
      <formula>LEN(TRIM(A1))&gt;0</formula>
    </cfRule>
  </conditionalFormatting>
  <conditionalFormatting sqref="A1">
    <cfRule type="notContainsBlanks" dxfId="13" priority="2">
      <formula>LEN(TRIM(A1))&gt;0</formula>
    </cfRule>
  </conditionalFormatting>
  <conditionalFormatting sqref="B3 B9:D104">
    <cfRule type="expression" dxfId="23" priority="3">
      <formula>if(and(len($B3),istext($C3)),true,false)</formula>
    </cfRule>
  </conditionalFormatting>
  <conditionalFormatting sqref="F9:H104">
    <cfRule type="expression" dxfId="23" priority="4">
      <formula>if(and(len($F9),istext($G9)),true,false)</formula>
    </cfRule>
  </conditionalFormatting>
  <conditionalFormatting sqref="B3 B9:D104">
    <cfRule type="expression" dxfId="24" priority="5">
      <formula>if($C3&gt;30,true,false)</formula>
    </cfRule>
  </conditionalFormatting>
  <conditionalFormatting sqref="F9:H104">
    <cfRule type="expression" dxfId="24" priority="6">
      <formula>if($G9&gt;30,true,false)</formula>
    </cfRule>
  </conditionalFormatting>
  <conditionalFormatting sqref="C9:C104 G9:G104">
    <cfRule type="cellIs" dxfId="25" priority="7" operator="greaterThan">
      <formula>5</formula>
    </cfRule>
  </conditionalFormatting>
  <conditionalFormatting sqref="B5:H5">
    <cfRule type="expression" dxfId="26" priority="8">
      <formula>if($H$5&lt;0,true,false)</formula>
    </cfRule>
  </conditionalFormatting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8.88"/>
    <col customWidth="1" min="2" max="2" width="22.0"/>
    <col customWidth="1" min="3" max="9" width="14.63"/>
    <col customWidth="1" min="10" max="10" width="11.75"/>
    <col customWidth="1" min="11" max="11" width="3.0"/>
    <col customWidth="1" min="12" max="12" width="11.63"/>
    <col customWidth="1" min="13" max="13" width="14.38"/>
    <col customWidth="1" min="14" max="25" width="7.63"/>
  </cols>
  <sheetData>
    <row r="1" ht="31.5" customHeight="1">
      <c r="A1" s="1482" t="s">
        <v>1293</v>
      </c>
      <c r="B1" s="1483"/>
      <c r="C1" s="1483"/>
      <c r="D1" s="1484"/>
      <c r="E1" s="1484"/>
      <c r="F1" s="1484"/>
      <c r="G1" s="1484"/>
      <c r="H1" s="1484"/>
      <c r="I1" s="1484"/>
      <c r="J1" s="1485"/>
      <c r="K1" s="1486"/>
      <c r="L1" s="1487" t="s">
        <v>1294</v>
      </c>
      <c r="M1" s="1486"/>
      <c r="N1" s="1486"/>
      <c r="O1" s="1486"/>
      <c r="P1" s="1486"/>
      <c r="Q1" s="1486"/>
      <c r="R1" s="1486"/>
      <c r="S1" s="1486"/>
      <c r="T1" s="1486"/>
      <c r="U1" s="1486"/>
      <c r="V1" s="1486"/>
      <c r="W1" s="1486"/>
      <c r="X1" s="1486"/>
      <c r="Y1" s="1486"/>
    </row>
    <row r="2" ht="12.75" customHeight="1">
      <c r="A2" s="1488"/>
      <c r="B2" s="1488"/>
      <c r="C2" s="1488"/>
      <c r="D2" s="1488"/>
      <c r="E2" s="1488"/>
      <c r="F2" s="1488"/>
      <c r="G2" s="1488"/>
      <c r="H2" s="1488"/>
      <c r="I2" s="1488"/>
      <c r="K2" s="1488"/>
      <c r="L2" s="1489" t="str">
        <f>HYPERLINK("https://www.vertex42.com/ExcelTemplates/savings-goal-tracker.html","Savings Goal Tracker")</f>
        <v>Savings Goal Tracker</v>
      </c>
      <c r="M2" s="1488"/>
      <c r="N2" s="1488"/>
      <c r="O2" s="1488"/>
      <c r="P2" s="1488"/>
      <c r="Q2" s="1488"/>
      <c r="R2" s="1488"/>
      <c r="S2" s="1488"/>
      <c r="T2" s="1488"/>
      <c r="U2" s="1488"/>
      <c r="V2" s="1488"/>
      <c r="W2" s="1488"/>
      <c r="X2" s="1488"/>
      <c r="Y2" s="1488"/>
    </row>
    <row r="3" ht="36.0" customHeight="1">
      <c r="A3" s="1488"/>
      <c r="B3" s="1488"/>
      <c r="C3" s="1490" t="s">
        <v>1295</v>
      </c>
      <c r="D3" s="1490" t="s">
        <v>1296</v>
      </c>
      <c r="E3" s="1490" t="s">
        <v>1297</v>
      </c>
      <c r="F3" s="1490" t="s">
        <v>1298</v>
      </c>
      <c r="G3" s="1490" t="s">
        <v>1299</v>
      </c>
      <c r="H3" s="1491"/>
      <c r="I3" s="1490" t="s">
        <v>714</v>
      </c>
      <c r="J3" s="1492" t="s">
        <v>19</v>
      </c>
      <c r="K3" s="1488"/>
      <c r="L3" s="1493" t="s">
        <v>1300</v>
      </c>
      <c r="M3" s="1488"/>
      <c r="N3" s="1488"/>
      <c r="O3" s="1488"/>
      <c r="P3" s="1488"/>
      <c r="Q3" s="1488"/>
      <c r="R3" s="1488"/>
      <c r="S3" s="1488"/>
      <c r="T3" s="1488"/>
      <c r="U3" s="1488"/>
      <c r="V3" s="1488"/>
      <c r="W3" s="1488"/>
      <c r="X3" s="1488"/>
      <c r="Y3" s="1488"/>
    </row>
    <row r="4" ht="19.5" customHeight="1">
      <c r="A4" s="1494"/>
      <c r="B4" s="1495" t="s">
        <v>1301</v>
      </c>
      <c r="C4" s="1496">
        <v>10000.0</v>
      </c>
      <c r="D4" s="1496">
        <v>10000.0</v>
      </c>
      <c r="E4" s="1496">
        <v>15000.0</v>
      </c>
      <c r="F4" s="1496">
        <v>15000.0</v>
      </c>
      <c r="G4" s="1496">
        <v>40000.0</v>
      </c>
      <c r="H4" s="1497"/>
      <c r="I4" s="1497"/>
      <c r="J4" s="1498">
        <f t="shared" ref="J4:J5" si="2">SUM(C4:I4)</f>
        <v>90000</v>
      </c>
      <c r="K4" s="1486"/>
      <c r="L4" s="1499" t="s">
        <v>1302</v>
      </c>
      <c r="M4" s="1486"/>
      <c r="N4" s="1486"/>
      <c r="O4" s="1486"/>
      <c r="P4" s="1486"/>
      <c r="Q4" s="1486"/>
      <c r="R4" s="1486"/>
      <c r="S4" s="1486"/>
      <c r="T4" s="1486"/>
      <c r="U4" s="1486"/>
      <c r="V4" s="1486"/>
      <c r="W4" s="1486"/>
      <c r="X4" s="1486"/>
      <c r="Y4" s="1486"/>
    </row>
    <row r="5" ht="18.0" customHeight="1">
      <c r="A5" s="1500"/>
      <c r="B5" s="1501" t="s">
        <v>1303</v>
      </c>
      <c r="C5" s="1502">
        <f t="shared" ref="C5:I5" si="1">SUM(C13:C51)</f>
        <v>2351</v>
      </c>
      <c r="D5" s="1502">
        <f t="shared" si="1"/>
        <v>1100</v>
      </c>
      <c r="E5" s="1502">
        <f t="shared" si="1"/>
        <v>203.1</v>
      </c>
      <c r="F5" s="1502">
        <f t="shared" si="1"/>
        <v>178.77</v>
      </c>
      <c r="G5" s="1502">
        <f t="shared" si="1"/>
        <v>234</v>
      </c>
      <c r="H5" s="1502">
        <f t="shared" si="1"/>
        <v>0</v>
      </c>
      <c r="I5" s="1502">
        <f t="shared" si="1"/>
        <v>0</v>
      </c>
      <c r="J5" s="1503">
        <f t="shared" si="2"/>
        <v>4066.87</v>
      </c>
      <c r="K5" s="1486"/>
      <c r="L5" s="1504" t="s">
        <v>1304</v>
      </c>
      <c r="M5" s="1486"/>
      <c r="N5" s="1486"/>
      <c r="O5" s="1486"/>
      <c r="P5" s="1486"/>
      <c r="Q5" s="1486"/>
      <c r="R5" s="1486"/>
      <c r="S5" s="1486"/>
      <c r="T5" s="1486"/>
      <c r="U5" s="1486"/>
      <c r="V5" s="1486"/>
      <c r="W5" s="1486"/>
      <c r="X5" s="1486"/>
      <c r="Y5" s="1486"/>
    </row>
    <row r="6" ht="18.0" customHeight="1">
      <c r="A6" s="1505"/>
      <c r="B6" s="1506" t="s">
        <v>1305</v>
      </c>
      <c r="C6" s="1507" t="str">
        <f t="shared" ref="C6:I6" si="3">IMAGE("https://chart.googleapis.com/chart?cht=bho&amp;chs=150x33&amp;chco=5d9c6d,d8edd3&amp;chf=bg,s,00000000&amp;chds=0,1&amp;chd=t:"&amp;IF(C4=0,0,C5/C4)&amp;"|1&amp;chm=N*p1*,000000,0,,17,,hc")</f>
        <v/>
      </c>
      <c r="D6" s="1507" t="str">
        <f t="shared" si="3"/>
        <v/>
      </c>
      <c r="E6" s="1507" t="str">
        <f t="shared" si="3"/>
        <v/>
      </c>
      <c r="F6" s="1507" t="str">
        <f t="shared" si="3"/>
        <v/>
      </c>
      <c r="G6" s="1507" t="str">
        <f t="shared" si="3"/>
        <v/>
      </c>
      <c r="H6" s="1507" t="str">
        <f t="shared" si="3"/>
        <v/>
      </c>
      <c r="I6" s="1507" t="str">
        <f t="shared" si="3"/>
        <v/>
      </c>
      <c r="J6" s="1508">
        <f>IF(J4=0,0,J5/J4)</f>
        <v>0.04518744444</v>
      </c>
      <c r="K6" s="1486"/>
      <c r="L6" s="1504" t="s">
        <v>1306</v>
      </c>
      <c r="M6" s="1486"/>
      <c r="N6" s="1486"/>
      <c r="O6" s="1486"/>
      <c r="P6" s="1486"/>
      <c r="Q6" s="1486"/>
      <c r="R6" s="1486"/>
      <c r="S6" s="1486"/>
      <c r="T6" s="1486"/>
      <c r="U6" s="1486"/>
      <c r="V6" s="1486"/>
      <c r="W6" s="1486"/>
      <c r="X6" s="1486"/>
      <c r="Y6" s="1486"/>
    </row>
    <row r="7" ht="18.0" customHeight="1">
      <c r="A7" s="1505"/>
      <c r="B7" s="1506" t="s">
        <v>1307</v>
      </c>
      <c r="C7" s="1509">
        <f t="shared" ref="C7:J7" si="4">C4-C5</f>
        <v>7649</v>
      </c>
      <c r="D7" s="1509">
        <f t="shared" si="4"/>
        <v>8900</v>
      </c>
      <c r="E7" s="1509">
        <f t="shared" si="4"/>
        <v>14796.9</v>
      </c>
      <c r="F7" s="1509">
        <f t="shared" si="4"/>
        <v>14821.23</v>
      </c>
      <c r="G7" s="1509">
        <f t="shared" si="4"/>
        <v>39766</v>
      </c>
      <c r="H7" s="1509">
        <f t="shared" si="4"/>
        <v>0</v>
      </c>
      <c r="I7" s="1509">
        <f t="shared" si="4"/>
        <v>0</v>
      </c>
      <c r="J7" s="1510">
        <f t="shared" si="4"/>
        <v>85933.13</v>
      </c>
      <c r="K7" s="1486"/>
      <c r="L7" s="1504"/>
      <c r="M7" s="1486"/>
      <c r="N7" s="1486"/>
      <c r="O7" s="1486"/>
      <c r="P7" s="1486"/>
      <c r="Q7" s="1486"/>
      <c r="R7" s="1486"/>
      <c r="S7" s="1486"/>
      <c r="T7" s="1486"/>
      <c r="U7" s="1486"/>
      <c r="V7" s="1486"/>
      <c r="W7" s="1486"/>
      <c r="X7" s="1486"/>
      <c r="Y7" s="1486"/>
    </row>
    <row r="8" ht="18.0" customHeight="1">
      <c r="A8" s="1486"/>
      <c r="B8" s="1511" t="s">
        <v>1308</v>
      </c>
      <c r="C8" s="1497">
        <v>585.0</v>
      </c>
      <c r="D8" s="1512"/>
      <c r="E8" s="1512"/>
      <c r="F8" s="1512"/>
      <c r="G8" s="1512"/>
      <c r="H8" s="1512"/>
      <c r="I8" s="1512"/>
      <c r="J8" s="1512"/>
      <c r="K8" s="1486"/>
      <c r="L8" s="1513" t="s">
        <v>1309</v>
      </c>
      <c r="M8" s="1486"/>
      <c r="N8" s="1486"/>
      <c r="O8" s="1486"/>
      <c r="P8" s="1486"/>
      <c r="Q8" s="1486"/>
      <c r="R8" s="1486"/>
      <c r="S8" s="1486"/>
      <c r="T8" s="1486"/>
      <c r="U8" s="1486"/>
      <c r="V8" s="1486"/>
      <c r="W8" s="1486"/>
      <c r="X8" s="1486"/>
      <c r="Y8" s="1486"/>
    </row>
    <row r="9" ht="18.0" customHeight="1">
      <c r="A9" s="1486"/>
      <c r="B9" s="1511" t="s">
        <v>1310</v>
      </c>
      <c r="C9" s="1514">
        <v>0.3</v>
      </c>
      <c r="D9" s="1514">
        <v>0.15</v>
      </c>
      <c r="E9" s="1514">
        <v>0.15</v>
      </c>
      <c r="F9" s="1514">
        <v>0.2</v>
      </c>
      <c r="G9" s="1514">
        <v>0.2</v>
      </c>
      <c r="H9" s="1514"/>
      <c r="I9" s="1514"/>
      <c r="J9" s="1515">
        <f>SUM(C9:I9)</f>
        <v>1</v>
      </c>
      <c r="K9" s="1486"/>
      <c r="L9" s="1504"/>
      <c r="M9" s="1486"/>
      <c r="N9" s="1486"/>
      <c r="O9" s="1486"/>
      <c r="P9" s="1486"/>
      <c r="Q9" s="1486"/>
      <c r="R9" s="1486"/>
      <c r="S9" s="1486"/>
      <c r="T9" s="1486"/>
      <c r="U9" s="1486"/>
      <c r="V9" s="1486"/>
      <c r="W9" s="1486"/>
      <c r="X9" s="1486"/>
      <c r="Y9" s="1486"/>
    </row>
    <row r="10" ht="18.0" customHeight="1">
      <c r="A10" s="1486"/>
      <c r="B10" s="1511" t="s">
        <v>1209</v>
      </c>
      <c r="C10" s="1516">
        <f t="shared" ref="C10:I10" si="5">C9*$C$8</f>
        <v>175.5</v>
      </c>
      <c r="D10" s="1516">
        <f t="shared" si="5"/>
        <v>87.75</v>
      </c>
      <c r="E10" s="1516">
        <f t="shared" si="5"/>
        <v>87.75</v>
      </c>
      <c r="F10" s="1516">
        <f t="shared" si="5"/>
        <v>117</v>
      </c>
      <c r="G10" s="1516">
        <f t="shared" si="5"/>
        <v>117</v>
      </c>
      <c r="H10" s="1516">
        <f t="shared" si="5"/>
        <v>0</v>
      </c>
      <c r="I10" s="1516">
        <f t="shared" si="5"/>
        <v>0</v>
      </c>
      <c r="J10" s="1517"/>
      <c r="K10" s="1486"/>
      <c r="L10" s="1504"/>
      <c r="M10" s="1486"/>
      <c r="N10" s="1486"/>
      <c r="O10" s="1486"/>
      <c r="P10" s="1486"/>
      <c r="Q10" s="1486"/>
      <c r="R10" s="1486"/>
      <c r="S10" s="1486"/>
      <c r="T10" s="1486"/>
      <c r="U10" s="1486"/>
      <c r="V10" s="1486"/>
      <c r="W10" s="1486"/>
      <c r="X10" s="1486"/>
      <c r="Y10" s="1486"/>
    </row>
    <row r="11" ht="12.75" customHeight="1">
      <c r="A11" s="1518"/>
      <c r="B11" s="1511"/>
      <c r="C11" s="1516"/>
      <c r="D11" s="1516"/>
      <c r="E11" s="1516"/>
      <c r="F11" s="1516"/>
      <c r="G11" s="1516"/>
      <c r="H11" s="1516"/>
      <c r="I11" s="1516"/>
      <c r="J11" s="1517"/>
      <c r="K11" s="1486"/>
      <c r="L11" s="1504"/>
      <c r="M11" s="1486"/>
      <c r="N11" s="1486"/>
      <c r="O11" s="1486"/>
      <c r="P11" s="1486"/>
      <c r="Q11" s="1486"/>
      <c r="R11" s="1486"/>
      <c r="S11" s="1486"/>
      <c r="T11" s="1486"/>
      <c r="U11" s="1486"/>
      <c r="V11" s="1486"/>
      <c r="W11" s="1486"/>
      <c r="X11" s="1486"/>
      <c r="Y11" s="1486"/>
    </row>
    <row r="12" ht="21.0" customHeight="1">
      <c r="A12" s="1519" t="s">
        <v>1311</v>
      </c>
      <c r="B12" s="1520" t="s">
        <v>1312</v>
      </c>
      <c r="C12" s="1521" t="str">
        <f t="shared" ref="C12:I12" si="6">C3</f>
        <v>ETH Purchase</v>
      </c>
      <c r="D12" s="1521" t="str">
        <f t="shared" si="6"/>
        <v>Summer Vacation</v>
      </c>
      <c r="E12" s="1521" t="str">
        <f t="shared" si="6"/>
        <v>Ring</v>
      </c>
      <c r="F12" s="1521" t="str">
        <f t="shared" si="6"/>
        <v>Proposal</v>
      </c>
      <c r="G12" s="1521" t="str">
        <f t="shared" si="6"/>
        <v>Debt Payoff</v>
      </c>
      <c r="H12" s="1521" t="str">
        <f t="shared" si="6"/>
        <v/>
      </c>
      <c r="I12" s="1521" t="str">
        <f t="shared" si="6"/>
        <v>Other</v>
      </c>
      <c r="J12" s="1519" t="s">
        <v>1313</v>
      </c>
      <c r="K12" s="1488"/>
      <c r="L12" s="1519" t="s">
        <v>1314</v>
      </c>
      <c r="M12" s="1488"/>
      <c r="N12" s="1488"/>
      <c r="O12" s="1488"/>
      <c r="P12" s="1488"/>
      <c r="Q12" s="1488"/>
      <c r="R12" s="1488"/>
      <c r="S12" s="1488"/>
      <c r="T12" s="1488"/>
      <c r="U12" s="1488"/>
      <c r="V12" s="1488"/>
      <c r="W12" s="1488"/>
      <c r="X12" s="1488"/>
      <c r="Y12" s="1488"/>
    </row>
    <row r="13" ht="18.0" customHeight="1">
      <c r="A13" s="1522">
        <v>43769.0</v>
      </c>
      <c r="B13" s="1523" t="s">
        <v>1315</v>
      </c>
      <c r="C13" s="1524">
        <v>2000.0</v>
      </c>
      <c r="D13" s="1524">
        <v>1000.0</v>
      </c>
      <c r="E13" s="1524">
        <v>0.0</v>
      </c>
      <c r="F13" s="1524">
        <v>0.0</v>
      </c>
      <c r="G13" s="1524">
        <v>0.0</v>
      </c>
      <c r="H13" s="1525"/>
      <c r="I13" s="1525"/>
      <c r="J13" s="1526">
        <f t="shared" ref="J13:J51" si="7">SUM(C13:I13)</f>
        <v>3000</v>
      </c>
      <c r="K13" s="1527"/>
      <c r="L13" s="1528">
        <f t="shared" ref="L13:L51" si="8">IF(NOT(ISBLANK(A13)),SUM(J$12:J13),"-")</f>
        <v>3000</v>
      </c>
      <c r="M13" s="1488"/>
      <c r="N13" s="1488"/>
      <c r="O13" s="1488"/>
      <c r="P13" s="1488"/>
      <c r="Q13" s="1488"/>
      <c r="R13" s="1488"/>
      <c r="S13" s="1488"/>
      <c r="T13" s="1488"/>
      <c r="U13" s="1488"/>
      <c r="V13" s="1488"/>
      <c r="W13" s="1488"/>
      <c r="X13" s="1488"/>
      <c r="Y13" s="1488"/>
    </row>
    <row r="14" ht="18.0" customHeight="1">
      <c r="A14" s="1529">
        <v>43770.0</v>
      </c>
      <c r="B14" s="1530" t="s">
        <v>1316</v>
      </c>
      <c r="C14" s="1531"/>
      <c r="D14" s="1531">
        <v>2.1</v>
      </c>
      <c r="E14" s="1531"/>
      <c r="F14" s="1531"/>
      <c r="G14" s="1531"/>
      <c r="H14" s="1531"/>
      <c r="I14" s="1531"/>
      <c r="J14" s="1526">
        <f t="shared" si="7"/>
        <v>2.1</v>
      </c>
      <c r="K14" s="1527"/>
      <c r="L14" s="1528">
        <f t="shared" si="8"/>
        <v>3002.1</v>
      </c>
      <c r="M14" s="1488"/>
      <c r="N14" s="1488"/>
      <c r="O14" s="1488"/>
      <c r="P14" s="1488"/>
      <c r="Q14" s="1488"/>
      <c r="R14" s="1488"/>
      <c r="S14" s="1488"/>
      <c r="T14" s="1488"/>
      <c r="U14" s="1488"/>
      <c r="V14" s="1488"/>
      <c r="W14" s="1488"/>
      <c r="X14" s="1488"/>
      <c r="Y14" s="1488"/>
    </row>
    <row r="15" ht="18.0" customHeight="1">
      <c r="A15" s="1529">
        <v>43770.0</v>
      </c>
      <c r="B15" s="1530" t="s">
        <v>1317</v>
      </c>
      <c r="C15" s="1531">
        <v>175.5</v>
      </c>
      <c r="D15" s="1531">
        <v>87.75</v>
      </c>
      <c r="E15" s="1531">
        <v>87.75</v>
      </c>
      <c r="F15" s="1531">
        <v>117.0</v>
      </c>
      <c r="G15" s="1531">
        <v>117.0</v>
      </c>
      <c r="H15" s="1531"/>
      <c r="I15" s="1531"/>
      <c r="J15" s="1526">
        <f t="shared" si="7"/>
        <v>585</v>
      </c>
      <c r="K15" s="1527"/>
      <c r="L15" s="1528">
        <f t="shared" si="8"/>
        <v>3587.1</v>
      </c>
      <c r="M15" s="1488"/>
      <c r="N15" s="1488"/>
      <c r="O15" s="1488"/>
      <c r="P15" s="1488"/>
      <c r="Q15" s="1488"/>
      <c r="R15" s="1488"/>
      <c r="S15" s="1488"/>
      <c r="T15" s="1488"/>
      <c r="U15" s="1488"/>
      <c r="V15" s="1488"/>
      <c r="W15" s="1488"/>
      <c r="X15" s="1488"/>
      <c r="Y15" s="1488"/>
    </row>
    <row r="16" ht="18.0" customHeight="1">
      <c r="A16" s="1529">
        <v>43800.0</v>
      </c>
      <c r="B16" s="1530" t="s">
        <v>1317</v>
      </c>
      <c r="C16" s="1531">
        <v>175.5</v>
      </c>
      <c r="D16" s="1531">
        <v>87.75</v>
      </c>
      <c r="E16" s="1531">
        <v>87.75</v>
      </c>
      <c r="F16" s="1531">
        <v>117.0</v>
      </c>
      <c r="G16" s="1531">
        <v>117.0</v>
      </c>
      <c r="H16" s="1531"/>
      <c r="I16" s="1531"/>
      <c r="J16" s="1526">
        <f t="shared" si="7"/>
        <v>585</v>
      </c>
      <c r="K16" s="1527"/>
      <c r="L16" s="1528">
        <f t="shared" si="8"/>
        <v>4172.1</v>
      </c>
      <c r="M16" s="1488"/>
      <c r="N16" s="1488"/>
      <c r="O16" s="1488"/>
      <c r="P16" s="1488"/>
      <c r="Q16" s="1488"/>
      <c r="R16" s="1488"/>
      <c r="S16" s="1488"/>
      <c r="T16" s="1488"/>
      <c r="U16" s="1488"/>
      <c r="V16" s="1488"/>
      <c r="W16" s="1488"/>
      <c r="X16" s="1488"/>
      <c r="Y16" s="1488"/>
    </row>
    <row r="17" ht="18.0" customHeight="1">
      <c r="A17" s="1529">
        <v>43804.0</v>
      </c>
      <c r="B17" s="1530" t="s">
        <v>1318</v>
      </c>
      <c r="C17" s="1531"/>
      <c r="D17" s="1531">
        <v>-77.6</v>
      </c>
      <c r="E17" s="1531">
        <v>27.6</v>
      </c>
      <c r="F17" s="1531">
        <v>50.0</v>
      </c>
      <c r="G17" s="1531"/>
      <c r="H17" s="1531"/>
      <c r="I17" s="1531"/>
      <c r="J17" s="1526">
        <f t="shared" si="7"/>
        <v>0</v>
      </c>
      <c r="K17" s="1527"/>
      <c r="L17" s="1528">
        <f t="shared" si="8"/>
        <v>4172.1</v>
      </c>
      <c r="M17" s="1488"/>
      <c r="N17" s="1488"/>
      <c r="O17" s="1488"/>
      <c r="P17" s="1488"/>
      <c r="Q17" s="1488"/>
      <c r="R17" s="1488"/>
      <c r="S17" s="1488"/>
      <c r="T17" s="1488"/>
      <c r="U17" s="1488"/>
      <c r="V17" s="1488"/>
      <c r="W17" s="1488"/>
      <c r="X17" s="1488"/>
      <c r="Y17" s="1488"/>
    </row>
    <row r="18" ht="18.0" customHeight="1">
      <c r="A18" s="1529">
        <v>43822.0</v>
      </c>
      <c r="B18" s="1530" t="s">
        <v>1319</v>
      </c>
      <c r="C18" s="1531"/>
      <c r="D18" s="1531"/>
      <c r="E18" s="1531"/>
      <c r="F18" s="1531">
        <v>-105.23</v>
      </c>
      <c r="G18" s="1531"/>
      <c r="H18" s="1531"/>
      <c r="I18" s="1531"/>
      <c r="J18" s="1526">
        <f t="shared" si="7"/>
        <v>-105.23</v>
      </c>
      <c r="K18" s="1527"/>
      <c r="L18" s="1528">
        <f t="shared" si="8"/>
        <v>4066.87</v>
      </c>
      <c r="M18" s="1488"/>
      <c r="N18" s="1488"/>
      <c r="O18" s="1488"/>
      <c r="P18" s="1488"/>
      <c r="Q18" s="1488"/>
      <c r="R18" s="1488"/>
      <c r="S18" s="1488"/>
      <c r="T18" s="1488"/>
      <c r="U18" s="1488"/>
      <c r="V18" s="1488"/>
      <c r="W18" s="1488"/>
      <c r="X18" s="1488"/>
      <c r="Y18" s="1488"/>
    </row>
    <row r="19" ht="18.0" customHeight="1">
      <c r="A19" s="1529"/>
      <c r="B19" s="1530"/>
      <c r="C19" s="1531"/>
      <c r="D19" s="1531"/>
      <c r="E19" s="1531"/>
      <c r="F19" s="1531"/>
      <c r="G19" s="1531"/>
      <c r="H19" s="1531"/>
      <c r="I19" s="1531"/>
      <c r="J19" s="1526">
        <f t="shared" si="7"/>
        <v>0</v>
      </c>
      <c r="K19" s="1527"/>
      <c r="L19" s="1528" t="str">
        <f t="shared" si="8"/>
        <v>-</v>
      </c>
      <c r="M19" s="1488"/>
      <c r="N19" s="1488"/>
      <c r="O19" s="1488"/>
      <c r="P19" s="1488"/>
      <c r="Q19" s="1488"/>
      <c r="R19" s="1488"/>
      <c r="S19" s="1488"/>
      <c r="T19" s="1488"/>
      <c r="U19" s="1488"/>
      <c r="V19" s="1488"/>
      <c r="W19" s="1488"/>
      <c r="X19" s="1488"/>
      <c r="Y19" s="1488"/>
    </row>
    <row r="20" ht="18.0" customHeight="1">
      <c r="A20" s="1529"/>
      <c r="B20" s="1530"/>
      <c r="C20" s="1531"/>
      <c r="D20" s="1531"/>
      <c r="E20" s="1531"/>
      <c r="F20" s="1531"/>
      <c r="G20" s="1531"/>
      <c r="H20" s="1531"/>
      <c r="I20" s="1531"/>
      <c r="J20" s="1526">
        <f t="shared" si="7"/>
        <v>0</v>
      </c>
      <c r="K20" s="1527"/>
      <c r="L20" s="1528" t="str">
        <f t="shared" si="8"/>
        <v>-</v>
      </c>
      <c r="M20" s="1488"/>
      <c r="N20" s="1488"/>
      <c r="O20" s="1488"/>
      <c r="P20" s="1488"/>
      <c r="Q20" s="1488"/>
      <c r="R20" s="1488"/>
      <c r="S20" s="1488"/>
      <c r="T20" s="1488"/>
      <c r="U20" s="1488"/>
      <c r="V20" s="1488"/>
      <c r="W20" s="1488"/>
      <c r="X20" s="1488"/>
      <c r="Y20" s="1488"/>
    </row>
    <row r="21" ht="18.0" customHeight="1">
      <c r="A21" s="1529"/>
      <c r="B21" s="1530"/>
      <c r="C21" s="1531"/>
      <c r="D21" s="1531"/>
      <c r="E21" s="1531"/>
      <c r="F21" s="1531"/>
      <c r="G21" s="1531"/>
      <c r="H21" s="1531"/>
      <c r="I21" s="1531"/>
      <c r="J21" s="1526">
        <f t="shared" si="7"/>
        <v>0</v>
      </c>
      <c r="K21" s="1527"/>
      <c r="L21" s="1528" t="str">
        <f t="shared" si="8"/>
        <v>-</v>
      </c>
      <c r="M21" s="1488"/>
      <c r="N21" s="1488"/>
      <c r="O21" s="1488"/>
      <c r="P21" s="1488"/>
      <c r="Q21" s="1488"/>
      <c r="R21" s="1488"/>
      <c r="S21" s="1488"/>
      <c r="T21" s="1488"/>
      <c r="U21" s="1488"/>
      <c r="V21" s="1488"/>
      <c r="W21" s="1488"/>
      <c r="X21" s="1488"/>
      <c r="Y21" s="1488"/>
    </row>
    <row r="22" ht="18.0" customHeight="1">
      <c r="A22" s="1529"/>
      <c r="B22" s="1530"/>
      <c r="C22" s="1531"/>
      <c r="D22" s="1531"/>
      <c r="E22" s="1531"/>
      <c r="F22" s="1531"/>
      <c r="G22" s="1531"/>
      <c r="H22" s="1531"/>
      <c r="I22" s="1531"/>
      <c r="J22" s="1526">
        <f t="shared" si="7"/>
        <v>0</v>
      </c>
      <c r="K22" s="1527"/>
      <c r="L22" s="1528" t="str">
        <f t="shared" si="8"/>
        <v>-</v>
      </c>
      <c r="M22" s="1488"/>
      <c r="N22" s="1488"/>
      <c r="O22" s="1488"/>
      <c r="P22" s="1488"/>
      <c r="Q22" s="1488"/>
      <c r="R22" s="1488"/>
      <c r="S22" s="1488"/>
      <c r="T22" s="1488"/>
      <c r="U22" s="1488"/>
      <c r="V22" s="1488"/>
      <c r="W22" s="1488"/>
      <c r="X22" s="1488"/>
      <c r="Y22" s="1488"/>
    </row>
    <row r="23" ht="18.0" customHeight="1">
      <c r="A23" s="1529"/>
      <c r="B23" s="1530"/>
      <c r="C23" s="1531"/>
      <c r="D23" s="1531"/>
      <c r="E23" s="1531"/>
      <c r="F23" s="1531"/>
      <c r="G23" s="1531"/>
      <c r="H23" s="1531"/>
      <c r="I23" s="1531"/>
      <c r="J23" s="1526">
        <f t="shared" si="7"/>
        <v>0</v>
      </c>
      <c r="K23" s="1527"/>
      <c r="L23" s="1528" t="str">
        <f t="shared" si="8"/>
        <v>-</v>
      </c>
      <c r="M23" s="1488"/>
      <c r="N23" s="1488"/>
      <c r="O23" s="1488"/>
      <c r="P23" s="1488"/>
      <c r="Q23" s="1488"/>
      <c r="R23" s="1488"/>
      <c r="S23" s="1488"/>
      <c r="T23" s="1488"/>
      <c r="U23" s="1488"/>
      <c r="V23" s="1488"/>
      <c r="W23" s="1488"/>
      <c r="X23" s="1488"/>
      <c r="Y23" s="1488"/>
    </row>
    <row r="24" ht="18.0" customHeight="1">
      <c r="A24" s="1529"/>
      <c r="B24" s="1530"/>
      <c r="C24" s="1531"/>
      <c r="D24" s="1531"/>
      <c r="E24" s="1531"/>
      <c r="F24" s="1531"/>
      <c r="G24" s="1531"/>
      <c r="H24" s="1531"/>
      <c r="I24" s="1531"/>
      <c r="J24" s="1526">
        <f t="shared" si="7"/>
        <v>0</v>
      </c>
      <c r="K24" s="1527"/>
      <c r="L24" s="1528" t="str">
        <f t="shared" si="8"/>
        <v>-</v>
      </c>
      <c r="M24" s="1488"/>
      <c r="N24" s="1488"/>
      <c r="O24" s="1488"/>
      <c r="P24" s="1488"/>
      <c r="Q24" s="1488"/>
      <c r="R24" s="1488"/>
      <c r="S24" s="1488"/>
      <c r="T24" s="1488"/>
      <c r="U24" s="1488"/>
      <c r="V24" s="1488"/>
      <c r="W24" s="1488"/>
      <c r="X24" s="1488"/>
      <c r="Y24" s="1488"/>
    </row>
    <row r="25" ht="18.0" customHeight="1">
      <c r="A25" s="1529"/>
      <c r="B25" s="1530"/>
      <c r="C25" s="1531"/>
      <c r="D25" s="1531"/>
      <c r="E25" s="1531"/>
      <c r="F25" s="1531"/>
      <c r="G25" s="1531"/>
      <c r="H25" s="1531"/>
      <c r="I25" s="1531"/>
      <c r="J25" s="1526">
        <f t="shared" si="7"/>
        <v>0</v>
      </c>
      <c r="K25" s="1527"/>
      <c r="L25" s="1528" t="str">
        <f t="shared" si="8"/>
        <v>-</v>
      </c>
      <c r="M25" s="1488"/>
      <c r="N25" s="1488"/>
      <c r="O25" s="1488"/>
      <c r="P25" s="1488"/>
      <c r="Q25" s="1488"/>
      <c r="R25" s="1488"/>
      <c r="S25" s="1488"/>
      <c r="T25" s="1488"/>
      <c r="U25" s="1488"/>
      <c r="V25" s="1488"/>
      <c r="W25" s="1488"/>
      <c r="X25" s="1488"/>
      <c r="Y25" s="1488"/>
    </row>
    <row r="26" ht="18.0" customHeight="1">
      <c r="A26" s="1529"/>
      <c r="B26" s="1530"/>
      <c r="C26" s="1531"/>
      <c r="D26" s="1531"/>
      <c r="E26" s="1531"/>
      <c r="F26" s="1531"/>
      <c r="G26" s="1531"/>
      <c r="H26" s="1531"/>
      <c r="I26" s="1531"/>
      <c r="J26" s="1526">
        <f t="shared" si="7"/>
        <v>0</v>
      </c>
      <c r="K26" s="1527"/>
      <c r="L26" s="1528" t="str">
        <f t="shared" si="8"/>
        <v>-</v>
      </c>
      <c r="M26" s="1488"/>
      <c r="N26" s="1488"/>
      <c r="O26" s="1488"/>
      <c r="P26" s="1488"/>
      <c r="Q26" s="1488"/>
      <c r="R26" s="1488"/>
      <c r="S26" s="1488"/>
      <c r="T26" s="1488"/>
      <c r="U26" s="1488"/>
      <c r="V26" s="1488"/>
      <c r="W26" s="1488"/>
      <c r="X26" s="1488"/>
      <c r="Y26" s="1488"/>
    </row>
    <row r="27" ht="18.0" customHeight="1">
      <c r="A27" s="1529"/>
      <c r="B27" s="1530"/>
      <c r="C27" s="1531"/>
      <c r="D27" s="1531"/>
      <c r="E27" s="1531"/>
      <c r="F27" s="1531"/>
      <c r="G27" s="1531"/>
      <c r="H27" s="1531"/>
      <c r="I27" s="1531"/>
      <c r="J27" s="1526">
        <f t="shared" si="7"/>
        <v>0</v>
      </c>
      <c r="K27" s="1527"/>
      <c r="L27" s="1528" t="str">
        <f t="shared" si="8"/>
        <v>-</v>
      </c>
      <c r="M27" s="1488"/>
      <c r="N27" s="1488"/>
      <c r="O27" s="1488"/>
      <c r="P27" s="1488"/>
      <c r="Q27" s="1488"/>
      <c r="R27" s="1488"/>
      <c r="S27" s="1488"/>
      <c r="T27" s="1488"/>
      <c r="U27" s="1488"/>
      <c r="V27" s="1488"/>
      <c r="W27" s="1488"/>
      <c r="X27" s="1488"/>
      <c r="Y27" s="1488"/>
    </row>
    <row r="28" ht="18.0" customHeight="1">
      <c r="A28" s="1529"/>
      <c r="B28" s="1530"/>
      <c r="C28" s="1531"/>
      <c r="D28" s="1531"/>
      <c r="E28" s="1531"/>
      <c r="F28" s="1531"/>
      <c r="G28" s="1531"/>
      <c r="H28" s="1531"/>
      <c r="I28" s="1531"/>
      <c r="J28" s="1526">
        <f t="shared" si="7"/>
        <v>0</v>
      </c>
      <c r="K28" s="1527"/>
      <c r="L28" s="1528" t="str">
        <f t="shared" si="8"/>
        <v>-</v>
      </c>
      <c r="M28" s="1488"/>
      <c r="N28" s="1488"/>
      <c r="O28" s="1488"/>
      <c r="P28" s="1488"/>
      <c r="Q28" s="1488"/>
      <c r="R28" s="1488"/>
      <c r="S28" s="1488"/>
      <c r="T28" s="1488"/>
      <c r="U28" s="1488"/>
      <c r="V28" s="1488"/>
      <c r="W28" s="1488"/>
      <c r="X28" s="1488"/>
      <c r="Y28" s="1488"/>
    </row>
    <row r="29" ht="18.0" customHeight="1">
      <c r="A29" s="1529"/>
      <c r="B29" s="1530"/>
      <c r="C29" s="1531"/>
      <c r="D29" s="1531"/>
      <c r="E29" s="1531"/>
      <c r="F29" s="1531"/>
      <c r="G29" s="1531"/>
      <c r="H29" s="1531"/>
      <c r="I29" s="1531"/>
      <c r="J29" s="1526">
        <f t="shared" si="7"/>
        <v>0</v>
      </c>
      <c r="K29" s="1527"/>
      <c r="L29" s="1528" t="str">
        <f t="shared" si="8"/>
        <v>-</v>
      </c>
      <c r="M29" s="1488"/>
      <c r="N29" s="1488"/>
      <c r="O29" s="1488"/>
      <c r="P29" s="1488"/>
      <c r="Q29" s="1488"/>
      <c r="R29" s="1488"/>
      <c r="S29" s="1488"/>
      <c r="T29" s="1488"/>
      <c r="U29" s="1488"/>
      <c r="V29" s="1488"/>
      <c r="W29" s="1488"/>
      <c r="X29" s="1488"/>
      <c r="Y29" s="1488"/>
    </row>
    <row r="30" ht="18.0" customHeight="1">
      <c r="A30" s="1529"/>
      <c r="B30" s="1530"/>
      <c r="C30" s="1531"/>
      <c r="D30" s="1531"/>
      <c r="E30" s="1531"/>
      <c r="F30" s="1531"/>
      <c r="G30" s="1531"/>
      <c r="H30" s="1531"/>
      <c r="I30" s="1531"/>
      <c r="J30" s="1526">
        <f t="shared" si="7"/>
        <v>0</v>
      </c>
      <c r="K30" s="1527"/>
      <c r="L30" s="1528" t="str">
        <f t="shared" si="8"/>
        <v>-</v>
      </c>
      <c r="M30" s="1488"/>
      <c r="N30" s="1488"/>
      <c r="O30" s="1488"/>
      <c r="P30" s="1488"/>
      <c r="Q30" s="1488"/>
      <c r="R30" s="1488"/>
      <c r="S30" s="1488"/>
      <c r="T30" s="1488"/>
      <c r="U30" s="1488"/>
      <c r="V30" s="1488"/>
      <c r="W30" s="1488"/>
      <c r="X30" s="1488"/>
      <c r="Y30" s="1488"/>
    </row>
    <row r="31" ht="18.0" customHeight="1">
      <c r="A31" s="1529"/>
      <c r="B31" s="1530"/>
      <c r="C31" s="1531"/>
      <c r="D31" s="1531"/>
      <c r="E31" s="1531"/>
      <c r="F31" s="1531"/>
      <c r="G31" s="1531"/>
      <c r="H31" s="1531"/>
      <c r="I31" s="1531"/>
      <c r="J31" s="1526">
        <f t="shared" si="7"/>
        <v>0</v>
      </c>
      <c r="K31" s="1527"/>
      <c r="L31" s="1528" t="str">
        <f t="shared" si="8"/>
        <v>-</v>
      </c>
      <c r="M31" s="1488"/>
      <c r="N31" s="1488"/>
      <c r="O31" s="1488"/>
      <c r="P31" s="1488"/>
      <c r="Q31" s="1488"/>
      <c r="R31" s="1488"/>
      <c r="S31" s="1488"/>
      <c r="T31" s="1488"/>
      <c r="U31" s="1488"/>
      <c r="V31" s="1488"/>
      <c r="W31" s="1488"/>
      <c r="X31" s="1488"/>
      <c r="Y31" s="1488"/>
    </row>
    <row r="32" ht="18.0" customHeight="1">
      <c r="A32" s="1529"/>
      <c r="B32" s="1530"/>
      <c r="C32" s="1531"/>
      <c r="D32" s="1531"/>
      <c r="E32" s="1531"/>
      <c r="F32" s="1531"/>
      <c r="G32" s="1531"/>
      <c r="H32" s="1531"/>
      <c r="I32" s="1531"/>
      <c r="J32" s="1526">
        <f t="shared" si="7"/>
        <v>0</v>
      </c>
      <c r="K32" s="1527"/>
      <c r="L32" s="1528" t="str">
        <f t="shared" si="8"/>
        <v>-</v>
      </c>
      <c r="M32" s="1488"/>
      <c r="N32" s="1488"/>
      <c r="O32" s="1488"/>
      <c r="P32" s="1488"/>
      <c r="Q32" s="1488"/>
      <c r="R32" s="1488"/>
      <c r="S32" s="1488"/>
      <c r="T32" s="1488"/>
      <c r="U32" s="1488"/>
      <c r="V32" s="1488"/>
      <c r="W32" s="1488"/>
      <c r="X32" s="1488"/>
      <c r="Y32" s="1488"/>
    </row>
    <row r="33" ht="18.0" customHeight="1">
      <c r="A33" s="1529"/>
      <c r="B33" s="1530"/>
      <c r="C33" s="1531"/>
      <c r="D33" s="1531"/>
      <c r="E33" s="1531"/>
      <c r="F33" s="1531"/>
      <c r="G33" s="1531"/>
      <c r="H33" s="1531"/>
      <c r="I33" s="1531"/>
      <c r="J33" s="1526">
        <f t="shared" si="7"/>
        <v>0</v>
      </c>
      <c r="K33" s="1527"/>
      <c r="L33" s="1528" t="str">
        <f t="shared" si="8"/>
        <v>-</v>
      </c>
      <c r="M33" s="1488"/>
      <c r="N33" s="1488"/>
      <c r="O33" s="1488"/>
      <c r="P33" s="1488"/>
      <c r="Q33" s="1488"/>
      <c r="R33" s="1488"/>
      <c r="S33" s="1488"/>
      <c r="T33" s="1488"/>
      <c r="U33" s="1488"/>
      <c r="V33" s="1488"/>
      <c r="W33" s="1488"/>
      <c r="X33" s="1488"/>
      <c r="Y33" s="1488"/>
    </row>
    <row r="34" ht="18.0" customHeight="1">
      <c r="A34" s="1529"/>
      <c r="B34" s="1530"/>
      <c r="C34" s="1531"/>
      <c r="D34" s="1531"/>
      <c r="E34" s="1531"/>
      <c r="F34" s="1531"/>
      <c r="G34" s="1531"/>
      <c r="H34" s="1531"/>
      <c r="I34" s="1531"/>
      <c r="J34" s="1526">
        <f t="shared" si="7"/>
        <v>0</v>
      </c>
      <c r="K34" s="1527"/>
      <c r="L34" s="1528" t="str">
        <f t="shared" si="8"/>
        <v>-</v>
      </c>
      <c r="M34" s="1488"/>
      <c r="N34" s="1488"/>
      <c r="O34" s="1488"/>
      <c r="P34" s="1488"/>
      <c r="Q34" s="1488"/>
      <c r="R34" s="1488"/>
      <c r="S34" s="1488"/>
      <c r="T34" s="1488"/>
      <c r="U34" s="1488"/>
      <c r="V34" s="1488"/>
      <c r="W34" s="1488"/>
      <c r="X34" s="1488"/>
      <c r="Y34" s="1488"/>
    </row>
    <row r="35" ht="18.0" customHeight="1">
      <c r="A35" s="1529"/>
      <c r="B35" s="1530"/>
      <c r="C35" s="1531"/>
      <c r="D35" s="1531"/>
      <c r="E35" s="1531"/>
      <c r="F35" s="1531"/>
      <c r="G35" s="1531"/>
      <c r="H35" s="1531"/>
      <c r="I35" s="1531"/>
      <c r="J35" s="1526">
        <f t="shared" si="7"/>
        <v>0</v>
      </c>
      <c r="K35" s="1527"/>
      <c r="L35" s="1528" t="str">
        <f t="shared" si="8"/>
        <v>-</v>
      </c>
      <c r="M35" s="1488"/>
      <c r="N35" s="1488"/>
      <c r="O35" s="1488"/>
      <c r="P35" s="1488"/>
      <c r="Q35" s="1488"/>
      <c r="R35" s="1488"/>
      <c r="S35" s="1488"/>
      <c r="T35" s="1488"/>
      <c r="U35" s="1488"/>
      <c r="V35" s="1488"/>
      <c r="W35" s="1488"/>
      <c r="X35" s="1488"/>
      <c r="Y35" s="1488"/>
    </row>
    <row r="36" ht="18.0" customHeight="1">
      <c r="A36" s="1529"/>
      <c r="B36" s="1530"/>
      <c r="C36" s="1531"/>
      <c r="D36" s="1531"/>
      <c r="E36" s="1531"/>
      <c r="F36" s="1531"/>
      <c r="G36" s="1531"/>
      <c r="H36" s="1531"/>
      <c r="I36" s="1531"/>
      <c r="J36" s="1526">
        <f t="shared" si="7"/>
        <v>0</v>
      </c>
      <c r="K36" s="1527"/>
      <c r="L36" s="1528" t="str">
        <f t="shared" si="8"/>
        <v>-</v>
      </c>
      <c r="M36" s="1488"/>
      <c r="N36" s="1488"/>
      <c r="O36" s="1488"/>
      <c r="P36" s="1488"/>
      <c r="Q36" s="1488"/>
      <c r="R36" s="1488"/>
      <c r="S36" s="1488"/>
      <c r="T36" s="1488"/>
      <c r="U36" s="1488"/>
      <c r="V36" s="1488"/>
      <c r="W36" s="1488"/>
      <c r="X36" s="1488"/>
      <c r="Y36" s="1488"/>
    </row>
    <row r="37" ht="18.0" customHeight="1">
      <c r="A37" s="1529"/>
      <c r="B37" s="1530"/>
      <c r="C37" s="1531"/>
      <c r="D37" s="1531"/>
      <c r="E37" s="1531"/>
      <c r="F37" s="1531"/>
      <c r="G37" s="1531"/>
      <c r="H37" s="1531"/>
      <c r="I37" s="1531"/>
      <c r="J37" s="1526">
        <f t="shared" si="7"/>
        <v>0</v>
      </c>
      <c r="K37" s="1527"/>
      <c r="L37" s="1528" t="str">
        <f t="shared" si="8"/>
        <v>-</v>
      </c>
      <c r="M37" s="1488"/>
      <c r="N37" s="1488"/>
      <c r="O37" s="1488"/>
      <c r="P37" s="1488"/>
      <c r="Q37" s="1488"/>
      <c r="R37" s="1488"/>
      <c r="S37" s="1488"/>
      <c r="T37" s="1488"/>
      <c r="U37" s="1488"/>
      <c r="V37" s="1488"/>
      <c r="W37" s="1488"/>
      <c r="X37" s="1488"/>
      <c r="Y37" s="1488"/>
    </row>
    <row r="38" ht="18.0" customHeight="1">
      <c r="A38" s="1529"/>
      <c r="B38" s="1530"/>
      <c r="C38" s="1531"/>
      <c r="D38" s="1531"/>
      <c r="E38" s="1531"/>
      <c r="F38" s="1531"/>
      <c r="G38" s="1531"/>
      <c r="H38" s="1531"/>
      <c r="I38" s="1531"/>
      <c r="J38" s="1526">
        <f t="shared" si="7"/>
        <v>0</v>
      </c>
      <c r="K38" s="1527"/>
      <c r="L38" s="1528" t="str">
        <f t="shared" si="8"/>
        <v>-</v>
      </c>
      <c r="M38" s="1488"/>
      <c r="N38" s="1488"/>
      <c r="O38" s="1488"/>
      <c r="P38" s="1488"/>
      <c r="Q38" s="1488"/>
      <c r="R38" s="1488"/>
      <c r="S38" s="1488"/>
      <c r="T38" s="1488"/>
      <c r="U38" s="1488"/>
      <c r="V38" s="1488"/>
      <c r="W38" s="1488"/>
      <c r="X38" s="1488"/>
      <c r="Y38" s="1488"/>
    </row>
    <row r="39" ht="18.0" customHeight="1">
      <c r="A39" s="1529"/>
      <c r="B39" s="1530"/>
      <c r="C39" s="1531"/>
      <c r="D39" s="1531"/>
      <c r="E39" s="1531"/>
      <c r="F39" s="1531"/>
      <c r="G39" s="1531"/>
      <c r="H39" s="1531"/>
      <c r="I39" s="1531"/>
      <c r="J39" s="1526">
        <f t="shared" si="7"/>
        <v>0</v>
      </c>
      <c r="K39" s="1527"/>
      <c r="L39" s="1528" t="str">
        <f t="shared" si="8"/>
        <v>-</v>
      </c>
      <c r="M39" s="1488"/>
      <c r="N39" s="1488"/>
      <c r="O39" s="1488"/>
      <c r="P39" s="1488"/>
      <c r="Q39" s="1488"/>
      <c r="R39" s="1488"/>
      <c r="S39" s="1488"/>
      <c r="T39" s="1488"/>
      <c r="U39" s="1488"/>
      <c r="V39" s="1488"/>
      <c r="W39" s="1488"/>
      <c r="X39" s="1488"/>
      <c r="Y39" s="1488"/>
    </row>
    <row r="40" ht="18.0" customHeight="1">
      <c r="A40" s="1529"/>
      <c r="B40" s="1530"/>
      <c r="C40" s="1531"/>
      <c r="D40" s="1531"/>
      <c r="E40" s="1531"/>
      <c r="F40" s="1531"/>
      <c r="G40" s="1531"/>
      <c r="H40" s="1531"/>
      <c r="I40" s="1531"/>
      <c r="J40" s="1526">
        <f t="shared" si="7"/>
        <v>0</v>
      </c>
      <c r="K40" s="1527"/>
      <c r="L40" s="1528" t="str">
        <f t="shared" si="8"/>
        <v>-</v>
      </c>
      <c r="M40" s="1488"/>
      <c r="N40" s="1488"/>
      <c r="O40" s="1488"/>
      <c r="P40" s="1488"/>
      <c r="Q40" s="1488"/>
      <c r="R40" s="1488"/>
      <c r="S40" s="1488"/>
      <c r="T40" s="1488"/>
      <c r="U40" s="1488"/>
      <c r="V40" s="1488"/>
      <c r="W40" s="1488"/>
      <c r="X40" s="1488"/>
      <c r="Y40" s="1488"/>
    </row>
    <row r="41" ht="18.0" customHeight="1">
      <c r="A41" s="1529"/>
      <c r="B41" s="1530"/>
      <c r="C41" s="1531"/>
      <c r="D41" s="1531"/>
      <c r="E41" s="1531"/>
      <c r="F41" s="1531"/>
      <c r="G41" s="1531"/>
      <c r="H41" s="1531"/>
      <c r="I41" s="1531"/>
      <c r="J41" s="1526">
        <f t="shared" si="7"/>
        <v>0</v>
      </c>
      <c r="K41" s="1527"/>
      <c r="L41" s="1528" t="str">
        <f t="shared" si="8"/>
        <v>-</v>
      </c>
      <c r="M41" s="1488"/>
      <c r="N41" s="1488"/>
      <c r="O41" s="1488"/>
      <c r="P41" s="1488"/>
      <c r="Q41" s="1488"/>
      <c r="R41" s="1488"/>
      <c r="S41" s="1488"/>
      <c r="T41" s="1488"/>
      <c r="U41" s="1488"/>
      <c r="V41" s="1488"/>
      <c r="W41" s="1488"/>
      <c r="X41" s="1488"/>
      <c r="Y41" s="1488"/>
    </row>
    <row r="42" ht="18.0" customHeight="1">
      <c r="A42" s="1529"/>
      <c r="B42" s="1530"/>
      <c r="C42" s="1531"/>
      <c r="D42" s="1531"/>
      <c r="E42" s="1531"/>
      <c r="F42" s="1531"/>
      <c r="G42" s="1531"/>
      <c r="H42" s="1531"/>
      <c r="I42" s="1531"/>
      <c r="J42" s="1526">
        <f t="shared" si="7"/>
        <v>0</v>
      </c>
      <c r="K42" s="1527"/>
      <c r="L42" s="1528" t="str">
        <f t="shared" si="8"/>
        <v>-</v>
      </c>
      <c r="M42" s="1488"/>
      <c r="N42" s="1488"/>
      <c r="O42" s="1488"/>
      <c r="P42" s="1488"/>
      <c r="Q42" s="1488"/>
      <c r="R42" s="1488"/>
      <c r="S42" s="1488"/>
      <c r="T42" s="1488"/>
      <c r="U42" s="1488"/>
      <c r="V42" s="1488"/>
      <c r="W42" s="1488"/>
      <c r="X42" s="1488"/>
      <c r="Y42" s="1488"/>
    </row>
    <row r="43" ht="18.0" customHeight="1">
      <c r="A43" s="1529"/>
      <c r="B43" s="1530"/>
      <c r="C43" s="1531"/>
      <c r="D43" s="1531"/>
      <c r="E43" s="1531"/>
      <c r="F43" s="1531"/>
      <c r="G43" s="1531"/>
      <c r="H43" s="1531"/>
      <c r="I43" s="1531"/>
      <c r="J43" s="1526">
        <f t="shared" si="7"/>
        <v>0</v>
      </c>
      <c r="K43" s="1527"/>
      <c r="L43" s="1528" t="str">
        <f t="shared" si="8"/>
        <v>-</v>
      </c>
      <c r="M43" s="1488"/>
      <c r="N43" s="1488"/>
      <c r="O43" s="1488"/>
      <c r="P43" s="1488"/>
      <c r="Q43" s="1488"/>
      <c r="R43" s="1488"/>
      <c r="S43" s="1488"/>
      <c r="T43" s="1488"/>
      <c r="U43" s="1488"/>
      <c r="V43" s="1488"/>
      <c r="W43" s="1488"/>
      <c r="X43" s="1488"/>
      <c r="Y43" s="1488"/>
    </row>
    <row r="44" ht="18.0" customHeight="1">
      <c r="A44" s="1529"/>
      <c r="B44" s="1530"/>
      <c r="C44" s="1531"/>
      <c r="D44" s="1531"/>
      <c r="E44" s="1531"/>
      <c r="F44" s="1531"/>
      <c r="G44" s="1531"/>
      <c r="H44" s="1531"/>
      <c r="I44" s="1531"/>
      <c r="J44" s="1526">
        <f t="shared" si="7"/>
        <v>0</v>
      </c>
      <c r="K44" s="1527"/>
      <c r="L44" s="1528" t="str">
        <f t="shared" si="8"/>
        <v>-</v>
      </c>
      <c r="M44" s="1488"/>
      <c r="N44" s="1488"/>
      <c r="O44" s="1488"/>
      <c r="P44" s="1488"/>
      <c r="Q44" s="1488"/>
      <c r="R44" s="1488"/>
      <c r="S44" s="1488"/>
      <c r="T44" s="1488"/>
      <c r="U44" s="1488"/>
      <c r="V44" s="1488"/>
      <c r="W44" s="1488"/>
      <c r="X44" s="1488"/>
      <c r="Y44" s="1488"/>
    </row>
    <row r="45" ht="18.0" customHeight="1">
      <c r="A45" s="1529"/>
      <c r="B45" s="1530"/>
      <c r="C45" s="1531"/>
      <c r="D45" s="1531"/>
      <c r="E45" s="1531"/>
      <c r="F45" s="1531"/>
      <c r="G45" s="1531"/>
      <c r="H45" s="1531"/>
      <c r="I45" s="1531"/>
      <c r="J45" s="1526">
        <f t="shared" si="7"/>
        <v>0</v>
      </c>
      <c r="K45" s="1527"/>
      <c r="L45" s="1528" t="str">
        <f t="shared" si="8"/>
        <v>-</v>
      </c>
      <c r="M45" s="1488"/>
      <c r="N45" s="1488"/>
      <c r="O45" s="1488"/>
      <c r="P45" s="1488"/>
      <c r="Q45" s="1488"/>
      <c r="R45" s="1488"/>
      <c r="S45" s="1488"/>
      <c r="T45" s="1488"/>
      <c r="U45" s="1488"/>
      <c r="V45" s="1488"/>
      <c r="W45" s="1488"/>
      <c r="X45" s="1488"/>
      <c r="Y45" s="1488"/>
    </row>
    <row r="46" ht="18.0" customHeight="1">
      <c r="A46" s="1529"/>
      <c r="B46" s="1530"/>
      <c r="C46" s="1531"/>
      <c r="D46" s="1531"/>
      <c r="E46" s="1531"/>
      <c r="F46" s="1531"/>
      <c r="G46" s="1531"/>
      <c r="H46" s="1531"/>
      <c r="I46" s="1531"/>
      <c r="J46" s="1526">
        <f t="shared" si="7"/>
        <v>0</v>
      </c>
      <c r="K46" s="1527"/>
      <c r="L46" s="1528" t="str">
        <f t="shared" si="8"/>
        <v>-</v>
      </c>
      <c r="M46" s="1488"/>
      <c r="N46" s="1488"/>
      <c r="O46" s="1488"/>
      <c r="P46" s="1488"/>
      <c r="Q46" s="1488"/>
      <c r="R46" s="1488"/>
      <c r="S46" s="1488"/>
      <c r="T46" s="1488"/>
      <c r="U46" s="1488"/>
      <c r="V46" s="1488"/>
      <c r="W46" s="1488"/>
      <c r="X46" s="1488"/>
      <c r="Y46" s="1488"/>
    </row>
    <row r="47" ht="18.0" customHeight="1">
      <c r="A47" s="1529"/>
      <c r="B47" s="1530"/>
      <c r="C47" s="1531"/>
      <c r="D47" s="1531"/>
      <c r="E47" s="1531"/>
      <c r="F47" s="1531"/>
      <c r="G47" s="1531"/>
      <c r="H47" s="1531"/>
      <c r="I47" s="1531"/>
      <c r="J47" s="1526">
        <f t="shared" si="7"/>
        <v>0</v>
      </c>
      <c r="K47" s="1527"/>
      <c r="L47" s="1528" t="str">
        <f t="shared" si="8"/>
        <v>-</v>
      </c>
      <c r="M47" s="1488"/>
      <c r="N47" s="1488"/>
      <c r="O47" s="1488"/>
      <c r="P47" s="1488"/>
      <c r="Q47" s="1488"/>
      <c r="R47" s="1488"/>
      <c r="S47" s="1488"/>
      <c r="T47" s="1488"/>
      <c r="U47" s="1488"/>
      <c r="V47" s="1488"/>
      <c r="W47" s="1488"/>
      <c r="X47" s="1488"/>
      <c r="Y47" s="1488"/>
    </row>
    <row r="48" ht="18.0" customHeight="1">
      <c r="A48" s="1529"/>
      <c r="B48" s="1530"/>
      <c r="C48" s="1531"/>
      <c r="D48" s="1531"/>
      <c r="E48" s="1531"/>
      <c r="F48" s="1531"/>
      <c r="G48" s="1531"/>
      <c r="H48" s="1531"/>
      <c r="I48" s="1531"/>
      <c r="J48" s="1526">
        <f t="shared" si="7"/>
        <v>0</v>
      </c>
      <c r="K48" s="1527"/>
      <c r="L48" s="1528" t="str">
        <f t="shared" si="8"/>
        <v>-</v>
      </c>
      <c r="M48" s="1488"/>
      <c r="N48" s="1488"/>
      <c r="O48" s="1488"/>
      <c r="P48" s="1488"/>
      <c r="Q48" s="1488"/>
      <c r="R48" s="1488"/>
      <c r="S48" s="1488"/>
      <c r="T48" s="1488"/>
      <c r="U48" s="1488"/>
      <c r="V48" s="1488"/>
      <c r="W48" s="1488"/>
      <c r="X48" s="1488"/>
      <c r="Y48" s="1488"/>
    </row>
    <row r="49" ht="18.0" customHeight="1">
      <c r="A49" s="1529"/>
      <c r="B49" s="1530"/>
      <c r="C49" s="1531"/>
      <c r="D49" s="1531"/>
      <c r="E49" s="1531"/>
      <c r="F49" s="1531"/>
      <c r="G49" s="1531"/>
      <c r="H49" s="1531"/>
      <c r="I49" s="1531"/>
      <c r="J49" s="1526">
        <f t="shared" si="7"/>
        <v>0</v>
      </c>
      <c r="K49" s="1527"/>
      <c r="L49" s="1528" t="str">
        <f t="shared" si="8"/>
        <v>-</v>
      </c>
      <c r="M49" s="1488"/>
      <c r="N49" s="1488"/>
      <c r="O49" s="1488"/>
      <c r="P49" s="1488"/>
      <c r="Q49" s="1488"/>
      <c r="R49" s="1488"/>
      <c r="S49" s="1488"/>
      <c r="T49" s="1488"/>
      <c r="U49" s="1488"/>
      <c r="V49" s="1488"/>
      <c r="W49" s="1488"/>
      <c r="X49" s="1488"/>
      <c r="Y49" s="1488"/>
    </row>
    <row r="50" ht="18.0" customHeight="1">
      <c r="A50" s="1529"/>
      <c r="B50" s="1530"/>
      <c r="C50" s="1531"/>
      <c r="D50" s="1531"/>
      <c r="E50" s="1531"/>
      <c r="F50" s="1531"/>
      <c r="G50" s="1531"/>
      <c r="H50" s="1531"/>
      <c r="I50" s="1531"/>
      <c r="J50" s="1526">
        <f t="shared" si="7"/>
        <v>0</v>
      </c>
      <c r="K50" s="1527"/>
      <c r="L50" s="1528" t="str">
        <f t="shared" si="8"/>
        <v>-</v>
      </c>
      <c r="M50" s="1488"/>
      <c r="N50" s="1488"/>
      <c r="O50" s="1488"/>
      <c r="P50" s="1488"/>
      <c r="Q50" s="1488"/>
      <c r="R50" s="1488"/>
      <c r="S50" s="1488"/>
      <c r="T50" s="1488"/>
      <c r="U50" s="1488"/>
      <c r="V50" s="1488"/>
      <c r="W50" s="1488"/>
      <c r="X50" s="1488"/>
      <c r="Y50" s="1488"/>
    </row>
    <row r="51" ht="18.0" customHeight="1">
      <c r="A51" s="1532"/>
      <c r="B51" s="1533" t="s">
        <v>1320</v>
      </c>
      <c r="C51" s="1531"/>
      <c r="D51" s="1531"/>
      <c r="E51" s="1531"/>
      <c r="F51" s="1531"/>
      <c r="G51" s="1531"/>
      <c r="H51" s="1531"/>
      <c r="I51" s="1531"/>
      <c r="J51" s="1534">
        <f t="shared" si="7"/>
        <v>0</v>
      </c>
      <c r="K51" s="1527"/>
      <c r="L51" s="1535" t="str">
        <f t="shared" si="8"/>
        <v>-</v>
      </c>
      <c r="M51" s="1488"/>
      <c r="N51" s="1488"/>
      <c r="O51" s="1488"/>
      <c r="P51" s="1488"/>
      <c r="Q51" s="1488"/>
      <c r="R51" s="1488"/>
      <c r="S51" s="1488"/>
      <c r="T51" s="1488"/>
      <c r="U51" s="1488"/>
      <c r="V51" s="1488"/>
      <c r="W51" s="1488"/>
      <c r="X51" s="1488"/>
      <c r="Y51" s="1488"/>
    </row>
  </sheetData>
  <mergeCells count="1">
    <mergeCell ref="J1:J2"/>
  </mergeCells>
  <conditionalFormatting sqref="A13:I51">
    <cfRule type="expression" dxfId="27" priority="1" stopIfTrue="1">
      <formula>MOD(ROW(),2)=1</formula>
    </cfRule>
  </conditionalFormatting>
  <conditionalFormatting sqref="C6:J6">
    <cfRule type="cellIs" dxfId="28" priority="2" stopIfTrue="1" operator="greaterThanOrEqual">
      <formula>1</formula>
    </cfRule>
  </conditionalFormatting>
  <printOptions horizontalCentered="1"/>
  <pageMargins bottom="0.5" footer="0.0" header="0.0" left="0.35" right="0.35" top="0.35"/>
  <pageSetup fitToHeight="0" orientation="landscape"/>
  <headerFooter>
    <oddFooter>&amp;Lhttps://www.vertex42.com/ExcelTemplates/savings-goal-tracker.html&amp;CPage &amp;P of &amp;RSavings Goal Tracker © 2010-2019 by Vertex42.com</oddFooter>
  </headerFooter>
  <drawing r:id="rId1"/>
  <tableParts count="1"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2.38"/>
    <col customWidth="1" min="3" max="3" width="13.63"/>
    <col customWidth="1" min="4" max="4" width="8.5"/>
    <col customWidth="1" min="5" max="5" width="6.38"/>
    <col customWidth="1" min="6" max="6" width="6.0"/>
    <col customWidth="1" min="7" max="7" width="8.75"/>
    <col customWidth="1" min="8" max="8" width="9.75"/>
  </cols>
  <sheetData>
    <row r="1">
      <c r="A1" s="1345" t="s">
        <v>1207</v>
      </c>
      <c r="I1" s="1346"/>
      <c r="J1" s="1346"/>
      <c r="K1" s="1332"/>
      <c r="L1" s="1332"/>
      <c r="M1" s="1332"/>
      <c r="N1" s="1332"/>
      <c r="O1" s="1332"/>
      <c r="P1" s="1332"/>
      <c r="Q1" s="1332"/>
      <c r="R1" s="1332"/>
      <c r="S1" s="1332"/>
      <c r="T1" s="1332"/>
      <c r="U1" s="1332"/>
      <c r="V1" s="1332"/>
      <c r="W1" s="1332"/>
      <c r="X1" s="1332"/>
      <c r="Y1" s="1332"/>
      <c r="Z1" s="1332"/>
      <c r="AA1" s="1332"/>
      <c r="AB1" s="1332"/>
    </row>
    <row r="2">
      <c r="A2" s="1345" t="s">
        <v>1208</v>
      </c>
      <c r="I2" s="1346"/>
      <c r="J2" s="1346"/>
      <c r="K2" s="1332"/>
      <c r="L2" s="1332"/>
      <c r="M2" s="1332"/>
      <c r="N2" s="1332"/>
      <c r="O2" s="1332"/>
      <c r="P2" s="1332"/>
      <c r="Q2" s="1332"/>
      <c r="R2" s="1332"/>
      <c r="S2" s="1332"/>
      <c r="T2" s="1332"/>
      <c r="U2" s="1332"/>
      <c r="V2" s="1332"/>
      <c r="W2" s="1332"/>
      <c r="X2" s="1332"/>
      <c r="Y2" s="1332"/>
      <c r="Z2" s="1332"/>
      <c r="AA2" s="1332"/>
      <c r="AB2" s="1332"/>
    </row>
    <row r="3">
      <c r="A3" s="1332"/>
      <c r="B3" s="1347" t="s">
        <v>1209</v>
      </c>
      <c r="C3" s="1348"/>
      <c r="D3" s="1348"/>
      <c r="E3" s="1348"/>
      <c r="F3" s="1348"/>
      <c r="G3" s="1349"/>
      <c r="H3" s="1350" t="s">
        <v>1210</v>
      </c>
      <c r="I3" s="1346"/>
      <c r="J3" s="1346"/>
      <c r="K3" s="1332"/>
      <c r="L3" s="1332"/>
      <c r="M3" s="1332"/>
      <c r="N3" s="1332"/>
      <c r="O3" s="1332"/>
      <c r="P3" s="1332"/>
      <c r="Q3" s="1332"/>
      <c r="R3" s="1332"/>
      <c r="S3" s="1332"/>
      <c r="T3" s="1332"/>
      <c r="U3" s="1332"/>
      <c r="V3" s="1332"/>
      <c r="W3" s="1332"/>
      <c r="X3" s="1332"/>
      <c r="Y3" s="1332"/>
      <c r="Z3" s="1332"/>
      <c r="AA3" s="1332"/>
      <c r="AB3" s="1332"/>
    </row>
    <row r="4">
      <c r="A4" s="1351" t="s">
        <v>355</v>
      </c>
      <c r="B4" s="1352" t="s">
        <v>1211</v>
      </c>
      <c r="C4" s="1352" t="s">
        <v>1212</v>
      </c>
      <c r="D4" s="1353" t="s">
        <v>1213</v>
      </c>
      <c r="E4" s="1351" t="s">
        <v>1214</v>
      </c>
      <c r="F4" s="1351" t="s">
        <v>956</v>
      </c>
      <c r="G4" s="1354" t="s">
        <v>1215</v>
      </c>
      <c r="H4" s="1355" t="s">
        <v>1216</v>
      </c>
      <c r="I4" s="1356"/>
      <c r="J4" s="1356"/>
      <c r="K4" s="1356"/>
      <c r="L4" s="1356"/>
      <c r="M4" s="1356"/>
      <c r="N4" s="1356"/>
      <c r="O4" s="1356"/>
      <c r="P4" s="1356"/>
      <c r="Q4" s="1356"/>
      <c r="R4" s="1356"/>
      <c r="S4" s="1356"/>
      <c r="T4" s="1356"/>
      <c r="U4" s="1356"/>
      <c r="V4" s="1356"/>
      <c r="W4" s="1356"/>
      <c r="X4" s="1356"/>
      <c r="Y4" s="1356"/>
      <c r="Z4" s="1356"/>
      <c r="AA4" s="1356"/>
      <c r="AB4" s="1356"/>
    </row>
    <row r="5">
      <c r="A5" s="1357" t="s">
        <v>1217</v>
      </c>
      <c r="B5" s="1358">
        <f>(1-$B$8) * 0.6</f>
        <v>0.54</v>
      </c>
      <c r="C5" s="1359">
        <v>0.525</v>
      </c>
      <c r="D5" s="1360">
        <v>0.55</v>
      </c>
      <c r="E5" s="1361" t="str">
        <f t="shared" ref="E5:E9" si="1"> $H5 / $H$10</f>
        <v>#N/A</v>
      </c>
      <c r="F5" s="1362" t="str">
        <f t="shared" ref="F5:F9" si="2">$E5-$D5</f>
        <v>#N/A</v>
      </c>
      <c r="G5" s="1363">
        <f t="shared" ref="G5:G9" si="3">MIN(5%,$D5*25%)</f>
        <v>0.05</v>
      </c>
      <c r="H5" s="1364" t="str">
        <f t="shared" ref="H5:H9" si="4">SUMIF(Holdings!$D:$D,"=" &amp; $A5,Holdings!$H:$H)</f>
        <v>#N/A</v>
      </c>
      <c r="I5" s="1365"/>
      <c r="J5" s="1366"/>
      <c r="K5" s="1332"/>
      <c r="L5" s="1332"/>
      <c r="M5" s="1332"/>
      <c r="N5" s="1332"/>
      <c r="O5" s="1332"/>
      <c r="P5" s="1332"/>
      <c r="Q5" s="1332"/>
      <c r="R5" s="1332"/>
      <c r="S5" s="1332"/>
      <c r="T5" s="1332"/>
      <c r="U5" s="1332"/>
      <c r="V5" s="1332"/>
      <c r="W5" s="1332"/>
      <c r="X5" s="1332"/>
      <c r="Y5" s="1332"/>
      <c r="Z5" s="1332"/>
      <c r="AA5" s="1332"/>
      <c r="AB5" s="1332"/>
    </row>
    <row r="6">
      <c r="A6" s="1357" t="s">
        <v>1218</v>
      </c>
      <c r="B6" s="1367">
        <f>(1-$B$8) * 0.3</f>
        <v>0.27</v>
      </c>
      <c r="C6" s="1359">
        <v>0.225</v>
      </c>
      <c r="D6" s="1360">
        <v>0.25</v>
      </c>
      <c r="E6" s="1361" t="str">
        <f t="shared" si="1"/>
        <v>#N/A</v>
      </c>
      <c r="F6" s="1362" t="str">
        <f t="shared" si="2"/>
        <v>#N/A</v>
      </c>
      <c r="G6" s="1363">
        <f t="shared" si="3"/>
        <v>0.05</v>
      </c>
      <c r="H6" s="1364" t="str">
        <f t="shared" si="4"/>
        <v>#N/A</v>
      </c>
      <c r="I6" s="1368"/>
      <c r="J6" s="1366"/>
      <c r="K6" s="1332"/>
      <c r="L6" s="1332"/>
      <c r="M6" s="1332"/>
      <c r="N6" s="1332"/>
      <c r="O6" s="1332"/>
      <c r="P6" s="1332"/>
      <c r="Q6" s="1332"/>
      <c r="R6" s="1332"/>
      <c r="S6" s="1332"/>
      <c r="T6" s="1332"/>
      <c r="U6" s="1332"/>
      <c r="V6" s="1332"/>
      <c r="W6" s="1332"/>
      <c r="X6" s="1332"/>
      <c r="Y6" s="1332"/>
      <c r="Z6" s="1332"/>
      <c r="AA6" s="1332"/>
      <c r="AB6" s="1332"/>
    </row>
    <row r="7">
      <c r="A7" s="1357" t="s">
        <v>1219</v>
      </c>
      <c r="B7" s="1369">
        <f>(1-$B$8) * 0.1</f>
        <v>0.09</v>
      </c>
      <c r="C7" s="1359">
        <v>0.115</v>
      </c>
      <c r="D7" s="1360">
        <v>0.1</v>
      </c>
      <c r="E7" s="1361" t="str">
        <f t="shared" si="1"/>
        <v>#N/A</v>
      </c>
      <c r="F7" s="1362" t="str">
        <f t="shared" si="2"/>
        <v>#N/A</v>
      </c>
      <c r="G7" s="1363">
        <f t="shared" si="3"/>
        <v>0.025</v>
      </c>
      <c r="H7" s="1364" t="str">
        <f t="shared" si="4"/>
        <v>#N/A</v>
      </c>
      <c r="I7" s="1365"/>
      <c r="J7" s="1366"/>
      <c r="K7" s="1332"/>
      <c r="L7" s="1332"/>
      <c r="M7" s="1332"/>
      <c r="N7" s="1332"/>
      <c r="O7" s="1332"/>
      <c r="P7" s="1332"/>
      <c r="Q7" s="1332"/>
      <c r="R7" s="1332"/>
      <c r="S7" s="1332"/>
      <c r="T7" s="1332"/>
      <c r="U7" s="1332"/>
      <c r="V7" s="1332"/>
      <c r="W7" s="1332"/>
      <c r="X7" s="1332"/>
      <c r="Y7" s="1332"/>
      <c r="Z7" s="1332"/>
      <c r="AA7" s="1332"/>
      <c r="AB7" s="1332"/>
    </row>
    <row r="8">
      <c r="A8" s="1370" t="s">
        <v>1220</v>
      </c>
      <c r="B8" s="1371">
        <v>0.1</v>
      </c>
      <c r="C8" s="1372">
        <v>0.126</v>
      </c>
      <c r="D8" s="1360">
        <v>0.08</v>
      </c>
      <c r="E8" s="1361" t="str">
        <f t="shared" si="1"/>
        <v>#N/A</v>
      </c>
      <c r="F8" s="1362" t="str">
        <f t="shared" si="2"/>
        <v>#N/A</v>
      </c>
      <c r="G8" s="1363">
        <f t="shared" si="3"/>
        <v>0.02</v>
      </c>
      <c r="H8" s="1364" t="str">
        <f t="shared" si="4"/>
        <v>#N/A</v>
      </c>
      <c r="I8" s="1365"/>
      <c r="J8" s="1366"/>
      <c r="K8" s="1332"/>
      <c r="L8" s="1332"/>
      <c r="M8" s="1332"/>
      <c r="N8" s="1332"/>
      <c r="O8" s="1332"/>
      <c r="P8" s="1332"/>
      <c r="Q8" s="1332"/>
      <c r="R8" s="1332"/>
      <c r="S8" s="1332"/>
      <c r="T8" s="1332"/>
      <c r="U8" s="1332"/>
      <c r="V8" s="1332"/>
      <c r="W8" s="1332"/>
      <c r="X8" s="1332"/>
      <c r="Y8" s="1332"/>
      <c r="Z8" s="1332"/>
      <c r="AA8" s="1332"/>
      <c r="AB8" s="1332"/>
    </row>
    <row r="9">
      <c r="A9" s="1373" t="s">
        <v>1168</v>
      </c>
      <c r="B9" s="1374">
        <v>0.0</v>
      </c>
      <c r="C9" s="1359">
        <v>0.009</v>
      </c>
      <c r="D9" s="1360">
        <v>0.02</v>
      </c>
      <c r="E9" s="1361" t="str">
        <f t="shared" si="1"/>
        <v>#N/A</v>
      </c>
      <c r="F9" s="1362" t="str">
        <f t="shared" si="2"/>
        <v>#N/A</v>
      </c>
      <c r="G9" s="1363">
        <f t="shared" si="3"/>
        <v>0.005</v>
      </c>
      <c r="H9" s="1364" t="str">
        <f t="shared" si="4"/>
        <v>#N/A</v>
      </c>
      <c r="I9" s="1366"/>
      <c r="J9" s="1332"/>
      <c r="K9" s="1332"/>
      <c r="L9" s="1332"/>
      <c r="M9" s="1332"/>
      <c r="N9" s="1332"/>
      <c r="O9" s="1332"/>
      <c r="P9" s="1332"/>
      <c r="Q9" s="1332"/>
      <c r="R9" s="1332"/>
      <c r="S9" s="1332"/>
      <c r="T9" s="1332"/>
      <c r="U9" s="1332"/>
      <c r="V9" s="1332"/>
      <c r="W9" s="1332"/>
      <c r="X9" s="1332"/>
      <c r="Y9" s="1332"/>
      <c r="Z9" s="1332"/>
      <c r="AA9" s="1332"/>
      <c r="AB9" s="1332"/>
    </row>
    <row r="10">
      <c r="A10" s="1332"/>
      <c r="B10" s="1366"/>
      <c r="C10" s="1366"/>
      <c r="D10" s="1375"/>
      <c r="E10" s="1332"/>
      <c r="F10" s="1332"/>
      <c r="G10" s="1376"/>
      <c r="H10" s="1377" t="str">
        <f>SUM($H5:$H9)</f>
        <v>#N/A</v>
      </c>
      <c r="I10" s="1332"/>
      <c r="J10" s="1332"/>
      <c r="K10" s="1332"/>
      <c r="L10" s="1332"/>
      <c r="M10" s="1332"/>
      <c r="N10" s="1332"/>
      <c r="O10" s="1332"/>
      <c r="P10" s="1332"/>
      <c r="Q10" s="1332"/>
      <c r="R10" s="1332"/>
      <c r="S10" s="1332"/>
      <c r="T10" s="1332"/>
      <c r="U10" s="1332"/>
      <c r="V10" s="1332"/>
      <c r="W10" s="1332"/>
      <c r="X10" s="1332"/>
      <c r="Y10" s="1332"/>
      <c r="Z10" s="1332"/>
      <c r="AA10" s="1332"/>
      <c r="AB10" s="1332"/>
    </row>
    <row r="11">
      <c r="A11" s="1332"/>
      <c r="B11" s="1366"/>
      <c r="C11" s="1366"/>
      <c r="D11" s="1375"/>
      <c r="E11" s="1332"/>
      <c r="F11" s="1332"/>
      <c r="G11" s="1378"/>
      <c r="H11" s="1378"/>
      <c r="I11" s="1332"/>
      <c r="J11" s="1332"/>
      <c r="K11" s="1332"/>
      <c r="L11" s="1332"/>
      <c r="M11" s="1332"/>
      <c r="N11" s="1332"/>
      <c r="O11" s="1332"/>
      <c r="P11" s="1332"/>
      <c r="Q11" s="1332"/>
      <c r="R11" s="1332"/>
      <c r="S11" s="1332"/>
      <c r="T11" s="1332"/>
      <c r="U11" s="1332"/>
      <c r="V11" s="1332"/>
      <c r="W11" s="1332"/>
      <c r="X11" s="1332"/>
      <c r="Y11" s="1332"/>
      <c r="Z11" s="1332"/>
      <c r="AA11" s="1332"/>
      <c r="AB11" s="1332"/>
    </row>
    <row r="12">
      <c r="A12" s="1332"/>
      <c r="B12" s="1366"/>
      <c r="C12" s="1366"/>
      <c r="D12" s="1375"/>
      <c r="E12" s="1332"/>
      <c r="F12" s="1332"/>
      <c r="G12" s="1378"/>
      <c r="H12" s="1378"/>
      <c r="I12" s="1332"/>
      <c r="J12" s="1332"/>
      <c r="K12" s="1332"/>
      <c r="L12" s="1332"/>
      <c r="M12" s="1332"/>
      <c r="N12" s="1332"/>
      <c r="O12" s="1332"/>
      <c r="P12" s="1332"/>
      <c r="Q12" s="1332"/>
      <c r="R12" s="1332"/>
      <c r="S12" s="1332"/>
      <c r="T12" s="1332"/>
      <c r="U12" s="1332"/>
      <c r="V12" s="1332"/>
      <c r="W12" s="1332"/>
      <c r="X12" s="1332"/>
      <c r="Y12" s="1332"/>
      <c r="Z12" s="1332"/>
      <c r="AA12" s="1332"/>
      <c r="AB12" s="1332"/>
    </row>
    <row r="13">
      <c r="A13" s="1332"/>
      <c r="B13" s="1366"/>
      <c r="C13" s="1366"/>
      <c r="D13" s="1375"/>
      <c r="E13" s="1332"/>
      <c r="F13" s="1332"/>
      <c r="G13" s="1378"/>
      <c r="H13" s="1378"/>
      <c r="I13" s="1332"/>
      <c r="J13" s="1332"/>
      <c r="K13" s="1332"/>
      <c r="L13" s="1332"/>
      <c r="M13" s="1332"/>
      <c r="N13" s="1332"/>
      <c r="O13" s="1332"/>
      <c r="P13" s="1332"/>
      <c r="Q13" s="1332"/>
      <c r="R13" s="1332"/>
      <c r="S13" s="1332"/>
      <c r="T13" s="1332"/>
      <c r="U13" s="1332"/>
      <c r="V13" s="1332"/>
      <c r="W13" s="1332"/>
      <c r="X13" s="1332"/>
      <c r="Y13" s="1332"/>
      <c r="Z13" s="1332"/>
      <c r="AA13" s="1332"/>
      <c r="AB13" s="1332"/>
    </row>
    <row r="14">
      <c r="A14" s="1332"/>
      <c r="B14" s="1366"/>
      <c r="C14" s="1366"/>
      <c r="D14" s="1375"/>
      <c r="E14" s="1332"/>
      <c r="F14" s="1332"/>
      <c r="G14" s="1378"/>
      <c r="H14" s="1378"/>
      <c r="I14" s="1332"/>
      <c r="J14" s="1332"/>
      <c r="K14" s="1332"/>
      <c r="L14" s="1332"/>
      <c r="M14" s="1332"/>
      <c r="N14" s="1332"/>
      <c r="O14" s="1332"/>
      <c r="P14" s="1332"/>
      <c r="Q14" s="1332"/>
      <c r="R14" s="1332"/>
      <c r="S14" s="1332"/>
      <c r="T14" s="1332"/>
      <c r="U14" s="1332"/>
      <c r="V14" s="1332"/>
      <c r="W14" s="1332"/>
      <c r="X14" s="1332"/>
      <c r="Y14" s="1332"/>
      <c r="Z14" s="1332"/>
      <c r="AA14" s="1332"/>
      <c r="AB14" s="1332"/>
    </row>
    <row r="15">
      <c r="A15" s="1332"/>
      <c r="B15" s="1366"/>
      <c r="C15" s="1366"/>
      <c r="D15" s="1375"/>
      <c r="E15" s="1332"/>
      <c r="F15" s="1332"/>
      <c r="G15" s="1378"/>
      <c r="H15" s="1378"/>
      <c r="I15" s="1332"/>
      <c r="J15" s="1332"/>
      <c r="K15" s="1332"/>
      <c r="L15" s="1332"/>
      <c r="M15" s="1332"/>
      <c r="N15" s="1332"/>
      <c r="O15" s="1332"/>
      <c r="P15" s="1332"/>
      <c r="Q15" s="1332"/>
      <c r="R15" s="1332"/>
      <c r="S15" s="1332"/>
      <c r="T15" s="1332"/>
      <c r="U15" s="1332"/>
      <c r="V15" s="1332"/>
      <c r="W15" s="1332"/>
      <c r="X15" s="1332"/>
      <c r="Y15" s="1332"/>
      <c r="Z15" s="1332"/>
      <c r="AA15" s="1332"/>
      <c r="AB15" s="1332"/>
    </row>
    <row r="16">
      <c r="A16" s="1332"/>
      <c r="B16" s="1366"/>
      <c r="C16" s="1366"/>
      <c r="D16" s="1375"/>
      <c r="E16" s="1332"/>
      <c r="F16" s="1332"/>
      <c r="G16" s="1378"/>
      <c r="H16" s="1378"/>
      <c r="I16" s="1332"/>
      <c r="J16" s="1332"/>
      <c r="K16" s="1332"/>
      <c r="L16" s="1332"/>
      <c r="M16" s="1332"/>
      <c r="N16" s="1332"/>
      <c r="O16" s="1332"/>
      <c r="P16" s="1332"/>
      <c r="Q16" s="1332"/>
      <c r="R16" s="1332"/>
      <c r="S16" s="1332"/>
      <c r="T16" s="1332"/>
      <c r="U16" s="1332"/>
      <c r="V16" s="1332"/>
      <c r="W16" s="1332"/>
      <c r="X16" s="1332"/>
      <c r="Y16" s="1332"/>
      <c r="Z16" s="1332"/>
      <c r="AA16" s="1332"/>
      <c r="AB16" s="1332"/>
    </row>
    <row r="17">
      <c r="A17" s="1332"/>
      <c r="B17" s="1366"/>
      <c r="C17" s="1366"/>
      <c r="D17" s="1375"/>
      <c r="E17" s="1332"/>
      <c r="F17" s="1332"/>
      <c r="G17" s="1378"/>
      <c r="H17" s="1378"/>
      <c r="I17" s="1332"/>
      <c r="J17" s="1332"/>
      <c r="K17" s="1332"/>
      <c r="L17" s="1332"/>
      <c r="M17" s="1332"/>
      <c r="N17" s="1332"/>
      <c r="O17" s="1332"/>
      <c r="P17" s="1332"/>
      <c r="Q17" s="1332"/>
      <c r="R17" s="1332"/>
      <c r="S17" s="1332"/>
      <c r="T17" s="1332"/>
      <c r="U17" s="1332"/>
      <c r="V17" s="1332"/>
      <c r="W17" s="1332"/>
      <c r="X17" s="1332"/>
      <c r="Y17" s="1332"/>
      <c r="Z17" s="1332"/>
      <c r="AA17" s="1332"/>
      <c r="AB17" s="1332"/>
    </row>
    <row r="18">
      <c r="A18" s="1332"/>
      <c r="B18" s="1366"/>
      <c r="C18" s="1366"/>
      <c r="D18" s="1375"/>
      <c r="E18" s="1332"/>
      <c r="F18" s="1332"/>
      <c r="G18" s="1378"/>
      <c r="H18" s="1378"/>
      <c r="I18" s="1332"/>
      <c r="J18" s="1332"/>
      <c r="K18" s="1332"/>
      <c r="L18" s="1332"/>
      <c r="M18" s="1332"/>
      <c r="N18" s="1332"/>
      <c r="O18" s="1332"/>
      <c r="P18" s="1332"/>
      <c r="Q18" s="1332"/>
      <c r="R18" s="1332"/>
      <c r="S18" s="1332"/>
      <c r="T18" s="1332"/>
      <c r="U18" s="1332"/>
      <c r="V18" s="1332"/>
      <c r="W18" s="1332"/>
      <c r="X18" s="1332"/>
      <c r="Y18" s="1332"/>
      <c r="Z18" s="1332"/>
      <c r="AA18" s="1332"/>
      <c r="AB18" s="1332"/>
    </row>
    <row r="19">
      <c r="A19" s="1332"/>
      <c r="B19" s="1366"/>
      <c r="C19" s="1366"/>
      <c r="D19" s="1375"/>
      <c r="E19" s="1332"/>
      <c r="F19" s="1332"/>
      <c r="G19" s="1378"/>
      <c r="H19" s="1378"/>
      <c r="I19" s="1332"/>
      <c r="J19" s="1332"/>
      <c r="K19" s="1332"/>
      <c r="L19" s="1332"/>
      <c r="M19" s="1332"/>
      <c r="N19" s="1332"/>
      <c r="O19" s="1332"/>
      <c r="P19" s="1332"/>
      <c r="Q19" s="1332"/>
      <c r="R19" s="1332"/>
      <c r="S19" s="1332"/>
      <c r="T19" s="1332"/>
      <c r="U19" s="1332"/>
      <c r="V19" s="1332"/>
      <c r="W19" s="1332"/>
      <c r="X19" s="1332"/>
      <c r="Y19" s="1332"/>
      <c r="Z19" s="1332"/>
      <c r="AA19" s="1332"/>
      <c r="AB19" s="1332"/>
    </row>
    <row r="20">
      <c r="A20" s="1332"/>
      <c r="B20" s="1366"/>
      <c r="C20" s="1366"/>
      <c r="D20" s="1375"/>
      <c r="E20" s="1332"/>
      <c r="F20" s="1332"/>
      <c r="G20" s="1378"/>
      <c r="H20" s="1378"/>
      <c r="I20" s="1332"/>
      <c r="J20" s="1332"/>
      <c r="K20" s="1332"/>
      <c r="L20" s="1332"/>
      <c r="M20" s="1332"/>
      <c r="N20" s="1332"/>
      <c r="O20" s="1332"/>
      <c r="P20" s="1332"/>
      <c r="Q20" s="1332"/>
      <c r="R20" s="1332"/>
      <c r="S20" s="1332"/>
      <c r="T20" s="1332"/>
      <c r="U20" s="1332"/>
      <c r="V20" s="1332"/>
      <c r="W20" s="1332"/>
      <c r="X20" s="1332"/>
      <c r="Y20" s="1332"/>
      <c r="Z20" s="1332"/>
      <c r="AA20" s="1332"/>
      <c r="AB20" s="1332"/>
    </row>
    <row r="21">
      <c r="A21" s="1332"/>
      <c r="B21" s="1366"/>
      <c r="C21" s="1366"/>
      <c r="D21" s="1375"/>
      <c r="E21" s="1332"/>
      <c r="F21" s="1332"/>
      <c r="G21" s="1378"/>
      <c r="H21" s="1378"/>
      <c r="I21" s="1332"/>
      <c r="J21" s="1332"/>
      <c r="K21" s="1332"/>
      <c r="L21" s="1332"/>
      <c r="M21" s="1332"/>
      <c r="N21" s="1332"/>
      <c r="O21" s="1332"/>
      <c r="P21" s="1332"/>
      <c r="Q21" s="1332"/>
      <c r="R21" s="1332"/>
      <c r="S21" s="1332"/>
      <c r="T21" s="1332"/>
      <c r="U21" s="1332"/>
      <c r="V21" s="1332"/>
      <c r="W21" s="1332"/>
      <c r="X21" s="1332"/>
      <c r="Y21" s="1332"/>
      <c r="Z21" s="1332"/>
      <c r="AA21" s="1332"/>
      <c r="AB21" s="1332"/>
    </row>
    <row r="22">
      <c r="A22" s="1332"/>
      <c r="B22" s="1366"/>
      <c r="C22" s="1366"/>
      <c r="D22" s="1375"/>
      <c r="E22" s="1332"/>
      <c r="F22" s="1332"/>
      <c r="G22" s="1378"/>
      <c r="H22" s="1378"/>
      <c r="I22" s="1332"/>
      <c r="J22" s="1332"/>
      <c r="K22" s="1332"/>
      <c r="L22" s="1332"/>
      <c r="M22" s="1332"/>
      <c r="N22" s="1332"/>
      <c r="O22" s="1332"/>
      <c r="P22" s="1332"/>
      <c r="Q22" s="1332"/>
      <c r="R22" s="1332"/>
      <c r="S22" s="1332"/>
      <c r="T22" s="1332"/>
      <c r="U22" s="1332"/>
      <c r="V22" s="1332"/>
      <c r="W22" s="1332"/>
      <c r="X22" s="1332"/>
      <c r="Y22" s="1332"/>
      <c r="Z22" s="1332"/>
      <c r="AA22" s="1332"/>
      <c r="AB22" s="1332"/>
    </row>
    <row r="23">
      <c r="A23" s="1332"/>
      <c r="B23" s="1366"/>
      <c r="C23" s="1366"/>
      <c r="D23" s="1375"/>
      <c r="E23" s="1332"/>
      <c r="F23" s="1332"/>
      <c r="G23" s="1378"/>
      <c r="H23" s="1378"/>
      <c r="I23" s="1332"/>
      <c r="J23" s="1332"/>
      <c r="K23" s="1332"/>
      <c r="L23" s="1332"/>
      <c r="M23" s="1332"/>
      <c r="N23" s="1332"/>
      <c r="O23" s="1332"/>
      <c r="P23" s="1332"/>
      <c r="Q23" s="1332"/>
      <c r="R23" s="1332"/>
      <c r="S23" s="1332"/>
      <c r="T23" s="1332"/>
      <c r="U23" s="1332"/>
      <c r="V23" s="1332"/>
      <c r="W23" s="1332"/>
      <c r="X23" s="1332"/>
      <c r="Y23" s="1332"/>
      <c r="Z23" s="1332"/>
      <c r="AA23" s="1332"/>
      <c r="AB23" s="1332"/>
    </row>
    <row r="24">
      <c r="A24" s="1332"/>
      <c r="B24" s="1366"/>
      <c r="C24" s="1366"/>
      <c r="D24" s="1375"/>
      <c r="E24" s="1332"/>
      <c r="F24" s="1332"/>
      <c r="G24" s="1378"/>
      <c r="H24" s="1378"/>
      <c r="I24" s="1332"/>
      <c r="J24" s="1332"/>
      <c r="K24" s="1332"/>
      <c r="L24" s="1332"/>
      <c r="M24" s="1332"/>
      <c r="N24" s="1332"/>
      <c r="O24" s="1332"/>
      <c r="P24" s="1332"/>
      <c r="Q24" s="1332"/>
      <c r="R24" s="1332"/>
      <c r="S24" s="1332"/>
      <c r="T24" s="1332"/>
      <c r="U24" s="1332"/>
      <c r="V24" s="1332"/>
      <c r="W24" s="1332"/>
      <c r="X24" s="1332"/>
      <c r="Y24" s="1332"/>
      <c r="Z24" s="1332"/>
      <c r="AA24" s="1332"/>
      <c r="AB24" s="1332"/>
    </row>
    <row r="25">
      <c r="A25" s="1332"/>
      <c r="B25" s="1366"/>
      <c r="C25" s="1366"/>
      <c r="D25" s="1375"/>
      <c r="E25" s="1332"/>
      <c r="F25" s="1332"/>
      <c r="G25" s="1378"/>
      <c r="H25" s="1378"/>
      <c r="I25" s="1332"/>
      <c r="J25" s="1332"/>
      <c r="K25" s="1332"/>
      <c r="L25" s="1332"/>
      <c r="M25" s="1332"/>
      <c r="N25" s="1332"/>
      <c r="O25" s="1332"/>
      <c r="P25" s="1332"/>
      <c r="Q25" s="1332"/>
      <c r="R25" s="1332"/>
      <c r="S25" s="1332"/>
      <c r="T25" s="1332"/>
      <c r="U25" s="1332"/>
      <c r="V25" s="1332"/>
      <c r="W25" s="1332"/>
      <c r="X25" s="1332"/>
      <c r="Y25" s="1332"/>
      <c r="Z25" s="1332"/>
      <c r="AA25" s="1332"/>
      <c r="AB25" s="1332"/>
    </row>
    <row r="26">
      <c r="A26" s="1332"/>
      <c r="B26" s="1366"/>
      <c r="C26" s="1366"/>
      <c r="D26" s="1375"/>
      <c r="E26" s="1332"/>
      <c r="F26" s="1332"/>
      <c r="G26" s="1378"/>
      <c r="H26" s="1378"/>
      <c r="I26" s="1332"/>
      <c r="J26" s="1332"/>
      <c r="K26" s="1332"/>
      <c r="L26" s="1332"/>
      <c r="M26" s="1332"/>
      <c r="N26" s="1332"/>
      <c r="O26" s="1332"/>
      <c r="P26" s="1332"/>
      <c r="Q26" s="1332"/>
      <c r="R26" s="1332"/>
      <c r="S26" s="1332"/>
      <c r="T26" s="1332"/>
      <c r="U26" s="1332"/>
      <c r="V26" s="1332"/>
      <c r="W26" s="1332"/>
      <c r="X26" s="1332"/>
      <c r="Y26" s="1332"/>
      <c r="Z26" s="1332"/>
      <c r="AA26" s="1332"/>
      <c r="AB26" s="1332"/>
    </row>
    <row r="27">
      <c r="A27" s="1332"/>
      <c r="B27" s="1366"/>
      <c r="C27" s="1366"/>
      <c r="D27" s="1375"/>
      <c r="E27" s="1332"/>
      <c r="F27" s="1332"/>
      <c r="G27" s="1378"/>
      <c r="H27" s="1378"/>
      <c r="I27" s="1332"/>
      <c r="J27" s="1332"/>
      <c r="K27" s="1332"/>
      <c r="L27" s="1332"/>
      <c r="M27" s="1332"/>
      <c r="N27" s="1332"/>
      <c r="O27" s="1332"/>
      <c r="P27" s="1332"/>
      <c r="Q27" s="1332"/>
      <c r="R27" s="1332"/>
      <c r="S27" s="1332"/>
      <c r="T27" s="1332"/>
      <c r="U27" s="1332"/>
      <c r="V27" s="1332"/>
      <c r="W27" s="1332"/>
      <c r="X27" s="1332"/>
      <c r="Y27" s="1332"/>
      <c r="Z27" s="1332"/>
      <c r="AA27" s="1332"/>
      <c r="AB27" s="1332"/>
    </row>
    <row r="28">
      <c r="A28" s="1332"/>
      <c r="B28" s="1366"/>
      <c r="C28" s="1366"/>
      <c r="D28" s="1375"/>
      <c r="E28" s="1332"/>
      <c r="F28" s="1332"/>
      <c r="G28" s="1378"/>
      <c r="H28" s="1378"/>
      <c r="I28" s="1332"/>
      <c r="J28" s="1332"/>
      <c r="K28" s="1332"/>
      <c r="L28" s="1332"/>
      <c r="M28" s="1332"/>
      <c r="N28" s="1332"/>
      <c r="O28" s="1332"/>
      <c r="P28" s="1332"/>
      <c r="Q28" s="1332"/>
      <c r="R28" s="1332"/>
      <c r="S28" s="1332"/>
      <c r="T28" s="1332"/>
      <c r="U28" s="1332"/>
      <c r="V28" s="1332"/>
      <c r="W28" s="1332"/>
      <c r="X28" s="1332"/>
      <c r="Y28" s="1332"/>
      <c r="Z28" s="1332"/>
      <c r="AA28" s="1332"/>
      <c r="AB28" s="1332"/>
    </row>
    <row r="29">
      <c r="A29" s="1332"/>
      <c r="B29" s="1366"/>
      <c r="C29" s="1366"/>
      <c r="D29" s="1375"/>
      <c r="E29" s="1332"/>
      <c r="F29" s="1332"/>
      <c r="G29" s="1378"/>
      <c r="H29" s="1378"/>
      <c r="I29" s="1332"/>
      <c r="J29" s="1332"/>
      <c r="K29" s="1332"/>
      <c r="L29" s="1332"/>
      <c r="M29" s="1332"/>
      <c r="N29" s="1332"/>
      <c r="O29" s="1332"/>
      <c r="P29" s="1332"/>
      <c r="Q29" s="1332"/>
      <c r="R29" s="1332"/>
      <c r="S29" s="1332"/>
      <c r="T29" s="1332"/>
      <c r="U29" s="1332"/>
      <c r="V29" s="1332"/>
      <c r="W29" s="1332"/>
      <c r="X29" s="1332"/>
      <c r="Y29" s="1332"/>
      <c r="Z29" s="1332"/>
      <c r="AA29" s="1332"/>
      <c r="AB29" s="1332"/>
    </row>
    <row r="30">
      <c r="A30" s="1379" t="s">
        <v>1221</v>
      </c>
      <c r="E30" s="1379"/>
      <c r="F30" s="1379"/>
      <c r="G30" s="1378"/>
      <c r="H30" s="1378"/>
      <c r="I30" s="1332"/>
      <c r="J30" s="1332"/>
      <c r="K30" s="1332"/>
      <c r="L30" s="1332"/>
      <c r="M30" s="1332"/>
      <c r="N30" s="1332"/>
      <c r="O30" s="1332"/>
      <c r="P30" s="1332"/>
      <c r="Q30" s="1332"/>
      <c r="R30" s="1332"/>
      <c r="S30" s="1332"/>
      <c r="T30" s="1332"/>
      <c r="U30" s="1332"/>
      <c r="V30" s="1332"/>
      <c r="W30" s="1332"/>
      <c r="X30" s="1332"/>
      <c r="Y30" s="1332"/>
      <c r="Z30" s="1332"/>
      <c r="AA30" s="1332"/>
      <c r="AB30" s="1332"/>
    </row>
    <row r="31">
      <c r="A31" s="1380" t="str">
        <f>HYPERLINK("http://www.doughroller.net/investing/an-awesome-and-free-investment-tracking-spreadsheet/","Here's the article describing this spreadsheet")</f>
        <v>Here's the article describing this spreadsheet</v>
      </c>
      <c r="E31" s="1332"/>
      <c r="F31" s="1332"/>
      <c r="G31" s="1378"/>
      <c r="H31" s="1378"/>
      <c r="I31" s="1332"/>
      <c r="J31" s="1332"/>
      <c r="K31" s="1332"/>
      <c r="L31" s="1332"/>
      <c r="M31" s="1332"/>
      <c r="N31" s="1332"/>
      <c r="O31" s="1332"/>
      <c r="P31" s="1332"/>
      <c r="Q31" s="1332"/>
      <c r="R31" s="1332"/>
      <c r="S31" s="1332"/>
      <c r="T31" s="1332"/>
      <c r="U31" s="1332"/>
      <c r="V31" s="1332"/>
      <c r="W31" s="1332"/>
      <c r="X31" s="1332"/>
      <c r="Y31" s="1332"/>
      <c r="Z31" s="1332"/>
      <c r="AA31" s="1332"/>
      <c r="AB31" s="1332"/>
    </row>
    <row r="32">
      <c r="A32" s="1380" t="str">
        <f>HYPERLINK("http://www.doughroller.net/go.php?id=Personal_Capital&amp;p=spreadsheet1","Personal Capital--My favorite Budget/Investing Tool (it's free)")</f>
        <v>Personal Capital--My favorite Budget/Investing Tool (it's free)</v>
      </c>
      <c r="E32" s="1332"/>
      <c r="F32" s="1332"/>
      <c r="G32" s="1378"/>
      <c r="H32" s="1378"/>
      <c r="I32" s="1332"/>
      <c r="J32" s="1332"/>
      <c r="K32" s="1332"/>
      <c r="L32" s="1332"/>
      <c r="M32" s="1332"/>
      <c r="N32" s="1332"/>
      <c r="O32" s="1332"/>
      <c r="P32" s="1332"/>
      <c r="Q32" s="1332"/>
      <c r="R32" s="1332"/>
      <c r="S32" s="1332"/>
      <c r="T32" s="1332"/>
      <c r="U32" s="1332"/>
      <c r="V32" s="1332"/>
      <c r="W32" s="1332"/>
      <c r="X32" s="1332"/>
      <c r="Y32" s="1332"/>
      <c r="Z32" s="1332"/>
      <c r="AA32" s="1332"/>
      <c r="AB32" s="1332"/>
    </row>
    <row r="33">
      <c r="A33" s="1332"/>
      <c r="B33" s="1366"/>
      <c r="C33" s="1366"/>
      <c r="D33" s="1375"/>
      <c r="E33" s="1332"/>
      <c r="F33" s="1332"/>
      <c r="G33" s="1378"/>
      <c r="H33" s="1378"/>
      <c r="I33" s="1332"/>
      <c r="J33" s="1332"/>
      <c r="K33" s="1332"/>
      <c r="L33" s="1332"/>
      <c r="M33" s="1332"/>
      <c r="N33" s="1332"/>
      <c r="O33" s="1332"/>
      <c r="P33" s="1332"/>
      <c r="Q33" s="1332"/>
      <c r="R33" s="1332"/>
      <c r="S33" s="1332"/>
      <c r="T33" s="1332"/>
      <c r="U33" s="1332"/>
      <c r="V33" s="1332"/>
      <c r="W33" s="1332"/>
      <c r="X33" s="1332"/>
      <c r="Y33" s="1332"/>
      <c r="Z33" s="1332"/>
      <c r="AA33" s="1332"/>
      <c r="AB33" s="1332"/>
    </row>
    <row r="34">
      <c r="A34" s="1332"/>
      <c r="B34" s="1366"/>
      <c r="C34" s="1366"/>
      <c r="D34" s="1375"/>
      <c r="E34" s="1332"/>
      <c r="F34" s="1332"/>
      <c r="G34" s="1378"/>
      <c r="H34" s="1378"/>
      <c r="I34" s="1332"/>
      <c r="J34" s="1332"/>
      <c r="K34" s="1332"/>
      <c r="L34" s="1332"/>
      <c r="M34" s="1332"/>
      <c r="N34" s="1332"/>
      <c r="O34" s="1332"/>
      <c r="P34" s="1332"/>
      <c r="Q34" s="1332"/>
      <c r="R34" s="1332"/>
      <c r="S34" s="1332"/>
      <c r="T34" s="1332"/>
      <c r="U34" s="1332"/>
      <c r="V34" s="1332"/>
      <c r="W34" s="1332"/>
      <c r="X34" s="1332"/>
      <c r="Y34" s="1332"/>
      <c r="Z34" s="1332"/>
      <c r="AA34" s="1332"/>
      <c r="AB34" s="1332"/>
    </row>
    <row r="35">
      <c r="A35" s="1332"/>
      <c r="B35" s="1366"/>
      <c r="C35" s="1366"/>
      <c r="D35" s="1375"/>
      <c r="E35" s="1332"/>
      <c r="F35" s="1332"/>
      <c r="G35" s="1378"/>
      <c r="H35" s="1378"/>
      <c r="I35" s="1332"/>
      <c r="J35" s="1332"/>
      <c r="K35" s="1332"/>
      <c r="L35" s="1332"/>
      <c r="M35" s="1332"/>
      <c r="N35" s="1332"/>
      <c r="O35" s="1332"/>
      <c r="P35" s="1332"/>
      <c r="Q35" s="1332"/>
      <c r="R35" s="1332"/>
      <c r="S35" s="1332"/>
      <c r="T35" s="1332"/>
      <c r="U35" s="1332"/>
      <c r="V35" s="1332"/>
      <c r="W35" s="1332"/>
      <c r="X35" s="1332"/>
      <c r="Y35" s="1332"/>
      <c r="Z35" s="1332"/>
      <c r="AA35" s="1332"/>
      <c r="AB35" s="1332"/>
    </row>
    <row r="36">
      <c r="A36" s="1332"/>
      <c r="B36" s="1366"/>
      <c r="C36" s="1366"/>
      <c r="D36" s="1375"/>
      <c r="E36" s="1332"/>
      <c r="F36" s="1332"/>
      <c r="G36" s="1378"/>
      <c r="H36" s="1378"/>
      <c r="I36" s="1332"/>
      <c r="J36" s="1332"/>
      <c r="K36" s="1332"/>
      <c r="L36" s="1332"/>
      <c r="M36" s="1332"/>
      <c r="N36" s="1332"/>
      <c r="O36" s="1332"/>
      <c r="P36" s="1332"/>
      <c r="Q36" s="1332"/>
      <c r="R36" s="1332"/>
      <c r="S36" s="1332"/>
      <c r="T36" s="1332"/>
      <c r="U36" s="1332"/>
      <c r="V36" s="1332"/>
      <c r="W36" s="1332"/>
      <c r="X36" s="1332"/>
      <c r="Y36" s="1332"/>
      <c r="Z36" s="1332"/>
      <c r="AA36" s="1332"/>
      <c r="AB36" s="1332"/>
    </row>
    <row r="37">
      <c r="A37" s="1332"/>
      <c r="B37" s="1366"/>
      <c r="C37" s="1366"/>
      <c r="D37" s="1375"/>
      <c r="E37" s="1332"/>
      <c r="F37" s="1332"/>
      <c r="G37" s="1378"/>
      <c r="H37" s="1378"/>
      <c r="I37" s="1332"/>
      <c r="J37" s="1332"/>
      <c r="K37" s="1332"/>
      <c r="L37" s="1332"/>
      <c r="M37" s="1332"/>
      <c r="N37" s="1332"/>
      <c r="O37" s="1332"/>
      <c r="P37" s="1332"/>
      <c r="Q37" s="1332"/>
      <c r="R37" s="1332"/>
      <c r="S37" s="1332"/>
      <c r="T37" s="1332"/>
      <c r="U37" s="1332"/>
      <c r="V37" s="1332"/>
      <c r="W37" s="1332"/>
      <c r="X37" s="1332"/>
      <c r="Y37" s="1332"/>
      <c r="Z37" s="1332"/>
      <c r="AA37" s="1332"/>
      <c r="AB37" s="1332"/>
    </row>
    <row r="38">
      <c r="A38" s="1332"/>
      <c r="B38" s="1366"/>
      <c r="C38" s="1366"/>
      <c r="D38" s="1375"/>
      <c r="E38" s="1332"/>
      <c r="F38" s="1332"/>
      <c r="G38" s="1378"/>
      <c r="H38" s="1378"/>
      <c r="I38" s="1332"/>
      <c r="J38" s="1332"/>
      <c r="K38" s="1332"/>
      <c r="L38" s="1332"/>
      <c r="M38" s="1332"/>
      <c r="N38" s="1332"/>
      <c r="O38" s="1332"/>
      <c r="P38" s="1332"/>
      <c r="Q38" s="1332"/>
      <c r="R38" s="1332"/>
      <c r="S38" s="1332"/>
      <c r="T38" s="1332"/>
      <c r="U38" s="1332"/>
      <c r="V38" s="1332"/>
      <c r="W38" s="1332"/>
      <c r="X38" s="1332"/>
      <c r="Y38" s="1332"/>
      <c r="Z38" s="1332"/>
      <c r="AA38" s="1332"/>
      <c r="AB38" s="1332"/>
    </row>
    <row r="39">
      <c r="A39" s="1332"/>
      <c r="B39" s="1366"/>
      <c r="C39" s="1366"/>
      <c r="D39" s="1375"/>
      <c r="E39" s="1332"/>
      <c r="F39" s="1332"/>
      <c r="G39" s="1378"/>
      <c r="H39" s="1378"/>
      <c r="I39" s="1332"/>
      <c r="J39" s="1332"/>
      <c r="K39" s="1332"/>
      <c r="L39" s="1332"/>
      <c r="M39" s="1332"/>
      <c r="N39" s="1332"/>
      <c r="O39" s="1332"/>
      <c r="P39" s="1332"/>
      <c r="Q39" s="1332"/>
      <c r="R39" s="1332"/>
      <c r="S39" s="1332"/>
      <c r="T39" s="1332"/>
      <c r="U39" s="1332"/>
      <c r="V39" s="1332"/>
      <c r="W39" s="1332"/>
      <c r="X39" s="1332"/>
      <c r="Y39" s="1332"/>
      <c r="Z39" s="1332"/>
      <c r="AA39" s="1332"/>
      <c r="AB39" s="1332"/>
    </row>
    <row r="40">
      <c r="A40" s="1332"/>
      <c r="B40" s="1366"/>
      <c r="C40" s="1366"/>
      <c r="D40" s="1375"/>
      <c r="E40" s="1332"/>
      <c r="F40" s="1332"/>
      <c r="G40" s="1378"/>
      <c r="H40" s="1378"/>
      <c r="I40" s="1332"/>
      <c r="J40" s="1332"/>
      <c r="K40" s="1332"/>
      <c r="L40" s="1332"/>
      <c r="M40" s="1332"/>
      <c r="N40" s="1332"/>
      <c r="O40" s="1332"/>
      <c r="P40" s="1332"/>
      <c r="Q40" s="1332"/>
      <c r="R40" s="1332"/>
      <c r="S40" s="1332"/>
      <c r="T40" s="1332"/>
      <c r="U40" s="1332"/>
      <c r="V40" s="1332"/>
      <c r="W40" s="1332"/>
      <c r="X40" s="1332"/>
      <c r="Y40" s="1332"/>
      <c r="Z40" s="1332"/>
      <c r="AA40" s="1332"/>
      <c r="AB40" s="1332"/>
    </row>
    <row r="41">
      <c r="A41" s="1332"/>
      <c r="B41" s="1366"/>
      <c r="C41" s="1366"/>
      <c r="D41" s="1375"/>
      <c r="E41" s="1332"/>
      <c r="F41" s="1332"/>
      <c r="G41" s="1378"/>
      <c r="H41" s="1378"/>
      <c r="I41" s="1332"/>
      <c r="J41" s="1332"/>
      <c r="K41" s="1332"/>
      <c r="L41" s="1332"/>
      <c r="M41" s="1332"/>
      <c r="N41" s="1332"/>
      <c r="O41" s="1332"/>
      <c r="P41" s="1332"/>
      <c r="Q41" s="1332"/>
      <c r="R41" s="1332"/>
      <c r="S41" s="1332"/>
      <c r="T41" s="1332"/>
      <c r="U41" s="1332"/>
      <c r="V41" s="1332"/>
      <c r="W41" s="1332"/>
      <c r="X41" s="1332"/>
      <c r="Y41" s="1332"/>
      <c r="Z41" s="1332"/>
      <c r="AA41" s="1332"/>
      <c r="AB41" s="1332"/>
    </row>
    <row r="42">
      <c r="A42" s="1332"/>
      <c r="B42" s="1366"/>
      <c r="C42" s="1366"/>
      <c r="D42" s="1375"/>
      <c r="E42" s="1332"/>
      <c r="F42" s="1332"/>
      <c r="G42" s="1378"/>
      <c r="H42" s="1378"/>
      <c r="I42" s="1332"/>
      <c r="J42" s="1332"/>
      <c r="K42" s="1332"/>
      <c r="L42" s="1332"/>
      <c r="M42" s="1332"/>
      <c r="N42" s="1332"/>
      <c r="O42" s="1332"/>
      <c r="P42" s="1332"/>
      <c r="Q42" s="1332"/>
      <c r="R42" s="1332"/>
      <c r="S42" s="1332"/>
      <c r="T42" s="1332"/>
      <c r="U42" s="1332"/>
      <c r="V42" s="1332"/>
      <c r="W42" s="1332"/>
      <c r="X42" s="1332"/>
      <c r="Y42" s="1332"/>
      <c r="Z42" s="1332"/>
      <c r="AA42" s="1332"/>
      <c r="AB42" s="1332"/>
    </row>
    <row r="43">
      <c r="A43" s="1332"/>
      <c r="B43" s="1366"/>
      <c r="C43" s="1366"/>
      <c r="D43" s="1375"/>
      <c r="E43" s="1332"/>
      <c r="F43" s="1332"/>
      <c r="G43" s="1378"/>
      <c r="H43" s="1378"/>
      <c r="I43" s="1332"/>
      <c r="J43" s="1332"/>
      <c r="K43" s="1332"/>
      <c r="L43" s="1332"/>
      <c r="M43" s="1332"/>
      <c r="N43" s="1332"/>
      <c r="O43" s="1332"/>
      <c r="P43" s="1332"/>
      <c r="Q43" s="1332"/>
      <c r="R43" s="1332"/>
      <c r="S43" s="1332"/>
      <c r="T43" s="1332"/>
      <c r="U43" s="1332"/>
      <c r="V43" s="1332"/>
      <c r="W43" s="1332"/>
      <c r="X43" s="1332"/>
      <c r="Y43" s="1332"/>
      <c r="Z43" s="1332"/>
      <c r="AA43" s="1332"/>
      <c r="AB43" s="1332"/>
    </row>
    <row r="44">
      <c r="A44" s="1332"/>
      <c r="B44" s="1366"/>
      <c r="C44" s="1366"/>
      <c r="D44" s="1375"/>
      <c r="E44" s="1332"/>
      <c r="F44" s="1332"/>
      <c r="G44" s="1378"/>
      <c r="H44" s="1378"/>
      <c r="I44" s="1332"/>
      <c r="J44" s="1332"/>
      <c r="K44" s="1332"/>
      <c r="L44" s="1332"/>
      <c r="M44" s="1332"/>
      <c r="N44" s="1332"/>
      <c r="O44" s="1332"/>
      <c r="P44" s="1332"/>
      <c r="Q44" s="1332"/>
      <c r="R44" s="1332"/>
      <c r="S44" s="1332"/>
      <c r="T44" s="1332"/>
      <c r="U44" s="1332"/>
      <c r="V44" s="1332"/>
      <c r="W44" s="1332"/>
      <c r="X44" s="1332"/>
      <c r="Y44" s="1332"/>
      <c r="Z44" s="1332"/>
      <c r="AA44" s="1332"/>
      <c r="AB44" s="1332"/>
    </row>
    <row r="45">
      <c r="A45" s="1332"/>
      <c r="B45" s="1366"/>
      <c r="C45" s="1366"/>
      <c r="D45" s="1375"/>
      <c r="E45" s="1332"/>
      <c r="F45" s="1332"/>
      <c r="G45" s="1378"/>
      <c r="H45" s="1378"/>
      <c r="I45" s="1332"/>
      <c r="J45" s="1332"/>
      <c r="K45" s="1332"/>
      <c r="L45" s="1332"/>
      <c r="M45" s="1332"/>
      <c r="N45" s="1332"/>
      <c r="O45" s="1332"/>
      <c r="P45" s="1332"/>
      <c r="Q45" s="1332"/>
      <c r="R45" s="1332"/>
      <c r="S45" s="1332"/>
      <c r="T45" s="1332"/>
      <c r="U45" s="1332"/>
      <c r="V45" s="1332"/>
      <c r="W45" s="1332"/>
      <c r="X45" s="1332"/>
      <c r="Y45" s="1332"/>
      <c r="Z45" s="1332"/>
      <c r="AA45" s="1332"/>
      <c r="AB45" s="1332"/>
    </row>
    <row r="46">
      <c r="A46" s="1332"/>
      <c r="B46" s="1366"/>
      <c r="C46" s="1366"/>
      <c r="D46" s="1375"/>
      <c r="E46" s="1332"/>
      <c r="F46" s="1332"/>
      <c r="G46" s="1378"/>
      <c r="H46" s="1378"/>
      <c r="I46" s="1332"/>
      <c r="J46" s="1332"/>
      <c r="K46" s="1332"/>
      <c r="L46" s="1332"/>
      <c r="M46" s="1332"/>
      <c r="N46" s="1332"/>
      <c r="O46" s="1332"/>
      <c r="P46" s="1332"/>
      <c r="Q46" s="1332"/>
      <c r="R46" s="1332"/>
      <c r="S46" s="1332"/>
      <c r="T46" s="1332"/>
      <c r="U46" s="1332"/>
      <c r="V46" s="1332"/>
      <c r="W46" s="1332"/>
      <c r="X46" s="1332"/>
      <c r="Y46" s="1332"/>
      <c r="Z46" s="1332"/>
      <c r="AA46" s="1332"/>
      <c r="AB46" s="1332"/>
    </row>
    <row r="47">
      <c r="A47" s="1332"/>
      <c r="B47" s="1366"/>
      <c r="C47" s="1366"/>
      <c r="D47" s="1375"/>
      <c r="E47" s="1332"/>
      <c r="F47" s="1332"/>
      <c r="G47" s="1378"/>
      <c r="H47" s="1378"/>
      <c r="I47" s="1332"/>
      <c r="J47" s="1332"/>
      <c r="K47" s="1332"/>
      <c r="L47" s="1332"/>
      <c r="M47" s="1332"/>
      <c r="N47" s="1332"/>
      <c r="O47" s="1332"/>
      <c r="P47" s="1332"/>
      <c r="Q47" s="1332"/>
      <c r="R47" s="1332"/>
      <c r="S47" s="1332"/>
      <c r="T47" s="1332"/>
      <c r="U47" s="1332"/>
      <c r="V47" s="1332"/>
      <c r="W47" s="1332"/>
      <c r="X47" s="1332"/>
      <c r="Y47" s="1332"/>
      <c r="Z47" s="1332"/>
      <c r="AA47" s="1332"/>
      <c r="AB47" s="1332"/>
    </row>
    <row r="48">
      <c r="A48" s="1332"/>
      <c r="B48" s="1366"/>
      <c r="C48" s="1366"/>
      <c r="D48" s="1375"/>
      <c r="E48" s="1332"/>
      <c r="F48" s="1332"/>
      <c r="G48" s="1378"/>
      <c r="H48" s="1378"/>
      <c r="I48" s="1332"/>
      <c r="J48" s="1332"/>
      <c r="K48" s="1332"/>
      <c r="L48" s="1332"/>
      <c r="M48" s="1332"/>
      <c r="N48" s="1332"/>
      <c r="O48" s="1332"/>
      <c r="P48" s="1332"/>
      <c r="Q48" s="1332"/>
      <c r="R48" s="1332"/>
      <c r="S48" s="1332"/>
      <c r="T48" s="1332"/>
      <c r="U48" s="1332"/>
      <c r="V48" s="1332"/>
      <c r="W48" s="1332"/>
      <c r="X48" s="1332"/>
      <c r="Y48" s="1332"/>
      <c r="Z48" s="1332"/>
      <c r="AA48" s="1332"/>
      <c r="AB48" s="1332"/>
    </row>
    <row r="49">
      <c r="A49" s="1332"/>
      <c r="B49" s="1366"/>
      <c r="C49" s="1366"/>
      <c r="D49" s="1375"/>
      <c r="E49" s="1332"/>
      <c r="F49" s="1332"/>
      <c r="G49" s="1378"/>
      <c r="H49" s="1378"/>
      <c r="I49" s="1332"/>
      <c r="J49" s="1332"/>
      <c r="K49" s="1332"/>
      <c r="L49" s="1332"/>
      <c r="M49" s="1332"/>
      <c r="N49" s="1332"/>
      <c r="O49" s="1332"/>
      <c r="P49" s="1332"/>
      <c r="Q49" s="1332"/>
      <c r="R49" s="1332"/>
      <c r="S49" s="1332"/>
      <c r="T49" s="1332"/>
      <c r="U49" s="1332"/>
      <c r="V49" s="1332"/>
      <c r="W49" s="1332"/>
      <c r="X49" s="1332"/>
      <c r="Y49" s="1332"/>
      <c r="Z49" s="1332"/>
      <c r="AA49" s="1332"/>
      <c r="AB49" s="1332"/>
    </row>
    <row r="50">
      <c r="A50" s="1332"/>
      <c r="B50" s="1366"/>
      <c r="C50" s="1366"/>
      <c r="D50" s="1375"/>
      <c r="E50" s="1332"/>
      <c r="F50" s="1332"/>
      <c r="G50" s="1378"/>
      <c r="H50" s="1378"/>
      <c r="I50" s="1332"/>
      <c r="J50" s="1332"/>
      <c r="K50" s="1332"/>
      <c r="L50" s="1332"/>
      <c r="M50" s="1332"/>
      <c r="N50" s="1332"/>
      <c r="O50" s="1332"/>
      <c r="P50" s="1332"/>
      <c r="Q50" s="1332"/>
      <c r="R50" s="1332"/>
      <c r="S50" s="1332"/>
      <c r="T50" s="1332"/>
      <c r="U50" s="1332"/>
      <c r="V50" s="1332"/>
      <c r="W50" s="1332"/>
      <c r="X50" s="1332"/>
      <c r="Y50" s="1332"/>
      <c r="Z50" s="1332"/>
      <c r="AA50" s="1332"/>
      <c r="AB50" s="1332"/>
    </row>
    <row r="51">
      <c r="A51" s="1332"/>
      <c r="B51" s="1366"/>
      <c r="C51" s="1366"/>
      <c r="D51" s="1375"/>
      <c r="E51" s="1332"/>
      <c r="F51" s="1332"/>
      <c r="G51" s="1378"/>
      <c r="H51" s="1378"/>
      <c r="I51" s="1332"/>
      <c r="J51" s="1332"/>
      <c r="K51" s="1332"/>
      <c r="L51" s="1332"/>
      <c r="M51" s="1332"/>
      <c r="N51" s="1332"/>
      <c r="O51" s="1332"/>
      <c r="P51" s="1332"/>
      <c r="Q51" s="1332"/>
      <c r="R51" s="1332"/>
      <c r="S51" s="1332"/>
      <c r="T51" s="1332"/>
      <c r="U51" s="1332"/>
      <c r="V51" s="1332"/>
      <c r="W51" s="1332"/>
      <c r="X51" s="1332"/>
      <c r="Y51" s="1332"/>
      <c r="Z51" s="1332"/>
      <c r="AA51" s="1332"/>
      <c r="AB51" s="1332"/>
    </row>
    <row r="52">
      <c r="A52" s="1332"/>
      <c r="B52" s="1366"/>
      <c r="C52" s="1366"/>
      <c r="D52" s="1375"/>
      <c r="E52" s="1332"/>
      <c r="F52" s="1332"/>
      <c r="G52" s="1378"/>
      <c r="H52" s="1378"/>
      <c r="I52" s="1332"/>
      <c r="J52" s="1332"/>
      <c r="K52" s="1332"/>
      <c r="L52" s="1332"/>
      <c r="M52" s="1332"/>
      <c r="N52" s="1332"/>
      <c r="O52" s="1332"/>
      <c r="P52" s="1332"/>
      <c r="Q52" s="1332"/>
      <c r="R52" s="1332"/>
      <c r="S52" s="1332"/>
      <c r="T52" s="1332"/>
      <c r="U52" s="1332"/>
      <c r="V52" s="1332"/>
      <c r="W52" s="1332"/>
      <c r="X52" s="1332"/>
      <c r="Y52" s="1332"/>
      <c r="Z52" s="1332"/>
      <c r="AA52" s="1332"/>
      <c r="AB52" s="1332"/>
    </row>
    <row r="53">
      <c r="A53" s="1332"/>
      <c r="B53" s="1366"/>
      <c r="C53" s="1366"/>
      <c r="D53" s="1375"/>
      <c r="E53" s="1332"/>
      <c r="F53" s="1332"/>
      <c r="G53" s="1378"/>
      <c r="H53" s="1378"/>
      <c r="I53" s="1332"/>
      <c r="J53" s="1332"/>
      <c r="K53" s="1332"/>
      <c r="L53" s="1332"/>
      <c r="M53" s="1332"/>
      <c r="N53" s="1332"/>
      <c r="O53" s="1332"/>
      <c r="P53" s="1332"/>
      <c r="Q53" s="1332"/>
      <c r="R53" s="1332"/>
      <c r="S53" s="1332"/>
      <c r="T53" s="1332"/>
      <c r="U53" s="1332"/>
      <c r="V53" s="1332"/>
      <c r="W53" s="1332"/>
      <c r="X53" s="1332"/>
      <c r="Y53" s="1332"/>
      <c r="Z53" s="1332"/>
      <c r="AA53" s="1332"/>
      <c r="AB53" s="1332"/>
    </row>
    <row r="54">
      <c r="A54" s="1332"/>
      <c r="B54" s="1366"/>
      <c r="C54" s="1366"/>
      <c r="D54" s="1375"/>
      <c r="E54" s="1332"/>
      <c r="F54" s="1332"/>
      <c r="G54" s="1378"/>
      <c r="H54" s="1378"/>
      <c r="I54" s="1332"/>
      <c r="J54" s="1332"/>
      <c r="K54" s="1332"/>
      <c r="L54" s="1332"/>
      <c r="M54" s="1332"/>
      <c r="N54" s="1332"/>
      <c r="O54" s="1332"/>
      <c r="P54" s="1332"/>
      <c r="Q54" s="1332"/>
      <c r="R54" s="1332"/>
      <c r="S54" s="1332"/>
      <c r="T54" s="1332"/>
      <c r="U54" s="1332"/>
      <c r="V54" s="1332"/>
      <c r="W54" s="1332"/>
      <c r="X54" s="1332"/>
      <c r="Y54" s="1332"/>
      <c r="Z54" s="1332"/>
      <c r="AA54" s="1332"/>
      <c r="AB54" s="1332"/>
    </row>
    <row r="55">
      <c r="A55" s="1332"/>
      <c r="B55" s="1366"/>
      <c r="C55" s="1366"/>
      <c r="D55" s="1375"/>
      <c r="E55" s="1332"/>
      <c r="F55" s="1332"/>
      <c r="G55" s="1378"/>
      <c r="H55" s="1378"/>
      <c r="I55" s="1332"/>
      <c r="J55" s="1332"/>
      <c r="K55" s="1332"/>
      <c r="L55" s="1332"/>
      <c r="M55" s="1332"/>
      <c r="N55" s="1332"/>
      <c r="O55" s="1332"/>
      <c r="P55" s="1332"/>
      <c r="Q55" s="1332"/>
      <c r="R55" s="1332"/>
      <c r="S55" s="1332"/>
      <c r="T55" s="1332"/>
      <c r="U55" s="1332"/>
      <c r="V55" s="1332"/>
      <c r="W55" s="1332"/>
      <c r="X55" s="1332"/>
      <c r="Y55" s="1332"/>
      <c r="Z55" s="1332"/>
      <c r="AA55" s="1332"/>
      <c r="AB55" s="1332"/>
    </row>
    <row r="56">
      <c r="A56" s="1332"/>
      <c r="B56" s="1366"/>
      <c r="C56" s="1366"/>
      <c r="D56" s="1375"/>
      <c r="E56" s="1332"/>
      <c r="F56" s="1332"/>
      <c r="G56" s="1378"/>
      <c r="H56" s="1378"/>
      <c r="I56" s="1332"/>
      <c r="J56" s="1332"/>
      <c r="K56" s="1332"/>
      <c r="L56" s="1332"/>
      <c r="M56" s="1332"/>
      <c r="N56" s="1332"/>
      <c r="O56" s="1332"/>
      <c r="P56" s="1332"/>
      <c r="Q56" s="1332"/>
      <c r="R56" s="1332"/>
      <c r="S56" s="1332"/>
      <c r="T56" s="1332"/>
      <c r="U56" s="1332"/>
      <c r="V56" s="1332"/>
      <c r="W56" s="1332"/>
      <c r="X56" s="1332"/>
      <c r="Y56" s="1332"/>
      <c r="Z56" s="1332"/>
      <c r="AA56" s="1332"/>
      <c r="AB56" s="1332"/>
    </row>
    <row r="57">
      <c r="A57" s="1332"/>
      <c r="B57" s="1366"/>
      <c r="C57" s="1366"/>
      <c r="D57" s="1375"/>
      <c r="E57" s="1332"/>
      <c r="F57" s="1332"/>
      <c r="G57" s="1378"/>
      <c r="H57" s="1378"/>
      <c r="I57" s="1332"/>
      <c r="J57" s="1332"/>
      <c r="K57" s="1332"/>
      <c r="L57" s="1332"/>
      <c r="M57" s="1332"/>
      <c r="N57" s="1332"/>
      <c r="O57" s="1332"/>
      <c r="P57" s="1332"/>
      <c r="Q57" s="1332"/>
      <c r="R57" s="1332"/>
      <c r="S57" s="1332"/>
      <c r="T57" s="1332"/>
      <c r="U57" s="1332"/>
      <c r="V57" s="1332"/>
      <c r="W57" s="1332"/>
      <c r="X57" s="1332"/>
      <c r="Y57" s="1332"/>
      <c r="Z57" s="1332"/>
      <c r="AA57" s="1332"/>
      <c r="AB57" s="1332"/>
    </row>
    <row r="58">
      <c r="A58" s="1332"/>
      <c r="B58" s="1366"/>
      <c r="C58" s="1366"/>
      <c r="D58" s="1375"/>
      <c r="E58" s="1332"/>
      <c r="F58" s="1332"/>
      <c r="G58" s="1378"/>
      <c r="H58" s="1378"/>
      <c r="I58" s="1332"/>
      <c r="J58" s="1332"/>
      <c r="K58" s="1332"/>
      <c r="L58" s="1332"/>
      <c r="M58" s="1332"/>
      <c r="N58" s="1332"/>
      <c r="O58" s="1332"/>
      <c r="P58" s="1332"/>
      <c r="Q58" s="1332"/>
      <c r="R58" s="1332"/>
      <c r="S58" s="1332"/>
      <c r="T58" s="1332"/>
      <c r="U58" s="1332"/>
      <c r="V58" s="1332"/>
      <c r="W58" s="1332"/>
      <c r="X58" s="1332"/>
      <c r="Y58" s="1332"/>
      <c r="Z58" s="1332"/>
      <c r="AA58" s="1332"/>
      <c r="AB58" s="1332"/>
    </row>
    <row r="59">
      <c r="A59" s="1332"/>
      <c r="B59" s="1366"/>
      <c r="C59" s="1366"/>
      <c r="D59" s="1375"/>
      <c r="E59" s="1332"/>
      <c r="F59" s="1332"/>
      <c r="G59" s="1378"/>
      <c r="H59" s="1378"/>
      <c r="I59" s="1332"/>
      <c r="J59" s="1332"/>
      <c r="K59" s="1332"/>
      <c r="L59" s="1332"/>
      <c r="M59" s="1332"/>
      <c r="N59" s="1332"/>
      <c r="O59" s="1332"/>
      <c r="P59" s="1332"/>
      <c r="Q59" s="1332"/>
      <c r="R59" s="1332"/>
      <c r="S59" s="1332"/>
      <c r="T59" s="1332"/>
      <c r="U59" s="1332"/>
      <c r="V59" s="1332"/>
      <c r="W59" s="1332"/>
      <c r="X59" s="1332"/>
      <c r="Y59" s="1332"/>
      <c r="Z59" s="1332"/>
      <c r="AA59" s="1332"/>
      <c r="AB59" s="1332"/>
    </row>
    <row r="60">
      <c r="A60" s="1332"/>
      <c r="B60" s="1366"/>
      <c r="C60" s="1366"/>
      <c r="D60" s="1375"/>
      <c r="E60" s="1332"/>
      <c r="F60" s="1332"/>
      <c r="G60" s="1378"/>
      <c r="H60" s="1378"/>
      <c r="I60" s="1332"/>
      <c r="J60" s="1332"/>
      <c r="K60" s="1332"/>
      <c r="L60" s="1332"/>
      <c r="M60" s="1332"/>
      <c r="N60" s="1332"/>
      <c r="O60" s="1332"/>
      <c r="P60" s="1332"/>
      <c r="Q60" s="1332"/>
      <c r="R60" s="1332"/>
      <c r="S60" s="1332"/>
      <c r="T60" s="1332"/>
      <c r="U60" s="1332"/>
      <c r="V60" s="1332"/>
      <c r="W60" s="1332"/>
      <c r="X60" s="1332"/>
      <c r="Y60" s="1332"/>
      <c r="Z60" s="1332"/>
      <c r="AA60" s="1332"/>
      <c r="AB60" s="1332"/>
    </row>
    <row r="61">
      <c r="A61" s="1332"/>
      <c r="B61" s="1366"/>
      <c r="C61" s="1366"/>
      <c r="D61" s="1375"/>
      <c r="E61" s="1332"/>
      <c r="F61" s="1332"/>
      <c r="G61" s="1378"/>
      <c r="H61" s="1378"/>
      <c r="I61" s="1332"/>
      <c r="J61" s="1332"/>
      <c r="K61" s="1332"/>
      <c r="L61" s="1332"/>
      <c r="M61" s="1332"/>
      <c r="N61" s="1332"/>
      <c r="O61" s="1332"/>
      <c r="P61" s="1332"/>
      <c r="Q61" s="1332"/>
      <c r="R61" s="1332"/>
      <c r="S61" s="1332"/>
      <c r="T61" s="1332"/>
      <c r="U61" s="1332"/>
      <c r="V61" s="1332"/>
      <c r="W61" s="1332"/>
      <c r="X61" s="1332"/>
      <c r="Y61" s="1332"/>
      <c r="Z61" s="1332"/>
      <c r="AA61" s="1332"/>
      <c r="AB61" s="1332"/>
    </row>
    <row r="62">
      <c r="A62" s="1332"/>
      <c r="B62" s="1366"/>
      <c r="C62" s="1366"/>
      <c r="D62" s="1375"/>
      <c r="E62" s="1332"/>
      <c r="F62" s="1332"/>
      <c r="G62" s="1378"/>
      <c r="H62" s="1378"/>
      <c r="I62" s="1332"/>
      <c r="J62" s="1332"/>
      <c r="K62" s="1332"/>
      <c r="L62" s="1332"/>
      <c r="M62" s="1332"/>
      <c r="N62" s="1332"/>
      <c r="O62" s="1332"/>
      <c r="P62" s="1332"/>
      <c r="Q62" s="1332"/>
      <c r="R62" s="1332"/>
      <c r="S62" s="1332"/>
      <c r="T62" s="1332"/>
      <c r="U62" s="1332"/>
      <c r="V62" s="1332"/>
      <c r="W62" s="1332"/>
      <c r="X62" s="1332"/>
      <c r="Y62" s="1332"/>
      <c r="Z62" s="1332"/>
      <c r="AA62" s="1332"/>
      <c r="AB62" s="1332"/>
    </row>
    <row r="63">
      <c r="A63" s="1332"/>
      <c r="B63" s="1366"/>
      <c r="C63" s="1366"/>
      <c r="D63" s="1375"/>
      <c r="E63" s="1332"/>
      <c r="F63" s="1332"/>
      <c r="G63" s="1378"/>
      <c r="H63" s="1378"/>
      <c r="I63" s="1332"/>
      <c r="J63" s="1332"/>
      <c r="K63" s="1332"/>
      <c r="L63" s="1332"/>
      <c r="M63" s="1332"/>
      <c r="N63" s="1332"/>
      <c r="O63" s="1332"/>
      <c r="P63" s="1332"/>
      <c r="Q63" s="1332"/>
      <c r="R63" s="1332"/>
      <c r="S63" s="1332"/>
      <c r="T63" s="1332"/>
      <c r="U63" s="1332"/>
      <c r="V63" s="1332"/>
      <c r="W63" s="1332"/>
      <c r="X63" s="1332"/>
      <c r="Y63" s="1332"/>
      <c r="Z63" s="1332"/>
      <c r="AA63" s="1332"/>
      <c r="AB63" s="1332"/>
    </row>
    <row r="64">
      <c r="A64" s="1332"/>
      <c r="B64" s="1366"/>
      <c r="C64" s="1366"/>
      <c r="D64" s="1375"/>
      <c r="E64" s="1332"/>
      <c r="F64" s="1332"/>
      <c r="G64" s="1378"/>
      <c r="H64" s="1378"/>
      <c r="I64" s="1332"/>
      <c r="J64" s="1332"/>
      <c r="K64" s="1332"/>
      <c r="L64" s="1332"/>
      <c r="M64" s="1332"/>
      <c r="N64" s="1332"/>
      <c r="O64" s="1332"/>
      <c r="P64" s="1332"/>
      <c r="Q64" s="1332"/>
      <c r="R64" s="1332"/>
      <c r="S64" s="1332"/>
      <c r="T64" s="1332"/>
      <c r="U64" s="1332"/>
      <c r="V64" s="1332"/>
      <c r="W64" s="1332"/>
      <c r="X64" s="1332"/>
      <c r="Y64" s="1332"/>
      <c r="Z64" s="1332"/>
      <c r="AA64" s="1332"/>
      <c r="AB64" s="1332"/>
    </row>
    <row r="65">
      <c r="A65" s="1332"/>
      <c r="B65" s="1366"/>
      <c r="C65" s="1366"/>
      <c r="D65" s="1375"/>
      <c r="E65" s="1332"/>
      <c r="F65" s="1332"/>
      <c r="G65" s="1378"/>
      <c r="H65" s="1378"/>
      <c r="I65" s="1332"/>
      <c r="J65" s="1332"/>
      <c r="K65" s="1332"/>
      <c r="L65" s="1332"/>
      <c r="M65" s="1332"/>
      <c r="N65" s="1332"/>
      <c r="O65" s="1332"/>
      <c r="P65" s="1332"/>
      <c r="Q65" s="1332"/>
      <c r="R65" s="1332"/>
      <c r="S65" s="1332"/>
      <c r="T65" s="1332"/>
      <c r="U65" s="1332"/>
      <c r="V65" s="1332"/>
      <c r="W65" s="1332"/>
      <c r="X65" s="1332"/>
      <c r="Y65" s="1332"/>
      <c r="Z65" s="1332"/>
      <c r="AA65" s="1332"/>
      <c r="AB65" s="1332"/>
    </row>
    <row r="66">
      <c r="A66" s="1332"/>
      <c r="B66" s="1366"/>
      <c r="C66" s="1366"/>
      <c r="D66" s="1375"/>
      <c r="E66" s="1332"/>
      <c r="F66" s="1332"/>
      <c r="G66" s="1378"/>
      <c r="H66" s="1378"/>
      <c r="I66" s="1332"/>
      <c r="J66" s="1332"/>
      <c r="K66" s="1332"/>
      <c r="L66" s="1332"/>
      <c r="M66" s="1332"/>
      <c r="N66" s="1332"/>
      <c r="O66" s="1332"/>
      <c r="P66" s="1332"/>
      <c r="Q66" s="1332"/>
      <c r="R66" s="1332"/>
      <c r="S66" s="1332"/>
      <c r="T66" s="1332"/>
      <c r="U66" s="1332"/>
      <c r="V66" s="1332"/>
      <c r="W66" s="1332"/>
      <c r="X66" s="1332"/>
      <c r="Y66" s="1332"/>
      <c r="Z66" s="1332"/>
      <c r="AA66" s="1332"/>
      <c r="AB66" s="1332"/>
    </row>
    <row r="67">
      <c r="A67" s="1332"/>
      <c r="B67" s="1366"/>
      <c r="C67" s="1366"/>
      <c r="D67" s="1375"/>
      <c r="E67" s="1332"/>
      <c r="F67" s="1332"/>
      <c r="G67" s="1378"/>
      <c r="H67" s="1378"/>
      <c r="I67" s="1332"/>
      <c r="J67" s="1332"/>
      <c r="K67" s="1332"/>
      <c r="L67" s="1332"/>
      <c r="M67" s="1332"/>
      <c r="N67" s="1332"/>
      <c r="O67" s="1332"/>
      <c r="P67" s="1332"/>
      <c r="Q67" s="1332"/>
      <c r="R67" s="1332"/>
      <c r="S67" s="1332"/>
      <c r="T67" s="1332"/>
      <c r="U67" s="1332"/>
      <c r="V67" s="1332"/>
      <c r="W67" s="1332"/>
      <c r="X67" s="1332"/>
      <c r="Y67" s="1332"/>
      <c r="Z67" s="1332"/>
      <c r="AA67" s="1332"/>
      <c r="AB67" s="1332"/>
    </row>
    <row r="68">
      <c r="A68" s="1332"/>
      <c r="B68" s="1366"/>
      <c r="C68" s="1366"/>
      <c r="D68" s="1375"/>
      <c r="E68" s="1332"/>
      <c r="F68" s="1332"/>
      <c r="G68" s="1378"/>
      <c r="H68" s="1378"/>
      <c r="I68" s="1332"/>
      <c r="J68" s="1332"/>
      <c r="K68" s="1332"/>
      <c r="L68" s="1332"/>
      <c r="M68" s="1332"/>
      <c r="N68" s="1332"/>
      <c r="O68" s="1332"/>
      <c r="P68" s="1332"/>
      <c r="Q68" s="1332"/>
      <c r="R68" s="1332"/>
      <c r="S68" s="1332"/>
      <c r="T68" s="1332"/>
      <c r="U68" s="1332"/>
      <c r="V68" s="1332"/>
      <c r="W68" s="1332"/>
      <c r="X68" s="1332"/>
      <c r="Y68" s="1332"/>
      <c r="Z68" s="1332"/>
      <c r="AA68" s="1332"/>
      <c r="AB68" s="1332"/>
    </row>
    <row r="69">
      <c r="A69" s="1332"/>
      <c r="B69" s="1366"/>
      <c r="C69" s="1366"/>
      <c r="D69" s="1375"/>
      <c r="E69" s="1332"/>
      <c r="F69" s="1332"/>
      <c r="G69" s="1378"/>
      <c r="H69" s="1378"/>
      <c r="I69" s="1332"/>
      <c r="J69" s="1332"/>
      <c r="K69" s="1332"/>
      <c r="L69" s="1332"/>
      <c r="M69" s="1332"/>
      <c r="N69" s="1332"/>
      <c r="O69" s="1332"/>
      <c r="P69" s="1332"/>
      <c r="Q69" s="1332"/>
      <c r="R69" s="1332"/>
      <c r="S69" s="1332"/>
      <c r="T69" s="1332"/>
      <c r="U69" s="1332"/>
      <c r="V69" s="1332"/>
      <c r="W69" s="1332"/>
      <c r="X69" s="1332"/>
      <c r="Y69" s="1332"/>
      <c r="Z69" s="1332"/>
      <c r="AA69" s="1332"/>
      <c r="AB69" s="1332"/>
    </row>
    <row r="70">
      <c r="A70" s="1332"/>
      <c r="B70" s="1366"/>
      <c r="C70" s="1366"/>
      <c r="D70" s="1375"/>
      <c r="E70" s="1332"/>
      <c r="F70" s="1332"/>
      <c r="G70" s="1378"/>
      <c r="H70" s="1378"/>
      <c r="I70" s="1332"/>
      <c r="J70" s="1332"/>
      <c r="K70" s="1332"/>
      <c r="L70" s="1332"/>
      <c r="M70" s="1332"/>
      <c r="N70" s="1332"/>
      <c r="O70" s="1332"/>
      <c r="P70" s="1332"/>
      <c r="Q70" s="1332"/>
      <c r="R70" s="1332"/>
      <c r="S70" s="1332"/>
      <c r="T70" s="1332"/>
      <c r="U70" s="1332"/>
      <c r="V70" s="1332"/>
      <c r="W70" s="1332"/>
      <c r="X70" s="1332"/>
      <c r="Y70" s="1332"/>
      <c r="Z70" s="1332"/>
      <c r="AA70" s="1332"/>
      <c r="AB70" s="1332"/>
    </row>
    <row r="71">
      <c r="A71" s="1332"/>
      <c r="B71" s="1366"/>
      <c r="C71" s="1366"/>
      <c r="D71" s="1375"/>
      <c r="E71" s="1332"/>
      <c r="F71" s="1332"/>
      <c r="G71" s="1378"/>
      <c r="H71" s="1378"/>
      <c r="I71" s="1332"/>
      <c r="J71" s="1332"/>
      <c r="K71" s="1332"/>
      <c r="L71" s="1332"/>
      <c r="M71" s="1332"/>
      <c r="N71" s="1332"/>
      <c r="O71" s="1332"/>
      <c r="P71" s="1332"/>
      <c r="Q71" s="1332"/>
      <c r="R71" s="1332"/>
      <c r="S71" s="1332"/>
      <c r="T71" s="1332"/>
      <c r="U71" s="1332"/>
      <c r="V71" s="1332"/>
      <c r="W71" s="1332"/>
      <c r="X71" s="1332"/>
      <c r="Y71" s="1332"/>
      <c r="Z71" s="1332"/>
      <c r="AA71" s="1332"/>
      <c r="AB71" s="1332"/>
    </row>
    <row r="72">
      <c r="A72" s="1332"/>
      <c r="B72" s="1366"/>
      <c r="C72" s="1366"/>
      <c r="D72" s="1375"/>
      <c r="E72" s="1332"/>
      <c r="F72" s="1332"/>
      <c r="G72" s="1378"/>
      <c r="H72" s="1378"/>
      <c r="I72" s="1332"/>
      <c r="J72" s="1332"/>
      <c r="K72" s="1332"/>
      <c r="L72" s="1332"/>
      <c r="M72" s="1332"/>
      <c r="N72" s="1332"/>
      <c r="O72" s="1332"/>
      <c r="P72" s="1332"/>
      <c r="Q72" s="1332"/>
      <c r="R72" s="1332"/>
      <c r="S72" s="1332"/>
      <c r="T72" s="1332"/>
      <c r="U72" s="1332"/>
      <c r="V72" s="1332"/>
      <c r="W72" s="1332"/>
      <c r="X72" s="1332"/>
      <c r="Y72" s="1332"/>
      <c r="Z72" s="1332"/>
      <c r="AA72" s="1332"/>
      <c r="AB72" s="1332"/>
    </row>
    <row r="73">
      <c r="A73" s="1332"/>
      <c r="B73" s="1366"/>
      <c r="C73" s="1366"/>
      <c r="D73" s="1375"/>
      <c r="E73" s="1332"/>
      <c r="F73" s="1332"/>
      <c r="G73" s="1378"/>
      <c r="H73" s="1378"/>
      <c r="I73" s="1332"/>
      <c r="J73" s="1332"/>
      <c r="K73" s="1332"/>
      <c r="L73" s="1332"/>
      <c r="M73" s="1332"/>
      <c r="N73" s="1332"/>
      <c r="O73" s="1332"/>
      <c r="P73" s="1332"/>
      <c r="Q73" s="1332"/>
      <c r="R73" s="1332"/>
      <c r="S73" s="1332"/>
      <c r="T73" s="1332"/>
      <c r="U73" s="1332"/>
      <c r="V73" s="1332"/>
      <c r="W73" s="1332"/>
      <c r="X73" s="1332"/>
      <c r="Y73" s="1332"/>
      <c r="Z73" s="1332"/>
      <c r="AA73" s="1332"/>
      <c r="AB73" s="1332"/>
    </row>
    <row r="74">
      <c r="A74" s="1332"/>
      <c r="B74" s="1366"/>
      <c r="C74" s="1366"/>
      <c r="D74" s="1375"/>
      <c r="E74" s="1332"/>
      <c r="F74" s="1332"/>
      <c r="G74" s="1378"/>
      <c r="H74" s="1378"/>
      <c r="I74" s="1332"/>
      <c r="J74" s="1332"/>
      <c r="K74" s="1332"/>
      <c r="L74" s="1332"/>
      <c r="M74" s="1332"/>
      <c r="N74" s="1332"/>
      <c r="O74" s="1332"/>
      <c r="P74" s="1332"/>
      <c r="Q74" s="1332"/>
      <c r="R74" s="1332"/>
      <c r="S74" s="1332"/>
      <c r="T74" s="1332"/>
      <c r="U74" s="1332"/>
      <c r="V74" s="1332"/>
      <c r="W74" s="1332"/>
      <c r="X74" s="1332"/>
      <c r="Y74" s="1332"/>
      <c r="Z74" s="1332"/>
      <c r="AA74" s="1332"/>
      <c r="AB74" s="1332"/>
    </row>
    <row r="75">
      <c r="A75" s="1332"/>
      <c r="B75" s="1366"/>
      <c r="C75" s="1366"/>
      <c r="D75" s="1375"/>
      <c r="E75" s="1332"/>
      <c r="F75" s="1332"/>
      <c r="G75" s="1378"/>
      <c r="H75" s="1378"/>
      <c r="I75" s="1332"/>
      <c r="J75" s="1332"/>
      <c r="K75" s="1332"/>
      <c r="L75" s="1332"/>
      <c r="M75" s="1332"/>
      <c r="N75" s="1332"/>
      <c r="O75" s="1332"/>
      <c r="P75" s="1332"/>
      <c r="Q75" s="1332"/>
      <c r="R75" s="1332"/>
      <c r="S75" s="1332"/>
      <c r="T75" s="1332"/>
      <c r="U75" s="1332"/>
      <c r="V75" s="1332"/>
      <c r="W75" s="1332"/>
      <c r="X75" s="1332"/>
      <c r="Y75" s="1332"/>
      <c r="Z75" s="1332"/>
      <c r="AA75" s="1332"/>
      <c r="AB75" s="1332"/>
    </row>
    <row r="76">
      <c r="A76" s="1332"/>
      <c r="B76" s="1366"/>
      <c r="C76" s="1366"/>
      <c r="D76" s="1375"/>
      <c r="E76" s="1332"/>
      <c r="F76" s="1332"/>
      <c r="G76" s="1378"/>
      <c r="H76" s="1378"/>
      <c r="I76" s="1332"/>
      <c r="J76" s="1332"/>
      <c r="K76" s="1332"/>
      <c r="L76" s="1332"/>
      <c r="M76" s="1332"/>
      <c r="N76" s="1332"/>
      <c r="O76" s="1332"/>
      <c r="P76" s="1332"/>
      <c r="Q76" s="1332"/>
      <c r="R76" s="1332"/>
      <c r="S76" s="1332"/>
      <c r="T76" s="1332"/>
      <c r="U76" s="1332"/>
      <c r="V76" s="1332"/>
      <c r="W76" s="1332"/>
      <c r="X76" s="1332"/>
      <c r="Y76" s="1332"/>
      <c r="Z76" s="1332"/>
      <c r="AA76" s="1332"/>
      <c r="AB76" s="1332"/>
    </row>
    <row r="77">
      <c r="A77" s="1332"/>
      <c r="B77" s="1366"/>
      <c r="C77" s="1366"/>
      <c r="D77" s="1375"/>
      <c r="E77" s="1332"/>
      <c r="F77" s="1332"/>
      <c r="G77" s="1378"/>
      <c r="H77" s="1378"/>
      <c r="I77" s="1332"/>
      <c r="J77" s="1332"/>
      <c r="K77" s="1332"/>
      <c r="L77" s="1332"/>
      <c r="M77" s="1332"/>
      <c r="N77" s="1332"/>
      <c r="O77" s="1332"/>
      <c r="P77" s="1332"/>
      <c r="Q77" s="1332"/>
      <c r="R77" s="1332"/>
      <c r="S77" s="1332"/>
      <c r="T77" s="1332"/>
      <c r="U77" s="1332"/>
      <c r="V77" s="1332"/>
      <c r="W77" s="1332"/>
      <c r="X77" s="1332"/>
      <c r="Y77" s="1332"/>
      <c r="Z77" s="1332"/>
      <c r="AA77" s="1332"/>
      <c r="AB77" s="1332"/>
    </row>
    <row r="78">
      <c r="A78" s="1332"/>
      <c r="B78" s="1366"/>
      <c r="C78" s="1366"/>
      <c r="D78" s="1375"/>
      <c r="E78" s="1332"/>
      <c r="F78" s="1332"/>
      <c r="G78" s="1378"/>
      <c r="H78" s="1378"/>
      <c r="I78" s="1332"/>
      <c r="J78" s="1332"/>
      <c r="K78" s="1332"/>
      <c r="L78" s="1332"/>
      <c r="M78" s="1332"/>
      <c r="N78" s="1332"/>
      <c r="O78" s="1332"/>
      <c r="P78" s="1332"/>
      <c r="Q78" s="1332"/>
      <c r="R78" s="1332"/>
      <c r="S78" s="1332"/>
      <c r="T78" s="1332"/>
      <c r="U78" s="1332"/>
      <c r="V78" s="1332"/>
      <c r="W78" s="1332"/>
      <c r="X78" s="1332"/>
      <c r="Y78" s="1332"/>
      <c r="Z78" s="1332"/>
      <c r="AA78" s="1332"/>
      <c r="AB78" s="1332"/>
    </row>
    <row r="79">
      <c r="A79" s="1332"/>
      <c r="B79" s="1366"/>
      <c r="C79" s="1366"/>
      <c r="D79" s="1375"/>
      <c r="E79" s="1332"/>
      <c r="F79" s="1332"/>
      <c r="G79" s="1378"/>
      <c r="H79" s="1378"/>
      <c r="I79" s="1332"/>
      <c r="J79" s="1332"/>
      <c r="K79" s="1332"/>
      <c r="L79" s="1332"/>
      <c r="M79" s="1332"/>
      <c r="N79" s="1332"/>
      <c r="O79" s="1332"/>
      <c r="P79" s="1332"/>
      <c r="Q79" s="1332"/>
      <c r="R79" s="1332"/>
      <c r="S79" s="1332"/>
      <c r="T79" s="1332"/>
      <c r="U79" s="1332"/>
      <c r="V79" s="1332"/>
      <c r="W79" s="1332"/>
      <c r="X79" s="1332"/>
      <c r="Y79" s="1332"/>
      <c r="Z79" s="1332"/>
      <c r="AA79" s="1332"/>
      <c r="AB79" s="1332"/>
    </row>
    <row r="80">
      <c r="A80" s="1332"/>
      <c r="B80" s="1366"/>
      <c r="C80" s="1366"/>
      <c r="D80" s="1375"/>
      <c r="E80" s="1332"/>
      <c r="F80" s="1332"/>
      <c r="G80" s="1378"/>
      <c r="H80" s="1378"/>
      <c r="I80" s="1332"/>
      <c r="J80" s="1332"/>
      <c r="K80" s="1332"/>
      <c r="L80" s="1332"/>
      <c r="M80" s="1332"/>
      <c r="N80" s="1332"/>
      <c r="O80" s="1332"/>
      <c r="P80" s="1332"/>
      <c r="Q80" s="1332"/>
      <c r="R80" s="1332"/>
      <c r="S80" s="1332"/>
      <c r="T80" s="1332"/>
      <c r="U80" s="1332"/>
      <c r="V80" s="1332"/>
      <c r="W80" s="1332"/>
      <c r="X80" s="1332"/>
      <c r="Y80" s="1332"/>
      <c r="Z80" s="1332"/>
      <c r="AA80" s="1332"/>
      <c r="AB80" s="1332"/>
    </row>
    <row r="81">
      <c r="A81" s="1332"/>
      <c r="B81" s="1366"/>
      <c r="C81" s="1366"/>
      <c r="D81" s="1375"/>
      <c r="E81" s="1332"/>
      <c r="F81" s="1332"/>
      <c r="G81" s="1378"/>
      <c r="H81" s="1378"/>
      <c r="I81" s="1332"/>
      <c r="J81" s="1332"/>
      <c r="K81" s="1332"/>
      <c r="L81" s="1332"/>
      <c r="M81" s="1332"/>
      <c r="N81" s="1332"/>
      <c r="O81" s="1332"/>
      <c r="P81" s="1332"/>
      <c r="Q81" s="1332"/>
      <c r="R81" s="1332"/>
      <c r="S81" s="1332"/>
      <c r="T81" s="1332"/>
      <c r="U81" s="1332"/>
      <c r="V81" s="1332"/>
      <c r="W81" s="1332"/>
      <c r="X81" s="1332"/>
      <c r="Y81" s="1332"/>
      <c r="Z81" s="1332"/>
      <c r="AA81" s="1332"/>
      <c r="AB81" s="1332"/>
    </row>
    <row r="82">
      <c r="A82" s="1332"/>
      <c r="B82" s="1366"/>
      <c r="C82" s="1366"/>
      <c r="D82" s="1375"/>
      <c r="E82" s="1332"/>
      <c r="F82" s="1332"/>
      <c r="G82" s="1378"/>
      <c r="H82" s="1378"/>
      <c r="I82" s="1332"/>
      <c r="J82" s="1332"/>
      <c r="K82" s="1332"/>
      <c r="L82" s="1332"/>
      <c r="M82" s="1332"/>
      <c r="N82" s="1332"/>
      <c r="O82" s="1332"/>
      <c r="P82" s="1332"/>
      <c r="Q82" s="1332"/>
      <c r="R82" s="1332"/>
      <c r="S82" s="1332"/>
      <c r="T82" s="1332"/>
      <c r="U82" s="1332"/>
      <c r="V82" s="1332"/>
      <c r="W82" s="1332"/>
      <c r="X82" s="1332"/>
      <c r="Y82" s="1332"/>
      <c r="Z82" s="1332"/>
      <c r="AA82" s="1332"/>
      <c r="AB82" s="1332"/>
    </row>
    <row r="83">
      <c r="A83" s="1332"/>
      <c r="B83" s="1366"/>
      <c r="C83" s="1366"/>
      <c r="D83" s="1375"/>
      <c r="E83" s="1332"/>
      <c r="F83" s="1332"/>
      <c r="G83" s="1378"/>
      <c r="H83" s="1378"/>
      <c r="I83" s="1332"/>
      <c r="J83" s="1332"/>
      <c r="K83" s="1332"/>
      <c r="L83" s="1332"/>
      <c r="M83" s="1332"/>
      <c r="N83" s="1332"/>
      <c r="O83" s="1332"/>
      <c r="P83" s="1332"/>
      <c r="Q83" s="1332"/>
      <c r="R83" s="1332"/>
      <c r="S83" s="1332"/>
      <c r="T83" s="1332"/>
      <c r="U83" s="1332"/>
      <c r="V83" s="1332"/>
      <c r="W83" s="1332"/>
      <c r="X83" s="1332"/>
      <c r="Y83" s="1332"/>
      <c r="Z83" s="1332"/>
      <c r="AA83" s="1332"/>
      <c r="AB83" s="1332"/>
    </row>
    <row r="84">
      <c r="A84" s="1332"/>
      <c r="B84" s="1366"/>
      <c r="C84" s="1366"/>
      <c r="D84" s="1375"/>
      <c r="E84" s="1332"/>
      <c r="F84" s="1332"/>
      <c r="G84" s="1378"/>
      <c r="H84" s="1378"/>
      <c r="I84" s="1332"/>
      <c r="J84" s="1332"/>
      <c r="K84" s="1332"/>
      <c r="L84" s="1332"/>
      <c r="M84" s="1332"/>
      <c r="N84" s="1332"/>
      <c r="O84" s="1332"/>
      <c r="P84" s="1332"/>
      <c r="Q84" s="1332"/>
      <c r="R84" s="1332"/>
      <c r="S84" s="1332"/>
      <c r="T84" s="1332"/>
      <c r="U84" s="1332"/>
      <c r="V84" s="1332"/>
      <c r="W84" s="1332"/>
      <c r="X84" s="1332"/>
      <c r="Y84" s="1332"/>
      <c r="Z84" s="1332"/>
      <c r="AA84" s="1332"/>
      <c r="AB84" s="1332"/>
    </row>
    <row r="85">
      <c r="A85" s="1332"/>
      <c r="B85" s="1366"/>
      <c r="C85" s="1366"/>
      <c r="D85" s="1375"/>
      <c r="E85" s="1332"/>
      <c r="F85" s="1332"/>
      <c r="G85" s="1378"/>
      <c r="H85" s="1378"/>
      <c r="I85" s="1332"/>
      <c r="J85" s="1332"/>
      <c r="K85" s="1332"/>
      <c r="L85" s="1332"/>
      <c r="M85" s="1332"/>
      <c r="N85" s="1332"/>
      <c r="O85" s="1332"/>
      <c r="P85" s="1332"/>
      <c r="Q85" s="1332"/>
      <c r="R85" s="1332"/>
      <c r="S85" s="1332"/>
      <c r="T85" s="1332"/>
      <c r="U85" s="1332"/>
      <c r="V85" s="1332"/>
      <c r="W85" s="1332"/>
      <c r="X85" s="1332"/>
      <c r="Y85" s="1332"/>
      <c r="Z85" s="1332"/>
      <c r="AA85" s="1332"/>
      <c r="AB85" s="1332"/>
    </row>
    <row r="86">
      <c r="A86" s="1332"/>
      <c r="B86" s="1366"/>
      <c r="C86" s="1366"/>
      <c r="D86" s="1375"/>
      <c r="E86" s="1332"/>
      <c r="F86" s="1332"/>
      <c r="G86" s="1378"/>
      <c r="H86" s="1378"/>
      <c r="I86" s="1332"/>
      <c r="J86" s="1332"/>
      <c r="K86" s="1332"/>
      <c r="L86" s="1332"/>
      <c r="M86" s="1332"/>
      <c r="N86" s="1332"/>
      <c r="O86" s="1332"/>
      <c r="P86" s="1332"/>
      <c r="Q86" s="1332"/>
      <c r="R86" s="1332"/>
      <c r="S86" s="1332"/>
      <c r="T86" s="1332"/>
      <c r="U86" s="1332"/>
      <c r="V86" s="1332"/>
      <c r="W86" s="1332"/>
      <c r="X86" s="1332"/>
      <c r="Y86" s="1332"/>
      <c r="Z86" s="1332"/>
      <c r="AA86" s="1332"/>
      <c r="AB86" s="1332"/>
    </row>
    <row r="87">
      <c r="A87" s="1332"/>
      <c r="B87" s="1366"/>
      <c r="C87" s="1366"/>
      <c r="D87" s="1375"/>
      <c r="E87" s="1332"/>
      <c r="F87" s="1332"/>
      <c r="G87" s="1378"/>
      <c r="H87" s="1378"/>
      <c r="I87" s="1332"/>
      <c r="J87" s="1332"/>
      <c r="K87" s="1332"/>
      <c r="L87" s="1332"/>
      <c r="M87" s="1332"/>
      <c r="N87" s="1332"/>
      <c r="O87" s="1332"/>
      <c r="P87" s="1332"/>
      <c r="Q87" s="1332"/>
      <c r="R87" s="1332"/>
      <c r="S87" s="1332"/>
      <c r="T87" s="1332"/>
      <c r="U87" s="1332"/>
      <c r="V87" s="1332"/>
      <c r="W87" s="1332"/>
      <c r="X87" s="1332"/>
      <c r="Y87" s="1332"/>
      <c r="Z87" s="1332"/>
      <c r="AA87" s="1332"/>
      <c r="AB87" s="1332"/>
    </row>
    <row r="88">
      <c r="A88" s="1332"/>
      <c r="B88" s="1366"/>
      <c r="C88" s="1366"/>
      <c r="D88" s="1375"/>
      <c r="E88" s="1332"/>
      <c r="F88" s="1332"/>
      <c r="G88" s="1378"/>
      <c r="H88" s="1378"/>
      <c r="I88" s="1332"/>
      <c r="J88" s="1332"/>
      <c r="K88" s="1332"/>
      <c r="L88" s="1332"/>
      <c r="M88" s="1332"/>
      <c r="N88" s="1332"/>
      <c r="O88" s="1332"/>
      <c r="P88" s="1332"/>
      <c r="Q88" s="1332"/>
      <c r="R88" s="1332"/>
      <c r="S88" s="1332"/>
      <c r="T88" s="1332"/>
      <c r="U88" s="1332"/>
      <c r="V88" s="1332"/>
      <c r="W88" s="1332"/>
      <c r="X88" s="1332"/>
      <c r="Y88" s="1332"/>
      <c r="Z88" s="1332"/>
      <c r="AA88" s="1332"/>
      <c r="AB88" s="1332"/>
    </row>
    <row r="89">
      <c r="A89" s="1332"/>
      <c r="B89" s="1366"/>
      <c r="C89" s="1366"/>
      <c r="D89" s="1375"/>
      <c r="E89" s="1332"/>
      <c r="F89" s="1332"/>
      <c r="G89" s="1378"/>
      <c r="H89" s="1378"/>
      <c r="I89" s="1332"/>
      <c r="J89" s="1332"/>
      <c r="K89" s="1332"/>
      <c r="L89" s="1332"/>
      <c r="M89" s="1332"/>
      <c r="N89" s="1332"/>
      <c r="O89" s="1332"/>
      <c r="P89" s="1332"/>
      <c r="Q89" s="1332"/>
      <c r="R89" s="1332"/>
      <c r="S89" s="1332"/>
      <c r="T89" s="1332"/>
      <c r="U89" s="1332"/>
      <c r="V89" s="1332"/>
      <c r="W89" s="1332"/>
      <c r="X89" s="1332"/>
      <c r="Y89" s="1332"/>
      <c r="Z89" s="1332"/>
      <c r="AA89" s="1332"/>
      <c r="AB89" s="1332"/>
    </row>
    <row r="90">
      <c r="A90" s="1332"/>
      <c r="B90" s="1366"/>
      <c r="C90" s="1366"/>
      <c r="D90" s="1375"/>
      <c r="E90" s="1332"/>
      <c r="F90" s="1332"/>
      <c r="G90" s="1378"/>
      <c r="H90" s="1378"/>
      <c r="I90" s="1332"/>
      <c r="J90" s="1332"/>
      <c r="K90" s="1332"/>
      <c r="L90" s="1332"/>
      <c r="M90" s="1332"/>
      <c r="N90" s="1332"/>
      <c r="O90" s="1332"/>
      <c r="P90" s="1332"/>
      <c r="Q90" s="1332"/>
      <c r="R90" s="1332"/>
      <c r="S90" s="1332"/>
      <c r="T90" s="1332"/>
      <c r="U90" s="1332"/>
      <c r="V90" s="1332"/>
      <c r="W90" s="1332"/>
      <c r="X90" s="1332"/>
      <c r="Y90" s="1332"/>
      <c r="Z90" s="1332"/>
      <c r="AA90" s="1332"/>
      <c r="AB90" s="1332"/>
    </row>
    <row r="91">
      <c r="A91" s="1332"/>
      <c r="B91" s="1366"/>
      <c r="C91" s="1366"/>
      <c r="D91" s="1375"/>
      <c r="E91" s="1332"/>
      <c r="F91" s="1332"/>
      <c r="G91" s="1378"/>
      <c r="H91" s="1378"/>
      <c r="I91" s="1332"/>
      <c r="J91" s="1332"/>
      <c r="K91" s="1332"/>
      <c r="L91" s="1332"/>
      <c r="M91" s="1332"/>
      <c r="N91" s="1332"/>
      <c r="O91" s="1332"/>
      <c r="P91" s="1332"/>
      <c r="Q91" s="1332"/>
      <c r="R91" s="1332"/>
      <c r="S91" s="1332"/>
      <c r="T91" s="1332"/>
      <c r="U91" s="1332"/>
      <c r="V91" s="1332"/>
      <c r="W91" s="1332"/>
      <c r="X91" s="1332"/>
      <c r="Y91" s="1332"/>
      <c r="Z91" s="1332"/>
      <c r="AA91" s="1332"/>
      <c r="AB91" s="1332"/>
    </row>
    <row r="92">
      <c r="A92" s="1332"/>
      <c r="B92" s="1366"/>
      <c r="C92" s="1366"/>
      <c r="D92" s="1375"/>
      <c r="E92" s="1332"/>
      <c r="F92" s="1332"/>
      <c r="G92" s="1378"/>
      <c r="H92" s="1378"/>
      <c r="I92" s="1332"/>
      <c r="J92" s="1332"/>
      <c r="K92" s="1332"/>
      <c r="L92" s="1332"/>
      <c r="M92" s="1332"/>
      <c r="N92" s="1332"/>
      <c r="O92" s="1332"/>
      <c r="P92" s="1332"/>
      <c r="Q92" s="1332"/>
      <c r="R92" s="1332"/>
      <c r="S92" s="1332"/>
      <c r="T92" s="1332"/>
      <c r="U92" s="1332"/>
      <c r="V92" s="1332"/>
      <c r="W92" s="1332"/>
      <c r="X92" s="1332"/>
      <c r="Y92" s="1332"/>
      <c r="Z92" s="1332"/>
      <c r="AA92" s="1332"/>
      <c r="AB92" s="1332"/>
    </row>
    <row r="93">
      <c r="A93" s="1332"/>
      <c r="B93" s="1366"/>
      <c r="C93" s="1366"/>
      <c r="D93" s="1375"/>
      <c r="E93" s="1332"/>
      <c r="F93" s="1332"/>
      <c r="G93" s="1378"/>
      <c r="H93" s="1378"/>
      <c r="I93" s="1332"/>
      <c r="J93" s="1332"/>
      <c r="K93" s="1332"/>
      <c r="L93" s="1332"/>
      <c r="M93" s="1332"/>
      <c r="N93" s="1332"/>
      <c r="O93" s="1332"/>
      <c r="P93" s="1332"/>
      <c r="Q93" s="1332"/>
      <c r="R93" s="1332"/>
      <c r="S93" s="1332"/>
      <c r="T93" s="1332"/>
      <c r="U93" s="1332"/>
      <c r="V93" s="1332"/>
      <c r="W93" s="1332"/>
      <c r="X93" s="1332"/>
      <c r="Y93" s="1332"/>
      <c r="Z93" s="1332"/>
      <c r="AA93" s="1332"/>
      <c r="AB93" s="1332"/>
    </row>
    <row r="94">
      <c r="A94" s="1332"/>
      <c r="B94" s="1366"/>
      <c r="C94" s="1366"/>
      <c r="D94" s="1375"/>
      <c r="E94" s="1332"/>
      <c r="F94" s="1332"/>
      <c r="G94" s="1378"/>
      <c r="H94" s="1378"/>
      <c r="I94" s="1332"/>
      <c r="J94" s="1332"/>
      <c r="K94" s="1332"/>
      <c r="L94" s="1332"/>
      <c r="M94" s="1332"/>
      <c r="N94" s="1332"/>
      <c r="O94" s="1332"/>
      <c r="P94" s="1332"/>
      <c r="Q94" s="1332"/>
      <c r="R94" s="1332"/>
      <c r="S94" s="1332"/>
      <c r="T94" s="1332"/>
      <c r="U94" s="1332"/>
      <c r="V94" s="1332"/>
      <c r="W94" s="1332"/>
      <c r="X94" s="1332"/>
      <c r="Y94" s="1332"/>
      <c r="Z94" s="1332"/>
      <c r="AA94" s="1332"/>
      <c r="AB94" s="1332"/>
    </row>
    <row r="95">
      <c r="A95" s="1332"/>
      <c r="B95" s="1366"/>
      <c r="C95" s="1366"/>
      <c r="D95" s="1375"/>
      <c r="E95" s="1332"/>
      <c r="F95" s="1332"/>
      <c r="G95" s="1378"/>
      <c r="H95" s="1378"/>
      <c r="I95" s="1332"/>
      <c r="J95" s="1332"/>
      <c r="K95" s="1332"/>
      <c r="L95" s="1332"/>
      <c r="M95" s="1332"/>
      <c r="N95" s="1332"/>
      <c r="O95" s="1332"/>
      <c r="P95" s="1332"/>
      <c r="Q95" s="1332"/>
      <c r="R95" s="1332"/>
      <c r="S95" s="1332"/>
      <c r="T95" s="1332"/>
      <c r="U95" s="1332"/>
      <c r="V95" s="1332"/>
      <c r="W95" s="1332"/>
      <c r="X95" s="1332"/>
      <c r="Y95" s="1332"/>
      <c r="Z95" s="1332"/>
      <c r="AA95" s="1332"/>
      <c r="AB95" s="1332"/>
    </row>
    <row r="96">
      <c r="A96" s="1332"/>
      <c r="B96" s="1366"/>
      <c r="C96" s="1366"/>
      <c r="D96" s="1375"/>
      <c r="E96" s="1332"/>
      <c r="F96" s="1332"/>
      <c r="G96" s="1378"/>
      <c r="H96" s="1378"/>
      <c r="I96" s="1332"/>
      <c r="J96" s="1332"/>
      <c r="K96" s="1332"/>
      <c r="L96" s="1332"/>
      <c r="M96" s="1332"/>
      <c r="N96" s="1332"/>
      <c r="O96" s="1332"/>
      <c r="P96" s="1332"/>
      <c r="Q96" s="1332"/>
      <c r="R96" s="1332"/>
      <c r="S96" s="1332"/>
      <c r="T96" s="1332"/>
      <c r="U96" s="1332"/>
      <c r="V96" s="1332"/>
      <c r="W96" s="1332"/>
      <c r="X96" s="1332"/>
      <c r="Y96" s="1332"/>
      <c r="Z96" s="1332"/>
      <c r="AA96" s="1332"/>
      <c r="AB96" s="1332"/>
    </row>
    <row r="97">
      <c r="A97" s="1332"/>
      <c r="B97" s="1366"/>
      <c r="C97" s="1366"/>
      <c r="D97" s="1375"/>
      <c r="E97" s="1332"/>
      <c r="F97" s="1332"/>
      <c r="G97" s="1378"/>
      <c r="H97" s="1378"/>
      <c r="I97" s="1332"/>
      <c r="J97" s="1332"/>
      <c r="K97" s="1332"/>
      <c r="L97" s="1332"/>
      <c r="M97" s="1332"/>
      <c r="N97" s="1332"/>
      <c r="O97" s="1332"/>
      <c r="P97" s="1332"/>
      <c r="Q97" s="1332"/>
      <c r="R97" s="1332"/>
      <c r="S97" s="1332"/>
      <c r="T97" s="1332"/>
      <c r="U97" s="1332"/>
      <c r="V97" s="1332"/>
      <c r="W97" s="1332"/>
      <c r="X97" s="1332"/>
      <c r="Y97" s="1332"/>
      <c r="Z97" s="1332"/>
      <c r="AA97" s="1332"/>
      <c r="AB97" s="1332"/>
    </row>
    <row r="98">
      <c r="A98" s="1332"/>
      <c r="B98" s="1366"/>
      <c r="C98" s="1366"/>
      <c r="D98" s="1375"/>
      <c r="E98" s="1332"/>
      <c r="F98" s="1332"/>
      <c r="G98" s="1378"/>
      <c r="H98" s="1378"/>
      <c r="I98" s="1332"/>
      <c r="J98" s="1332"/>
      <c r="K98" s="1332"/>
      <c r="L98" s="1332"/>
      <c r="M98" s="1332"/>
      <c r="N98" s="1332"/>
      <c r="O98" s="1332"/>
      <c r="P98" s="1332"/>
      <c r="Q98" s="1332"/>
      <c r="R98" s="1332"/>
      <c r="S98" s="1332"/>
      <c r="T98" s="1332"/>
      <c r="U98" s="1332"/>
      <c r="V98" s="1332"/>
      <c r="W98" s="1332"/>
      <c r="X98" s="1332"/>
      <c r="Y98" s="1332"/>
      <c r="Z98" s="1332"/>
      <c r="AA98" s="1332"/>
      <c r="AB98" s="1332"/>
    </row>
    <row r="99">
      <c r="A99" s="1332"/>
      <c r="B99" s="1366"/>
      <c r="C99" s="1366"/>
      <c r="D99" s="1375"/>
      <c r="E99" s="1332"/>
      <c r="F99" s="1332"/>
      <c r="G99" s="1378"/>
      <c r="H99" s="1378"/>
      <c r="I99" s="1332"/>
      <c r="J99" s="1332"/>
      <c r="K99" s="1332"/>
      <c r="L99" s="1332"/>
      <c r="M99" s="1332"/>
      <c r="N99" s="1332"/>
      <c r="O99" s="1332"/>
      <c r="P99" s="1332"/>
      <c r="Q99" s="1332"/>
      <c r="R99" s="1332"/>
      <c r="S99" s="1332"/>
      <c r="T99" s="1332"/>
      <c r="U99" s="1332"/>
      <c r="V99" s="1332"/>
      <c r="W99" s="1332"/>
      <c r="X99" s="1332"/>
      <c r="Y99" s="1332"/>
      <c r="Z99" s="1332"/>
      <c r="AA99" s="1332"/>
      <c r="AB99" s="1332"/>
    </row>
    <row r="100">
      <c r="A100" s="1332"/>
      <c r="B100" s="1366"/>
      <c r="C100" s="1366"/>
      <c r="D100" s="1375"/>
      <c r="E100" s="1332"/>
      <c r="F100" s="1332"/>
      <c r="G100" s="1378"/>
      <c r="H100" s="1378"/>
      <c r="I100" s="1332"/>
      <c r="J100" s="1332"/>
      <c r="K100" s="1332"/>
      <c r="L100" s="1332"/>
      <c r="M100" s="1332"/>
      <c r="N100" s="1332"/>
      <c r="O100" s="1332"/>
      <c r="P100" s="1332"/>
      <c r="Q100" s="1332"/>
      <c r="R100" s="1332"/>
      <c r="S100" s="1332"/>
      <c r="T100" s="1332"/>
      <c r="U100" s="1332"/>
      <c r="V100" s="1332"/>
      <c r="W100" s="1332"/>
      <c r="X100" s="1332"/>
      <c r="Y100" s="1332"/>
      <c r="Z100" s="1332"/>
      <c r="AA100" s="1332"/>
      <c r="AB100" s="1332"/>
    </row>
    <row r="101">
      <c r="A101" s="1332"/>
      <c r="B101" s="1366"/>
      <c r="C101" s="1366"/>
      <c r="D101" s="1375"/>
      <c r="E101" s="1332"/>
      <c r="F101" s="1332"/>
      <c r="G101" s="1378"/>
      <c r="H101" s="1378"/>
      <c r="I101" s="1332"/>
      <c r="J101" s="1332"/>
      <c r="K101" s="1332"/>
      <c r="L101" s="1332"/>
      <c r="M101" s="1332"/>
      <c r="N101" s="1332"/>
      <c r="O101" s="1332"/>
      <c r="P101" s="1332"/>
      <c r="Q101" s="1332"/>
      <c r="R101" s="1332"/>
      <c r="S101" s="1332"/>
      <c r="T101" s="1332"/>
      <c r="U101" s="1332"/>
      <c r="V101" s="1332"/>
      <c r="W101" s="1332"/>
      <c r="X101" s="1332"/>
      <c r="Y101" s="1332"/>
      <c r="Z101" s="1332"/>
      <c r="AA101" s="1332"/>
      <c r="AB101" s="1332"/>
    </row>
    <row r="102">
      <c r="A102" s="1332"/>
      <c r="B102" s="1366"/>
      <c r="C102" s="1366"/>
      <c r="D102" s="1375"/>
      <c r="E102" s="1332"/>
      <c r="F102" s="1332"/>
      <c r="G102" s="1378"/>
      <c r="H102" s="1378"/>
      <c r="I102" s="1332"/>
      <c r="J102" s="1332"/>
      <c r="K102" s="1332"/>
      <c r="L102" s="1332"/>
      <c r="M102" s="1332"/>
      <c r="N102" s="1332"/>
      <c r="O102" s="1332"/>
      <c r="P102" s="1332"/>
      <c r="Q102" s="1332"/>
      <c r="R102" s="1332"/>
      <c r="S102" s="1332"/>
      <c r="T102" s="1332"/>
      <c r="U102" s="1332"/>
      <c r="V102" s="1332"/>
      <c r="W102" s="1332"/>
      <c r="X102" s="1332"/>
      <c r="Y102" s="1332"/>
      <c r="Z102" s="1332"/>
      <c r="AA102" s="1332"/>
      <c r="AB102" s="1332"/>
    </row>
    <row r="103">
      <c r="A103" s="1332"/>
      <c r="B103" s="1366"/>
      <c r="C103" s="1366"/>
      <c r="D103" s="1375"/>
      <c r="E103" s="1332"/>
      <c r="F103" s="1332"/>
      <c r="G103" s="1378"/>
      <c r="H103" s="1378"/>
      <c r="I103" s="1332"/>
      <c r="J103" s="1332"/>
      <c r="K103" s="1332"/>
      <c r="L103" s="1332"/>
      <c r="M103" s="1332"/>
      <c r="N103" s="1332"/>
      <c r="O103" s="1332"/>
      <c r="P103" s="1332"/>
      <c r="Q103" s="1332"/>
      <c r="R103" s="1332"/>
      <c r="S103" s="1332"/>
      <c r="T103" s="1332"/>
      <c r="U103" s="1332"/>
      <c r="V103" s="1332"/>
      <c r="W103" s="1332"/>
      <c r="X103" s="1332"/>
      <c r="Y103" s="1332"/>
      <c r="Z103" s="1332"/>
      <c r="AA103" s="1332"/>
      <c r="AB103" s="1332"/>
    </row>
    <row r="104">
      <c r="A104" s="1332"/>
      <c r="B104" s="1366"/>
      <c r="C104" s="1366"/>
      <c r="D104" s="1375"/>
      <c r="E104" s="1332"/>
      <c r="F104" s="1332"/>
      <c r="G104" s="1378"/>
      <c r="H104" s="1378"/>
      <c r="I104" s="1332"/>
      <c r="J104" s="1332"/>
      <c r="K104" s="1332"/>
      <c r="L104" s="1332"/>
      <c r="M104" s="1332"/>
      <c r="N104" s="1332"/>
      <c r="O104" s="1332"/>
      <c r="P104" s="1332"/>
      <c r="Q104" s="1332"/>
      <c r="R104" s="1332"/>
      <c r="S104" s="1332"/>
      <c r="T104" s="1332"/>
      <c r="U104" s="1332"/>
      <c r="V104" s="1332"/>
      <c r="W104" s="1332"/>
      <c r="X104" s="1332"/>
      <c r="Y104" s="1332"/>
      <c r="Z104" s="1332"/>
      <c r="AA104" s="1332"/>
      <c r="AB104" s="1332"/>
    </row>
    <row r="105">
      <c r="A105" s="1332"/>
      <c r="B105" s="1366"/>
      <c r="C105" s="1366"/>
      <c r="D105" s="1375"/>
      <c r="E105" s="1332"/>
      <c r="F105" s="1332"/>
      <c r="G105" s="1378"/>
      <c r="H105" s="1378"/>
      <c r="I105" s="1332"/>
      <c r="J105" s="1332"/>
      <c r="K105" s="1332"/>
      <c r="L105" s="1332"/>
      <c r="M105" s="1332"/>
      <c r="N105" s="1332"/>
      <c r="O105" s="1332"/>
      <c r="P105" s="1332"/>
      <c r="Q105" s="1332"/>
      <c r="R105" s="1332"/>
      <c r="S105" s="1332"/>
      <c r="T105" s="1332"/>
      <c r="U105" s="1332"/>
      <c r="V105" s="1332"/>
      <c r="W105" s="1332"/>
      <c r="X105" s="1332"/>
      <c r="Y105" s="1332"/>
      <c r="Z105" s="1332"/>
      <c r="AA105" s="1332"/>
      <c r="AB105" s="1332"/>
    </row>
    <row r="106">
      <c r="A106" s="1332"/>
      <c r="B106" s="1366"/>
      <c r="C106" s="1366"/>
      <c r="D106" s="1375"/>
      <c r="E106" s="1332"/>
      <c r="F106" s="1332"/>
      <c r="G106" s="1378"/>
      <c r="H106" s="1378"/>
      <c r="I106" s="1332"/>
      <c r="J106" s="1332"/>
      <c r="K106" s="1332"/>
      <c r="L106" s="1332"/>
      <c r="M106" s="1332"/>
      <c r="N106" s="1332"/>
      <c r="O106" s="1332"/>
      <c r="P106" s="1332"/>
      <c r="Q106" s="1332"/>
      <c r="R106" s="1332"/>
      <c r="S106" s="1332"/>
      <c r="T106" s="1332"/>
      <c r="U106" s="1332"/>
      <c r="V106" s="1332"/>
      <c r="W106" s="1332"/>
      <c r="X106" s="1332"/>
      <c r="Y106" s="1332"/>
      <c r="Z106" s="1332"/>
      <c r="AA106" s="1332"/>
      <c r="AB106" s="1332"/>
    </row>
    <row r="107">
      <c r="A107" s="1332"/>
      <c r="B107" s="1366"/>
      <c r="C107" s="1366"/>
      <c r="D107" s="1375"/>
      <c r="E107" s="1332"/>
      <c r="F107" s="1332"/>
      <c r="G107" s="1378"/>
      <c r="H107" s="1378"/>
      <c r="I107" s="1332"/>
      <c r="J107" s="1332"/>
      <c r="K107" s="1332"/>
      <c r="L107" s="1332"/>
      <c r="M107" s="1332"/>
      <c r="N107" s="1332"/>
      <c r="O107" s="1332"/>
      <c r="P107" s="1332"/>
      <c r="Q107" s="1332"/>
      <c r="R107" s="1332"/>
      <c r="S107" s="1332"/>
      <c r="T107" s="1332"/>
      <c r="U107" s="1332"/>
      <c r="V107" s="1332"/>
      <c r="W107" s="1332"/>
      <c r="X107" s="1332"/>
      <c r="Y107" s="1332"/>
      <c r="Z107" s="1332"/>
      <c r="AA107" s="1332"/>
      <c r="AB107" s="1332"/>
    </row>
    <row r="108">
      <c r="A108" s="1332"/>
      <c r="B108" s="1366"/>
      <c r="C108" s="1366"/>
      <c r="D108" s="1375"/>
      <c r="E108" s="1332"/>
      <c r="F108" s="1332"/>
      <c r="G108" s="1378"/>
      <c r="H108" s="1378"/>
      <c r="I108" s="1332"/>
      <c r="J108" s="1332"/>
      <c r="K108" s="1332"/>
      <c r="L108" s="1332"/>
      <c r="M108" s="1332"/>
      <c r="N108" s="1332"/>
      <c r="O108" s="1332"/>
      <c r="P108" s="1332"/>
      <c r="Q108" s="1332"/>
      <c r="R108" s="1332"/>
      <c r="S108" s="1332"/>
      <c r="T108" s="1332"/>
      <c r="U108" s="1332"/>
      <c r="V108" s="1332"/>
      <c r="W108" s="1332"/>
      <c r="X108" s="1332"/>
      <c r="Y108" s="1332"/>
      <c r="Z108" s="1332"/>
      <c r="AA108" s="1332"/>
      <c r="AB108" s="1332"/>
    </row>
    <row r="109">
      <c r="A109" s="1332"/>
      <c r="B109" s="1366"/>
      <c r="C109" s="1366"/>
      <c r="D109" s="1375"/>
      <c r="E109" s="1332"/>
      <c r="F109" s="1332"/>
      <c r="G109" s="1378"/>
      <c r="H109" s="1378"/>
      <c r="I109" s="1332"/>
      <c r="J109" s="1332"/>
      <c r="K109" s="1332"/>
      <c r="L109" s="1332"/>
      <c r="M109" s="1332"/>
      <c r="N109" s="1332"/>
      <c r="O109" s="1332"/>
      <c r="P109" s="1332"/>
      <c r="Q109" s="1332"/>
      <c r="R109" s="1332"/>
      <c r="S109" s="1332"/>
      <c r="T109" s="1332"/>
      <c r="U109" s="1332"/>
      <c r="V109" s="1332"/>
      <c r="W109" s="1332"/>
      <c r="X109" s="1332"/>
      <c r="Y109" s="1332"/>
      <c r="Z109" s="1332"/>
      <c r="AA109" s="1332"/>
      <c r="AB109" s="1332"/>
    </row>
    <row r="110">
      <c r="A110" s="1332"/>
      <c r="B110" s="1366"/>
      <c r="C110" s="1366"/>
      <c r="D110" s="1375"/>
      <c r="E110" s="1332"/>
      <c r="F110" s="1332"/>
      <c r="G110" s="1378"/>
      <c r="H110" s="1378"/>
      <c r="I110" s="1332"/>
      <c r="J110" s="1332"/>
      <c r="K110" s="1332"/>
      <c r="L110" s="1332"/>
      <c r="M110" s="1332"/>
      <c r="N110" s="1332"/>
      <c r="O110" s="1332"/>
      <c r="P110" s="1332"/>
      <c r="Q110" s="1332"/>
      <c r="R110" s="1332"/>
      <c r="S110" s="1332"/>
      <c r="T110" s="1332"/>
      <c r="U110" s="1332"/>
      <c r="V110" s="1332"/>
      <c r="W110" s="1332"/>
      <c r="X110" s="1332"/>
      <c r="Y110" s="1332"/>
      <c r="Z110" s="1332"/>
      <c r="AA110" s="1332"/>
      <c r="AB110" s="1332"/>
    </row>
    <row r="111">
      <c r="A111" s="1332"/>
      <c r="B111" s="1366"/>
      <c r="C111" s="1366"/>
      <c r="D111" s="1375"/>
      <c r="E111" s="1332"/>
      <c r="F111" s="1332"/>
      <c r="G111" s="1378"/>
      <c r="H111" s="1378"/>
      <c r="I111" s="1332"/>
      <c r="J111" s="1332"/>
      <c r="K111" s="1332"/>
      <c r="L111" s="1332"/>
      <c r="M111" s="1332"/>
      <c r="N111" s="1332"/>
      <c r="O111" s="1332"/>
      <c r="P111" s="1332"/>
      <c r="Q111" s="1332"/>
      <c r="R111" s="1332"/>
      <c r="S111" s="1332"/>
      <c r="T111" s="1332"/>
      <c r="U111" s="1332"/>
      <c r="V111" s="1332"/>
      <c r="W111" s="1332"/>
      <c r="X111" s="1332"/>
      <c r="Y111" s="1332"/>
      <c r="Z111" s="1332"/>
      <c r="AA111" s="1332"/>
      <c r="AB111" s="1332"/>
    </row>
    <row r="112">
      <c r="A112" s="1332"/>
      <c r="B112" s="1366"/>
      <c r="C112" s="1366"/>
      <c r="D112" s="1375"/>
      <c r="E112" s="1332"/>
      <c r="F112" s="1332"/>
      <c r="G112" s="1378"/>
      <c r="H112" s="1378"/>
      <c r="I112" s="1332"/>
      <c r="J112" s="1332"/>
      <c r="K112" s="1332"/>
      <c r="L112" s="1332"/>
      <c r="M112" s="1332"/>
      <c r="N112" s="1332"/>
      <c r="O112" s="1332"/>
      <c r="P112" s="1332"/>
      <c r="Q112" s="1332"/>
      <c r="R112" s="1332"/>
      <c r="S112" s="1332"/>
      <c r="T112" s="1332"/>
      <c r="U112" s="1332"/>
      <c r="V112" s="1332"/>
      <c r="W112" s="1332"/>
      <c r="X112" s="1332"/>
      <c r="Y112" s="1332"/>
      <c r="Z112" s="1332"/>
      <c r="AA112" s="1332"/>
      <c r="AB112" s="1332"/>
    </row>
    <row r="113">
      <c r="A113" s="1332"/>
      <c r="B113" s="1366"/>
      <c r="C113" s="1366"/>
      <c r="D113" s="1375"/>
      <c r="E113" s="1332"/>
      <c r="F113" s="1332"/>
      <c r="G113" s="1378"/>
      <c r="H113" s="1378"/>
      <c r="I113" s="1332"/>
      <c r="J113" s="1332"/>
      <c r="K113" s="1332"/>
      <c r="L113" s="1332"/>
      <c r="M113" s="1332"/>
      <c r="N113" s="1332"/>
      <c r="O113" s="1332"/>
      <c r="P113" s="1332"/>
      <c r="Q113" s="1332"/>
      <c r="R113" s="1332"/>
      <c r="S113" s="1332"/>
      <c r="T113" s="1332"/>
      <c r="U113" s="1332"/>
      <c r="V113" s="1332"/>
      <c r="W113" s="1332"/>
      <c r="X113" s="1332"/>
      <c r="Y113" s="1332"/>
      <c r="Z113" s="1332"/>
      <c r="AA113" s="1332"/>
      <c r="AB113" s="1332"/>
    </row>
    <row r="114">
      <c r="A114" s="1332"/>
      <c r="B114" s="1366"/>
      <c r="C114" s="1366"/>
      <c r="D114" s="1375"/>
      <c r="E114" s="1332"/>
      <c r="F114" s="1332"/>
      <c r="G114" s="1378"/>
      <c r="H114" s="1378"/>
      <c r="I114" s="1332"/>
      <c r="J114" s="1332"/>
      <c r="K114" s="1332"/>
      <c r="L114" s="1332"/>
      <c r="M114" s="1332"/>
      <c r="N114" s="1332"/>
      <c r="O114" s="1332"/>
      <c r="P114" s="1332"/>
      <c r="Q114" s="1332"/>
      <c r="R114" s="1332"/>
      <c r="S114" s="1332"/>
      <c r="T114" s="1332"/>
      <c r="U114" s="1332"/>
      <c r="V114" s="1332"/>
      <c r="W114" s="1332"/>
      <c r="X114" s="1332"/>
      <c r="Y114" s="1332"/>
      <c r="Z114" s="1332"/>
      <c r="AA114" s="1332"/>
      <c r="AB114" s="1332"/>
    </row>
    <row r="115">
      <c r="A115" s="1332"/>
      <c r="B115" s="1366"/>
      <c r="C115" s="1366"/>
      <c r="D115" s="1375"/>
      <c r="E115" s="1332"/>
      <c r="F115" s="1332"/>
      <c r="G115" s="1378"/>
      <c r="H115" s="1378"/>
      <c r="I115" s="1332"/>
      <c r="J115" s="1332"/>
      <c r="K115" s="1332"/>
      <c r="L115" s="1332"/>
      <c r="M115" s="1332"/>
      <c r="N115" s="1332"/>
      <c r="O115" s="1332"/>
      <c r="P115" s="1332"/>
      <c r="Q115" s="1332"/>
      <c r="R115" s="1332"/>
      <c r="S115" s="1332"/>
      <c r="T115" s="1332"/>
      <c r="U115" s="1332"/>
      <c r="V115" s="1332"/>
      <c r="W115" s="1332"/>
      <c r="X115" s="1332"/>
      <c r="Y115" s="1332"/>
      <c r="Z115" s="1332"/>
      <c r="AA115" s="1332"/>
      <c r="AB115" s="1332"/>
    </row>
    <row r="116">
      <c r="A116" s="1332"/>
      <c r="B116" s="1366"/>
      <c r="C116" s="1366"/>
      <c r="D116" s="1375"/>
      <c r="E116" s="1332"/>
      <c r="F116" s="1332"/>
      <c r="G116" s="1378"/>
      <c r="H116" s="1378"/>
      <c r="I116" s="1332"/>
      <c r="J116" s="1332"/>
      <c r="K116" s="1332"/>
      <c r="L116" s="1332"/>
      <c r="M116" s="1332"/>
      <c r="N116" s="1332"/>
      <c r="O116" s="1332"/>
      <c r="P116" s="1332"/>
      <c r="Q116" s="1332"/>
      <c r="R116" s="1332"/>
      <c r="S116" s="1332"/>
      <c r="T116" s="1332"/>
      <c r="U116" s="1332"/>
      <c r="V116" s="1332"/>
      <c r="W116" s="1332"/>
      <c r="X116" s="1332"/>
      <c r="Y116" s="1332"/>
      <c r="Z116" s="1332"/>
      <c r="AA116" s="1332"/>
      <c r="AB116" s="1332"/>
    </row>
    <row r="117">
      <c r="A117" s="1332"/>
      <c r="B117" s="1366"/>
      <c r="C117" s="1366"/>
      <c r="D117" s="1375"/>
      <c r="E117" s="1332"/>
      <c r="F117" s="1332"/>
      <c r="G117" s="1378"/>
      <c r="H117" s="1378"/>
      <c r="I117" s="1332"/>
      <c r="J117" s="1332"/>
      <c r="K117" s="1332"/>
      <c r="L117" s="1332"/>
      <c r="M117" s="1332"/>
      <c r="N117" s="1332"/>
      <c r="O117" s="1332"/>
      <c r="P117" s="1332"/>
      <c r="Q117" s="1332"/>
      <c r="R117" s="1332"/>
      <c r="S117" s="1332"/>
      <c r="T117" s="1332"/>
      <c r="U117" s="1332"/>
      <c r="V117" s="1332"/>
      <c r="W117" s="1332"/>
      <c r="X117" s="1332"/>
      <c r="Y117" s="1332"/>
      <c r="Z117" s="1332"/>
      <c r="AA117" s="1332"/>
      <c r="AB117" s="1332"/>
    </row>
    <row r="118">
      <c r="A118" s="1332"/>
      <c r="B118" s="1366"/>
      <c r="C118" s="1366"/>
      <c r="D118" s="1375"/>
      <c r="E118" s="1332"/>
      <c r="F118" s="1332"/>
      <c r="G118" s="1378"/>
      <c r="H118" s="1378"/>
      <c r="I118" s="1332"/>
      <c r="J118" s="1332"/>
      <c r="K118" s="1332"/>
      <c r="L118" s="1332"/>
      <c r="M118" s="1332"/>
      <c r="N118" s="1332"/>
      <c r="O118" s="1332"/>
      <c r="P118" s="1332"/>
      <c r="Q118" s="1332"/>
      <c r="R118" s="1332"/>
      <c r="S118" s="1332"/>
      <c r="T118" s="1332"/>
      <c r="U118" s="1332"/>
      <c r="V118" s="1332"/>
      <c r="W118" s="1332"/>
      <c r="X118" s="1332"/>
      <c r="Y118" s="1332"/>
      <c r="Z118" s="1332"/>
      <c r="AA118" s="1332"/>
      <c r="AB118" s="1332"/>
    </row>
    <row r="119">
      <c r="A119" s="1332"/>
      <c r="B119" s="1366"/>
      <c r="C119" s="1366"/>
      <c r="D119" s="1375"/>
      <c r="E119" s="1332"/>
      <c r="F119" s="1332"/>
      <c r="G119" s="1378"/>
      <c r="H119" s="1378"/>
      <c r="I119" s="1332"/>
      <c r="J119" s="1332"/>
      <c r="K119" s="1332"/>
      <c r="L119" s="1332"/>
      <c r="M119" s="1332"/>
      <c r="N119" s="1332"/>
      <c r="O119" s="1332"/>
      <c r="P119" s="1332"/>
      <c r="Q119" s="1332"/>
      <c r="R119" s="1332"/>
      <c r="S119" s="1332"/>
      <c r="T119" s="1332"/>
      <c r="U119" s="1332"/>
      <c r="V119" s="1332"/>
      <c r="W119" s="1332"/>
      <c r="X119" s="1332"/>
      <c r="Y119" s="1332"/>
      <c r="Z119" s="1332"/>
      <c r="AA119" s="1332"/>
      <c r="AB119" s="1332"/>
    </row>
    <row r="120">
      <c r="A120" s="1332"/>
      <c r="B120" s="1366"/>
      <c r="C120" s="1366"/>
      <c r="D120" s="1375"/>
      <c r="E120" s="1332"/>
      <c r="F120" s="1332"/>
      <c r="G120" s="1378"/>
      <c r="H120" s="1378"/>
      <c r="I120" s="1332"/>
      <c r="J120" s="1332"/>
      <c r="K120" s="1332"/>
      <c r="L120" s="1332"/>
      <c r="M120" s="1332"/>
      <c r="N120" s="1332"/>
      <c r="O120" s="1332"/>
      <c r="P120" s="1332"/>
      <c r="Q120" s="1332"/>
      <c r="R120" s="1332"/>
      <c r="S120" s="1332"/>
      <c r="T120" s="1332"/>
      <c r="U120" s="1332"/>
      <c r="V120" s="1332"/>
      <c r="W120" s="1332"/>
      <c r="X120" s="1332"/>
      <c r="Y120" s="1332"/>
      <c r="Z120" s="1332"/>
      <c r="AA120" s="1332"/>
      <c r="AB120" s="1332"/>
    </row>
    <row r="121">
      <c r="A121" s="1332"/>
      <c r="B121" s="1366"/>
      <c r="C121" s="1366"/>
      <c r="D121" s="1375"/>
      <c r="E121" s="1332"/>
      <c r="F121" s="1332"/>
      <c r="G121" s="1378"/>
      <c r="H121" s="1378"/>
      <c r="I121" s="1332"/>
      <c r="J121" s="1332"/>
      <c r="K121" s="1332"/>
      <c r="L121" s="1332"/>
      <c r="M121" s="1332"/>
      <c r="N121" s="1332"/>
      <c r="O121" s="1332"/>
      <c r="P121" s="1332"/>
      <c r="Q121" s="1332"/>
      <c r="R121" s="1332"/>
      <c r="S121" s="1332"/>
      <c r="T121" s="1332"/>
      <c r="U121" s="1332"/>
      <c r="V121" s="1332"/>
      <c r="W121" s="1332"/>
      <c r="X121" s="1332"/>
      <c r="Y121" s="1332"/>
      <c r="Z121" s="1332"/>
      <c r="AA121" s="1332"/>
      <c r="AB121" s="1332"/>
    </row>
    <row r="122">
      <c r="A122" s="1332"/>
      <c r="B122" s="1366"/>
      <c r="C122" s="1366"/>
      <c r="D122" s="1375"/>
      <c r="E122" s="1332"/>
      <c r="F122" s="1332"/>
      <c r="G122" s="1378"/>
      <c r="H122" s="1378"/>
      <c r="I122" s="1332"/>
      <c r="J122" s="1332"/>
      <c r="K122" s="1332"/>
      <c r="L122" s="1332"/>
      <c r="M122" s="1332"/>
      <c r="N122" s="1332"/>
      <c r="O122" s="1332"/>
      <c r="P122" s="1332"/>
      <c r="Q122" s="1332"/>
      <c r="R122" s="1332"/>
      <c r="S122" s="1332"/>
      <c r="T122" s="1332"/>
      <c r="U122" s="1332"/>
      <c r="V122" s="1332"/>
      <c r="W122" s="1332"/>
      <c r="X122" s="1332"/>
      <c r="Y122" s="1332"/>
      <c r="Z122" s="1332"/>
      <c r="AA122" s="1332"/>
      <c r="AB122" s="1332"/>
    </row>
    <row r="123">
      <c r="A123" s="1332"/>
      <c r="B123" s="1366"/>
      <c r="C123" s="1366"/>
      <c r="D123" s="1375"/>
      <c r="E123" s="1332"/>
      <c r="F123" s="1332"/>
      <c r="G123" s="1378"/>
      <c r="H123" s="1378"/>
      <c r="I123" s="1332"/>
      <c r="J123" s="1332"/>
      <c r="K123" s="1332"/>
      <c r="L123" s="1332"/>
      <c r="M123" s="1332"/>
      <c r="N123" s="1332"/>
      <c r="O123" s="1332"/>
      <c r="P123" s="1332"/>
      <c r="Q123" s="1332"/>
      <c r="R123" s="1332"/>
      <c r="S123" s="1332"/>
      <c r="T123" s="1332"/>
      <c r="U123" s="1332"/>
      <c r="V123" s="1332"/>
      <c r="W123" s="1332"/>
      <c r="X123" s="1332"/>
      <c r="Y123" s="1332"/>
      <c r="Z123" s="1332"/>
      <c r="AA123" s="1332"/>
      <c r="AB123" s="1332"/>
    </row>
    <row r="124">
      <c r="A124" s="1332"/>
      <c r="B124" s="1366"/>
      <c r="C124" s="1366"/>
      <c r="D124" s="1375"/>
      <c r="E124" s="1332"/>
      <c r="F124" s="1332"/>
      <c r="G124" s="1378"/>
      <c r="H124" s="1378"/>
      <c r="I124" s="1332"/>
      <c r="J124" s="1332"/>
      <c r="K124" s="1332"/>
      <c r="L124" s="1332"/>
      <c r="M124" s="1332"/>
      <c r="N124" s="1332"/>
      <c r="O124" s="1332"/>
      <c r="P124" s="1332"/>
      <c r="Q124" s="1332"/>
      <c r="R124" s="1332"/>
      <c r="S124" s="1332"/>
      <c r="T124" s="1332"/>
      <c r="U124" s="1332"/>
      <c r="V124" s="1332"/>
      <c r="W124" s="1332"/>
      <c r="X124" s="1332"/>
      <c r="Y124" s="1332"/>
      <c r="Z124" s="1332"/>
      <c r="AA124" s="1332"/>
      <c r="AB124" s="1332"/>
    </row>
    <row r="125">
      <c r="A125" s="1332"/>
      <c r="B125" s="1366"/>
      <c r="C125" s="1366"/>
      <c r="D125" s="1375"/>
      <c r="E125" s="1332"/>
      <c r="F125" s="1332"/>
      <c r="G125" s="1378"/>
      <c r="H125" s="1378"/>
      <c r="I125" s="1332"/>
      <c r="J125" s="1332"/>
      <c r="K125" s="1332"/>
      <c r="L125" s="1332"/>
      <c r="M125" s="1332"/>
      <c r="N125" s="1332"/>
      <c r="O125" s="1332"/>
      <c r="P125" s="1332"/>
      <c r="Q125" s="1332"/>
      <c r="R125" s="1332"/>
      <c r="S125" s="1332"/>
      <c r="T125" s="1332"/>
      <c r="U125" s="1332"/>
      <c r="V125" s="1332"/>
      <c r="W125" s="1332"/>
      <c r="X125" s="1332"/>
      <c r="Y125" s="1332"/>
      <c r="Z125" s="1332"/>
      <c r="AA125" s="1332"/>
      <c r="AB125" s="1332"/>
    </row>
    <row r="126">
      <c r="A126" s="1332"/>
      <c r="B126" s="1366"/>
      <c r="C126" s="1366"/>
      <c r="D126" s="1375"/>
      <c r="E126" s="1332"/>
      <c r="F126" s="1332"/>
      <c r="G126" s="1378"/>
      <c r="H126" s="1378"/>
      <c r="I126" s="1332"/>
      <c r="J126" s="1332"/>
      <c r="K126" s="1332"/>
      <c r="L126" s="1332"/>
      <c r="M126" s="1332"/>
      <c r="N126" s="1332"/>
      <c r="O126" s="1332"/>
      <c r="P126" s="1332"/>
      <c r="Q126" s="1332"/>
      <c r="R126" s="1332"/>
      <c r="S126" s="1332"/>
      <c r="T126" s="1332"/>
      <c r="U126" s="1332"/>
      <c r="V126" s="1332"/>
      <c r="W126" s="1332"/>
      <c r="X126" s="1332"/>
      <c r="Y126" s="1332"/>
      <c r="Z126" s="1332"/>
      <c r="AA126" s="1332"/>
      <c r="AB126" s="1332"/>
    </row>
    <row r="127">
      <c r="A127" s="1332"/>
      <c r="B127" s="1366"/>
      <c r="C127" s="1366"/>
      <c r="D127" s="1375"/>
      <c r="E127" s="1332"/>
      <c r="F127" s="1332"/>
      <c r="G127" s="1378"/>
      <c r="H127" s="1378"/>
      <c r="I127" s="1332"/>
      <c r="J127" s="1332"/>
      <c r="K127" s="1332"/>
      <c r="L127" s="1332"/>
      <c r="M127" s="1332"/>
      <c r="N127" s="1332"/>
      <c r="O127" s="1332"/>
      <c r="P127" s="1332"/>
      <c r="Q127" s="1332"/>
      <c r="R127" s="1332"/>
      <c r="S127" s="1332"/>
      <c r="T127" s="1332"/>
      <c r="U127" s="1332"/>
      <c r="V127" s="1332"/>
      <c r="W127" s="1332"/>
      <c r="X127" s="1332"/>
      <c r="Y127" s="1332"/>
      <c r="Z127" s="1332"/>
      <c r="AA127" s="1332"/>
      <c r="AB127" s="1332"/>
    </row>
    <row r="128">
      <c r="A128" s="1332"/>
      <c r="B128" s="1366"/>
      <c r="C128" s="1366"/>
      <c r="D128" s="1375"/>
      <c r="E128" s="1332"/>
      <c r="F128" s="1332"/>
      <c r="G128" s="1378"/>
      <c r="H128" s="1378"/>
      <c r="I128" s="1332"/>
      <c r="J128" s="1332"/>
      <c r="K128" s="1332"/>
      <c r="L128" s="1332"/>
      <c r="M128" s="1332"/>
      <c r="N128" s="1332"/>
      <c r="O128" s="1332"/>
      <c r="P128" s="1332"/>
      <c r="Q128" s="1332"/>
      <c r="R128" s="1332"/>
      <c r="S128" s="1332"/>
      <c r="T128" s="1332"/>
      <c r="U128" s="1332"/>
      <c r="V128" s="1332"/>
      <c r="W128" s="1332"/>
      <c r="X128" s="1332"/>
      <c r="Y128" s="1332"/>
      <c r="Z128" s="1332"/>
      <c r="AA128" s="1332"/>
      <c r="AB128" s="1332"/>
    </row>
    <row r="129">
      <c r="A129" s="1332"/>
      <c r="B129" s="1366"/>
      <c r="C129" s="1366"/>
      <c r="D129" s="1375"/>
      <c r="E129" s="1332"/>
      <c r="F129" s="1332"/>
      <c r="G129" s="1378"/>
      <c r="H129" s="1378"/>
      <c r="I129" s="1332"/>
      <c r="J129" s="1332"/>
      <c r="K129" s="1332"/>
      <c r="L129" s="1332"/>
      <c r="M129" s="1332"/>
      <c r="N129" s="1332"/>
      <c r="O129" s="1332"/>
      <c r="P129" s="1332"/>
      <c r="Q129" s="1332"/>
      <c r="R129" s="1332"/>
      <c r="S129" s="1332"/>
      <c r="T129" s="1332"/>
      <c r="U129" s="1332"/>
      <c r="V129" s="1332"/>
      <c r="W129" s="1332"/>
      <c r="X129" s="1332"/>
      <c r="Y129" s="1332"/>
      <c r="Z129" s="1332"/>
      <c r="AA129" s="1332"/>
      <c r="AB129" s="1332"/>
    </row>
    <row r="130">
      <c r="A130" s="1332"/>
      <c r="B130" s="1366"/>
      <c r="C130" s="1366"/>
      <c r="D130" s="1375"/>
      <c r="E130" s="1332"/>
      <c r="F130" s="1332"/>
      <c r="G130" s="1378"/>
      <c r="H130" s="1378"/>
      <c r="I130" s="1332"/>
      <c r="J130" s="1332"/>
      <c r="K130" s="1332"/>
      <c r="L130" s="1332"/>
      <c r="M130" s="1332"/>
      <c r="N130" s="1332"/>
      <c r="O130" s="1332"/>
      <c r="P130" s="1332"/>
      <c r="Q130" s="1332"/>
      <c r="R130" s="1332"/>
      <c r="S130" s="1332"/>
      <c r="T130" s="1332"/>
      <c r="U130" s="1332"/>
      <c r="V130" s="1332"/>
      <c r="W130" s="1332"/>
      <c r="X130" s="1332"/>
      <c r="Y130" s="1332"/>
      <c r="Z130" s="1332"/>
      <c r="AA130" s="1332"/>
      <c r="AB130" s="1332"/>
    </row>
    <row r="131">
      <c r="A131" s="1332"/>
      <c r="B131" s="1366"/>
      <c r="C131" s="1366"/>
      <c r="D131" s="1375"/>
      <c r="E131" s="1332"/>
      <c r="F131" s="1332"/>
      <c r="G131" s="1378"/>
      <c r="H131" s="1378"/>
      <c r="I131" s="1332"/>
      <c r="J131" s="1332"/>
      <c r="K131" s="1332"/>
      <c r="L131" s="1332"/>
      <c r="M131" s="1332"/>
      <c r="N131" s="1332"/>
      <c r="O131" s="1332"/>
      <c r="P131" s="1332"/>
      <c r="Q131" s="1332"/>
      <c r="R131" s="1332"/>
      <c r="S131" s="1332"/>
      <c r="T131" s="1332"/>
      <c r="U131" s="1332"/>
      <c r="V131" s="1332"/>
      <c r="W131" s="1332"/>
      <c r="X131" s="1332"/>
      <c r="Y131" s="1332"/>
      <c r="Z131" s="1332"/>
      <c r="AA131" s="1332"/>
      <c r="AB131" s="1332"/>
    </row>
    <row r="132">
      <c r="A132" s="1332"/>
      <c r="B132" s="1366"/>
      <c r="C132" s="1366"/>
      <c r="D132" s="1375"/>
      <c r="E132" s="1332"/>
      <c r="F132" s="1332"/>
      <c r="G132" s="1378"/>
      <c r="H132" s="1378"/>
      <c r="I132" s="1332"/>
      <c r="J132" s="1332"/>
      <c r="K132" s="1332"/>
      <c r="L132" s="1332"/>
      <c r="M132" s="1332"/>
      <c r="N132" s="1332"/>
      <c r="O132" s="1332"/>
      <c r="P132" s="1332"/>
      <c r="Q132" s="1332"/>
      <c r="R132" s="1332"/>
      <c r="S132" s="1332"/>
      <c r="T132" s="1332"/>
      <c r="U132" s="1332"/>
      <c r="V132" s="1332"/>
      <c r="W132" s="1332"/>
      <c r="X132" s="1332"/>
      <c r="Y132" s="1332"/>
      <c r="Z132" s="1332"/>
      <c r="AA132" s="1332"/>
      <c r="AB132" s="1332"/>
    </row>
    <row r="133">
      <c r="A133" s="1332"/>
      <c r="B133" s="1366"/>
      <c r="C133" s="1366"/>
      <c r="D133" s="1375"/>
      <c r="E133" s="1332"/>
      <c r="F133" s="1332"/>
      <c r="G133" s="1378"/>
      <c r="H133" s="1378"/>
      <c r="I133" s="1332"/>
      <c r="J133" s="1332"/>
      <c r="K133" s="1332"/>
      <c r="L133" s="1332"/>
      <c r="M133" s="1332"/>
      <c r="N133" s="1332"/>
      <c r="O133" s="1332"/>
      <c r="P133" s="1332"/>
      <c r="Q133" s="1332"/>
      <c r="R133" s="1332"/>
      <c r="S133" s="1332"/>
      <c r="T133" s="1332"/>
      <c r="U133" s="1332"/>
      <c r="V133" s="1332"/>
      <c r="W133" s="1332"/>
      <c r="X133" s="1332"/>
      <c r="Y133" s="1332"/>
      <c r="Z133" s="1332"/>
      <c r="AA133" s="1332"/>
      <c r="AB133" s="1332"/>
    </row>
    <row r="134">
      <c r="A134" s="1332"/>
      <c r="B134" s="1366"/>
      <c r="C134" s="1366"/>
      <c r="D134" s="1375"/>
      <c r="E134" s="1332"/>
      <c r="F134" s="1332"/>
      <c r="G134" s="1378"/>
      <c r="H134" s="1378"/>
      <c r="I134" s="1332"/>
      <c r="J134" s="1332"/>
      <c r="K134" s="1332"/>
      <c r="L134" s="1332"/>
      <c r="M134" s="1332"/>
      <c r="N134" s="1332"/>
      <c r="O134" s="1332"/>
      <c r="P134" s="1332"/>
      <c r="Q134" s="1332"/>
      <c r="R134" s="1332"/>
      <c r="S134" s="1332"/>
      <c r="T134" s="1332"/>
      <c r="U134" s="1332"/>
      <c r="V134" s="1332"/>
      <c r="W134" s="1332"/>
      <c r="X134" s="1332"/>
      <c r="Y134" s="1332"/>
      <c r="Z134" s="1332"/>
      <c r="AA134" s="1332"/>
      <c r="AB134" s="1332"/>
    </row>
    <row r="135">
      <c r="A135" s="1332"/>
      <c r="B135" s="1366"/>
      <c r="C135" s="1366"/>
      <c r="D135" s="1375"/>
      <c r="E135" s="1332"/>
      <c r="F135" s="1332"/>
      <c r="G135" s="1378"/>
      <c r="H135" s="1378"/>
      <c r="I135" s="1332"/>
      <c r="J135" s="1332"/>
      <c r="K135" s="1332"/>
      <c r="L135" s="1332"/>
      <c r="M135" s="1332"/>
      <c r="N135" s="1332"/>
      <c r="O135" s="1332"/>
      <c r="P135" s="1332"/>
      <c r="Q135" s="1332"/>
      <c r="R135" s="1332"/>
      <c r="S135" s="1332"/>
      <c r="T135" s="1332"/>
      <c r="U135" s="1332"/>
      <c r="V135" s="1332"/>
      <c r="W135" s="1332"/>
      <c r="X135" s="1332"/>
      <c r="Y135" s="1332"/>
      <c r="Z135" s="1332"/>
      <c r="AA135" s="1332"/>
      <c r="AB135" s="1332"/>
    </row>
    <row r="136">
      <c r="A136" s="1332"/>
      <c r="B136" s="1366"/>
      <c r="C136" s="1366"/>
      <c r="D136" s="1375"/>
      <c r="E136" s="1332"/>
      <c r="F136" s="1332"/>
      <c r="G136" s="1378"/>
      <c r="H136" s="1378"/>
      <c r="I136" s="1332"/>
      <c r="J136" s="1332"/>
      <c r="K136" s="1332"/>
      <c r="L136" s="1332"/>
      <c r="M136" s="1332"/>
      <c r="N136" s="1332"/>
      <c r="O136" s="1332"/>
      <c r="P136" s="1332"/>
      <c r="Q136" s="1332"/>
      <c r="R136" s="1332"/>
      <c r="S136" s="1332"/>
      <c r="T136" s="1332"/>
      <c r="U136" s="1332"/>
      <c r="V136" s="1332"/>
      <c r="W136" s="1332"/>
      <c r="X136" s="1332"/>
      <c r="Y136" s="1332"/>
      <c r="Z136" s="1332"/>
      <c r="AA136" s="1332"/>
      <c r="AB136" s="1332"/>
    </row>
    <row r="137">
      <c r="A137" s="1332"/>
      <c r="B137" s="1366"/>
      <c r="C137" s="1366"/>
      <c r="D137" s="1375"/>
      <c r="E137" s="1332"/>
      <c r="F137" s="1332"/>
      <c r="G137" s="1378"/>
      <c r="H137" s="1378"/>
      <c r="I137" s="1332"/>
      <c r="J137" s="1332"/>
      <c r="K137" s="1332"/>
      <c r="L137" s="1332"/>
      <c r="M137" s="1332"/>
      <c r="N137" s="1332"/>
      <c r="O137" s="1332"/>
      <c r="P137" s="1332"/>
      <c r="Q137" s="1332"/>
      <c r="R137" s="1332"/>
      <c r="S137" s="1332"/>
      <c r="T137" s="1332"/>
      <c r="U137" s="1332"/>
      <c r="V137" s="1332"/>
      <c r="W137" s="1332"/>
      <c r="X137" s="1332"/>
      <c r="Y137" s="1332"/>
      <c r="Z137" s="1332"/>
      <c r="AA137" s="1332"/>
      <c r="AB137" s="1332"/>
    </row>
    <row r="138">
      <c r="A138" s="1332"/>
      <c r="B138" s="1366"/>
      <c r="C138" s="1366"/>
      <c r="D138" s="1375"/>
      <c r="E138" s="1332"/>
      <c r="F138" s="1332"/>
      <c r="G138" s="1378"/>
      <c r="H138" s="1378"/>
      <c r="I138" s="1332"/>
      <c r="J138" s="1332"/>
      <c r="K138" s="1332"/>
      <c r="L138" s="1332"/>
      <c r="M138" s="1332"/>
      <c r="N138" s="1332"/>
      <c r="O138" s="1332"/>
      <c r="P138" s="1332"/>
      <c r="Q138" s="1332"/>
      <c r="R138" s="1332"/>
      <c r="S138" s="1332"/>
      <c r="T138" s="1332"/>
      <c r="U138" s="1332"/>
      <c r="V138" s="1332"/>
      <c r="W138" s="1332"/>
      <c r="X138" s="1332"/>
      <c r="Y138" s="1332"/>
      <c r="Z138" s="1332"/>
      <c r="AA138" s="1332"/>
      <c r="AB138" s="1332"/>
    </row>
    <row r="139">
      <c r="A139" s="1332"/>
      <c r="B139" s="1366"/>
      <c r="C139" s="1366"/>
      <c r="D139" s="1375"/>
      <c r="E139" s="1332"/>
      <c r="F139" s="1332"/>
      <c r="G139" s="1378"/>
      <c r="H139" s="1378"/>
      <c r="I139" s="1332"/>
      <c r="J139" s="1332"/>
      <c r="K139" s="1332"/>
      <c r="L139" s="1332"/>
      <c r="M139" s="1332"/>
      <c r="N139" s="1332"/>
      <c r="O139" s="1332"/>
      <c r="P139" s="1332"/>
      <c r="Q139" s="1332"/>
      <c r="R139" s="1332"/>
      <c r="S139" s="1332"/>
      <c r="T139" s="1332"/>
      <c r="U139" s="1332"/>
      <c r="V139" s="1332"/>
      <c r="W139" s="1332"/>
      <c r="X139" s="1332"/>
      <c r="Y139" s="1332"/>
      <c r="Z139" s="1332"/>
      <c r="AA139" s="1332"/>
      <c r="AB139" s="1332"/>
    </row>
    <row r="140">
      <c r="A140" s="1332"/>
      <c r="B140" s="1366"/>
      <c r="C140" s="1366"/>
      <c r="D140" s="1375"/>
      <c r="E140" s="1332"/>
      <c r="F140" s="1332"/>
      <c r="G140" s="1378"/>
      <c r="H140" s="1378"/>
      <c r="I140" s="1332"/>
      <c r="J140" s="1332"/>
      <c r="K140" s="1332"/>
      <c r="L140" s="1332"/>
      <c r="M140" s="1332"/>
      <c r="N140" s="1332"/>
      <c r="O140" s="1332"/>
      <c r="P140" s="1332"/>
      <c r="Q140" s="1332"/>
      <c r="R140" s="1332"/>
      <c r="S140" s="1332"/>
      <c r="T140" s="1332"/>
      <c r="U140" s="1332"/>
      <c r="V140" s="1332"/>
      <c r="W140" s="1332"/>
      <c r="X140" s="1332"/>
      <c r="Y140" s="1332"/>
      <c r="Z140" s="1332"/>
      <c r="AA140" s="1332"/>
      <c r="AB140" s="1332"/>
    </row>
    <row r="141">
      <c r="A141" s="1332"/>
      <c r="B141" s="1366"/>
      <c r="C141" s="1366"/>
      <c r="D141" s="1375"/>
      <c r="E141" s="1332"/>
      <c r="F141" s="1332"/>
      <c r="G141" s="1378"/>
      <c r="H141" s="1378"/>
      <c r="I141" s="1332"/>
      <c r="J141" s="1332"/>
      <c r="K141" s="1332"/>
      <c r="L141" s="1332"/>
      <c r="M141" s="1332"/>
      <c r="N141" s="1332"/>
      <c r="O141" s="1332"/>
      <c r="P141" s="1332"/>
      <c r="Q141" s="1332"/>
      <c r="R141" s="1332"/>
      <c r="S141" s="1332"/>
      <c r="T141" s="1332"/>
      <c r="U141" s="1332"/>
      <c r="V141" s="1332"/>
      <c r="W141" s="1332"/>
      <c r="X141" s="1332"/>
      <c r="Y141" s="1332"/>
      <c r="Z141" s="1332"/>
      <c r="AA141" s="1332"/>
      <c r="AB141" s="1332"/>
    </row>
    <row r="142">
      <c r="A142" s="1332"/>
      <c r="B142" s="1366"/>
      <c r="C142" s="1366"/>
      <c r="D142" s="1375"/>
      <c r="E142" s="1332"/>
      <c r="F142" s="1332"/>
      <c r="G142" s="1378"/>
      <c r="H142" s="1378"/>
      <c r="I142" s="1332"/>
      <c r="J142" s="1332"/>
      <c r="K142" s="1332"/>
      <c r="L142" s="1332"/>
      <c r="M142" s="1332"/>
      <c r="N142" s="1332"/>
      <c r="O142" s="1332"/>
      <c r="P142" s="1332"/>
      <c r="Q142" s="1332"/>
      <c r="R142" s="1332"/>
      <c r="S142" s="1332"/>
      <c r="T142" s="1332"/>
      <c r="U142" s="1332"/>
      <c r="V142" s="1332"/>
      <c r="W142" s="1332"/>
      <c r="X142" s="1332"/>
      <c r="Y142" s="1332"/>
      <c r="Z142" s="1332"/>
      <c r="AA142" s="1332"/>
      <c r="AB142" s="1332"/>
    </row>
    <row r="143">
      <c r="A143" s="1332"/>
      <c r="B143" s="1366"/>
      <c r="C143" s="1366"/>
      <c r="D143" s="1375"/>
      <c r="E143" s="1332"/>
      <c r="F143" s="1332"/>
      <c r="G143" s="1378"/>
      <c r="H143" s="1378"/>
      <c r="I143" s="1332"/>
      <c r="J143" s="1332"/>
      <c r="K143" s="1332"/>
      <c r="L143" s="1332"/>
      <c r="M143" s="1332"/>
      <c r="N143" s="1332"/>
      <c r="O143" s="1332"/>
      <c r="P143" s="1332"/>
      <c r="Q143" s="1332"/>
      <c r="R143" s="1332"/>
      <c r="S143" s="1332"/>
      <c r="T143" s="1332"/>
      <c r="U143" s="1332"/>
      <c r="V143" s="1332"/>
      <c r="W143" s="1332"/>
      <c r="X143" s="1332"/>
      <c r="Y143" s="1332"/>
      <c r="Z143" s="1332"/>
      <c r="AA143" s="1332"/>
      <c r="AB143" s="1332"/>
    </row>
    <row r="144">
      <c r="A144" s="1332"/>
      <c r="B144" s="1366"/>
      <c r="C144" s="1366"/>
      <c r="D144" s="1375"/>
      <c r="E144" s="1332"/>
      <c r="F144" s="1332"/>
      <c r="G144" s="1378"/>
      <c r="H144" s="1378"/>
      <c r="I144" s="1332"/>
      <c r="J144" s="1332"/>
      <c r="K144" s="1332"/>
      <c r="L144" s="1332"/>
      <c r="M144" s="1332"/>
      <c r="N144" s="1332"/>
      <c r="O144" s="1332"/>
      <c r="P144" s="1332"/>
      <c r="Q144" s="1332"/>
      <c r="R144" s="1332"/>
      <c r="S144" s="1332"/>
      <c r="T144" s="1332"/>
      <c r="U144" s="1332"/>
      <c r="V144" s="1332"/>
      <c r="W144" s="1332"/>
      <c r="X144" s="1332"/>
      <c r="Y144" s="1332"/>
      <c r="Z144" s="1332"/>
      <c r="AA144" s="1332"/>
      <c r="AB144" s="1332"/>
    </row>
    <row r="145">
      <c r="A145" s="1332"/>
      <c r="B145" s="1366"/>
      <c r="C145" s="1366"/>
      <c r="D145" s="1375"/>
      <c r="E145" s="1332"/>
      <c r="F145" s="1332"/>
      <c r="G145" s="1378"/>
      <c r="H145" s="1378"/>
      <c r="I145" s="1332"/>
      <c r="J145" s="1332"/>
      <c r="K145" s="1332"/>
      <c r="L145" s="1332"/>
      <c r="M145" s="1332"/>
      <c r="N145" s="1332"/>
      <c r="O145" s="1332"/>
      <c r="P145" s="1332"/>
      <c r="Q145" s="1332"/>
      <c r="R145" s="1332"/>
      <c r="S145" s="1332"/>
      <c r="T145" s="1332"/>
      <c r="U145" s="1332"/>
      <c r="V145" s="1332"/>
      <c r="W145" s="1332"/>
      <c r="X145" s="1332"/>
      <c r="Y145" s="1332"/>
      <c r="Z145" s="1332"/>
      <c r="AA145" s="1332"/>
      <c r="AB145" s="1332"/>
    </row>
    <row r="146">
      <c r="A146" s="1332"/>
      <c r="B146" s="1366"/>
      <c r="C146" s="1366"/>
      <c r="D146" s="1375"/>
      <c r="E146" s="1332"/>
      <c r="F146" s="1332"/>
      <c r="G146" s="1378"/>
      <c r="H146" s="1378"/>
      <c r="I146" s="1332"/>
      <c r="J146" s="1332"/>
      <c r="K146" s="1332"/>
      <c r="L146" s="1332"/>
      <c r="M146" s="1332"/>
      <c r="N146" s="1332"/>
      <c r="O146" s="1332"/>
      <c r="P146" s="1332"/>
      <c r="Q146" s="1332"/>
      <c r="R146" s="1332"/>
      <c r="S146" s="1332"/>
      <c r="T146" s="1332"/>
      <c r="U146" s="1332"/>
      <c r="V146" s="1332"/>
      <c r="W146" s="1332"/>
      <c r="X146" s="1332"/>
      <c r="Y146" s="1332"/>
      <c r="Z146" s="1332"/>
      <c r="AA146" s="1332"/>
      <c r="AB146" s="1332"/>
    </row>
    <row r="147">
      <c r="A147" s="1332"/>
      <c r="B147" s="1366"/>
      <c r="C147" s="1366"/>
      <c r="D147" s="1375"/>
      <c r="E147" s="1332"/>
      <c r="F147" s="1332"/>
      <c r="G147" s="1378"/>
      <c r="H147" s="1378"/>
      <c r="I147" s="1332"/>
      <c r="J147" s="1332"/>
      <c r="K147" s="1332"/>
      <c r="L147" s="1332"/>
      <c r="M147" s="1332"/>
      <c r="N147" s="1332"/>
      <c r="O147" s="1332"/>
      <c r="P147" s="1332"/>
      <c r="Q147" s="1332"/>
      <c r="R147" s="1332"/>
      <c r="S147" s="1332"/>
      <c r="T147" s="1332"/>
      <c r="U147" s="1332"/>
      <c r="V147" s="1332"/>
      <c r="W147" s="1332"/>
      <c r="X147" s="1332"/>
      <c r="Y147" s="1332"/>
      <c r="Z147" s="1332"/>
      <c r="AA147" s="1332"/>
      <c r="AB147" s="1332"/>
    </row>
    <row r="148">
      <c r="A148" s="1332"/>
      <c r="B148" s="1366"/>
      <c r="C148" s="1366"/>
      <c r="D148" s="1375"/>
      <c r="E148" s="1332"/>
      <c r="F148" s="1332"/>
      <c r="G148" s="1378"/>
      <c r="H148" s="1378"/>
      <c r="I148" s="1332"/>
      <c r="J148" s="1332"/>
      <c r="K148" s="1332"/>
      <c r="L148" s="1332"/>
      <c r="M148" s="1332"/>
      <c r="N148" s="1332"/>
      <c r="O148" s="1332"/>
      <c r="P148" s="1332"/>
      <c r="Q148" s="1332"/>
      <c r="R148" s="1332"/>
      <c r="S148" s="1332"/>
      <c r="T148" s="1332"/>
      <c r="U148" s="1332"/>
      <c r="V148" s="1332"/>
      <c r="W148" s="1332"/>
      <c r="X148" s="1332"/>
      <c r="Y148" s="1332"/>
      <c r="Z148" s="1332"/>
      <c r="AA148" s="1332"/>
      <c r="AB148" s="1332"/>
    </row>
    <row r="149">
      <c r="A149" s="1332"/>
      <c r="B149" s="1366"/>
      <c r="C149" s="1366"/>
      <c r="D149" s="1375"/>
      <c r="E149" s="1332"/>
      <c r="F149" s="1332"/>
      <c r="G149" s="1378"/>
      <c r="H149" s="1378"/>
      <c r="I149" s="1332"/>
      <c r="J149" s="1332"/>
      <c r="K149" s="1332"/>
      <c r="L149" s="1332"/>
      <c r="M149" s="1332"/>
      <c r="N149" s="1332"/>
      <c r="O149" s="1332"/>
      <c r="P149" s="1332"/>
      <c r="Q149" s="1332"/>
      <c r="R149" s="1332"/>
      <c r="S149" s="1332"/>
      <c r="T149" s="1332"/>
      <c r="U149" s="1332"/>
      <c r="V149" s="1332"/>
      <c r="W149" s="1332"/>
      <c r="X149" s="1332"/>
      <c r="Y149" s="1332"/>
      <c r="Z149" s="1332"/>
      <c r="AA149" s="1332"/>
      <c r="AB149" s="1332"/>
    </row>
    <row r="150">
      <c r="A150" s="1332"/>
      <c r="B150" s="1366"/>
      <c r="C150" s="1366"/>
      <c r="D150" s="1375"/>
      <c r="E150" s="1332"/>
      <c r="F150" s="1332"/>
      <c r="G150" s="1378"/>
      <c r="H150" s="1378"/>
      <c r="I150" s="1332"/>
      <c r="J150" s="1332"/>
      <c r="K150" s="1332"/>
      <c r="L150" s="1332"/>
      <c r="M150" s="1332"/>
      <c r="N150" s="1332"/>
      <c r="O150" s="1332"/>
      <c r="P150" s="1332"/>
      <c r="Q150" s="1332"/>
      <c r="R150" s="1332"/>
      <c r="S150" s="1332"/>
      <c r="T150" s="1332"/>
      <c r="U150" s="1332"/>
      <c r="V150" s="1332"/>
      <c r="W150" s="1332"/>
      <c r="X150" s="1332"/>
      <c r="Y150" s="1332"/>
      <c r="Z150" s="1332"/>
      <c r="AA150" s="1332"/>
      <c r="AB150" s="1332"/>
    </row>
    <row r="151">
      <c r="A151" s="1332"/>
      <c r="B151" s="1366"/>
      <c r="C151" s="1366"/>
      <c r="D151" s="1375"/>
      <c r="E151" s="1332"/>
      <c r="F151" s="1332"/>
      <c r="G151" s="1378"/>
      <c r="H151" s="1378"/>
      <c r="I151" s="1332"/>
      <c r="J151" s="1332"/>
      <c r="K151" s="1332"/>
      <c r="L151" s="1332"/>
      <c r="M151" s="1332"/>
      <c r="N151" s="1332"/>
      <c r="O151" s="1332"/>
      <c r="P151" s="1332"/>
      <c r="Q151" s="1332"/>
      <c r="R151" s="1332"/>
      <c r="S151" s="1332"/>
      <c r="T151" s="1332"/>
      <c r="U151" s="1332"/>
      <c r="V151" s="1332"/>
      <c r="W151" s="1332"/>
      <c r="X151" s="1332"/>
      <c r="Y151" s="1332"/>
      <c r="Z151" s="1332"/>
      <c r="AA151" s="1332"/>
      <c r="AB151" s="1332"/>
    </row>
    <row r="152">
      <c r="A152" s="1332"/>
      <c r="B152" s="1366"/>
      <c r="C152" s="1366"/>
      <c r="D152" s="1375"/>
      <c r="E152" s="1332"/>
      <c r="F152" s="1332"/>
      <c r="G152" s="1378"/>
      <c r="H152" s="1378"/>
      <c r="I152" s="1332"/>
      <c r="J152" s="1332"/>
      <c r="K152" s="1332"/>
      <c r="L152" s="1332"/>
      <c r="M152" s="1332"/>
      <c r="N152" s="1332"/>
      <c r="O152" s="1332"/>
      <c r="P152" s="1332"/>
      <c r="Q152" s="1332"/>
      <c r="R152" s="1332"/>
      <c r="S152" s="1332"/>
      <c r="T152" s="1332"/>
      <c r="U152" s="1332"/>
      <c r="V152" s="1332"/>
      <c r="W152" s="1332"/>
      <c r="X152" s="1332"/>
      <c r="Y152" s="1332"/>
      <c r="Z152" s="1332"/>
      <c r="AA152" s="1332"/>
      <c r="AB152" s="1332"/>
    </row>
    <row r="153">
      <c r="A153" s="1332"/>
      <c r="B153" s="1366"/>
      <c r="C153" s="1366"/>
      <c r="D153" s="1375"/>
      <c r="E153" s="1332"/>
      <c r="F153" s="1332"/>
      <c r="G153" s="1378"/>
      <c r="H153" s="1378"/>
      <c r="I153" s="1332"/>
      <c r="J153" s="1332"/>
      <c r="K153" s="1332"/>
      <c r="L153" s="1332"/>
      <c r="M153" s="1332"/>
      <c r="N153" s="1332"/>
      <c r="O153" s="1332"/>
      <c r="P153" s="1332"/>
      <c r="Q153" s="1332"/>
      <c r="R153" s="1332"/>
      <c r="S153" s="1332"/>
      <c r="T153" s="1332"/>
      <c r="U153" s="1332"/>
      <c r="V153" s="1332"/>
      <c r="W153" s="1332"/>
      <c r="X153" s="1332"/>
      <c r="Y153" s="1332"/>
      <c r="Z153" s="1332"/>
      <c r="AA153" s="1332"/>
      <c r="AB153" s="1332"/>
    </row>
    <row r="154">
      <c r="A154" s="1332"/>
      <c r="B154" s="1366"/>
      <c r="C154" s="1366"/>
      <c r="D154" s="1375"/>
      <c r="E154" s="1332"/>
      <c r="F154" s="1332"/>
      <c r="G154" s="1378"/>
      <c r="H154" s="1378"/>
      <c r="I154" s="1332"/>
      <c r="J154" s="1332"/>
      <c r="K154" s="1332"/>
      <c r="L154" s="1332"/>
      <c r="M154" s="1332"/>
      <c r="N154" s="1332"/>
      <c r="O154" s="1332"/>
      <c r="P154" s="1332"/>
      <c r="Q154" s="1332"/>
      <c r="R154" s="1332"/>
      <c r="S154" s="1332"/>
      <c r="T154" s="1332"/>
      <c r="U154" s="1332"/>
      <c r="V154" s="1332"/>
      <c r="W154" s="1332"/>
      <c r="X154" s="1332"/>
      <c r="Y154" s="1332"/>
      <c r="Z154" s="1332"/>
      <c r="AA154" s="1332"/>
      <c r="AB154" s="1332"/>
    </row>
    <row r="155">
      <c r="A155" s="1332"/>
      <c r="B155" s="1366"/>
      <c r="C155" s="1366"/>
      <c r="D155" s="1375"/>
      <c r="E155" s="1332"/>
      <c r="F155" s="1332"/>
      <c r="G155" s="1378"/>
      <c r="H155" s="1378"/>
      <c r="I155" s="1332"/>
      <c r="J155" s="1332"/>
      <c r="K155" s="1332"/>
      <c r="L155" s="1332"/>
      <c r="M155" s="1332"/>
      <c r="N155" s="1332"/>
      <c r="O155" s="1332"/>
      <c r="P155" s="1332"/>
      <c r="Q155" s="1332"/>
      <c r="R155" s="1332"/>
      <c r="S155" s="1332"/>
      <c r="T155" s="1332"/>
      <c r="U155" s="1332"/>
      <c r="V155" s="1332"/>
      <c r="W155" s="1332"/>
      <c r="X155" s="1332"/>
      <c r="Y155" s="1332"/>
      <c r="Z155" s="1332"/>
      <c r="AA155" s="1332"/>
      <c r="AB155" s="1332"/>
    </row>
    <row r="156">
      <c r="A156" s="1332"/>
      <c r="B156" s="1366"/>
      <c r="C156" s="1366"/>
      <c r="D156" s="1375"/>
      <c r="E156" s="1332"/>
      <c r="F156" s="1332"/>
      <c r="G156" s="1378"/>
      <c r="H156" s="1378"/>
      <c r="I156" s="1332"/>
      <c r="J156" s="1332"/>
      <c r="K156" s="1332"/>
      <c r="L156" s="1332"/>
      <c r="M156" s="1332"/>
      <c r="N156" s="1332"/>
      <c r="O156" s="1332"/>
      <c r="P156" s="1332"/>
      <c r="Q156" s="1332"/>
      <c r="R156" s="1332"/>
      <c r="S156" s="1332"/>
      <c r="T156" s="1332"/>
      <c r="U156" s="1332"/>
      <c r="V156" s="1332"/>
      <c r="W156" s="1332"/>
      <c r="X156" s="1332"/>
      <c r="Y156" s="1332"/>
      <c r="Z156" s="1332"/>
      <c r="AA156" s="1332"/>
      <c r="AB156" s="1332"/>
    </row>
    <row r="157">
      <c r="A157" s="1332"/>
      <c r="B157" s="1366"/>
      <c r="C157" s="1366"/>
      <c r="D157" s="1375"/>
      <c r="E157" s="1332"/>
      <c r="F157" s="1332"/>
      <c r="G157" s="1378"/>
      <c r="H157" s="1378"/>
      <c r="I157" s="1332"/>
      <c r="J157" s="1332"/>
      <c r="K157" s="1332"/>
      <c r="L157" s="1332"/>
      <c r="M157" s="1332"/>
      <c r="N157" s="1332"/>
      <c r="O157" s="1332"/>
      <c r="P157" s="1332"/>
      <c r="Q157" s="1332"/>
      <c r="R157" s="1332"/>
      <c r="S157" s="1332"/>
      <c r="T157" s="1332"/>
      <c r="U157" s="1332"/>
      <c r="V157" s="1332"/>
      <c r="W157" s="1332"/>
      <c r="X157" s="1332"/>
      <c r="Y157" s="1332"/>
      <c r="Z157" s="1332"/>
      <c r="AA157" s="1332"/>
      <c r="AB157" s="1332"/>
    </row>
    <row r="158">
      <c r="A158" s="1332"/>
      <c r="B158" s="1366"/>
      <c r="C158" s="1366"/>
      <c r="D158" s="1375"/>
      <c r="E158" s="1332"/>
      <c r="F158" s="1332"/>
      <c r="G158" s="1378"/>
      <c r="H158" s="1378"/>
      <c r="I158" s="1332"/>
      <c r="J158" s="1332"/>
      <c r="K158" s="1332"/>
      <c r="L158" s="1332"/>
      <c r="M158" s="1332"/>
      <c r="N158" s="1332"/>
      <c r="O158" s="1332"/>
      <c r="P158" s="1332"/>
      <c r="Q158" s="1332"/>
      <c r="R158" s="1332"/>
      <c r="S158" s="1332"/>
      <c r="T158" s="1332"/>
      <c r="U158" s="1332"/>
      <c r="V158" s="1332"/>
      <c r="W158" s="1332"/>
      <c r="X158" s="1332"/>
      <c r="Y158" s="1332"/>
      <c r="Z158" s="1332"/>
      <c r="AA158" s="1332"/>
      <c r="AB158" s="1332"/>
    </row>
    <row r="159">
      <c r="A159" s="1332"/>
      <c r="B159" s="1366"/>
      <c r="C159" s="1366"/>
      <c r="D159" s="1375"/>
      <c r="E159" s="1332"/>
      <c r="F159" s="1332"/>
      <c r="G159" s="1378"/>
      <c r="H159" s="1378"/>
      <c r="I159" s="1332"/>
      <c r="J159" s="1332"/>
      <c r="K159" s="1332"/>
      <c r="L159" s="1332"/>
      <c r="M159" s="1332"/>
      <c r="N159" s="1332"/>
      <c r="O159" s="1332"/>
      <c r="P159" s="1332"/>
      <c r="Q159" s="1332"/>
      <c r="R159" s="1332"/>
      <c r="S159" s="1332"/>
      <c r="T159" s="1332"/>
      <c r="U159" s="1332"/>
      <c r="V159" s="1332"/>
      <c r="W159" s="1332"/>
      <c r="X159" s="1332"/>
      <c r="Y159" s="1332"/>
      <c r="Z159" s="1332"/>
      <c r="AA159" s="1332"/>
      <c r="AB159" s="1332"/>
    </row>
    <row r="160">
      <c r="A160" s="1332"/>
      <c r="B160" s="1366"/>
      <c r="C160" s="1366"/>
      <c r="D160" s="1375"/>
      <c r="E160" s="1332"/>
      <c r="F160" s="1332"/>
      <c r="G160" s="1378"/>
      <c r="H160" s="1378"/>
      <c r="I160" s="1332"/>
      <c r="J160" s="1332"/>
      <c r="K160" s="1332"/>
      <c r="L160" s="1332"/>
      <c r="M160" s="1332"/>
      <c r="N160" s="1332"/>
      <c r="O160" s="1332"/>
      <c r="P160" s="1332"/>
      <c r="Q160" s="1332"/>
      <c r="R160" s="1332"/>
      <c r="S160" s="1332"/>
      <c r="T160" s="1332"/>
      <c r="U160" s="1332"/>
      <c r="V160" s="1332"/>
      <c r="W160" s="1332"/>
      <c r="X160" s="1332"/>
      <c r="Y160" s="1332"/>
      <c r="Z160" s="1332"/>
      <c r="AA160" s="1332"/>
      <c r="AB160" s="1332"/>
    </row>
    <row r="161">
      <c r="A161" s="1332"/>
      <c r="B161" s="1366"/>
      <c r="C161" s="1366"/>
      <c r="D161" s="1375"/>
      <c r="E161" s="1332"/>
      <c r="F161" s="1332"/>
      <c r="G161" s="1378"/>
      <c r="H161" s="1378"/>
      <c r="I161" s="1332"/>
      <c r="J161" s="1332"/>
      <c r="K161" s="1332"/>
      <c r="L161" s="1332"/>
      <c r="M161" s="1332"/>
      <c r="N161" s="1332"/>
      <c r="O161" s="1332"/>
      <c r="P161" s="1332"/>
      <c r="Q161" s="1332"/>
      <c r="R161" s="1332"/>
      <c r="S161" s="1332"/>
      <c r="T161" s="1332"/>
      <c r="U161" s="1332"/>
      <c r="V161" s="1332"/>
      <c r="W161" s="1332"/>
      <c r="X161" s="1332"/>
      <c r="Y161" s="1332"/>
      <c r="Z161" s="1332"/>
      <c r="AA161" s="1332"/>
      <c r="AB161" s="1332"/>
    </row>
    <row r="162">
      <c r="A162" s="1332"/>
      <c r="B162" s="1366"/>
      <c r="C162" s="1366"/>
      <c r="D162" s="1375"/>
      <c r="E162" s="1332"/>
      <c r="F162" s="1332"/>
      <c r="G162" s="1378"/>
      <c r="H162" s="1378"/>
      <c r="I162" s="1332"/>
      <c r="J162" s="1332"/>
      <c r="K162" s="1332"/>
      <c r="L162" s="1332"/>
      <c r="M162" s="1332"/>
      <c r="N162" s="1332"/>
      <c r="O162" s="1332"/>
      <c r="P162" s="1332"/>
      <c r="Q162" s="1332"/>
      <c r="R162" s="1332"/>
      <c r="S162" s="1332"/>
      <c r="T162" s="1332"/>
      <c r="U162" s="1332"/>
      <c r="V162" s="1332"/>
      <c r="W162" s="1332"/>
      <c r="X162" s="1332"/>
      <c r="Y162" s="1332"/>
      <c r="Z162" s="1332"/>
      <c r="AA162" s="1332"/>
      <c r="AB162" s="1332"/>
    </row>
    <row r="163">
      <c r="A163" s="1332"/>
      <c r="B163" s="1366"/>
      <c r="C163" s="1366"/>
      <c r="D163" s="1375"/>
      <c r="E163" s="1332"/>
      <c r="F163" s="1332"/>
      <c r="G163" s="1378"/>
      <c r="H163" s="1378"/>
      <c r="I163" s="1332"/>
      <c r="J163" s="1332"/>
      <c r="K163" s="1332"/>
      <c r="L163" s="1332"/>
      <c r="M163" s="1332"/>
      <c r="N163" s="1332"/>
      <c r="O163" s="1332"/>
      <c r="P163" s="1332"/>
      <c r="Q163" s="1332"/>
      <c r="R163" s="1332"/>
      <c r="S163" s="1332"/>
      <c r="T163" s="1332"/>
      <c r="U163" s="1332"/>
      <c r="V163" s="1332"/>
      <c r="W163" s="1332"/>
      <c r="X163" s="1332"/>
      <c r="Y163" s="1332"/>
      <c r="Z163" s="1332"/>
      <c r="AA163" s="1332"/>
      <c r="AB163" s="1332"/>
    </row>
    <row r="164">
      <c r="A164" s="1332"/>
      <c r="B164" s="1366"/>
      <c r="C164" s="1366"/>
      <c r="D164" s="1375"/>
      <c r="E164" s="1332"/>
      <c r="F164" s="1332"/>
      <c r="G164" s="1378"/>
      <c r="H164" s="1378"/>
      <c r="I164" s="1332"/>
      <c r="J164" s="1332"/>
      <c r="K164" s="1332"/>
      <c r="L164" s="1332"/>
      <c r="M164" s="1332"/>
      <c r="N164" s="1332"/>
      <c r="O164" s="1332"/>
      <c r="P164" s="1332"/>
      <c r="Q164" s="1332"/>
      <c r="R164" s="1332"/>
      <c r="S164" s="1332"/>
      <c r="T164" s="1332"/>
      <c r="U164" s="1332"/>
      <c r="V164" s="1332"/>
      <c r="W164" s="1332"/>
      <c r="X164" s="1332"/>
      <c r="Y164" s="1332"/>
      <c r="Z164" s="1332"/>
      <c r="AA164" s="1332"/>
      <c r="AB164" s="1332"/>
    </row>
    <row r="165">
      <c r="A165" s="1332"/>
      <c r="B165" s="1366"/>
      <c r="C165" s="1366"/>
      <c r="D165" s="1375"/>
      <c r="E165" s="1332"/>
      <c r="F165" s="1332"/>
      <c r="G165" s="1378"/>
      <c r="H165" s="1378"/>
      <c r="I165" s="1332"/>
      <c r="J165" s="1332"/>
      <c r="K165" s="1332"/>
      <c r="L165" s="1332"/>
      <c r="M165" s="1332"/>
      <c r="N165" s="1332"/>
      <c r="O165" s="1332"/>
      <c r="P165" s="1332"/>
      <c r="Q165" s="1332"/>
      <c r="R165" s="1332"/>
      <c r="S165" s="1332"/>
      <c r="T165" s="1332"/>
      <c r="U165" s="1332"/>
      <c r="V165" s="1332"/>
      <c r="W165" s="1332"/>
      <c r="X165" s="1332"/>
      <c r="Y165" s="1332"/>
      <c r="Z165" s="1332"/>
      <c r="AA165" s="1332"/>
      <c r="AB165" s="1332"/>
    </row>
    <row r="166">
      <c r="A166" s="1332"/>
      <c r="B166" s="1366"/>
      <c r="C166" s="1366"/>
      <c r="D166" s="1375"/>
      <c r="E166" s="1332"/>
      <c r="F166" s="1332"/>
      <c r="G166" s="1378"/>
      <c r="H166" s="1378"/>
      <c r="I166" s="1332"/>
      <c r="J166" s="1332"/>
      <c r="K166" s="1332"/>
      <c r="L166" s="1332"/>
      <c r="M166" s="1332"/>
      <c r="N166" s="1332"/>
      <c r="O166" s="1332"/>
      <c r="P166" s="1332"/>
      <c r="Q166" s="1332"/>
      <c r="R166" s="1332"/>
      <c r="S166" s="1332"/>
      <c r="T166" s="1332"/>
      <c r="U166" s="1332"/>
      <c r="V166" s="1332"/>
      <c r="W166" s="1332"/>
      <c r="X166" s="1332"/>
      <c r="Y166" s="1332"/>
      <c r="Z166" s="1332"/>
      <c r="AA166" s="1332"/>
      <c r="AB166" s="1332"/>
    </row>
    <row r="167">
      <c r="A167" s="1332"/>
      <c r="B167" s="1366"/>
      <c r="C167" s="1366"/>
      <c r="D167" s="1375"/>
      <c r="E167" s="1332"/>
      <c r="F167" s="1332"/>
      <c r="G167" s="1378"/>
      <c r="H167" s="1378"/>
      <c r="I167" s="1332"/>
      <c r="J167" s="1332"/>
      <c r="K167" s="1332"/>
      <c r="L167" s="1332"/>
      <c r="M167" s="1332"/>
      <c r="N167" s="1332"/>
      <c r="O167" s="1332"/>
      <c r="P167" s="1332"/>
      <c r="Q167" s="1332"/>
      <c r="R167" s="1332"/>
      <c r="S167" s="1332"/>
      <c r="T167" s="1332"/>
      <c r="U167" s="1332"/>
      <c r="V167" s="1332"/>
      <c r="W167" s="1332"/>
      <c r="X167" s="1332"/>
      <c r="Y167" s="1332"/>
      <c r="Z167" s="1332"/>
      <c r="AA167" s="1332"/>
      <c r="AB167" s="1332"/>
    </row>
    <row r="168">
      <c r="A168" s="1332"/>
      <c r="B168" s="1366"/>
      <c r="C168" s="1366"/>
      <c r="D168" s="1375"/>
      <c r="E168" s="1332"/>
      <c r="F168" s="1332"/>
      <c r="G168" s="1378"/>
      <c r="H168" s="1378"/>
      <c r="I168" s="1332"/>
      <c r="J168" s="1332"/>
      <c r="K168" s="1332"/>
      <c r="L168" s="1332"/>
      <c r="M168" s="1332"/>
      <c r="N168" s="1332"/>
      <c r="O168" s="1332"/>
      <c r="P168" s="1332"/>
      <c r="Q168" s="1332"/>
      <c r="R168" s="1332"/>
      <c r="S168" s="1332"/>
      <c r="T168" s="1332"/>
      <c r="U168" s="1332"/>
      <c r="V168" s="1332"/>
      <c r="W168" s="1332"/>
      <c r="X168" s="1332"/>
      <c r="Y168" s="1332"/>
      <c r="Z168" s="1332"/>
      <c r="AA168" s="1332"/>
      <c r="AB168" s="1332"/>
    </row>
    <row r="169">
      <c r="A169" s="1332"/>
      <c r="B169" s="1366"/>
      <c r="C169" s="1366"/>
      <c r="D169" s="1375"/>
      <c r="E169" s="1332"/>
      <c r="F169" s="1332"/>
      <c r="G169" s="1378"/>
      <c r="H169" s="1378"/>
      <c r="I169" s="1332"/>
      <c r="J169" s="1332"/>
      <c r="K169" s="1332"/>
      <c r="L169" s="1332"/>
      <c r="M169" s="1332"/>
      <c r="N169" s="1332"/>
      <c r="O169" s="1332"/>
      <c r="P169" s="1332"/>
      <c r="Q169" s="1332"/>
      <c r="R169" s="1332"/>
      <c r="S169" s="1332"/>
      <c r="T169" s="1332"/>
      <c r="U169" s="1332"/>
      <c r="V169" s="1332"/>
      <c r="W169" s="1332"/>
      <c r="X169" s="1332"/>
      <c r="Y169" s="1332"/>
      <c r="Z169" s="1332"/>
      <c r="AA169" s="1332"/>
      <c r="AB169" s="1332"/>
    </row>
    <row r="170">
      <c r="A170" s="1332"/>
      <c r="B170" s="1366"/>
      <c r="C170" s="1366"/>
      <c r="D170" s="1375"/>
      <c r="E170" s="1332"/>
      <c r="F170" s="1332"/>
      <c r="G170" s="1378"/>
      <c r="H170" s="1378"/>
      <c r="I170" s="1332"/>
      <c r="J170" s="1332"/>
      <c r="K170" s="1332"/>
      <c r="L170" s="1332"/>
      <c r="M170" s="1332"/>
      <c r="N170" s="1332"/>
      <c r="O170" s="1332"/>
      <c r="P170" s="1332"/>
      <c r="Q170" s="1332"/>
      <c r="R170" s="1332"/>
      <c r="S170" s="1332"/>
      <c r="T170" s="1332"/>
      <c r="U170" s="1332"/>
      <c r="V170" s="1332"/>
      <c r="W170" s="1332"/>
      <c r="X170" s="1332"/>
      <c r="Y170" s="1332"/>
      <c r="Z170" s="1332"/>
      <c r="AA170" s="1332"/>
      <c r="AB170" s="1332"/>
    </row>
    <row r="171">
      <c r="A171" s="1332"/>
      <c r="B171" s="1366"/>
      <c r="C171" s="1366"/>
      <c r="D171" s="1375"/>
      <c r="E171" s="1332"/>
      <c r="F171" s="1332"/>
      <c r="G171" s="1378"/>
      <c r="H171" s="1378"/>
      <c r="I171" s="1332"/>
      <c r="J171" s="1332"/>
      <c r="K171" s="1332"/>
      <c r="L171" s="1332"/>
      <c r="M171" s="1332"/>
      <c r="N171" s="1332"/>
      <c r="O171" s="1332"/>
      <c r="P171" s="1332"/>
      <c r="Q171" s="1332"/>
      <c r="R171" s="1332"/>
      <c r="S171" s="1332"/>
      <c r="T171" s="1332"/>
      <c r="U171" s="1332"/>
      <c r="V171" s="1332"/>
      <c r="W171" s="1332"/>
      <c r="X171" s="1332"/>
      <c r="Y171" s="1332"/>
      <c r="Z171" s="1332"/>
      <c r="AA171" s="1332"/>
      <c r="AB171" s="1332"/>
    </row>
    <row r="172">
      <c r="A172" s="1332"/>
      <c r="B172" s="1366"/>
      <c r="C172" s="1366"/>
      <c r="D172" s="1375"/>
      <c r="E172" s="1332"/>
      <c r="F172" s="1332"/>
      <c r="G172" s="1378"/>
      <c r="H172" s="1378"/>
      <c r="I172" s="1332"/>
      <c r="J172" s="1332"/>
      <c r="K172" s="1332"/>
      <c r="L172" s="1332"/>
      <c r="M172" s="1332"/>
      <c r="N172" s="1332"/>
      <c r="O172" s="1332"/>
      <c r="P172" s="1332"/>
      <c r="Q172" s="1332"/>
      <c r="R172" s="1332"/>
      <c r="S172" s="1332"/>
      <c r="T172" s="1332"/>
      <c r="U172" s="1332"/>
      <c r="V172" s="1332"/>
      <c r="W172" s="1332"/>
      <c r="X172" s="1332"/>
      <c r="Y172" s="1332"/>
      <c r="Z172" s="1332"/>
      <c r="AA172" s="1332"/>
      <c r="AB172" s="1332"/>
    </row>
    <row r="173">
      <c r="A173" s="1332"/>
      <c r="B173" s="1366"/>
      <c r="C173" s="1366"/>
      <c r="D173" s="1375"/>
      <c r="E173" s="1332"/>
      <c r="F173" s="1332"/>
      <c r="G173" s="1378"/>
      <c r="H173" s="1378"/>
      <c r="I173" s="1332"/>
      <c r="J173" s="1332"/>
      <c r="K173" s="1332"/>
      <c r="L173" s="1332"/>
      <c r="M173" s="1332"/>
      <c r="N173" s="1332"/>
      <c r="O173" s="1332"/>
      <c r="P173" s="1332"/>
      <c r="Q173" s="1332"/>
      <c r="R173" s="1332"/>
      <c r="S173" s="1332"/>
      <c r="T173" s="1332"/>
      <c r="U173" s="1332"/>
      <c r="V173" s="1332"/>
      <c r="W173" s="1332"/>
      <c r="X173" s="1332"/>
      <c r="Y173" s="1332"/>
      <c r="Z173" s="1332"/>
      <c r="AA173" s="1332"/>
      <c r="AB173" s="1332"/>
    </row>
    <row r="174">
      <c r="A174" s="1332"/>
      <c r="B174" s="1366"/>
      <c r="C174" s="1366"/>
      <c r="D174" s="1375"/>
      <c r="E174" s="1332"/>
      <c r="F174" s="1332"/>
      <c r="G174" s="1378"/>
      <c r="H174" s="1378"/>
      <c r="I174" s="1332"/>
      <c r="J174" s="1332"/>
      <c r="K174" s="1332"/>
      <c r="L174" s="1332"/>
      <c r="M174" s="1332"/>
      <c r="N174" s="1332"/>
      <c r="O174" s="1332"/>
      <c r="P174" s="1332"/>
      <c r="Q174" s="1332"/>
      <c r="R174" s="1332"/>
      <c r="S174" s="1332"/>
      <c r="T174" s="1332"/>
      <c r="U174" s="1332"/>
      <c r="V174" s="1332"/>
      <c r="W174" s="1332"/>
      <c r="X174" s="1332"/>
      <c r="Y174" s="1332"/>
      <c r="Z174" s="1332"/>
      <c r="AA174" s="1332"/>
      <c r="AB174" s="1332"/>
    </row>
    <row r="175">
      <c r="A175" s="1332"/>
      <c r="B175" s="1366"/>
      <c r="C175" s="1366"/>
      <c r="D175" s="1375"/>
      <c r="E175" s="1332"/>
      <c r="F175" s="1332"/>
      <c r="G175" s="1378"/>
      <c r="H175" s="1378"/>
      <c r="I175" s="1332"/>
      <c r="J175" s="1332"/>
      <c r="K175" s="1332"/>
      <c r="L175" s="1332"/>
      <c r="M175" s="1332"/>
      <c r="N175" s="1332"/>
      <c r="O175" s="1332"/>
      <c r="P175" s="1332"/>
      <c r="Q175" s="1332"/>
      <c r="R175" s="1332"/>
      <c r="S175" s="1332"/>
      <c r="T175" s="1332"/>
      <c r="U175" s="1332"/>
      <c r="V175" s="1332"/>
      <c r="W175" s="1332"/>
      <c r="X175" s="1332"/>
      <c r="Y175" s="1332"/>
      <c r="Z175" s="1332"/>
      <c r="AA175" s="1332"/>
      <c r="AB175" s="1332"/>
    </row>
    <row r="176">
      <c r="A176" s="1332"/>
      <c r="B176" s="1366"/>
      <c r="C176" s="1366"/>
      <c r="D176" s="1375"/>
      <c r="E176" s="1332"/>
      <c r="F176" s="1332"/>
      <c r="G176" s="1378"/>
      <c r="H176" s="1378"/>
      <c r="I176" s="1332"/>
      <c r="J176" s="1332"/>
      <c r="K176" s="1332"/>
      <c r="L176" s="1332"/>
      <c r="M176" s="1332"/>
      <c r="N176" s="1332"/>
      <c r="O176" s="1332"/>
      <c r="P176" s="1332"/>
      <c r="Q176" s="1332"/>
      <c r="R176" s="1332"/>
      <c r="S176" s="1332"/>
      <c r="T176" s="1332"/>
      <c r="U176" s="1332"/>
      <c r="V176" s="1332"/>
      <c r="W176" s="1332"/>
      <c r="X176" s="1332"/>
      <c r="Y176" s="1332"/>
      <c r="Z176" s="1332"/>
      <c r="AA176" s="1332"/>
      <c r="AB176" s="1332"/>
    </row>
    <row r="177">
      <c r="A177" s="1332"/>
      <c r="B177" s="1366"/>
      <c r="C177" s="1366"/>
      <c r="D177" s="1375"/>
      <c r="E177" s="1332"/>
      <c r="F177" s="1332"/>
      <c r="G177" s="1378"/>
      <c r="H177" s="1378"/>
      <c r="I177" s="1332"/>
      <c r="J177" s="1332"/>
      <c r="K177" s="1332"/>
      <c r="L177" s="1332"/>
      <c r="M177" s="1332"/>
      <c r="N177" s="1332"/>
      <c r="O177" s="1332"/>
      <c r="P177" s="1332"/>
      <c r="Q177" s="1332"/>
      <c r="R177" s="1332"/>
      <c r="S177" s="1332"/>
      <c r="T177" s="1332"/>
      <c r="U177" s="1332"/>
      <c r="V177" s="1332"/>
      <c r="W177" s="1332"/>
      <c r="X177" s="1332"/>
      <c r="Y177" s="1332"/>
      <c r="Z177" s="1332"/>
      <c r="AA177" s="1332"/>
      <c r="AB177" s="1332"/>
    </row>
    <row r="178">
      <c r="A178" s="1332"/>
      <c r="B178" s="1366"/>
      <c r="C178" s="1366"/>
      <c r="D178" s="1375"/>
      <c r="E178" s="1332"/>
      <c r="F178" s="1332"/>
      <c r="G178" s="1378"/>
      <c r="H178" s="1378"/>
      <c r="I178" s="1332"/>
      <c r="J178" s="1332"/>
      <c r="K178" s="1332"/>
      <c r="L178" s="1332"/>
      <c r="M178" s="1332"/>
      <c r="N178" s="1332"/>
      <c r="O178" s="1332"/>
      <c r="P178" s="1332"/>
      <c r="Q178" s="1332"/>
      <c r="R178" s="1332"/>
      <c r="S178" s="1332"/>
      <c r="T178" s="1332"/>
      <c r="U178" s="1332"/>
      <c r="V178" s="1332"/>
      <c r="W178" s="1332"/>
      <c r="X178" s="1332"/>
      <c r="Y178" s="1332"/>
      <c r="Z178" s="1332"/>
      <c r="AA178" s="1332"/>
      <c r="AB178" s="1332"/>
    </row>
    <row r="179">
      <c r="A179" s="1332"/>
      <c r="B179" s="1366"/>
      <c r="C179" s="1366"/>
      <c r="D179" s="1375"/>
      <c r="E179" s="1332"/>
      <c r="F179" s="1332"/>
      <c r="G179" s="1378"/>
      <c r="H179" s="1378"/>
      <c r="I179" s="1332"/>
      <c r="J179" s="1332"/>
      <c r="K179" s="1332"/>
      <c r="L179" s="1332"/>
      <c r="M179" s="1332"/>
      <c r="N179" s="1332"/>
      <c r="O179" s="1332"/>
      <c r="P179" s="1332"/>
      <c r="Q179" s="1332"/>
      <c r="R179" s="1332"/>
      <c r="S179" s="1332"/>
      <c r="T179" s="1332"/>
      <c r="U179" s="1332"/>
      <c r="V179" s="1332"/>
      <c r="W179" s="1332"/>
      <c r="X179" s="1332"/>
      <c r="Y179" s="1332"/>
      <c r="Z179" s="1332"/>
      <c r="AA179" s="1332"/>
      <c r="AB179" s="1332"/>
    </row>
    <row r="180">
      <c r="A180" s="1332"/>
      <c r="B180" s="1366"/>
      <c r="C180" s="1366"/>
      <c r="D180" s="1375"/>
      <c r="E180" s="1332"/>
      <c r="F180" s="1332"/>
      <c r="G180" s="1378"/>
      <c r="H180" s="1378"/>
      <c r="I180" s="1332"/>
      <c r="J180" s="1332"/>
      <c r="K180" s="1332"/>
      <c r="L180" s="1332"/>
      <c r="M180" s="1332"/>
      <c r="N180" s="1332"/>
      <c r="O180" s="1332"/>
      <c r="P180" s="1332"/>
      <c r="Q180" s="1332"/>
      <c r="R180" s="1332"/>
      <c r="S180" s="1332"/>
      <c r="T180" s="1332"/>
      <c r="U180" s="1332"/>
      <c r="V180" s="1332"/>
      <c r="W180" s="1332"/>
      <c r="X180" s="1332"/>
      <c r="Y180" s="1332"/>
      <c r="Z180" s="1332"/>
      <c r="AA180" s="1332"/>
      <c r="AB180" s="1332"/>
    </row>
    <row r="181">
      <c r="A181" s="1332"/>
      <c r="B181" s="1366"/>
      <c r="C181" s="1366"/>
      <c r="D181" s="1375"/>
      <c r="E181" s="1332"/>
      <c r="F181" s="1332"/>
      <c r="G181" s="1378"/>
      <c r="H181" s="1378"/>
      <c r="I181" s="1332"/>
      <c r="J181" s="1332"/>
      <c r="K181" s="1332"/>
      <c r="L181" s="1332"/>
      <c r="M181" s="1332"/>
      <c r="N181" s="1332"/>
      <c r="O181" s="1332"/>
      <c r="P181" s="1332"/>
      <c r="Q181" s="1332"/>
      <c r="R181" s="1332"/>
      <c r="S181" s="1332"/>
      <c r="T181" s="1332"/>
      <c r="U181" s="1332"/>
      <c r="V181" s="1332"/>
      <c r="W181" s="1332"/>
      <c r="X181" s="1332"/>
      <c r="Y181" s="1332"/>
      <c r="Z181" s="1332"/>
      <c r="AA181" s="1332"/>
      <c r="AB181" s="1332"/>
    </row>
    <row r="182">
      <c r="A182" s="1332"/>
      <c r="B182" s="1366"/>
      <c r="C182" s="1366"/>
      <c r="D182" s="1375"/>
      <c r="E182" s="1332"/>
      <c r="F182" s="1332"/>
      <c r="G182" s="1378"/>
      <c r="H182" s="1378"/>
      <c r="I182" s="1332"/>
      <c r="J182" s="1332"/>
      <c r="K182" s="1332"/>
      <c r="L182" s="1332"/>
      <c r="M182" s="1332"/>
      <c r="N182" s="1332"/>
      <c r="O182" s="1332"/>
      <c r="P182" s="1332"/>
      <c r="Q182" s="1332"/>
      <c r="R182" s="1332"/>
      <c r="S182" s="1332"/>
      <c r="T182" s="1332"/>
      <c r="U182" s="1332"/>
      <c r="V182" s="1332"/>
      <c r="W182" s="1332"/>
      <c r="X182" s="1332"/>
      <c r="Y182" s="1332"/>
      <c r="Z182" s="1332"/>
      <c r="AA182" s="1332"/>
      <c r="AB182" s="1332"/>
    </row>
    <row r="183">
      <c r="A183" s="1332"/>
      <c r="B183" s="1366"/>
      <c r="C183" s="1366"/>
      <c r="D183" s="1375"/>
      <c r="E183" s="1332"/>
      <c r="F183" s="1332"/>
      <c r="G183" s="1378"/>
      <c r="H183" s="1378"/>
      <c r="I183" s="1332"/>
      <c r="J183" s="1332"/>
      <c r="K183" s="1332"/>
      <c r="L183" s="1332"/>
      <c r="M183" s="1332"/>
      <c r="N183" s="1332"/>
      <c r="O183" s="1332"/>
      <c r="P183" s="1332"/>
      <c r="Q183" s="1332"/>
      <c r="R183" s="1332"/>
      <c r="S183" s="1332"/>
      <c r="T183" s="1332"/>
      <c r="U183" s="1332"/>
      <c r="V183" s="1332"/>
      <c r="W183" s="1332"/>
      <c r="X183" s="1332"/>
      <c r="Y183" s="1332"/>
      <c r="Z183" s="1332"/>
      <c r="AA183" s="1332"/>
      <c r="AB183" s="1332"/>
    </row>
    <row r="184">
      <c r="A184" s="1332"/>
      <c r="B184" s="1366"/>
      <c r="C184" s="1366"/>
      <c r="D184" s="1375"/>
      <c r="E184" s="1332"/>
      <c r="F184" s="1332"/>
      <c r="G184" s="1378"/>
      <c r="H184" s="1378"/>
      <c r="I184" s="1332"/>
      <c r="J184" s="1332"/>
      <c r="K184" s="1332"/>
      <c r="L184" s="1332"/>
      <c r="M184" s="1332"/>
      <c r="N184" s="1332"/>
      <c r="O184" s="1332"/>
      <c r="P184" s="1332"/>
      <c r="Q184" s="1332"/>
      <c r="R184" s="1332"/>
      <c r="S184" s="1332"/>
      <c r="T184" s="1332"/>
      <c r="U184" s="1332"/>
      <c r="V184" s="1332"/>
      <c r="W184" s="1332"/>
      <c r="X184" s="1332"/>
      <c r="Y184" s="1332"/>
      <c r="Z184" s="1332"/>
      <c r="AA184" s="1332"/>
      <c r="AB184" s="1332"/>
    </row>
    <row r="185">
      <c r="A185" s="1332"/>
      <c r="B185" s="1366"/>
      <c r="C185" s="1366"/>
      <c r="D185" s="1375"/>
      <c r="E185" s="1332"/>
      <c r="F185" s="1332"/>
      <c r="G185" s="1378"/>
      <c r="H185" s="1378"/>
      <c r="I185" s="1332"/>
      <c r="J185" s="1332"/>
      <c r="K185" s="1332"/>
      <c r="L185" s="1332"/>
      <c r="M185" s="1332"/>
      <c r="N185" s="1332"/>
      <c r="O185" s="1332"/>
      <c r="P185" s="1332"/>
      <c r="Q185" s="1332"/>
      <c r="R185" s="1332"/>
      <c r="S185" s="1332"/>
      <c r="T185" s="1332"/>
      <c r="U185" s="1332"/>
      <c r="V185" s="1332"/>
      <c r="W185" s="1332"/>
      <c r="X185" s="1332"/>
      <c r="Y185" s="1332"/>
      <c r="Z185" s="1332"/>
      <c r="AA185" s="1332"/>
      <c r="AB185" s="1332"/>
    </row>
    <row r="186">
      <c r="A186" s="1332"/>
      <c r="B186" s="1366"/>
      <c r="C186" s="1366"/>
      <c r="D186" s="1375"/>
      <c r="E186" s="1332"/>
      <c r="F186" s="1332"/>
      <c r="G186" s="1378"/>
      <c r="H186" s="1378"/>
      <c r="I186" s="1332"/>
      <c r="J186" s="1332"/>
      <c r="K186" s="1332"/>
      <c r="L186" s="1332"/>
      <c r="M186" s="1332"/>
      <c r="N186" s="1332"/>
      <c r="O186" s="1332"/>
      <c r="P186" s="1332"/>
      <c r="Q186" s="1332"/>
      <c r="R186" s="1332"/>
      <c r="S186" s="1332"/>
      <c r="T186" s="1332"/>
      <c r="U186" s="1332"/>
      <c r="V186" s="1332"/>
      <c r="W186" s="1332"/>
      <c r="X186" s="1332"/>
      <c r="Y186" s="1332"/>
      <c r="Z186" s="1332"/>
      <c r="AA186" s="1332"/>
      <c r="AB186" s="1332"/>
    </row>
    <row r="187">
      <c r="A187" s="1332"/>
      <c r="B187" s="1366"/>
      <c r="C187" s="1366"/>
      <c r="D187" s="1375"/>
      <c r="E187" s="1332"/>
      <c r="F187" s="1332"/>
      <c r="G187" s="1378"/>
      <c r="H187" s="1378"/>
      <c r="I187" s="1332"/>
      <c r="J187" s="1332"/>
      <c r="K187" s="1332"/>
      <c r="L187" s="1332"/>
      <c r="M187" s="1332"/>
      <c r="N187" s="1332"/>
      <c r="O187" s="1332"/>
      <c r="P187" s="1332"/>
      <c r="Q187" s="1332"/>
      <c r="R187" s="1332"/>
      <c r="S187" s="1332"/>
      <c r="T187" s="1332"/>
      <c r="U187" s="1332"/>
      <c r="V187" s="1332"/>
      <c r="W187" s="1332"/>
      <c r="X187" s="1332"/>
      <c r="Y187" s="1332"/>
      <c r="Z187" s="1332"/>
      <c r="AA187" s="1332"/>
      <c r="AB187" s="1332"/>
    </row>
    <row r="188">
      <c r="A188" s="1332"/>
      <c r="B188" s="1366"/>
      <c r="C188" s="1366"/>
      <c r="D188" s="1375"/>
      <c r="E188" s="1332"/>
      <c r="F188" s="1332"/>
      <c r="G188" s="1378"/>
      <c r="H188" s="1378"/>
      <c r="I188" s="1332"/>
      <c r="J188" s="1332"/>
      <c r="K188" s="1332"/>
      <c r="L188" s="1332"/>
      <c r="M188" s="1332"/>
      <c r="N188" s="1332"/>
      <c r="O188" s="1332"/>
      <c r="P188" s="1332"/>
      <c r="Q188" s="1332"/>
      <c r="R188" s="1332"/>
      <c r="S188" s="1332"/>
      <c r="T188" s="1332"/>
      <c r="U188" s="1332"/>
      <c r="V188" s="1332"/>
      <c r="W188" s="1332"/>
      <c r="X188" s="1332"/>
      <c r="Y188" s="1332"/>
      <c r="Z188" s="1332"/>
      <c r="AA188" s="1332"/>
      <c r="AB188" s="1332"/>
    </row>
    <row r="189">
      <c r="A189" s="1332"/>
      <c r="B189" s="1366"/>
      <c r="C189" s="1366"/>
      <c r="D189" s="1375"/>
      <c r="E189" s="1332"/>
      <c r="F189" s="1332"/>
      <c r="G189" s="1378"/>
      <c r="H189" s="1378"/>
      <c r="I189" s="1332"/>
      <c r="J189" s="1332"/>
      <c r="K189" s="1332"/>
      <c r="L189" s="1332"/>
      <c r="M189" s="1332"/>
      <c r="N189" s="1332"/>
      <c r="O189" s="1332"/>
      <c r="P189" s="1332"/>
      <c r="Q189" s="1332"/>
      <c r="R189" s="1332"/>
      <c r="S189" s="1332"/>
      <c r="T189" s="1332"/>
      <c r="U189" s="1332"/>
      <c r="V189" s="1332"/>
      <c r="W189" s="1332"/>
      <c r="X189" s="1332"/>
      <c r="Y189" s="1332"/>
      <c r="Z189" s="1332"/>
      <c r="AA189" s="1332"/>
      <c r="AB189" s="1332"/>
    </row>
    <row r="190">
      <c r="A190" s="1332"/>
      <c r="B190" s="1366"/>
      <c r="C190" s="1366"/>
      <c r="D190" s="1375"/>
      <c r="E190" s="1332"/>
      <c r="F190" s="1332"/>
      <c r="G190" s="1378"/>
      <c r="H190" s="1378"/>
      <c r="I190" s="1332"/>
      <c r="J190" s="1332"/>
      <c r="K190" s="1332"/>
      <c r="L190" s="1332"/>
      <c r="M190" s="1332"/>
      <c r="N190" s="1332"/>
      <c r="O190" s="1332"/>
      <c r="P190" s="1332"/>
      <c r="Q190" s="1332"/>
      <c r="R190" s="1332"/>
      <c r="S190" s="1332"/>
      <c r="T190" s="1332"/>
      <c r="U190" s="1332"/>
      <c r="V190" s="1332"/>
      <c r="W190" s="1332"/>
      <c r="X190" s="1332"/>
      <c r="Y190" s="1332"/>
      <c r="Z190" s="1332"/>
      <c r="AA190" s="1332"/>
      <c r="AB190" s="1332"/>
    </row>
    <row r="191">
      <c r="A191" s="1332"/>
      <c r="B191" s="1366"/>
      <c r="C191" s="1366"/>
      <c r="D191" s="1375"/>
      <c r="E191" s="1332"/>
      <c r="F191" s="1332"/>
      <c r="G191" s="1378"/>
      <c r="H191" s="1378"/>
      <c r="I191" s="1332"/>
      <c r="J191" s="1332"/>
      <c r="K191" s="1332"/>
      <c r="L191" s="1332"/>
      <c r="M191" s="1332"/>
      <c r="N191" s="1332"/>
      <c r="O191" s="1332"/>
      <c r="P191" s="1332"/>
      <c r="Q191" s="1332"/>
      <c r="R191" s="1332"/>
      <c r="S191" s="1332"/>
      <c r="T191" s="1332"/>
      <c r="U191" s="1332"/>
      <c r="V191" s="1332"/>
      <c r="W191" s="1332"/>
      <c r="X191" s="1332"/>
      <c r="Y191" s="1332"/>
      <c r="Z191" s="1332"/>
      <c r="AA191" s="1332"/>
      <c r="AB191" s="1332"/>
    </row>
    <row r="192">
      <c r="A192" s="1332"/>
      <c r="B192" s="1366"/>
      <c r="C192" s="1366"/>
      <c r="D192" s="1375"/>
      <c r="E192" s="1332"/>
      <c r="F192" s="1332"/>
      <c r="G192" s="1378"/>
      <c r="H192" s="1378"/>
      <c r="I192" s="1332"/>
      <c r="J192" s="1332"/>
      <c r="K192" s="1332"/>
      <c r="L192" s="1332"/>
      <c r="M192" s="1332"/>
      <c r="N192" s="1332"/>
      <c r="O192" s="1332"/>
      <c r="P192" s="1332"/>
      <c r="Q192" s="1332"/>
      <c r="R192" s="1332"/>
      <c r="S192" s="1332"/>
      <c r="T192" s="1332"/>
      <c r="U192" s="1332"/>
      <c r="V192" s="1332"/>
      <c r="W192" s="1332"/>
      <c r="X192" s="1332"/>
      <c r="Y192" s="1332"/>
      <c r="Z192" s="1332"/>
      <c r="AA192" s="1332"/>
      <c r="AB192" s="1332"/>
    </row>
    <row r="193">
      <c r="A193" s="1332"/>
      <c r="B193" s="1366"/>
      <c r="C193" s="1366"/>
      <c r="D193" s="1375"/>
      <c r="E193" s="1332"/>
      <c r="F193" s="1332"/>
      <c r="G193" s="1378"/>
      <c r="H193" s="1378"/>
      <c r="I193" s="1332"/>
      <c r="J193" s="1332"/>
      <c r="K193" s="1332"/>
      <c r="L193" s="1332"/>
      <c r="M193" s="1332"/>
      <c r="N193" s="1332"/>
      <c r="O193" s="1332"/>
      <c r="P193" s="1332"/>
      <c r="Q193" s="1332"/>
      <c r="R193" s="1332"/>
      <c r="S193" s="1332"/>
      <c r="T193" s="1332"/>
      <c r="U193" s="1332"/>
      <c r="V193" s="1332"/>
      <c r="W193" s="1332"/>
      <c r="X193" s="1332"/>
      <c r="Y193" s="1332"/>
      <c r="Z193" s="1332"/>
      <c r="AA193" s="1332"/>
      <c r="AB193" s="1332"/>
    </row>
    <row r="194">
      <c r="A194" s="1332"/>
      <c r="B194" s="1366"/>
      <c r="C194" s="1366"/>
      <c r="D194" s="1375"/>
      <c r="E194" s="1332"/>
      <c r="F194" s="1332"/>
      <c r="G194" s="1378"/>
      <c r="H194" s="1378"/>
      <c r="I194" s="1332"/>
      <c r="J194" s="1332"/>
      <c r="K194" s="1332"/>
      <c r="L194" s="1332"/>
      <c r="M194" s="1332"/>
      <c r="N194" s="1332"/>
      <c r="O194" s="1332"/>
      <c r="P194" s="1332"/>
      <c r="Q194" s="1332"/>
      <c r="R194" s="1332"/>
      <c r="S194" s="1332"/>
      <c r="T194" s="1332"/>
      <c r="U194" s="1332"/>
      <c r="V194" s="1332"/>
      <c r="W194" s="1332"/>
      <c r="X194" s="1332"/>
      <c r="Y194" s="1332"/>
      <c r="Z194" s="1332"/>
      <c r="AA194" s="1332"/>
      <c r="AB194" s="1332"/>
    </row>
    <row r="195">
      <c r="A195" s="1332"/>
      <c r="B195" s="1366"/>
      <c r="C195" s="1366"/>
      <c r="D195" s="1375"/>
      <c r="E195" s="1332"/>
      <c r="F195" s="1332"/>
      <c r="G195" s="1378"/>
      <c r="H195" s="1378"/>
      <c r="I195" s="1332"/>
      <c r="J195" s="1332"/>
      <c r="K195" s="1332"/>
      <c r="L195" s="1332"/>
      <c r="M195" s="1332"/>
      <c r="N195" s="1332"/>
      <c r="O195" s="1332"/>
      <c r="P195" s="1332"/>
      <c r="Q195" s="1332"/>
      <c r="R195" s="1332"/>
      <c r="S195" s="1332"/>
      <c r="T195" s="1332"/>
      <c r="U195" s="1332"/>
      <c r="V195" s="1332"/>
      <c r="W195" s="1332"/>
      <c r="X195" s="1332"/>
      <c r="Y195" s="1332"/>
      <c r="Z195" s="1332"/>
      <c r="AA195" s="1332"/>
      <c r="AB195" s="1332"/>
    </row>
    <row r="196">
      <c r="A196" s="1332"/>
      <c r="B196" s="1366"/>
      <c r="C196" s="1366"/>
      <c r="D196" s="1375"/>
      <c r="E196" s="1332"/>
      <c r="F196" s="1332"/>
      <c r="G196" s="1378"/>
      <c r="H196" s="1378"/>
      <c r="I196" s="1332"/>
      <c r="J196" s="1332"/>
      <c r="K196" s="1332"/>
      <c r="L196" s="1332"/>
      <c r="M196" s="1332"/>
      <c r="N196" s="1332"/>
      <c r="O196" s="1332"/>
      <c r="P196" s="1332"/>
      <c r="Q196" s="1332"/>
      <c r="R196" s="1332"/>
      <c r="S196" s="1332"/>
      <c r="T196" s="1332"/>
      <c r="U196" s="1332"/>
      <c r="V196" s="1332"/>
      <c r="W196" s="1332"/>
      <c r="X196" s="1332"/>
      <c r="Y196" s="1332"/>
      <c r="Z196" s="1332"/>
      <c r="AA196" s="1332"/>
      <c r="AB196" s="1332"/>
    </row>
    <row r="197">
      <c r="A197" s="1332"/>
      <c r="B197" s="1366"/>
      <c r="C197" s="1366"/>
      <c r="D197" s="1375"/>
      <c r="E197" s="1332"/>
      <c r="F197" s="1332"/>
      <c r="G197" s="1378"/>
      <c r="H197" s="1378"/>
      <c r="I197" s="1332"/>
      <c r="J197" s="1332"/>
      <c r="K197" s="1332"/>
      <c r="L197" s="1332"/>
      <c r="M197" s="1332"/>
      <c r="N197" s="1332"/>
      <c r="O197" s="1332"/>
      <c r="P197" s="1332"/>
      <c r="Q197" s="1332"/>
      <c r="R197" s="1332"/>
      <c r="S197" s="1332"/>
      <c r="T197" s="1332"/>
      <c r="U197" s="1332"/>
      <c r="V197" s="1332"/>
      <c r="W197" s="1332"/>
      <c r="X197" s="1332"/>
      <c r="Y197" s="1332"/>
      <c r="Z197" s="1332"/>
      <c r="AA197" s="1332"/>
      <c r="AB197" s="1332"/>
    </row>
    <row r="198">
      <c r="A198" s="1332"/>
      <c r="B198" s="1366"/>
      <c r="C198" s="1366"/>
      <c r="D198" s="1375"/>
      <c r="E198" s="1332"/>
      <c r="F198" s="1332"/>
      <c r="G198" s="1378"/>
      <c r="H198" s="1378"/>
      <c r="I198" s="1332"/>
      <c r="J198" s="1332"/>
      <c r="K198" s="1332"/>
      <c r="L198" s="1332"/>
      <c r="M198" s="1332"/>
      <c r="N198" s="1332"/>
      <c r="O198" s="1332"/>
      <c r="P198" s="1332"/>
      <c r="Q198" s="1332"/>
      <c r="R198" s="1332"/>
      <c r="S198" s="1332"/>
      <c r="T198" s="1332"/>
      <c r="U198" s="1332"/>
      <c r="V198" s="1332"/>
      <c r="W198" s="1332"/>
      <c r="X198" s="1332"/>
      <c r="Y198" s="1332"/>
      <c r="Z198" s="1332"/>
      <c r="AA198" s="1332"/>
      <c r="AB198" s="1332"/>
    </row>
    <row r="199">
      <c r="A199" s="1332"/>
      <c r="B199" s="1366"/>
      <c r="C199" s="1366"/>
      <c r="D199" s="1375"/>
      <c r="E199" s="1332"/>
      <c r="F199" s="1332"/>
      <c r="G199" s="1378"/>
      <c r="H199" s="1378"/>
      <c r="I199" s="1332"/>
      <c r="J199" s="1332"/>
      <c r="K199" s="1332"/>
      <c r="L199" s="1332"/>
      <c r="M199" s="1332"/>
      <c r="N199" s="1332"/>
      <c r="O199" s="1332"/>
      <c r="P199" s="1332"/>
      <c r="Q199" s="1332"/>
      <c r="R199" s="1332"/>
      <c r="S199" s="1332"/>
      <c r="T199" s="1332"/>
      <c r="U199" s="1332"/>
      <c r="V199" s="1332"/>
      <c r="W199" s="1332"/>
      <c r="X199" s="1332"/>
      <c r="Y199" s="1332"/>
      <c r="Z199" s="1332"/>
      <c r="AA199" s="1332"/>
      <c r="AB199" s="1332"/>
    </row>
    <row r="200">
      <c r="A200" s="1332"/>
      <c r="B200" s="1366"/>
      <c r="C200" s="1366"/>
      <c r="D200" s="1375"/>
      <c r="E200" s="1332"/>
      <c r="F200" s="1332"/>
      <c r="G200" s="1378"/>
      <c r="H200" s="1378"/>
      <c r="I200" s="1332"/>
      <c r="J200" s="1332"/>
      <c r="K200" s="1332"/>
      <c r="L200" s="1332"/>
      <c r="M200" s="1332"/>
      <c r="N200" s="1332"/>
      <c r="O200" s="1332"/>
      <c r="P200" s="1332"/>
      <c r="Q200" s="1332"/>
      <c r="R200" s="1332"/>
      <c r="S200" s="1332"/>
      <c r="T200" s="1332"/>
      <c r="U200" s="1332"/>
      <c r="V200" s="1332"/>
      <c r="W200" s="1332"/>
      <c r="X200" s="1332"/>
      <c r="Y200" s="1332"/>
      <c r="Z200" s="1332"/>
      <c r="AA200" s="1332"/>
      <c r="AB200" s="1332"/>
    </row>
    <row r="201">
      <c r="A201" s="1332"/>
      <c r="B201" s="1366"/>
      <c r="C201" s="1366"/>
      <c r="D201" s="1375"/>
      <c r="E201" s="1332"/>
      <c r="F201" s="1332"/>
      <c r="G201" s="1378"/>
      <c r="H201" s="1378"/>
      <c r="I201" s="1332"/>
      <c r="J201" s="1332"/>
      <c r="K201" s="1332"/>
      <c r="L201" s="1332"/>
      <c r="M201" s="1332"/>
      <c r="N201" s="1332"/>
      <c r="O201" s="1332"/>
      <c r="P201" s="1332"/>
      <c r="Q201" s="1332"/>
      <c r="R201" s="1332"/>
      <c r="S201" s="1332"/>
      <c r="T201" s="1332"/>
      <c r="U201" s="1332"/>
      <c r="V201" s="1332"/>
      <c r="W201" s="1332"/>
      <c r="X201" s="1332"/>
      <c r="Y201" s="1332"/>
      <c r="Z201" s="1332"/>
      <c r="AA201" s="1332"/>
      <c r="AB201" s="1332"/>
    </row>
    <row r="202">
      <c r="A202" s="1332"/>
      <c r="B202" s="1366"/>
      <c r="C202" s="1366"/>
      <c r="D202" s="1375"/>
      <c r="E202" s="1332"/>
      <c r="F202" s="1332"/>
      <c r="G202" s="1378"/>
      <c r="H202" s="1378"/>
      <c r="I202" s="1332"/>
      <c r="J202" s="1332"/>
      <c r="K202" s="1332"/>
      <c r="L202" s="1332"/>
      <c r="M202" s="1332"/>
      <c r="N202" s="1332"/>
      <c r="O202" s="1332"/>
      <c r="P202" s="1332"/>
      <c r="Q202" s="1332"/>
      <c r="R202" s="1332"/>
      <c r="S202" s="1332"/>
      <c r="T202" s="1332"/>
      <c r="U202" s="1332"/>
      <c r="V202" s="1332"/>
      <c r="W202" s="1332"/>
      <c r="X202" s="1332"/>
      <c r="Y202" s="1332"/>
      <c r="Z202" s="1332"/>
      <c r="AA202" s="1332"/>
      <c r="AB202" s="1332"/>
    </row>
    <row r="203">
      <c r="A203" s="1332"/>
      <c r="B203" s="1366"/>
      <c r="C203" s="1366"/>
      <c r="D203" s="1375"/>
      <c r="E203" s="1332"/>
      <c r="F203" s="1332"/>
      <c r="G203" s="1378"/>
      <c r="H203" s="1378"/>
      <c r="I203" s="1332"/>
      <c r="J203" s="1332"/>
      <c r="K203" s="1332"/>
      <c r="L203" s="1332"/>
      <c r="M203" s="1332"/>
      <c r="N203" s="1332"/>
      <c r="O203" s="1332"/>
      <c r="P203" s="1332"/>
      <c r="Q203" s="1332"/>
      <c r="R203" s="1332"/>
      <c r="S203" s="1332"/>
      <c r="T203" s="1332"/>
      <c r="U203" s="1332"/>
      <c r="V203" s="1332"/>
      <c r="W203" s="1332"/>
      <c r="X203" s="1332"/>
      <c r="Y203" s="1332"/>
      <c r="Z203" s="1332"/>
      <c r="AA203" s="1332"/>
      <c r="AB203" s="1332"/>
    </row>
    <row r="204">
      <c r="A204" s="1332"/>
      <c r="B204" s="1366"/>
      <c r="C204" s="1366"/>
      <c r="D204" s="1375"/>
      <c r="E204" s="1332"/>
      <c r="F204" s="1332"/>
      <c r="G204" s="1378"/>
      <c r="H204" s="1378"/>
      <c r="I204" s="1332"/>
      <c r="J204" s="1332"/>
      <c r="K204" s="1332"/>
      <c r="L204" s="1332"/>
      <c r="M204" s="1332"/>
      <c r="N204" s="1332"/>
      <c r="O204" s="1332"/>
      <c r="P204" s="1332"/>
      <c r="Q204" s="1332"/>
      <c r="R204" s="1332"/>
      <c r="S204" s="1332"/>
      <c r="T204" s="1332"/>
      <c r="U204" s="1332"/>
      <c r="V204" s="1332"/>
      <c r="W204" s="1332"/>
      <c r="X204" s="1332"/>
      <c r="Y204" s="1332"/>
      <c r="Z204" s="1332"/>
      <c r="AA204" s="1332"/>
      <c r="AB204" s="1332"/>
    </row>
    <row r="205">
      <c r="A205" s="1332"/>
      <c r="B205" s="1366"/>
      <c r="C205" s="1366"/>
      <c r="D205" s="1375"/>
      <c r="E205" s="1332"/>
      <c r="F205" s="1332"/>
      <c r="G205" s="1378"/>
      <c r="H205" s="1378"/>
      <c r="I205" s="1332"/>
      <c r="J205" s="1332"/>
      <c r="K205" s="1332"/>
      <c r="L205" s="1332"/>
      <c r="M205" s="1332"/>
      <c r="N205" s="1332"/>
      <c r="O205" s="1332"/>
      <c r="P205" s="1332"/>
      <c r="Q205" s="1332"/>
      <c r="R205" s="1332"/>
      <c r="S205" s="1332"/>
      <c r="T205" s="1332"/>
      <c r="U205" s="1332"/>
      <c r="V205" s="1332"/>
      <c r="W205" s="1332"/>
      <c r="X205" s="1332"/>
      <c r="Y205" s="1332"/>
      <c r="Z205" s="1332"/>
      <c r="AA205" s="1332"/>
      <c r="AB205" s="1332"/>
    </row>
    <row r="206">
      <c r="A206" s="1332"/>
      <c r="B206" s="1366"/>
      <c r="C206" s="1366"/>
      <c r="D206" s="1375"/>
      <c r="E206" s="1332"/>
      <c r="F206" s="1332"/>
      <c r="G206" s="1378"/>
      <c r="H206" s="1378"/>
      <c r="I206" s="1332"/>
      <c r="J206" s="1332"/>
      <c r="K206" s="1332"/>
      <c r="L206" s="1332"/>
      <c r="M206" s="1332"/>
      <c r="N206" s="1332"/>
      <c r="O206" s="1332"/>
      <c r="P206" s="1332"/>
      <c r="Q206" s="1332"/>
      <c r="R206" s="1332"/>
      <c r="S206" s="1332"/>
      <c r="T206" s="1332"/>
      <c r="U206" s="1332"/>
      <c r="V206" s="1332"/>
      <c r="W206" s="1332"/>
      <c r="X206" s="1332"/>
      <c r="Y206" s="1332"/>
      <c r="Z206" s="1332"/>
      <c r="AA206" s="1332"/>
      <c r="AB206" s="1332"/>
    </row>
    <row r="207">
      <c r="A207" s="1332"/>
      <c r="B207" s="1366"/>
      <c r="C207" s="1366"/>
      <c r="D207" s="1375"/>
      <c r="E207" s="1332"/>
      <c r="F207" s="1332"/>
      <c r="G207" s="1378"/>
      <c r="H207" s="1378"/>
      <c r="I207" s="1332"/>
      <c r="J207" s="1332"/>
      <c r="K207" s="1332"/>
      <c r="L207" s="1332"/>
      <c r="M207" s="1332"/>
      <c r="N207" s="1332"/>
      <c r="O207" s="1332"/>
      <c r="P207" s="1332"/>
      <c r="Q207" s="1332"/>
      <c r="R207" s="1332"/>
      <c r="S207" s="1332"/>
      <c r="T207" s="1332"/>
      <c r="U207" s="1332"/>
      <c r="V207" s="1332"/>
      <c r="W207" s="1332"/>
      <c r="X207" s="1332"/>
      <c r="Y207" s="1332"/>
      <c r="Z207" s="1332"/>
      <c r="AA207" s="1332"/>
      <c r="AB207" s="1332"/>
    </row>
    <row r="208">
      <c r="A208" s="1332"/>
      <c r="B208" s="1366"/>
      <c r="C208" s="1366"/>
      <c r="D208" s="1375"/>
      <c r="E208" s="1332"/>
      <c r="F208" s="1332"/>
      <c r="G208" s="1378"/>
      <c r="H208" s="1378"/>
      <c r="I208" s="1332"/>
      <c r="J208" s="1332"/>
      <c r="K208" s="1332"/>
      <c r="L208" s="1332"/>
      <c r="M208" s="1332"/>
      <c r="N208" s="1332"/>
      <c r="O208" s="1332"/>
      <c r="P208" s="1332"/>
      <c r="Q208" s="1332"/>
      <c r="R208" s="1332"/>
      <c r="S208" s="1332"/>
      <c r="T208" s="1332"/>
      <c r="U208" s="1332"/>
      <c r="V208" s="1332"/>
      <c r="W208" s="1332"/>
      <c r="X208" s="1332"/>
      <c r="Y208" s="1332"/>
      <c r="Z208" s="1332"/>
      <c r="AA208" s="1332"/>
      <c r="AB208" s="1332"/>
    </row>
    <row r="209">
      <c r="A209" s="1332"/>
      <c r="B209" s="1366"/>
      <c r="C209" s="1366"/>
      <c r="D209" s="1375"/>
      <c r="E209" s="1332"/>
      <c r="F209" s="1332"/>
      <c r="G209" s="1378"/>
      <c r="H209" s="1378"/>
      <c r="I209" s="1332"/>
      <c r="J209" s="1332"/>
      <c r="K209" s="1332"/>
      <c r="L209" s="1332"/>
      <c r="M209" s="1332"/>
      <c r="N209" s="1332"/>
      <c r="O209" s="1332"/>
      <c r="P209" s="1332"/>
      <c r="Q209" s="1332"/>
      <c r="R209" s="1332"/>
      <c r="S209" s="1332"/>
      <c r="T209" s="1332"/>
      <c r="U209" s="1332"/>
      <c r="V209" s="1332"/>
      <c r="W209" s="1332"/>
      <c r="X209" s="1332"/>
      <c r="Y209" s="1332"/>
      <c r="Z209" s="1332"/>
      <c r="AA209" s="1332"/>
      <c r="AB209" s="1332"/>
    </row>
    <row r="210">
      <c r="A210" s="1332"/>
      <c r="B210" s="1366"/>
      <c r="C210" s="1366"/>
      <c r="D210" s="1375"/>
      <c r="E210" s="1332"/>
      <c r="F210" s="1332"/>
      <c r="G210" s="1378"/>
      <c r="H210" s="1378"/>
      <c r="I210" s="1332"/>
      <c r="J210" s="1332"/>
      <c r="K210" s="1332"/>
      <c r="L210" s="1332"/>
      <c r="M210" s="1332"/>
      <c r="N210" s="1332"/>
      <c r="O210" s="1332"/>
      <c r="P210" s="1332"/>
      <c r="Q210" s="1332"/>
      <c r="R210" s="1332"/>
      <c r="S210" s="1332"/>
      <c r="T210" s="1332"/>
      <c r="U210" s="1332"/>
      <c r="V210" s="1332"/>
      <c r="W210" s="1332"/>
      <c r="X210" s="1332"/>
      <c r="Y210" s="1332"/>
      <c r="Z210" s="1332"/>
      <c r="AA210" s="1332"/>
      <c r="AB210" s="1332"/>
    </row>
    <row r="211">
      <c r="A211" s="1332"/>
      <c r="B211" s="1366"/>
      <c r="C211" s="1366"/>
      <c r="D211" s="1375"/>
      <c r="E211" s="1332"/>
      <c r="F211" s="1332"/>
      <c r="G211" s="1378"/>
      <c r="H211" s="1378"/>
      <c r="I211" s="1332"/>
      <c r="J211" s="1332"/>
      <c r="K211" s="1332"/>
      <c r="L211" s="1332"/>
      <c r="M211" s="1332"/>
      <c r="N211" s="1332"/>
      <c r="O211" s="1332"/>
      <c r="P211" s="1332"/>
      <c r="Q211" s="1332"/>
      <c r="R211" s="1332"/>
      <c r="S211" s="1332"/>
      <c r="T211" s="1332"/>
      <c r="U211" s="1332"/>
      <c r="V211" s="1332"/>
      <c r="W211" s="1332"/>
      <c r="X211" s="1332"/>
      <c r="Y211" s="1332"/>
      <c r="Z211" s="1332"/>
      <c r="AA211" s="1332"/>
      <c r="AB211" s="1332"/>
    </row>
    <row r="212">
      <c r="A212" s="1332"/>
      <c r="B212" s="1366"/>
      <c r="C212" s="1366"/>
      <c r="D212" s="1375"/>
      <c r="E212" s="1332"/>
      <c r="F212" s="1332"/>
      <c r="G212" s="1378"/>
      <c r="H212" s="1378"/>
      <c r="I212" s="1332"/>
      <c r="J212" s="1332"/>
      <c r="K212" s="1332"/>
      <c r="L212" s="1332"/>
      <c r="M212" s="1332"/>
      <c r="N212" s="1332"/>
      <c r="O212" s="1332"/>
      <c r="P212" s="1332"/>
      <c r="Q212" s="1332"/>
      <c r="R212" s="1332"/>
      <c r="S212" s="1332"/>
      <c r="T212" s="1332"/>
      <c r="U212" s="1332"/>
      <c r="V212" s="1332"/>
      <c r="W212" s="1332"/>
      <c r="X212" s="1332"/>
      <c r="Y212" s="1332"/>
      <c r="Z212" s="1332"/>
      <c r="AA212" s="1332"/>
      <c r="AB212" s="1332"/>
    </row>
    <row r="213">
      <c r="A213" s="1332"/>
      <c r="B213" s="1366"/>
      <c r="C213" s="1366"/>
      <c r="D213" s="1375"/>
      <c r="E213" s="1332"/>
      <c r="F213" s="1332"/>
      <c r="G213" s="1378"/>
      <c r="H213" s="1378"/>
      <c r="I213" s="1332"/>
      <c r="J213" s="1332"/>
      <c r="K213" s="1332"/>
      <c r="L213" s="1332"/>
      <c r="M213" s="1332"/>
      <c r="N213" s="1332"/>
      <c r="O213" s="1332"/>
      <c r="P213" s="1332"/>
      <c r="Q213" s="1332"/>
      <c r="R213" s="1332"/>
      <c r="S213" s="1332"/>
      <c r="T213" s="1332"/>
      <c r="U213" s="1332"/>
      <c r="V213" s="1332"/>
      <c r="W213" s="1332"/>
      <c r="X213" s="1332"/>
      <c r="Y213" s="1332"/>
      <c r="Z213" s="1332"/>
      <c r="AA213" s="1332"/>
      <c r="AB213" s="1332"/>
    </row>
    <row r="214">
      <c r="A214" s="1332"/>
      <c r="B214" s="1366"/>
      <c r="C214" s="1366"/>
      <c r="D214" s="1375"/>
      <c r="E214" s="1332"/>
      <c r="F214" s="1332"/>
      <c r="G214" s="1378"/>
      <c r="H214" s="1378"/>
      <c r="I214" s="1332"/>
      <c r="J214" s="1332"/>
      <c r="K214" s="1332"/>
      <c r="L214" s="1332"/>
      <c r="M214" s="1332"/>
      <c r="N214" s="1332"/>
      <c r="O214" s="1332"/>
      <c r="P214" s="1332"/>
      <c r="Q214" s="1332"/>
      <c r="R214" s="1332"/>
      <c r="S214" s="1332"/>
      <c r="T214" s="1332"/>
      <c r="U214" s="1332"/>
      <c r="V214" s="1332"/>
      <c r="W214" s="1332"/>
      <c r="X214" s="1332"/>
      <c r="Y214" s="1332"/>
      <c r="Z214" s="1332"/>
      <c r="AA214" s="1332"/>
      <c r="AB214" s="1332"/>
    </row>
    <row r="215">
      <c r="A215" s="1332"/>
      <c r="B215" s="1366"/>
      <c r="C215" s="1366"/>
      <c r="D215" s="1375"/>
      <c r="E215" s="1332"/>
      <c r="F215" s="1332"/>
      <c r="G215" s="1378"/>
      <c r="H215" s="1378"/>
      <c r="I215" s="1332"/>
      <c r="J215" s="1332"/>
      <c r="K215" s="1332"/>
      <c r="L215" s="1332"/>
      <c r="M215" s="1332"/>
      <c r="N215" s="1332"/>
      <c r="O215" s="1332"/>
      <c r="P215" s="1332"/>
      <c r="Q215" s="1332"/>
      <c r="R215" s="1332"/>
      <c r="S215" s="1332"/>
      <c r="T215" s="1332"/>
      <c r="U215" s="1332"/>
      <c r="V215" s="1332"/>
      <c r="W215" s="1332"/>
      <c r="X215" s="1332"/>
      <c r="Y215" s="1332"/>
      <c r="Z215" s="1332"/>
      <c r="AA215" s="1332"/>
      <c r="AB215" s="1332"/>
    </row>
    <row r="216">
      <c r="A216" s="1332"/>
      <c r="B216" s="1366"/>
      <c r="C216" s="1366"/>
      <c r="D216" s="1375"/>
      <c r="E216" s="1332"/>
      <c r="F216" s="1332"/>
      <c r="G216" s="1378"/>
      <c r="H216" s="1378"/>
      <c r="I216" s="1332"/>
      <c r="J216" s="1332"/>
      <c r="K216" s="1332"/>
      <c r="L216" s="1332"/>
      <c r="M216" s="1332"/>
      <c r="N216" s="1332"/>
      <c r="O216" s="1332"/>
      <c r="P216" s="1332"/>
      <c r="Q216" s="1332"/>
      <c r="R216" s="1332"/>
      <c r="S216" s="1332"/>
      <c r="T216" s="1332"/>
      <c r="U216" s="1332"/>
      <c r="V216" s="1332"/>
      <c r="W216" s="1332"/>
      <c r="X216" s="1332"/>
      <c r="Y216" s="1332"/>
      <c r="Z216" s="1332"/>
      <c r="AA216" s="1332"/>
      <c r="AB216" s="1332"/>
    </row>
    <row r="217">
      <c r="A217" s="1332"/>
      <c r="B217" s="1366"/>
      <c r="C217" s="1366"/>
      <c r="D217" s="1375"/>
      <c r="E217" s="1332"/>
      <c r="F217" s="1332"/>
      <c r="G217" s="1378"/>
      <c r="H217" s="1378"/>
      <c r="I217" s="1332"/>
      <c r="J217" s="1332"/>
      <c r="K217" s="1332"/>
      <c r="L217" s="1332"/>
      <c r="M217" s="1332"/>
      <c r="N217" s="1332"/>
      <c r="O217" s="1332"/>
      <c r="P217" s="1332"/>
      <c r="Q217" s="1332"/>
      <c r="R217" s="1332"/>
      <c r="S217" s="1332"/>
      <c r="T217" s="1332"/>
      <c r="U217" s="1332"/>
      <c r="V217" s="1332"/>
      <c r="W217" s="1332"/>
      <c r="X217" s="1332"/>
      <c r="Y217" s="1332"/>
      <c r="Z217" s="1332"/>
      <c r="AA217" s="1332"/>
      <c r="AB217" s="1332"/>
    </row>
    <row r="218">
      <c r="A218" s="1332"/>
      <c r="B218" s="1366"/>
      <c r="C218" s="1366"/>
      <c r="D218" s="1375"/>
      <c r="E218" s="1332"/>
      <c r="F218" s="1332"/>
      <c r="G218" s="1378"/>
      <c r="H218" s="1378"/>
      <c r="I218" s="1332"/>
      <c r="J218" s="1332"/>
      <c r="K218" s="1332"/>
      <c r="L218" s="1332"/>
      <c r="M218" s="1332"/>
      <c r="N218" s="1332"/>
      <c r="O218" s="1332"/>
      <c r="P218" s="1332"/>
      <c r="Q218" s="1332"/>
      <c r="R218" s="1332"/>
      <c r="S218" s="1332"/>
      <c r="T218" s="1332"/>
      <c r="U218" s="1332"/>
      <c r="V218" s="1332"/>
      <c r="W218" s="1332"/>
      <c r="X218" s="1332"/>
      <c r="Y218" s="1332"/>
      <c r="Z218" s="1332"/>
      <c r="AA218" s="1332"/>
      <c r="AB218" s="1332"/>
    </row>
    <row r="219">
      <c r="A219" s="1332"/>
      <c r="B219" s="1366"/>
      <c r="C219" s="1366"/>
      <c r="D219" s="1375"/>
      <c r="E219" s="1332"/>
      <c r="F219" s="1332"/>
      <c r="G219" s="1378"/>
      <c r="H219" s="1378"/>
      <c r="I219" s="1332"/>
      <c r="J219" s="1332"/>
      <c r="K219" s="1332"/>
      <c r="L219" s="1332"/>
      <c r="M219" s="1332"/>
      <c r="N219" s="1332"/>
      <c r="O219" s="1332"/>
      <c r="P219" s="1332"/>
      <c r="Q219" s="1332"/>
      <c r="R219" s="1332"/>
      <c r="S219" s="1332"/>
      <c r="T219" s="1332"/>
      <c r="U219" s="1332"/>
      <c r="V219" s="1332"/>
      <c r="W219" s="1332"/>
      <c r="X219" s="1332"/>
      <c r="Y219" s="1332"/>
      <c r="Z219" s="1332"/>
      <c r="AA219" s="1332"/>
      <c r="AB219" s="1332"/>
    </row>
    <row r="220">
      <c r="A220" s="1332"/>
      <c r="B220" s="1366"/>
      <c r="C220" s="1366"/>
      <c r="D220" s="1375"/>
      <c r="E220" s="1332"/>
      <c r="F220" s="1332"/>
      <c r="G220" s="1378"/>
      <c r="H220" s="1378"/>
      <c r="I220" s="1332"/>
      <c r="J220" s="1332"/>
      <c r="K220" s="1332"/>
      <c r="L220" s="1332"/>
      <c r="M220" s="1332"/>
      <c r="N220" s="1332"/>
      <c r="O220" s="1332"/>
      <c r="P220" s="1332"/>
      <c r="Q220" s="1332"/>
      <c r="R220" s="1332"/>
      <c r="S220" s="1332"/>
      <c r="T220" s="1332"/>
      <c r="U220" s="1332"/>
      <c r="V220" s="1332"/>
      <c r="W220" s="1332"/>
      <c r="X220" s="1332"/>
      <c r="Y220" s="1332"/>
      <c r="Z220" s="1332"/>
      <c r="AA220" s="1332"/>
      <c r="AB220" s="1332"/>
    </row>
    <row r="221">
      <c r="A221" s="1332"/>
      <c r="B221" s="1366"/>
      <c r="C221" s="1366"/>
      <c r="D221" s="1375"/>
      <c r="E221" s="1332"/>
      <c r="F221" s="1332"/>
      <c r="G221" s="1378"/>
      <c r="H221" s="1378"/>
      <c r="I221" s="1332"/>
      <c r="J221" s="1332"/>
      <c r="K221" s="1332"/>
      <c r="L221" s="1332"/>
      <c r="M221" s="1332"/>
      <c r="N221" s="1332"/>
      <c r="O221" s="1332"/>
      <c r="P221" s="1332"/>
      <c r="Q221" s="1332"/>
      <c r="R221" s="1332"/>
      <c r="S221" s="1332"/>
      <c r="T221" s="1332"/>
      <c r="U221" s="1332"/>
      <c r="V221" s="1332"/>
      <c r="W221" s="1332"/>
      <c r="X221" s="1332"/>
      <c r="Y221" s="1332"/>
      <c r="Z221" s="1332"/>
      <c r="AA221" s="1332"/>
      <c r="AB221" s="1332"/>
    </row>
    <row r="222">
      <c r="A222" s="1332"/>
      <c r="B222" s="1366"/>
      <c r="C222" s="1366"/>
      <c r="D222" s="1375"/>
      <c r="E222" s="1332"/>
      <c r="F222" s="1332"/>
      <c r="G222" s="1378"/>
      <c r="H222" s="1378"/>
      <c r="I222" s="1332"/>
      <c r="J222" s="1332"/>
      <c r="K222" s="1332"/>
      <c r="L222" s="1332"/>
      <c r="M222" s="1332"/>
      <c r="N222" s="1332"/>
      <c r="O222" s="1332"/>
      <c r="P222" s="1332"/>
      <c r="Q222" s="1332"/>
      <c r="R222" s="1332"/>
      <c r="S222" s="1332"/>
      <c r="T222" s="1332"/>
      <c r="U222" s="1332"/>
      <c r="V222" s="1332"/>
      <c r="W222" s="1332"/>
      <c r="X222" s="1332"/>
      <c r="Y222" s="1332"/>
      <c r="Z222" s="1332"/>
      <c r="AA222" s="1332"/>
      <c r="AB222" s="1332"/>
    </row>
    <row r="223">
      <c r="A223" s="1332"/>
      <c r="B223" s="1366"/>
      <c r="C223" s="1366"/>
      <c r="D223" s="1375"/>
      <c r="E223" s="1332"/>
      <c r="F223" s="1332"/>
      <c r="G223" s="1378"/>
      <c r="H223" s="1378"/>
      <c r="I223" s="1332"/>
      <c r="J223" s="1332"/>
      <c r="K223" s="1332"/>
      <c r="L223" s="1332"/>
      <c r="M223" s="1332"/>
      <c r="N223" s="1332"/>
      <c r="O223" s="1332"/>
      <c r="P223" s="1332"/>
      <c r="Q223" s="1332"/>
      <c r="R223" s="1332"/>
      <c r="S223" s="1332"/>
      <c r="T223" s="1332"/>
      <c r="U223" s="1332"/>
      <c r="V223" s="1332"/>
      <c r="W223" s="1332"/>
      <c r="X223" s="1332"/>
      <c r="Y223" s="1332"/>
      <c r="Z223" s="1332"/>
      <c r="AA223" s="1332"/>
      <c r="AB223" s="1332"/>
    </row>
    <row r="224">
      <c r="A224" s="1332"/>
      <c r="B224" s="1366"/>
      <c r="C224" s="1366"/>
      <c r="D224" s="1375"/>
      <c r="E224" s="1332"/>
      <c r="F224" s="1332"/>
      <c r="G224" s="1378"/>
      <c r="H224" s="1378"/>
      <c r="I224" s="1332"/>
      <c r="J224" s="1332"/>
      <c r="K224" s="1332"/>
      <c r="L224" s="1332"/>
      <c r="M224" s="1332"/>
      <c r="N224" s="1332"/>
      <c r="O224" s="1332"/>
      <c r="P224" s="1332"/>
      <c r="Q224" s="1332"/>
      <c r="R224" s="1332"/>
      <c r="S224" s="1332"/>
      <c r="T224" s="1332"/>
      <c r="U224" s="1332"/>
      <c r="V224" s="1332"/>
      <c r="W224" s="1332"/>
      <c r="X224" s="1332"/>
      <c r="Y224" s="1332"/>
      <c r="Z224" s="1332"/>
      <c r="AA224" s="1332"/>
      <c r="AB224" s="1332"/>
    </row>
    <row r="225">
      <c r="A225" s="1332"/>
      <c r="B225" s="1366"/>
      <c r="C225" s="1366"/>
      <c r="D225" s="1375"/>
      <c r="E225" s="1332"/>
      <c r="F225" s="1332"/>
      <c r="G225" s="1378"/>
      <c r="H225" s="1378"/>
      <c r="I225" s="1332"/>
      <c r="J225" s="1332"/>
      <c r="K225" s="1332"/>
      <c r="L225" s="1332"/>
      <c r="M225" s="1332"/>
      <c r="N225" s="1332"/>
      <c r="O225" s="1332"/>
      <c r="P225" s="1332"/>
      <c r="Q225" s="1332"/>
      <c r="R225" s="1332"/>
      <c r="S225" s="1332"/>
      <c r="T225" s="1332"/>
      <c r="U225" s="1332"/>
      <c r="V225" s="1332"/>
      <c r="W225" s="1332"/>
      <c r="X225" s="1332"/>
      <c r="Y225" s="1332"/>
      <c r="Z225" s="1332"/>
      <c r="AA225" s="1332"/>
      <c r="AB225" s="1332"/>
    </row>
    <row r="226">
      <c r="A226" s="1332"/>
      <c r="B226" s="1366"/>
      <c r="C226" s="1366"/>
      <c r="D226" s="1375"/>
      <c r="E226" s="1332"/>
      <c r="F226" s="1332"/>
      <c r="G226" s="1378"/>
      <c r="H226" s="1378"/>
      <c r="I226" s="1332"/>
      <c r="J226" s="1332"/>
      <c r="K226" s="1332"/>
      <c r="L226" s="1332"/>
      <c r="M226" s="1332"/>
      <c r="N226" s="1332"/>
      <c r="O226" s="1332"/>
      <c r="P226" s="1332"/>
      <c r="Q226" s="1332"/>
      <c r="R226" s="1332"/>
      <c r="S226" s="1332"/>
      <c r="T226" s="1332"/>
      <c r="U226" s="1332"/>
      <c r="V226" s="1332"/>
      <c r="W226" s="1332"/>
      <c r="X226" s="1332"/>
      <c r="Y226" s="1332"/>
      <c r="Z226" s="1332"/>
      <c r="AA226" s="1332"/>
      <c r="AB226" s="1332"/>
    </row>
    <row r="227">
      <c r="A227" s="1332"/>
      <c r="B227" s="1366"/>
      <c r="C227" s="1366"/>
      <c r="D227" s="1375"/>
      <c r="E227" s="1332"/>
      <c r="F227" s="1332"/>
      <c r="G227" s="1378"/>
      <c r="H227" s="1378"/>
      <c r="I227" s="1332"/>
      <c r="J227" s="1332"/>
      <c r="K227" s="1332"/>
      <c r="L227" s="1332"/>
      <c r="M227" s="1332"/>
      <c r="N227" s="1332"/>
      <c r="O227" s="1332"/>
      <c r="P227" s="1332"/>
      <c r="Q227" s="1332"/>
      <c r="R227" s="1332"/>
      <c r="S227" s="1332"/>
      <c r="T227" s="1332"/>
      <c r="U227" s="1332"/>
      <c r="V227" s="1332"/>
      <c r="W227" s="1332"/>
      <c r="X227" s="1332"/>
      <c r="Y227" s="1332"/>
      <c r="Z227" s="1332"/>
      <c r="AA227" s="1332"/>
      <c r="AB227" s="1332"/>
    </row>
    <row r="228">
      <c r="A228" s="1332"/>
      <c r="B228" s="1366"/>
      <c r="C228" s="1366"/>
      <c r="D228" s="1375"/>
      <c r="E228" s="1332"/>
      <c r="F228" s="1332"/>
      <c r="G228" s="1378"/>
      <c r="H228" s="1378"/>
      <c r="I228" s="1332"/>
      <c r="J228" s="1332"/>
      <c r="K228" s="1332"/>
      <c r="L228" s="1332"/>
      <c r="M228" s="1332"/>
      <c r="N228" s="1332"/>
      <c r="O228" s="1332"/>
      <c r="P228" s="1332"/>
      <c r="Q228" s="1332"/>
      <c r="R228" s="1332"/>
      <c r="S228" s="1332"/>
      <c r="T228" s="1332"/>
      <c r="U228" s="1332"/>
      <c r="V228" s="1332"/>
      <c r="W228" s="1332"/>
      <c r="X228" s="1332"/>
      <c r="Y228" s="1332"/>
      <c r="Z228" s="1332"/>
      <c r="AA228" s="1332"/>
      <c r="AB228" s="1332"/>
    </row>
    <row r="229">
      <c r="A229" s="1332"/>
      <c r="B229" s="1366"/>
      <c r="C229" s="1366"/>
      <c r="D229" s="1375"/>
      <c r="E229" s="1332"/>
      <c r="F229" s="1332"/>
      <c r="G229" s="1378"/>
      <c r="H229" s="1378"/>
      <c r="I229" s="1332"/>
      <c r="J229" s="1332"/>
      <c r="K229" s="1332"/>
      <c r="L229" s="1332"/>
      <c r="M229" s="1332"/>
      <c r="N229" s="1332"/>
      <c r="O229" s="1332"/>
      <c r="P229" s="1332"/>
      <c r="Q229" s="1332"/>
      <c r="R229" s="1332"/>
      <c r="S229" s="1332"/>
      <c r="T229" s="1332"/>
      <c r="U229" s="1332"/>
      <c r="V229" s="1332"/>
      <c r="W229" s="1332"/>
      <c r="X229" s="1332"/>
      <c r="Y229" s="1332"/>
      <c r="Z229" s="1332"/>
      <c r="AA229" s="1332"/>
      <c r="AB229" s="1332"/>
    </row>
    <row r="230">
      <c r="A230" s="1332"/>
      <c r="B230" s="1366"/>
      <c r="C230" s="1366"/>
      <c r="D230" s="1375"/>
      <c r="E230" s="1332"/>
      <c r="F230" s="1332"/>
      <c r="G230" s="1378"/>
      <c r="H230" s="1378"/>
      <c r="I230" s="1332"/>
      <c r="J230" s="1332"/>
      <c r="K230" s="1332"/>
      <c r="L230" s="1332"/>
      <c r="M230" s="1332"/>
      <c r="N230" s="1332"/>
      <c r="O230" s="1332"/>
      <c r="P230" s="1332"/>
      <c r="Q230" s="1332"/>
      <c r="R230" s="1332"/>
      <c r="S230" s="1332"/>
      <c r="T230" s="1332"/>
      <c r="U230" s="1332"/>
      <c r="V230" s="1332"/>
      <c r="W230" s="1332"/>
      <c r="X230" s="1332"/>
      <c r="Y230" s="1332"/>
      <c r="Z230" s="1332"/>
      <c r="AA230" s="1332"/>
      <c r="AB230" s="1332"/>
    </row>
    <row r="231">
      <c r="A231" s="1332"/>
      <c r="B231" s="1366"/>
      <c r="C231" s="1366"/>
      <c r="D231" s="1375"/>
      <c r="E231" s="1332"/>
      <c r="F231" s="1332"/>
      <c r="G231" s="1378"/>
      <c r="H231" s="1378"/>
      <c r="I231" s="1332"/>
      <c r="J231" s="1332"/>
      <c r="K231" s="1332"/>
      <c r="L231" s="1332"/>
      <c r="M231" s="1332"/>
      <c r="N231" s="1332"/>
      <c r="O231" s="1332"/>
      <c r="P231" s="1332"/>
      <c r="Q231" s="1332"/>
      <c r="R231" s="1332"/>
      <c r="S231" s="1332"/>
      <c r="T231" s="1332"/>
      <c r="U231" s="1332"/>
      <c r="V231" s="1332"/>
      <c r="W231" s="1332"/>
      <c r="X231" s="1332"/>
      <c r="Y231" s="1332"/>
      <c r="Z231" s="1332"/>
      <c r="AA231" s="1332"/>
      <c r="AB231" s="1332"/>
    </row>
    <row r="232">
      <c r="A232" s="1332"/>
      <c r="B232" s="1366"/>
      <c r="C232" s="1366"/>
      <c r="D232" s="1375"/>
      <c r="E232" s="1332"/>
      <c r="F232" s="1332"/>
      <c r="G232" s="1378"/>
      <c r="H232" s="1378"/>
      <c r="I232" s="1332"/>
      <c r="J232" s="1332"/>
      <c r="K232" s="1332"/>
      <c r="L232" s="1332"/>
      <c r="M232" s="1332"/>
      <c r="N232" s="1332"/>
      <c r="O232" s="1332"/>
      <c r="P232" s="1332"/>
      <c r="Q232" s="1332"/>
      <c r="R232" s="1332"/>
      <c r="S232" s="1332"/>
      <c r="T232" s="1332"/>
      <c r="U232" s="1332"/>
      <c r="V232" s="1332"/>
      <c r="W232" s="1332"/>
      <c r="X232" s="1332"/>
      <c r="Y232" s="1332"/>
      <c r="Z232" s="1332"/>
      <c r="AA232" s="1332"/>
      <c r="AB232" s="1332"/>
    </row>
    <row r="233">
      <c r="A233" s="1332"/>
      <c r="B233" s="1366"/>
      <c r="C233" s="1366"/>
      <c r="D233" s="1375"/>
      <c r="E233" s="1332"/>
      <c r="F233" s="1332"/>
      <c r="G233" s="1378"/>
      <c r="H233" s="1378"/>
      <c r="I233" s="1332"/>
      <c r="J233" s="1332"/>
      <c r="K233" s="1332"/>
      <c r="L233" s="1332"/>
      <c r="M233" s="1332"/>
      <c r="N233" s="1332"/>
      <c r="O233" s="1332"/>
      <c r="P233" s="1332"/>
      <c r="Q233" s="1332"/>
      <c r="R233" s="1332"/>
      <c r="S233" s="1332"/>
      <c r="T233" s="1332"/>
      <c r="U233" s="1332"/>
      <c r="V233" s="1332"/>
      <c r="W233" s="1332"/>
      <c r="X233" s="1332"/>
      <c r="Y233" s="1332"/>
      <c r="Z233" s="1332"/>
      <c r="AA233" s="1332"/>
      <c r="AB233" s="1332"/>
    </row>
    <row r="234">
      <c r="A234" s="1332"/>
      <c r="B234" s="1366"/>
      <c r="C234" s="1366"/>
      <c r="D234" s="1375"/>
      <c r="E234" s="1332"/>
      <c r="F234" s="1332"/>
      <c r="G234" s="1378"/>
      <c r="H234" s="1378"/>
      <c r="I234" s="1332"/>
      <c r="J234" s="1332"/>
      <c r="K234" s="1332"/>
      <c r="L234" s="1332"/>
      <c r="M234" s="1332"/>
      <c r="N234" s="1332"/>
      <c r="O234" s="1332"/>
      <c r="P234" s="1332"/>
      <c r="Q234" s="1332"/>
      <c r="R234" s="1332"/>
      <c r="S234" s="1332"/>
      <c r="T234" s="1332"/>
      <c r="U234" s="1332"/>
      <c r="V234" s="1332"/>
      <c r="W234" s="1332"/>
      <c r="X234" s="1332"/>
      <c r="Y234" s="1332"/>
      <c r="Z234" s="1332"/>
      <c r="AA234" s="1332"/>
      <c r="AB234" s="1332"/>
    </row>
    <row r="235">
      <c r="A235" s="1332"/>
      <c r="B235" s="1366"/>
      <c r="C235" s="1366"/>
      <c r="D235" s="1375"/>
      <c r="E235" s="1332"/>
      <c r="F235" s="1332"/>
      <c r="G235" s="1378"/>
      <c r="H235" s="1378"/>
      <c r="I235" s="1332"/>
      <c r="J235" s="1332"/>
      <c r="K235" s="1332"/>
      <c r="L235" s="1332"/>
      <c r="M235" s="1332"/>
      <c r="N235" s="1332"/>
      <c r="O235" s="1332"/>
      <c r="P235" s="1332"/>
      <c r="Q235" s="1332"/>
      <c r="R235" s="1332"/>
      <c r="S235" s="1332"/>
      <c r="T235" s="1332"/>
      <c r="U235" s="1332"/>
      <c r="V235" s="1332"/>
      <c r="W235" s="1332"/>
      <c r="X235" s="1332"/>
      <c r="Y235" s="1332"/>
      <c r="Z235" s="1332"/>
      <c r="AA235" s="1332"/>
      <c r="AB235" s="1332"/>
    </row>
    <row r="236">
      <c r="A236" s="1332"/>
      <c r="B236" s="1366"/>
      <c r="C236" s="1366"/>
      <c r="D236" s="1375"/>
      <c r="E236" s="1332"/>
      <c r="F236" s="1332"/>
      <c r="G236" s="1378"/>
      <c r="H236" s="1378"/>
      <c r="I236" s="1332"/>
      <c r="J236" s="1332"/>
      <c r="K236" s="1332"/>
      <c r="L236" s="1332"/>
      <c r="M236" s="1332"/>
      <c r="N236" s="1332"/>
      <c r="O236" s="1332"/>
      <c r="P236" s="1332"/>
      <c r="Q236" s="1332"/>
      <c r="R236" s="1332"/>
      <c r="S236" s="1332"/>
      <c r="T236" s="1332"/>
      <c r="U236" s="1332"/>
      <c r="V236" s="1332"/>
      <c r="W236" s="1332"/>
      <c r="X236" s="1332"/>
      <c r="Y236" s="1332"/>
      <c r="Z236" s="1332"/>
      <c r="AA236" s="1332"/>
      <c r="AB236" s="1332"/>
    </row>
    <row r="237">
      <c r="A237" s="1332"/>
      <c r="B237" s="1366"/>
      <c r="C237" s="1366"/>
      <c r="D237" s="1375"/>
      <c r="E237" s="1332"/>
      <c r="F237" s="1332"/>
      <c r="G237" s="1378"/>
      <c r="H237" s="1378"/>
      <c r="I237" s="1332"/>
      <c r="J237" s="1332"/>
      <c r="K237" s="1332"/>
      <c r="L237" s="1332"/>
      <c r="M237" s="1332"/>
      <c r="N237" s="1332"/>
      <c r="O237" s="1332"/>
      <c r="P237" s="1332"/>
      <c r="Q237" s="1332"/>
      <c r="R237" s="1332"/>
      <c r="S237" s="1332"/>
      <c r="T237" s="1332"/>
      <c r="U237" s="1332"/>
      <c r="V237" s="1332"/>
      <c r="W237" s="1332"/>
      <c r="X237" s="1332"/>
      <c r="Y237" s="1332"/>
      <c r="Z237" s="1332"/>
      <c r="AA237" s="1332"/>
      <c r="AB237" s="1332"/>
    </row>
    <row r="238">
      <c r="A238" s="1332"/>
      <c r="B238" s="1366"/>
      <c r="C238" s="1366"/>
      <c r="D238" s="1375"/>
      <c r="E238" s="1332"/>
      <c r="F238" s="1332"/>
      <c r="G238" s="1378"/>
      <c r="H238" s="1378"/>
      <c r="I238" s="1332"/>
      <c r="J238" s="1332"/>
      <c r="K238" s="1332"/>
      <c r="L238" s="1332"/>
      <c r="M238" s="1332"/>
      <c r="N238" s="1332"/>
      <c r="O238" s="1332"/>
      <c r="P238" s="1332"/>
      <c r="Q238" s="1332"/>
      <c r="R238" s="1332"/>
      <c r="S238" s="1332"/>
      <c r="T238" s="1332"/>
      <c r="U238" s="1332"/>
      <c r="V238" s="1332"/>
      <c r="W238" s="1332"/>
      <c r="X238" s="1332"/>
      <c r="Y238" s="1332"/>
      <c r="Z238" s="1332"/>
      <c r="AA238" s="1332"/>
      <c r="AB238" s="1332"/>
    </row>
    <row r="239">
      <c r="A239" s="1332"/>
      <c r="B239" s="1366"/>
      <c r="C239" s="1366"/>
      <c r="D239" s="1375"/>
      <c r="E239" s="1332"/>
      <c r="F239" s="1332"/>
      <c r="G239" s="1378"/>
      <c r="H239" s="1378"/>
      <c r="I239" s="1332"/>
      <c r="J239" s="1332"/>
      <c r="K239" s="1332"/>
      <c r="L239" s="1332"/>
      <c r="M239" s="1332"/>
      <c r="N239" s="1332"/>
      <c r="O239" s="1332"/>
      <c r="P239" s="1332"/>
      <c r="Q239" s="1332"/>
      <c r="R239" s="1332"/>
      <c r="S239" s="1332"/>
      <c r="T239" s="1332"/>
      <c r="U239" s="1332"/>
      <c r="V239" s="1332"/>
      <c r="W239" s="1332"/>
      <c r="X239" s="1332"/>
      <c r="Y239" s="1332"/>
      <c r="Z239" s="1332"/>
      <c r="AA239" s="1332"/>
      <c r="AB239" s="1332"/>
    </row>
    <row r="240">
      <c r="A240" s="1332"/>
      <c r="B240" s="1366"/>
      <c r="C240" s="1366"/>
      <c r="D240" s="1375"/>
      <c r="E240" s="1332"/>
      <c r="F240" s="1332"/>
      <c r="G240" s="1378"/>
      <c r="H240" s="1378"/>
      <c r="I240" s="1332"/>
      <c r="J240" s="1332"/>
      <c r="K240" s="1332"/>
      <c r="L240" s="1332"/>
      <c r="M240" s="1332"/>
      <c r="N240" s="1332"/>
      <c r="O240" s="1332"/>
      <c r="P240" s="1332"/>
      <c r="Q240" s="1332"/>
      <c r="R240" s="1332"/>
      <c r="S240" s="1332"/>
      <c r="T240" s="1332"/>
      <c r="U240" s="1332"/>
      <c r="V240" s="1332"/>
      <c r="W240" s="1332"/>
      <c r="X240" s="1332"/>
      <c r="Y240" s="1332"/>
      <c r="Z240" s="1332"/>
      <c r="AA240" s="1332"/>
      <c r="AB240" s="1332"/>
    </row>
    <row r="241">
      <c r="A241" s="1332"/>
      <c r="B241" s="1366"/>
      <c r="C241" s="1366"/>
      <c r="D241" s="1375"/>
      <c r="E241" s="1332"/>
      <c r="F241" s="1332"/>
      <c r="G241" s="1378"/>
      <c r="H241" s="1378"/>
      <c r="I241" s="1332"/>
      <c r="J241" s="1332"/>
      <c r="K241" s="1332"/>
      <c r="L241" s="1332"/>
      <c r="M241" s="1332"/>
      <c r="N241" s="1332"/>
      <c r="O241" s="1332"/>
      <c r="P241" s="1332"/>
      <c r="Q241" s="1332"/>
      <c r="R241" s="1332"/>
      <c r="S241" s="1332"/>
      <c r="T241" s="1332"/>
      <c r="U241" s="1332"/>
      <c r="V241" s="1332"/>
      <c r="W241" s="1332"/>
      <c r="X241" s="1332"/>
      <c r="Y241" s="1332"/>
      <c r="Z241" s="1332"/>
      <c r="AA241" s="1332"/>
      <c r="AB241" s="1332"/>
    </row>
    <row r="242">
      <c r="A242" s="1332"/>
      <c r="B242" s="1366"/>
      <c r="C242" s="1366"/>
      <c r="D242" s="1375"/>
      <c r="E242" s="1332"/>
      <c r="F242" s="1332"/>
      <c r="G242" s="1378"/>
      <c r="H242" s="1378"/>
      <c r="I242" s="1332"/>
      <c r="J242" s="1332"/>
      <c r="K242" s="1332"/>
      <c r="L242" s="1332"/>
      <c r="M242" s="1332"/>
      <c r="N242" s="1332"/>
      <c r="O242" s="1332"/>
      <c r="P242" s="1332"/>
      <c r="Q242" s="1332"/>
      <c r="R242" s="1332"/>
      <c r="S242" s="1332"/>
      <c r="T242" s="1332"/>
      <c r="U242" s="1332"/>
      <c r="V242" s="1332"/>
      <c r="W242" s="1332"/>
      <c r="X242" s="1332"/>
      <c r="Y242" s="1332"/>
      <c r="Z242" s="1332"/>
      <c r="AA242" s="1332"/>
      <c r="AB242" s="1332"/>
    </row>
    <row r="243">
      <c r="A243" s="1332"/>
      <c r="B243" s="1366"/>
      <c r="C243" s="1366"/>
      <c r="D243" s="1375"/>
      <c r="E243" s="1332"/>
      <c r="F243" s="1332"/>
      <c r="G243" s="1378"/>
      <c r="H243" s="1378"/>
      <c r="I243" s="1332"/>
      <c r="J243" s="1332"/>
      <c r="K243" s="1332"/>
      <c r="L243" s="1332"/>
      <c r="M243" s="1332"/>
      <c r="N243" s="1332"/>
      <c r="O243" s="1332"/>
      <c r="P243" s="1332"/>
      <c r="Q243" s="1332"/>
      <c r="R243" s="1332"/>
      <c r="S243" s="1332"/>
      <c r="T243" s="1332"/>
      <c r="U243" s="1332"/>
      <c r="V243" s="1332"/>
      <c r="W243" s="1332"/>
      <c r="X243" s="1332"/>
      <c r="Y243" s="1332"/>
      <c r="Z243" s="1332"/>
      <c r="AA243" s="1332"/>
      <c r="AB243" s="1332"/>
    </row>
    <row r="244">
      <c r="A244" s="1332"/>
      <c r="B244" s="1366"/>
      <c r="C244" s="1366"/>
      <c r="D244" s="1375"/>
      <c r="E244" s="1332"/>
      <c r="F244" s="1332"/>
      <c r="G244" s="1378"/>
      <c r="H244" s="1378"/>
      <c r="I244" s="1332"/>
      <c r="J244" s="1332"/>
      <c r="K244" s="1332"/>
      <c r="L244" s="1332"/>
      <c r="M244" s="1332"/>
      <c r="N244" s="1332"/>
      <c r="O244" s="1332"/>
      <c r="P244" s="1332"/>
      <c r="Q244" s="1332"/>
      <c r="R244" s="1332"/>
      <c r="S244" s="1332"/>
      <c r="T244" s="1332"/>
      <c r="U244" s="1332"/>
      <c r="V244" s="1332"/>
      <c r="W244" s="1332"/>
      <c r="X244" s="1332"/>
      <c r="Y244" s="1332"/>
      <c r="Z244" s="1332"/>
      <c r="AA244" s="1332"/>
      <c r="AB244" s="1332"/>
    </row>
    <row r="245">
      <c r="A245" s="1332"/>
      <c r="B245" s="1366"/>
      <c r="C245" s="1366"/>
      <c r="D245" s="1375"/>
      <c r="E245" s="1332"/>
      <c r="F245" s="1332"/>
      <c r="G245" s="1378"/>
      <c r="H245" s="1378"/>
      <c r="I245" s="1332"/>
      <c r="J245" s="1332"/>
      <c r="K245" s="1332"/>
      <c r="L245" s="1332"/>
      <c r="M245" s="1332"/>
      <c r="N245" s="1332"/>
      <c r="O245" s="1332"/>
      <c r="P245" s="1332"/>
      <c r="Q245" s="1332"/>
      <c r="R245" s="1332"/>
      <c r="S245" s="1332"/>
      <c r="T245" s="1332"/>
      <c r="U245" s="1332"/>
      <c r="V245" s="1332"/>
      <c r="W245" s="1332"/>
      <c r="X245" s="1332"/>
      <c r="Y245" s="1332"/>
      <c r="Z245" s="1332"/>
      <c r="AA245" s="1332"/>
      <c r="AB245" s="1332"/>
    </row>
    <row r="246">
      <c r="A246" s="1332"/>
      <c r="B246" s="1366"/>
      <c r="C246" s="1366"/>
      <c r="D246" s="1375"/>
      <c r="E246" s="1332"/>
      <c r="F246" s="1332"/>
      <c r="G246" s="1378"/>
      <c r="H246" s="1378"/>
      <c r="I246" s="1332"/>
      <c r="J246" s="1332"/>
      <c r="K246" s="1332"/>
      <c r="L246" s="1332"/>
      <c r="M246" s="1332"/>
      <c r="N246" s="1332"/>
      <c r="O246" s="1332"/>
      <c r="P246" s="1332"/>
      <c r="Q246" s="1332"/>
      <c r="R246" s="1332"/>
      <c r="S246" s="1332"/>
      <c r="T246" s="1332"/>
      <c r="U246" s="1332"/>
      <c r="V246" s="1332"/>
      <c r="W246" s="1332"/>
      <c r="X246" s="1332"/>
      <c r="Y246" s="1332"/>
      <c r="Z246" s="1332"/>
      <c r="AA246" s="1332"/>
      <c r="AB246" s="1332"/>
    </row>
    <row r="247">
      <c r="A247" s="1332"/>
      <c r="B247" s="1366"/>
      <c r="C247" s="1366"/>
      <c r="D247" s="1375"/>
      <c r="E247" s="1332"/>
      <c r="F247" s="1332"/>
      <c r="G247" s="1378"/>
      <c r="H247" s="1378"/>
      <c r="I247" s="1332"/>
      <c r="J247" s="1332"/>
      <c r="K247" s="1332"/>
      <c r="L247" s="1332"/>
      <c r="M247" s="1332"/>
      <c r="N247" s="1332"/>
      <c r="O247" s="1332"/>
      <c r="P247" s="1332"/>
      <c r="Q247" s="1332"/>
      <c r="R247" s="1332"/>
      <c r="S247" s="1332"/>
      <c r="T247" s="1332"/>
      <c r="U247" s="1332"/>
      <c r="V247" s="1332"/>
      <c r="W247" s="1332"/>
      <c r="X247" s="1332"/>
      <c r="Y247" s="1332"/>
      <c r="Z247" s="1332"/>
      <c r="AA247" s="1332"/>
      <c r="AB247" s="1332"/>
    </row>
    <row r="248">
      <c r="A248" s="1332"/>
      <c r="B248" s="1366"/>
      <c r="C248" s="1366"/>
      <c r="D248" s="1375"/>
      <c r="E248" s="1332"/>
      <c r="F248" s="1332"/>
      <c r="G248" s="1378"/>
      <c r="H248" s="1378"/>
      <c r="I248" s="1332"/>
      <c r="J248" s="1332"/>
      <c r="K248" s="1332"/>
      <c r="L248" s="1332"/>
      <c r="M248" s="1332"/>
      <c r="N248" s="1332"/>
      <c r="O248" s="1332"/>
      <c r="P248" s="1332"/>
      <c r="Q248" s="1332"/>
      <c r="R248" s="1332"/>
      <c r="S248" s="1332"/>
      <c r="T248" s="1332"/>
      <c r="U248" s="1332"/>
      <c r="V248" s="1332"/>
      <c r="W248" s="1332"/>
      <c r="X248" s="1332"/>
      <c r="Y248" s="1332"/>
      <c r="Z248" s="1332"/>
      <c r="AA248" s="1332"/>
      <c r="AB248" s="1332"/>
    </row>
    <row r="249">
      <c r="A249" s="1332"/>
      <c r="B249" s="1366"/>
      <c r="C249" s="1366"/>
      <c r="D249" s="1375"/>
      <c r="E249" s="1332"/>
      <c r="F249" s="1332"/>
      <c r="G249" s="1378"/>
      <c r="H249" s="1378"/>
      <c r="I249" s="1332"/>
      <c r="J249" s="1332"/>
      <c r="K249" s="1332"/>
      <c r="L249" s="1332"/>
      <c r="M249" s="1332"/>
      <c r="N249" s="1332"/>
      <c r="O249" s="1332"/>
      <c r="P249" s="1332"/>
      <c r="Q249" s="1332"/>
      <c r="R249" s="1332"/>
      <c r="S249" s="1332"/>
      <c r="T249" s="1332"/>
      <c r="U249" s="1332"/>
      <c r="V249" s="1332"/>
      <c r="W249" s="1332"/>
      <c r="X249" s="1332"/>
      <c r="Y249" s="1332"/>
      <c r="Z249" s="1332"/>
      <c r="AA249" s="1332"/>
      <c r="AB249" s="1332"/>
    </row>
    <row r="250">
      <c r="A250" s="1332"/>
      <c r="B250" s="1366"/>
      <c r="C250" s="1366"/>
      <c r="D250" s="1375"/>
      <c r="E250" s="1332"/>
      <c r="F250" s="1332"/>
      <c r="G250" s="1378"/>
      <c r="H250" s="1378"/>
      <c r="I250" s="1332"/>
      <c r="J250" s="1332"/>
      <c r="K250" s="1332"/>
      <c r="L250" s="1332"/>
      <c r="M250" s="1332"/>
      <c r="N250" s="1332"/>
      <c r="O250" s="1332"/>
      <c r="P250" s="1332"/>
      <c r="Q250" s="1332"/>
      <c r="R250" s="1332"/>
      <c r="S250" s="1332"/>
      <c r="T250" s="1332"/>
      <c r="U250" s="1332"/>
      <c r="V250" s="1332"/>
      <c r="W250" s="1332"/>
      <c r="X250" s="1332"/>
      <c r="Y250" s="1332"/>
      <c r="Z250" s="1332"/>
      <c r="AA250" s="1332"/>
      <c r="AB250" s="1332"/>
    </row>
    <row r="251">
      <c r="A251" s="1332"/>
      <c r="B251" s="1366"/>
      <c r="C251" s="1366"/>
      <c r="D251" s="1375"/>
      <c r="E251" s="1332"/>
      <c r="F251" s="1332"/>
      <c r="G251" s="1378"/>
      <c r="H251" s="1378"/>
      <c r="I251" s="1332"/>
      <c r="J251" s="1332"/>
      <c r="K251" s="1332"/>
      <c r="L251" s="1332"/>
      <c r="M251" s="1332"/>
      <c r="N251" s="1332"/>
      <c r="O251" s="1332"/>
      <c r="P251" s="1332"/>
      <c r="Q251" s="1332"/>
      <c r="R251" s="1332"/>
      <c r="S251" s="1332"/>
      <c r="T251" s="1332"/>
      <c r="U251" s="1332"/>
      <c r="V251" s="1332"/>
      <c r="W251" s="1332"/>
      <c r="X251" s="1332"/>
      <c r="Y251" s="1332"/>
      <c r="Z251" s="1332"/>
      <c r="AA251" s="1332"/>
      <c r="AB251" s="1332"/>
    </row>
    <row r="252">
      <c r="A252" s="1332"/>
      <c r="B252" s="1366"/>
      <c r="C252" s="1366"/>
      <c r="D252" s="1375"/>
      <c r="E252" s="1332"/>
      <c r="F252" s="1332"/>
      <c r="G252" s="1378"/>
      <c r="H252" s="1378"/>
      <c r="I252" s="1332"/>
      <c r="J252" s="1332"/>
      <c r="K252" s="1332"/>
      <c r="L252" s="1332"/>
      <c r="M252" s="1332"/>
      <c r="N252" s="1332"/>
      <c r="O252" s="1332"/>
      <c r="P252" s="1332"/>
      <c r="Q252" s="1332"/>
      <c r="R252" s="1332"/>
      <c r="S252" s="1332"/>
      <c r="T252" s="1332"/>
      <c r="U252" s="1332"/>
      <c r="V252" s="1332"/>
      <c r="W252" s="1332"/>
      <c r="X252" s="1332"/>
      <c r="Y252" s="1332"/>
      <c r="Z252" s="1332"/>
      <c r="AA252" s="1332"/>
      <c r="AB252" s="1332"/>
    </row>
    <row r="253">
      <c r="A253" s="1332"/>
      <c r="B253" s="1366"/>
      <c r="C253" s="1366"/>
      <c r="D253" s="1375"/>
      <c r="E253" s="1332"/>
      <c r="F253" s="1332"/>
      <c r="G253" s="1378"/>
      <c r="H253" s="1378"/>
      <c r="I253" s="1332"/>
      <c r="J253" s="1332"/>
      <c r="K253" s="1332"/>
      <c r="L253" s="1332"/>
      <c r="M253" s="1332"/>
      <c r="N253" s="1332"/>
      <c r="O253" s="1332"/>
      <c r="P253" s="1332"/>
      <c r="Q253" s="1332"/>
      <c r="R253" s="1332"/>
      <c r="S253" s="1332"/>
      <c r="T253" s="1332"/>
      <c r="U253" s="1332"/>
      <c r="V253" s="1332"/>
      <c r="W253" s="1332"/>
      <c r="X253" s="1332"/>
      <c r="Y253" s="1332"/>
      <c r="Z253" s="1332"/>
      <c r="AA253" s="1332"/>
      <c r="AB253" s="1332"/>
    </row>
    <row r="254">
      <c r="A254" s="1332"/>
      <c r="B254" s="1366"/>
      <c r="C254" s="1366"/>
      <c r="D254" s="1375"/>
      <c r="E254" s="1332"/>
      <c r="F254" s="1332"/>
      <c r="G254" s="1378"/>
      <c r="H254" s="1378"/>
      <c r="I254" s="1332"/>
      <c r="J254" s="1332"/>
      <c r="K254" s="1332"/>
      <c r="L254" s="1332"/>
      <c r="M254" s="1332"/>
      <c r="N254" s="1332"/>
      <c r="O254" s="1332"/>
      <c r="P254" s="1332"/>
      <c r="Q254" s="1332"/>
      <c r="R254" s="1332"/>
      <c r="S254" s="1332"/>
      <c r="T254" s="1332"/>
      <c r="U254" s="1332"/>
      <c r="V254" s="1332"/>
      <c r="W254" s="1332"/>
      <c r="X254" s="1332"/>
      <c r="Y254" s="1332"/>
      <c r="Z254" s="1332"/>
      <c r="AA254" s="1332"/>
      <c r="AB254" s="1332"/>
    </row>
    <row r="255">
      <c r="A255" s="1332"/>
      <c r="B255" s="1366"/>
      <c r="C255" s="1366"/>
      <c r="D255" s="1375"/>
      <c r="E255" s="1332"/>
      <c r="F255" s="1332"/>
      <c r="G255" s="1378"/>
      <c r="H255" s="1378"/>
      <c r="I255" s="1332"/>
      <c r="J255" s="1332"/>
      <c r="K255" s="1332"/>
      <c r="L255" s="1332"/>
      <c r="M255" s="1332"/>
      <c r="N255" s="1332"/>
      <c r="O255" s="1332"/>
      <c r="P255" s="1332"/>
      <c r="Q255" s="1332"/>
      <c r="R255" s="1332"/>
      <c r="S255" s="1332"/>
      <c r="T255" s="1332"/>
      <c r="U255" s="1332"/>
      <c r="V255" s="1332"/>
      <c r="W255" s="1332"/>
      <c r="X255" s="1332"/>
      <c r="Y255" s="1332"/>
      <c r="Z255" s="1332"/>
      <c r="AA255" s="1332"/>
      <c r="AB255" s="1332"/>
    </row>
    <row r="256">
      <c r="A256" s="1332"/>
      <c r="B256" s="1366"/>
      <c r="C256" s="1366"/>
      <c r="D256" s="1375"/>
      <c r="E256" s="1332"/>
      <c r="F256" s="1332"/>
      <c r="G256" s="1378"/>
      <c r="H256" s="1378"/>
      <c r="I256" s="1332"/>
      <c r="J256" s="1332"/>
      <c r="K256" s="1332"/>
      <c r="L256" s="1332"/>
      <c r="M256" s="1332"/>
      <c r="N256" s="1332"/>
      <c r="O256" s="1332"/>
      <c r="P256" s="1332"/>
      <c r="Q256" s="1332"/>
      <c r="R256" s="1332"/>
      <c r="S256" s="1332"/>
      <c r="T256" s="1332"/>
      <c r="U256" s="1332"/>
      <c r="V256" s="1332"/>
      <c r="W256" s="1332"/>
      <c r="X256" s="1332"/>
      <c r="Y256" s="1332"/>
      <c r="Z256" s="1332"/>
      <c r="AA256" s="1332"/>
      <c r="AB256" s="1332"/>
    </row>
    <row r="257">
      <c r="A257" s="1332"/>
      <c r="B257" s="1366"/>
      <c r="C257" s="1366"/>
      <c r="D257" s="1375"/>
      <c r="E257" s="1332"/>
      <c r="F257" s="1332"/>
      <c r="G257" s="1378"/>
      <c r="H257" s="1378"/>
      <c r="I257" s="1332"/>
      <c r="J257" s="1332"/>
      <c r="K257" s="1332"/>
      <c r="L257" s="1332"/>
      <c r="M257" s="1332"/>
      <c r="N257" s="1332"/>
      <c r="O257" s="1332"/>
      <c r="P257" s="1332"/>
      <c r="Q257" s="1332"/>
      <c r="R257" s="1332"/>
      <c r="S257" s="1332"/>
      <c r="T257" s="1332"/>
      <c r="U257" s="1332"/>
      <c r="V257" s="1332"/>
      <c r="W257" s="1332"/>
      <c r="X257" s="1332"/>
      <c r="Y257" s="1332"/>
      <c r="Z257" s="1332"/>
      <c r="AA257" s="1332"/>
      <c r="AB257" s="1332"/>
    </row>
    <row r="258">
      <c r="A258" s="1332"/>
      <c r="B258" s="1366"/>
      <c r="C258" s="1366"/>
      <c r="D258" s="1375"/>
      <c r="E258" s="1332"/>
      <c r="F258" s="1332"/>
      <c r="G258" s="1378"/>
      <c r="H258" s="1378"/>
      <c r="I258" s="1332"/>
      <c r="J258" s="1332"/>
      <c r="K258" s="1332"/>
      <c r="L258" s="1332"/>
      <c r="M258" s="1332"/>
      <c r="N258" s="1332"/>
      <c r="O258" s="1332"/>
      <c r="P258" s="1332"/>
      <c r="Q258" s="1332"/>
      <c r="R258" s="1332"/>
      <c r="S258" s="1332"/>
      <c r="T258" s="1332"/>
      <c r="U258" s="1332"/>
      <c r="V258" s="1332"/>
      <c r="W258" s="1332"/>
      <c r="X258" s="1332"/>
      <c r="Y258" s="1332"/>
      <c r="Z258" s="1332"/>
      <c r="AA258" s="1332"/>
      <c r="AB258" s="1332"/>
    </row>
    <row r="259">
      <c r="A259" s="1332"/>
      <c r="B259" s="1366"/>
      <c r="C259" s="1366"/>
      <c r="D259" s="1375"/>
      <c r="E259" s="1332"/>
      <c r="F259" s="1332"/>
      <c r="G259" s="1378"/>
      <c r="H259" s="1378"/>
      <c r="I259" s="1332"/>
      <c r="J259" s="1332"/>
      <c r="K259" s="1332"/>
      <c r="L259" s="1332"/>
      <c r="M259" s="1332"/>
      <c r="N259" s="1332"/>
      <c r="O259" s="1332"/>
      <c r="P259" s="1332"/>
      <c r="Q259" s="1332"/>
      <c r="R259" s="1332"/>
      <c r="S259" s="1332"/>
      <c r="T259" s="1332"/>
      <c r="U259" s="1332"/>
      <c r="V259" s="1332"/>
      <c r="W259" s="1332"/>
      <c r="X259" s="1332"/>
      <c r="Y259" s="1332"/>
      <c r="Z259" s="1332"/>
      <c r="AA259" s="1332"/>
      <c r="AB259" s="1332"/>
    </row>
    <row r="260">
      <c r="A260" s="1332"/>
      <c r="B260" s="1366"/>
      <c r="C260" s="1366"/>
      <c r="D260" s="1375"/>
      <c r="E260" s="1332"/>
      <c r="F260" s="1332"/>
      <c r="G260" s="1378"/>
      <c r="H260" s="1378"/>
      <c r="I260" s="1332"/>
      <c r="J260" s="1332"/>
      <c r="K260" s="1332"/>
      <c r="L260" s="1332"/>
      <c r="M260" s="1332"/>
      <c r="N260" s="1332"/>
      <c r="O260" s="1332"/>
      <c r="P260" s="1332"/>
      <c r="Q260" s="1332"/>
      <c r="R260" s="1332"/>
      <c r="S260" s="1332"/>
      <c r="T260" s="1332"/>
      <c r="U260" s="1332"/>
      <c r="V260" s="1332"/>
      <c r="W260" s="1332"/>
      <c r="X260" s="1332"/>
      <c r="Y260" s="1332"/>
      <c r="Z260" s="1332"/>
      <c r="AA260" s="1332"/>
      <c r="AB260" s="1332"/>
    </row>
    <row r="261">
      <c r="A261" s="1332"/>
      <c r="B261" s="1366"/>
      <c r="C261" s="1366"/>
      <c r="D261" s="1375"/>
      <c r="E261" s="1332"/>
      <c r="F261" s="1332"/>
      <c r="G261" s="1378"/>
      <c r="H261" s="1378"/>
      <c r="I261" s="1332"/>
      <c r="J261" s="1332"/>
      <c r="K261" s="1332"/>
      <c r="L261" s="1332"/>
      <c r="M261" s="1332"/>
      <c r="N261" s="1332"/>
      <c r="O261" s="1332"/>
      <c r="P261" s="1332"/>
      <c r="Q261" s="1332"/>
      <c r="R261" s="1332"/>
      <c r="S261" s="1332"/>
      <c r="T261" s="1332"/>
      <c r="U261" s="1332"/>
      <c r="V261" s="1332"/>
      <c r="W261" s="1332"/>
      <c r="X261" s="1332"/>
      <c r="Y261" s="1332"/>
      <c r="Z261" s="1332"/>
      <c r="AA261" s="1332"/>
      <c r="AB261" s="1332"/>
    </row>
    <row r="262">
      <c r="A262" s="1332"/>
      <c r="B262" s="1366"/>
      <c r="C262" s="1366"/>
      <c r="D262" s="1375"/>
      <c r="E262" s="1332"/>
      <c r="F262" s="1332"/>
      <c r="G262" s="1378"/>
      <c r="H262" s="1378"/>
      <c r="I262" s="1332"/>
      <c r="J262" s="1332"/>
      <c r="K262" s="1332"/>
      <c r="L262" s="1332"/>
      <c r="M262" s="1332"/>
      <c r="N262" s="1332"/>
      <c r="O262" s="1332"/>
      <c r="P262" s="1332"/>
      <c r="Q262" s="1332"/>
      <c r="R262" s="1332"/>
      <c r="S262" s="1332"/>
      <c r="T262" s="1332"/>
      <c r="U262" s="1332"/>
      <c r="V262" s="1332"/>
      <c r="W262" s="1332"/>
      <c r="X262" s="1332"/>
      <c r="Y262" s="1332"/>
      <c r="Z262" s="1332"/>
      <c r="AA262" s="1332"/>
      <c r="AB262" s="1332"/>
    </row>
    <row r="263">
      <c r="A263" s="1332"/>
      <c r="B263" s="1366"/>
      <c r="C263" s="1366"/>
      <c r="D263" s="1375"/>
      <c r="E263" s="1332"/>
      <c r="F263" s="1332"/>
      <c r="G263" s="1378"/>
      <c r="H263" s="1378"/>
      <c r="I263" s="1332"/>
      <c r="J263" s="1332"/>
      <c r="K263" s="1332"/>
      <c r="L263" s="1332"/>
      <c r="M263" s="1332"/>
      <c r="N263" s="1332"/>
      <c r="O263" s="1332"/>
      <c r="P263" s="1332"/>
      <c r="Q263" s="1332"/>
      <c r="R263" s="1332"/>
      <c r="S263" s="1332"/>
      <c r="T263" s="1332"/>
      <c r="U263" s="1332"/>
      <c r="V263" s="1332"/>
      <c r="W263" s="1332"/>
      <c r="X263" s="1332"/>
      <c r="Y263" s="1332"/>
      <c r="Z263" s="1332"/>
      <c r="AA263" s="1332"/>
      <c r="AB263" s="1332"/>
    </row>
    <row r="264">
      <c r="A264" s="1332"/>
      <c r="B264" s="1366"/>
      <c r="C264" s="1366"/>
      <c r="D264" s="1375"/>
      <c r="E264" s="1332"/>
      <c r="F264" s="1332"/>
      <c r="G264" s="1378"/>
      <c r="H264" s="1378"/>
      <c r="I264" s="1332"/>
      <c r="J264" s="1332"/>
      <c r="K264" s="1332"/>
      <c r="L264" s="1332"/>
      <c r="M264" s="1332"/>
      <c r="N264" s="1332"/>
      <c r="O264" s="1332"/>
      <c r="P264" s="1332"/>
      <c r="Q264" s="1332"/>
      <c r="R264" s="1332"/>
      <c r="S264" s="1332"/>
      <c r="T264" s="1332"/>
      <c r="U264" s="1332"/>
      <c r="V264" s="1332"/>
      <c r="W264" s="1332"/>
      <c r="X264" s="1332"/>
      <c r="Y264" s="1332"/>
      <c r="Z264" s="1332"/>
      <c r="AA264" s="1332"/>
      <c r="AB264" s="1332"/>
    </row>
    <row r="265">
      <c r="A265" s="1332"/>
      <c r="B265" s="1366"/>
      <c r="C265" s="1366"/>
      <c r="D265" s="1375"/>
      <c r="E265" s="1332"/>
      <c r="F265" s="1332"/>
      <c r="G265" s="1378"/>
      <c r="H265" s="1378"/>
      <c r="I265" s="1332"/>
      <c r="J265" s="1332"/>
      <c r="K265" s="1332"/>
      <c r="L265" s="1332"/>
      <c r="M265" s="1332"/>
      <c r="N265" s="1332"/>
      <c r="O265" s="1332"/>
      <c r="P265" s="1332"/>
      <c r="Q265" s="1332"/>
      <c r="R265" s="1332"/>
      <c r="S265" s="1332"/>
      <c r="T265" s="1332"/>
      <c r="U265" s="1332"/>
      <c r="V265" s="1332"/>
      <c r="W265" s="1332"/>
      <c r="X265" s="1332"/>
      <c r="Y265" s="1332"/>
      <c r="Z265" s="1332"/>
      <c r="AA265" s="1332"/>
      <c r="AB265" s="1332"/>
    </row>
    <row r="266">
      <c r="A266" s="1332"/>
      <c r="B266" s="1366"/>
      <c r="C266" s="1366"/>
      <c r="D266" s="1375"/>
      <c r="E266" s="1332"/>
      <c r="F266" s="1332"/>
      <c r="G266" s="1378"/>
      <c r="H266" s="1378"/>
      <c r="I266" s="1332"/>
      <c r="J266" s="1332"/>
      <c r="K266" s="1332"/>
      <c r="L266" s="1332"/>
      <c r="M266" s="1332"/>
      <c r="N266" s="1332"/>
      <c r="O266" s="1332"/>
      <c r="P266" s="1332"/>
      <c r="Q266" s="1332"/>
      <c r="R266" s="1332"/>
      <c r="S266" s="1332"/>
      <c r="T266" s="1332"/>
      <c r="U266" s="1332"/>
      <c r="V266" s="1332"/>
      <c r="W266" s="1332"/>
      <c r="X266" s="1332"/>
      <c r="Y266" s="1332"/>
      <c r="Z266" s="1332"/>
      <c r="AA266" s="1332"/>
      <c r="AB266" s="1332"/>
    </row>
    <row r="267">
      <c r="A267" s="1332"/>
      <c r="B267" s="1366"/>
      <c r="C267" s="1366"/>
      <c r="D267" s="1375"/>
      <c r="E267" s="1332"/>
      <c r="F267" s="1332"/>
      <c r="G267" s="1378"/>
      <c r="H267" s="1378"/>
      <c r="I267" s="1332"/>
      <c r="J267" s="1332"/>
      <c r="K267" s="1332"/>
      <c r="L267" s="1332"/>
      <c r="M267" s="1332"/>
      <c r="N267" s="1332"/>
      <c r="O267" s="1332"/>
      <c r="P267" s="1332"/>
      <c r="Q267" s="1332"/>
      <c r="R267" s="1332"/>
      <c r="S267" s="1332"/>
      <c r="T267" s="1332"/>
      <c r="U267" s="1332"/>
      <c r="V267" s="1332"/>
      <c r="W267" s="1332"/>
      <c r="X267" s="1332"/>
      <c r="Y267" s="1332"/>
      <c r="Z267" s="1332"/>
      <c r="AA267" s="1332"/>
      <c r="AB267" s="1332"/>
    </row>
    <row r="268">
      <c r="A268" s="1332"/>
      <c r="B268" s="1366"/>
      <c r="C268" s="1366"/>
      <c r="D268" s="1375"/>
      <c r="E268" s="1332"/>
      <c r="F268" s="1332"/>
      <c r="G268" s="1378"/>
      <c r="H268" s="1378"/>
      <c r="I268" s="1332"/>
      <c r="J268" s="1332"/>
      <c r="K268" s="1332"/>
      <c r="L268" s="1332"/>
      <c r="M268" s="1332"/>
      <c r="N268" s="1332"/>
      <c r="O268" s="1332"/>
      <c r="P268" s="1332"/>
      <c r="Q268" s="1332"/>
      <c r="R268" s="1332"/>
      <c r="S268" s="1332"/>
      <c r="T268" s="1332"/>
      <c r="U268" s="1332"/>
      <c r="V268" s="1332"/>
      <c r="W268" s="1332"/>
      <c r="X268" s="1332"/>
      <c r="Y268" s="1332"/>
      <c r="Z268" s="1332"/>
      <c r="AA268" s="1332"/>
      <c r="AB268" s="1332"/>
    </row>
    <row r="269">
      <c r="A269" s="1332"/>
      <c r="B269" s="1366"/>
      <c r="C269" s="1366"/>
      <c r="D269" s="1375"/>
      <c r="E269" s="1332"/>
      <c r="F269" s="1332"/>
      <c r="G269" s="1378"/>
      <c r="H269" s="1378"/>
      <c r="I269" s="1332"/>
      <c r="J269" s="1332"/>
      <c r="K269" s="1332"/>
      <c r="L269" s="1332"/>
      <c r="M269" s="1332"/>
      <c r="N269" s="1332"/>
      <c r="O269" s="1332"/>
      <c r="P269" s="1332"/>
      <c r="Q269" s="1332"/>
      <c r="R269" s="1332"/>
      <c r="S269" s="1332"/>
      <c r="T269" s="1332"/>
      <c r="U269" s="1332"/>
      <c r="V269" s="1332"/>
      <c r="W269" s="1332"/>
      <c r="X269" s="1332"/>
      <c r="Y269" s="1332"/>
      <c r="Z269" s="1332"/>
      <c r="AA269" s="1332"/>
      <c r="AB269" s="1332"/>
    </row>
    <row r="270">
      <c r="A270" s="1332"/>
      <c r="B270" s="1366"/>
      <c r="C270" s="1366"/>
      <c r="D270" s="1375"/>
      <c r="E270" s="1332"/>
      <c r="F270" s="1332"/>
      <c r="G270" s="1378"/>
      <c r="H270" s="1378"/>
      <c r="I270" s="1332"/>
      <c r="J270" s="1332"/>
      <c r="K270" s="1332"/>
      <c r="L270" s="1332"/>
      <c r="M270" s="1332"/>
      <c r="N270" s="1332"/>
      <c r="O270" s="1332"/>
      <c r="P270" s="1332"/>
      <c r="Q270" s="1332"/>
      <c r="R270" s="1332"/>
      <c r="S270" s="1332"/>
      <c r="T270" s="1332"/>
      <c r="U270" s="1332"/>
      <c r="V270" s="1332"/>
      <c r="W270" s="1332"/>
      <c r="X270" s="1332"/>
      <c r="Y270" s="1332"/>
      <c r="Z270" s="1332"/>
      <c r="AA270" s="1332"/>
      <c r="AB270" s="1332"/>
    </row>
    <row r="271">
      <c r="A271" s="1332"/>
      <c r="B271" s="1366"/>
      <c r="C271" s="1366"/>
      <c r="D271" s="1375"/>
      <c r="E271" s="1332"/>
      <c r="F271" s="1332"/>
      <c r="G271" s="1378"/>
      <c r="H271" s="1378"/>
      <c r="I271" s="1332"/>
      <c r="J271" s="1332"/>
      <c r="K271" s="1332"/>
      <c r="L271" s="1332"/>
      <c r="M271" s="1332"/>
      <c r="N271" s="1332"/>
      <c r="O271" s="1332"/>
      <c r="P271" s="1332"/>
      <c r="Q271" s="1332"/>
      <c r="R271" s="1332"/>
      <c r="S271" s="1332"/>
      <c r="T271" s="1332"/>
      <c r="U271" s="1332"/>
      <c r="V271" s="1332"/>
      <c r="W271" s="1332"/>
      <c r="X271" s="1332"/>
      <c r="Y271" s="1332"/>
      <c r="Z271" s="1332"/>
      <c r="AA271" s="1332"/>
      <c r="AB271" s="1332"/>
    </row>
    <row r="272">
      <c r="A272" s="1332"/>
      <c r="B272" s="1366"/>
      <c r="C272" s="1366"/>
      <c r="D272" s="1375"/>
      <c r="E272" s="1332"/>
      <c r="F272" s="1332"/>
      <c r="G272" s="1378"/>
      <c r="H272" s="1378"/>
      <c r="I272" s="1332"/>
      <c r="J272" s="1332"/>
      <c r="K272" s="1332"/>
      <c r="L272" s="1332"/>
      <c r="M272" s="1332"/>
      <c r="N272" s="1332"/>
      <c r="O272" s="1332"/>
      <c r="P272" s="1332"/>
      <c r="Q272" s="1332"/>
      <c r="R272" s="1332"/>
      <c r="S272" s="1332"/>
      <c r="T272" s="1332"/>
      <c r="U272" s="1332"/>
      <c r="V272" s="1332"/>
      <c r="W272" s="1332"/>
      <c r="X272" s="1332"/>
      <c r="Y272" s="1332"/>
      <c r="Z272" s="1332"/>
      <c r="AA272" s="1332"/>
      <c r="AB272" s="1332"/>
    </row>
    <row r="273">
      <c r="A273" s="1332"/>
      <c r="B273" s="1366"/>
      <c r="C273" s="1366"/>
      <c r="D273" s="1375"/>
      <c r="E273" s="1332"/>
      <c r="F273" s="1332"/>
      <c r="G273" s="1378"/>
      <c r="H273" s="1378"/>
      <c r="I273" s="1332"/>
      <c r="J273" s="1332"/>
      <c r="K273" s="1332"/>
      <c r="L273" s="1332"/>
      <c r="M273" s="1332"/>
      <c r="N273" s="1332"/>
      <c r="O273" s="1332"/>
      <c r="P273" s="1332"/>
      <c r="Q273" s="1332"/>
      <c r="R273" s="1332"/>
      <c r="S273" s="1332"/>
      <c r="T273" s="1332"/>
      <c r="U273" s="1332"/>
      <c r="V273" s="1332"/>
      <c r="W273" s="1332"/>
      <c r="X273" s="1332"/>
      <c r="Y273" s="1332"/>
      <c r="Z273" s="1332"/>
      <c r="AA273" s="1332"/>
      <c r="AB273" s="1332"/>
    </row>
    <row r="274">
      <c r="A274" s="1332"/>
      <c r="B274" s="1366"/>
      <c r="C274" s="1366"/>
      <c r="D274" s="1375"/>
      <c r="E274" s="1332"/>
      <c r="F274" s="1332"/>
      <c r="G274" s="1378"/>
      <c r="H274" s="1378"/>
      <c r="I274" s="1332"/>
      <c r="J274" s="1332"/>
      <c r="K274" s="1332"/>
      <c r="L274" s="1332"/>
      <c r="M274" s="1332"/>
      <c r="N274" s="1332"/>
      <c r="O274" s="1332"/>
      <c r="P274" s="1332"/>
      <c r="Q274" s="1332"/>
      <c r="R274" s="1332"/>
      <c r="S274" s="1332"/>
      <c r="T274" s="1332"/>
      <c r="U274" s="1332"/>
      <c r="V274" s="1332"/>
      <c r="W274" s="1332"/>
      <c r="X274" s="1332"/>
      <c r="Y274" s="1332"/>
      <c r="Z274" s="1332"/>
      <c r="AA274" s="1332"/>
      <c r="AB274" s="1332"/>
    </row>
    <row r="275">
      <c r="A275" s="1332"/>
      <c r="B275" s="1366"/>
      <c r="C275" s="1366"/>
      <c r="D275" s="1375"/>
      <c r="E275" s="1332"/>
      <c r="F275" s="1332"/>
      <c r="G275" s="1378"/>
      <c r="H275" s="1378"/>
      <c r="I275" s="1332"/>
      <c r="J275" s="1332"/>
      <c r="K275" s="1332"/>
      <c r="L275" s="1332"/>
      <c r="M275" s="1332"/>
      <c r="N275" s="1332"/>
      <c r="O275" s="1332"/>
      <c r="P275" s="1332"/>
      <c r="Q275" s="1332"/>
      <c r="R275" s="1332"/>
      <c r="S275" s="1332"/>
      <c r="T275" s="1332"/>
      <c r="U275" s="1332"/>
      <c r="V275" s="1332"/>
      <c r="W275" s="1332"/>
      <c r="X275" s="1332"/>
      <c r="Y275" s="1332"/>
      <c r="Z275" s="1332"/>
      <c r="AA275" s="1332"/>
      <c r="AB275" s="1332"/>
    </row>
    <row r="276">
      <c r="A276" s="1332"/>
      <c r="B276" s="1366"/>
      <c r="C276" s="1366"/>
      <c r="D276" s="1375"/>
      <c r="E276" s="1332"/>
      <c r="F276" s="1332"/>
      <c r="G276" s="1378"/>
      <c r="H276" s="1378"/>
      <c r="I276" s="1332"/>
      <c r="J276" s="1332"/>
      <c r="K276" s="1332"/>
      <c r="L276" s="1332"/>
      <c r="M276" s="1332"/>
      <c r="N276" s="1332"/>
      <c r="O276" s="1332"/>
      <c r="P276" s="1332"/>
      <c r="Q276" s="1332"/>
      <c r="R276" s="1332"/>
      <c r="S276" s="1332"/>
      <c r="T276" s="1332"/>
      <c r="U276" s="1332"/>
      <c r="V276" s="1332"/>
      <c r="W276" s="1332"/>
      <c r="X276" s="1332"/>
      <c r="Y276" s="1332"/>
      <c r="Z276" s="1332"/>
      <c r="AA276" s="1332"/>
      <c r="AB276" s="1332"/>
    </row>
    <row r="277">
      <c r="A277" s="1332"/>
      <c r="B277" s="1366"/>
      <c r="C277" s="1366"/>
      <c r="D277" s="1375"/>
      <c r="E277" s="1332"/>
      <c r="F277" s="1332"/>
      <c r="G277" s="1378"/>
      <c r="H277" s="1378"/>
      <c r="I277" s="1332"/>
      <c r="J277" s="1332"/>
      <c r="K277" s="1332"/>
      <c r="L277" s="1332"/>
      <c r="M277" s="1332"/>
      <c r="N277" s="1332"/>
      <c r="O277" s="1332"/>
      <c r="P277" s="1332"/>
      <c r="Q277" s="1332"/>
      <c r="R277" s="1332"/>
      <c r="S277" s="1332"/>
      <c r="T277" s="1332"/>
      <c r="U277" s="1332"/>
      <c r="V277" s="1332"/>
      <c r="W277" s="1332"/>
      <c r="X277" s="1332"/>
      <c r="Y277" s="1332"/>
      <c r="Z277" s="1332"/>
      <c r="AA277" s="1332"/>
      <c r="AB277" s="1332"/>
    </row>
    <row r="278">
      <c r="A278" s="1332"/>
      <c r="B278" s="1366"/>
      <c r="C278" s="1366"/>
      <c r="D278" s="1375"/>
      <c r="E278" s="1332"/>
      <c r="F278" s="1332"/>
      <c r="G278" s="1378"/>
      <c r="H278" s="1378"/>
      <c r="I278" s="1332"/>
      <c r="J278" s="1332"/>
      <c r="K278" s="1332"/>
      <c r="L278" s="1332"/>
      <c r="M278" s="1332"/>
      <c r="N278" s="1332"/>
      <c r="O278" s="1332"/>
      <c r="P278" s="1332"/>
      <c r="Q278" s="1332"/>
      <c r="R278" s="1332"/>
      <c r="S278" s="1332"/>
      <c r="T278" s="1332"/>
      <c r="U278" s="1332"/>
      <c r="V278" s="1332"/>
      <c r="W278" s="1332"/>
      <c r="X278" s="1332"/>
      <c r="Y278" s="1332"/>
      <c r="Z278" s="1332"/>
      <c r="AA278" s="1332"/>
      <c r="AB278" s="1332"/>
    </row>
    <row r="279">
      <c r="A279" s="1332"/>
      <c r="B279" s="1366"/>
      <c r="C279" s="1366"/>
      <c r="D279" s="1375"/>
      <c r="E279" s="1332"/>
      <c r="F279" s="1332"/>
      <c r="G279" s="1378"/>
      <c r="H279" s="1378"/>
      <c r="I279" s="1332"/>
      <c r="J279" s="1332"/>
      <c r="K279" s="1332"/>
      <c r="L279" s="1332"/>
      <c r="M279" s="1332"/>
      <c r="N279" s="1332"/>
      <c r="O279" s="1332"/>
      <c r="P279" s="1332"/>
      <c r="Q279" s="1332"/>
      <c r="R279" s="1332"/>
      <c r="S279" s="1332"/>
      <c r="T279" s="1332"/>
      <c r="U279" s="1332"/>
      <c r="V279" s="1332"/>
      <c r="W279" s="1332"/>
      <c r="X279" s="1332"/>
      <c r="Y279" s="1332"/>
      <c r="Z279" s="1332"/>
      <c r="AA279" s="1332"/>
      <c r="AB279" s="1332"/>
    </row>
    <row r="280">
      <c r="A280" s="1332"/>
      <c r="B280" s="1366"/>
      <c r="C280" s="1366"/>
      <c r="D280" s="1375"/>
      <c r="E280" s="1332"/>
      <c r="F280" s="1332"/>
      <c r="G280" s="1378"/>
      <c r="H280" s="1378"/>
      <c r="I280" s="1332"/>
      <c r="J280" s="1332"/>
      <c r="K280" s="1332"/>
      <c r="L280" s="1332"/>
      <c r="M280" s="1332"/>
      <c r="N280" s="1332"/>
      <c r="O280" s="1332"/>
      <c r="P280" s="1332"/>
      <c r="Q280" s="1332"/>
      <c r="R280" s="1332"/>
      <c r="S280" s="1332"/>
      <c r="T280" s="1332"/>
      <c r="U280" s="1332"/>
      <c r="V280" s="1332"/>
      <c r="W280" s="1332"/>
      <c r="X280" s="1332"/>
      <c r="Y280" s="1332"/>
      <c r="Z280" s="1332"/>
      <c r="AA280" s="1332"/>
      <c r="AB280" s="1332"/>
    </row>
    <row r="281">
      <c r="A281" s="1332"/>
      <c r="B281" s="1366"/>
      <c r="C281" s="1366"/>
      <c r="D281" s="1375"/>
      <c r="E281" s="1332"/>
      <c r="F281" s="1332"/>
      <c r="G281" s="1378"/>
      <c r="H281" s="1378"/>
      <c r="I281" s="1332"/>
      <c r="J281" s="1332"/>
      <c r="K281" s="1332"/>
      <c r="L281" s="1332"/>
      <c r="M281" s="1332"/>
      <c r="N281" s="1332"/>
      <c r="O281" s="1332"/>
      <c r="P281" s="1332"/>
      <c r="Q281" s="1332"/>
      <c r="R281" s="1332"/>
      <c r="S281" s="1332"/>
      <c r="T281" s="1332"/>
      <c r="U281" s="1332"/>
      <c r="V281" s="1332"/>
      <c r="W281" s="1332"/>
      <c r="X281" s="1332"/>
      <c r="Y281" s="1332"/>
      <c r="Z281" s="1332"/>
      <c r="AA281" s="1332"/>
      <c r="AB281" s="1332"/>
    </row>
    <row r="282">
      <c r="A282" s="1332"/>
      <c r="B282" s="1366"/>
      <c r="C282" s="1366"/>
      <c r="D282" s="1375"/>
      <c r="E282" s="1332"/>
      <c r="F282" s="1332"/>
      <c r="G282" s="1378"/>
      <c r="H282" s="1378"/>
      <c r="I282" s="1332"/>
      <c r="J282" s="1332"/>
      <c r="K282" s="1332"/>
      <c r="L282" s="1332"/>
      <c r="M282" s="1332"/>
      <c r="N282" s="1332"/>
      <c r="O282" s="1332"/>
      <c r="P282" s="1332"/>
      <c r="Q282" s="1332"/>
      <c r="R282" s="1332"/>
      <c r="S282" s="1332"/>
      <c r="T282" s="1332"/>
      <c r="U282" s="1332"/>
      <c r="V282" s="1332"/>
      <c r="W282" s="1332"/>
      <c r="X282" s="1332"/>
      <c r="Y282" s="1332"/>
      <c r="Z282" s="1332"/>
      <c r="AA282" s="1332"/>
      <c r="AB282" s="1332"/>
    </row>
    <row r="283">
      <c r="A283" s="1332"/>
      <c r="B283" s="1366"/>
      <c r="C283" s="1366"/>
      <c r="D283" s="1375"/>
      <c r="E283" s="1332"/>
      <c r="F283" s="1332"/>
      <c r="G283" s="1378"/>
      <c r="H283" s="1378"/>
      <c r="I283" s="1332"/>
      <c r="J283" s="1332"/>
      <c r="K283" s="1332"/>
      <c r="L283" s="1332"/>
      <c r="M283" s="1332"/>
      <c r="N283" s="1332"/>
      <c r="O283" s="1332"/>
      <c r="P283" s="1332"/>
      <c r="Q283" s="1332"/>
      <c r="R283" s="1332"/>
      <c r="S283" s="1332"/>
      <c r="T283" s="1332"/>
      <c r="U283" s="1332"/>
      <c r="V283" s="1332"/>
      <c r="W283" s="1332"/>
      <c r="X283" s="1332"/>
      <c r="Y283" s="1332"/>
      <c r="Z283" s="1332"/>
      <c r="AA283" s="1332"/>
      <c r="AB283" s="1332"/>
    </row>
    <row r="284">
      <c r="A284" s="1332"/>
      <c r="B284" s="1366"/>
      <c r="C284" s="1366"/>
      <c r="D284" s="1375"/>
      <c r="E284" s="1332"/>
      <c r="F284" s="1332"/>
      <c r="G284" s="1378"/>
      <c r="H284" s="1378"/>
      <c r="I284" s="1332"/>
      <c r="J284" s="1332"/>
      <c r="K284" s="1332"/>
      <c r="L284" s="1332"/>
      <c r="M284" s="1332"/>
      <c r="N284" s="1332"/>
      <c r="O284" s="1332"/>
      <c r="P284" s="1332"/>
      <c r="Q284" s="1332"/>
      <c r="R284" s="1332"/>
      <c r="S284" s="1332"/>
      <c r="T284" s="1332"/>
      <c r="U284" s="1332"/>
      <c r="V284" s="1332"/>
      <c r="W284" s="1332"/>
      <c r="X284" s="1332"/>
      <c r="Y284" s="1332"/>
      <c r="Z284" s="1332"/>
      <c r="AA284" s="1332"/>
      <c r="AB284" s="1332"/>
    </row>
    <row r="285">
      <c r="A285" s="1332"/>
      <c r="B285" s="1366"/>
      <c r="C285" s="1366"/>
      <c r="D285" s="1375"/>
      <c r="E285" s="1332"/>
      <c r="F285" s="1332"/>
      <c r="G285" s="1378"/>
      <c r="H285" s="1378"/>
      <c r="I285" s="1332"/>
      <c r="J285" s="1332"/>
      <c r="K285" s="1332"/>
      <c r="L285" s="1332"/>
      <c r="M285" s="1332"/>
      <c r="N285" s="1332"/>
      <c r="O285" s="1332"/>
      <c r="P285" s="1332"/>
      <c r="Q285" s="1332"/>
      <c r="R285" s="1332"/>
      <c r="S285" s="1332"/>
      <c r="T285" s="1332"/>
      <c r="U285" s="1332"/>
      <c r="V285" s="1332"/>
      <c r="W285" s="1332"/>
      <c r="X285" s="1332"/>
      <c r="Y285" s="1332"/>
      <c r="Z285" s="1332"/>
      <c r="AA285" s="1332"/>
      <c r="AB285" s="1332"/>
    </row>
    <row r="286">
      <c r="A286" s="1332"/>
      <c r="B286" s="1366"/>
      <c r="C286" s="1366"/>
      <c r="D286" s="1375"/>
      <c r="E286" s="1332"/>
      <c r="F286" s="1332"/>
      <c r="G286" s="1378"/>
      <c r="H286" s="1378"/>
      <c r="I286" s="1332"/>
      <c r="J286" s="1332"/>
      <c r="K286" s="1332"/>
      <c r="L286" s="1332"/>
      <c r="M286" s="1332"/>
      <c r="N286" s="1332"/>
      <c r="O286" s="1332"/>
      <c r="P286" s="1332"/>
      <c r="Q286" s="1332"/>
      <c r="R286" s="1332"/>
      <c r="S286" s="1332"/>
      <c r="T286" s="1332"/>
      <c r="U286" s="1332"/>
      <c r="V286" s="1332"/>
      <c r="W286" s="1332"/>
      <c r="X286" s="1332"/>
      <c r="Y286" s="1332"/>
      <c r="Z286" s="1332"/>
      <c r="AA286" s="1332"/>
      <c r="AB286" s="1332"/>
    </row>
    <row r="287">
      <c r="A287" s="1332"/>
      <c r="B287" s="1366"/>
      <c r="C287" s="1366"/>
      <c r="D287" s="1375"/>
      <c r="E287" s="1332"/>
      <c r="F287" s="1332"/>
      <c r="G287" s="1378"/>
      <c r="H287" s="1378"/>
      <c r="I287" s="1332"/>
      <c r="J287" s="1332"/>
      <c r="K287" s="1332"/>
      <c r="L287" s="1332"/>
      <c r="M287" s="1332"/>
      <c r="N287" s="1332"/>
      <c r="O287" s="1332"/>
      <c r="P287" s="1332"/>
      <c r="Q287" s="1332"/>
      <c r="R287" s="1332"/>
      <c r="S287" s="1332"/>
      <c r="T287" s="1332"/>
      <c r="U287" s="1332"/>
      <c r="V287" s="1332"/>
      <c r="W287" s="1332"/>
      <c r="X287" s="1332"/>
      <c r="Y287" s="1332"/>
      <c r="Z287" s="1332"/>
      <c r="AA287" s="1332"/>
      <c r="AB287" s="1332"/>
    </row>
    <row r="288">
      <c r="A288" s="1332"/>
      <c r="B288" s="1366"/>
      <c r="C288" s="1366"/>
      <c r="D288" s="1375"/>
      <c r="E288" s="1332"/>
      <c r="F288" s="1332"/>
      <c r="G288" s="1378"/>
      <c r="H288" s="1378"/>
      <c r="I288" s="1332"/>
      <c r="J288" s="1332"/>
      <c r="K288" s="1332"/>
      <c r="L288" s="1332"/>
      <c r="M288" s="1332"/>
      <c r="N288" s="1332"/>
      <c r="O288" s="1332"/>
      <c r="P288" s="1332"/>
      <c r="Q288" s="1332"/>
      <c r="R288" s="1332"/>
      <c r="S288" s="1332"/>
      <c r="T288" s="1332"/>
      <c r="U288" s="1332"/>
      <c r="V288" s="1332"/>
      <c r="W288" s="1332"/>
      <c r="X288" s="1332"/>
      <c r="Y288" s="1332"/>
      <c r="Z288" s="1332"/>
      <c r="AA288" s="1332"/>
      <c r="AB288" s="1332"/>
    </row>
    <row r="289">
      <c r="A289" s="1332"/>
      <c r="B289" s="1366"/>
      <c r="C289" s="1366"/>
      <c r="D289" s="1375"/>
      <c r="E289" s="1332"/>
      <c r="F289" s="1332"/>
      <c r="G289" s="1378"/>
      <c r="H289" s="1378"/>
      <c r="I289" s="1332"/>
      <c r="J289" s="1332"/>
      <c r="K289" s="1332"/>
      <c r="L289" s="1332"/>
      <c r="M289" s="1332"/>
      <c r="N289" s="1332"/>
      <c r="O289" s="1332"/>
      <c r="P289" s="1332"/>
      <c r="Q289" s="1332"/>
      <c r="R289" s="1332"/>
      <c r="S289" s="1332"/>
      <c r="T289" s="1332"/>
      <c r="U289" s="1332"/>
      <c r="V289" s="1332"/>
      <c r="W289" s="1332"/>
      <c r="X289" s="1332"/>
      <c r="Y289" s="1332"/>
      <c r="Z289" s="1332"/>
      <c r="AA289" s="1332"/>
      <c r="AB289" s="1332"/>
    </row>
    <row r="290">
      <c r="A290" s="1332"/>
      <c r="B290" s="1366"/>
      <c r="C290" s="1366"/>
      <c r="D290" s="1375"/>
      <c r="E290" s="1332"/>
      <c r="F290" s="1332"/>
      <c r="G290" s="1378"/>
      <c r="H290" s="1378"/>
      <c r="I290" s="1332"/>
      <c r="J290" s="1332"/>
      <c r="K290" s="1332"/>
      <c r="L290" s="1332"/>
      <c r="M290" s="1332"/>
      <c r="N290" s="1332"/>
      <c r="O290" s="1332"/>
      <c r="P290" s="1332"/>
      <c r="Q290" s="1332"/>
      <c r="R290" s="1332"/>
      <c r="S290" s="1332"/>
      <c r="T290" s="1332"/>
      <c r="U290" s="1332"/>
      <c r="V290" s="1332"/>
      <c r="W290" s="1332"/>
      <c r="X290" s="1332"/>
      <c r="Y290" s="1332"/>
      <c r="Z290" s="1332"/>
      <c r="AA290" s="1332"/>
      <c r="AB290" s="1332"/>
    </row>
    <row r="291">
      <c r="A291" s="1332"/>
      <c r="B291" s="1366"/>
      <c r="C291" s="1366"/>
      <c r="D291" s="1375"/>
      <c r="E291" s="1332"/>
      <c r="F291" s="1332"/>
      <c r="G291" s="1378"/>
      <c r="H291" s="1378"/>
      <c r="I291" s="1332"/>
      <c r="J291" s="1332"/>
      <c r="K291" s="1332"/>
      <c r="L291" s="1332"/>
      <c r="M291" s="1332"/>
      <c r="N291" s="1332"/>
      <c r="O291" s="1332"/>
      <c r="P291" s="1332"/>
      <c r="Q291" s="1332"/>
      <c r="R291" s="1332"/>
      <c r="S291" s="1332"/>
      <c r="T291" s="1332"/>
      <c r="U291" s="1332"/>
      <c r="V291" s="1332"/>
      <c r="W291" s="1332"/>
      <c r="X291" s="1332"/>
      <c r="Y291" s="1332"/>
      <c r="Z291" s="1332"/>
      <c r="AA291" s="1332"/>
      <c r="AB291" s="1332"/>
    </row>
    <row r="292">
      <c r="A292" s="1332"/>
      <c r="B292" s="1366"/>
      <c r="C292" s="1366"/>
      <c r="D292" s="1375"/>
      <c r="E292" s="1332"/>
      <c r="F292" s="1332"/>
      <c r="G292" s="1378"/>
      <c r="H292" s="1378"/>
      <c r="I292" s="1332"/>
      <c r="J292" s="1332"/>
      <c r="K292" s="1332"/>
      <c r="L292" s="1332"/>
      <c r="M292" s="1332"/>
      <c r="N292" s="1332"/>
      <c r="O292" s="1332"/>
      <c r="P292" s="1332"/>
      <c r="Q292" s="1332"/>
      <c r="R292" s="1332"/>
      <c r="S292" s="1332"/>
      <c r="T292" s="1332"/>
      <c r="U292" s="1332"/>
      <c r="V292" s="1332"/>
      <c r="W292" s="1332"/>
      <c r="X292" s="1332"/>
      <c r="Y292" s="1332"/>
      <c r="Z292" s="1332"/>
      <c r="AA292" s="1332"/>
      <c r="AB292" s="1332"/>
    </row>
    <row r="293">
      <c r="A293" s="1332"/>
      <c r="B293" s="1366"/>
      <c r="C293" s="1366"/>
      <c r="D293" s="1375"/>
      <c r="E293" s="1332"/>
      <c r="F293" s="1332"/>
      <c r="G293" s="1378"/>
      <c r="H293" s="1378"/>
      <c r="I293" s="1332"/>
      <c r="J293" s="1332"/>
      <c r="K293" s="1332"/>
      <c r="L293" s="1332"/>
      <c r="M293" s="1332"/>
      <c r="N293" s="1332"/>
      <c r="O293" s="1332"/>
      <c r="P293" s="1332"/>
      <c r="Q293" s="1332"/>
      <c r="R293" s="1332"/>
      <c r="S293" s="1332"/>
      <c r="T293" s="1332"/>
      <c r="U293" s="1332"/>
      <c r="V293" s="1332"/>
      <c r="W293" s="1332"/>
      <c r="X293" s="1332"/>
      <c r="Y293" s="1332"/>
      <c r="Z293" s="1332"/>
      <c r="AA293" s="1332"/>
      <c r="AB293" s="1332"/>
    </row>
    <row r="294">
      <c r="A294" s="1332"/>
      <c r="B294" s="1366"/>
      <c r="C294" s="1366"/>
      <c r="D294" s="1375"/>
      <c r="E294" s="1332"/>
      <c r="F294" s="1332"/>
      <c r="G294" s="1378"/>
      <c r="H294" s="1378"/>
      <c r="I294" s="1332"/>
      <c r="J294" s="1332"/>
      <c r="K294" s="1332"/>
      <c r="L294" s="1332"/>
      <c r="M294" s="1332"/>
      <c r="N294" s="1332"/>
      <c r="O294" s="1332"/>
      <c r="P294" s="1332"/>
      <c r="Q294" s="1332"/>
      <c r="R294" s="1332"/>
      <c r="S294" s="1332"/>
      <c r="T294" s="1332"/>
      <c r="U294" s="1332"/>
      <c r="V294" s="1332"/>
      <c r="W294" s="1332"/>
      <c r="X294" s="1332"/>
      <c r="Y294" s="1332"/>
      <c r="Z294" s="1332"/>
      <c r="AA294" s="1332"/>
      <c r="AB294" s="1332"/>
    </row>
    <row r="295">
      <c r="A295" s="1332"/>
      <c r="B295" s="1366"/>
      <c r="C295" s="1366"/>
      <c r="D295" s="1375"/>
      <c r="E295" s="1332"/>
      <c r="F295" s="1332"/>
      <c r="G295" s="1378"/>
      <c r="H295" s="1378"/>
      <c r="I295" s="1332"/>
      <c r="J295" s="1332"/>
      <c r="K295" s="1332"/>
      <c r="L295" s="1332"/>
      <c r="M295" s="1332"/>
      <c r="N295" s="1332"/>
      <c r="O295" s="1332"/>
      <c r="P295" s="1332"/>
      <c r="Q295" s="1332"/>
      <c r="R295" s="1332"/>
      <c r="S295" s="1332"/>
      <c r="T295" s="1332"/>
      <c r="U295" s="1332"/>
      <c r="V295" s="1332"/>
      <c r="W295" s="1332"/>
      <c r="X295" s="1332"/>
      <c r="Y295" s="1332"/>
      <c r="Z295" s="1332"/>
      <c r="AA295" s="1332"/>
      <c r="AB295" s="1332"/>
    </row>
    <row r="296">
      <c r="A296" s="1332"/>
      <c r="B296" s="1366"/>
      <c r="C296" s="1366"/>
      <c r="D296" s="1375"/>
      <c r="E296" s="1332"/>
      <c r="F296" s="1332"/>
      <c r="G296" s="1378"/>
      <c r="H296" s="1378"/>
      <c r="I296" s="1332"/>
      <c r="J296" s="1332"/>
      <c r="K296" s="1332"/>
      <c r="L296" s="1332"/>
      <c r="M296" s="1332"/>
      <c r="N296" s="1332"/>
      <c r="O296" s="1332"/>
      <c r="P296" s="1332"/>
      <c r="Q296" s="1332"/>
      <c r="R296" s="1332"/>
      <c r="S296" s="1332"/>
      <c r="T296" s="1332"/>
      <c r="U296" s="1332"/>
      <c r="V296" s="1332"/>
      <c r="W296" s="1332"/>
      <c r="X296" s="1332"/>
      <c r="Y296" s="1332"/>
      <c r="Z296" s="1332"/>
      <c r="AA296" s="1332"/>
      <c r="AB296" s="1332"/>
    </row>
    <row r="297">
      <c r="A297" s="1332"/>
      <c r="B297" s="1366"/>
      <c r="C297" s="1366"/>
      <c r="D297" s="1375"/>
      <c r="E297" s="1332"/>
      <c r="F297" s="1332"/>
      <c r="G297" s="1378"/>
      <c r="H297" s="1378"/>
      <c r="I297" s="1332"/>
      <c r="J297" s="1332"/>
      <c r="K297" s="1332"/>
      <c r="L297" s="1332"/>
      <c r="M297" s="1332"/>
      <c r="N297" s="1332"/>
      <c r="O297" s="1332"/>
      <c r="P297" s="1332"/>
      <c r="Q297" s="1332"/>
      <c r="R297" s="1332"/>
      <c r="S297" s="1332"/>
      <c r="T297" s="1332"/>
      <c r="U297" s="1332"/>
      <c r="V297" s="1332"/>
      <c r="W297" s="1332"/>
      <c r="X297" s="1332"/>
      <c r="Y297" s="1332"/>
      <c r="Z297" s="1332"/>
      <c r="AA297" s="1332"/>
      <c r="AB297" s="1332"/>
    </row>
    <row r="298">
      <c r="A298" s="1332"/>
      <c r="B298" s="1366"/>
      <c r="C298" s="1366"/>
      <c r="D298" s="1375"/>
      <c r="E298" s="1332"/>
      <c r="F298" s="1332"/>
      <c r="G298" s="1378"/>
      <c r="H298" s="1378"/>
      <c r="I298" s="1332"/>
      <c r="J298" s="1332"/>
      <c r="K298" s="1332"/>
      <c r="L298" s="1332"/>
      <c r="M298" s="1332"/>
      <c r="N298" s="1332"/>
      <c r="O298" s="1332"/>
      <c r="P298" s="1332"/>
      <c r="Q298" s="1332"/>
      <c r="R298" s="1332"/>
      <c r="S298" s="1332"/>
      <c r="T298" s="1332"/>
      <c r="U298" s="1332"/>
      <c r="V298" s="1332"/>
      <c r="W298" s="1332"/>
      <c r="X298" s="1332"/>
      <c r="Y298" s="1332"/>
      <c r="Z298" s="1332"/>
      <c r="AA298" s="1332"/>
      <c r="AB298" s="1332"/>
    </row>
    <row r="299">
      <c r="A299" s="1332"/>
      <c r="B299" s="1366"/>
      <c r="C299" s="1366"/>
      <c r="D299" s="1375"/>
      <c r="E299" s="1332"/>
      <c r="F299" s="1332"/>
      <c r="G299" s="1378"/>
      <c r="H299" s="1378"/>
      <c r="I299" s="1332"/>
      <c r="J299" s="1332"/>
      <c r="K299" s="1332"/>
      <c r="L299" s="1332"/>
      <c r="M299" s="1332"/>
      <c r="N299" s="1332"/>
      <c r="O299" s="1332"/>
      <c r="P299" s="1332"/>
      <c r="Q299" s="1332"/>
      <c r="R299" s="1332"/>
      <c r="S299" s="1332"/>
      <c r="T299" s="1332"/>
      <c r="U299" s="1332"/>
      <c r="V299" s="1332"/>
      <c r="W299" s="1332"/>
      <c r="X299" s="1332"/>
      <c r="Y299" s="1332"/>
      <c r="Z299" s="1332"/>
      <c r="AA299" s="1332"/>
      <c r="AB299" s="1332"/>
    </row>
    <row r="300">
      <c r="A300" s="1332"/>
      <c r="B300" s="1366"/>
      <c r="C300" s="1366"/>
      <c r="D300" s="1375"/>
      <c r="E300" s="1332"/>
      <c r="F300" s="1332"/>
      <c r="G300" s="1378"/>
      <c r="H300" s="1378"/>
      <c r="I300" s="1332"/>
      <c r="J300" s="1332"/>
      <c r="K300" s="1332"/>
      <c r="L300" s="1332"/>
      <c r="M300" s="1332"/>
      <c r="N300" s="1332"/>
      <c r="O300" s="1332"/>
      <c r="P300" s="1332"/>
      <c r="Q300" s="1332"/>
      <c r="R300" s="1332"/>
      <c r="S300" s="1332"/>
      <c r="T300" s="1332"/>
      <c r="U300" s="1332"/>
      <c r="V300" s="1332"/>
      <c r="W300" s="1332"/>
      <c r="X300" s="1332"/>
      <c r="Y300" s="1332"/>
      <c r="Z300" s="1332"/>
      <c r="AA300" s="1332"/>
      <c r="AB300" s="1332"/>
    </row>
    <row r="301">
      <c r="A301" s="1332"/>
      <c r="B301" s="1366"/>
      <c r="C301" s="1366"/>
      <c r="D301" s="1375"/>
      <c r="E301" s="1332"/>
      <c r="F301" s="1332"/>
      <c r="G301" s="1378"/>
      <c r="H301" s="1378"/>
      <c r="I301" s="1332"/>
      <c r="J301" s="1332"/>
      <c r="K301" s="1332"/>
      <c r="L301" s="1332"/>
      <c r="M301" s="1332"/>
      <c r="N301" s="1332"/>
      <c r="O301" s="1332"/>
      <c r="P301" s="1332"/>
      <c r="Q301" s="1332"/>
      <c r="R301" s="1332"/>
      <c r="S301" s="1332"/>
      <c r="T301" s="1332"/>
      <c r="U301" s="1332"/>
      <c r="V301" s="1332"/>
      <c r="W301" s="1332"/>
      <c r="X301" s="1332"/>
      <c r="Y301" s="1332"/>
      <c r="Z301" s="1332"/>
      <c r="AA301" s="1332"/>
      <c r="AB301" s="1332"/>
    </row>
    <row r="302">
      <c r="A302" s="1332"/>
      <c r="B302" s="1366"/>
      <c r="C302" s="1366"/>
      <c r="D302" s="1375"/>
      <c r="E302" s="1332"/>
      <c r="F302" s="1332"/>
      <c r="G302" s="1378"/>
      <c r="H302" s="1378"/>
      <c r="I302" s="1332"/>
      <c r="J302" s="1332"/>
      <c r="K302" s="1332"/>
      <c r="L302" s="1332"/>
      <c r="M302" s="1332"/>
      <c r="N302" s="1332"/>
      <c r="O302" s="1332"/>
      <c r="P302" s="1332"/>
      <c r="Q302" s="1332"/>
      <c r="R302" s="1332"/>
      <c r="S302" s="1332"/>
      <c r="T302" s="1332"/>
      <c r="U302" s="1332"/>
      <c r="V302" s="1332"/>
      <c r="W302" s="1332"/>
      <c r="X302" s="1332"/>
      <c r="Y302" s="1332"/>
      <c r="Z302" s="1332"/>
      <c r="AA302" s="1332"/>
      <c r="AB302" s="1332"/>
    </row>
    <row r="303">
      <c r="A303" s="1332"/>
      <c r="B303" s="1366"/>
      <c r="C303" s="1366"/>
      <c r="D303" s="1375"/>
      <c r="E303" s="1332"/>
      <c r="F303" s="1332"/>
      <c r="G303" s="1378"/>
      <c r="H303" s="1378"/>
      <c r="I303" s="1332"/>
      <c r="J303" s="1332"/>
      <c r="K303" s="1332"/>
      <c r="L303" s="1332"/>
      <c r="M303" s="1332"/>
      <c r="N303" s="1332"/>
      <c r="O303" s="1332"/>
      <c r="P303" s="1332"/>
      <c r="Q303" s="1332"/>
      <c r="R303" s="1332"/>
      <c r="S303" s="1332"/>
      <c r="T303" s="1332"/>
      <c r="U303" s="1332"/>
      <c r="V303" s="1332"/>
      <c r="W303" s="1332"/>
      <c r="X303" s="1332"/>
      <c r="Y303" s="1332"/>
      <c r="Z303" s="1332"/>
      <c r="AA303" s="1332"/>
      <c r="AB303" s="1332"/>
    </row>
    <row r="304">
      <c r="A304" s="1332"/>
      <c r="B304" s="1366"/>
      <c r="C304" s="1366"/>
      <c r="D304" s="1375"/>
      <c r="E304" s="1332"/>
      <c r="F304" s="1332"/>
      <c r="G304" s="1378"/>
      <c r="H304" s="1378"/>
      <c r="I304" s="1332"/>
      <c r="J304" s="1332"/>
      <c r="K304" s="1332"/>
      <c r="L304" s="1332"/>
      <c r="M304" s="1332"/>
      <c r="N304" s="1332"/>
      <c r="O304" s="1332"/>
      <c r="P304" s="1332"/>
      <c r="Q304" s="1332"/>
      <c r="R304" s="1332"/>
      <c r="S304" s="1332"/>
      <c r="T304" s="1332"/>
      <c r="U304" s="1332"/>
      <c r="V304" s="1332"/>
      <c r="W304" s="1332"/>
      <c r="X304" s="1332"/>
      <c r="Y304" s="1332"/>
      <c r="Z304" s="1332"/>
      <c r="AA304" s="1332"/>
      <c r="AB304" s="1332"/>
    </row>
    <row r="305">
      <c r="A305" s="1332"/>
      <c r="B305" s="1366"/>
      <c r="C305" s="1366"/>
      <c r="D305" s="1375"/>
      <c r="E305" s="1332"/>
      <c r="F305" s="1332"/>
      <c r="G305" s="1378"/>
      <c r="H305" s="1378"/>
      <c r="I305" s="1332"/>
      <c r="J305" s="1332"/>
      <c r="K305" s="1332"/>
      <c r="L305" s="1332"/>
      <c r="M305" s="1332"/>
      <c r="N305" s="1332"/>
      <c r="O305" s="1332"/>
      <c r="P305" s="1332"/>
      <c r="Q305" s="1332"/>
      <c r="R305" s="1332"/>
      <c r="S305" s="1332"/>
      <c r="T305" s="1332"/>
      <c r="U305" s="1332"/>
      <c r="V305" s="1332"/>
      <c r="W305" s="1332"/>
      <c r="X305" s="1332"/>
      <c r="Y305" s="1332"/>
      <c r="Z305" s="1332"/>
      <c r="AA305" s="1332"/>
      <c r="AB305" s="1332"/>
    </row>
    <row r="306">
      <c r="A306" s="1332"/>
      <c r="B306" s="1366"/>
      <c r="C306" s="1366"/>
      <c r="D306" s="1375"/>
      <c r="E306" s="1332"/>
      <c r="F306" s="1332"/>
      <c r="G306" s="1378"/>
      <c r="H306" s="1378"/>
      <c r="I306" s="1332"/>
      <c r="J306" s="1332"/>
      <c r="K306" s="1332"/>
      <c r="L306" s="1332"/>
      <c r="M306" s="1332"/>
      <c r="N306" s="1332"/>
      <c r="O306" s="1332"/>
      <c r="P306" s="1332"/>
      <c r="Q306" s="1332"/>
      <c r="R306" s="1332"/>
      <c r="S306" s="1332"/>
      <c r="T306" s="1332"/>
      <c r="U306" s="1332"/>
      <c r="V306" s="1332"/>
      <c r="W306" s="1332"/>
      <c r="X306" s="1332"/>
      <c r="Y306" s="1332"/>
      <c r="Z306" s="1332"/>
      <c r="AA306" s="1332"/>
      <c r="AB306" s="1332"/>
    </row>
    <row r="307">
      <c r="A307" s="1332"/>
      <c r="B307" s="1366"/>
      <c r="C307" s="1366"/>
      <c r="D307" s="1375"/>
      <c r="E307" s="1332"/>
      <c r="F307" s="1332"/>
      <c r="G307" s="1378"/>
      <c r="H307" s="1378"/>
      <c r="I307" s="1332"/>
      <c r="J307" s="1332"/>
      <c r="K307" s="1332"/>
      <c r="L307" s="1332"/>
      <c r="M307" s="1332"/>
      <c r="N307" s="1332"/>
      <c r="O307" s="1332"/>
      <c r="P307" s="1332"/>
      <c r="Q307" s="1332"/>
      <c r="R307" s="1332"/>
      <c r="S307" s="1332"/>
      <c r="T307" s="1332"/>
      <c r="U307" s="1332"/>
      <c r="V307" s="1332"/>
      <c r="W307" s="1332"/>
      <c r="X307" s="1332"/>
      <c r="Y307" s="1332"/>
      <c r="Z307" s="1332"/>
      <c r="AA307" s="1332"/>
      <c r="AB307" s="1332"/>
    </row>
    <row r="308">
      <c r="A308" s="1332"/>
      <c r="B308" s="1366"/>
      <c r="C308" s="1366"/>
      <c r="D308" s="1375"/>
      <c r="E308" s="1332"/>
      <c r="F308" s="1332"/>
      <c r="G308" s="1378"/>
      <c r="H308" s="1378"/>
      <c r="I308" s="1332"/>
      <c r="J308" s="1332"/>
      <c r="K308" s="1332"/>
      <c r="L308" s="1332"/>
      <c r="M308" s="1332"/>
      <c r="N308" s="1332"/>
      <c r="O308" s="1332"/>
      <c r="P308" s="1332"/>
      <c r="Q308" s="1332"/>
      <c r="R308" s="1332"/>
      <c r="S308" s="1332"/>
      <c r="T308" s="1332"/>
      <c r="U308" s="1332"/>
      <c r="V308" s="1332"/>
      <c r="W308" s="1332"/>
      <c r="X308" s="1332"/>
      <c r="Y308" s="1332"/>
      <c r="Z308" s="1332"/>
      <c r="AA308" s="1332"/>
      <c r="AB308" s="1332"/>
    </row>
    <row r="309">
      <c r="A309" s="1332"/>
      <c r="B309" s="1366"/>
      <c r="C309" s="1366"/>
      <c r="D309" s="1375"/>
      <c r="E309" s="1332"/>
      <c r="F309" s="1332"/>
      <c r="G309" s="1378"/>
      <c r="H309" s="1378"/>
      <c r="I309" s="1332"/>
      <c r="J309" s="1332"/>
      <c r="K309" s="1332"/>
      <c r="L309" s="1332"/>
      <c r="M309" s="1332"/>
      <c r="N309" s="1332"/>
      <c r="O309" s="1332"/>
      <c r="P309" s="1332"/>
      <c r="Q309" s="1332"/>
      <c r="R309" s="1332"/>
      <c r="S309" s="1332"/>
      <c r="T309" s="1332"/>
      <c r="U309" s="1332"/>
      <c r="V309" s="1332"/>
      <c r="W309" s="1332"/>
      <c r="X309" s="1332"/>
      <c r="Y309" s="1332"/>
      <c r="Z309" s="1332"/>
      <c r="AA309" s="1332"/>
      <c r="AB309" s="1332"/>
    </row>
    <row r="310">
      <c r="A310" s="1332"/>
      <c r="B310" s="1366"/>
      <c r="C310" s="1366"/>
      <c r="D310" s="1375"/>
      <c r="E310" s="1332"/>
      <c r="F310" s="1332"/>
      <c r="G310" s="1378"/>
      <c r="H310" s="1378"/>
      <c r="I310" s="1332"/>
      <c r="J310" s="1332"/>
      <c r="K310" s="1332"/>
      <c r="L310" s="1332"/>
      <c r="M310" s="1332"/>
      <c r="N310" s="1332"/>
      <c r="O310" s="1332"/>
      <c r="P310" s="1332"/>
      <c r="Q310" s="1332"/>
      <c r="R310" s="1332"/>
      <c r="S310" s="1332"/>
      <c r="T310" s="1332"/>
      <c r="U310" s="1332"/>
      <c r="V310" s="1332"/>
      <c r="W310" s="1332"/>
      <c r="X310" s="1332"/>
      <c r="Y310" s="1332"/>
      <c r="Z310" s="1332"/>
      <c r="AA310" s="1332"/>
      <c r="AB310" s="1332"/>
    </row>
    <row r="311">
      <c r="A311" s="1332"/>
      <c r="B311" s="1366"/>
      <c r="C311" s="1366"/>
      <c r="D311" s="1375"/>
      <c r="E311" s="1332"/>
      <c r="F311" s="1332"/>
      <c r="G311" s="1378"/>
      <c r="H311" s="1378"/>
      <c r="I311" s="1332"/>
      <c r="J311" s="1332"/>
      <c r="K311" s="1332"/>
      <c r="L311" s="1332"/>
      <c r="M311" s="1332"/>
      <c r="N311" s="1332"/>
      <c r="O311" s="1332"/>
      <c r="P311" s="1332"/>
      <c r="Q311" s="1332"/>
      <c r="R311" s="1332"/>
      <c r="S311" s="1332"/>
      <c r="T311" s="1332"/>
      <c r="U311" s="1332"/>
      <c r="V311" s="1332"/>
      <c r="W311" s="1332"/>
      <c r="X311" s="1332"/>
      <c r="Y311" s="1332"/>
      <c r="Z311" s="1332"/>
      <c r="AA311" s="1332"/>
      <c r="AB311" s="1332"/>
    </row>
    <row r="312">
      <c r="A312" s="1332"/>
      <c r="B312" s="1366"/>
      <c r="C312" s="1366"/>
      <c r="D312" s="1375"/>
      <c r="E312" s="1332"/>
      <c r="F312" s="1332"/>
      <c r="G312" s="1378"/>
      <c r="H312" s="1378"/>
      <c r="I312" s="1332"/>
      <c r="J312" s="1332"/>
      <c r="K312" s="1332"/>
      <c r="L312" s="1332"/>
      <c r="M312" s="1332"/>
      <c r="N312" s="1332"/>
      <c r="O312" s="1332"/>
      <c r="P312" s="1332"/>
      <c r="Q312" s="1332"/>
      <c r="R312" s="1332"/>
      <c r="S312" s="1332"/>
      <c r="T312" s="1332"/>
      <c r="U312" s="1332"/>
      <c r="V312" s="1332"/>
      <c r="W312" s="1332"/>
      <c r="X312" s="1332"/>
      <c r="Y312" s="1332"/>
      <c r="Z312" s="1332"/>
      <c r="AA312" s="1332"/>
      <c r="AB312" s="1332"/>
    </row>
    <row r="313">
      <c r="A313" s="1332"/>
      <c r="B313" s="1366"/>
      <c r="C313" s="1366"/>
      <c r="D313" s="1375"/>
      <c r="E313" s="1332"/>
      <c r="F313" s="1332"/>
      <c r="G313" s="1378"/>
      <c r="H313" s="1378"/>
      <c r="I313" s="1332"/>
      <c r="J313" s="1332"/>
      <c r="K313" s="1332"/>
      <c r="L313" s="1332"/>
      <c r="M313" s="1332"/>
      <c r="N313" s="1332"/>
      <c r="O313" s="1332"/>
      <c r="P313" s="1332"/>
      <c r="Q313" s="1332"/>
      <c r="R313" s="1332"/>
      <c r="S313" s="1332"/>
      <c r="T313" s="1332"/>
      <c r="U313" s="1332"/>
      <c r="V313" s="1332"/>
      <c r="W313" s="1332"/>
      <c r="X313" s="1332"/>
      <c r="Y313" s="1332"/>
      <c r="Z313" s="1332"/>
      <c r="AA313" s="1332"/>
      <c r="AB313" s="1332"/>
    </row>
    <row r="314">
      <c r="A314" s="1332"/>
      <c r="B314" s="1366"/>
      <c r="C314" s="1366"/>
      <c r="D314" s="1375"/>
      <c r="E314" s="1332"/>
      <c r="F314" s="1332"/>
      <c r="G314" s="1378"/>
      <c r="H314" s="1378"/>
      <c r="I314" s="1332"/>
      <c r="J314" s="1332"/>
      <c r="K314" s="1332"/>
      <c r="L314" s="1332"/>
      <c r="M314" s="1332"/>
      <c r="N314" s="1332"/>
      <c r="O314" s="1332"/>
      <c r="P314" s="1332"/>
      <c r="Q314" s="1332"/>
      <c r="R314" s="1332"/>
      <c r="S314" s="1332"/>
      <c r="T314" s="1332"/>
      <c r="U314" s="1332"/>
      <c r="V314" s="1332"/>
      <c r="W314" s="1332"/>
      <c r="X314" s="1332"/>
      <c r="Y314" s="1332"/>
      <c r="Z314" s="1332"/>
      <c r="AA314" s="1332"/>
      <c r="AB314" s="1332"/>
    </row>
    <row r="315">
      <c r="A315" s="1332"/>
      <c r="B315" s="1366"/>
      <c r="C315" s="1366"/>
      <c r="D315" s="1375"/>
      <c r="E315" s="1332"/>
      <c r="F315" s="1332"/>
      <c r="G315" s="1378"/>
      <c r="H315" s="1378"/>
      <c r="I315" s="1332"/>
      <c r="J315" s="1332"/>
      <c r="K315" s="1332"/>
      <c r="L315" s="1332"/>
      <c r="M315" s="1332"/>
      <c r="N315" s="1332"/>
      <c r="O315" s="1332"/>
      <c r="P315" s="1332"/>
      <c r="Q315" s="1332"/>
      <c r="R315" s="1332"/>
      <c r="S315" s="1332"/>
      <c r="T315" s="1332"/>
      <c r="U315" s="1332"/>
      <c r="V315" s="1332"/>
      <c r="W315" s="1332"/>
      <c r="X315" s="1332"/>
      <c r="Y315" s="1332"/>
      <c r="Z315" s="1332"/>
      <c r="AA315" s="1332"/>
      <c r="AB315" s="1332"/>
    </row>
    <row r="316">
      <c r="A316" s="1332"/>
      <c r="B316" s="1366"/>
      <c r="C316" s="1366"/>
      <c r="D316" s="1375"/>
      <c r="E316" s="1332"/>
      <c r="F316" s="1332"/>
      <c r="G316" s="1378"/>
      <c r="H316" s="1378"/>
      <c r="I316" s="1332"/>
      <c r="J316" s="1332"/>
      <c r="K316" s="1332"/>
      <c r="L316" s="1332"/>
      <c r="M316" s="1332"/>
      <c r="N316" s="1332"/>
      <c r="O316" s="1332"/>
      <c r="P316" s="1332"/>
      <c r="Q316" s="1332"/>
      <c r="R316" s="1332"/>
      <c r="S316" s="1332"/>
      <c r="T316" s="1332"/>
      <c r="U316" s="1332"/>
      <c r="V316" s="1332"/>
      <c r="W316" s="1332"/>
      <c r="X316" s="1332"/>
      <c r="Y316" s="1332"/>
      <c r="Z316" s="1332"/>
      <c r="AA316" s="1332"/>
      <c r="AB316" s="1332"/>
    </row>
    <row r="317">
      <c r="A317" s="1332"/>
      <c r="B317" s="1366"/>
      <c r="C317" s="1366"/>
      <c r="D317" s="1375"/>
      <c r="E317" s="1332"/>
      <c r="F317" s="1332"/>
      <c r="G317" s="1378"/>
      <c r="H317" s="1378"/>
      <c r="I317" s="1332"/>
      <c r="J317" s="1332"/>
      <c r="K317" s="1332"/>
      <c r="L317" s="1332"/>
      <c r="M317" s="1332"/>
      <c r="N317" s="1332"/>
      <c r="O317" s="1332"/>
      <c r="P317" s="1332"/>
      <c r="Q317" s="1332"/>
      <c r="R317" s="1332"/>
      <c r="S317" s="1332"/>
      <c r="T317" s="1332"/>
      <c r="U317" s="1332"/>
      <c r="V317" s="1332"/>
      <c r="W317" s="1332"/>
      <c r="X317" s="1332"/>
      <c r="Y317" s="1332"/>
      <c r="Z317" s="1332"/>
      <c r="AA317" s="1332"/>
      <c r="AB317" s="1332"/>
    </row>
    <row r="318">
      <c r="A318" s="1332"/>
      <c r="B318" s="1366"/>
      <c r="C318" s="1366"/>
      <c r="D318" s="1375"/>
      <c r="E318" s="1332"/>
      <c r="F318" s="1332"/>
      <c r="G318" s="1378"/>
      <c r="H318" s="1378"/>
      <c r="I318" s="1332"/>
      <c r="J318" s="1332"/>
      <c r="K318" s="1332"/>
      <c r="L318" s="1332"/>
      <c r="M318" s="1332"/>
      <c r="N318" s="1332"/>
      <c r="O318" s="1332"/>
      <c r="P318" s="1332"/>
      <c r="Q318" s="1332"/>
      <c r="R318" s="1332"/>
      <c r="S318" s="1332"/>
      <c r="T318" s="1332"/>
      <c r="U318" s="1332"/>
      <c r="V318" s="1332"/>
      <c r="W318" s="1332"/>
      <c r="X318" s="1332"/>
      <c r="Y318" s="1332"/>
      <c r="Z318" s="1332"/>
      <c r="AA318" s="1332"/>
      <c r="AB318" s="1332"/>
    </row>
    <row r="319">
      <c r="A319" s="1332"/>
      <c r="B319" s="1366"/>
      <c r="C319" s="1366"/>
      <c r="D319" s="1375"/>
      <c r="E319" s="1332"/>
      <c r="F319" s="1332"/>
      <c r="G319" s="1378"/>
      <c r="H319" s="1378"/>
      <c r="I319" s="1332"/>
      <c r="J319" s="1332"/>
      <c r="K319" s="1332"/>
      <c r="L319" s="1332"/>
      <c r="M319" s="1332"/>
      <c r="N319" s="1332"/>
      <c r="O319" s="1332"/>
      <c r="P319" s="1332"/>
      <c r="Q319" s="1332"/>
      <c r="R319" s="1332"/>
      <c r="S319" s="1332"/>
      <c r="T319" s="1332"/>
      <c r="U319" s="1332"/>
      <c r="V319" s="1332"/>
      <c r="W319" s="1332"/>
      <c r="X319" s="1332"/>
      <c r="Y319" s="1332"/>
      <c r="Z319" s="1332"/>
      <c r="AA319" s="1332"/>
      <c r="AB319" s="1332"/>
    </row>
    <row r="320">
      <c r="A320" s="1332"/>
      <c r="B320" s="1366"/>
      <c r="C320" s="1366"/>
      <c r="D320" s="1375"/>
      <c r="E320" s="1332"/>
      <c r="F320" s="1332"/>
      <c r="G320" s="1378"/>
      <c r="H320" s="1378"/>
      <c r="I320" s="1332"/>
      <c r="J320" s="1332"/>
      <c r="K320" s="1332"/>
      <c r="L320" s="1332"/>
      <c r="M320" s="1332"/>
      <c r="N320" s="1332"/>
      <c r="O320" s="1332"/>
      <c r="P320" s="1332"/>
      <c r="Q320" s="1332"/>
      <c r="R320" s="1332"/>
      <c r="S320" s="1332"/>
      <c r="T320" s="1332"/>
      <c r="U320" s="1332"/>
      <c r="V320" s="1332"/>
      <c r="W320" s="1332"/>
      <c r="X320" s="1332"/>
      <c r="Y320" s="1332"/>
      <c r="Z320" s="1332"/>
      <c r="AA320" s="1332"/>
      <c r="AB320" s="1332"/>
    </row>
    <row r="321">
      <c r="A321" s="1332"/>
      <c r="B321" s="1366"/>
      <c r="C321" s="1366"/>
      <c r="D321" s="1375"/>
      <c r="E321" s="1332"/>
      <c r="F321" s="1332"/>
      <c r="G321" s="1378"/>
      <c r="H321" s="1378"/>
      <c r="I321" s="1332"/>
      <c r="J321" s="1332"/>
      <c r="K321" s="1332"/>
      <c r="L321" s="1332"/>
      <c r="M321" s="1332"/>
      <c r="N321" s="1332"/>
      <c r="O321" s="1332"/>
      <c r="P321" s="1332"/>
      <c r="Q321" s="1332"/>
      <c r="R321" s="1332"/>
      <c r="S321" s="1332"/>
      <c r="T321" s="1332"/>
      <c r="U321" s="1332"/>
      <c r="V321" s="1332"/>
      <c r="W321" s="1332"/>
      <c r="X321" s="1332"/>
      <c r="Y321" s="1332"/>
      <c r="Z321" s="1332"/>
      <c r="AA321" s="1332"/>
      <c r="AB321" s="1332"/>
    </row>
    <row r="322">
      <c r="A322" s="1332"/>
      <c r="B322" s="1366"/>
      <c r="C322" s="1366"/>
      <c r="D322" s="1375"/>
      <c r="E322" s="1332"/>
      <c r="F322" s="1332"/>
      <c r="G322" s="1378"/>
      <c r="H322" s="1378"/>
      <c r="I322" s="1332"/>
      <c r="J322" s="1332"/>
      <c r="K322" s="1332"/>
      <c r="L322" s="1332"/>
      <c r="M322" s="1332"/>
      <c r="N322" s="1332"/>
      <c r="O322" s="1332"/>
      <c r="P322" s="1332"/>
      <c r="Q322" s="1332"/>
      <c r="R322" s="1332"/>
      <c r="S322" s="1332"/>
      <c r="T322" s="1332"/>
      <c r="U322" s="1332"/>
      <c r="V322" s="1332"/>
      <c r="W322" s="1332"/>
      <c r="X322" s="1332"/>
      <c r="Y322" s="1332"/>
      <c r="Z322" s="1332"/>
      <c r="AA322" s="1332"/>
      <c r="AB322" s="1332"/>
    </row>
    <row r="323">
      <c r="A323" s="1332"/>
      <c r="B323" s="1366"/>
      <c r="C323" s="1366"/>
      <c r="D323" s="1375"/>
      <c r="E323" s="1332"/>
      <c r="F323" s="1332"/>
      <c r="G323" s="1378"/>
      <c r="H323" s="1378"/>
      <c r="I323" s="1332"/>
      <c r="J323" s="1332"/>
      <c r="K323" s="1332"/>
      <c r="L323" s="1332"/>
      <c r="M323" s="1332"/>
      <c r="N323" s="1332"/>
      <c r="O323" s="1332"/>
      <c r="P323" s="1332"/>
      <c r="Q323" s="1332"/>
      <c r="R323" s="1332"/>
      <c r="S323" s="1332"/>
      <c r="T323" s="1332"/>
      <c r="U323" s="1332"/>
      <c r="V323" s="1332"/>
      <c r="W323" s="1332"/>
      <c r="X323" s="1332"/>
      <c r="Y323" s="1332"/>
      <c r="Z323" s="1332"/>
      <c r="AA323" s="1332"/>
      <c r="AB323" s="1332"/>
    </row>
    <row r="324">
      <c r="A324" s="1332"/>
      <c r="B324" s="1366"/>
      <c r="C324" s="1366"/>
      <c r="D324" s="1375"/>
      <c r="E324" s="1332"/>
      <c r="F324" s="1332"/>
      <c r="G324" s="1378"/>
      <c r="H324" s="1378"/>
      <c r="I324" s="1332"/>
      <c r="J324" s="1332"/>
      <c r="K324" s="1332"/>
      <c r="L324" s="1332"/>
      <c r="M324" s="1332"/>
      <c r="N324" s="1332"/>
      <c r="O324" s="1332"/>
      <c r="P324" s="1332"/>
      <c r="Q324" s="1332"/>
      <c r="R324" s="1332"/>
      <c r="S324" s="1332"/>
      <c r="T324" s="1332"/>
      <c r="U324" s="1332"/>
      <c r="V324" s="1332"/>
      <c r="W324" s="1332"/>
      <c r="X324" s="1332"/>
      <c r="Y324" s="1332"/>
      <c r="Z324" s="1332"/>
      <c r="AA324" s="1332"/>
      <c r="AB324" s="1332"/>
    </row>
    <row r="325">
      <c r="A325" s="1332"/>
      <c r="B325" s="1366"/>
      <c r="C325" s="1366"/>
      <c r="D325" s="1375"/>
      <c r="E325" s="1332"/>
      <c r="F325" s="1332"/>
      <c r="G325" s="1378"/>
      <c r="H325" s="1378"/>
      <c r="I325" s="1332"/>
      <c r="J325" s="1332"/>
      <c r="K325" s="1332"/>
      <c r="L325" s="1332"/>
      <c r="M325" s="1332"/>
      <c r="N325" s="1332"/>
      <c r="O325" s="1332"/>
      <c r="P325" s="1332"/>
      <c r="Q325" s="1332"/>
      <c r="R325" s="1332"/>
      <c r="S325" s="1332"/>
      <c r="T325" s="1332"/>
      <c r="U325" s="1332"/>
      <c r="V325" s="1332"/>
      <c r="W325" s="1332"/>
      <c r="X325" s="1332"/>
      <c r="Y325" s="1332"/>
      <c r="Z325" s="1332"/>
      <c r="AA325" s="1332"/>
      <c r="AB325" s="1332"/>
    </row>
    <row r="326">
      <c r="A326" s="1332"/>
      <c r="B326" s="1366"/>
      <c r="C326" s="1366"/>
      <c r="D326" s="1375"/>
      <c r="E326" s="1332"/>
      <c r="F326" s="1332"/>
      <c r="G326" s="1378"/>
      <c r="H326" s="1378"/>
      <c r="I326" s="1332"/>
      <c r="J326" s="1332"/>
      <c r="K326" s="1332"/>
      <c r="L326" s="1332"/>
      <c r="M326" s="1332"/>
      <c r="N326" s="1332"/>
      <c r="O326" s="1332"/>
      <c r="P326" s="1332"/>
      <c r="Q326" s="1332"/>
      <c r="R326" s="1332"/>
      <c r="S326" s="1332"/>
      <c r="T326" s="1332"/>
      <c r="U326" s="1332"/>
      <c r="V326" s="1332"/>
      <c r="W326" s="1332"/>
      <c r="X326" s="1332"/>
      <c r="Y326" s="1332"/>
      <c r="Z326" s="1332"/>
      <c r="AA326" s="1332"/>
      <c r="AB326" s="1332"/>
    </row>
    <row r="327">
      <c r="A327" s="1332"/>
      <c r="B327" s="1366"/>
      <c r="C327" s="1366"/>
      <c r="D327" s="1375"/>
      <c r="E327" s="1332"/>
      <c r="F327" s="1332"/>
      <c r="G327" s="1378"/>
      <c r="H327" s="1378"/>
      <c r="I327" s="1332"/>
      <c r="J327" s="1332"/>
      <c r="K327" s="1332"/>
      <c r="L327" s="1332"/>
      <c r="M327" s="1332"/>
      <c r="N327" s="1332"/>
      <c r="O327" s="1332"/>
      <c r="P327" s="1332"/>
      <c r="Q327" s="1332"/>
      <c r="R327" s="1332"/>
      <c r="S327" s="1332"/>
      <c r="T327" s="1332"/>
      <c r="U327" s="1332"/>
      <c r="V327" s="1332"/>
      <c r="W327" s="1332"/>
      <c r="X327" s="1332"/>
      <c r="Y327" s="1332"/>
      <c r="Z327" s="1332"/>
      <c r="AA327" s="1332"/>
      <c r="AB327" s="1332"/>
    </row>
    <row r="328">
      <c r="A328" s="1332"/>
      <c r="B328" s="1366"/>
      <c r="C328" s="1366"/>
      <c r="D328" s="1375"/>
      <c r="E328" s="1332"/>
      <c r="F328" s="1332"/>
      <c r="G328" s="1378"/>
      <c r="H328" s="1378"/>
      <c r="I328" s="1332"/>
      <c r="J328" s="1332"/>
      <c r="K328" s="1332"/>
      <c r="L328" s="1332"/>
      <c r="M328" s="1332"/>
      <c r="N328" s="1332"/>
      <c r="O328" s="1332"/>
      <c r="P328" s="1332"/>
      <c r="Q328" s="1332"/>
      <c r="R328" s="1332"/>
      <c r="S328" s="1332"/>
      <c r="T328" s="1332"/>
      <c r="U328" s="1332"/>
      <c r="V328" s="1332"/>
      <c r="W328" s="1332"/>
      <c r="X328" s="1332"/>
      <c r="Y328" s="1332"/>
      <c r="Z328" s="1332"/>
      <c r="AA328" s="1332"/>
      <c r="AB328" s="1332"/>
    </row>
    <row r="329">
      <c r="A329" s="1332"/>
      <c r="B329" s="1366"/>
      <c r="C329" s="1366"/>
      <c r="D329" s="1375"/>
      <c r="E329" s="1332"/>
      <c r="F329" s="1332"/>
      <c r="G329" s="1378"/>
      <c r="H329" s="1378"/>
      <c r="I329" s="1332"/>
      <c r="J329" s="1332"/>
      <c r="K329" s="1332"/>
      <c r="L329" s="1332"/>
      <c r="M329" s="1332"/>
      <c r="N329" s="1332"/>
      <c r="O329" s="1332"/>
      <c r="P329" s="1332"/>
      <c r="Q329" s="1332"/>
      <c r="R329" s="1332"/>
      <c r="S329" s="1332"/>
      <c r="T329" s="1332"/>
      <c r="U329" s="1332"/>
      <c r="V329" s="1332"/>
      <c r="W329" s="1332"/>
      <c r="X329" s="1332"/>
      <c r="Y329" s="1332"/>
      <c r="Z329" s="1332"/>
      <c r="AA329" s="1332"/>
      <c r="AB329" s="1332"/>
    </row>
    <row r="330">
      <c r="A330" s="1332"/>
      <c r="B330" s="1366"/>
      <c r="C330" s="1366"/>
      <c r="D330" s="1375"/>
      <c r="E330" s="1332"/>
      <c r="F330" s="1332"/>
      <c r="G330" s="1378"/>
      <c r="H330" s="1378"/>
      <c r="I330" s="1332"/>
      <c r="J330" s="1332"/>
      <c r="K330" s="1332"/>
      <c r="L330" s="1332"/>
      <c r="M330" s="1332"/>
      <c r="N330" s="1332"/>
      <c r="O330" s="1332"/>
      <c r="P330" s="1332"/>
      <c r="Q330" s="1332"/>
      <c r="R330" s="1332"/>
      <c r="S330" s="1332"/>
      <c r="T330" s="1332"/>
      <c r="U330" s="1332"/>
      <c r="V330" s="1332"/>
      <c r="W330" s="1332"/>
      <c r="X330" s="1332"/>
      <c r="Y330" s="1332"/>
      <c r="Z330" s="1332"/>
      <c r="AA330" s="1332"/>
      <c r="AB330" s="1332"/>
    </row>
    <row r="331">
      <c r="A331" s="1332"/>
      <c r="B331" s="1366"/>
      <c r="C331" s="1366"/>
      <c r="D331" s="1375"/>
      <c r="E331" s="1332"/>
      <c r="F331" s="1332"/>
      <c r="G331" s="1378"/>
      <c r="H331" s="1378"/>
      <c r="I331" s="1332"/>
      <c r="J331" s="1332"/>
      <c r="K331" s="1332"/>
      <c r="L331" s="1332"/>
      <c r="M331" s="1332"/>
      <c r="N331" s="1332"/>
      <c r="O331" s="1332"/>
      <c r="P331" s="1332"/>
      <c r="Q331" s="1332"/>
      <c r="R331" s="1332"/>
      <c r="S331" s="1332"/>
      <c r="T331" s="1332"/>
      <c r="U331" s="1332"/>
      <c r="V331" s="1332"/>
      <c r="W331" s="1332"/>
      <c r="X331" s="1332"/>
      <c r="Y331" s="1332"/>
      <c r="Z331" s="1332"/>
      <c r="AA331" s="1332"/>
      <c r="AB331" s="1332"/>
    </row>
    <row r="332">
      <c r="A332" s="1332"/>
      <c r="B332" s="1366"/>
      <c r="C332" s="1366"/>
      <c r="D332" s="1375"/>
      <c r="E332" s="1332"/>
      <c r="F332" s="1332"/>
      <c r="G332" s="1378"/>
      <c r="H332" s="1378"/>
      <c r="I332" s="1332"/>
      <c r="J332" s="1332"/>
      <c r="K332" s="1332"/>
      <c r="L332" s="1332"/>
      <c r="M332" s="1332"/>
      <c r="N332" s="1332"/>
      <c r="O332" s="1332"/>
      <c r="P332" s="1332"/>
      <c r="Q332" s="1332"/>
      <c r="R332" s="1332"/>
      <c r="S332" s="1332"/>
      <c r="T332" s="1332"/>
      <c r="U332" s="1332"/>
      <c r="V332" s="1332"/>
      <c r="W332" s="1332"/>
      <c r="X332" s="1332"/>
      <c r="Y332" s="1332"/>
      <c r="Z332" s="1332"/>
      <c r="AA332" s="1332"/>
      <c r="AB332" s="1332"/>
    </row>
    <row r="333">
      <c r="A333" s="1332"/>
      <c r="B333" s="1366"/>
      <c r="C333" s="1366"/>
      <c r="D333" s="1375"/>
      <c r="E333" s="1332"/>
      <c r="F333" s="1332"/>
      <c r="G333" s="1378"/>
      <c r="H333" s="1378"/>
      <c r="I333" s="1332"/>
      <c r="J333" s="1332"/>
      <c r="K333" s="1332"/>
      <c r="L333" s="1332"/>
      <c r="M333" s="1332"/>
      <c r="N333" s="1332"/>
      <c r="O333" s="1332"/>
      <c r="P333" s="1332"/>
      <c r="Q333" s="1332"/>
      <c r="R333" s="1332"/>
      <c r="S333" s="1332"/>
      <c r="T333" s="1332"/>
      <c r="U333" s="1332"/>
      <c r="V333" s="1332"/>
      <c r="W333" s="1332"/>
      <c r="X333" s="1332"/>
      <c r="Y333" s="1332"/>
      <c r="Z333" s="1332"/>
      <c r="AA333" s="1332"/>
      <c r="AB333" s="1332"/>
    </row>
    <row r="334">
      <c r="A334" s="1332"/>
      <c r="B334" s="1366"/>
      <c r="C334" s="1366"/>
      <c r="D334" s="1375"/>
      <c r="E334" s="1332"/>
      <c r="F334" s="1332"/>
      <c r="G334" s="1378"/>
      <c r="H334" s="1378"/>
      <c r="I334" s="1332"/>
      <c r="J334" s="1332"/>
      <c r="K334" s="1332"/>
      <c r="L334" s="1332"/>
      <c r="M334" s="1332"/>
      <c r="N334" s="1332"/>
      <c r="O334" s="1332"/>
      <c r="P334" s="1332"/>
      <c r="Q334" s="1332"/>
      <c r="R334" s="1332"/>
      <c r="S334" s="1332"/>
      <c r="T334" s="1332"/>
      <c r="U334" s="1332"/>
      <c r="V334" s="1332"/>
      <c r="W334" s="1332"/>
      <c r="X334" s="1332"/>
      <c r="Y334" s="1332"/>
      <c r="Z334" s="1332"/>
      <c r="AA334" s="1332"/>
      <c r="AB334" s="1332"/>
    </row>
    <row r="335">
      <c r="A335" s="1332"/>
      <c r="B335" s="1366"/>
      <c r="C335" s="1366"/>
      <c r="D335" s="1375"/>
      <c r="E335" s="1332"/>
      <c r="F335" s="1332"/>
      <c r="G335" s="1378"/>
      <c r="H335" s="1378"/>
      <c r="I335" s="1332"/>
      <c r="J335" s="1332"/>
      <c r="K335" s="1332"/>
      <c r="L335" s="1332"/>
      <c r="M335" s="1332"/>
      <c r="N335" s="1332"/>
      <c r="O335" s="1332"/>
      <c r="P335" s="1332"/>
      <c r="Q335" s="1332"/>
      <c r="R335" s="1332"/>
      <c r="S335" s="1332"/>
      <c r="T335" s="1332"/>
      <c r="U335" s="1332"/>
      <c r="V335" s="1332"/>
      <c r="W335" s="1332"/>
      <c r="X335" s="1332"/>
      <c r="Y335" s="1332"/>
      <c r="Z335" s="1332"/>
      <c r="AA335" s="1332"/>
      <c r="AB335" s="1332"/>
    </row>
    <row r="336">
      <c r="A336" s="1332"/>
      <c r="B336" s="1366"/>
      <c r="C336" s="1366"/>
      <c r="D336" s="1375"/>
      <c r="E336" s="1332"/>
      <c r="F336" s="1332"/>
      <c r="G336" s="1378"/>
      <c r="H336" s="1378"/>
      <c r="I336" s="1332"/>
      <c r="J336" s="1332"/>
      <c r="K336" s="1332"/>
      <c r="L336" s="1332"/>
      <c r="M336" s="1332"/>
      <c r="N336" s="1332"/>
      <c r="O336" s="1332"/>
      <c r="P336" s="1332"/>
      <c r="Q336" s="1332"/>
      <c r="R336" s="1332"/>
      <c r="S336" s="1332"/>
      <c r="T336" s="1332"/>
      <c r="U336" s="1332"/>
      <c r="V336" s="1332"/>
      <c r="W336" s="1332"/>
      <c r="X336" s="1332"/>
      <c r="Y336" s="1332"/>
      <c r="Z336" s="1332"/>
      <c r="AA336" s="1332"/>
      <c r="AB336" s="1332"/>
    </row>
    <row r="337">
      <c r="A337" s="1332"/>
      <c r="B337" s="1366"/>
      <c r="C337" s="1366"/>
      <c r="D337" s="1375"/>
      <c r="E337" s="1332"/>
      <c r="F337" s="1332"/>
      <c r="G337" s="1378"/>
      <c r="H337" s="1378"/>
      <c r="I337" s="1332"/>
      <c r="J337" s="1332"/>
      <c r="K337" s="1332"/>
      <c r="L337" s="1332"/>
      <c r="M337" s="1332"/>
      <c r="N337" s="1332"/>
      <c r="O337" s="1332"/>
      <c r="P337" s="1332"/>
      <c r="Q337" s="1332"/>
      <c r="R337" s="1332"/>
      <c r="S337" s="1332"/>
      <c r="T337" s="1332"/>
      <c r="U337" s="1332"/>
      <c r="V337" s="1332"/>
      <c r="W337" s="1332"/>
      <c r="X337" s="1332"/>
      <c r="Y337" s="1332"/>
      <c r="Z337" s="1332"/>
      <c r="AA337" s="1332"/>
      <c r="AB337" s="1332"/>
    </row>
    <row r="338">
      <c r="A338" s="1332"/>
      <c r="B338" s="1366"/>
      <c r="C338" s="1366"/>
      <c r="D338" s="1375"/>
      <c r="E338" s="1332"/>
      <c r="F338" s="1332"/>
      <c r="G338" s="1378"/>
      <c r="H338" s="1378"/>
      <c r="I338" s="1332"/>
      <c r="J338" s="1332"/>
      <c r="K338" s="1332"/>
      <c r="L338" s="1332"/>
      <c r="M338" s="1332"/>
      <c r="N338" s="1332"/>
      <c r="O338" s="1332"/>
      <c r="P338" s="1332"/>
      <c r="Q338" s="1332"/>
      <c r="R338" s="1332"/>
      <c r="S338" s="1332"/>
      <c r="T338" s="1332"/>
      <c r="U338" s="1332"/>
      <c r="V338" s="1332"/>
      <c r="W338" s="1332"/>
      <c r="X338" s="1332"/>
      <c r="Y338" s="1332"/>
      <c r="Z338" s="1332"/>
      <c r="AA338" s="1332"/>
      <c r="AB338" s="1332"/>
    </row>
    <row r="339">
      <c r="A339" s="1332"/>
      <c r="B339" s="1366"/>
      <c r="C339" s="1366"/>
      <c r="D339" s="1375"/>
      <c r="E339" s="1332"/>
      <c r="F339" s="1332"/>
      <c r="G339" s="1378"/>
      <c r="H339" s="1378"/>
      <c r="I339" s="1332"/>
      <c r="J339" s="1332"/>
      <c r="K339" s="1332"/>
      <c r="L339" s="1332"/>
      <c r="M339" s="1332"/>
      <c r="N339" s="1332"/>
      <c r="O339" s="1332"/>
      <c r="P339" s="1332"/>
      <c r="Q339" s="1332"/>
      <c r="R339" s="1332"/>
      <c r="S339" s="1332"/>
      <c r="T339" s="1332"/>
      <c r="U339" s="1332"/>
      <c r="V339" s="1332"/>
      <c r="W339" s="1332"/>
      <c r="X339" s="1332"/>
      <c r="Y339" s="1332"/>
      <c r="Z339" s="1332"/>
      <c r="AA339" s="1332"/>
      <c r="AB339" s="1332"/>
    </row>
    <row r="340">
      <c r="A340" s="1332"/>
      <c r="B340" s="1366"/>
      <c r="C340" s="1366"/>
      <c r="D340" s="1375"/>
      <c r="E340" s="1332"/>
      <c r="F340" s="1332"/>
      <c r="G340" s="1378"/>
      <c r="H340" s="1378"/>
      <c r="I340" s="1332"/>
      <c r="J340" s="1332"/>
      <c r="K340" s="1332"/>
      <c r="L340" s="1332"/>
      <c r="M340" s="1332"/>
      <c r="N340" s="1332"/>
      <c r="O340" s="1332"/>
      <c r="P340" s="1332"/>
      <c r="Q340" s="1332"/>
      <c r="R340" s="1332"/>
      <c r="S340" s="1332"/>
      <c r="T340" s="1332"/>
      <c r="U340" s="1332"/>
      <c r="V340" s="1332"/>
      <c r="W340" s="1332"/>
      <c r="X340" s="1332"/>
      <c r="Y340" s="1332"/>
      <c r="Z340" s="1332"/>
      <c r="AA340" s="1332"/>
      <c r="AB340" s="1332"/>
    </row>
    <row r="341">
      <c r="A341" s="1332"/>
      <c r="B341" s="1366"/>
      <c r="C341" s="1366"/>
      <c r="D341" s="1375"/>
      <c r="E341" s="1332"/>
      <c r="F341" s="1332"/>
      <c r="G341" s="1378"/>
      <c r="H341" s="1378"/>
      <c r="I341" s="1332"/>
      <c r="J341" s="1332"/>
      <c r="K341" s="1332"/>
      <c r="L341" s="1332"/>
      <c r="M341" s="1332"/>
      <c r="N341" s="1332"/>
      <c r="O341" s="1332"/>
      <c r="P341" s="1332"/>
      <c r="Q341" s="1332"/>
      <c r="R341" s="1332"/>
      <c r="S341" s="1332"/>
      <c r="T341" s="1332"/>
      <c r="U341" s="1332"/>
      <c r="V341" s="1332"/>
      <c r="W341" s="1332"/>
      <c r="X341" s="1332"/>
      <c r="Y341" s="1332"/>
      <c r="Z341" s="1332"/>
      <c r="AA341" s="1332"/>
      <c r="AB341" s="1332"/>
    </row>
    <row r="342">
      <c r="A342" s="1332"/>
      <c r="B342" s="1366"/>
      <c r="C342" s="1366"/>
      <c r="D342" s="1375"/>
      <c r="E342" s="1332"/>
      <c r="F342" s="1332"/>
      <c r="G342" s="1378"/>
      <c r="H342" s="1378"/>
      <c r="I342" s="1332"/>
      <c r="J342" s="1332"/>
      <c r="K342" s="1332"/>
      <c r="L342" s="1332"/>
      <c r="M342" s="1332"/>
      <c r="N342" s="1332"/>
      <c r="O342" s="1332"/>
      <c r="P342" s="1332"/>
      <c r="Q342" s="1332"/>
      <c r="R342" s="1332"/>
      <c r="S342" s="1332"/>
      <c r="T342" s="1332"/>
      <c r="U342" s="1332"/>
      <c r="V342" s="1332"/>
      <c r="W342" s="1332"/>
      <c r="X342" s="1332"/>
      <c r="Y342" s="1332"/>
      <c r="Z342" s="1332"/>
      <c r="AA342" s="1332"/>
      <c r="AB342" s="1332"/>
    </row>
    <row r="343">
      <c r="A343" s="1332"/>
      <c r="B343" s="1366"/>
      <c r="C343" s="1366"/>
      <c r="D343" s="1375"/>
      <c r="E343" s="1332"/>
      <c r="F343" s="1332"/>
      <c r="G343" s="1378"/>
      <c r="H343" s="1378"/>
      <c r="I343" s="1332"/>
      <c r="J343" s="1332"/>
      <c r="K343" s="1332"/>
      <c r="L343" s="1332"/>
      <c r="M343" s="1332"/>
      <c r="N343" s="1332"/>
      <c r="O343" s="1332"/>
      <c r="P343" s="1332"/>
      <c r="Q343" s="1332"/>
      <c r="R343" s="1332"/>
      <c r="S343" s="1332"/>
      <c r="T343" s="1332"/>
      <c r="U343" s="1332"/>
      <c r="V343" s="1332"/>
      <c r="W343" s="1332"/>
      <c r="X343" s="1332"/>
      <c r="Y343" s="1332"/>
      <c r="Z343" s="1332"/>
      <c r="AA343" s="1332"/>
      <c r="AB343" s="1332"/>
    </row>
    <row r="344">
      <c r="A344" s="1332"/>
      <c r="B344" s="1366"/>
      <c r="C344" s="1366"/>
      <c r="D344" s="1375"/>
      <c r="E344" s="1332"/>
      <c r="F344" s="1332"/>
      <c r="G344" s="1378"/>
      <c r="H344" s="1378"/>
      <c r="I344" s="1332"/>
      <c r="J344" s="1332"/>
      <c r="K344" s="1332"/>
      <c r="L344" s="1332"/>
      <c r="M344" s="1332"/>
      <c r="N344" s="1332"/>
      <c r="O344" s="1332"/>
      <c r="P344" s="1332"/>
      <c r="Q344" s="1332"/>
      <c r="R344" s="1332"/>
      <c r="S344" s="1332"/>
      <c r="T344" s="1332"/>
      <c r="U344" s="1332"/>
      <c r="V344" s="1332"/>
      <c r="W344" s="1332"/>
      <c r="X344" s="1332"/>
      <c r="Y344" s="1332"/>
      <c r="Z344" s="1332"/>
      <c r="AA344" s="1332"/>
      <c r="AB344" s="1332"/>
    </row>
    <row r="345">
      <c r="A345" s="1332"/>
      <c r="B345" s="1366"/>
      <c r="C345" s="1366"/>
      <c r="D345" s="1375"/>
      <c r="E345" s="1332"/>
      <c r="F345" s="1332"/>
      <c r="G345" s="1378"/>
      <c r="H345" s="1378"/>
      <c r="I345" s="1332"/>
      <c r="J345" s="1332"/>
      <c r="K345" s="1332"/>
      <c r="L345" s="1332"/>
      <c r="M345" s="1332"/>
      <c r="N345" s="1332"/>
      <c r="O345" s="1332"/>
      <c r="P345" s="1332"/>
      <c r="Q345" s="1332"/>
      <c r="R345" s="1332"/>
      <c r="S345" s="1332"/>
      <c r="T345" s="1332"/>
      <c r="U345" s="1332"/>
      <c r="V345" s="1332"/>
      <c r="W345" s="1332"/>
      <c r="X345" s="1332"/>
      <c r="Y345" s="1332"/>
      <c r="Z345" s="1332"/>
      <c r="AA345" s="1332"/>
      <c r="AB345" s="1332"/>
    </row>
    <row r="346">
      <c r="A346" s="1332"/>
      <c r="B346" s="1366"/>
      <c r="C346" s="1366"/>
      <c r="D346" s="1375"/>
      <c r="E346" s="1332"/>
      <c r="F346" s="1332"/>
      <c r="G346" s="1378"/>
      <c r="H346" s="1378"/>
      <c r="I346" s="1332"/>
      <c r="J346" s="1332"/>
      <c r="K346" s="1332"/>
      <c r="L346" s="1332"/>
      <c r="M346" s="1332"/>
      <c r="N346" s="1332"/>
      <c r="O346" s="1332"/>
      <c r="P346" s="1332"/>
      <c r="Q346" s="1332"/>
      <c r="R346" s="1332"/>
      <c r="S346" s="1332"/>
      <c r="T346" s="1332"/>
      <c r="U346" s="1332"/>
      <c r="V346" s="1332"/>
      <c r="W346" s="1332"/>
      <c r="X346" s="1332"/>
      <c r="Y346" s="1332"/>
      <c r="Z346" s="1332"/>
      <c r="AA346" s="1332"/>
      <c r="AB346" s="1332"/>
    </row>
    <row r="347">
      <c r="A347" s="1332"/>
      <c r="B347" s="1366"/>
      <c r="C347" s="1366"/>
      <c r="D347" s="1375"/>
      <c r="E347" s="1332"/>
      <c r="F347" s="1332"/>
      <c r="G347" s="1378"/>
      <c r="H347" s="1378"/>
      <c r="I347" s="1332"/>
      <c r="J347" s="1332"/>
      <c r="K347" s="1332"/>
      <c r="L347" s="1332"/>
      <c r="M347" s="1332"/>
      <c r="N347" s="1332"/>
      <c r="O347" s="1332"/>
      <c r="P347" s="1332"/>
      <c r="Q347" s="1332"/>
      <c r="R347" s="1332"/>
      <c r="S347" s="1332"/>
      <c r="T347" s="1332"/>
      <c r="U347" s="1332"/>
      <c r="V347" s="1332"/>
      <c r="W347" s="1332"/>
      <c r="X347" s="1332"/>
      <c r="Y347" s="1332"/>
      <c r="Z347" s="1332"/>
      <c r="AA347" s="1332"/>
      <c r="AB347" s="1332"/>
    </row>
    <row r="348">
      <c r="A348" s="1332"/>
      <c r="B348" s="1366"/>
      <c r="C348" s="1366"/>
      <c r="D348" s="1375"/>
      <c r="E348" s="1332"/>
      <c r="F348" s="1332"/>
      <c r="G348" s="1378"/>
      <c r="H348" s="1378"/>
      <c r="I348" s="1332"/>
      <c r="J348" s="1332"/>
      <c r="K348" s="1332"/>
      <c r="L348" s="1332"/>
      <c r="M348" s="1332"/>
      <c r="N348" s="1332"/>
      <c r="O348" s="1332"/>
      <c r="P348" s="1332"/>
      <c r="Q348" s="1332"/>
      <c r="R348" s="1332"/>
      <c r="S348" s="1332"/>
      <c r="T348" s="1332"/>
      <c r="U348" s="1332"/>
      <c r="V348" s="1332"/>
      <c r="W348" s="1332"/>
      <c r="X348" s="1332"/>
      <c r="Y348" s="1332"/>
      <c r="Z348" s="1332"/>
      <c r="AA348" s="1332"/>
      <c r="AB348" s="1332"/>
    </row>
    <row r="349">
      <c r="A349" s="1332"/>
      <c r="B349" s="1366"/>
      <c r="C349" s="1366"/>
      <c r="D349" s="1375"/>
      <c r="E349" s="1332"/>
      <c r="F349" s="1332"/>
      <c r="G349" s="1378"/>
      <c r="H349" s="1378"/>
      <c r="I349" s="1332"/>
      <c r="J349" s="1332"/>
      <c r="K349" s="1332"/>
      <c r="L349" s="1332"/>
      <c r="M349" s="1332"/>
      <c r="N349" s="1332"/>
      <c r="O349" s="1332"/>
      <c r="P349" s="1332"/>
      <c r="Q349" s="1332"/>
      <c r="R349" s="1332"/>
      <c r="S349" s="1332"/>
      <c r="T349" s="1332"/>
      <c r="U349" s="1332"/>
      <c r="V349" s="1332"/>
      <c r="W349" s="1332"/>
      <c r="X349" s="1332"/>
      <c r="Y349" s="1332"/>
      <c r="Z349" s="1332"/>
      <c r="AA349" s="1332"/>
      <c r="AB349" s="1332"/>
    </row>
    <row r="350">
      <c r="A350" s="1332"/>
      <c r="B350" s="1366"/>
      <c r="C350" s="1366"/>
      <c r="D350" s="1375"/>
      <c r="E350" s="1332"/>
      <c r="F350" s="1332"/>
      <c r="G350" s="1378"/>
      <c r="H350" s="1378"/>
      <c r="I350" s="1332"/>
      <c r="J350" s="1332"/>
      <c r="K350" s="1332"/>
      <c r="L350" s="1332"/>
      <c r="M350" s="1332"/>
      <c r="N350" s="1332"/>
      <c r="O350" s="1332"/>
      <c r="P350" s="1332"/>
      <c r="Q350" s="1332"/>
      <c r="R350" s="1332"/>
      <c r="S350" s="1332"/>
      <c r="T350" s="1332"/>
      <c r="U350" s="1332"/>
      <c r="V350" s="1332"/>
      <c r="W350" s="1332"/>
      <c r="X350" s="1332"/>
      <c r="Y350" s="1332"/>
      <c r="Z350" s="1332"/>
      <c r="AA350" s="1332"/>
      <c r="AB350" s="1332"/>
    </row>
    <row r="351">
      <c r="A351" s="1332"/>
      <c r="B351" s="1366"/>
      <c r="C351" s="1366"/>
      <c r="D351" s="1375"/>
      <c r="E351" s="1332"/>
      <c r="F351" s="1332"/>
      <c r="G351" s="1378"/>
      <c r="H351" s="1378"/>
      <c r="I351" s="1332"/>
      <c r="J351" s="1332"/>
      <c r="K351" s="1332"/>
      <c r="L351" s="1332"/>
      <c r="M351" s="1332"/>
      <c r="N351" s="1332"/>
      <c r="O351" s="1332"/>
      <c r="P351" s="1332"/>
      <c r="Q351" s="1332"/>
      <c r="R351" s="1332"/>
      <c r="S351" s="1332"/>
      <c r="T351" s="1332"/>
      <c r="U351" s="1332"/>
      <c r="V351" s="1332"/>
      <c r="W351" s="1332"/>
      <c r="X351" s="1332"/>
      <c r="Y351" s="1332"/>
      <c r="Z351" s="1332"/>
      <c r="AA351" s="1332"/>
      <c r="AB351" s="1332"/>
    </row>
    <row r="352">
      <c r="A352" s="1332"/>
      <c r="B352" s="1366"/>
      <c r="C352" s="1366"/>
      <c r="D352" s="1375"/>
      <c r="E352" s="1332"/>
      <c r="F352" s="1332"/>
      <c r="G352" s="1378"/>
      <c r="H352" s="1378"/>
      <c r="I352" s="1332"/>
      <c r="J352" s="1332"/>
      <c r="K352" s="1332"/>
      <c r="L352" s="1332"/>
      <c r="M352" s="1332"/>
      <c r="N352" s="1332"/>
      <c r="O352" s="1332"/>
      <c r="P352" s="1332"/>
      <c r="Q352" s="1332"/>
      <c r="R352" s="1332"/>
      <c r="S352" s="1332"/>
      <c r="T352" s="1332"/>
      <c r="U352" s="1332"/>
      <c r="V352" s="1332"/>
      <c r="W352" s="1332"/>
      <c r="X352" s="1332"/>
      <c r="Y352" s="1332"/>
      <c r="Z352" s="1332"/>
      <c r="AA352" s="1332"/>
      <c r="AB352" s="1332"/>
    </row>
    <row r="353">
      <c r="A353" s="1332"/>
      <c r="B353" s="1366"/>
      <c r="C353" s="1366"/>
      <c r="D353" s="1375"/>
      <c r="E353" s="1332"/>
      <c r="F353" s="1332"/>
      <c r="G353" s="1378"/>
      <c r="H353" s="1378"/>
      <c r="I353" s="1332"/>
      <c r="J353" s="1332"/>
      <c r="K353" s="1332"/>
      <c r="L353" s="1332"/>
      <c r="M353" s="1332"/>
      <c r="N353" s="1332"/>
      <c r="O353" s="1332"/>
      <c r="P353" s="1332"/>
      <c r="Q353" s="1332"/>
      <c r="R353" s="1332"/>
      <c r="S353" s="1332"/>
      <c r="T353" s="1332"/>
      <c r="U353" s="1332"/>
      <c r="V353" s="1332"/>
      <c r="W353" s="1332"/>
      <c r="X353" s="1332"/>
      <c r="Y353" s="1332"/>
      <c r="Z353" s="1332"/>
      <c r="AA353" s="1332"/>
      <c r="AB353" s="1332"/>
    </row>
    <row r="354">
      <c r="A354" s="1332"/>
      <c r="B354" s="1366"/>
      <c r="C354" s="1366"/>
      <c r="D354" s="1375"/>
      <c r="E354" s="1332"/>
      <c r="F354" s="1332"/>
      <c r="G354" s="1378"/>
      <c r="H354" s="1378"/>
      <c r="I354" s="1332"/>
      <c r="J354" s="1332"/>
      <c r="K354" s="1332"/>
      <c r="L354" s="1332"/>
      <c r="M354" s="1332"/>
      <c r="N354" s="1332"/>
      <c r="O354" s="1332"/>
      <c r="P354" s="1332"/>
      <c r="Q354" s="1332"/>
      <c r="R354" s="1332"/>
      <c r="S354" s="1332"/>
      <c r="T354" s="1332"/>
      <c r="U354" s="1332"/>
      <c r="V354" s="1332"/>
      <c r="W354" s="1332"/>
      <c r="X354" s="1332"/>
      <c r="Y354" s="1332"/>
      <c r="Z354" s="1332"/>
      <c r="AA354" s="1332"/>
      <c r="AB354" s="1332"/>
    </row>
    <row r="355">
      <c r="A355" s="1332"/>
      <c r="B355" s="1366"/>
      <c r="C355" s="1366"/>
      <c r="D355" s="1375"/>
      <c r="E355" s="1332"/>
      <c r="F355" s="1332"/>
      <c r="G355" s="1378"/>
      <c r="H355" s="1378"/>
      <c r="I355" s="1332"/>
      <c r="J355" s="1332"/>
      <c r="K355" s="1332"/>
      <c r="L355" s="1332"/>
      <c r="M355" s="1332"/>
      <c r="N355" s="1332"/>
      <c r="O355" s="1332"/>
      <c r="P355" s="1332"/>
      <c r="Q355" s="1332"/>
      <c r="R355" s="1332"/>
      <c r="S355" s="1332"/>
      <c r="T355" s="1332"/>
      <c r="U355" s="1332"/>
      <c r="V355" s="1332"/>
      <c r="W355" s="1332"/>
      <c r="X355" s="1332"/>
      <c r="Y355" s="1332"/>
      <c r="Z355" s="1332"/>
      <c r="AA355" s="1332"/>
      <c r="AB355" s="1332"/>
    </row>
    <row r="356">
      <c r="A356" s="1332"/>
      <c r="B356" s="1366"/>
      <c r="C356" s="1366"/>
      <c r="D356" s="1375"/>
      <c r="E356" s="1332"/>
      <c r="F356" s="1332"/>
      <c r="G356" s="1378"/>
      <c r="H356" s="1378"/>
      <c r="I356" s="1332"/>
      <c r="J356" s="1332"/>
      <c r="K356" s="1332"/>
      <c r="L356" s="1332"/>
      <c r="M356" s="1332"/>
      <c r="N356" s="1332"/>
      <c r="O356" s="1332"/>
      <c r="P356" s="1332"/>
      <c r="Q356" s="1332"/>
      <c r="R356" s="1332"/>
      <c r="S356" s="1332"/>
      <c r="T356" s="1332"/>
      <c r="U356" s="1332"/>
      <c r="V356" s="1332"/>
      <c r="W356" s="1332"/>
      <c r="X356" s="1332"/>
      <c r="Y356" s="1332"/>
      <c r="Z356" s="1332"/>
      <c r="AA356" s="1332"/>
      <c r="AB356" s="1332"/>
    </row>
    <row r="357">
      <c r="A357" s="1332"/>
      <c r="B357" s="1366"/>
      <c r="C357" s="1366"/>
      <c r="D357" s="1375"/>
      <c r="E357" s="1332"/>
      <c r="F357" s="1332"/>
      <c r="G357" s="1378"/>
      <c r="H357" s="1378"/>
      <c r="I357" s="1332"/>
      <c r="J357" s="1332"/>
      <c r="K357" s="1332"/>
      <c r="L357" s="1332"/>
      <c r="M357" s="1332"/>
      <c r="N357" s="1332"/>
      <c r="O357" s="1332"/>
      <c r="P357" s="1332"/>
      <c r="Q357" s="1332"/>
      <c r="R357" s="1332"/>
      <c r="S357" s="1332"/>
      <c r="T357" s="1332"/>
      <c r="U357" s="1332"/>
      <c r="V357" s="1332"/>
      <c r="W357" s="1332"/>
      <c r="X357" s="1332"/>
      <c r="Y357" s="1332"/>
      <c r="Z357" s="1332"/>
      <c r="AA357" s="1332"/>
      <c r="AB357" s="1332"/>
    </row>
    <row r="358">
      <c r="A358" s="1332"/>
      <c r="B358" s="1366"/>
      <c r="C358" s="1366"/>
      <c r="D358" s="1375"/>
      <c r="E358" s="1332"/>
      <c r="F358" s="1332"/>
      <c r="G358" s="1378"/>
      <c r="H358" s="1378"/>
      <c r="I358" s="1332"/>
      <c r="J358" s="1332"/>
      <c r="K358" s="1332"/>
      <c r="L358" s="1332"/>
      <c r="M358" s="1332"/>
      <c r="N358" s="1332"/>
      <c r="O358" s="1332"/>
      <c r="P358" s="1332"/>
      <c r="Q358" s="1332"/>
      <c r="R358" s="1332"/>
      <c r="S358" s="1332"/>
      <c r="T358" s="1332"/>
      <c r="U358" s="1332"/>
      <c r="V358" s="1332"/>
      <c r="W358" s="1332"/>
      <c r="X358" s="1332"/>
      <c r="Y358" s="1332"/>
      <c r="Z358" s="1332"/>
      <c r="AA358" s="1332"/>
      <c r="AB358" s="1332"/>
    </row>
    <row r="359">
      <c r="A359" s="1332"/>
      <c r="B359" s="1366"/>
      <c r="C359" s="1366"/>
      <c r="D359" s="1375"/>
      <c r="E359" s="1332"/>
      <c r="F359" s="1332"/>
      <c r="G359" s="1378"/>
      <c r="H359" s="1378"/>
      <c r="I359" s="1332"/>
      <c r="J359" s="1332"/>
      <c r="K359" s="1332"/>
      <c r="L359" s="1332"/>
      <c r="M359" s="1332"/>
      <c r="N359" s="1332"/>
      <c r="O359" s="1332"/>
      <c r="P359" s="1332"/>
      <c r="Q359" s="1332"/>
      <c r="R359" s="1332"/>
      <c r="S359" s="1332"/>
      <c r="T359" s="1332"/>
      <c r="U359" s="1332"/>
      <c r="V359" s="1332"/>
      <c r="W359" s="1332"/>
      <c r="X359" s="1332"/>
      <c r="Y359" s="1332"/>
      <c r="Z359" s="1332"/>
      <c r="AA359" s="1332"/>
      <c r="AB359" s="1332"/>
    </row>
    <row r="360">
      <c r="A360" s="1332"/>
      <c r="B360" s="1366"/>
      <c r="C360" s="1366"/>
      <c r="D360" s="1375"/>
      <c r="E360" s="1332"/>
      <c r="F360" s="1332"/>
      <c r="G360" s="1378"/>
      <c r="H360" s="1378"/>
      <c r="I360" s="1332"/>
      <c r="J360" s="1332"/>
      <c r="K360" s="1332"/>
      <c r="L360" s="1332"/>
      <c r="M360" s="1332"/>
      <c r="N360" s="1332"/>
      <c r="O360" s="1332"/>
      <c r="P360" s="1332"/>
      <c r="Q360" s="1332"/>
      <c r="R360" s="1332"/>
      <c r="S360" s="1332"/>
      <c r="T360" s="1332"/>
      <c r="U360" s="1332"/>
      <c r="V360" s="1332"/>
      <c r="W360" s="1332"/>
      <c r="X360" s="1332"/>
      <c r="Y360" s="1332"/>
      <c r="Z360" s="1332"/>
      <c r="AA360" s="1332"/>
      <c r="AB360" s="1332"/>
    </row>
    <row r="361">
      <c r="A361" s="1332"/>
      <c r="B361" s="1366"/>
      <c r="C361" s="1366"/>
      <c r="D361" s="1375"/>
      <c r="E361" s="1332"/>
      <c r="F361" s="1332"/>
      <c r="G361" s="1378"/>
      <c r="H361" s="1378"/>
      <c r="I361" s="1332"/>
      <c r="J361" s="1332"/>
      <c r="K361" s="1332"/>
      <c r="L361" s="1332"/>
      <c r="M361" s="1332"/>
      <c r="N361" s="1332"/>
      <c r="O361" s="1332"/>
      <c r="P361" s="1332"/>
      <c r="Q361" s="1332"/>
      <c r="R361" s="1332"/>
      <c r="S361" s="1332"/>
      <c r="T361" s="1332"/>
      <c r="U361" s="1332"/>
      <c r="V361" s="1332"/>
      <c r="W361" s="1332"/>
      <c r="X361" s="1332"/>
      <c r="Y361" s="1332"/>
      <c r="Z361" s="1332"/>
      <c r="AA361" s="1332"/>
      <c r="AB361" s="1332"/>
    </row>
    <row r="362">
      <c r="A362" s="1332"/>
      <c r="B362" s="1366"/>
      <c r="C362" s="1366"/>
      <c r="D362" s="1375"/>
      <c r="E362" s="1332"/>
      <c r="F362" s="1332"/>
      <c r="G362" s="1378"/>
      <c r="H362" s="1378"/>
      <c r="I362" s="1332"/>
      <c r="J362" s="1332"/>
      <c r="K362" s="1332"/>
      <c r="L362" s="1332"/>
      <c r="M362" s="1332"/>
      <c r="N362" s="1332"/>
      <c r="O362" s="1332"/>
      <c r="P362" s="1332"/>
      <c r="Q362" s="1332"/>
      <c r="R362" s="1332"/>
      <c r="S362" s="1332"/>
      <c r="T362" s="1332"/>
      <c r="U362" s="1332"/>
      <c r="V362" s="1332"/>
      <c r="W362" s="1332"/>
      <c r="X362" s="1332"/>
      <c r="Y362" s="1332"/>
      <c r="Z362" s="1332"/>
      <c r="AA362" s="1332"/>
      <c r="AB362" s="1332"/>
    </row>
    <row r="363">
      <c r="A363" s="1332"/>
      <c r="B363" s="1366"/>
      <c r="C363" s="1366"/>
      <c r="D363" s="1375"/>
      <c r="E363" s="1332"/>
      <c r="F363" s="1332"/>
      <c r="G363" s="1378"/>
      <c r="H363" s="1378"/>
      <c r="I363" s="1332"/>
      <c r="J363" s="1332"/>
      <c r="K363" s="1332"/>
      <c r="L363" s="1332"/>
      <c r="M363" s="1332"/>
      <c r="N363" s="1332"/>
      <c r="O363" s="1332"/>
      <c r="P363" s="1332"/>
      <c r="Q363" s="1332"/>
      <c r="R363" s="1332"/>
      <c r="S363" s="1332"/>
      <c r="T363" s="1332"/>
      <c r="U363" s="1332"/>
      <c r="V363" s="1332"/>
      <c r="W363" s="1332"/>
      <c r="X363" s="1332"/>
      <c r="Y363" s="1332"/>
      <c r="Z363" s="1332"/>
      <c r="AA363" s="1332"/>
      <c r="AB363" s="1332"/>
    </row>
    <row r="364">
      <c r="A364" s="1332"/>
      <c r="B364" s="1366"/>
      <c r="C364" s="1366"/>
      <c r="D364" s="1375"/>
      <c r="E364" s="1332"/>
      <c r="F364" s="1332"/>
      <c r="G364" s="1378"/>
      <c r="H364" s="1378"/>
      <c r="I364" s="1332"/>
      <c r="J364" s="1332"/>
      <c r="K364" s="1332"/>
      <c r="L364" s="1332"/>
      <c r="M364" s="1332"/>
      <c r="N364" s="1332"/>
      <c r="O364" s="1332"/>
      <c r="P364" s="1332"/>
      <c r="Q364" s="1332"/>
      <c r="R364" s="1332"/>
      <c r="S364" s="1332"/>
      <c r="T364" s="1332"/>
      <c r="U364" s="1332"/>
      <c r="V364" s="1332"/>
      <c r="W364" s="1332"/>
      <c r="X364" s="1332"/>
      <c r="Y364" s="1332"/>
      <c r="Z364" s="1332"/>
      <c r="AA364" s="1332"/>
      <c r="AB364" s="1332"/>
    </row>
    <row r="365">
      <c r="A365" s="1332"/>
      <c r="B365" s="1366"/>
      <c r="C365" s="1366"/>
      <c r="D365" s="1375"/>
      <c r="E365" s="1332"/>
      <c r="F365" s="1332"/>
      <c r="G365" s="1378"/>
      <c r="H365" s="1378"/>
      <c r="I365" s="1332"/>
      <c r="J365" s="1332"/>
      <c r="K365" s="1332"/>
      <c r="L365" s="1332"/>
      <c r="M365" s="1332"/>
      <c r="N365" s="1332"/>
      <c r="O365" s="1332"/>
      <c r="P365" s="1332"/>
      <c r="Q365" s="1332"/>
      <c r="R365" s="1332"/>
      <c r="S365" s="1332"/>
      <c r="T365" s="1332"/>
      <c r="U365" s="1332"/>
      <c r="V365" s="1332"/>
      <c r="W365" s="1332"/>
      <c r="X365" s="1332"/>
      <c r="Y365" s="1332"/>
      <c r="Z365" s="1332"/>
      <c r="AA365" s="1332"/>
      <c r="AB365" s="1332"/>
    </row>
    <row r="366">
      <c r="A366" s="1332"/>
      <c r="B366" s="1366"/>
      <c r="C366" s="1366"/>
      <c r="D366" s="1375"/>
      <c r="E366" s="1332"/>
      <c r="F366" s="1332"/>
      <c r="G366" s="1378"/>
      <c r="H366" s="1378"/>
      <c r="I366" s="1332"/>
      <c r="J366" s="1332"/>
      <c r="K366" s="1332"/>
      <c r="L366" s="1332"/>
      <c r="M366" s="1332"/>
      <c r="N366" s="1332"/>
      <c r="O366" s="1332"/>
      <c r="P366" s="1332"/>
      <c r="Q366" s="1332"/>
      <c r="R366" s="1332"/>
      <c r="S366" s="1332"/>
      <c r="T366" s="1332"/>
      <c r="U366" s="1332"/>
      <c r="V366" s="1332"/>
      <c r="W366" s="1332"/>
      <c r="X366" s="1332"/>
      <c r="Y366" s="1332"/>
      <c r="Z366" s="1332"/>
      <c r="AA366" s="1332"/>
      <c r="AB366" s="1332"/>
    </row>
    <row r="367">
      <c r="A367" s="1332"/>
      <c r="B367" s="1366"/>
      <c r="C367" s="1366"/>
      <c r="D367" s="1375"/>
      <c r="E367" s="1332"/>
      <c r="F367" s="1332"/>
      <c r="G367" s="1378"/>
      <c r="H367" s="1378"/>
      <c r="I367" s="1332"/>
      <c r="J367" s="1332"/>
      <c r="K367" s="1332"/>
      <c r="L367" s="1332"/>
      <c r="M367" s="1332"/>
      <c r="N367" s="1332"/>
      <c r="O367" s="1332"/>
      <c r="P367" s="1332"/>
      <c r="Q367" s="1332"/>
      <c r="R367" s="1332"/>
      <c r="S367" s="1332"/>
      <c r="T367" s="1332"/>
      <c r="U367" s="1332"/>
      <c r="V367" s="1332"/>
      <c r="W367" s="1332"/>
      <c r="X367" s="1332"/>
      <c r="Y367" s="1332"/>
      <c r="Z367" s="1332"/>
      <c r="AA367" s="1332"/>
      <c r="AB367" s="1332"/>
    </row>
    <row r="368">
      <c r="A368" s="1332"/>
      <c r="B368" s="1366"/>
      <c r="C368" s="1366"/>
      <c r="D368" s="1375"/>
      <c r="E368" s="1332"/>
      <c r="F368" s="1332"/>
      <c r="G368" s="1378"/>
      <c r="H368" s="1378"/>
      <c r="I368" s="1332"/>
      <c r="J368" s="1332"/>
      <c r="K368" s="1332"/>
      <c r="L368" s="1332"/>
      <c r="M368" s="1332"/>
      <c r="N368" s="1332"/>
      <c r="O368" s="1332"/>
      <c r="P368" s="1332"/>
      <c r="Q368" s="1332"/>
      <c r="R368" s="1332"/>
      <c r="S368" s="1332"/>
      <c r="T368" s="1332"/>
      <c r="U368" s="1332"/>
      <c r="V368" s="1332"/>
      <c r="W368" s="1332"/>
      <c r="X368" s="1332"/>
      <c r="Y368" s="1332"/>
      <c r="Z368" s="1332"/>
      <c r="AA368" s="1332"/>
      <c r="AB368" s="1332"/>
    </row>
    <row r="369">
      <c r="A369" s="1332"/>
      <c r="B369" s="1366"/>
      <c r="C369" s="1366"/>
      <c r="D369" s="1375"/>
      <c r="E369" s="1332"/>
      <c r="F369" s="1332"/>
      <c r="G369" s="1378"/>
      <c r="H369" s="1378"/>
      <c r="I369" s="1332"/>
      <c r="J369" s="1332"/>
      <c r="K369" s="1332"/>
      <c r="L369" s="1332"/>
      <c r="M369" s="1332"/>
      <c r="N369" s="1332"/>
      <c r="O369" s="1332"/>
      <c r="P369" s="1332"/>
      <c r="Q369" s="1332"/>
      <c r="R369" s="1332"/>
      <c r="S369" s="1332"/>
      <c r="T369" s="1332"/>
      <c r="U369" s="1332"/>
      <c r="V369" s="1332"/>
      <c r="W369" s="1332"/>
      <c r="X369" s="1332"/>
      <c r="Y369" s="1332"/>
      <c r="Z369" s="1332"/>
      <c r="AA369" s="1332"/>
      <c r="AB369" s="1332"/>
    </row>
    <row r="370">
      <c r="A370" s="1332"/>
      <c r="B370" s="1366"/>
      <c r="C370" s="1366"/>
      <c r="D370" s="1375"/>
      <c r="E370" s="1332"/>
      <c r="F370" s="1332"/>
      <c r="G370" s="1378"/>
      <c r="H370" s="1378"/>
      <c r="I370" s="1332"/>
      <c r="J370" s="1332"/>
      <c r="K370" s="1332"/>
      <c r="L370" s="1332"/>
      <c r="M370" s="1332"/>
      <c r="N370" s="1332"/>
      <c r="O370" s="1332"/>
      <c r="P370" s="1332"/>
      <c r="Q370" s="1332"/>
      <c r="R370" s="1332"/>
      <c r="S370" s="1332"/>
      <c r="T370" s="1332"/>
      <c r="U370" s="1332"/>
      <c r="V370" s="1332"/>
      <c r="W370" s="1332"/>
      <c r="X370" s="1332"/>
      <c r="Y370" s="1332"/>
      <c r="Z370" s="1332"/>
      <c r="AA370" s="1332"/>
      <c r="AB370" s="1332"/>
    </row>
    <row r="371">
      <c r="A371" s="1332"/>
      <c r="B371" s="1366"/>
      <c r="C371" s="1366"/>
      <c r="D371" s="1375"/>
      <c r="E371" s="1332"/>
      <c r="F371" s="1332"/>
      <c r="G371" s="1378"/>
      <c r="H371" s="1378"/>
      <c r="I371" s="1332"/>
      <c r="J371" s="1332"/>
      <c r="K371" s="1332"/>
      <c r="L371" s="1332"/>
      <c r="M371" s="1332"/>
      <c r="N371" s="1332"/>
      <c r="O371" s="1332"/>
      <c r="P371" s="1332"/>
      <c r="Q371" s="1332"/>
      <c r="R371" s="1332"/>
      <c r="S371" s="1332"/>
      <c r="T371" s="1332"/>
      <c r="U371" s="1332"/>
      <c r="V371" s="1332"/>
      <c r="W371" s="1332"/>
      <c r="X371" s="1332"/>
      <c r="Y371" s="1332"/>
      <c r="Z371" s="1332"/>
      <c r="AA371" s="1332"/>
      <c r="AB371" s="1332"/>
    </row>
    <row r="372">
      <c r="A372" s="1332"/>
      <c r="B372" s="1366"/>
      <c r="C372" s="1366"/>
      <c r="D372" s="1375"/>
      <c r="E372" s="1332"/>
      <c r="F372" s="1332"/>
      <c r="G372" s="1378"/>
      <c r="H372" s="1378"/>
      <c r="I372" s="1332"/>
      <c r="J372" s="1332"/>
      <c r="K372" s="1332"/>
      <c r="L372" s="1332"/>
      <c r="M372" s="1332"/>
      <c r="N372" s="1332"/>
      <c r="O372" s="1332"/>
      <c r="P372" s="1332"/>
      <c r="Q372" s="1332"/>
      <c r="R372" s="1332"/>
      <c r="S372" s="1332"/>
      <c r="T372" s="1332"/>
      <c r="U372" s="1332"/>
      <c r="V372" s="1332"/>
      <c r="W372" s="1332"/>
      <c r="X372" s="1332"/>
      <c r="Y372" s="1332"/>
      <c r="Z372" s="1332"/>
      <c r="AA372" s="1332"/>
      <c r="AB372" s="1332"/>
    </row>
    <row r="373">
      <c r="A373" s="1332"/>
      <c r="B373" s="1366"/>
      <c r="C373" s="1366"/>
      <c r="D373" s="1375"/>
      <c r="E373" s="1332"/>
      <c r="F373" s="1332"/>
      <c r="G373" s="1378"/>
      <c r="H373" s="1378"/>
      <c r="I373" s="1332"/>
      <c r="J373" s="1332"/>
      <c r="K373" s="1332"/>
      <c r="L373" s="1332"/>
      <c r="M373" s="1332"/>
      <c r="N373" s="1332"/>
      <c r="O373" s="1332"/>
      <c r="P373" s="1332"/>
      <c r="Q373" s="1332"/>
      <c r="R373" s="1332"/>
      <c r="S373" s="1332"/>
      <c r="T373" s="1332"/>
      <c r="U373" s="1332"/>
      <c r="V373" s="1332"/>
      <c r="W373" s="1332"/>
      <c r="X373" s="1332"/>
      <c r="Y373" s="1332"/>
      <c r="Z373" s="1332"/>
      <c r="AA373" s="1332"/>
      <c r="AB373" s="1332"/>
    </row>
    <row r="374">
      <c r="A374" s="1332"/>
      <c r="B374" s="1366"/>
      <c r="C374" s="1366"/>
      <c r="D374" s="1375"/>
      <c r="E374" s="1332"/>
      <c r="F374" s="1332"/>
      <c r="G374" s="1378"/>
      <c r="H374" s="1378"/>
      <c r="I374" s="1332"/>
      <c r="J374" s="1332"/>
      <c r="K374" s="1332"/>
      <c r="L374" s="1332"/>
      <c r="M374" s="1332"/>
      <c r="N374" s="1332"/>
      <c r="O374" s="1332"/>
      <c r="P374" s="1332"/>
      <c r="Q374" s="1332"/>
      <c r="R374" s="1332"/>
      <c r="S374" s="1332"/>
      <c r="T374" s="1332"/>
      <c r="U374" s="1332"/>
      <c r="V374" s="1332"/>
      <c r="W374" s="1332"/>
      <c r="X374" s="1332"/>
      <c r="Y374" s="1332"/>
      <c r="Z374" s="1332"/>
      <c r="AA374" s="1332"/>
      <c r="AB374" s="1332"/>
    </row>
    <row r="375">
      <c r="A375" s="1332"/>
      <c r="B375" s="1366"/>
      <c r="C375" s="1366"/>
      <c r="D375" s="1375"/>
      <c r="E375" s="1332"/>
      <c r="F375" s="1332"/>
      <c r="G375" s="1378"/>
      <c r="H375" s="1378"/>
      <c r="I375" s="1332"/>
      <c r="J375" s="1332"/>
      <c r="K375" s="1332"/>
      <c r="L375" s="1332"/>
      <c r="M375" s="1332"/>
      <c r="N375" s="1332"/>
      <c r="O375" s="1332"/>
      <c r="P375" s="1332"/>
      <c r="Q375" s="1332"/>
      <c r="R375" s="1332"/>
      <c r="S375" s="1332"/>
      <c r="T375" s="1332"/>
      <c r="U375" s="1332"/>
      <c r="V375" s="1332"/>
      <c r="W375" s="1332"/>
      <c r="X375" s="1332"/>
      <c r="Y375" s="1332"/>
      <c r="Z375" s="1332"/>
      <c r="AA375" s="1332"/>
      <c r="AB375" s="1332"/>
    </row>
    <row r="376">
      <c r="A376" s="1332"/>
      <c r="B376" s="1366"/>
      <c r="C376" s="1366"/>
      <c r="D376" s="1375"/>
      <c r="E376" s="1332"/>
      <c r="F376" s="1332"/>
      <c r="G376" s="1378"/>
      <c r="H376" s="1378"/>
      <c r="I376" s="1332"/>
      <c r="J376" s="1332"/>
      <c r="K376" s="1332"/>
      <c r="L376" s="1332"/>
      <c r="M376" s="1332"/>
      <c r="N376" s="1332"/>
      <c r="O376" s="1332"/>
      <c r="P376" s="1332"/>
      <c r="Q376" s="1332"/>
      <c r="R376" s="1332"/>
      <c r="S376" s="1332"/>
      <c r="T376" s="1332"/>
      <c r="U376" s="1332"/>
      <c r="V376" s="1332"/>
      <c r="W376" s="1332"/>
      <c r="X376" s="1332"/>
      <c r="Y376" s="1332"/>
      <c r="Z376" s="1332"/>
      <c r="AA376" s="1332"/>
      <c r="AB376" s="1332"/>
    </row>
    <row r="377">
      <c r="A377" s="1332"/>
      <c r="B377" s="1366"/>
      <c r="C377" s="1366"/>
      <c r="D377" s="1375"/>
      <c r="E377" s="1332"/>
      <c r="F377" s="1332"/>
      <c r="G377" s="1378"/>
      <c r="H377" s="1378"/>
      <c r="I377" s="1332"/>
      <c r="J377" s="1332"/>
      <c r="K377" s="1332"/>
      <c r="L377" s="1332"/>
      <c r="M377" s="1332"/>
      <c r="N377" s="1332"/>
      <c r="O377" s="1332"/>
      <c r="P377" s="1332"/>
      <c r="Q377" s="1332"/>
      <c r="R377" s="1332"/>
      <c r="S377" s="1332"/>
      <c r="T377" s="1332"/>
      <c r="U377" s="1332"/>
      <c r="V377" s="1332"/>
      <c r="W377" s="1332"/>
      <c r="X377" s="1332"/>
      <c r="Y377" s="1332"/>
      <c r="Z377" s="1332"/>
      <c r="AA377" s="1332"/>
      <c r="AB377" s="1332"/>
    </row>
    <row r="378">
      <c r="A378" s="1332"/>
      <c r="B378" s="1366"/>
      <c r="C378" s="1366"/>
      <c r="D378" s="1375"/>
      <c r="E378" s="1332"/>
      <c r="F378" s="1332"/>
      <c r="G378" s="1378"/>
      <c r="H378" s="1378"/>
      <c r="I378" s="1332"/>
      <c r="J378" s="1332"/>
      <c r="K378" s="1332"/>
      <c r="L378" s="1332"/>
      <c r="M378" s="1332"/>
      <c r="N378" s="1332"/>
      <c r="O378" s="1332"/>
      <c r="P378" s="1332"/>
      <c r="Q378" s="1332"/>
      <c r="R378" s="1332"/>
      <c r="S378" s="1332"/>
      <c r="T378" s="1332"/>
      <c r="U378" s="1332"/>
      <c r="V378" s="1332"/>
      <c r="W378" s="1332"/>
      <c r="X378" s="1332"/>
      <c r="Y378" s="1332"/>
      <c r="Z378" s="1332"/>
      <c r="AA378" s="1332"/>
      <c r="AB378" s="1332"/>
    </row>
    <row r="379">
      <c r="A379" s="1332"/>
      <c r="B379" s="1366"/>
      <c r="C379" s="1366"/>
      <c r="D379" s="1375"/>
      <c r="E379" s="1332"/>
      <c r="F379" s="1332"/>
      <c r="G379" s="1378"/>
      <c r="H379" s="1378"/>
      <c r="I379" s="1332"/>
      <c r="J379" s="1332"/>
      <c r="K379" s="1332"/>
      <c r="L379" s="1332"/>
      <c r="M379" s="1332"/>
      <c r="N379" s="1332"/>
      <c r="O379" s="1332"/>
      <c r="P379" s="1332"/>
      <c r="Q379" s="1332"/>
      <c r="R379" s="1332"/>
      <c r="S379" s="1332"/>
      <c r="T379" s="1332"/>
      <c r="U379" s="1332"/>
      <c r="V379" s="1332"/>
      <c r="W379" s="1332"/>
      <c r="X379" s="1332"/>
      <c r="Y379" s="1332"/>
      <c r="Z379" s="1332"/>
      <c r="AA379" s="1332"/>
      <c r="AB379" s="1332"/>
    </row>
    <row r="380">
      <c r="A380" s="1332"/>
      <c r="B380" s="1366"/>
      <c r="C380" s="1366"/>
      <c r="D380" s="1375"/>
      <c r="E380" s="1332"/>
      <c r="F380" s="1332"/>
      <c r="G380" s="1378"/>
      <c r="H380" s="1378"/>
      <c r="I380" s="1332"/>
      <c r="J380" s="1332"/>
      <c r="K380" s="1332"/>
      <c r="L380" s="1332"/>
      <c r="M380" s="1332"/>
      <c r="N380" s="1332"/>
      <c r="O380" s="1332"/>
      <c r="P380" s="1332"/>
      <c r="Q380" s="1332"/>
      <c r="R380" s="1332"/>
      <c r="S380" s="1332"/>
      <c r="T380" s="1332"/>
      <c r="U380" s="1332"/>
      <c r="V380" s="1332"/>
      <c r="W380" s="1332"/>
      <c r="X380" s="1332"/>
      <c r="Y380" s="1332"/>
      <c r="Z380" s="1332"/>
      <c r="AA380" s="1332"/>
      <c r="AB380" s="1332"/>
    </row>
    <row r="381">
      <c r="A381" s="1332"/>
      <c r="B381" s="1366"/>
      <c r="C381" s="1366"/>
      <c r="D381" s="1375"/>
      <c r="E381" s="1332"/>
      <c r="F381" s="1332"/>
      <c r="G381" s="1378"/>
      <c r="H381" s="1378"/>
      <c r="I381" s="1332"/>
      <c r="J381" s="1332"/>
      <c r="K381" s="1332"/>
      <c r="L381" s="1332"/>
      <c r="M381" s="1332"/>
      <c r="N381" s="1332"/>
      <c r="O381" s="1332"/>
      <c r="P381" s="1332"/>
      <c r="Q381" s="1332"/>
      <c r="R381" s="1332"/>
      <c r="S381" s="1332"/>
      <c r="T381" s="1332"/>
      <c r="U381" s="1332"/>
      <c r="V381" s="1332"/>
      <c r="W381" s="1332"/>
      <c r="X381" s="1332"/>
      <c r="Y381" s="1332"/>
      <c r="Z381" s="1332"/>
      <c r="AA381" s="1332"/>
      <c r="AB381" s="1332"/>
    </row>
    <row r="382">
      <c r="A382" s="1332"/>
      <c r="B382" s="1366"/>
      <c r="C382" s="1366"/>
      <c r="D382" s="1375"/>
      <c r="E382" s="1332"/>
      <c r="F382" s="1332"/>
      <c r="G382" s="1378"/>
      <c r="H382" s="1378"/>
      <c r="I382" s="1332"/>
      <c r="J382" s="1332"/>
      <c r="K382" s="1332"/>
      <c r="L382" s="1332"/>
      <c r="M382" s="1332"/>
      <c r="N382" s="1332"/>
      <c r="O382" s="1332"/>
      <c r="P382" s="1332"/>
      <c r="Q382" s="1332"/>
      <c r="R382" s="1332"/>
      <c r="S382" s="1332"/>
      <c r="T382" s="1332"/>
      <c r="U382" s="1332"/>
      <c r="V382" s="1332"/>
      <c r="W382" s="1332"/>
      <c r="X382" s="1332"/>
      <c r="Y382" s="1332"/>
      <c r="Z382" s="1332"/>
      <c r="AA382" s="1332"/>
      <c r="AB382" s="1332"/>
    </row>
    <row r="383">
      <c r="A383" s="1332"/>
      <c r="B383" s="1366"/>
      <c r="C383" s="1366"/>
      <c r="D383" s="1375"/>
      <c r="E383" s="1332"/>
      <c r="F383" s="1332"/>
      <c r="G383" s="1378"/>
      <c r="H383" s="1378"/>
      <c r="I383" s="1332"/>
      <c r="J383" s="1332"/>
      <c r="K383" s="1332"/>
      <c r="L383" s="1332"/>
      <c r="M383" s="1332"/>
      <c r="N383" s="1332"/>
      <c r="O383" s="1332"/>
      <c r="P383" s="1332"/>
      <c r="Q383" s="1332"/>
      <c r="R383" s="1332"/>
      <c r="S383" s="1332"/>
      <c r="T383" s="1332"/>
      <c r="U383" s="1332"/>
      <c r="V383" s="1332"/>
      <c r="W383" s="1332"/>
      <c r="X383" s="1332"/>
      <c r="Y383" s="1332"/>
      <c r="Z383" s="1332"/>
      <c r="AA383" s="1332"/>
      <c r="AB383" s="1332"/>
    </row>
    <row r="384">
      <c r="A384" s="1332"/>
      <c r="B384" s="1366"/>
      <c r="C384" s="1366"/>
      <c r="D384" s="1375"/>
      <c r="E384" s="1332"/>
      <c r="F384" s="1332"/>
      <c r="G384" s="1378"/>
      <c r="H384" s="1378"/>
      <c r="I384" s="1332"/>
      <c r="J384" s="1332"/>
      <c r="K384" s="1332"/>
      <c r="L384" s="1332"/>
      <c r="M384" s="1332"/>
      <c r="N384" s="1332"/>
      <c r="O384" s="1332"/>
      <c r="P384" s="1332"/>
      <c r="Q384" s="1332"/>
      <c r="R384" s="1332"/>
      <c r="S384" s="1332"/>
      <c r="T384" s="1332"/>
      <c r="U384" s="1332"/>
      <c r="V384" s="1332"/>
      <c r="W384" s="1332"/>
      <c r="X384" s="1332"/>
      <c r="Y384" s="1332"/>
      <c r="Z384" s="1332"/>
      <c r="AA384" s="1332"/>
      <c r="AB384" s="1332"/>
    </row>
    <row r="385">
      <c r="A385" s="1332"/>
      <c r="B385" s="1366"/>
      <c r="C385" s="1366"/>
      <c r="D385" s="1375"/>
      <c r="E385" s="1332"/>
      <c r="F385" s="1332"/>
      <c r="G385" s="1378"/>
      <c r="H385" s="1378"/>
      <c r="I385" s="1332"/>
      <c r="J385" s="1332"/>
      <c r="K385" s="1332"/>
      <c r="L385" s="1332"/>
      <c r="M385" s="1332"/>
      <c r="N385" s="1332"/>
      <c r="O385" s="1332"/>
      <c r="P385" s="1332"/>
      <c r="Q385" s="1332"/>
      <c r="R385" s="1332"/>
      <c r="S385" s="1332"/>
      <c r="T385" s="1332"/>
      <c r="U385" s="1332"/>
      <c r="V385" s="1332"/>
      <c r="W385" s="1332"/>
      <c r="X385" s="1332"/>
      <c r="Y385" s="1332"/>
      <c r="Z385" s="1332"/>
      <c r="AA385" s="1332"/>
      <c r="AB385" s="1332"/>
    </row>
    <row r="386">
      <c r="A386" s="1332"/>
      <c r="B386" s="1366"/>
      <c r="C386" s="1366"/>
      <c r="D386" s="1375"/>
      <c r="E386" s="1332"/>
      <c r="F386" s="1332"/>
      <c r="G386" s="1378"/>
      <c r="H386" s="1378"/>
      <c r="I386" s="1332"/>
      <c r="J386" s="1332"/>
      <c r="K386" s="1332"/>
      <c r="L386" s="1332"/>
      <c r="M386" s="1332"/>
      <c r="N386" s="1332"/>
      <c r="O386" s="1332"/>
      <c r="P386" s="1332"/>
      <c r="Q386" s="1332"/>
      <c r="R386" s="1332"/>
      <c r="S386" s="1332"/>
      <c r="T386" s="1332"/>
      <c r="U386" s="1332"/>
      <c r="V386" s="1332"/>
      <c r="W386" s="1332"/>
      <c r="X386" s="1332"/>
      <c r="Y386" s="1332"/>
      <c r="Z386" s="1332"/>
      <c r="AA386" s="1332"/>
      <c r="AB386" s="1332"/>
    </row>
    <row r="387">
      <c r="A387" s="1332"/>
      <c r="B387" s="1366"/>
      <c r="C387" s="1366"/>
      <c r="D387" s="1375"/>
      <c r="E387" s="1332"/>
      <c r="F387" s="1332"/>
      <c r="G387" s="1378"/>
      <c r="H387" s="1378"/>
      <c r="I387" s="1332"/>
      <c r="J387" s="1332"/>
      <c r="K387" s="1332"/>
      <c r="L387" s="1332"/>
      <c r="M387" s="1332"/>
      <c r="N387" s="1332"/>
      <c r="O387" s="1332"/>
      <c r="P387" s="1332"/>
      <c r="Q387" s="1332"/>
      <c r="R387" s="1332"/>
      <c r="S387" s="1332"/>
      <c r="T387" s="1332"/>
      <c r="U387" s="1332"/>
      <c r="V387" s="1332"/>
      <c r="W387" s="1332"/>
      <c r="X387" s="1332"/>
      <c r="Y387" s="1332"/>
      <c r="Z387" s="1332"/>
      <c r="AA387" s="1332"/>
      <c r="AB387" s="1332"/>
    </row>
    <row r="388">
      <c r="A388" s="1332"/>
      <c r="B388" s="1366"/>
      <c r="C388" s="1366"/>
      <c r="D388" s="1375"/>
      <c r="E388" s="1332"/>
      <c r="F388" s="1332"/>
      <c r="G388" s="1378"/>
      <c r="H388" s="1378"/>
      <c r="I388" s="1332"/>
      <c r="J388" s="1332"/>
      <c r="K388" s="1332"/>
      <c r="L388" s="1332"/>
      <c r="M388" s="1332"/>
      <c r="N388" s="1332"/>
      <c r="O388" s="1332"/>
      <c r="P388" s="1332"/>
      <c r="Q388" s="1332"/>
      <c r="R388" s="1332"/>
      <c r="S388" s="1332"/>
      <c r="T388" s="1332"/>
      <c r="U388" s="1332"/>
      <c r="V388" s="1332"/>
      <c r="W388" s="1332"/>
      <c r="X388" s="1332"/>
      <c r="Y388" s="1332"/>
      <c r="Z388" s="1332"/>
      <c r="AA388" s="1332"/>
      <c r="AB388" s="1332"/>
    </row>
    <row r="389">
      <c r="A389" s="1332"/>
      <c r="B389" s="1366"/>
      <c r="C389" s="1366"/>
      <c r="D389" s="1375"/>
      <c r="E389" s="1332"/>
      <c r="F389" s="1332"/>
      <c r="G389" s="1378"/>
      <c r="H389" s="1378"/>
      <c r="I389" s="1332"/>
      <c r="J389" s="1332"/>
      <c r="K389" s="1332"/>
      <c r="L389" s="1332"/>
      <c r="M389" s="1332"/>
      <c r="N389" s="1332"/>
      <c r="O389" s="1332"/>
      <c r="P389" s="1332"/>
      <c r="Q389" s="1332"/>
      <c r="R389" s="1332"/>
      <c r="S389" s="1332"/>
      <c r="T389" s="1332"/>
      <c r="U389" s="1332"/>
      <c r="V389" s="1332"/>
      <c r="W389" s="1332"/>
      <c r="X389" s="1332"/>
      <c r="Y389" s="1332"/>
      <c r="Z389" s="1332"/>
      <c r="AA389" s="1332"/>
      <c r="AB389" s="1332"/>
    </row>
    <row r="390">
      <c r="A390" s="1332"/>
      <c r="B390" s="1366"/>
      <c r="C390" s="1366"/>
      <c r="D390" s="1375"/>
      <c r="E390" s="1332"/>
      <c r="F390" s="1332"/>
      <c r="G390" s="1378"/>
      <c r="H390" s="1378"/>
      <c r="I390" s="1332"/>
      <c r="J390" s="1332"/>
      <c r="K390" s="1332"/>
      <c r="L390" s="1332"/>
      <c r="M390" s="1332"/>
      <c r="N390" s="1332"/>
      <c r="O390" s="1332"/>
      <c r="P390" s="1332"/>
      <c r="Q390" s="1332"/>
      <c r="R390" s="1332"/>
      <c r="S390" s="1332"/>
      <c r="T390" s="1332"/>
      <c r="U390" s="1332"/>
      <c r="V390" s="1332"/>
      <c r="W390" s="1332"/>
      <c r="X390" s="1332"/>
      <c r="Y390" s="1332"/>
      <c r="Z390" s="1332"/>
      <c r="AA390" s="1332"/>
      <c r="AB390" s="1332"/>
    </row>
    <row r="391">
      <c r="A391" s="1332"/>
      <c r="B391" s="1366"/>
      <c r="C391" s="1366"/>
      <c r="D391" s="1375"/>
      <c r="E391" s="1332"/>
      <c r="F391" s="1332"/>
      <c r="G391" s="1378"/>
      <c r="H391" s="1378"/>
      <c r="I391" s="1332"/>
      <c r="J391" s="1332"/>
      <c r="K391" s="1332"/>
      <c r="L391" s="1332"/>
      <c r="M391" s="1332"/>
      <c r="N391" s="1332"/>
      <c r="O391" s="1332"/>
      <c r="P391" s="1332"/>
      <c r="Q391" s="1332"/>
      <c r="R391" s="1332"/>
      <c r="S391" s="1332"/>
      <c r="T391" s="1332"/>
      <c r="U391" s="1332"/>
      <c r="V391" s="1332"/>
      <c r="W391" s="1332"/>
      <c r="X391" s="1332"/>
      <c r="Y391" s="1332"/>
      <c r="Z391" s="1332"/>
      <c r="AA391" s="1332"/>
      <c r="AB391" s="1332"/>
    </row>
    <row r="392">
      <c r="A392" s="1332"/>
      <c r="B392" s="1366"/>
      <c r="C392" s="1366"/>
      <c r="D392" s="1375"/>
      <c r="E392" s="1332"/>
      <c r="F392" s="1332"/>
      <c r="G392" s="1378"/>
      <c r="H392" s="1378"/>
      <c r="I392" s="1332"/>
      <c r="J392" s="1332"/>
      <c r="K392" s="1332"/>
      <c r="L392" s="1332"/>
      <c r="M392" s="1332"/>
      <c r="N392" s="1332"/>
      <c r="O392" s="1332"/>
      <c r="P392" s="1332"/>
      <c r="Q392" s="1332"/>
      <c r="R392" s="1332"/>
      <c r="S392" s="1332"/>
      <c r="T392" s="1332"/>
      <c r="U392" s="1332"/>
      <c r="V392" s="1332"/>
      <c r="W392" s="1332"/>
      <c r="X392" s="1332"/>
      <c r="Y392" s="1332"/>
      <c r="Z392" s="1332"/>
      <c r="AA392" s="1332"/>
      <c r="AB392" s="1332"/>
    </row>
    <row r="393">
      <c r="A393" s="1332"/>
      <c r="B393" s="1366"/>
      <c r="C393" s="1366"/>
      <c r="D393" s="1375"/>
      <c r="E393" s="1332"/>
      <c r="F393" s="1332"/>
      <c r="G393" s="1378"/>
      <c r="H393" s="1378"/>
      <c r="I393" s="1332"/>
      <c r="J393" s="1332"/>
      <c r="K393" s="1332"/>
      <c r="L393" s="1332"/>
      <c r="M393" s="1332"/>
      <c r="N393" s="1332"/>
      <c r="O393" s="1332"/>
      <c r="P393" s="1332"/>
      <c r="Q393" s="1332"/>
      <c r="R393" s="1332"/>
      <c r="S393" s="1332"/>
      <c r="T393" s="1332"/>
      <c r="U393" s="1332"/>
      <c r="V393" s="1332"/>
      <c r="W393" s="1332"/>
      <c r="X393" s="1332"/>
      <c r="Y393" s="1332"/>
      <c r="Z393" s="1332"/>
      <c r="AA393" s="1332"/>
      <c r="AB393" s="1332"/>
    </row>
    <row r="394">
      <c r="A394" s="1332"/>
      <c r="B394" s="1366"/>
      <c r="C394" s="1366"/>
      <c r="D394" s="1375"/>
      <c r="E394" s="1332"/>
      <c r="F394" s="1332"/>
      <c r="G394" s="1378"/>
      <c r="H394" s="1378"/>
      <c r="I394" s="1332"/>
      <c r="J394" s="1332"/>
      <c r="K394" s="1332"/>
      <c r="L394" s="1332"/>
      <c r="M394" s="1332"/>
      <c r="N394" s="1332"/>
      <c r="O394" s="1332"/>
      <c r="P394" s="1332"/>
      <c r="Q394" s="1332"/>
      <c r="R394" s="1332"/>
      <c r="S394" s="1332"/>
      <c r="T394" s="1332"/>
      <c r="U394" s="1332"/>
      <c r="V394" s="1332"/>
      <c r="W394" s="1332"/>
      <c r="X394" s="1332"/>
      <c r="Y394" s="1332"/>
      <c r="Z394" s="1332"/>
      <c r="AA394" s="1332"/>
      <c r="AB394" s="1332"/>
    </row>
    <row r="395">
      <c r="A395" s="1332"/>
      <c r="B395" s="1366"/>
      <c r="C395" s="1366"/>
      <c r="D395" s="1375"/>
      <c r="E395" s="1332"/>
      <c r="F395" s="1332"/>
      <c r="G395" s="1378"/>
      <c r="H395" s="1378"/>
      <c r="I395" s="1332"/>
      <c r="J395" s="1332"/>
      <c r="K395" s="1332"/>
      <c r="L395" s="1332"/>
      <c r="M395" s="1332"/>
      <c r="N395" s="1332"/>
      <c r="O395" s="1332"/>
      <c r="P395" s="1332"/>
      <c r="Q395" s="1332"/>
      <c r="R395" s="1332"/>
      <c r="S395" s="1332"/>
      <c r="T395" s="1332"/>
      <c r="U395" s="1332"/>
      <c r="V395" s="1332"/>
      <c r="W395" s="1332"/>
      <c r="X395" s="1332"/>
      <c r="Y395" s="1332"/>
      <c r="Z395" s="1332"/>
      <c r="AA395" s="1332"/>
      <c r="AB395" s="1332"/>
    </row>
    <row r="396">
      <c r="A396" s="1332"/>
      <c r="B396" s="1366"/>
      <c r="C396" s="1366"/>
      <c r="D396" s="1375"/>
      <c r="E396" s="1332"/>
      <c r="F396" s="1332"/>
      <c r="G396" s="1378"/>
      <c r="H396" s="1378"/>
      <c r="I396" s="1332"/>
      <c r="J396" s="1332"/>
      <c r="K396" s="1332"/>
      <c r="L396" s="1332"/>
      <c r="M396" s="1332"/>
      <c r="N396" s="1332"/>
      <c r="O396" s="1332"/>
      <c r="P396" s="1332"/>
      <c r="Q396" s="1332"/>
      <c r="R396" s="1332"/>
      <c r="S396" s="1332"/>
      <c r="T396" s="1332"/>
      <c r="U396" s="1332"/>
      <c r="V396" s="1332"/>
      <c r="W396" s="1332"/>
      <c r="X396" s="1332"/>
      <c r="Y396" s="1332"/>
      <c r="Z396" s="1332"/>
      <c r="AA396" s="1332"/>
      <c r="AB396" s="1332"/>
    </row>
    <row r="397">
      <c r="A397" s="1332"/>
      <c r="B397" s="1366"/>
      <c r="C397" s="1366"/>
      <c r="D397" s="1375"/>
      <c r="E397" s="1332"/>
      <c r="F397" s="1332"/>
      <c r="G397" s="1378"/>
      <c r="H397" s="1378"/>
      <c r="I397" s="1332"/>
      <c r="J397" s="1332"/>
      <c r="K397" s="1332"/>
      <c r="L397" s="1332"/>
      <c r="M397" s="1332"/>
      <c r="N397" s="1332"/>
      <c r="O397" s="1332"/>
      <c r="P397" s="1332"/>
      <c r="Q397" s="1332"/>
      <c r="R397" s="1332"/>
      <c r="S397" s="1332"/>
      <c r="T397" s="1332"/>
      <c r="U397" s="1332"/>
      <c r="V397" s="1332"/>
      <c r="W397" s="1332"/>
      <c r="X397" s="1332"/>
      <c r="Y397" s="1332"/>
      <c r="Z397" s="1332"/>
      <c r="AA397" s="1332"/>
      <c r="AB397" s="1332"/>
    </row>
    <row r="398">
      <c r="A398" s="1332"/>
      <c r="B398" s="1366"/>
      <c r="C398" s="1366"/>
      <c r="D398" s="1375"/>
      <c r="E398" s="1332"/>
      <c r="F398" s="1332"/>
      <c r="G398" s="1378"/>
      <c r="H398" s="1378"/>
      <c r="I398" s="1332"/>
      <c r="J398" s="1332"/>
      <c r="K398" s="1332"/>
      <c r="L398" s="1332"/>
      <c r="M398" s="1332"/>
      <c r="N398" s="1332"/>
      <c r="O398" s="1332"/>
      <c r="P398" s="1332"/>
      <c r="Q398" s="1332"/>
      <c r="R398" s="1332"/>
      <c r="S398" s="1332"/>
      <c r="T398" s="1332"/>
      <c r="U398" s="1332"/>
      <c r="V398" s="1332"/>
      <c r="W398" s="1332"/>
      <c r="X398" s="1332"/>
      <c r="Y398" s="1332"/>
      <c r="Z398" s="1332"/>
      <c r="AA398" s="1332"/>
      <c r="AB398" s="1332"/>
    </row>
    <row r="399">
      <c r="A399" s="1332"/>
      <c r="B399" s="1366"/>
      <c r="C399" s="1366"/>
      <c r="D399" s="1375"/>
      <c r="E399" s="1332"/>
      <c r="F399" s="1332"/>
      <c r="G399" s="1378"/>
      <c r="H399" s="1378"/>
      <c r="I399" s="1332"/>
      <c r="J399" s="1332"/>
      <c r="K399" s="1332"/>
      <c r="L399" s="1332"/>
      <c r="M399" s="1332"/>
      <c r="N399" s="1332"/>
      <c r="O399" s="1332"/>
      <c r="P399" s="1332"/>
      <c r="Q399" s="1332"/>
      <c r="R399" s="1332"/>
      <c r="S399" s="1332"/>
      <c r="T399" s="1332"/>
      <c r="U399" s="1332"/>
      <c r="V399" s="1332"/>
      <c r="W399" s="1332"/>
      <c r="X399" s="1332"/>
      <c r="Y399" s="1332"/>
      <c r="Z399" s="1332"/>
      <c r="AA399" s="1332"/>
      <c r="AB399" s="1332"/>
    </row>
    <row r="400">
      <c r="A400" s="1332"/>
      <c r="B400" s="1366"/>
      <c r="C400" s="1366"/>
      <c r="D400" s="1375"/>
      <c r="E400" s="1332"/>
      <c r="F400" s="1332"/>
      <c r="G400" s="1378"/>
      <c r="H400" s="1378"/>
      <c r="I400" s="1332"/>
      <c r="J400" s="1332"/>
      <c r="K400" s="1332"/>
      <c r="L400" s="1332"/>
      <c r="M400" s="1332"/>
      <c r="N400" s="1332"/>
      <c r="O400" s="1332"/>
      <c r="P400" s="1332"/>
      <c r="Q400" s="1332"/>
      <c r="R400" s="1332"/>
      <c r="S400" s="1332"/>
      <c r="T400" s="1332"/>
      <c r="U400" s="1332"/>
      <c r="V400" s="1332"/>
      <c r="W400" s="1332"/>
      <c r="X400" s="1332"/>
      <c r="Y400" s="1332"/>
      <c r="Z400" s="1332"/>
      <c r="AA400" s="1332"/>
      <c r="AB400" s="1332"/>
    </row>
    <row r="401">
      <c r="A401" s="1332"/>
      <c r="B401" s="1366"/>
      <c r="C401" s="1366"/>
      <c r="D401" s="1375"/>
      <c r="E401" s="1332"/>
      <c r="F401" s="1332"/>
      <c r="G401" s="1378"/>
      <c r="H401" s="1378"/>
      <c r="I401" s="1332"/>
      <c r="J401" s="1332"/>
      <c r="K401" s="1332"/>
      <c r="L401" s="1332"/>
      <c r="M401" s="1332"/>
      <c r="N401" s="1332"/>
      <c r="O401" s="1332"/>
      <c r="P401" s="1332"/>
      <c r="Q401" s="1332"/>
      <c r="R401" s="1332"/>
      <c r="S401" s="1332"/>
      <c r="T401" s="1332"/>
      <c r="U401" s="1332"/>
      <c r="V401" s="1332"/>
      <c r="W401" s="1332"/>
      <c r="X401" s="1332"/>
      <c r="Y401" s="1332"/>
      <c r="Z401" s="1332"/>
      <c r="AA401" s="1332"/>
      <c r="AB401" s="1332"/>
    </row>
    <row r="402">
      <c r="A402" s="1332"/>
      <c r="B402" s="1366"/>
      <c r="C402" s="1366"/>
      <c r="D402" s="1375"/>
      <c r="E402" s="1332"/>
      <c r="F402" s="1332"/>
      <c r="G402" s="1378"/>
      <c r="H402" s="1378"/>
      <c r="I402" s="1332"/>
      <c r="J402" s="1332"/>
      <c r="K402" s="1332"/>
      <c r="L402" s="1332"/>
      <c r="M402" s="1332"/>
      <c r="N402" s="1332"/>
      <c r="O402" s="1332"/>
      <c r="P402" s="1332"/>
      <c r="Q402" s="1332"/>
      <c r="R402" s="1332"/>
      <c r="S402" s="1332"/>
      <c r="T402" s="1332"/>
      <c r="U402" s="1332"/>
      <c r="V402" s="1332"/>
      <c r="W402" s="1332"/>
      <c r="X402" s="1332"/>
      <c r="Y402" s="1332"/>
      <c r="Z402" s="1332"/>
      <c r="AA402" s="1332"/>
      <c r="AB402" s="1332"/>
    </row>
    <row r="403">
      <c r="A403" s="1332"/>
      <c r="B403" s="1366"/>
      <c r="C403" s="1366"/>
      <c r="D403" s="1375"/>
      <c r="E403" s="1332"/>
      <c r="F403" s="1332"/>
      <c r="G403" s="1378"/>
      <c r="H403" s="1378"/>
      <c r="I403" s="1332"/>
      <c r="J403" s="1332"/>
      <c r="K403" s="1332"/>
      <c r="L403" s="1332"/>
      <c r="M403" s="1332"/>
      <c r="N403" s="1332"/>
      <c r="O403" s="1332"/>
      <c r="P403" s="1332"/>
      <c r="Q403" s="1332"/>
      <c r="R403" s="1332"/>
      <c r="S403" s="1332"/>
      <c r="T403" s="1332"/>
      <c r="U403" s="1332"/>
      <c r="V403" s="1332"/>
      <c r="W403" s="1332"/>
      <c r="X403" s="1332"/>
      <c r="Y403" s="1332"/>
      <c r="Z403" s="1332"/>
      <c r="AA403" s="1332"/>
      <c r="AB403" s="1332"/>
    </row>
    <row r="404">
      <c r="A404" s="1332"/>
      <c r="B404" s="1366"/>
      <c r="C404" s="1366"/>
      <c r="D404" s="1375"/>
      <c r="E404" s="1332"/>
      <c r="F404" s="1332"/>
      <c r="G404" s="1378"/>
      <c r="H404" s="1378"/>
      <c r="I404" s="1332"/>
      <c r="J404" s="1332"/>
      <c r="K404" s="1332"/>
      <c r="L404" s="1332"/>
      <c r="M404" s="1332"/>
      <c r="N404" s="1332"/>
      <c r="O404" s="1332"/>
      <c r="P404" s="1332"/>
      <c r="Q404" s="1332"/>
      <c r="R404" s="1332"/>
      <c r="S404" s="1332"/>
      <c r="T404" s="1332"/>
      <c r="U404" s="1332"/>
      <c r="V404" s="1332"/>
      <c r="W404" s="1332"/>
      <c r="X404" s="1332"/>
      <c r="Y404" s="1332"/>
      <c r="Z404" s="1332"/>
      <c r="AA404" s="1332"/>
      <c r="AB404" s="1332"/>
    </row>
    <row r="405">
      <c r="A405" s="1332"/>
      <c r="B405" s="1366"/>
      <c r="C405" s="1366"/>
      <c r="D405" s="1375"/>
      <c r="E405" s="1332"/>
      <c r="F405" s="1332"/>
      <c r="G405" s="1378"/>
      <c r="H405" s="1378"/>
      <c r="I405" s="1332"/>
      <c r="J405" s="1332"/>
      <c r="K405" s="1332"/>
      <c r="L405" s="1332"/>
      <c r="M405" s="1332"/>
      <c r="N405" s="1332"/>
      <c r="O405" s="1332"/>
      <c r="P405" s="1332"/>
      <c r="Q405" s="1332"/>
      <c r="R405" s="1332"/>
      <c r="S405" s="1332"/>
      <c r="T405" s="1332"/>
      <c r="U405" s="1332"/>
      <c r="V405" s="1332"/>
      <c r="W405" s="1332"/>
      <c r="X405" s="1332"/>
      <c r="Y405" s="1332"/>
      <c r="Z405" s="1332"/>
      <c r="AA405" s="1332"/>
      <c r="AB405" s="1332"/>
    </row>
    <row r="406">
      <c r="A406" s="1332"/>
      <c r="B406" s="1366"/>
      <c r="C406" s="1366"/>
      <c r="D406" s="1375"/>
      <c r="E406" s="1332"/>
      <c r="F406" s="1332"/>
      <c r="G406" s="1378"/>
      <c r="H406" s="1378"/>
      <c r="I406" s="1332"/>
      <c r="J406" s="1332"/>
      <c r="K406" s="1332"/>
      <c r="L406" s="1332"/>
      <c r="M406" s="1332"/>
      <c r="N406" s="1332"/>
      <c r="O406" s="1332"/>
      <c r="P406" s="1332"/>
      <c r="Q406" s="1332"/>
      <c r="R406" s="1332"/>
      <c r="S406" s="1332"/>
      <c r="T406" s="1332"/>
      <c r="U406" s="1332"/>
      <c r="V406" s="1332"/>
      <c r="W406" s="1332"/>
      <c r="X406" s="1332"/>
      <c r="Y406" s="1332"/>
      <c r="Z406" s="1332"/>
      <c r="AA406" s="1332"/>
      <c r="AB406" s="1332"/>
    </row>
    <row r="407">
      <c r="A407" s="1332"/>
      <c r="B407" s="1366"/>
      <c r="C407" s="1366"/>
      <c r="D407" s="1375"/>
      <c r="E407" s="1332"/>
      <c r="F407" s="1332"/>
      <c r="G407" s="1378"/>
      <c r="H407" s="1378"/>
      <c r="I407" s="1332"/>
      <c r="J407" s="1332"/>
      <c r="K407" s="1332"/>
      <c r="L407" s="1332"/>
      <c r="M407" s="1332"/>
      <c r="N407" s="1332"/>
      <c r="O407" s="1332"/>
      <c r="P407" s="1332"/>
      <c r="Q407" s="1332"/>
      <c r="R407" s="1332"/>
      <c r="S407" s="1332"/>
      <c r="T407" s="1332"/>
      <c r="U407" s="1332"/>
      <c r="V407" s="1332"/>
      <c r="W407" s="1332"/>
      <c r="X407" s="1332"/>
      <c r="Y407" s="1332"/>
      <c r="Z407" s="1332"/>
      <c r="AA407" s="1332"/>
      <c r="AB407" s="1332"/>
    </row>
    <row r="408">
      <c r="A408" s="1332"/>
      <c r="B408" s="1366"/>
      <c r="C408" s="1366"/>
      <c r="D408" s="1375"/>
      <c r="E408" s="1332"/>
      <c r="F408" s="1332"/>
      <c r="G408" s="1378"/>
      <c r="H408" s="1378"/>
      <c r="I408" s="1332"/>
      <c r="J408" s="1332"/>
      <c r="K408" s="1332"/>
      <c r="L408" s="1332"/>
      <c r="M408" s="1332"/>
      <c r="N408" s="1332"/>
      <c r="O408" s="1332"/>
      <c r="P408" s="1332"/>
      <c r="Q408" s="1332"/>
      <c r="R408" s="1332"/>
      <c r="S408" s="1332"/>
      <c r="T408" s="1332"/>
      <c r="U408" s="1332"/>
      <c r="V408" s="1332"/>
      <c r="W408" s="1332"/>
      <c r="X408" s="1332"/>
      <c r="Y408" s="1332"/>
      <c r="Z408" s="1332"/>
      <c r="AA408" s="1332"/>
      <c r="AB408" s="1332"/>
    </row>
    <row r="409">
      <c r="A409" s="1332"/>
      <c r="B409" s="1366"/>
      <c r="C409" s="1366"/>
      <c r="D409" s="1375"/>
      <c r="E409" s="1332"/>
      <c r="F409" s="1332"/>
      <c r="G409" s="1378"/>
      <c r="H409" s="1378"/>
      <c r="I409" s="1332"/>
      <c r="J409" s="1332"/>
      <c r="K409" s="1332"/>
      <c r="L409" s="1332"/>
      <c r="M409" s="1332"/>
      <c r="N409" s="1332"/>
      <c r="O409" s="1332"/>
      <c r="P409" s="1332"/>
      <c r="Q409" s="1332"/>
      <c r="R409" s="1332"/>
      <c r="S409" s="1332"/>
      <c r="T409" s="1332"/>
      <c r="U409" s="1332"/>
      <c r="V409" s="1332"/>
      <c r="W409" s="1332"/>
      <c r="X409" s="1332"/>
      <c r="Y409" s="1332"/>
      <c r="Z409" s="1332"/>
      <c r="AA409" s="1332"/>
      <c r="AB409" s="1332"/>
    </row>
    <row r="410">
      <c r="A410" s="1332"/>
      <c r="B410" s="1366"/>
      <c r="C410" s="1366"/>
      <c r="D410" s="1375"/>
      <c r="E410" s="1332"/>
      <c r="F410" s="1332"/>
      <c r="G410" s="1378"/>
      <c r="H410" s="1378"/>
      <c r="I410" s="1332"/>
      <c r="J410" s="1332"/>
      <c r="K410" s="1332"/>
      <c r="L410" s="1332"/>
      <c r="M410" s="1332"/>
      <c r="N410" s="1332"/>
      <c r="O410" s="1332"/>
      <c r="P410" s="1332"/>
      <c r="Q410" s="1332"/>
      <c r="R410" s="1332"/>
      <c r="S410" s="1332"/>
      <c r="T410" s="1332"/>
      <c r="U410" s="1332"/>
      <c r="V410" s="1332"/>
      <c r="W410" s="1332"/>
      <c r="X410" s="1332"/>
      <c r="Y410" s="1332"/>
      <c r="Z410" s="1332"/>
      <c r="AA410" s="1332"/>
      <c r="AB410" s="1332"/>
    </row>
    <row r="411">
      <c r="A411" s="1332"/>
      <c r="B411" s="1366"/>
      <c r="C411" s="1366"/>
      <c r="D411" s="1375"/>
      <c r="E411" s="1332"/>
      <c r="F411" s="1332"/>
      <c r="G411" s="1378"/>
      <c r="H411" s="1378"/>
      <c r="I411" s="1332"/>
      <c r="J411" s="1332"/>
      <c r="K411" s="1332"/>
      <c r="L411" s="1332"/>
      <c r="M411" s="1332"/>
      <c r="N411" s="1332"/>
      <c r="O411" s="1332"/>
      <c r="P411" s="1332"/>
      <c r="Q411" s="1332"/>
      <c r="R411" s="1332"/>
      <c r="S411" s="1332"/>
      <c r="T411" s="1332"/>
      <c r="U411" s="1332"/>
      <c r="V411" s="1332"/>
      <c r="W411" s="1332"/>
      <c r="X411" s="1332"/>
      <c r="Y411" s="1332"/>
      <c r="Z411" s="1332"/>
      <c r="AA411" s="1332"/>
      <c r="AB411" s="1332"/>
    </row>
    <row r="412">
      <c r="A412" s="1332"/>
      <c r="B412" s="1366"/>
      <c r="C412" s="1366"/>
      <c r="D412" s="1375"/>
      <c r="E412" s="1332"/>
      <c r="F412" s="1332"/>
      <c r="G412" s="1378"/>
      <c r="H412" s="1378"/>
      <c r="I412" s="1332"/>
      <c r="J412" s="1332"/>
      <c r="K412" s="1332"/>
      <c r="L412" s="1332"/>
      <c r="M412" s="1332"/>
      <c r="N412" s="1332"/>
      <c r="O412" s="1332"/>
      <c r="P412" s="1332"/>
      <c r="Q412" s="1332"/>
      <c r="R412" s="1332"/>
      <c r="S412" s="1332"/>
      <c r="T412" s="1332"/>
      <c r="U412" s="1332"/>
      <c r="V412" s="1332"/>
      <c r="W412" s="1332"/>
      <c r="X412" s="1332"/>
      <c r="Y412" s="1332"/>
      <c r="Z412" s="1332"/>
      <c r="AA412" s="1332"/>
      <c r="AB412" s="1332"/>
    </row>
    <row r="413">
      <c r="A413" s="1332"/>
      <c r="B413" s="1366"/>
      <c r="C413" s="1366"/>
      <c r="D413" s="1375"/>
      <c r="E413" s="1332"/>
      <c r="F413" s="1332"/>
      <c r="G413" s="1378"/>
      <c r="H413" s="1378"/>
      <c r="I413" s="1332"/>
      <c r="J413" s="1332"/>
      <c r="K413" s="1332"/>
      <c r="L413" s="1332"/>
      <c r="M413" s="1332"/>
      <c r="N413" s="1332"/>
      <c r="O413" s="1332"/>
      <c r="P413" s="1332"/>
      <c r="Q413" s="1332"/>
      <c r="R413" s="1332"/>
      <c r="S413" s="1332"/>
      <c r="T413" s="1332"/>
      <c r="U413" s="1332"/>
      <c r="V413" s="1332"/>
      <c r="W413" s="1332"/>
      <c r="X413" s="1332"/>
      <c r="Y413" s="1332"/>
      <c r="Z413" s="1332"/>
      <c r="AA413" s="1332"/>
      <c r="AB413" s="1332"/>
    </row>
    <row r="414">
      <c r="A414" s="1332"/>
      <c r="B414" s="1366"/>
      <c r="C414" s="1366"/>
      <c r="D414" s="1375"/>
      <c r="E414" s="1332"/>
      <c r="F414" s="1332"/>
      <c r="G414" s="1378"/>
      <c r="H414" s="1378"/>
      <c r="I414" s="1332"/>
      <c r="J414" s="1332"/>
      <c r="K414" s="1332"/>
      <c r="L414" s="1332"/>
      <c r="M414" s="1332"/>
      <c r="N414" s="1332"/>
      <c r="O414" s="1332"/>
      <c r="P414" s="1332"/>
      <c r="Q414" s="1332"/>
      <c r="R414" s="1332"/>
      <c r="S414" s="1332"/>
      <c r="T414" s="1332"/>
      <c r="U414" s="1332"/>
      <c r="V414" s="1332"/>
      <c r="W414" s="1332"/>
      <c r="X414" s="1332"/>
      <c r="Y414" s="1332"/>
      <c r="Z414" s="1332"/>
      <c r="AA414" s="1332"/>
      <c r="AB414" s="1332"/>
    </row>
    <row r="415">
      <c r="A415" s="1332"/>
      <c r="B415" s="1366"/>
      <c r="C415" s="1366"/>
      <c r="D415" s="1375"/>
      <c r="E415" s="1332"/>
      <c r="F415" s="1332"/>
      <c r="G415" s="1378"/>
      <c r="H415" s="1378"/>
      <c r="I415" s="1332"/>
      <c r="J415" s="1332"/>
      <c r="K415" s="1332"/>
      <c r="L415" s="1332"/>
      <c r="M415" s="1332"/>
      <c r="N415" s="1332"/>
      <c r="O415" s="1332"/>
      <c r="P415" s="1332"/>
      <c r="Q415" s="1332"/>
      <c r="R415" s="1332"/>
      <c r="S415" s="1332"/>
      <c r="T415" s="1332"/>
      <c r="U415" s="1332"/>
      <c r="V415" s="1332"/>
      <c r="W415" s="1332"/>
      <c r="X415" s="1332"/>
      <c r="Y415" s="1332"/>
      <c r="Z415" s="1332"/>
      <c r="AA415" s="1332"/>
      <c r="AB415" s="1332"/>
    </row>
    <row r="416">
      <c r="A416" s="1332"/>
      <c r="B416" s="1366"/>
      <c r="C416" s="1366"/>
      <c r="D416" s="1375"/>
      <c r="E416" s="1332"/>
      <c r="F416" s="1332"/>
      <c r="G416" s="1378"/>
      <c r="H416" s="1378"/>
      <c r="I416" s="1332"/>
      <c r="J416" s="1332"/>
      <c r="K416" s="1332"/>
      <c r="L416" s="1332"/>
      <c r="M416" s="1332"/>
      <c r="N416" s="1332"/>
      <c r="O416" s="1332"/>
      <c r="P416" s="1332"/>
      <c r="Q416" s="1332"/>
      <c r="R416" s="1332"/>
      <c r="S416" s="1332"/>
      <c r="T416" s="1332"/>
      <c r="U416" s="1332"/>
      <c r="V416" s="1332"/>
      <c r="W416" s="1332"/>
      <c r="X416" s="1332"/>
      <c r="Y416" s="1332"/>
      <c r="Z416" s="1332"/>
      <c r="AA416" s="1332"/>
      <c r="AB416" s="1332"/>
    </row>
    <row r="417">
      <c r="A417" s="1332"/>
      <c r="B417" s="1366"/>
      <c r="C417" s="1366"/>
      <c r="D417" s="1375"/>
      <c r="E417" s="1332"/>
      <c r="F417" s="1332"/>
      <c r="G417" s="1378"/>
      <c r="H417" s="1378"/>
      <c r="I417" s="1332"/>
      <c r="J417" s="1332"/>
      <c r="K417" s="1332"/>
      <c r="L417" s="1332"/>
      <c r="M417" s="1332"/>
      <c r="N417" s="1332"/>
      <c r="O417" s="1332"/>
      <c r="P417" s="1332"/>
      <c r="Q417" s="1332"/>
      <c r="R417" s="1332"/>
      <c r="S417" s="1332"/>
      <c r="T417" s="1332"/>
      <c r="U417" s="1332"/>
      <c r="V417" s="1332"/>
      <c r="W417" s="1332"/>
      <c r="X417" s="1332"/>
      <c r="Y417" s="1332"/>
      <c r="Z417" s="1332"/>
      <c r="AA417" s="1332"/>
      <c r="AB417" s="1332"/>
    </row>
    <row r="418">
      <c r="A418" s="1332"/>
      <c r="B418" s="1366"/>
      <c r="C418" s="1366"/>
      <c r="D418" s="1375"/>
      <c r="E418" s="1332"/>
      <c r="F418" s="1332"/>
      <c r="G418" s="1378"/>
      <c r="H418" s="1378"/>
      <c r="I418" s="1332"/>
      <c r="J418" s="1332"/>
      <c r="K418" s="1332"/>
      <c r="L418" s="1332"/>
      <c r="M418" s="1332"/>
      <c r="N418" s="1332"/>
      <c r="O418" s="1332"/>
      <c r="P418" s="1332"/>
      <c r="Q418" s="1332"/>
      <c r="R418" s="1332"/>
      <c r="S418" s="1332"/>
      <c r="T418" s="1332"/>
      <c r="U418" s="1332"/>
      <c r="V418" s="1332"/>
      <c r="W418" s="1332"/>
      <c r="X418" s="1332"/>
      <c r="Y418" s="1332"/>
      <c r="Z418" s="1332"/>
      <c r="AA418" s="1332"/>
      <c r="AB418" s="1332"/>
    </row>
    <row r="419">
      <c r="A419" s="1332"/>
      <c r="B419" s="1366"/>
      <c r="C419" s="1366"/>
      <c r="D419" s="1375"/>
      <c r="E419" s="1332"/>
      <c r="F419" s="1332"/>
      <c r="G419" s="1378"/>
      <c r="H419" s="1378"/>
      <c r="I419" s="1332"/>
      <c r="J419" s="1332"/>
      <c r="K419" s="1332"/>
      <c r="L419" s="1332"/>
      <c r="M419" s="1332"/>
      <c r="N419" s="1332"/>
      <c r="O419" s="1332"/>
      <c r="P419" s="1332"/>
      <c r="Q419" s="1332"/>
      <c r="R419" s="1332"/>
      <c r="S419" s="1332"/>
      <c r="T419" s="1332"/>
      <c r="U419" s="1332"/>
      <c r="V419" s="1332"/>
      <c r="W419" s="1332"/>
      <c r="X419" s="1332"/>
      <c r="Y419" s="1332"/>
      <c r="Z419" s="1332"/>
      <c r="AA419" s="1332"/>
      <c r="AB419" s="1332"/>
    </row>
    <row r="420">
      <c r="A420" s="1332"/>
      <c r="B420" s="1366"/>
      <c r="C420" s="1366"/>
      <c r="D420" s="1375"/>
      <c r="E420" s="1332"/>
      <c r="F420" s="1332"/>
      <c r="G420" s="1378"/>
      <c r="H420" s="1378"/>
      <c r="I420" s="1332"/>
      <c r="J420" s="1332"/>
      <c r="K420" s="1332"/>
      <c r="L420" s="1332"/>
      <c r="M420" s="1332"/>
      <c r="N420" s="1332"/>
      <c r="O420" s="1332"/>
      <c r="P420" s="1332"/>
      <c r="Q420" s="1332"/>
      <c r="R420" s="1332"/>
      <c r="S420" s="1332"/>
      <c r="T420" s="1332"/>
      <c r="U420" s="1332"/>
      <c r="V420" s="1332"/>
      <c r="W420" s="1332"/>
      <c r="X420" s="1332"/>
      <c r="Y420" s="1332"/>
      <c r="Z420" s="1332"/>
      <c r="AA420" s="1332"/>
      <c r="AB420" s="1332"/>
    </row>
    <row r="421">
      <c r="A421" s="1332"/>
      <c r="B421" s="1366"/>
      <c r="C421" s="1366"/>
      <c r="D421" s="1375"/>
      <c r="E421" s="1332"/>
      <c r="F421" s="1332"/>
      <c r="G421" s="1378"/>
      <c r="H421" s="1378"/>
      <c r="I421" s="1332"/>
      <c r="J421" s="1332"/>
      <c r="K421" s="1332"/>
      <c r="L421" s="1332"/>
      <c r="M421" s="1332"/>
      <c r="N421" s="1332"/>
      <c r="O421" s="1332"/>
      <c r="P421" s="1332"/>
      <c r="Q421" s="1332"/>
      <c r="R421" s="1332"/>
      <c r="S421" s="1332"/>
      <c r="T421" s="1332"/>
      <c r="U421" s="1332"/>
      <c r="V421" s="1332"/>
      <c r="W421" s="1332"/>
      <c r="X421" s="1332"/>
      <c r="Y421" s="1332"/>
      <c r="Z421" s="1332"/>
      <c r="AA421" s="1332"/>
      <c r="AB421" s="1332"/>
    </row>
    <row r="422">
      <c r="A422" s="1332"/>
      <c r="B422" s="1366"/>
      <c r="C422" s="1366"/>
      <c r="D422" s="1375"/>
      <c r="E422" s="1332"/>
      <c r="F422" s="1332"/>
      <c r="G422" s="1378"/>
      <c r="H422" s="1378"/>
      <c r="I422" s="1332"/>
      <c r="J422" s="1332"/>
      <c r="K422" s="1332"/>
      <c r="L422" s="1332"/>
      <c r="M422" s="1332"/>
      <c r="N422" s="1332"/>
      <c r="O422" s="1332"/>
      <c r="P422" s="1332"/>
      <c r="Q422" s="1332"/>
      <c r="R422" s="1332"/>
      <c r="S422" s="1332"/>
      <c r="T422" s="1332"/>
      <c r="U422" s="1332"/>
      <c r="V422" s="1332"/>
      <c r="W422" s="1332"/>
      <c r="X422" s="1332"/>
      <c r="Y422" s="1332"/>
      <c r="Z422" s="1332"/>
      <c r="AA422" s="1332"/>
      <c r="AB422" s="1332"/>
    </row>
    <row r="423">
      <c r="A423" s="1332"/>
      <c r="B423" s="1366"/>
      <c r="C423" s="1366"/>
      <c r="D423" s="1375"/>
      <c r="E423" s="1332"/>
      <c r="F423" s="1332"/>
      <c r="G423" s="1378"/>
      <c r="H423" s="1378"/>
      <c r="I423" s="1332"/>
      <c r="J423" s="1332"/>
      <c r="K423" s="1332"/>
      <c r="L423" s="1332"/>
      <c r="M423" s="1332"/>
      <c r="N423" s="1332"/>
      <c r="O423" s="1332"/>
      <c r="P423" s="1332"/>
      <c r="Q423" s="1332"/>
      <c r="R423" s="1332"/>
      <c r="S423" s="1332"/>
      <c r="T423" s="1332"/>
      <c r="U423" s="1332"/>
      <c r="V423" s="1332"/>
      <c r="W423" s="1332"/>
      <c r="X423" s="1332"/>
      <c r="Y423" s="1332"/>
      <c r="Z423" s="1332"/>
      <c r="AA423" s="1332"/>
      <c r="AB423" s="1332"/>
    </row>
    <row r="424">
      <c r="A424" s="1332"/>
      <c r="B424" s="1366"/>
      <c r="C424" s="1366"/>
      <c r="D424" s="1375"/>
      <c r="E424" s="1332"/>
      <c r="F424" s="1332"/>
      <c r="G424" s="1378"/>
      <c r="H424" s="1378"/>
      <c r="I424" s="1332"/>
      <c r="J424" s="1332"/>
      <c r="K424" s="1332"/>
      <c r="L424" s="1332"/>
      <c r="M424" s="1332"/>
      <c r="N424" s="1332"/>
      <c r="O424" s="1332"/>
      <c r="P424" s="1332"/>
      <c r="Q424" s="1332"/>
      <c r="R424" s="1332"/>
      <c r="S424" s="1332"/>
      <c r="T424" s="1332"/>
      <c r="U424" s="1332"/>
      <c r="V424" s="1332"/>
      <c r="W424" s="1332"/>
      <c r="X424" s="1332"/>
      <c r="Y424" s="1332"/>
      <c r="Z424" s="1332"/>
      <c r="AA424" s="1332"/>
      <c r="AB424" s="1332"/>
    </row>
    <row r="425">
      <c r="A425" s="1332"/>
      <c r="B425" s="1366"/>
      <c r="C425" s="1366"/>
      <c r="D425" s="1375"/>
      <c r="E425" s="1332"/>
      <c r="F425" s="1332"/>
      <c r="G425" s="1378"/>
      <c r="H425" s="1378"/>
      <c r="I425" s="1332"/>
      <c r="J425" s="1332"/>
      <c r="K425" s="1332"/>
      <c r="L425" s="1332"/>
      <c r="M425" s="1332"/>
      <c r="N425" s="1332"/>
      <c r="O425" s="1332"/>
      <c r="P425" s="1332"/>
      <c r="Q425" s="1332"/>
      <c r="R425" s="1332"/>
      <c r="S425" s="1332"/>
      <c r="T425" s="1332"/>
      <c r="U425" s="1332"/>
      <c r="V425" s="1332"/>
      <c r="W425" s="1332"/>
      <c r="X425" s="1332"/>
      <c r="Y425" s="1332"/>
      <c r="Z425" s="1332"/>
      <c r="AA425" s="1332"/>
      <c r="AB425" s="1332"/>
    </row>
    <row r="426">
      <c r="A426" s="1332"/>
      <c r="B426" s="1366"/>
      <c r="C426" s="1366"/>
      <c r="D426" s="1375"/>
      <c r="E426" s="1332"/>
      <c r="F426" s="1332"/>
      <c r="G426" s="1378"/>
      <c r="H426" s="1378"/>
      <c r="I426" s="1332"/>
      <c r="J426" s="1332"/>
      <c r="K426" s="1332"/>
      <c r="L426" s="1332"/>
      <c r="M426" s="1332"/>
      <c r="N426" s="1332"/>
      <c r="O426" s="1332"/>
      <c r="P426" s="1332"/>
      <c r="Q426" s="1332"/>
      <c r="R426" s="1332"/>
      <c r="S426" s="1332"/>
      <c r="T426" s="1332"/>
      <c r="U426" s="1332"/>
      <c r="V426" s="1332"/>
      <c r="W426" s="1332"/>
      <c r="X426" s="1332"/>
      <c r="Y426" s="1332"/>
      <c r="Z426" s="1332"/>
      <c r="AA426" s="1332"/>
      <c r="AB426" s="1332"/>
    </row>
    <row r="427">
      <c r="A427" s="1332"/>
      <c r="B427" s="1366"/>
      <c r="C427" s="1366"/>
      <c r="D427" s="1375"/>
      <c r="E427" s="1332"/>
      <c r="F427" s="1332"/>
      <c r="G427" s="1378"/>
      <c r="H427" s="1378"/>
      <c r="I427" s="1332"/>
      <c r="J427" s="1332"/>
      <c r="K427" s="1332"/>
      <c r="L427" s="1332"/>
      <c r="M427" s="1332"/>
      <c r="N427" s="1332"/>
      <c r="O427" s="1332"/>
      <c r="P427" s="1332"/>
      <c r="Q427" s="1332"/>
      <c r="R427" s="1332"/>
      <c r="S427" s="1332"/>
      <c r="T427" s="1332"/>
      <c r="U427" s="1332"/>
      <c r="V427" s="1332"/>
      <c r="W427" s="1332"/>
      <c r="X427" s="1332"/>
      <c r="Y427" s="1332"/>
      <c r="Z427" s="1332"/>
      <c r="AA427" s="1332"/>
      <c r="AB427" s="1332"/>
    </row>
    <row r="428">
      <c r="A428" s="1332"/>
      <c r="B428" s="1366"/>
      <c r="C428" s="1366"/>
      <c r="D428" s="1375"/>
      <c r="E428" s="1332"/>
      <c r="F428" s="1332"/>
      <c r="G428" s="1378"/>
      <c r="H428" s="1378"/>
      <c r="I428" s="1332"/>
      <c r="J428" s="1332"/>
      <c r="K428" s="1332"/>
      <c r="L428" s="1332"/>
      <c r="M428" s="1332"/>
      <c r="N428" s="1332"/>
      <c r="O428" s="1332"/>
      <c r="P428" s="1332"/>
      <c r="Q428" s="1332"/>
      <c r="R428" s="1332"/>
      <c r="S428" s="1332"/>
      <c r="T428" s="1332"/>
      <c r="U428" s="1332"/>
      <c r="V428" s="1332"/>
      <c r="W428" s="1332"/>
      <c r="X428" s="1332"/>
      <c r="Y428" s="1332"/>
      <c r="Z428" s="1332"/>
      <c r="AA428" s="1332"/>
      <c r="AB428" s="1332"/>
    </row>
    <row r="429">
      <c r="A429" s="1332"/>
      <c r="B429" s="1366"/>
      <c r="C429" s="1366"/>
      <c r="D429" s="1375"/>
      <c r="E429" s="1332"/>
      <c r="F429" s="1332"/>
      <c r="G429" s="1378"/>
      <c r="H429" s="1378"/>
      <c r="I429" s="1332"/>
      <c r="J429" s="1332"/>
      <c r="K429" s="1332"/>
      <c r="L429" s="1332"/>
      <c r="M429" s="1332"/>
      <c r="N429" s="1332"/>
      <c r="O429" s="1332"/>
      <c r="P429" s="1332"/>
      <c r="Q429" s="1332"/>
      <c r="R429" s="1332"/>
      <c r="S429" s="1332"/>
      <c r="T429" s="1332"/>
      <c r="U429" s="1332"/>
      <c r="V429" s="1332"/>
      <c r="W429" s="1332"/>
      <c r="X429" s="1332"/>
      <c r="Y429" s="1332"/>
      <c r="Z429" s="1332"/>
      <c r="AA429" s="1332"/>
      <c r="AB429" s="1332"/>
    </row>
    <row r="430">
      <c r="A430" s="1332"/>
      <c r="B430" s="1366"/>
      <c r="C430" s="1366"/>
      <c r="D430" s="1375"/>
      <c r="E430" s="1332"/>
      <c r="F430" s="1332"/>
      <c r="G430" s="1378"/>
      <c r="H430" s="1378"/>
      <c r="I430" s="1332"/>
      <c r="J430" s="1332"/>
      <c r="K430" s="1332"/>
      <c r="L430" s="1332"/>
      <c r="M430" s="1332"/>
      <c r="N430" s="1332"/>
      <c r="O430" s="1332"/>
      <c r="P430" s="1332"/>
      <c r="Q430" s="1332"/>
      <c r="R430" s="1332"/>
      <c r="S430" s="1332"/>
      <c r="T430" s="1332"/>
      <c r="U430" s="1332"/>
      <c r="V430" s="1332"/>
      <c r="W430" s="1332"/>
      <c r="X430" s="1332"/>
      <c r="Y430" s="1332"/>
      <c r="Z430" s="1332"/>
      <c r="AA430" s="1332"/>
      <c r="AB430" s="1332"/>
    </row>
    <row r="431">
      <c r="A431" s="1332"/>
      <c r="B431" s="1366"/>
      <c r="C431" s="1366"/>
      <c r="D431" s="1375"/>
      <c r="E431" s="1332"/>
      <c r="F431" s="1332"/>
      <c r="G431" s="1378"/>
      <c r="H431" s="1378"/>
      <c r="I431" s="1332"/>
      <c r="J431" s="1332"/>
      <c r="K431" s="1332"/>
      <c r="L431" s="1332"/>
      <c r="M431" s="1332"/>
      <c r="N431" s="1332"/>
      <c r="O431" s="1332"/>
      <c r="P431" s="1332"/>
      <c r="Q431" s="1332"/>
      <c r="R431" s="1332"/>
      <c r="S431" s="1332"/>
      <c r="T431" s="1332"/>
      <c r="U431" s="1332"/>
      <c r="V431" s="1332"/>
      <c r="W431" s="1332"/>
      <c r="X431" s="1332"/>
      <c r="Y431" s="1332"/>
      <c r="Z431" s="1332"/>
      <c r="AA431" s="1332"/>
      <c r="AB431" s="1332"/>
    </row>
    <row r="432">
      <c r="A432" s="1332"/>
      <c r="B432" s="1366"/>
      <c r="C432" s="1366"/>
      <c r="D432" s="1375"/>
      <c r="E432" s="1332"/>
      <c r="F432" s="1332"/>
      <c r="G432" s="1378"/>
      <c r="H432" s="1378"/>
      <c r="I432" s="1332"/>
      <c r="J432" s="1332"/>
      <c r="K432" s="1332"/>
      <c r="L432" s="1332"/>
      <c r="M432" s="1332"/>
      <c r="N432" s="1332"/>
      <c r="O432" s="1332"/>
      <c r="P432" s="1332"/>
      <c r="Q432" s="1332"/>
      <c r="R432" s="1332"/>
      <c r="S432" s="1332"/>
      <c r="T432" s="1332"/>
      <c r="U432" s="1332"/>
      <c r="V432" s="1332"/>
      <c r="W432" s="1332"/>
      <c r="X432" s="1332"/>
      <c r="Y432" s="1332"/>
      <c r="Z432" s="1332"/>
      <c r="AA432" s="1332"/>
      <c r="AB432" s="1332"/>
    </row>
    <row r="433">
      <c r="A433" s="1332"/>
      <c r="B433" s="1366"/>
      <c r="C433" s="1366"/>
      <c r="D433" s="1375"/>
      <c r="E433" s="1332"/>
      <c r="F433" s="1332"/>
      <c r="G433" s="1378"/>
      <c r="H433" s="1378"/>
      <c r="I433" s="1332"/>
      <c r="J433" s="1332"/>
      <c r="K433" s="1332"/>
      <c r="L433" s="1332"/>
      <c r="M433" s="1332"/>
      <c r="N433" s="1332"/>
      <c r="O433" s="1332"/>
      <c r="P433" s="1332"/>
      <c r="Q433" s="1332"/>
      <c r="R433" s="1332"/>
      <c r="S433" s="1332"/>
      <c r="T433" s="1332"/>
      <c r="U433" s="1332"/>
      <c r="V433" s="1332"/>
      <c r="W433" s="1332"/>
      <c r="X433" s="1332"/>
      <c r="Y433" s="1332"/>
      <c r="Z433" s="1332"/>
      <c r="AA433" s="1332"/>
      <c r="AB433" s="1332"/>
    </row>
    <row r="434">
      <c r="A434" s="1332"/>
      <c r="B434" s="1366"/>
      <c r="C434" s="1366"/>
      <c r="D434" s="1375"/>
      <c r="E434" s="1332"/>
      <c r="F434" s="1332"/>
      <c r="G434" s="1378"/>
      <c r="H434" s="1378"/>
      <c r="I434" s="1332"/>
      <c r="J434" s="1332"/>
      <c r="K434" s="1332"/>
      <c r="L434" s="1332"/>
      <c r="M434" s="1332"/>
      <c r="N434" s="1332"/>
      <c r="O434" s="1332"/>
      <c r="P434" s="1332"/>
      <c r="Q434" s="1332"/>
      <c r="R434" s="1332"/>
      <c r="S434" s="1332"/>
      <c r="T434" s="1332"/>
      <c r="U434" s="1332"/>
      <c r="V434" s="1332"/>
      <c r="W434" s="1332"/>
      <c r="X434" s="1332"/>
      <c r="Y434" s="1332"/>
      <c r="Z434" s="1332"/>
      <c r="AA434" s="1332"/>
      <c r="AB434" s="1332"/>
    </row>
    <row r="435">
      <c r="A435" s="1332"/>
      <c r="B435" s="1366"/>
      <c r="C435" s="1366"/>
      <c r="D435" s="1375"/>
      <c r="E435" s="1332"/>
      <c r="F435" s="1332"/>
      <c r="G435" s="1378"/>
      <c r="H435" s="1378"/>
      <c r="I435" s="1332"/>
      <c r="J435" s="1332"/>
      <c r="K435" s="1332"/>
      <c r="L435" s="1332"/>
      <c r="M435" s="1332"/>
      <c r="N435" s="1332"/>
      <c r="O435" s="1332"/>
      <c r="P435" s="1332"/>
      <c r="Q435" s="1332"/>
      <c r="R435" s="1332"/>
      <c r="S435" s="1332"/>
      <c r="T435" s="1332"/>
      <c r="U435" s="1332"/>
      <c r="V435" s="1332"/>
      <c r="W435" s="1332"/>
      <c r="X435" s="1332"/>
      <c r="Y435" s="1332"/>
      <c r="Z435" s="1332"/>
      <c r="AA435" s="1332"/>
      <c r="AB435" s="1332"/>
    </row>
    <row r="436">
      <c r="A436" s="1332"/>
      <c r="B436" s="1366"/>
      <c r="C436" s="1366"/>
      <c r="D436" s="1375"/>
      <c r="E436" s="1332"/>
      <c r="F436" s="1332"/>
      <c r="G436" s="1378"/>
      <c r="H436" s="1378"/>
      <c r="I436" s="1332"/>
      <c r="J436" s="1332"/>
      <c r="K436" s="1332"/>
      <c r="L436" s="1332"/>
      <c r="M436" s="1332"/>
      <c r="N436" s="1332"/>
      <c r="O436" s="1332"/>
      <c r="P436" s="1332"/>
      <c r="Q436" s="1332"/>
      <c r="R436" s="1332"/>
      <c r="S436" s="1332"/>
      <c r="T436" s="1332"/>
      <c r="U436" s="1332"/>
      <c r="V436" s="1332"/>
      <c r="W436" s="1332"/>
      <c r="X436" s="1332"/>
      <c r="Y436" s="1332"/>
      <c r="Z436" s="1332"/>
      <c r="AA436" s="1332"/>
      <c r="AB436" s="1332"/>
    </row>
    <row r="437">
      <c r="A437" s="1332"/>
      <c r="B437" s="1366"/>
      <c r="C437" s="1366"/>
      <c r="D437" s="1375"/>
      <c r="E437" s="1332"/>
      <c r="F437" s="1332"/>
      <c r="G437" s="1378"/>
      <c r="H437" s="1378"/>
      <c r="I437" s="1332"/>
      <c r="J437" s="1332"/>
      <c r="K437" s="1332"/>
      <c r="L437" s="1332"/>
      <c r="M437" s="1332"/>
      <c r="N437" s="1332"/>
      <c r="O437" s="1332"/>
      <c r="P437" s="1332"/>
      <c r="Q437" s="1332"/>
      <c r="R437" s="1332"/>
      <c r="S437" s="1332"/>
      <c r="T437" s="1332"/>
      <c r="U437" s="1332"/>
      <c r="V437" s="1332"/>
      <c r="W437" s="1332"/>
      <c r="X437" s="1332"/>
      <c r="Y437" s="1332"/>
      <c r="Z437" s="1332"/>
      <c r="AA437" s="1332"/>
      <c r="AB437" s="1332"/>
    </row>
    <row r="438">
      <c r="A438" s="1332"/>
      <c r="B438" s="1366"/>
      <c r="C438" s="1366"/>
      <c r="D438" s="1375"/>
      <c r="E438" s="1332"/>
      <c r="F438" s="1332"/>
      <c r="G438" s="1378"/>
      <c r="H438" s="1378"/>
      <c r="I438" s="1332"/>
      <c r="J438" s="1332"/>
      <c r="K438" s="1332"/>
      <c r="L438" s="1332"/>
      <c r="M438" s="1332"/>
      <c r="N438" s="1332"/>
      <c r="O438" s="1332"/>
      <c r="P438" s="1332"/>
      <c r="Q438" s="1332"/>
      <c r="R438" s="1332"/>
      <c r="S438" s="1332"/>
      <c r="T438" s="1332"/>
      <c r="U438" s="1332"/>
      <c r="V438" s="1332"/>
      <c r="W438" s="1332"/>
      <c r="X438" s="1332"/>
      <c r="Y438" s="1332"/>
      <c r="Z438" s="1332"/>
      <c r="AA438" s="1332"/>
      <c r="AB438" s="1332"/>
    </row>
    <row r="439">
      <c r="A439" s="1332"/>
      <c r="B439" s="1366"/>
      <c r="C439" s="1366"/>
      <c r="D439" s="1375"/>
      <c r="E439" s="1332"/>
      <c r="F439" s="1332"/>
      <c r="G439" s="1378"/>
      <c r="H439" s="1378"/>
      <c r="I439" s="1332"/>
      <c r="J439" s="1332"/>
      <c r="K439" s="1332"/>
      <c r="L439" s="1332"/>
      <c r="M439" s="1332"/>
      <c r="N439" s="1332"/>
      <c r="O439" s="1332"/>
      <c r="P439" s="1332"/>
      <c r="Q439" s="1332"/>
      <c r="R439" s="1332"/>
      <c r="S439" s="1332"/>
      <c r="T439" s="1332"/>
      <c r="U439" s="1332"/>
      <c r="V439" s="1332"/>
      <c r="W439" s="1332"/>
      <c r="X439" s="1332"/>
      <c r="Y439" s="1332"/>
      <c r="Z439" s="1332"/>
      <c r="AA439" s="1332"/>
      <c r="AB439" s="1332"/>
    </row>
    <row r="440">
      <c r="A440" s="1332"/>
      <c r="B440" s="1366"/>
      <c r="C440" s="1366"/>
      <c r="D440" s="1375"/>
      <c r="E440" s="1332"/>
      <c r="F440" s="1332"/>
      <c r="G440" s="1378"/>
      <c r="H440" s="1378"/>
      <c r="I440" s="1332"/>
      <c r="J440" s="1332"/>
      <c r="K440" s="1332"/>
      <c r="L440" s="1332"/>
      <c r="M440" s="1332"/>
      <c r="N440" s="1332"/>
      <c r="O440" s="1332"/>
      <c r="P440" s="1332"/>
      <c r="Q440" s="1332"/>
      <c r="R440" s="1332"/>
      <c r="S440" s="1332"/>
      <c r="T440" s="1332"/>
      <c r="U440" s="1332"/>
      <c r="V440" s="1332"/>
      <c r="W440" s="1332"/>
      <c r="X440" s="1332"/>
      <c r="Y440" s="1332"/>
      <c r="Z440" s="1332"/>
      <c r="AA440" s="1332"/>
      <c r="AB440" s="1332"/>
    </row>
    <row r="441">
      <c r="A441" s="1332"/>
      <c r="B441" s="1366"/>
      <c r="C441" s="1366"/>
      <c r="D441" s="1375"/>
      <c r="E441" s="1332"/>
      <c r="F441" s="1332"/>
      <c r="G441" s="1378"/>
      <c r="H441" s="1378"/>
      <c r="I441" s="1332"/>
      <c r="J441" s="1332"/>
      <c r="K441" s="1332"/>
      <c r="L441" s="1332"/>
      <c r="M441" s="1332"/>
      <c r="N441" s="1332"/>
      <c r="O441" s="1332"/>
      <c r="P441" s="1332"/>
      <c r="Q441" s="1332"/>
      <c r="R441" s="1332"/>
      <c r="S441" s="1332"/>
      <c r="T441" s="1332"/>
      <c r="U441" s="1332"/>
      <c r="V441" s="1332"/>
      <c r="W441" s="1332"/>
      <c r="X441" s="1332"/>
      <c r="Y441" s="1332"/>
      <c r="Z441" s="1332"/>
      <c r="AA441" s="1332"/>
      <c r="AB441" s="1332"/>
    </row>
    <row r="442">
      <c r="A442" s="1332"/>
      <c r="B442" s="1366"/>
      <c r="C442" s="1366"/>
      <c r="D442" s="1375"/>
      <c r="E442" s="1332"/>
      <c r="F442" s="1332"/>
      <c r="G442" s="1378"/>
      <c r="H442" s="1378"/>
      <c r="I442" s="1332"/>
      <c r="J442" s="1332"/>
      <c r="K442" s="1332"/>
      <c r="L442" s="1332"/>
      <c r="M442" s="1332"/>
      <c r="N442" s="1332"/>
      <c r="O442" s="1332"/>
      <c r="P442" s="1332"/>
      <c r="Q442" s="1332"/>
      <c r="R442" s="1332"/>
      <c r="S442" s="1332"/>
      <c r="T442" s="1332"/>
      <c r="U442" s="1332"/>
      <c r="V442" s="1332"/>
      <c r="W442" s="1332"/>
      <c r="X442" s="1332"/>
      <c r="Y442" s="1332"/>
      <c r="Z442" s="1332"/>
      <c r="AA442" s="1332"/>
      <c r="AB442" s="1332"/>
    </row>
    <row r="443">
      <c r="A443" s="1332"/>
      <c r="B443" s="1366"/>
      <c r="C443" s="1366"/>
      <c r="D443" s="1375"/>
      <c r="E443" s="1332"/>
      <c r="F443" s="1332"/>
      <c r="G443" s="1378"/>
      <c r="H443" s="1378"/>
      <c r="I443" s="1332"/>
      <c r="J443" s="1332"/>
      <c r="K443" s="1332"/>
      <c r="L443" s="1332"/>
      <c r="M443" s="1332"/>
      <c r="N443" s="1332"/>
      <c r="O443" s="1332"/>
      <c r="P443" s="1332"/>
      <c r="Q443" s="1332"/>
      <c r="R443" s="1332"/>
      <c r="S443" s="1332"/>
      <c r="T443" s="1332"/>
      <c r="U443" s="1332"/>
      <c r="V443" s="1332"/>
      <c r="W443" s="1332"/>
      <c r="X443" s="1332"/>
      <c r="Y443" s="1332"/>
      <c r="Z443" s="1332"/>
      <c r="AA443" s="1332"/>
      <c r="AB443" s="1332"/>
    </row>
    <row r="444">
      <c r="A444" s="1332"/>
      <c r="B444" s="1366"/>
      <c r="C444" s="1366"/>
      <c r="D444" s="1375"/>
      <c r="E444" s="1332"/>
      <c r="F444" s="1332"/>
      <c r="G444" s="1378"/>
      <c r="H444" s="1378"/>
      <c r="I444" s="1332"/>
      <c r="J444" s="1332"/>
      <c r="K444" s="1332"/>
      <c r="L444" s="1332"/>
      <c r="M444" s="1332"/>
      <c r="N444" s="1332"/>
      <c r="O444" s="1332"/>
      <c r="P444" s="1332"/>
      <c r="Q444" s="1332"/>
      <c r="R444" s="1332"/>
      <c r="S444" s="1332"/>
      <c r="T444" s="1332"/>
      <c r="U444" s="1332"/>
      <c r="V444" s="1332"/>
      <c r="W444" s="1332"/>
      <c r="X444" s="1332"/>
      <c r="Y444" s="1332"/>
      <c r="Z444" s="1332"/>
      <c r="AA444" s="1332"/>
      <c r="AB444" s="1332"/>
    </row>
    <row r="445">
      <c r="A445" s="1332"/>
      <c r="B445" s="1366"/>
      <c r="C445" s="1366"/>
      <c r="D445" s="1375"/>
      <c r="E445" s="1332"/>
      <c r="F445" s="1332"/>
      <c r="G445" s="1378"/>
      <c r="H445" s="1378"/>
      <c r="I445" s="1332"/>
      <c r="J445" s="1332"/>
      <c r="K445" s="1332"/>
      <c r="L445" s="1332"/>
      <c r="M445" s="1332"/>
      <c r="N445" s="1332"/>
      <c r="O445" s="1332"/>
      <c r="P445" s="1332"/>
      <c r="Q445" s="1332"/>
      <c r="R445" s="1332"/>
      <c r="S445" s="1332"/>
      <c r="T445" s="1332"/>
      <c r="U445" s="1332"/>
      <c r="V445" s="1332"/>
      <c r="W445" s="1332"/>
      <c r="X445" s="1332"/>
      <c r="Y445" s="1332"/>
      <c r="Z445" s="1332"/>
      <c r="AA445" s="1332"/>
      <c r="AB445" s="1332"/>
    </row>
    <row r="446">
      <c r="A446" s="1332"/>
      <c r="B446" s="1366"/>
      <c r="C446" s="1366"/>
      <c r="D446" s="1375"/>
      <c r="E446" s="1332"/>
      <c r="F446" s="1332"/>
      <c r="G446" s="1378"/>
      <c r="H446" s="1378"/>
      <c r="I446" s="1332"/>
      <c r="J446" s="1332"/>
      <c r="K446" s="1332"/>
      <c r="L446" s="1332"/>
      <c r="M446" s="1332"/>
      <c r="N446" s="1332"/>
      <c r="O446" s="1332"/>
      <c r="P446" s="1332"/>
      <c r="Q446" s="1332"/>
      <c r="R446" s="1332"/>
      <c r="S446" s="1332"/>
      <c r="T446" s="1332"/>
      <c r="U446" s="1332"/>
      <c r="V446" s="1332"/>
      <c r="W446" s="1332"/>
      <c r="X446" s="1332"/>
      <c r="Y446" s="1332"/>
      <c r="Z446" s="1332"/>
      <c r="AA446" s="1332"/>
      <c r="AB446" s="1332"/>
    </row>
    <row r="447">
      <c r="A447" s="1332"/>
      <c r="B447" s="1366"/>
      <c r="C447" s="1366"/>
      <c r="D447" s="1375"/>
      <c r="E447" s="1332"/>
      <c r="F447" s="1332"/>
      <c r="G447" s="1378"/>
      <c r="H447" s="1378"/>
      <c r="I447" s="1332"/>
      <c r="J447" s="1332"/>
      <c r="K447" s="1332"/>
      <c r="L447" s="1332"/>
      <c r="M447" s="1332"/>
      <c r="N447" s="1332"/>
      <c r="O447" s="1332"/>
      <c r="P447" s="1332"/>
      <c r="Q447" s="1332"/>
      <c r="R447" s="1332"/>
      <c r="S447" s="1332"/>
      <c r="T447" s="1332"/>
      <c r="U447" s="1332"/>
      <c r="V447" s="1332"/>
      <c r="W447" s="1332"/>
      <c r="X447" s="1332"/>
      <c r="Y447" s="1332"/>
      <c r="Z447" s="1332"/>
      <c r="AA447" s="1332"/>
      <c r="AB447" s="1332"/>
    </row>
    <row r="448">
      <c r="A448" s="1332"/>
      <c r="B448" s="1366"/>
      <c r="C448" s="1366"/>
      <c r="D448" s="1375"/>
      <c r="E448" s="1332"/>
      <c r="F448" s="1332"/>
      <c r="G448" s="1378"/>
      <c r="H448" s="1378"/>
      <c r="I448" s="1332"/>
      <c r="J448" s="1332"/>
      <c r="K448" s="1332"/>
      <c r="L448" s="1332"/>
      <c r="M448" s="1332"/>
      <c r="N448" s="1332"/>
      <c r="O448" s="1332"/>
      <c r="P448" s="1332"/>
      <c r="Q448" s="1332"/>
      <c r="R448" s="1332"/>
      <c r="S448" s="1332"/>
      <c r="T448" s="1332"/>
      <c r="U448" s="1332"/>
      <c r="V448" s="1332"/>
      <c r="W448" s="1332"/>
      <c r="X448" s="1332"/>
      <c r="Y448" s="1332"/>
      <c r="Z448" s="1332"/>
      <c r="AA448" s="1332"/>
      <c r="AB448" s="1332"/>
    </row>
    <row r="449">
      <c r="A449" s="1332"/>
      <c r="B449" s="1366"/>
      <c r="C449" s="1366"/>
      <c r="D449" s="1375"/>
      <c r="E449" s="1332"/>
      <c r="F449" s="1332"/>
      <c r="G449" s="1378"/>
      <c r="H449" s="1378"/>
      <c r="I449" s="1332"/>
      <c r="J449" s="1332"/>
      <c r="K449" s="1332"/>
      <c r="L449" s="1332"/>
      <c r="M449" s="1332"/>
      <c r="N449" s="1332"/>
      <c r="O449" s="1332"/>
      <c r="P449" s="1332"/>
      <c r="Q449" s="1332"/>
      <c r="R449" s="1332"/>
      <c r="S449" s="1332"/>
      <c r="T449" s="1332"/>
      <c r="U449" s="1332"/>
      <c r="V449" s="1332"/>
      <c r="W449" s="1332"/>
      <c r="X449" s="1332"/>
      <c r="Y449" s="1332"/>
      <c r="Z449" s="1332"/>
      <c r="AA449" s="1332"/>
      <c r="AB449" s="1332"/>
    </row>
    <row r="450">
      <c r="A450" s="1332"/>
      <c r="B450" s="1366"/>
      <c r="C450" s="1366"/>
      <c r="D450" s="1375"/>
      <c r="E450" s="1332"/>
      <c r="F450" s="1332"/>
      <c r="G450" s="1378"/>
      <c r="H450" s="1378"/>
      <c r="I450" s="1332"/>
      <c r="J450" s="1332"/>
      <c r="K450" s="1332"/>
      <c r="L450" s="1332"/>
      <c r="M450" s="1332"/>
      <c r="N450" s="1332"/>
      <c r="O450" s="1332"/>
      <c r="P450" s="1332"/>
      <c r="Q450" s="1332"/>
      <c r="R450" s="1332"/>
      <c r="S450" s="1332"/>
      <c r="T450" s="1332"/>
      <c r="U450" s="1332"/>
      <c r="V450" s="1332"/>
      <c r="W450" s="1332"/>
      <c r="X450" s="1332"/>
      <c r="Y450" s="1332"/>
      <c r="Z450" s="1332"/>
      <c r="AA450" s="1332"/>
      <c r="AB450" s="1332"/>
    </row>
    <row r="451">
      <c r="A451" s="1332"/>
      <c r="B451" s="1366"/>
      <c r="C451" s="1366"/>
      <c r="D451" s="1375"/>
      <c r="E451" s="1332"/>
      <c r="F451" s="1332"/>
      <c r="G451" s="1378"/>
      <c r="H451" s="1378"/>
      <c r="I451" s="1332"/>
      <c r="J451" s="1332"/>
      <c r="K451" s="1332"/>
      <c r="L451" s="1332"/>
      <c r="M451" s="1332"/>
      <c r="N451" s="1332"/>
      <c r="O451" s="1332"/>
      <c r="P451" s="1332"/>
      <c r="Q451" s="1332"/>
      <c r="R451" s="1332"/>
      <c r="S451" s="1332"/>
      <c r="T451" s="1332"/>
      <c r="U451" s="1332"/>
      <c r="V451" s="1332"/>
      <c r="W451" s="1332"/>
      <c r="X451" s="1332"/>
      <c r="Y451" s="1332"/>
      <c r="Z451" s="1332"/>
      <c r="AA451" s="1332"/>
      <c r="AB451" s="1332"/>
    </row>
    <row r="452">
      <c r="A452" s="1332"/>
      <c r="B452" s="1366"/>
      <c r="C452" s="1366"/>
      <c r="D452" s="1375"/>
      <c r="E452" s="1332"/>
      <c r="F452" s="1332"/>
      <c r="G452" s="1378"/>
      <c r="H452" s="1378"/>
      <c r="I452" s="1332"/>
      <c r="J452" s="1332"/>
      <c r="K452" s="1332"/>
      <c r="L452" s="1332"/>
      <c r="M452" s="1332"/>
      <c r="N452" s="1332"/>
      <c r="O452" s="1332"/>
      <c r="P452" s="1332"/>
      <c r="Q452" s="1332"/>
      <c r="R452" s="1332"/>
      <c r="S452" s="1332"/>
      <c r="T452" s="1332"/>
      <c r="U452" s="1332"/>
      <c r="V452" s="1332"/>
      <c r="W452" s="1332"/>
      <c r="X452" s="1332"/>
      <c r="Y452" s="1332"/>
      <c r="Z452" s="1332"/>
      <c r="AA452" s="1332"/>
      <c r="AB452" s="1332"/>
    </row>
    <row r="453">
      <c r="A453" s="1332"/>
      <c r="B453" s="1366"/>
      <c r="C453" s="1366"/>
      <c r="D453" s="1375"/>
      <c r="E453" s="1332"/>
      <c r="F453" s="1332"/>
      <c r="G453" s="1378"/>
      <c r="H453" s="1378"/>
      <c r="I453" s="1332"/>
      <c r="J453" s="1332"/>
      <c r="K453" s="1332"/>
      <c r="L453" s="1332"/>
      <c r="M453" s="1332"/>
      <c r="N453" s="1332"/>
      <c r="O453" s="1332"/>
      <c r="P453" s="1332"/>
      <c r="Q453" s="1332"/>
      <c r="R453" s="1332"/>
      <c r="S453" s="1332"/>
      <c r="T453" s="1332"/>
      <c r="U453" s="1332"/>
      <c r="V453" s="1332"/>
      <c r="W453" s="1332"/>
      <c r="X453" s="1332"/>
      <c r="Y453" s="1332"/>
      <c r="Z453" s="1332"/>
      <c r="AA453" s="1332"/>
      <c r="AB453" s="1332"/>
    </row>
    <row r="454">
      <c r="A454" s="1332"/>
      <c r="B454" s="1366"/>
      <c r="C454" s="1366"/>
      <c r="D454" s="1375"/>
      <c r="E454" s="1332"/>
      <c r="F454" s="1332"/>
      <c r="G454" s="1378"/>
      <c r="H454" s="1378"/>
      <c r="I454" s="1332"/>
      <c r="J454" s="1332"/>
      <c r="K454" s="1332"/>
      <c r="L454" s="1332"/>
      <c r="M454" s="1332"/>
      <c r="N454" s="1332"/>
      <c r="O454" s="1332"/>
      <c r="P454" s="1332"/>
      <c r="Q454" s="1332"/>
      <c r="R454" s="1332"/>
      <c r="S454" s="1332"/>
      <c r="T454" s="1332"/>
      <c r="U454" s="1332"/>
      <c r="V454" s="1332"/>
      <c r="W454" s="1332"/>
      <c r="X454" s="1332"/>
      <c r="Y454" s="1332"/>
      <c r="Z454" s="1332"/>
      <c r="AA454" s="1332"/>
      <c r="AB454" s="1332"/>
    </row>
    <row r="455">
      <c r="A455" s="1332"/>
      <c r="B455" s="1366"/>
      <c r="C455" s="1366"/>
      <c r="D455" s="1375"/>
      <c r="E455" s="1332"/>
      <c r="F455" s="1332"/>
      <c r="G455" s="1378"/>
      <c r="H455" s="1378"/>
      <c r="I455" s="1332"/>
      <c r="J455" s="1332"/>
      <c r="K455" s="1332"/>
      <c r="L455" s="1332"/>
      <c r="M455" s="1332"/>
      <c r="N455" s="1332"/>
      <c r="O455" s="1332"/>
      <c r="P455" s="1332"/>
      <c r="Q455" s="1332"/>
      <c r="R455" s="1332"/>
      <c r="S455" s="1332"/>
      <c r="T455" s="1332"/>
      <c r="U455" s="1332"/>
      <c r="V455" s="1332"/>
      <c r="W455" s="1332"/>
      <c r="X455" s="1332"/>
      <c r="Y455" s="1332"/>
      <c r="Z455" s="1332"/>
      <c r="AA455" s="1332"/>
      <c r="AB455" s="1332"/>
    </row>
    <row r="456">
      <c r="A456" s="1332"/>
      <c r="B456" s="1366"/>
      <c r="C456" s="1366"/>
      <c r="D456" s="1375"/>
      <c r="E456" s="1332"/>
      <c r="F456" s="1332"/>
      <c r="G456" s="1378"/>
      <c r="H456" s="1378"/>
      <c r="I456" s="1332"/>
      <c r="J456" s="1332"/>
      <c r="K456" s="1332"/>
      <c r="L456" s="1332"/>
      <c r="M456" s="1332"/>
      <c r="N456" s="1332"/>
      <c r="O456" s="1332"/>
      <c r="P456" s="1332"/>
      <c r="Q456" s="1332"/>
      <c r="R456" s="1332"/>
      <c r="S456" s="1332"/>
      <c r="T456" s="1332"/>
      <c r="U456" s="1332"/>
      <c r="V456" s="1332"/>
      <c r="W456" s="1332"/>
      <c r="X456" s="1332"/>
      <c r="Y456" s="1332"/>
      <c r="Z456" s="1332"/>
      <c r="AA456" s="1332"/>
      <c r="AB456" s="1332"/>
    </row>
    <row r="457">
      <c r="A457" s="1332"/>
      <c r="B457" s="1366"/>
      <c r="C457" s="1366"/>
      <c r="D457" s="1375"/>
      <c r="E457" s="1332"/>
      <c r="F457" s="1332"/>
      <c r="G457" s="1378"/>
      <c r="H457" s="1378"/>
      <c r="I457" s="1332"/>
      <c r="J457" s="1332"/>
      <c r="K457" s="1332"/>
      <c r="L457" s="1332"/>
      <c r="M457" s="1332"/>
      <c r="N457" s="1332"/>
      <c r="O457" s="1332"/>
      <c r="P457" s="1332"/>
      <c r="Q457" s="1332"/>
      <c r="R457" s="1332"/>
      <c r="S457" s="1332"/>
      <c r="T457" s="1332"/>
      <c r="U457" s="1332"/>
      <c r="V457" s="1332"/>
      <c r="W457" s="1332"/>
      <c r="X457" s="1332"/>
      <c r="Y457" s="1332"/>
      <c r="Z457" s="1332"/>
      <c r="AA457" s="1332"/>
      <c r="AB457" s="1332"/>
    </row>
    <row r="458">
      <c r="A458" s="1332"/>
      <c r="B458" s="1366"/>
      <c r="C458" s="1366"/>
      <c r="D458" s="1375"/>
      <c r="E458" s="1332"/>
      <c r="F458" s="1332"/>
      <c r="G458" s="1378"/>
      <c r="H458" s="1378"/>
      <c r="I458" s="1332"/>
      <c r="J458" s="1332"/>
      <c r="K458" s="1332"/>
      <c r="L458" s="1332"/>
      <c r="M458" s="1332"/>
      <c r="N458" s="1332"/>
      <c r="O458" s="1332"/>
      <c r="P458" s="1332"/>
      <c r="Q458" s="1332"/>
      <c r="R458" s="1332"/>
      <c r="S458" s="1332"/>
      <c r="T458" s="1332"/>
      <c r="U458" s="1332"/>
      <c r="V458" s="1332"/>
      <c r="W458" s="1332"/>
      <c r="X458" s="1332"/>
      <c r="Y458" s="1332"/>
      <c r="Z458" s="1332"/>
      <c r="AA458" s="1332"/>
      <c r="AB458" s="1332"/>
    </row>
    <row r="459">
      <c r="A459" s="1332"/>
      <c r="B459" s="1366"/>
      <c r="C459" s="1366"/>
      <c r="D459" s="1375"/>
      <c r="E459" s="1332"/>
      <c r="F459" s="1332"/>
      <c r="G459" s="1378"/>
      <c r="H459" s="1378"/>
      <c r="I459" s="1332"/>
      <c r="J459" s="1332"/>
      <c r="K459" s="1332"/>
      <c r="L459" s="1332"/>
      <c r="M459" s="1332"/>
      <c r="N459" s="1332"/>
      <c r="O459" s="1332"/>
      <c r="P459" s="1332"/>
      <c r="Q459" s="1332"/>
      <c r="R459" s="1332"/>
      <c r="S459" s="1332"/>
      <c r="T459" s="1332"/>
      <c r="U459" s="1332"/>
      <c r="V459" s="1332"/>
      <c r="W459" s="1332"/>
      <c r="X459" s="1332"/>
      <c r="Y459" s="1332"/>
      <c r="Z459" s="1332"/>
      <c r="AA459" s="1332"/>
      <c r="AB459" s="1332"/>
    </row>
    <row r="460">
      <c r="A460" s="1332"/>
      <c r="B460" s="1366"/>
      <c r="C460" s="1366"/>
      <c r="D460" s="1375"/>
      <c r="E460" s="1332"/>
      <c r="F460" s="1332"/>
      <c r="G460" s="1378"/>
      <c r="H460" s="1378"/>
      <c r="I460" s="1332"/>
      <c r="J460" s="1332"/>
      <c r="K460" s="1332"/>
      <c r="L460" s="1332"/>
      <c r="M460" s="1332"/>
      <c r="N460" s="1332"/>
      <c r="O460" s="1332"/>
      <c r="P460" s="1332"/>
      <c r="Q460" s="1332"/>
      <c r="R460" s="1332"/>
      <c r="S460" s="1332"/>
      <c r="T460" s="1332"/>
      <c r="U460" s="1332"/>
      <c r="V460" s="1332"/>
      <c r="W460" s="1332"/>
      <c r="X460" s="1332"/>
      <c r="Y460" s="1332"/>
      <c r="Z460" s="1332"/>
      <c r="AA460" s="1332"/>
      <c r="AB460" s="1332"/>
    </row>
    <row r="461">
      <c r="A461" s="1332"/>
      <c r="B461" s="1366"/>
      <c r="C461" s="1366"/>
      <c r="D461" s="1375"/>
      <c r="E461" s="1332"/>
      <c r="F461" s="1332"/>
      <c r="G461" s="1378"/>
      <c r="H461" s="1378"/>
      <c r="I461" s="1332"/>
      <c r="J461" s="1332"/>
      <c r="K461" s="1332"/>
      <c r="L461" s="1332"/>
      <c r="M461" s="1332"/>
      <c r="N461" s="1332"/>
      <c r="O461" s="1332"/>
      <c r="P461" s="1332"/>
      <c r="Q461" s="1332"/>
      <c r="R461" s="1332"/>
      <c r="S461" s="1332"/>
      <c r="T461" s="1332"/>
      <c r="U461" s="1332"/>
      <c r="V461" s="1332"/>
      <c r="W461" s="1332"/>
      <c r="X461" s="1332"/>
      <c r="Y461" s="1332"/>
      <c r="Z461" s="1332"/>
      <c r="AA461" s="1332"/>
      <c r="AB461" s="1332"/>
    </row>
    <row r="462">
      <c r="A462" s="1332"/>
      <c r="B462" s="1366"/>
      <c r="C462" s="1366"/>
      <c r="D462" s="1375"/>
      <c r="E462" s="1332"/>
      <c r="F462" s="1332"/>
      <c r="G462" s="1378"/>
      <c r="H462" s="1378"/>
      <c r="I462" s="1332"/>
      <c r="J462" s="1332"/>
      <c r="K462" s="1332"/>
      <c r="L462" s="1332"/>
      <c r="M462" s="1332"/>
      <c r="N462" s="1332"/>
      <c r="O462" s="1332"/>
      <c r="P462" s="1332"/>
      <c r="Q462" s="1332"/>
      <c r="R462" s="1332"/>
      <c r="S462" s="1332"/>
      <c r="T462" s="1332"/>
      <c r="U462" s="1332"/>
      <c r="V462" s="1332"/>
      <c r="W462" s="1332"/>
      <c r="X462" s="1332"/>
      <c r="Y462" s="1332"/>
      <c r="Z462" s="1332"/>
      <c r="AA462" s="1332"/>
      <c r="AB462" s="1332"/>
    </row>
    <row r="463">
      <c r="A463" s="1332"/>
      <c r="B463" s="1366"/>
      <c r="C463" s="1366"/>
      <c r="D463" s="1375"/>
      <c r="E463" s="1332"/>
      <c r="F463" s="1332"/>
      <c r="G463" s="1378"/>
      <c r="H463" s="1378"/>
      <c r="I463" s="1332"/>
      <c r="J463" s="1332"/>
      <c r="K463" s="1332"/>
      <c r="L463" s="1332"/>
      <c r="M463" s="1332"/>
      <c r="N463" s="1332"/>
      <c r="O463" s="1332"/>
      <c r="P463" s="1332"/>
      <c r="Q463" s="1332"/>
      <c r="R463" s="1332"/>
      <c r="S463" s="1332"/>
      <c r="T463" s="1332"/>
      <c r="U463" s="1332"/>
      <c r="V463" s="1332"/>
      <c r="W463" s="1332"/>
      <c r="X463" s="1332"/>
      <c r="Y463" s="1332"/>
      <c r="Z463" s="1332"/>
      <c r="AA463" s="1332"/>
      <c r="AB463" s="1332"/>
    </row>
    <row r="464">
      <c r="A464" s="1332"/>
      <c r="B464" s="1366"/>
      <c r="C464" s="1366"/>
      <c r="D464" s="1375"/>
      <c r="E464" s="1332"/>
      <c r="F464" s="1332"/>
      <c r="G464" s="1378"/>
      <c r="H464" s="1378"/>
      <c r="I464" s="1332"/>
      <c r="J464" s="1332"/>
      <c r="K464" s="1332"/>
      <c r="L464" s="1332"/>
      <c r="M464" s="1332"/>
      <c r="N464" s="1332"/>
      <c r="O464" s="1332"/>
      <c r="P464" s="1332"/>
      <c r="Q464" s="1332"/>
      <c r="R464" s="1332"/>
      <c r="S464" s="1332"/>
      <c r="T464" s="1332"/>
      <c r="U464" s="1332"/>
      <c r="V464" s="1332"/>
      <c r="W464" s="1332"/>
      <c r="X464" s="1332"/>
      <c r="Y464" s="1332"/>
      <c r="Z464" s="1332"/>
      <c r="AA464" s="1332"/>
      <c r="AB464" s="1332"/>
    </row>
    <row r="465">
      <c r="A465" s="1332"/>
      <c r="B465" s="1366"/>
      <c r="C465" s="1366"/>
      <c r="D465" s="1375"/>
      <c r="E465" s="1332"/>
      <c r="F465" s="1332"/>
      <c r="G465" s="1378"/>
      <c r="H465" s="1378"/>
      <c r="I465" s="1332"/>
      <c r="J465" s="1332"/>
      <c r="K465" s="1332"/>
      <c r="L465" s="1332"/>
      <c r="M465" s="1332"/>
      <c r="N465" s="1332"/>
      <c r="O465" s="1332"/>
      <c r="P465" s="1332"/>
      <c r="Q465" s="1332"/>
      <c r="R465" s="1332"/>
      <c r="S465" s="1332"/>
      <c r="T465" s="1332"/>
      <c r="U465" s="1332"/>
      <c r="V465" s="1332"/>
      <c r="W465" s="1332"/>
      <c r="X465" s="1332"/>
      <c r="Y465" s="1332"/>
      <c r="Z465" s="1332"/>
      <c r="AA465" s="1332"/>
      <c r="AB465" s="1332"/>
    </row>
    <row r="466">
      <c r="A466" s="1332"/>
      <c r="B466" s="1366"/>
      <c r="C466" s="1366"/>
      <c r="D466" s="1375"/>
      <c r="E466" s="1332"/>
      <c r="F466" s="1332"/>
      <c r="G466" s="1378"/>
      <c r="H466" s="1378"/>
      <c r="I466" s="1332"/>
      <c r="J466" s="1332"/>
      <c r="K466" s="1332"/>
      <c r="L466" s="1332"/>
      <c r="M466" s="1332"/>
      <c r="N466" s="1332"/>
      <c r="O466" s="1332"/>
      <c r="P466" s="1332"/>
      <c r="Q466" s="1332"/>
      <c r="R466" s="1332"/>
      <c r="S466" s="1332"/>
      <c r="T466" s="1332"/>
      <c r="U466" s="1332"/>
      <c r="V466" s="1332"/>
      <c r="W466" s="1332"/>
      <c r="X466" s="1332"/>
      <c r="Y466" s="1332"/>
      <c r="Z466" s="1332"/>
      <c r="AA466" s="1332"/>
      <c r="AB466" s="1332"/>
    </row>
    <row r="467">
      <c r="A467" s="1332"/>
      <c r="B467" s="1366"/>
      <c r="C467" s="1366"/>
      <c r="D467" s="1375"/>
      <c r="E467" s="1332"/>
      <c r="F467" s="1332"/>
      <c r="G467" s="1378"/>
      <c r="H467" s="1378"/>
      <c r="I467" s="1332"/>
      <c r="J467" s="1332"/>
      <c r="K467" s="1332"/>
      <c r="L467" s="1332"/>
      <c r="M467" s="1332"/>
      <c r="N467" s="1332"/>
      <c r="O467" s="1332"/>
      <c r="P467" s="1332"/>
      <c r="Q467" s="1332"/>
      <c r="R467" s="1332"/>
      <c r="S467" s="1332"/>
      <c r="T467" s="1332"/>
      <c r="U467" s="1332"/>
      <c r="V467" s="1332"/>
      <c r="W467" s="1332"/>
      <c r="X467" s="1332"/>
      <c r="Y467" s="1332"/>
      <c r="Z467" s="1332"/>
      <c r="AA467" s="1332"/>
      <c r="AB467" s="1332"/>
    </row>
    <row r="468">
      <c r="A468" s="1332"/>
      <c r="B468" s="1366"/>
      <c r="C468" s="1366"/>
      <c r="D468" s="1375"/>
      <c r="E468" s="1332"/>
      <c r="F468" s="1332"/>
      <c r="G468" s="1378"/>
      <c r="H468" s="1378"/>
      <c r="I468" s="1332"/>
      <c r="J468" s="1332"/>
      <c r="K468" s="1332"/>
      <c r="L468" s="1332"/>
      <c r="M468" s="1332"/>
      <c r="N468" s="1332"/>
      <c r="O468" s="1332"/>
      <c r="P468" s="1332"/>
      <c r="Q468" s="1332"/>
      <c r="R468" s="1332"/>
      <c r="S468" s="1332"/>
      <c r="T468" s="1332"/>
      <c r="U468" s="1332"/>
      <c r="V468" s="1332"/>
      <c r="W468" s="1332"/>
      <c r="X468" s="1332"/>
      <c r="Y468" s="1332"/>
      <c r="Z468" s="1332"/>
      <c r="AA468" s="1332"/>
      <c r="AB468" s="1332"/>
    </row>
    <row r="469">
      <c r="A469" s="1332"/>
      <c r="B469" s="1366"/>
      <c r="C469" s="1366"/>
      <c r="D469" s="1375"/>
      <c r="E469" s="1332"/>
      <c r="F469" s="1332"/>
      <c r="G469" s="1378"/>
      <c r="H469" s="1378"/>
      <c r="I469" s="1332"/>
      <c r="J469" s="1332"/>
      <c r="K469" s="1332"/>
      <c r="L469" s="1332"/>
      <c r="M469" s="1332"/>
      <c r="N469" s="1332"/>
      <c r="O469" s="1332"/>
      <c r="P469" s="1332"/>
      <c r="Q469" s="1332"/>
      <c r="R469" s="1332"/>
      <c r="S469" s="1332"/>
      <c r="T469" s="1332"/>
      <c r="U469" s="1332"/>
      <c r="V469" s="1332"/>
      <c r="W469" s="1332"/>
      <c r="X469" s="1332"/>
      <c r="Y469" s="1332"/>
      <c r="Z469" s="1332"/>
      <c r="AA469" s="1332"/>
      <c r="AB469" s="1332"/>
    </row>
    <row r="470">
      <c r="A470" s="1332"/>
      <c r="B470" s="1366"/>
      <c r="C470" s="1366"/>
      <c r="D470" s="1375"/>
      <c r="E470" s="1332"/>
      <c r="F470" s="1332"/>
      <c r="G470" s="1378"/>
      <c r="H470" s="1378"/>
      <c r="I470" s="1332"/>
      <c r="J470" s="1332"/>
      <c r="K470" s="1332"/>
      <c r="L470" s="1332"/>
      <c r="M470" s="1332"/>
      <c r="N470" s="1332"/>
      <c r="O470" s="1332"/>
      <c r="P470" s="1332"/>
      <c r="Q470" s="1332"/>
      <c r="R470" s="1332"/>
      <c r="S470" s="1332"/>
      <c r="T470" s="1332"/>
      <c r="U470" s="1332"/>
      <c r="V470" s="1332"/>
      <c r="W470" s="1332"/>
      <c r="X470" s="1332"/>
      <c r="Y470" s="1332"/>
      <c r="Z470" s="1332"/>
      <c r="AA470" s="1332"/>
      <c r="AB470" s="1332"/>
    </row>
    <row r="471">
      <c r="A471" s="1332"/>
      <c r="B471" s="1366"/>
      <c r="C471" s="1366"/>
      <c r="D471" s="1375"/>
      <c r="E471" s="1332"/>
      <c r="F471" s="1332"/>
      <c r="G471" s="1378"/>
      <c r="H471" s="1378"/>
      <c r="I471" s="1332"/>
      <c r="J471" s="1332"/>
      <c r="K471" s="1332"/>
      <c r="L471" s="1332"/>
      <c r="M471" s="1332"/>
      <c r="N471" s="1332"/>
      <c r="O471" s="1332"/>
      <c r="P471" s="1332"/>
      <c r="Q471" s="1332"/>
      <c r="R471" s="1332"/>
      <c r="S471" s="1332"/>
      <c r="T471" s="1332"/>
      <c r="U471" s="1332"/>
      <c r="V471" s="1332"/>
      <c r="W471" s="1332"/>
      <c r="X471" s="1332"/>
      <c r="Y471" s="1332"/>
      <c r="Z471" s="1332"/>
      <c r="AA471" s="1332"/>
      <c r="AB471" s="1332"/>
    </row>
    <row r="472">
      <c r="A472" s="1332"/>
      <c r="B472" s="1366"/>
      <c r="C472" s="1366"/>
      <c r="D472" s="1375"/>
      <c r="E472" s="1332"/>
      <c r="F472" s="1332"/>
      <c r="G472" s="1378"/>
      <c r="H472" s="1378"/>
      <c r="I472" s="1332"/>
      <c r="J472" s="1332"/>
      <c r="K472" s="1332"/>
      <c r="L472" s="1332"/>
      <c r="M472" s="1332"/>
      <c r="N472" s="1332"/>
      <c r="O472" s="1332"/>
      <c r="P472" s="1332"/>
      <c r="Q472" s="1332"/>
      <c r="R472" s="1332"/>
      <c r="S472" s="1332"/>
      <c r="T472" s="1332"/>
      <c r="U472" s="1332"/>
      <c r="V472" s="1332"/>
      <c r="W472" s="1332"/>
      <c r="X472" s="1332"/>
      <c r="Y472" s="1332"/>
      <c r="Z472" s="1332"/>
      <c r="AA472" s="1332"/>
      <c r="AB472" s="1332"/>
    </row>
    <row r="473">
      <c r="A473" s="1332"/>
      <c r="B473" s="1366"/>
      <c r="C473" s="1366"/>
      <c r="D473" s="1375"/>
      <c r="E473" s="1332"/>
      <c r="F473" s="1332"/>
      <c r="G473" s="1378"/>
      <c r="H473" s="1378"/>
      <c r="I473" s="1332"/>
      <c r="J473" s="1332"/>
      <c r="K473" s="1332"/>
      <c r="L473" s="1332"/>
      <c r="M473" s="1332"/>
      <c r="N473" s="1332"/>
      <c r="O473" s="1332"/>
      <c r="P473" s="1332"/>
      <c r="Q473" s="1332"/>
      <c r="R473" s="1332"/>
      <c r="S473" s="1332"/>
      <c r="T473" s="1332"/>
      <c r="U473" s="1332"/>
      <c r="V473" s="1332"/>
      <c r="W473" s="1332"/>
      <c r="X473" s="1332"/>
      <c r="Y473" s="1332"/>
      <c r="Z473" s="1332"/>
      <c r="AA473" s="1332"/>
      <c r="AB473" s="1332"/>
    </row>
    <row r="474">
      <c r="A474" s="1332"/>
      <c r="B474" s="1366"/>
      <c r="C474" s="1366"/>
      <c r="D474" s="1375"/>
      <c r="E474" s="1332"/>
      <c r="F474" s="1332"/>
      <c r="G474" s="1378"/>
      <c r="H474" s="1378"/>
      <c r="I474" s="1332"/>
      <c r="J474" s="1332"/>
      <c r="K474" s="1332"/>
      <c r="L474" s="1332"/>
      <c r="M474" s="1332"/>
      <c r="N474" s="1332"/>
      <c r="O474" s="1332"/>
      <c r="P474" s="1332"/>
      <c r="Q474" s="1332"/>
      <c r="R474" s="1332"/>
      <c r="S474" s="1332"/>
      <c r="T474" s="1332"/>
      <c r="U474" s="1332"/>
      <c r="V474" s="1332"/>
      <c r="W474" s="1332"/>
      <c r="X474" s="1332"/>
      <c r="Y474" s="1332"/>
      <c r="Z474" s="1332"/>
      <c r="AA474" s="1332"/>
      <c r="AB474" s="1332"/>
    </row>
    <row r="475">
      <c r="A475" s="1332"/>
      <c r="B475" s="1366"/>
      <c r="C475" s="1366"/>
      <c r="D475" s="1375"/>
      <c r="E475" s="1332"/>
      <c r="F475" s="1332"/>
      <c r="G475" s="1378"/>
      <c r="H475" s="1378"/>
      <c r="I475" s="1332"/>
      <c r="J475" s="1332"/>
      <c r="K475" s="1332"/>
      <c r="L475" s="1332"/>
      <c r="M475" s="1332"/>
      <c r="N475" s="1332"/>
      <c r="O475" s="1332"/>
      <c r="P475" s="1332"/>
      <c r="Q475" s="1332"/>
      <c r="R475" s="1332"/>
      <c r="S475" s="1332"/>
      <c r="T475" s="1332"/>
      <c r="U475" s="1332"/>
      <c r="V475" s="1332"/>
      <c r="W475" s="1332"/>
      <c r="X475" s="1332"/>
      <c r="Y475" s="1332"/>
      <c r="Z475" s="1332"/>
      <c r="AA475" s="1332"/>
      <c r="AB475" s="1332"/>
    </row>
    <row r="476">
      <c r="A476" s="1332"/>
      <c r="B476" s="1366"/>
      <c r="C476" s="1366"/>
      <c r="D476" s="1375"/>
      <c r="E476" s="1332"/>
      <c r="F476" s="1332"/>
      <c r="G476" s="1378"/>
      <c r="H476" s="1378"/>
      <c r="I476" s="1332"/>
      <c r="J476" s="1332"/>
      <c r="K476" s="1332"/>
      <c r="L476" s="1332"/>
      <c r="M476" s="1332"/>
      <c r="N476" s="1332"/>
      <c r="O476" s="1332"/>
      <c r="P476" s="1332"/>
      <c r="Q476" s="1332"/>
      <c r="R476" s="1332"/>
      <c r="S476" s="1332"/>
      <c r="T476" s="1332"/>
      <c r="U476" s="1332"/>
      <c r="V476" s="1332"/>
      <c r="W476" s="1332"/>
      <c r="X476" s="1332"/>
      <c r="Y476" s="1332"/>
      <c r="Z476" s="1332"/>
      <c r="AA476" s="1332"/>
      <c r="AB476" s="1332"/>
    </row>
    <row r="477">
      <c r="A477" s="1332"/>
      <c r="B477" s="1366"/>
      <c r="C477" s="1366"/>
      <c r="D477" s="1375"/>
      <c r="E477" s="1332"/>
      <c r="F477" s="1332"/>
      <c r="G477" s="1378"/>
      <c r="H477" s="1378"/>
      <c r="I477" s="1332"/>
      <c r="J477" s="1332"/>
      <c r="K477" s="1332"/>
      <c r="L477" s="1332"/>
      <c r="M477" s="1332"/>
      <c r="N477" s="1332"/>
      <c r="O477" s="1332"/>
      <c r="P477" s="1332"/>
      <c r="Q477" s="1332"/>
      <c r="R477" s="1332"/>
      <c r="S477" s="1332"/>
      <c r="T477" s="1332"/>
      <c r="U477" s="1332"/>
      <c r="V477" s="1332"/>
      <c r="W477" s="1332"/>
      <c r="X477" s="1332"/>
      <c r="Y477" s="1332"/>
      <c r="Z477" s="1332"/>
      <c r="AA477" s="1332"/>
      <c r="AB477" s="1332"/>
    </row>
    <row r="478">
      <c r="A478" s="1332"/>
      <c r="B478" s="1366"/>
      <c r="C478" s="1366"/>
      <c r="D478" s="1375"/>
      <c r="E478" s="1332"/>
      <c r="F478" s="1332"/>
      <c r="G478" s="1378"/>
      <c r="H478" s="1378"/>
      <c r="I478" s="1332"/>
      <c r="J478" s="1332"/>
      <c r="K478" s="1332"/>
      <c r="L478" s="1332"/>
      <c r="M478" s="1332"/>
      <c r="N478" s="1332"/>
      <c r="O478" s="1332"/>
      <c r="P478" s="1332"/>
      <c r="Q478" s="1332"/>
      <c r="R478" s="1332"/>
      <c r="S478" s="1332"/>
      <c r="T478" s="1332"/>
      <c r="U478" s="1332"/>
      <c r="V478" s="1332"/>
      <c r="W478" s="1332"/>
      <c r="X478" s="1332"/>
      <c r="Y478" s="1332"/>
      <c r="Z478" s="1332"/>
      <c r="AA478" s="1332"/>
      <c r="AB478" s="1332"/>
    </row>
    <row r="479">
      <c r="A479" s="1332"/>
      <c r="B479" s="1366"/>
      <c r="C479" s="1366"/>
      <c r="D479" s="1375"/>
      <c r="E479" s="1332"/>
      <c r="F479" s="1332"/>
      <c r="G479" s="1378"/>
      <c r="H479" s="1378"/>
      <c r="I479" s="1332"/>
      <c r="J479" s="1332"/>
      <c r="K479" s="1332"/>
      <c r="L479" s="1332"/>
      <c r="M479" s="1332"/>
      <c r="N479" s="1332"/>
      <c r="O479" s="1332"/>
      <c r="P479" s="1332"/>
      <c r="Q479" s="1332"/>
      <c r="R479" s="1332"/>
      <c r="S479" s="1332"/>
      <c r="T479" s="1332"/>
      <c r="U479" s="1332"/>
      <c r="V479" s="1332"/>
      <c r="W479" s="1332"/>
      <c r="X479" s="1332"/>
      <c r="Y479" s="1332"/>
      <c r="Z479" s="1332"/>
      <c r="AA479" s="1332"/>
      <c r="AB479" s="1332"/>
    </row>
    <row r="480">
      <c r="A480" s="1332"/>
      <c r="B480" s="1366"/>
      <c r="C480" s="1366"/>
      <c r="D480" s="1375"/>
      <c r="E480" s="1332"/>
      <c r="F480" s="1332"/>
      <c r="G480" s="1378"/>
      <c r="H480" s="1378"/>
      <c r="I480" s="1332"/>
      <c r="J480" s="1332"/>
      <c r="K480" s="1332"/>
      <c r="L480" s="1332"/>
      <c r="M480" s="1332"/>
      <c r="N480" s="1332"/>
      <c r="O480" s="1332"/>
      <c r="P480" s="1332"/>
      <c r="Q480" s="1332"/>
      <c r="R480" s="1332"/>
      <c r="S480" s="1332"/>
      <c r="T480" s="1332"/>
      <c r="U480" s="1332"/>
      <c r="V480" s="1332"/>
      <c r="W480" s="1332"/>
      <c r="X480" s="1332"/>
      <c r="Y480" s="1332"/>
      <c r="Z480" s="1332"/>
      <c r="AA480" s="1332"/>
      <c r="AB480" s="1332"/>
    </row>
    <row r="481">
      <c r="A481" s="1332"/>
      <c r="B481" s="1366"/>
      <c r="C481" s="1366"/>
      <c r="D481" s="1375"/>
      <c r="E481" s="1332"/>
      <c r="F481" s="1332"/>
      <c r="G481" s="1378"/>
      <c r="H481" s="1378"/>
      <c r="I481" s="1332"/>
      <c r="J481" s="1332"/>
      <c r="K481" s="1332"/>
      <c r="L481" s="1332"/>
      <c r="M481" s="1332"/>
      <c r="N481" s="1332"/>
      <c r="O481" s="1332"/>
      <c r="P481" s="1332"/>
      <c r="Q481" s="1332"/>
      <c r="R481" s="1332"/>
      <c r="S481" s="1332"/>
      <c r="T481" s="1332"/>
      <c r="U481" s="1332"/>
      <c r="V481" s="1332"/>
      <c r="W481" s="1332"/>
      <c r="X481" s="1332"/>
      <c r="Y481" s="1332"/>
      <c r="Z481" s="1332"/>
      <c r="AA481" s="1332"/>
      <c r="AB481" s="1332"/>
    </row>
    <row r="482">
      <c r="A482" s="1332"/>
      <c r="B482" s="1366"/>
      <c r="C482" s="1366"/>
      <c r="D482" s="1375"/>
      <c r="E482" s="1332"/>
      <c r="F482" s="1332"/>
      <c r="G482" s="1378"/>
      <c r="H482" s="1378"/>
      <c r="I482" s="1332"/>
      <c r="J482" s="1332"/>
      <c r="K482" s="1332"/>
      <c r="L482" s="1332"/>
      <c r="M482" s="1332"/>
      <c r="N482" s="1332"/>
      <c r="O482" s="1332"/>
      <c r="P482" s="1332"/>
      <c r="Q482" s="1332"/>
      <c r="R482" s="1332"/>
      <c r="S482" s="1332"/>
      <c r="T482" s="1332"/>
      <c r="U482" s="1332"/>
      <c r="V482" s="1332"/>
      <c r="W482" s="1332"/>
      <c r="X482" s="1332"/>
      <c r="Y482" s="1332"/>
      <c r="Z482" s="1332"/>
      <c r="AA482" s="1332"/>
      <c r="AB482" s="1332"/>
    </row>
    <row r="483">
      <c r="A483" s="1332"/>
      <c r="B483" s="1366"/>
      <c r="C483" s="1366"/>
      <c r="D483" s="1375"/>
      <c r="E483" s="1332"/>
      <c r="F483" s="1332"/>
      <c r="G483" s="1378"/>
      <c r="H483" s="1378"/>
      <c r="I483" s="1332"/>
      <c r="J483" s="1332"/>
      <c r="K483" s="1332"/>
      <c r="L483" s="1332"/>
      <c r="M483" s="1332"/>
      <c r="N483" s="1332"/>
      <c r="O483" s="1332"/>
      <c r="P483" s="1332"/>
      <c r="Q483" s="1332"/>
      <c r="R483" s="1332"/>
      <c r="S483" s="1332"/>
      <c r="T483" s="1332"/>
      <c r="U483" s="1332"/>
      <c r="V483" s="1332"/>
      <c r="W483" s="1332"/>
      <c r="X483" s="1332"/>
      <c r="Y483" s="1332"/>
      <c r="Z483" s="1332"/>
      <c r="AA483" s="1332"/>
      <c r="AB483" s="1332"/>
    </row>
    <row r="484">
      <c r="A484" s="1332"/>
      <c r="B484" s="1366"/>
      <c r="C484" s="1366"/>
      <c r="D484" s="1375"/>
      <c r="E484" s="1332"/>
      <c r="F484" s="1332"/>
      <c r="G484" s="1378"/>
      <c r="H484" s="1378"/>
      <c r="I484" s="1332"/>
      <c r="J484" s="1332"/>
      <c r="K484" s="1332"/>
      <c r="L484" s="1332"/>
      <c r="M484" s="1332"/>
      <c r="N484" s="1332"/>
      <c r="O484" s="1332"/>
      <c r="P484" s="1332"/>
      <c r="Q484" s="1332"/>
      <c r="R484" s="1332"/>
      <c r="S484" s="1332"/>
      <c r="T484" s="1332"/>
      <c r="U484" s="1332"/>
      <c r="V484" s="1332"/>
      <c r="W484" s="1332"/>
      <c r="X484" s="1332"/>
      <c r="Y484" s="1332"/>
      <c r="Z484" s="1332"/>
      <c r="AA484" s="1332"/>
      <c r="AB484" s="1332"/>
    </row>
    <row r="485">
      <c r="A485" s="1332"/>
      <c r="B485" s="1366"/>
      <c r="C485" s="1366"/>
      <c r="D485" s="1375"/>
      <c r="E485" s="1332"/>
      <c r="F485" s="1332"/>
      <c r="G485" s="1378"/>
      <c r="H485" s="1378"/>
      <c r="I485" s="1332"/>
      <c r="J485" s="1332"/>
      <c r="K485" s="1332"/>
      <c r="L485" s="1332"/>
      <c r="M485" s="1332"/>
      <c r="N485" s="1332"/>
      <c r="O485" s="1332"/>
      <c r="P485" s="1332"/>
      <c r="Q485" s="1332"/>
      <c r="R485" s="1332"/>
      <c r="S485" s="1332"/>
      <c r="T485" s="1332"/>
      <c r="U485" s="1332"/>
      <c r="V485" s="1332"/>
      <c r="W485" s="1332"/>
      <c r="X485" s="1332"/>
      <c r="Y485" s="1332"/>
      <c r="Z485" s="1332"/>
      <c r="AA485" s="1332"/>
      <c r="AB485" s="1332"/>
    </row>
    <row r="486">
      <c r="A486" s="1332"/>
      <c r="B486" s="1366"/>
      <c r="C486" s="1366"/>
      <c r="D486" s="1375"/>
      <c r="E486" s="1332"/>
      <c r="F486" s="1332"/>
      <c r="G486" s="1378"/>
      <c r="H486" s="1378"/>
      <c r="I486" s="1332"/>
      <c r="J486" s="1332"/>
      <c r="K486" s="1332"/>
      <c r="L486" s="1332"/>
      <c r="M486" s="1332"/>
      <c r="N486" s="1332"/>
      <c r="O486" s="1332"/>
      <c r="P486" s="1332"/>
      <c r="Q486" s="1332"/>
      <c r="R486" s="1332"/>
      <c r="S486" s="1332"/>
      <c r="T486" s="1332"/>
      <c r="U486" s="1332"/>
      <c r="V486" s="1332"/>
      <c r="W486" s="1332"/>
      <c r="X486" s="1332"/>
      <c r="Y486" s="1332"/>
      <c r="Z486" s="1332"/>
      <c r="AA486" s="1332"/>
      <c r="AB486" s="1332"/>
    </row>
    <row r="487">
      <c r="A487" s="1332"/>
      <c r="B487" s="1366"/>
      <c r="C487" s="1366"/>
      <c r="D487" s="1375"/>
      <c r="E487" s="1332"/>
      <c r="F487" s="1332"/>
      <c r="G487" s="1378"/>
      <c r="H487" s="1378"/>
      <c r="I487" s="1332"/>
      <c r="J487" s="1332"/>
      <c r="K487" s="1332"/>
      <c r="L487" s="1332"/>
      <c r="M487" s="1332"/>
      <c r="N487" s="1332"/>
      <c r="O487" s="1332"/>
      <c r="P487" s="1332"/>
      <c r="Q487" s="1332"/>
      <c r="R487" s="1332"/>
      <c r="S487" s="1332"/>
      <c r="T487" s="1332"/>
      <c r="U487" s="1332"/>
      <c r="V487" s="1332"/>
      <c r="W487" s="1332"/>
      <c r="X487" s="1332"/>
      <c r="Y487" s="1332"/>
      <c r="Z487" s="1332"/>
      <c r="AA487" s="1332"/>
      <c r="AB487" s="1332"/>
    </row>
    <row r="488">
      <c r="A488" s="1332"/>
      <c r="B488" s="1366"/>
      <c r="C488" s="1366"/>
      <c r="D488" s="1375"/>
      <c r="E488" s="1332"/>
      <c r="F488" s="1332"/>
      <c r="G488" s="1378"/>
      <c r="H488" s="1378"/>
      <c r="I488" s="1332"/>
      <c r="J488" s="1332"/>
      <c r="K488" s="1332"/>
      <c r="L488" s="1332"/>
      <c r="M488" s="1332"/>
      <c r="N488" s="1332"/>
      <c r="O488" s="1332"/>
      <c r="P488" s="1332"/>
      <c r="Q488" s="1332"/>
      <c r="R488" s="1332"/>
      <c r="S488" s="1332"/>
      <c r="T488" s="1332"/>
      <c r="U488" s="1332"/>
      <c r="V488" s="1332"/>
      <c r="W488" s="1332"/>
      <c r="X488" s="1332"/>
      <c r="Y488" s="1332"/>
      <c r="Z488" s="1332"/>
      <c r="AA488" s="1332"/>
      <c r="AB488" s="1332"/>
    </row>
    <row r="489">
      <c r="A489" s="1332"/>
      <c r="B489" s="1366"/>
      <c r="C489" s="1366"/>
      <c r="D489" s="1375"/>
      <c r="E489" s="1332"/>
      <c r="F489" s="1332"/>
      <c r="G489" s="1378"/>
      <c r="H489" s="1378"/>
      <c r="I489" s="1332"/>
      <c r="J489" s="1332"/>
      <c r="K489" s="1332"/>
      <c r="L489" s="1332"/>
      <c r="M489" s="1332"/>
      <c r="N489" s="1332"/>
      <c r="O489" s="1332"/>
      <c r="P489" s="1332"/>
      <c r="Q489" s="1332"/>
      <c r="R489" s="1332"/>
      <c r="S489" s="1332"/>
      <c r="T489" s="1332"/>
      <c r="U489" s="1332"/>
      <c r="V489" s="1332"/>
      <c r="W489" s="1332"/>
      <c r="X489" s="1332"/>
      <c r="Y489" s="1332"/>
      <c r="Z489" s="1332"/>
      <c r="AA489" s="1332"/>
      <c r="AB489" s="1332"/>
    </row>
    <row r="490">
      <c r="A490" s="1332"/>
      <c r="B490" s="1366"/>
      <c r="C490" s="1366"/>
      <c r="D490" s="1375"/>
      <c r="E490" s="1332"/>
      <c r="F490" s="1332"/>
      <c r="G490" s="1378"/>
      <c r="H490" s="1378"/>
      <c r="I490" s="1332"/>
      <c r="J490" s="1332"/>
      <c r="K490" s="1332"/>
      <c r="L490" s="1332"/>
      <c r="M490" s="1332"/>
      <c r="N490" s="1332"/>
      <c r="O490" s="1332"/>
      <c r="P490" s="1332"/>
      <c r="Q490" s="1332"/>
      <c r="R490" s="1332"/>
      <c r="S490" s="1332"/>
      <c r="T490" s="1332"/>
      <c r="U490" s="1332"/>
      <c r="V490" s="1332"/>
      <c r="W490" s="1332"/>
      <c r="X490" s="1332"/>
      <c r="Y490" s="1332"/>
      <c r="Z490" s="1332"/>
      <c r="AA490" s="1332"/>
      <c r="AB490" s="1332"/>
    </row>
    <row r="491">
      <c r="A491" s="1332"/>
      <c r="B491" s="1366"/>
      <c r="C491" s="1366"/>
      <c r="D491" s="1375"/>
      <c r="E491" s="1332"/>
      <c r="F491" s="1332"/>
      <c r="G491" s="1378"/>
      <c r="H491" s="1378"/>
      <c r="I491" s="1332"/>
      <c r="J491" s="1332"/>
      <c r="K491" s="1332"/>
      <c r="L491" s="1332"/>
      <c r="M491" s="1332"/>
      <c r="N491" s="1332"/>
      <c r="O491" s="1332"/>
      <c r="P491" s="1332"/>
      <c r="Q491" s="1332"/>
      <c r="R491" s="1332"/>
      <c r="S491" s="1332"/>
      <c r="T491" s="1332"/>
      <c r="U491" s="1332"/>
      <c r="V491" s="1332"/>
      <c r="W491" s="1332"/>
      <c r="X491" s="1332"/>
      <c r="Y491" s="1332"/>
      <c r="Z491" s="1332"/>
      <c r="AA491" s="1332"/>
      <c r="AB491" s="1332"/>
    </row>
    <row r="492">
      <c r="A492" s="1332"/>
      <c r="B492" s="1366"/>
      <c r="C492" s="1366"/>
      <c r="D492" s="1375"/>
      <c r="E492" s="1332"/>
      <c r="F492" s="1332"/>
      <c r="G492" s="1378"/>
      <c r="H492" s="1378"/>
      <c r="I492" s="1332"/>
      <c r="J492" s="1332"/>
      <c r="K492" s="1332"/>
      <c r="L492" s="1332"/>
      <c r="M492" s="1332"/>
      <c r="N492" s="1332"/>
      <c r="O492" s="1332"/>
      <c r="P492" s="1332"/>
      <c r="Q492" s="1332"/>
      <c r="R492" s="1332"/>
      <c r="S492" s="1332"/>
      <c r="T492" s="1332"/>
      <c r="U492" s="1332"/>
      <c r="V492" s="1332"/>
      <c r="W492" s="1332"/>
      <c r="X492" s="1332"/>
      <c r="Y492" s="1332"/>
      <c r="Z492" s="1332"/>
      <c r="AA492" s="1332"/>
      <c r="AB492" s="1332"/>
    </row>
    <row r="493">
      <c r="A493" s="1332"/>
      <c r="B493" s="1366"/>
      <c r="C493" s="1366"/>
      <c r="D493" s="1375"/>
      <c r="E493" s="1332"/>
      <c r="F493" s="1332"/>
      <c r="G493" s="1378"/>
      <c r="H493" s="1378"/>
      <c r="I493" s="1332"/>
      <c r="J493" s="1332"/>
      <c r="K493" s="1332"/>
      <c r="L493" s="1332"/>
      <c r="M493" s="1332"/>
      <c r="N493" s="1332"/>
      <c r="O493" s="1332"/>
      <c r="P493" s="1332"/>
      <c r="Q493" s="1332"/>
      <c r="R493" s="1332"/>
      <c r="S493" s="1332"/>
      <c r="T493" s="1332"/>
      <c r="U493" s="1332"/>
      <c r="V493" s="1332"/>
      <c r="W493" s="1332"/>
      <c r="X493" s="1332"/>
      <c r="Y493" s="1332"/>
      <c r="Z493" s="1332"/>
      <c r="AA493" s="1332"/>
      <c r="AB493" s="1332"/>
    </row>
    <row r="494">
      <c r="A494" s="1332"/>
      <c r="B494" s="1366"/>
      <c r="C494" s="1366"/>
      <c r="D494" s="1375"/>
      <c r="E494" s="1332"/>
      <c r="F494" s="1332"/>
      <c r="G494" s="1378"/>
      <c r="H494" s="1378"/>
      <c r="I494" s="1332"/>
      <c r="J494" s="1332"/>
      <c r="K494" s="1332"/>
      <c r="L494" s="1332"/>
      <c r="M494" s="1332"/>
      <c r="N494" s="1332"/>
      <c r="O494" s="1332"/>
      <c r="P494" s="1332"/>
      <c r="Q494" s="1332"/>
      <c r="R494" s="1332"/>
      <c r="S494" s="1332"/>
      <c r="T494" s="1332"/>
      <c r="U494" s="1332"/>
      <c r="V494" s="1332"/>
      <c r="W494" s="1332"/>
      <c r="X494" s="1332"/>
      <c r="Y494" s="1332"/>
      <c r="Z494" s="1332"/>
      <c r="AA494" s="1332"/>
      <c r="AB494" s="1332"/>
    </row>
    <row r="495">
      <c r="A495" s="1332"/>
      <c r="B495" s="1366"/>
      <c r="C495" s="1366"/>
      <c r="D495" s="1375"/>
      <c r="E495" s="1332"/>
      <c r="F495" s="1332"/>
      <c r="G495" s="1378"/>
      <c r="H495" s="1378"/>
      <c r="I495" s="1332"/>
      <c r="J495" s="1332"/>
      <c r="K495" s="1332"/>
      <c r="L495" s="1332"/>
      <c r="M495" s="1332"/>
      <c r="N495" s="1332"/>
      <c r="O495" s="1332"/>
      <c r="P495" s="1332"/>
      <c r="Q495" s="1332"/>
      <c r="R495" s="1332"/>
      <c r="S495" s="1332"/>
      <c r="T495" s="1332"/>
      <c r="U495" s="1332"/>
      <c r="V495" s="1332"/>
      <c r="W495" s="1332"/>
      <c r="X495" s="1332"/>
      <c r="Y495" s="1332"/>
      <c r="Z495" s="1332"/>
      <c r="AA495" s="1332"/>
      <c r="AB495" s="1332"/>
    </row>
    <row r="496">
      <c r="A496" s="1332"/>
      <c r="B496" s="1366"/>
      <c r="C496" s="1366"/>
      <c r="D496" s="1375"/>
      <c r="E496" s="1332"/>
      <c r="F496" s="1332"/>
      <c r="G496" s="1378"/>
      <c r="H496" s="1378"/>
      <c r="I496" s="1332"/>
      <c r="J496" s="1332"/>
      <c r="K496" s="1332"/>
      <c r="L496" s="1332"/>
      <c r="M496" s="1332"/>
      <c r="N496" s="1332"/>
      <c r="O496" s="1332"/>
      <c r="P496" s="1332"/>
      <c r="Q496" s="1332"/>
      <c r="R496" s="1332"/>
      <c r="S496" s="1332"/>
      <c r="T496" s="1332"/>
      <c r="U496" s="1332"/>
      <c r="V496" s="1332"/>
      <c r="W496" s="1332"/>
      <c r="X496" s="1332"/>
      <c r="Y496" s="1332"/>
      <c r="Z496" s="1332"/>
      <c r="AA496" s="1332"/>
      <c r="AB496" s="1332"/>
    </row>
    <row r="497">
      <c r="A497" s="1332"/>
      <c r="B497" s="1366"/>
      <c r="C497" s="1366"/>
      <c r="D497" s="1375"/>
      <c r="E497" s="1332"/>
      <c r="F497" s="1332"/>
      <c r="G497" s="1378"/>
      <c r="H497" s="1378"/>
      <c r="I497" s="1332"/>
      <c r="J497" s="1332"/>
      <c r="K497" s="1332"/>
      <c r="L497" s="1332"/>
      <c r="M497" s="1332"/>
      <c r="N497" s="1332"/>
      <c r="O497" s="1332"/>
      <c r="P497" s="1332"/>
      <c r="Q497" s="1332"/>
      <c r="R497" s="1332"/>
      <c r="S497" s="1332"/>
      <c r="T497" s="1332"/>
      <c r="U497" s="1332"/>
      <c r="V497" s="1332"/>
      <c r="W497" s="1332"/>
      <c r="X497" s="1332"/>
      <c r="Y497" s="1332"/>
      <c r="Z497" s="1332"/>
      <c r="AA497" s="1332"/>
      <c r="AB497" s="1332"/>
    </row>
    <row r="498">
      <c r="A498" s="1332"/>
      <c r="B498" s="1366"/>
      <c r="C498" s="1366"/>
      <c r="D498" s="1375"/>
      <c r="E498" s="1332"/>
      <c r="F498" s="1332"/>
      <c r="G498" s="1378"/>
      <c r="H498" s="1378"/>
      <c r="I498" s="1332"/>
      <c r="J498" s="1332"/>
      <c r="K498" s="1332"/>
      <c r="L498" s="1332"/>
      <c r="M498" s="1332"/>
      <c r="N498" s="1332"/>
      <c r="O498" s="1332"/>
      <c r="P498" s="1332"/>
      <c r="Q498" s="1332"/>
      <c r="R498" s="1332"/>
      <c r="S498" s="1332"/>
      <c r="T498" s="1332"/>
      <c r="U498" s="1332"/>
      <c r="V498" s="1332"/>
      <c r="W498" s="1332"/>
      <c r="X498" s="1332"/>
      <c r="Y498" s="1332"/>
      <c r="Z498" s="1332"/>
      <c r="AA498" s="1332"/>
      <c r="AB498" s="1332"/>
    </row>
    <row r="499">
      <c r="A499" s="1332"/>
      <c r="B499" s="1366"/>
      <c r="C499" s="1366"/>
      <c r="D499" s="1375"/>
      <c r="E499" s="1332"/>
      <c r="F499" s="1332"/>
      <c r="G499" s="1378"/>
      <c r="H499" s="1378"/>
      <c r="I499" s="1332"/>
      <c r="J499" s="1332"/>
      <c r="K499" s="1332"/>
      <c r="L499" s="1332"/>
      <c r="M499" s="1332"/>
      <c r="N499" s="1332"/>
      <c r="O499" s="1332"/>
      <c r="P499" s="1332"/>
      <c r="Q499" s="1332"/>
      <c r="R499" s="1332"/>
      <c r="S499" s="1332"/>
      <c r="T499" s="1332"/>
      <c r="U499" s="1332"/>
      <c r="V499" s="1332"/>
      <c r="W499" s="1332"/>
      <c r="X499" s="1332"/>
      <c r="Y499" s="1332"/>
      <c r="Z499" s="1332"/>
      <c r="AA499" s="1332"/>
      <c r="AB499" s="1332"/>
    </row>
    <row r="500">
      <c r="A500" s="1332"/>
      <c r="B500" s="1366"/>
      <c r="C500" s="1366"/>
      <c r="D500" s="1375"/>
      <c r="E500" s="1332"/>
      <c r="F500" s="1332"/>
      <c r="G500" s="1378"/>
      <c r="H500" s="1378"/>
      <c r="I500" s="1332"/>
      <c r="J500" s="1332"/>
      <c r="K500" s="1332"/>
      <c r="L500" s="1332"/>
      <c r="M500" s="1332"/>
      <c r="N500" s="1332"/>
      <c r="O500" s="1332"/>
      <c r="P500" s="1332"/>
      <c r="Q500" s="1332"/>
      <c r="R500" s="1332"/>
      <c r="S500" s="1332"/>
      <c r="T500" s="1332"/>
      <c r="U500" s="1332"/>
      <c r="V500" s="1332"/>
      <c r="W500" s="1332"/>
      <c r="X500" s="1332"/>
      <c r="Y500" s="1332"/>
      <c r="Z500" s="1332"/>
      <c r="AA500" s="1332"/>
      <c r="AB500" s="1332"/>
    </row>
    <row r="501">
      <c r="A501" s="1332"/>
      <c r="B501" s="1366"/>
      <c r="C501" s="1366"/>
      <c r="D501" s="1375"/>
      <c r="E501" s="1332"/>
      <c r="F501" s="1332"/>
      <c r="G501" s="1378"/>
      <c r="H501" s="1378"/>
      <c r="I501" s="1332"/>
      <c r="J501" s="1332"/>
      <c r="K501" s="1332"/>
      <c r="L501" s="1332"/>
      <c r="M501" s="1332"/>
      <c r="N501" s="1332"/>
      <c r="O501" s="1332"/>
      <c r="P501" s="1332"/>
      <c r="Q501" s="1332"/>
      <c r="R501" s="1332"/>
      <c r="S501" s="1332"/>
      <c r="T501" s="1332"/>
      <c r="U501" s="1332"/>
      <c r="V501" s="1332"/>
      <c r="W501" s="1332"/>
      <c r="X501" s="1332"/>
      <c r="Y501" s="1332"/>
      <c r="Z501" s="1332"/>
      <c r="AA501" s="1332"/>
      <c r="AB501" s="1332"/>
    </row>
    <row r="502">
      <c r="A502" s="1332"/>
      <c r="B502" s="1366"/>
      <c r="C502" s="1366"/>
      <c r="D502" s="1375"/>
      <c r="E502" s="1332"/>
      <c r="F502" s="1332"/>
      <c r="G502" s="1378"/>
      <c r="H502" s="1378"/>
      <c r="I502" s="1332"/>
      <c r="J502" s="1332"/>
      <c r="K502" s="1332"/>
      <c r="L502" s="1332"/>
      <c r="M502" s="1332"/>
      <c r="N502" s="1332"/>
      <c r="O502" s="1332"/>
      <c r="P502" s="1332"/>
      <c r="Q502" s="1332"/>
      <c r="R502" s="1332"/>
      <c r="S502" s="1332"/>
      <c r="T502" s="1332"/>
      <c r="U502" s="1332"/>
      <c r="V502" s="1332"/>
      <c r="W502" s="1332"/>
      <c r="X502" s="1332"/>
      <c r="Y502" s="1332"/>
      <c r="Z502" s="1332"/>
      <c r="AA502" s="1332"/>
      <c r="AB502" s="1332"/>
    </row>
    <row r="503">
      <c r="A503" s="1332"/>
      <c r="B503" s="1366"/>
      <c r="C503" s="1366"/>
      <c r="D503" s="1375"/>
      <c r="E503" s="1332"/>
      <c r="F503" s="1332"/>
      <c r="G503" s="1378"/>
      <c r="H503" s="1378"/>
      <c r="I503" s="1332"/>
      <c r="J503" s="1332"/>
      <c r="K503" s="1332"/>
      <c r="L503" s="1332"/>
      <c r="M503" s="1332"/>
      <c r="N503" s="1332"/>
      <c r="O503" s="1332"/>
      <c r="P503" s="1332"/>
      <c r="Q503" s="1332"/>
      <c r="R503" s="1332"/>
      <c r="S503" s="1332"/>
      <c r="T503" s="1332"/>
      <c r="U503" s="1332"/>
      <c r="V503" s="1332"/>
      <c r="W503" s="1332"/>
      <c r="X503" s="1332"/>
      <c r="Y503" s="1332"/>
      <c r="Z503" s="1332"/>
      <c r="AA503" s="1332"/>
      <c r="AB503" s="1332"/>
    </row>
    <row r="504">
      <c r="A504" s="1332"/>
      <c r="B504" s="1366"/>
      <c r="C504" s="1366"/>
      <c r="D504" s="1375"/>
      <c r="E504" s="1332"/>
      <c r="F504" s="1332"/>
      <c r="G504" s="1378"/>
      <c r="H504" s="1378"/>
      <c r="I504" s="1332"/>
      <c r="J504" s="1332"/>
      <c r="K504" s="1332"/>
      <c r="L504" s="1332"/>
      <c r="M504" s="1332"/>
      <c r="N504" s="1332"/>
      <c r="O504" s="1332"/>
      <c r="P504" s="1332"/>
      <c r="Q504" s="1332"/>
      <c r="R504" s="1332"/>
      <c r="S504" s="1332"/>
      <c r="T504" s="1332"/>
      <c r="U504" s="1332"/>
      <c r="V504" s="1332"/>
      <c r="W504" s="1332"/>
      <c r="X504" s="1332"/>
      <c r="Y504" s="1332"/>
      <c r="Z504" s="1332"/>
      <c r="AA504" s="1332"/>
      <c r="AB504" s="1332"/>
    </row>
    <row r="505">
      <c r="A505" s="1332"/>
      <c r="B505" s="1366"/>
      <c r="C505" s="1366"/>
      <c r="D505" s="1375"/>
      <c r="E505" s="1332"/>
      <c r="F505" s="1332"/>
      <c r="G505" s="1378"/>
      <c r="H505" s="1378"/>
      <c r="I505" s="1332"/>
      <c r="J505" s="1332"/>
      <c r="K505" s="1332"/>
      <c r="L505" s="1332"/>
      <c r="M505" s="1332"/>
      <c r="N505" s="1332"/>
      <c r="O505" s="1332"/>
      <c r="P505" s="1332"/>
      <c r="Q505" s="1332"/>
      <c r="R505" s="1332"/>
      <c r="S505" s="1332"/>
      <c r="T505" s="1332"/>
      <c r="U505" s="1332"/>
      <c r="V505" s="1332"/>
      <c r="W505" s="1332"/>
      <c r="X505" s="1332"/>
      <c r="Y505" s="1332"/>
      <c r="Z505" s="1332"/>
      <c r="AA505" s="1332"/>
      <c r="AB505" s="1332"/>
    </row>
    <row r="506">
      <c r="A506" s="1332"/>
      <c r="B506" s="1366"/>
      <c r="C506" s="1366"/>
      <c r="D506" s="1375"/>
      <c r="E506" s="1332"/>
      <c r="F506" s="1332"/>
      <c r="G506" s="1378"/>
      <c r="H506" s="1378"/>
      <c r="I506" s="1332"/>
      <c r="J506" s="1332"/>
      <c r="K506" s="1332"/>
      <c r="L506" s="1332"/>
      <c r="M506" s="1332"/>
      <c r="N506" s="1332"/>
      <c r="O506" s="1332"/>
      <c r="P506" s="1332"/>
      <c r="Q506" s="1332"/>
      <c r="R506" s="1332"/>
      <c r="S506" s="1332"/>
      <c r="T506" s="1332"/>
      <c r="U506" s="1332"/>
      <c r="V506" s="1332"/>
      <c r="W506" s="1332"/>
      <c r="X506" s="1332"/>
      <c r="Y506" s="1332"/>
      <c r="Z506" s="1332"/>
      <c r="AA506" s="1332"/>
      <c r="AB506" s="1332"/>
    </row>
    <row r="507">
      <c r="A507" s="1332"/>
      <c r="B507" s="1366"/>
      <c r="C507" s="1366"/>
      <c r="D507" s="1375"/>
      <c r="E507" s="1332"/>
      <c r="F507" s="1332"/>
      <c r="G507" s="1378"/>
      <c r="H507" s="1378"/>
      <c r="I507" s="1332"/>
      <c r="J507" s="1332"/>
      <c r="K507" s="1332"/>
      <c r="L507" s="1332"/>
      <c r="M507" s="1332"/>
      <c r="N507" s="1332"/>
      <c r="O507" s="1332"/>
      <c r="P507" s="1332"/>
      <c r="Q507" s="1332"/>
      <c r="R507" s="1332"/>
      <c r="S507" s="1332"/>
      <c r="T507" s="1332"/>
      <c r="U507" s="1332"/>
      <c r="V507" s="1332"/>
      <c r="W507" s="1332"/>
      <c r="X507" s="1332"/>
      <c r="Y507" s="1332"/>
      <c r="Z507" s="1332"/>
      <c r="AA507" s="1332"/>
      <c r="AB507" s="1332"/>
    </row>
    <row r="508">
      <c r="A508" s="1332"/>
      <c r="B508" s="1366"/>
      <c r="C508" s="1366"/>
      <c r="D508" s="1375"/>
      <c r="E508" s="1332"/>
      <c r="F508" s="1332"/>
      <c r="G508" s="1378"/>
      <c r="H508" s="1378"/>
      <c r="I508" s="1332"/>
      <c r="J508" s="1332"/>
      <c r="K508" s="1332"/>
      <c r="L508" s="1332"/>
      <c r="M508" s="1332"/>
      <c r="N508" s="1332"/>
      <c r="O508" s="1332"/>
      <c r="P508" s="1332"/>
      <c r="Q508" s="1332"/>
      <c r="R508" s="1332"/>
      <c r="S508" s="1332"/>
      <c r="T508" s="1332"/>
      <c r="U508" s="1332"/>
      <c r="V508" s="1332"/>
      <c r="W508" s="1332"/>
      <c r="X508" s="1332"/>
      <c r="Y508" s="1332"/>
      <c r="Z508" s="1332"/>
      <c r="AA508" s="1332"/>
      <c r="AB508" s="1332"/>
    </row>
    <row r="509">
      <c r="A509" s="1332"/>
      <c r="B509" s="1366"/>
      <c r="C509" s="1366"/>
      <c r="D509" s="1375"/>
      <c r="E509" s="1332"/>
      <c r="F509" s="1332"/>
      <c r="G509" s="1378"/>
      <c r="H509" s="1378"/>
      <c r="I509" s="1332"/>
      <c r="J509" s="1332"/>
      <c r="K509" s="1332"/>
      <c r="L509" s="1332"/>
      <c r="M509" s="1332"/>
      <c r="N509" s="1332"/>
      <c r="O509" s="1332"/>
      <c r="P509" s="1332"/>
      <c r="Q509" s="1332"/>
      <c r="R509" s="1332"/>
      <c r="S509" s="1332"/>
      <c r="T509" s="1332"/>
      <c r="U509" s="1332"/>
      <c r="V509" s="1332"/>
      <c r="W509" s="1332"/>
      <c r="X509" s="1332"/>
      <c r="Y509" s="1332"/>
      <c r="Z509" s="1332"/>
      <c r="AA509" s="1332"/>
      <c r="AB509" s="1332"/>
    </row>
    <row r="510">
      <c r="A510" s="1332"/>
      <c r="B510" s="1366"/>
      <c r="C510" s="1366"/>
      <c r="D510" s="1375"/>
      <c r="E510" s="1332"/>
      <c r="F510" s="1332"/>
      <c r="G510" s="1378"/>
      <c r="H510" s="1378"/>
      <c r="I510" s="1332"/>
      <c r="J510" s="1332"/>
      <c r="K510" s="1332"/>
      <c r="L510" s="1332"/>
      <c r="M510" s="1332"/>
      <c r="N510" s="1332"/>
      <c r="O510" s="1332"/>
      <c r="P510" s="1332"/>
      <c r="Q510" s="1332"/>
      <c r="R510" s="1332"/>
      <c r="S510" s="1332"/>
      <c r="T510" s="1332"/>
      <c r="U510" s="1332"/>
      <c r="V510" s="1332"/>
      <c r="W510" s="1332"/>
      <c r="X510" s="1332"/>
      <c r="Y510" s="1332"/>
      <c r="Z510" s="1332"/>
      <c r="AA510" s="1332"/>
      <c r="AB510" s="1332"/>
    </row>
    <row r="511">
      <c r="A511" s="1332"/>
      <c r="B511" s="1366"/>
      <c r="C511" s="1366"/>
      <c r="D511" s="1375"/>
      <c r="E511" s="1332"/>
      <c r="F511" s="1332"/>
      <c r="G511" s="1378"/>
      <c r="H511" s="1378"/>
      <c r="I511" s="1332"/>
      <c r="J511" s="1332"/>
      <c r="K511" s="1332"/>
      <c r="L511" s="1332"/>
      <c r="M511" s="1332"/>
      <c r="N511" s="1332"/>
      <c r="O511" s="1332"/>
      <c r="P511" s="1332"/>
      <c r="Q511" s="1332"/>
      <c r="R511" s="1332"/>
      <c r="S511" s="1332"/>
      <c r="T511" s="1332"/>
      <c r="U511" s="1332"/>
      <c r="V511" s="1332"/>
      <c r="W511" s="1332"/>
      <c r="X511" s="1332"/>
      <c r="Y511" s="1332"/>
      <c r="Z511" s="1332"/>
      <c r="AA511" s="1332"/>
      <c r="AB511" s="1332"/>
    </row>
    <row r="512">
      <c r="A512" s="1332"/>
      <c r="B512" s="1366"/>
      <c r="C512" s="1366"/>
      <c r="D512" s="1375"/>
      <c r="E512" s="1332"/>
      <c r="F512" s="1332"/>
      <c r="G512" s="1378"/>
      <c r="H512" s="1378"/>
      <c r="I512" s="1332"/>
      <c r="J512" s="1332"/>
      <c r="K512" s="1332"/>
      <c r="L512" s="1332"/>
      <c r="M512" s="1332"/>
      <c r="N512" s="1332"/>
      <c r="O512" s="1332"/>
      <c r="P512" s="1332"/>
      <c r="Q512" s="1332"/>
      <c r="R512" s="1332"/>
      <c r="S512" s="1332"/>
      <c r="T512" s="1332"/>
      <c r="U512" s="1332"/>
      <c r="V512" s="1332"/>
      <c r="W512" s="1332"/>
      <c r="X512" s="1332"/>
      <c r="Y512" s="1332"/>
      <c r="Z512" s="1332"/>
      <c r="AA512" s="1332"/>
      <c r="AB512" s="1332"/>
    </row>
    <row r="513">
      <c r="A513" s="1332"/>
      <c r="B513" s="1366"/>
      <c r="C513" s="1366"/>
      <c r="D513" s="1375"/>
      <c r="E513" s="1332"/>
      <c r="F513" s="1332"/>
      <c r="G513" s="1378"/>
      <c r="H513" s="1378"/>
      <c r="I513" s="1332"/>
      <c r="J513" s="1332"/>
      <c r="K513" s="1332"/>
      <c r="L513" s="1332"/>
      <c r="M513" s="1332"/>
      <c r="N513" s="1332"/>
      <c r="O513" s="1332"/>
      <c r="P513" s="1332"/>
      <c r="Q513" s="1332"/>
      <c r="R513" s="1332"/>
      <c r="S513" s="1332"/>
      <c r="T513" s="1332"/>
      <c r="U513" s="1332"/>
      <c r="V513" s="1332"/>
      <c r="W513" s="1332"/>
      <c r="X513" s="1332"/>
      <c r="Y513" s="1332"/>
      <c r="Z513" s="1332"/>
      <c r="AA513" s="1332"/>
      <c r="AB513" s="1332"/>
    </row>
    <row r="514">
      <c r="A514" s="1332"/>
      <c r="B514" s="1366"/>
      <c r="C514" s="1366"/>
      <c r="D514" s="1375"/>
      <c r="E514" s="1332"/>
      <c r="F514" s="1332"/>
      <c r="G514" s="1378"/>
      <c r="H514" s="1378"/>
      <c r="I514" s="1332"/>
      <c r="J514" s="1332"/>
      <c r="K514" s="1332"/>
      <c r="L514" s="1332"/>
      <c r="M514" s="1332"/>
      <c r="N514" s="1332"/>
      <c r="O514" s="1332"/>
      <c r="P514" s="1332"/>
      <c r="Q514" s="1332"/>
      <c r="R514" s="1332"/>
      <c r="S514" s="1332"/>
      <c r="T514" s="1332"/>
      <c r="U514" s="1332"/>
      <c r="V514" s="1332"/>
      <c r="W514" s="1332"/>
      <c r="X514" s="1332"/>
      <c r="Y514" s="1332"/>
      <c r="Z514" s="1332"/>
      <c r="AA514" s="1332"/>
      <c r="AB514" s="1332"/>
    </row>
    <row r="515">
      <c r="A515" s="1332"/>
      <c r="B515" s="1366"/>
      <c r="C515" s="1366"/>
      <c r="D515" s="1375"/>
      <c r="E515" s="1332"/>
      <c r="F515" s="1332"/>
      <c r="G515" s="1378"/>
      <c r="H515" s="1378"/>
      <c r="I515" s="1332"/>
      <c r="J515" s="1332"/>
      <c r="K515" s="1332"/>
      <c r="L515" s="1332"/>
      <c r="M515" s="1332"/>
      <c r="N515" s="1332"/>
      <c r="O515" s="1332"/>
      <c r="P515" s="1332"/>
      <c r="Q515" s="1332"/>
      <c r="R515" s="1332"/>
      <c r="S515" s="1332"/>
      <c r="T515" s="1332"/>
      <c r="U515" s="1332"/>
      <c r="V515" s="1332"/>
      <c r="W515" s="1332"/>
      <c r="X515" s="1332"/>
      <c r="Y515" s="1332"/>
      <c r="Z515" s="1332"/>
      <c r="AA515" s="1332"/>
      <c r="AB515" s="1332"/>
    </row>
    <row r="516">
      <c r="A516" s="1332"/>
      <c r="B516" s="1366"/>
      <c r="C516" s="1366"/>
      <c r="D516" s="1375"/>
      <c r="E516" s="1332"/>
      <c r="F516" s="1332"/>
      <c r="G516" s="1378"/>
      <c r="H516" s="1378"/>
      <c r="I516" s="1332"/>
      <c r="J516" s="1332"/>
      <c r="K516" s="1332"/>
      <c r="L516" s="1332"/>
      <c r="M516" s="1332"/>
      <c r="N516" s="1332"/>
      <c r="O516" s="1332"/>
      <c r="P516" s="1332"/>
      <c r="Q516" s="1332"/>
      <c r="R516" s="1332"/>
      <c r="S516" s="1332"/>
      <c r="T516" s="1332"/>
      <c r="U516" s="1332"/>
      <c r="V516" s="1332"/>
      <c r="W516" s="1332"/>
      <c r="X516" s="1332"/>
      <c r="Y516" s="1332"/>
      <c r="Z516" s="1332"/>
      <c r="AA516" s="1332"/>
      <c r="AB516" s="1332"/>
    </row>
    <row r="517">
      <c r="A517" s="1332"/>
      <c r="B517" s="1366"/>
      <c r="C517" s="1366"/>
      <c r="D517" s="1375"/>
      <c r="E517" s="1332"/>
      <c r="F517" s="1332"/>
      <c r="G517" s="1378"/>
      <c r="H517" s="1378"/>
      <c r="I517" s="1332"/>
      <c r="J517" s="1332"/>
      <c r="K517" s="1332"/>
      <c r="L517" s="1332"/>
      <c r="M517" s="1332"/>
      <c r="N517" s="1332"/>
      <c r="O517" s="1332"/>
      <c r="P517" s="1332"/>
      <c r="Q517" s="1332"/>
      <c r="R517" s="1332"/>
      <c r="S517" s="1332"/>
      <c r="T517" s="1332"/>
      <c r="U517" s="1332"/>
      <c r="V517" s="1332"/>
      <c r="W517" s="1332"/>
      <c r="X517" s="1332"/>
      <c r="Y517" s="1332"/>
      <c r="Z517" s="1332"/>
      <c r="AA517" s="1332"/>
      <c r="AB517" s="1332"/>
    </row>
    <row r="518">
      <c r="A518" s="1332"/>
      <c r="B518" s="1366"/>
      <c r="C518" s="1366"/>
      <c r="D518" s="1375"/>
      <c r="E518" s="1332"/>
      <c r="F518" s="1332"/>
      <c r="G518" s="1378"/>
      <c r="H518" s="1378"/>
      <c r="I518" s="1332"/>
      <c r="J518" s="1332"/>
      <c r="K518" s="1332"/>
      <c r="L518" s="1332"/>
      <c r="M518" s="1332"/>
      <c r="N518" s="1332"/>
      <c r="O518" s="1332"/>
      <c r="P518" s="1332"/>
      <c r="Q518" s="1332"/>
      <c r="R518" s="1332"/>
      <c r="S518" s="1332"/>
      <c r="T518" s="1332"/>
      <c r="U518" s="1332"/>
      <c r="V518" s="1332"/>
      <c r="W518" s="1332"/>
      <c r="X518" s="1332"/>
      <c r="Y518" s="1332"/>
      <c r="Z518" s="1332"/>
      <c r="AA518" s="1332"/>
      <c r="AB518" s="1332"/>
    </row>
    <row r="519">
      <c r="A519" s="1332"/>
      <c r="B519" s="1366"/>
      <c r="C519" s="1366"/>
      <c r="D519" s="1375"/>
      <c r="E519" s="1332"/>
      <c r="F519" s="1332"/>
      <c r="G519" s="1378"/>
      <c r="H519" s="1378"/>
      <c r="I519" s="1332"/>
      <c r="J519" s="1332"/>
      <c r="K519" s="1332"/>
      <c r="L519" s="1332"/>
      <c r="M519" s="1332"/>
      <c r="N519" s="1332"/>
      <c r="O519" s="1332"/>
      <c r="P519" s="1332"/>
      <c r="Q519" s="1332"/>
      <c r="R519" s="1332"/>
      <c r="S519" s="1332"/>
      <c r="T519" s="1332"/>
      <c r="U519" s="1332"/>
      <c r="V519" s="1332"/>
      <c r="W519" s="1332"/>
      <c r="X519" s="1332"/>
      <c r="Y519" s="1332"/>
      <c r="Z519" s="1332"/>
      <c r="AA519" s="1332"/>
      <c r="AB519" s="1332"/>
    </row>
    <row r="520">
      <c r="A520" s="1332"/>
      <c r="B520" s="1366"/>
      <c r="C520" s="1366"/>
      <c r="D520" s="1375"/>
      <c r="E520" s="1332"/>
      <c r="F520" s="1332"/>
      <c r="G520" s="1378"/>
      <c r="H520" s="1378"/>
      <c r="I520" s="1332"/>
      <c r="J520" s="1332"/>
      <c r="K520" s="1332"/>
      <c r="L520" s="1332"/>
      <c r="M520" s="1332"/>
      <c r="N520" s="1332"/>
      <c r="O520" s="1332"/>
      <c r="P520" s="1332"/>
      <c r="Q520" s="1332"/>
      <c r="R520" s="1332"/>
      <c r="S520" s="1332"/>
      <c r="T520" s="1332"/>
      <c r="U520" s="1332"/>
      <c r="V520" s="1332"/>
      <c r="W520" s="1332"/>
      <c r="X520" s="1332"/>
      <c r="Y520" s="1332"/>
      <c r="Z520" s="1332"/>
      <c r="AA520" s="1332"/>
      <c r="AB520" s="1332"/>
    </row>
    <row r="521">
      <c r="A521" s="1332"/>
      <c r="B521" s="1366"/>
      <c r="C521" s="1366"/>
      <c r="D521" s="1375"/>
      <c r="E521" s="1332"/>
      <c r="F521" s="1332"/>
      <c r="G521" s="1378"/>
      <c r="H521" s="1378"/>
      <c r="I521" s="1332"/>
      <c r="J521" s="1332"/>
      <c r="K521" s="1332"/>
      <c r="L521" s="1332"/>
      <c r="M521" s="1332"/>
      <c r="N521" s="1332"/>
      <c r="O521" s="1332"/>
      <c r="P521" s="1332"/>
      <c r="Q521" s="1332"/>
      <c r="R521" s="1332"/>
      <c r="S521" s="1332"/>
      <c r="T521" s="1332"/>
      <c r="U521" s="1332"/>
      <c r="V521" s="1332"/>
      <c r="W521" s="1332"/>
      <c r="X521" s="1332"/>
      <c r="Y521" s="1332"/>
      <c r="Z521" s="1332"/>
      <c r="AA521" s="1332"/>
      <c r="AB521" s="1332"/>
    </row>
    <row r="522">
      <c r="A522" s="1332"/>
      <c r="B522" s="1366"/>
      <c r="C522" s="1366"/>
      <c r="D522" s="1375"/>
      <c r="E522" s="1332"/>
      <c r="F522" s="1332"/>
      <c r="G522" s="1378"/>
      <c r="H522" s="1378"/>
      <c r="I522" s="1332"/>
      <c r="J522" s="1332"/>
      <c r="K522" s="1332"/>
      <c r="L522" s="1332"/>
      <c r="M522" s="1332"/>
      <c r="N522" s="1332"/>
      <c r="O522" s="1332"/>
      <c r="P522" s="1332"/>
      <c r="Q522" s="1332"/>
      <c r="R522" s="1332"/>
      <c r="S522" s="1332"/>
      <c r="T522" s="1332"/>
      <c r="U522" s="1332"/>
      <c r="V522" s="1332"/>
      <c r="W522" s="1332"/>
      <c r="X522" s="1332"/>
      <c r="Y522" s="1332"/>
      <c r="Z522" s="1332"/>
      <c r="AA522" s="1332"/>
      <c r="AB522" s="1332"/>
    </row>
    <row r="523">
      <c r="A523" s="1332"/>
      <c r="B523" s="1366"/>
      <c r="C523" s="1366"/>
      <c r="D523" s="1375"/>
      <c r="E523" s="1332"/>
      <c r="F523" s="1332"/>
      <c r="G523" s="1378"/>
      <c r="H523" s="1378"/>
      <c r="I523" s="1332"/>
      <c r="J523" s="1332"/>
      <c r="K523" s="1332"/>
      <c r="L523" s="1332"/>
      <c r="M523" s="1332"/>
      <c r="N523" s="1332"/>
      <c r="O523" s="1332"/>
      <c r="P523" s="1332"/>
      <c r="Q523" s="1332"/>
      <c r="R523" s="1332"/>
      <c r="S523" s="1332"/>
      <c r="T523" s="1332"/>
      <c r="U523" s="1332"/>
      <c r="V523" s="1332"/>
      <c r="W523" s="1332"/>
      <c r="X523" s="1332"/>
      <c r="Y523" s="1332"/>
      <c r="Z523" s="1332"/>
      <c r="AA523" s="1332"/>
      <c r="AB523" s="1332"/>
    </row>
    <row r="524">
      <c r="A524" s="1332"/>
      <c r="B524" s="1366"/>
      <c r="C524" s="1366"/>
      <c r="D524" s="1375"/>
      <c r="E524" s="1332"/>
      <c r="F524" s="1332"/>
      <c r="G524" s="1378"/>
      <c r="H524" s="1378"/>
      <c r="I524" s="1332"/>
      <c r="J524" s="1332"/>
      <c r="K524" s="1332"/>
      <c r="L524" s="1332"/>
      <c r="M524" s="1332"/>
      <c r="N524" s="1332"/>
      <c r="O524" s="1332"/>
      <c r="P524" s="1332"/>
      <c r="Q524" s="1332"/>
      <c r="R524" s="1332"/>
      <c r="S524" s="1332"/>
      <c r="T524" s="1332"/>
      <c r="U524" s="1332"/>
      <c r="V524" s="1332"/>
      <c r="W524" s="1332"/>
      <c r="X524" s="1332"/>
      <c r="Y524" s="1332"/>
      <c r="Z524" s="1332"/>
      <c r="AA524" s="1332"/>
      <c r="AB524" s="1332"/>
    </row>
    <row r="525">
      <c r="A525" s="1332"/>
      <c r="B525" s="1366"/>
      <c r="C525" s="1366"/>
      <c r="D525" s="1375"/>
      <c r="E525" s="1332"/>
      <c r="F525" s="1332"/>
      <c r="G525" s="1378"/>
      <c r="H525" s="1378"/>
      <c r="I525" s="1332"/>
      <c r="J525" s="1332"/>
      <c r="K525" s="1332"/>
      <c r="L525" s="1332"/>
      <c r="M525" s="1332"/>
      <c r="N525" s="1332"/>
      <c r="O525" s="1332"/>
      <c r="P525" s="1332"/>
      <c r="Q525" s="1332"/>
      <c r="R525" s="1332"/>
      <c r="S525" s="1332"/>
      <c r="T525" s="1332"/>
      <c r="U525" s="1332"/>
      <c r="V525" s="1332"/>
      <c r="W525" s="1332"/>
      <c r="X525" s="1332"/>
      <c r="Y525" s="1332"/>
      <c r="Z525" s="1332"/>
      <c r="AA525" s="1332"/>
      <c r="AB525" s="1332"/>
    </row>
    <row r="526">
      <c r="A526" s="1332"/>
      <c r="B526" s="1366"/>
      <c r="C526" s="1366"/>
      <c r="D526" s="1375"/>
      <c r="E526" s="1332"/>
      <c r="F526" s="1332"/>
      <c r="G526" s="1378"/>
      <c r="H526" s="1378"/>
      <c r="I526" s="1332"/>
      <c r="J526" s="1332"/>
      <c r="K526" s="1332"/>
      <c r="L526" s="1332"/>
      <c r="M526" s="1332"/>
      <c r="N526" s="1332"/>
      <c r="O526" s="1332"/>
      <c r="P526" s="1332"/>
      <c r="Q526" s="1332"/>
      <c r="R526" s="1332"/>
      <c r="S526" s="1332"/>
      <c r="T526" s="1332"/>
      <c r="U526" s="1332"/>
      <c r="V526" s="1332"/>
      <c r="W526" s="1332"/>
      <c r="X526" s="1332"/>
      <c r="Y526" s="1332"/>
      <c r="Z526" s="1332"/>
      <c r="AA526" s="1332"/>
      <c r="AB526" s="1332"/>
    </row>
    <row r="527">
      <c r="A527" s="1332"/>
      <c r="B527" s="1366"/>
      <c r="C527" s="1366"/>
      <c r="D527" s="1375"/>
      <c r="E527" s="1332"/>
      <c r="F527" s="1332"/>
      <c r="G527" s="1378"/>
      <c r="H527" s="1378"/>
      <c r="I527" s="1332"/>
      <c r="J527" s="1332"/>
      <c r="K527" s="1332"/>
      <c r="L527" s="1332"/>
      <c r="M527" s="1332"/>
      <c r="N527" s="1332"/>
      <c r="O527" s="1332"/>
      <c r="P527" s="1332"/>
      <c r="Q527" s="1332"/>
      <c r="R527" s="1332"/>
      <c r="S527" s="1332"/>
      <c r="T527" s="1332"/>
      <c r="U527" s="1332"/>
      <c r="V527" s="1332"/>
      <c r="W527" s="1332"/>
      <c r="X527" s="1332"/>
      <c r="Y527" s="1332"/>
      <c r="Z527" s="1332"/>
      <c r="AA527" s="1332"/>
      <c r="AB527" s="1332"/>
    </row>
    <row r="528">
      <c r="A528" s="1332"/>
      <c r="B528" s="1366"/>
      <c r="C528" s="1366"/>
      <c r="D528" s="1375"/>
      <c r="E528" s="1332"/>
      <c r="F528" s="1332"/>
      <c r="G528" s="1378"/>
      <c r="H528" s="1378"/>
      <c r="I528" s="1332"/>
      <c r="J528" s="1332"/>
      <c r="K528" s="1332"/>
      <c r="L528" s="1332"/>
      <c r="M528" s="1332"/>
      <c r="N528" s="1332"/>
      <c r="O528" s="1332"/>
      <c r="P528" s="1332"/>
      <c r="Q528" s="1332"/>
      <c r="R528" s="1332"/>
      <c r="S528" s="1332"/>
      <c r="T528" s="1332"/>
      <c r="U528" s="1332"/>
      <c r="V528" s="1332"/>
      <c r="W528" s="1332"/>
      <c r="X528" s="1332"/>
      <c r="Y528" s="1332"/>
      <c r="Z528" s="1332"/>
      <c r="AA528" s="1332"/>
      <c r="AB528" s="1332"/>
    </row>
    <row r="529">
      <c r="A529" s="1332"/>
      <c r="B529" s="1366"/>
      <c r="C529" s="1366"/>
      <c r="D529" s="1375"/>
      <c r="E529" s="1332"/>
      <c r="F529" s="1332"/>
      <c r="G529" s="1378"/>
      <c r="H529" s="1378"/>
      <c r="I529" s="1332"/>
      <c r="J529" s="1332"/>
      <c r="K529" s="1332"/>
      <c r="L529" s="1332"/>
      <c r="M529" s="1332"/>
      <c r="N529" s="1332"/>
      <c r="O529" s="1332"/>
      <c r="P529" s="1332"/>
      <c r="Q529" s="1332"/>
      <c r="R529" s="1332"/>
      <c r="S529" s="1332"/>
      <c r="T529" s="1332"/>
      <c r="U529" s="1332"/>
      <c r="V529" s="1332"/>
      <c r="W529" s="1332"/>
      <c r="X529" s="1332"/>
      <c r="Y529" s="1332"/>
      <c r="Z529" s="1332"/>
      <c r="AA529" s="1332"/>
      <c r="AB529" s="1332"/>
    </row>
    <row r="530">
      <c r="A530" s="1332"/>
      <c r="B530" s="1366"/>
      <c r="C530" s="1366"/>
      <c r="D530" s="1375"/>
      <c r="E530" s="1332"/>
      <c r="F530" s="1332"/>
      <c r="G530" s="1378"/>
      <c r="H530" s="1378"/>
      <c r="I530" s="1332"/>
      <c r="J530" s="1332"/>
      <c r="K530" s="1332"/>
      <c r="L530" s="1332"/>
      <c r="M530" s="1332"/>
      <c r="N530" s="1332"/>
      <c r="O530" s="1332"/>
      <c r="P530" s="1332"/>
      <c r="Q530" s="1332"/>
      <c r="R530" s="1332"/>
      <c r="S530" s="1332"/>
      <c r="T530" s="1332"/>
      <c r="U530" s="1332"/>
      <c r="V530" s="1332"/>
      <c r="W530" s="1332"/>
      <c r="X530" s="1332"/>
      <c r="Y530" s="1332"/>
      <c r="Z530" s="1332"/>
      <c r="AA530" s="1332"/>
      <c r="AB530" s="1332"/>
    </row>
    <row r="531">
      <c r="A531" s="1332"/>
      <c r="B531" s="1366"/>
      <c r="C531" s="1366"/>
      <c r="D531" s="1375"/>
      <c r="E531" s="1332"/>
      <c r="F531" s="1332"/>
      <c r="G531" s="1378"/>
      <c r="H531" s="1378"/>
      <c r="I531" s="1332"/>
      <c r="J531" s="1332"/>
      <c r="K531" s="1332"/>
      <c r="L531" s="1332"/>
      <c r="M531" s="1332"/>
      <c r="N531" s="1332"/>
      <c r="O531" s="1332"/>
      <c r="P531" s="1332"/>
      <c r="Q531" s="1332"/>
      <c r="R531" s="1332"/>
      <c r="S531" s="1332"/>
      <c r="T531" s="1332"/>
      <c r="U531" s="1332"/>
      <c r="V531" s="1332"/>
      <c r="W531" s="1332"/>
      <c r="X531" s="1332"/>
      <c r="Y531" s="1332"/>
      <c r="Z531" s="1332"/>
      <c r="AA531" s="1332"/>
      <c r="AB531" s="1332"/>
    </row>
    <row r="532">
      <c r="A532" s="1332"/>
      <c r="B532" s="1366"/>
      <c r="C532" s="1366"/>
      <c r="D532" s="1375"/>
      <c r="E532" s="1332"/>
      <c r="F532" s="1332"/>
      <c r="G532" s="1378"/>
      <c r="H532" s="1378"/>
      <c r="I532" s="1332"/>
      <c r="J532" s="1332"/>
      <c r="K532" s="1332"/>
      <c r="L532" s="1332"/>
      <c r="M532" s="1332"/>
      <c r="N532" s="1332"/>
      <c r="O532" s="1332"/>
      <c r="P532" s="1332"/>
      <c r="Q532" s="1332"/>
      <c r="R532" s="1332"/>
      <c r="S532" s="1332"/>
      <c r="T532" s="1332"/>
      <c r="U532" s="1332"/>
      <c r="V532" s="1332"/>
      <c r="W532" s="1332"/>
      <c r="X532" s="1332"/>
      <c r="Y532" s="1332"/>
      <c r="Z532" s="1332"/>
      <c r="AA532" s="1332"/>
      <c r="AB532" s="1332"/>
    </row>
    <row r="533">
      <c r="A533" s="1332"/>
      <c r="B533" s="1366"/>
      <c r="C533" s="1366"/>
      <c r="D533" s="1375"/>
      <c r="E533" s="1332"/>
      <c r="F533" s="1332"/>
      <c r="G533" s="1378"/>
      <c r="H533" s="1378"/>
      <c r="I533" s="1332"/>
      <c r="J533" s="1332"/>
      <c r="K533" s="1332"/>
      <c r="L533" s="1332"/>
      <c r="M533" s="1332"/>
      <c r="N533" s="1332"/>
      <c r="O533" s="1332"/>
      <c r="P533" s="1332"/>
      <c r="Q533" s="1332"/>
      <c r="R533" s="1332"/>
      <c r="S533" s="1332"/>
      <c r="T533" s="1332"/>
      <c r="U533" s="1332"/>
      <c r="V533" s="1332"/>
      <c r="W533" s="1332"/>
      <c r="X533" s="1332"/>
      <c r="Y533" s="1332"/>
      <c r="Z533" s="1332"/>
      <c r="AA533" s="1332"/>
      <c r="AB533" s="1332"/>
    </row>
    <row r="534">
      <c r="A534" s="1332"/>
      <c r="B534" s="1366"/>
      <c r="C534" s="1366"/>
      <c r="D534" s="1375"/>
      <c r="E534" s="1332"/>
      <c r="F534" s="1332"/>
      <c r="G534" s="1378"/>
      <c r="H534" s="1378"/>
      <c r="I534" s="1332"/>
      <c r="J534" s="1332"/>
      <c r="K534" s="1332"/>
      <c r="L534" s="1332"/>
      <c r="M534" s="1332"/>
      <c r="N534" s="1332"/>
      <c r="O534" s="1332"/>
      <c r="P534" s="1332"/>
      <c r="Q534" s="1332"/>
      <c r="R534" s="1332"/>
      <c r="S534" s="1332"/>
      <c r="T534" s="1332"/>
      <c r="U534" s="1332"/>
      <c r="V534" s="1332"/>
      <c r="W534" s="1332"/>
      <c r="X534" s="1332"/>
      <c r="Y534" s="1332"/>
      <c r="Z534" s="1332"/>
      <c r="AA534" s="1332"/>
      <c r="AB534" s="1332"/>
    </row>
    <row r="535">
      <c r="A535" s="1332"/>
      <c r="B535" s="1366"/>
      <c r="C535" s="1366"/>
      <c r="D535" s="1375"/>
      <c r="E535" s="1332"/>
      <c r="F535" s="1332"/>
      <c r="G535" s="1378"/>
      <c r="H535" s="1378"/>
      <c r="I535" s="1332"/>
      <c r="J535" s="1332"/>
      <c r="K535" s="1332"/>
      <c r="L535" s="1332"/>
      <c r="M535" s="1332"/>
      <c r="N535" s="1332"/>
      <c r="O535" s="1332"/>
      <c r="P535" s="1332"/>
      <c r="Q535" s="1332"/>
      <c r="R535" s="1332"/>
      <c r="S535" s="1332"/>
      <c r="T535" s="1332"/>
      <c r="U535" s="1332"/>
      <c r="V535" s="1332"/>
      <c r="W535" s="1332"/>
      <c r="X535" s="1332"/>
      <c r="Y535" s="1332"/>
      <c r="Z535" s="1332"/>
      <c r="AA535" s="1332"/>
      <c r="AB535" s="1332"/>
    </row>
    <row r="536">
      <c r="A536" s="1332"/>
      <c r="B536" s="1366"/>
      <c r="C536" s="1366"/>
      <c r="D536" s="1375"/>
      <c r="E536" s="1332"/>
      <c r="F536" s="1332"/>
      <c r="G536" s="1378"/>
      <c r="H536" s="1378"/>
      <c r="I536" s="1332"/>
      <c r="J536" s="1332"/>
      <c r="K536" s="1332"/>
      <c r="L536" s="1332"/>
      <c r="M536" s="1332"/>
      <c r="N536" s="1332"/>
      <c r="O536" s="1332"/>
      <c r="P536" s="1332"/>
      <c r="Q536" s="1332"/>
      <c r="R536" s="1332"/>
      <c r="S536" s="1332"/>
      <c r="T536" s="1332"/>
      <c r="U536" s="1332"/>
      <c r="V536" s="1332"/>
      <c r="W536" s="1332"/>
      <c r="X536" s="1332"/>
      <c r="Y536" s="1332"/>
      <c r="Z536" s="1332"/>
      <c r="AA536" s="1332"/>
      <c r="AB536" s="1332"/>
    </row>
    <row r="537">
      <c r="A537" s="1332"/>
      <c r="B537" s="1366"/>
      <c r="C537" s="1366"/>
      <c r="D537" s="1375"/>
      <c r="E537" s="1332"/>
      <c r="F537" s="1332"/>
      <c r="G537" s="1378"/>
      <c r="H537" s="1378"/>
      <c r="I537" s="1332"/>
      <c r="J537" s="1332"/>
      <c r="K537" s="1332"/>
      <c r="L537" s="1332"/>
      <c r="M537" s="1332"/>
      <c r="N537" s="1332"/>
      <c r="O537" s="1332"/>
      <c r="P537" s="1332"/>
      <c r="Q537" s="1332"/>
      <c r="R537" s="1332"/>
      <c r="S537" s="1332"/>
      <c r="T537" s="1332"/>
      <c r="U537" s="1332"/>
      <c r="V537" s="1332"/>
      <c r="W537" s="1332"/>
      <c r="X537" s="1332"/>
      <c r="Y537" s="1332"/>
      <c r="Z537" s="1332"/>
      <c r="AA537" s="1332"/>
      <c r="AB537" s="1332"/>
    </row>
    <row r="538">
      <c r="A538" s="1332"/>
      <c r="B538" s="1366"/>
      <c r="C538" s="1366"/>
      <c r="D538" s="1375"/>
      <c r="E538" s="1332"/>
      <c r="F538" s="1332"/>
      <c r="G538" s="1378"/>
      <c r="H538" s="1378"/>
      <c r="I538" s="1332"/>
      <c r="J538" s="1332"/>
      <c r="K538" s="1332"/>
      <c r="L538" s="1332"/>
      <c r="M538" s="1332"/>
      <c r="N538" s="1332"/>
      <c r="O538" s="1332"/>
      <c r="P538" s="1332"/>
      <c r="Q538" s="1332"/>
      <c r="R538" s="1332"/>
      <c r="S538" s="1332"/>
      <c r="T538" s="1332"/>
      <c r="U538" s="1332"/>
      <c r="V538" s="1332"/>
      <c r="W538" s="1332"/>
      <c r="X538" s="1332"/>
      <c r="Y538" s="1332"/>
      <c r="Z538" s="1332"/>
      <c r="AA538" s="1332"/>
      <c r="AB538" s="1332"/>
    </row>
    <row r="539">
      <c r="A539" s="1332"/>
      <c r="B539" s="1366"/>
      <c r="C539" s="1366"/>
      <c r="D539" s="1375"/>
      <c r="E539" s="1332"/>
      <c r="F539" s="1332"/>
      <c r="G539" s="1378"/>
      <c r="H539" s="1378"/>
      <c r="I539" s="1332"/>
      <c r="J539" s="1332"/>
      <c r="K539" s="1332"/>
      <c r="L539" s="1332"/>
      <c r="M539" s="1332"/>
      <c r="N539" s="1332"/>
      <c r="O539" s="1332"/>
      <c r="P539" s="1332"/>
      <c r="Q539" s="1332"/>
      <c r="R539" s="1332"/>
      <c r="S539" s="1332"/>
      <c r="T539" s="1332"/>
      <c r="U539" s="1332"/>
      <c r="V539" s="1332"/>
      <c r="W539" s="1332"/>
      <c r="X539" s="1332"/>
      <c r="Y539" s="1332"/>
      <c r="Z539" s="1332"/>
      <c r="AA539" s="1332"/>
      <c r="AB539" s="1332"/>
    </row>
    <row r="540">
      <c r="A540" s="1332"/>
      <c r="B540" s="1366"/>
      <c r="C540" s="1366"/>
      <c r="D540" s="1375"/>
      <c r="E540" s="1332"/>
      <c r="F540" s="1332"/>
      <c r="G540" s="1378"/>
      <c r="H540" s="1378"/>
      <c r="I540" s="1332"/>
      <c r="J540" s="1332"/>
      <c r="K540" s="1332"/>
      <c r="L540" s="1332"/>
      <c r="M540" s="1332"/>
      <c r="N540" s="1332"/>
      <c r="O540" s="1332"/>
      <c r="P540" s="1332"/>
      <c r="Q540" s="1332"/>
      <c r="R540" s="1332"/>
      <c r="S540" s="1332"/>
      <c r="T540" s="1332"/>
      <c r="U540" s="1332"/>
      <c r="V540" s="1332"/>
      <c r="W540" s="1332"/>
      <c r="X540" s="1332"/>
      <c r="Y540" s="1332"/>
      <c r="Z540" s="1332"/>
      <c r="AA540" s="1332"/>
      <c r="AB540" s="1332"/>
    </row>
    <row r="541">
      <c r="A541" s="1332"/>
      <c r="B541" s="1366"/>
      <c r="C541" s="1366"/>
      <c r="D541" s="1375"/>
      <c r="E541" s="1332"/>
      <c r="F541" s="1332"/>
      <c r="G541" s="1378"/>
      <c r="H541" s="1378"/>
      <c r="I541" s="1332"/>
      <c r="J541" s="1332"/>
      <c r="K541" s="1332"/>
      <c r="L541" s="1332"/>
      <c r="M541" s="1332"/>
      <c r="N541" s="1332"/>
      <c r="O541" s="1332"/>
      <c r="P541" s="1332"/>
      <c r="Q541" s="1332"/>
      <c r="R541" s="1332"/>
      <c r="S541" s="1332"/>
      <c r="T541" s="1332"/>
      <c r="U541" s="1332"/>
      <c r="V541" s="1332"/>
      <c r="W541" s="1332"/>
      <c r="X541" s="1332"/>
      <c r="Y541" s="1332"/>
      <c r="Z541" s="1332"/>
      <c r="AA541" s="1332"/>
      <c r="AB541" s="1332"/>
    </row>
    <row r="542">
      <c r="A542" s="1332"/>
      <c r="B542" s="1366"/>
      <c r="C542" s="1366"/>
      <c r="D542" s="1375"/>
      <c r="E542" s="1332"/>
      <c r="F542" s="1332"/>
      <c r="G542" s="1378"/>
      <c r="H542" s="1378"/>
      <c r="I542" s="1332"/>
      <c r="J542" s="1332"/>
      <c r="K542" s="1332"/>
      <c r="L542" s="1332"/>
      <c r="M542" s="1332"/>
      <c r="N542" s="1332"/>
      <c r="O542" s="1332"/>
      <c r="P542" s="1332"/>
      <c r="Q542" s="1332"/>
      <c r="R542" s="1332"/>
      <c r="S542" s="1332"/>
      <c r="T542" s="1332"/>
      <c r="U542" s="1332"/>
      <c r="V542" s="1332"/>
      <c r="W542" s="1332"/>
      <c r="X542" s="1332"/>
      <c r="Y542" s="1332"/>
      <c r="Z542" s="1332"/>
      <c r="AA542" s="1332"/>
      <c r="AB542" s="1332"/>
    </row>
    <row r="543">
      <c r="A543" s="1332"/>
      <c r="B543" s="1366"/>
      <c r="C543" s="1366"/>
      <c r="D543" s="1375"/>
      <c r="E543" s="1332"/>
      <c r="F543" s="1332"/>
      <c r="G543" s="1378"/>
      <c r="H543" s="1378"/>
      <c r="I543" s="1332"/>
      <c r="J543" s="1332"/>
      <c r="K543" s="1332"/>
      <c r="L543" s="1332"/>
      <c r="M543" s="1332"/>
      <c r="N543" s="1332"/>
      <c r="O543" s="1332"/>
      <c r="P543" s="1332"/>
      <c r="Q543" s="1332"/>
      <c r="R543" s="1332"/>
      <c r="S543" s="1332"/>
      <c r="T543" s="1332"/>
      <c r="U543" s="1332"/>
      <c r="V543" s="1332"/>
      <c r="W543" s="1332"/>
      <c r="X543" s="1332"/>
      <c r="Y543" s="1332"/>
      <c r="Z543" s="1332"/>
      <c r="AA543" s="1332"/>
      <c r="AB543" s="1332"/>
    </row>
    <row r="544">
      <c r="A544" s="1332"/>
      <c r="B544" s="1366"/>
      <c r="C544" s="1366"/>
      <c r="D544" s="1375"/>
      <c r="E544" s="1332"/>
      <c r="F544" s="1332"/>
      <c r="G544" s="1378"/>
      <c r="H544" s="1378"/>
      <c r="I544" s="1332"/>
      <c r="J544" s="1332"/>
      <c r="K544" s="1332"/>
      <c r="L544" s="1332"/>
      <c r="M544" s="1332"/>
      <c r="N544" s="1332"/>
      <c r="O544" s="1332"/>
      <c r="P544" s="1332"/>
      <c r="Q544" s="1332"/>
      <c r="R544" s="1332"/>
      <c r="S544" s="1332"/>
      <c r="T544" s="1332"/>
      <c r="U544" s="1332"/>
      <c r="V544" s="1332"/>
      <c r="W544" s="1332"/>
      <c r="X544" s="1332"/>
      <c r="Y544" s="1332"/>
      <c r="Z544" s="1332"/>
      <c r="AA544" s="1332"/>
      <c r="AB544" s="1332"/>
    </row>
    <row r="545">
      <c r="A545" s="1332"/>
      <c r="B545" s="1366"/>
      <c r="C545" s="1366"/>
      <c r="D545" s="1375"/>
      <c r="E545" s="1332"/>
      <c r="F545" s="1332"/>
      <c r="G545" s="1378"/>
      <c r="H545" s="1378"/>
      <c r="I545" s="1332"/>
      <c r="J545" s="1332"/>
      <c r="K545" s="1332"/>
      <c r="L545" s="1332"/>
      <c r="M545" s="1332"/>
      <c r="N545" s="1332"/>
      <c r="O545" s="1332"/>
      <c r="P545" s="1332"/>
      <c r="Q545" s="1332"/>
      <c r="R545" s="1332"/>
      <c r="S545" s="1332"/>
      <c r="T545" s="1332"/>
      <c r="U545" s="1332"/>
      <c r="V545" s="1332"/>
      <c r="W545" s="1332"/>
      <c r="X545" s="1332"/>
      <c r="Y545" s="1332"/>
      <c r="Z545" s="1332"/>
      <c r="AA545" s="1332"/>
      <c r="AB545" s="1332"/>
    </row>
    <row r="546">
      <c r="A546" s="1332"/>
      <c r="B546" s="1366"/>
      <c r="C546" s="1366"/>
      <c r="D546" s="1375"/>
      <c r="E546" s="1332"/>
      <c r="F546" s="1332"/>
      <c r="G546" s="1378"/>
      <c r="H546" s="1378"/>
      <c r="I546" s="1332"/>
      <c r="J546" s="1332"/>
      <c r="K546" s="1332"/>
      <c r="L546" s="1332"/>
      <c r="M546" s="1332"/>
      <c r="N546" s="1332"/>
      <c r="O546" s="1332"/>
      <c r="P546" s="1332"/>
      <c r="Q546" s="1332"/>
      <c r="R546" s="1332"/>
      <c r="S546" s="1332"/>
      <c r="T546" s="1332"/>
      <c r="U546" s="1332"/>
      <c r="V546" s="1332"/>
      <c r="W546" s="1332"/>
      <c r="X546" s="1332"/>
      <c r="Y546" s="1332"/>
      <c r="Z546" s="1332"/>
      <c r="AA546" s="1332"/>
      <c r="AB546" s="1332"/>
    </row>
    <row r="547">
      <c r="A547" s="1332"/>
      <c r="B547" s="1366"/>
      <c r="C547" s="1366"/>
      <c r="D547" s="1375"/>
      <c r="E547" s="1332"/>
      <c r="F547" s="1332"/>
      <c r="G547" s="1378"/>
      <c r="H547" s="1378"/>
      <c r="I547" s="1332"/>
      <c r="J547" s="1332"/>
      <c r="K547" s="1332"/>
      <c r="L547" s="1332"/>
      <c r="M547" s="1332"/>
      <c r="N547" s="1332"/>
      <c r="O547" s="1332"/>
      <c r="P547" s="1332"/>
      <c r="Q547" s="1332"/>
      <c r="R547" s="1332"/>
      <c r="S547" s="1332"/>
      <c r="T547" s="1332"/>
      <c r="U547" s="1332"/>
      <c r="V547" s="1332"/>
      <c r="W547" s="1332"/>
      <c r="X547" s="1332"/>
      <c r="Y547" s="1332"/>
      <c r="Z547" s="1332"/>
      <c r="AA547" s="1332"/>
      <c r="AB547" s="1332"/>
    </row>
    <row r="548">
      <c r="A548" s="1332"/>
      <c r="B548" s="1366"/>
      <c r="C548" s="1366"/>
      <c r="D548" s="1375"/>
      <c r="E548" s="1332"/>
      <c r="F548" s="1332"/>
      <c r="G548" s="1378"/>
      <c r="H548" s="1378"/>
      <c r="I548" s="1332"/>
      <c r="J548" s="1332"/>
      <c r="K548" s="1332"/>
      <c r="L548" s="1332"/>
      <c r="M548" s="1332"/>
      <c r="N548" s="1332"/>
      <c r="O548" s="1332"/>
      <c r="P548" s="1332"/>
      <c r="Q548" s="1332"/>
      <c r="R548" s="1332"/>
      <c r="S548" s="1332"/>
      <c r="T548" s="1332"/>
      <c r="U548" s="1332"/>
      <c r="V548" s="1332"/>
      <c r="W548" s="1332"/>
      <c r="X548" s="1332"/>
      <c r="Y548" s="1332"/>
      <c r="Z548" s="1332"/>
      <c r="AA548" s="1332"/>
      <c r="AB548" s="1332"/>
    </row>
    <row r="549">
      <c r="A549" s="1332"/>
      <c r="B549" s="1366"/>
      <c r="C549" s="1366"/>
      <c r="D549" s="1375"/>
      <c r="E549" s="1332"/>
      <c r="F549" s="1332"/>
      <c r="G549" s="1378"/>
      <c r="H549" s="1378"/>
      <c r="I549" s="1332"/>
      <c r="J549" s="1332"/>
      <c r="K549" s="1332"/>
      <c r="L549" s="1332"/>
      <c r="M549" s="1332"/>
      <c r="N549" s="1332"/>
      <c r="O549" s="1332"/>
      <c r="P549" s="1332"/>
      <c r="Q549" s="1332"/>
      <c r="R549" s="1332"/>
      <c r="S549" s="1332"/>
      <c r="T549" s="1332"/>
      <c r="U549" s="1332"/>
      <c r="V549" s="1332"/>
      <c r="W549" s="1332"/>
      <c r="X549" s="1332"/>
      <c r="Y549" s="1332"/>
      <c r="Z549" s="1332"/>
      <c r="AA549" s="1332"/>
      <c r="AB549" s="1332"/>
    </row>
    <row r="550">
      <c r="A550" s="1332"/>
      <c r="B550" s="1366"/>
      <c r="C550" s="1366"/>
      <c r="D550" s="1375"/>
      <c r="E550" s="1332"/>
      <c r="F550" s="1332"/>
      <c r="G550" s="1378"/>
      <c r="H550" s="1378"/>
      <c r="I550" s="1332"/>
      <c r="J550" s="1332"/>
      <c r="K550" s="1332"/>
      <c r="L550" s="1332"/>
      <c r="M550" s="1332"/>
      <c r="N550" s="1332"/>
      <c r="O550" s="1332"/>
      <c r="P550" s="1332"/>
      <c r="Q550" s="1332"/>
      <c r="R550" s="1332"/>
      <c r="S550" s="1332"/>
      <c r="T550" s="1332"/>
      <c r="U550" s="1332"/>
      <c r="V550" s="1332"/>
      <c r="W550" s="1332"/>
      <c r="X550" s="1332"/>
      <c r="Y550" s="1332"/>
      <c r="Z550" s="1332"/>
      <c r="AA550" s="1332"/>
      <c r="AB550" s="1332"/>
    </row>
    <row r="551">
      <c r="A551" s="1332"/>
      <c r="B551" s="1366"/>
      <c r="C551" s="1366"/>
      <c r="D551" s="1375"/>
      <c r="E551" s="1332"/>
      <c r="F551" s="1332"/>
      <c r="G551" s="1378"/>
      <c r="H551" s="1378"/>
      <c r="I551" s="1332"/>
      <c r="J551" s="1332"/>
      <c r="K551" s="1332"/>
      <c r="L551" s="1332"/>
      <c r="M551" s="1332"/>
      <c r="N551" s="1332"/>
      <c r="O551" s="1332"/>
      <c r="P551" s="1332"/>
      <c r="Q551" s="1332"/>
      <c r="R551" s="1332"/>
      <c r="S551" s="1332"/>
      <c r="T551" s="1332"/>
      <c r="U551" s="1332"/>
      <c r="V551" s="1332"/>
      <c r="W551" s="1332"/>
      <c r="X551" s="1332"/>
      <c r="Y551" s="1332"/>
      <c r="Z551" s="1332"/>
      <c r="AA551" s="1332"/>
      <c r="AB551" s="1332"/>
    </row>
    <row r="552">
      <c r="A552" s="1332"/>
      <c r="B552" s="1366"/>
      <c r="C552" s="1366"/>
      <c r="D552" s="1375"/>
      <c r="E552" s="1332"/>
      <c r="F552" s="1332"/>
      <c r="G552" s="1378"/>
      <c r="H552" s="1378"/>
      <c r="I552" s="1332"/>
      <c r="J552" s="1332"/>
      <c r="K552" s="1332"/>
      <c r="L552" s="1332"/>
      <c r="M552" s="1332"/>
      <c r="N552" s="1332"/>
      <c r="O552" s="1332"/>
      <c r="P552" s="1332"/>
      <c r="Q552" s="1332"/>
      <c r="R552" s="1332"/>
      <c r="S552" s="1332"/>
      <c r="T552" s="1332"/>
      <c r="U552" s="1332"/>
      <c r="V552" s="1332"/>
      <c r="W552" s="1332"/>
      <c r="X552" s="1332"/>
      <c r="Y552" s="1332"/>
      <c r="Z552" s="1332"/>
      <c r="AA552" s="1332"/>
      <c r="AB552" s="1332"/>
    </row>
    <row r="553">
      <c r="A553" s="1332"/>
      <c r="B553" s="1366"/>
      <c r="C553" s="1366"/>
      <c r="D553" s="1375"/>
      <c r="E553" s="1332"/>
      <c r="F553" s="1332"/>
      <c r="G553" s="1378"/>
      <c r="H553" s="1378"/>
      <c r="I553" s="1332"/>
      <c r="J553" s="1332"/>
      <c r="K553" s="1332"/>
      <c r="L553" s="1332"/>
      <c r="M553" s="1332"/>
      <c r="N553" s="1332"/>
      <c r="O553" s="1332"/>
      <c r="P553" s="1332"/>
      <c r="Q553" s="1332"/>
      <c r="R553" s="1332"/>
      <c r="S553" s="1332"/>
      <c r="T553" s="1332"/>
      <c r="U553" s="1332"/>
      <c r="V553" s="1332"/>
      <c r="W553" s="1332"/>
      <c r="X553" s="1332"/>
      <c r="Y553" s="1332"/>
      <c r="Z553" s="1332"/>
      <c r="AA553" s="1332"/>
      <c r="AB553" s="1332"/>
    </row>
    <row r="554">
      <c r="A554" s="1332"/>
      <c r="B554" s="1366"/>
      <c r="C554" s="1366"/>
      <c r="D554" s="1375"/>
      <c r="E554" s="1332"/>
      <c r="F554" s="1332"/>
      <c r="G554" s="1378"/>
      <c r="H554" s="1378"/>
      <c r="I554" s="1332"/>
      <c r="J554" s="1332"/>
      <c r="K554" s="1332"/>
      <c r="L554" s="1332"/>
      <c r="M554" s="1332"/>
      <c r="N554" s="1332"/>
      <c r="O554" s="1332"/>
      <c r="P554" s="1332"/>
      <c r="Q554" s="1332"/>
      <c r="R554" s="1332"/>
      <c r="S554" s="1332"/>
      <c r="T554" s="1332"/>
      <c r="U554" s="1332"/>
      <c r="V554" s="1332"/>
      <c r="W554" s="1332"/>
      <c r="X554" s="1332"/>
      <c r="Y554" s="1332"/>
      <c r="Z554" s="1332"/>
      <c r="AA554" s="1332"/>
      <c r="AB554" s="1332"/>
    </row>
    <row r="555">
      <c r="A555" s="1332"/>
      <c r="B555" s="1366"/>
      <c r="C555" s="1366"/>
      <c r="D555" s="1375"/>
      <c r="E555" s="1332"/>
      <c r="F555" s="1332"/>
      <c r="G555" s="1378"/>
      <c r="H555" s="1378"/>
      <c r="I555" s="1332"/>
      <c r="J555" s="1332"/>
      <c r="K555" s="1332"/>
      <c r="L555" s="1332"/>
      <c r="M555" s="1332"/>
      <c r="N555" s="1332"/>
      <c r="O555" s="1332"/>
      <c r="P555" s="1332"/>
      <c r="Q555" s="1332"/>
      <c r="R555" s="1332"/>
      <c r="S555" s="1332"/>
      <c r="T555" s="1332"/>
      <c r="U555" s="1332"/>
      <c r="V555" s="1332"/>
      <c r="W555" s="1332"/>
      <c r="X555" s="1332"/>
      <c r="Y555" s="1332"/>
      <c r="Z555" s="1332"/>
      <c r="AA555" s="1332"/>
      <c r="AB555" s="1332"/>
    </row>
    <row r="556">
      <c r="A556" s="1332"/>
      <c r="B556" s="1366"/>
      <c r="C556" s="1366"/>
      <c r="D556" s="1375"/>
      <c r="E556" s="1332"/>
      <c r="F556" s="1332"/>
      <c r="G556" s="1378"/>
      <c r="H556" s="1378"/>
      <c r="I556" s="1332"/>
      <c r="J556" s="1332"/>
      <c r="K556" s="1332"/>
      <c r="L556" s="1332"/>
      <c r="M556" s="1332"/>
      <c r="N556" s="1332"/>
      <c r="O556" s="1332"/>
      <c r="P556" s="1332"/>
      <c r="Q556" s="1332"/>
      <c r="R556" s="1332"/>
      <c r="S556" s="1332"/>
      <c r="T556" s="1332"/>
      <c r="U556" s="1332"/>
      <c r="V556" s="1332"/>
      <c r="W556" s="1332"/>
      <c r="X556" s="1332"/>
      <c r="Y556" s="1332"/>
      <c r="Z556" s="1332"/>
      <c r="AA556" s="1332"/>
      <c r="AB556" s="1332"/>
    </row>
    <row r="557">
      <c r="A557" s="1332"/>
      <c r="B557" s="1366"/>
      <c r="C557" s="1366"/>
      <c r="D557" s="1375"/>
      <c r="E557" s="1332"/>
      <c r="F557" s="1332"/>
      <c r="G557" s="1378"/>
      <c r="H557" s="1378"/>
      <c r="I557" s="1332"/>
      <c r="J557" s="1332"/>
      <c r="K557" s="1332"/>
      <c r="L557" s="1332"/>
      <c r="M557" s="1332"/>
      <c r="N557" s="1332"/>
      <c r="O557" s="1332"/>
      <c r="P557" s="1332"/>
      <c r="Q557" s="1332"/>
      <c r="R557" s="1332"/>
      <c r="S557" s="1332"/>
      <c r="T557" s="1332"/>
      <c r="U557" s="1332"/>
      <c r="V557" s="1332"/>
      <c r="W557" s="1332"/>
      <c r="X557" s="1332"/>
      <c r="Y557" s="1332"/>
      <c r="Z557" s="1332"/>
      <c r="AA557" s="1332"/>
      <c r="AB557" s="1332"/>
    </row>
    <row r="558">
      <c r="A558" s="1332"/>
      <c r="B558" s="1366"/>
      <c r="C558" s="1366"/>
      <c r="D558" s="1375"/>
      <c r="E558" s="1332"/>
      <c r="F558" s="1332"/>
      <c r="G558" s="1378"/>
      <c r="H558" s="1378"/>
      <c r="I558" s="1332"/>
      <c r="J558" s="1332"/>
      <c r="K558" s="1332"/>
      <c r="L558" s="1332"/>
      <c r="M558" s="1332"/>
      <c r="N558" s="1332"/>
      <c r="O558" s="1332"/>
      <c r="P558" s="1332"/>
      <c r="Q558" s="1332"/>
      <c r="R558" s="1332"/>
      <c r="S558" s="1332"/>
      <c r="T558" s="1332"/>
      <c r="U558" s="1332"/>
      <c r="V558" s="1332"/>
      <c r="W558" s="1332"/>
      <c r="X558" s="1332"/>
      <c r="Y558" s="1332"/>
      <c r="Z558" s="1332"/>
      <c r="AA558" s="1332"/>
      <c r="AB558" s="1332"/>
    </row>
    <row r="559">
      <c r="A559" s="1332"/>
      <c r="B559" s="1366"/>
      <c r="C559" s="1366"/>
      <c r="D559" s="1375"/>
      <c r="E559" s="1332"/>
      <c r="F559" s="1332"/>
      <c r="G559" s="1378"/>
      <c r="H559" s="1378"/>
      <c r="I559" s="1332"/>
      <c r="J559" s="1332"/>
      <c r="K559" s="1332"/>
      <c r="L559" s="1332"/>
      <c r="M559" s="1332"/>
      <c r="N559" s="1332"/>
      <c r="O559" s="1332"/>
      <c r="P559" s="1332"/>
      <c r="Q559" s="1332"/>
      <c r="R559" s="1332"/>
      <c r="S559" s="1332"/>
      <c r="T559" s="1332"/>
      <c r="U559" s="1332"/>
      <c r="V559" s="1332"/>
      <c r="W559" s="1332"/>
      <c r="X559" s="1332"/>
      <c r="Y559" s="1332"/>
      <c r="Z559" s="1332"/>
      <c r="AA559" s="1332"/>
      <c r="AB559" s="1332"/>
    </row>
    <row r="560">
      <c r="A560" s="1332"/>
      <c r="B560" s="1366"/>
      <c r="C560" s="1366"/>
      <c r="D560" s="1375"/>
      <c r="E560" s="1332"/>
      <c r="F560" s="1332"/>
      <c r="G560" s="1378"/>
      <c r="H560" s="1378"/>
      <c r="I560" s="1332"/>
      <c r="J560" s="1332"/>
      <c r="K560" s="1332"/>
      <c r="L560" s="1332"/>
      <c r="M560" s="1332"/>
      <c r="N560" s="1332"/>
      <c r="O560" s="1332"/>
      <c r="P560" s="1332"/>
      <c r="Q560" s="1332"/>
      <c r="R560" s="1332"/>
      <c r="S560" s="1332"/>
      <c r="T560" s="1332"/>
      <c r="U560" s="1332"/>
      <c r="V560" s="1332"/>
      <c r="W560" s="1332"/>
      <c r="X560" s="1332"/>
      <c r="Y560" s="1332"/>
      <c r="Z560" s="1332"/>
      <c r="AA560" s="1332"/>
      <c r="AB560" s="1332"/>
    </row>
    <row r="561">
      <c r="A561" s="1332"/>
      <c r="B561" s="1366"/>
      <c r="C561" s="1366"/>
      <c r="D561" s="1375"/>
      <c r="E561" s="1332"/>
      <c r="F561" s="1332"/>
      <c r="G561" s="1378"/>
      <c r="H561" s="1378"/>
      <c r="I561" s="1332"/>
      <c r="J561" s="1332"/>
      <c r="K561" s="1332"/>
      <c r="L561" s="1332"/>
      <c r="M561" s="1332"/>
      <c r="N561" s="1332"/>
      <c r="O561" s="1332"/>
      <c r="P561" s="1332"/>
      <c r="Q561" s="1332"/>
      <c r="R561" s="1332"/>
      <c r="S561" s="1332"/>
      <c r="T561" s="1332"/>
      <c r="U561" s="1332"/>
      <c r="V561" s="1332"/>
      <c r="W561" s="1332"/>
      <c r="X561" s="1332"/>
      <c r="Y561" s="1332"/>
      <c r="Z561" s="1332"/>
      <c r="AA561" s="1332"/>
      <c r="AB561" s="1332"/>
    </row>
    <row r="562">
      <c r="A562" s="1332"/>
      <c r="B562" s="1366"/>
      <c r="C562" s="1366"/>
      <c r="D562" s="1375"/>
      <c r="E562" s="1332"/>
      <c r="F562" s="1332"/>
      <c r="G562" s="1378"/>
      <c r="H562" s="1378"/>
      <c r="I562" s="1332"/>
      <c r="J562" s="1332"/>
      <c r="K562" s="1332"/>
      <c r="L562" s="1332"/>
      <c r="M562" s="1332"/>
      <c r="N562" s="1332"/>
      <c r="O562" s="1332"/>
      <c r="P562" s="1332"/>
      <c r="Q562" s="1332"/>
      <c r="R562" s="1332"/>
      <c r="S562" s="1332"/>
      <c r="T562" s="1332"/>
      <c r="U562" s="1332"/>
      <c r="V562" s="1332"/>
      <c r="W562" s="1332"/>
      <c r="X562" s="1332"/>
      <c r="Y562" s="1332"/>
      <c r="Z562" s="1332"/>
      <c r="AA562" s="1332"/>
      <c r="AB562" s="1332"/>
    </row>
    <row r="563">
      <c r="A563" s="1332"/>
      <c r="B563" s="1366"/>
      <c r="C563" s="1366"/>
      <c r="D563" s="1375"/>
      <c r="E563" s="1332"/>
      <c r="F563" s="1332"/>
      <c r="G563" s="1378"/>
      <c r="H563" s="1378"/>
      <c r="I563" s="1332"/>
      <c r="J563" s="1332"/>
      <c r="K563" s="1332"/>
      <c r="L563" s="1332"/>
      <c r="M563" s="1332"/>
      <c r="N563" s="1332"/>
      <c r="O563" s="1332"/>
      <c r="P563" s="1332"/>
      <c r="Q563" s="1332"/>
      <c r="R563" s="1332"/>
      <c r="S563" s="1332"/>
      <c r="T563" s="1332"/>
      <c r="U563" s="1332"/>
      <c r="V563" s="1332"/>
      <c r="W563" s="1332"/>
      <c r="X563" s="1332"/>
      <c r="Y563" s="1332"/>
      <c r="Z563" s="1332"/>
      <c r="AA563" s="1332"/>
      <c r="AB563" s="1332"/>
    </row>
    <row r="564">
      <c r="A564" s="1332"/>
      <c r="B564" s="1366"/>
      <c r="C564" s="1366"/>
      <c r="D564" s="1375"/>
      <c r="E564" s="1332"/>
      <c r="F564" s="1332"/>
      <c r="G564" s="1378"/>
      <c r="H564" s="1378"/>
      <c r="I564" s="1332"/>
      <c r="J564" s="1332"/>
      <c r="K564" s="1332"/>
      <c r="L564" s="1332"/>
      <c r="M564" s="1332"/>
      <c r="N564" s="1332"/>
      <c r="O564" s="1332"/>
      <c r="P564" s="1332"/>
      <c r="Q564" s="1332"/>
      <c r="R564" s="1332"/>
      <c r="S564" s="1332"/>
      <c r="T564" s="1332"/>
      <c r="U564" s="1332"/>
      <c r="V564" s="1332"/>
      <c r="W564" s="1332"/>
      <c r="X564" s="1332"/>
      <c r="Y564" s="1332"/>
      <c r="Z564" s="1332"/>
      <c r="AA564" s="1332"/>
      <c r="AB564" s="1332"/>
    </row>
    <row r="565">
      <c r="A565" s="1332"/>
      <c r="B565" s="1366"/>
      <c r="C565" s="1366"/>
      <c r="D565" s="1375"/>
      <c r="E565" s="1332"/>
      <c r="F565" s="1332"/>
      <c r="G565" s="1378"/>
      <c r="H565" s="1378"/>
      <c r="I565" s="1332"/>
      <c r="J565" s="1332"/>
      <c r="K565" s="1332"/>
      <c r="L565" s="1332"/>
      <c r="M565" s="1332"/>
      <c r="N565" s="1332"/>
      <c r="O565" s="1332"/>
      <c r="P565" s="1332"/>
      <c r="Q565" s="1332"/>
      <c r="R565" s="1332"/>
      <c r="S565" s="1332"/>
      <c r="T565" s="1332"/>
      <c r="U565" s="1332"/>
      <c r="V565" s="1332"/>
      <c r="W565" s="1332"/>
      <c r="X565" s="1332"/>
      <c r="Y565" s="1332"/>
      <c r="Z565" s="1332"/>
      <c r="AA565" s="1332"/>
      <c r="AB565" s="1332"/>
    </row>
    <row r="566">
      <c r="A566" s="1332"/>
      <c r="B566" s="1366"/>
      <c r="C566" s="1366"/>
      <c r="D566" s="1375"/>
      <c r="E566" s="1332"/>
      <c r="F566" s="1332"/>
      <c r="G566" s="1378"/>
      <c r="H566" s="1378"/>
      <c r="I566" s="1332"/>
      <c r="J566" s="1332"/>
      <c r="K566" s="1332"/>
      <c r="L566" s="1332"/>
      <c r="M566" s="1332"/>
      <c r="N566" s="1332"/>
      <c r="O566" s="1332"/>
      <c r="P566" s="1332"/>
      <c r="Q566" s="1332"/>
      <c r="R566" s="1332"/>
      <c r="S566" s="1332"/>
      <c r="T566" s="1332"/>
      <c r="U566" s="1332"/>
      <c r="V566" s="1332"/>
      <c r="W566" s="1332"/>
      <c r="X566" s="1332"/>
      <c r="Y566" s="1332"/>
      <c r="Z566" s="1332"/>
      <c r="AA566" s="1332"/>
      <c r="AB566" s="1332"/>
    </row>
    <row r="567">
      <c r="A567" s="1332"/>
      <c r="B567" s="1366"/>
      <c r="C567" s="1366"/>
      <c r="D567" s="1375"/>
      <c r="E567" s="1332"/>
      <c r="F567" s="1332"/>
      <c r="G567" s="1378"/>
      <c r="H567" s="1378"/>
      <c r="I567" s="1332"/>
      <c r="J567" s="1332"/>
      <c r="K567" s="1332"/>
      <c r="L567" s="1332"/>
      <c r="M567" s="1332"/>
      <c r="N567" s="1332"/>
      <c r="O567" s="1332"/>
      <c r="P567" s="1332"/>
      <c r="Q567" s="1332"/>
      <c r="R567" s="1332"/>
      <c r="S567" s="1332"/>
      <c r="T567" s="1332"/>
      <c r="U567" s="1332"/>
      <c r="V567" s="1332"/>
      <c r="W567" s="1332"/>
      <c r="X567" s="1332"/>
      <c r="Y567" s="1332"/>
      <c r="Z567" s="1332"/>
      <c r="AA567" s="1332"/>
      <c r="AB567" s="1332"/>
    </row>
    <row r="568">
      <c r="A568" s="1332"/>
      <c r="B568" s="1366"/>
      <c r="C568" s="1366"/>
      <c r="D568" s="1375"/>
      <c r="E568" s="1332"/>
      <c r="F568" s="1332"/>
      <c r="G568" s="1378"/>
      <c r="H568" s="1378"/>
      <c r="I568" s="1332"/>
      <c r="J568" s="1332"/>
      <c r="K568" s="1332"/>
      <c r="L568" s="1332"/>
      <c r="M568" s="1332"/>
      <c r="N568" s="1332"/>
      <c r="O568" s="1332"/>
      <c r="P568" s="1332"/>
      <c r="Q568" s="1332"/>
      <c r="R568" s="1332"/>
      <c r="S568" s="1332"/>
      <c r="T568" s="1332"/>
      <c r="U568" s="1332"/>
      <c r="V568" s="1332"/>
      <c r="W568" s="1332"/>
      <c r="X568" s="1332"/>
      <c r="Y568" s="1332"/>
      <c r="Z568" s="1332"/>
      <c r="AA568" s="1332"/>
      <c r="AB568" s="1332"/>
    </row>
    <row r="569">
      <c r="A569" s="1332"/>
      <c r="B569" s="1366"/>
      <c r="C569" s="1366"/>
      <c r="D569" s="1375"/>
      <c r="E569" s="1332"/>
      <c r="F569" s="1332"/>
      <c r="G569" s="1378"/>
      <c r="H569" s="1378"/>
      <c r="I569" s="1332"/>
      <c r="J569" s="1332"/>
      <c r="K569" s="1332"/>
      <c r="L569" s="1332"/>
      <c r="M569" s="1332"/>
      <c r="N569" s="1332"/>
      <c r="O569" s="1332"/>
      <c r="P569" s="1332"/>
      <c r="Q569" s="1332"/>
      <c r="R569" s="1332"/>
      <c r="S569" s="1332"/>
      <c r="T569" s="1332"/>
      <c r="U569" s="1332"/>
      <c r="V569" s="1332"/>
      <c r="W569" s="1332"/>
      <c r="X569" s="1332"/>
      <c r="Y569" s="1332"/>
      <c r="Z569" s="1332"/>
      <c r="AA569" s="1332"/>
      <c r="AB569" s="1332"/>
    </row>
    <row r="570">
      <c r="A570" s="1332"/>
      <c r="B570" s="1366"/>
      <c r="C570" s="1366"/>
      <c r="D570" s="1375"/>
      <c r="E570" s="1332"/>
      <c r="F570" s="1332"/>
      <c r="G570" s="1378"/>
      <c r="H570" s="1378"/>
      <c r="I570" s="1332"/>
      <c r="J570" s="1332"/>
      <c r="K570" s="1332"/>
      <c r="L570" s="1332"/>
      <c r="M570" s="1332"/>
      <c r="N570" s="1332"/>
      <c r="O570" s="1332"/>
      <c r="P570" s="1332"/>
      <c r="Q570" s="1332"/>
      <c r="R570" s="1332"/>
      <c r="S570" s="1332"/>
      <c r="T570" s="1332"/>
      <c r="U570" s="1332"/>
      <c r="V570" s="1332"/>
      <c r="W570" s="1332"/>
      <c r="X570" s="1332"/>
      <c r="Y570" s="1332"/>
      <c r="Z570" s="1332"/>
      <c r="AA570" s="1332"/>
      <c r="AB570" s="1332"/>
    </row>
    <row r="571">
      <c r="A571" s="1332"/>
      <c r="B571" s="1366"/>
      <c r="C571" s="1366"/>
      <c r="D571" s="1375"/>
      <c r="E571" s="1332"/>
      <c r="F571" s="1332"/>
      <c r="G571" s="1378"/>
      <c r="H571" s="1378"/>
      <c r="I571" s="1332"/>
      <c r="J571" s="1332"/>
      <c r="K571" s="1332"/>
      <c r="L571" s="1332"/>
      <c r="M571" s="1332"/>
      <c r="N571" s="1332"/>
      <c r="O571" s="1332"/>
      <c r="P571" s="1332"/>
      <c r="Q571" s="1332"/>
      <c r="R571" s="1332"/>
      <c r="S571" s="1332"/>
      <c r="T571" s="1332"/>
      <c r="U571" s="1332"/>
      <c r="V571" s="1332"/>
      <c r="W571" s="1332"/>
      <c r="X571" s="1332"/>
      <c r="Y571" s="1332"/>
      <c r="Z571" s="1332"/>
      <c r="AA571" s="1332"/>
      <c r="AB571" s="1332"/>
    </row>
    <row r="572">
      <c r="A572" s="1332"/>
      <c r="B572" s="1366"/>
      <c r="C572" s="1366"/>
      <c r="D572" s="1375"/>
      <c r="E572" s="1332"/>
      <c r="F572" s="1332"/>
      <c r="G572" s="1378"/>
      <c r="H572" s="1378"/>
      <c r="I572" s="1332"/>
      <c r="J572" s="1332"/>
      <c r="K572" s="1332"/>
      <c r="L572" s="1332"/>
      <c r="M572" s="1332"/>
      <c r="N572" s="1332"/>
      <c r="O572" s="1332"/>
      <c r="P572" s="1332"/>
      <c r="Q572" s="1332"/>
      <c r="R572" s="1332"/>
      <c r="S572" s="1332"/>
      <c r="T572" s="1332"/>
      <c r="U572" s="1332"/>
      <c r="V572" s="1332"/>
      <c r="W572" s="1332"/>
      <c r="X572" s="1332"/>
      <c r="Y572" s="1332"/>
      <c r="Z572" s="1332"/>
      <c r="AA572" s="1332"/>
      <c r="AB572" s="1332"/>
    </row>
    <row r="573">
      <c r="A573" s="1332"/>
      <c r="B573" s="1366"/>
      <c r="C573" s="1366"/>
      <c r="D573" s="1375"/>
      <c r="E573" s="1332"/>
      <c r="F573" s="1332"/>
      <c r="G573" s="1378"/>
      <c r="H573" s="1378"/>
      <c r="I573" s="1332"/>
      <c r="J573" s="1332"/>
      <c r="K573" s="1332"/>
      <c r="L573" s="1332"/>
      <c r="M573" s="1332"/>
      <c r="N573" s="1332"/>
      <c r="O573" s="1332"/>
      <c r="P573" s="1332"/>
      <c r="Q573" s="1332"/>
      <c r="R573" s="1332"/>
      <c r="S573" s="1332"/>
      <c r="T573" s="1332"/>
      <c r="U573" s="1332"/>
      <c r="V573" s="1332"/>
      <c r="W573" s="1332"/>
      <c r="X573" s="1332"/>
      <c r="Y573" s="1332"/>
      <c r="Z573" s="1332"/>
      <c r="AA573" s="1332"/>
      <c r="AB573" s="1332"/>
    </row>
    <row r="574">
      <c r="A574" s="1332"/>
      <c r="B574" s="1366"/>
      <c r="C574" s="1366"/>
      <c r="D574" s="1375"/>
      <c r="E574" s="1332"/>
      <c r="F574" s="1332"/>
      <c r="G574" s="1378"/>
      <c r="H574" s="1378"/>
      <c r="I574" s="1332"/>
      <c r="J574" s="1332"/>
      <c r="K574" s="1332"/>
      <c r="L574" s="1332"/>
      <c r="M574" s="1332"/>
      <c r="N574" s="1332"/>
      <c r="O574" s="1332"/>
      <c r="P574" s="1332"/>
      <c r="Q574" s="1332"/>
      <c r="R574" s="1332"/>
      <c r="S574" s="1332"/>
      <c r="T574" s="1332"/>
      <c r="U574" s="1332"/>
      <c r="V574" s="1332"/>
      <c r="W574" s="1332"/>
      <c r="X574" s="1332"/>
      <c r="Y574" s="1332"/>
      <c r="Z574" s="1332"/>
      <c r="AA574" s="1332"/>
      <c r="AB574" s="1332"/>
    </row>
    <row r="575">
      <c r="A575" s="1332"/>
      <c r="B575" s="1366"/>
      <c r="C575" s="1366"/>
      <c r="D575" s="1375"/>
      <c r="E575" s="1332"/>
      <c r="F575" s="1332"/>
      <c r="G575" s="1378"/>
      <c r="H575" s="1378"/>
      <c r="I575" s="1332"/>
      <c r="J575" s="1332"/>
      <c r="K575" s="1332"/>
      <c r="L575" s="1332"/>
      <c r="M575" s="1332"/>
      <c r="N575" s="1332"/>
      <c r="O575" s="1332"/>
      <c r="P575" s="1332"/>
      <c r="Q575" s="1332"/>
      <c r="R575" s="1332"/>
      <c r="S575" s="1332"/>
      <c r="T575" s="1332"/>
      <c r="U575" s="1332"/>
      <c r="V575" s="1332"/>
      <c r="W575" s="1332"/>
      <c r="X575" s="1332"/>
      <c r="Y575" s="1332"/>
      <c r="Z575" s="1332"/>
      <c r="AA575" s="1332"/>
      <c r="AB575" s="1332"/>
    </row>
    <row r="576">
      <c r="A576" s="1332"/>
      <c r="B576" s="1366"/>
      <c r="C576" s="1366"/>
      <c r="D576" s="1375"/>
      <c r="E576" s="1332"/>
      <c r="F576" s="1332"/>
      <c r="G576" s="1378"/>
      <c r="H576" s="1378"/>
      <c r="I576" s="1332"/>
      <c r="J576" s="1332"/>
      <c r="K576" s="1332"/>
      <c r="L576" s="1332"/>
      <c r="M576" s="1332"/>
      <c r="N576" s="1332"/>
      <c r="O576" s="1332"/>
      <c r="P576" s="1332"/>
      <c r="Q576" s="1332"/>
      <c r="R576" s="1332"/>
      <c r="S576" s="1332"/>
      <c r="T576" s="1332"/>
      <c r="U576" s="1332"/>
      <c r="V576" s="1332"/>
      <c r="W576" s="1332"/>
      <c r="X576" s="1332"/>
      <c r="Y576" s="1332"/>
      <c r="Z576" s="1332"/>
      <c r="AA576" s="1332"/>
      <c r="AB576" s="1332"/>
    </row>
    <row r="577">
      <c r="A577" s="1332"/>
      <c r="B577" s="1366"/>
      <c r="C577" s="1366"/>
      <c r="D577" s="1375"/>
      <c r="E577" s="1332"/>
      <c r="F577" s="1332"/>
      <c r="G577" s="1378"/>
      <c r="H577" s="1378"/>
      <c r="I577" s="1332"/>
      <c r="J577" s="1332"/>
      <c r="K577" s="1332"/>
      <c r="L577" s="1332"/>
      <c r="M577" s="1332"/>
      <c r="N577" s="1332"/>
      <c r="O577" s="1332"/>
      <c r="P577" s="1332"/>
      <c r="Q577" s="1332"/>
      <c r="R577" s="1332"/>
      <c r="S577" s="1332"/>
      <c r="T577" s="1332"/>
      <c r="U577" s="1332"/>
      <c r="V577" s="1332"/>
      <c r="W577" s="1332"/>
      <c r="X577" s="1332"/>
      <c r="Y577" s="1332"/>
      <c r="Z577" s="1332"/>
      <c r="AA577" s="1332"/>
      <c r="AB577" s="1332"/>
    </row>
    <row r="578">
      <c r="A578" s="1332"/>
      <c r="B578" s="1366"/>
      <c r="C578" s="1366"/>
      <c r="D578" s="1375"/>
      <c r="E578" s="1332"/>
      <c r="F578" s="1332"/>
      <c r="G578" s="1378"/>
      <c r="H578" s="1378"/>
      <c r="I578" s="1332"/>
      <c r="J578" s="1332"/>
      <c r="K578" s="1332"/>
      <c r="L578" s="1332"/>
      <c r="M578" s="1332"/>
      <c r="N578" s="1332"/>
      <c r="O578" s="1332"/>
      <c r="P578" s="1332"/>
      <c r="Q578" s="1332"/>
      <c r="R578" s="1332"/>
      <c r="S578" s="1332"/>
      <c r="T578" s="1332"/>
      <c r="U578" s="1332"/>
      <c r="V578" s="1332"/>
      <c r="W578" s="1332"/>
      <c r="X578" s="1332"/>
      <c r="Y578" s="1332"/>
      <c r="Z578" s="1332"/>
      <c r="AA578" s="1332"/>
      <c r="AB578" s="1332"/>
    </row>
    <row r="579">
      <c r="A579" s="1332"/>
      <c r="B579" s="1366"/>
      <c r="C579" s="1366"/>
      <c r="D579" s="1375"/>
      <c r="E579" s="1332"/>
      <c r="F579" s="1332"/>
      <c r="G579" s="1378"/>
      <c r="H579" s="1378"/>
      <c r="I579" s="1332"/>
      <c r="J579" s="1332"/>
      <c r="K579" s="1332"/>
      <c r="L579" s="1332"/>
      <c r="M579" s="1332"/>
      <c r="N579" s="1332"/>
      <c r="O579" s="1332"/>
      <c r="P579" s="1332"/>
      <c r="Q579" s="1332"/>
      <c r="R579" s="1332"/>
      <c r="S579" s="1332"/>
      <c r="T579" s="1332"/>
      <c r="U579" s="1332"/>
      <c r="V579" s="1332"/>
      <c r="W579" s="1332"/>
      <c r="X579" s="1332"/>
      <c r="Y579" s="1332"/>
      <c r="Z579" s="1332"/>
      <c r="AA579" s="1332"/>
      <c r="AB579" s="1332"/>
    </row>
    <row r="580">
      <c r="A580" s="1332"/>
      <c r="B580" s="1366"/>
      <c r="C580" s="1366"/>
      <c r="D580" s="1375"/>
      <c r="E580" s="1332"/>
      <c r="F580" s="1332"/>
      <c r="G580" s="1378"/>
      <c r="H580" s="1378"/>
      <c r="I580" s="1332"/>
      <c r="J580" s="1332"/>
      <c r="K580" s="1332"/>
      <c r="L580" s="1332"/>
      <c r="M580" s="1332"/>
      <c r="N580" s="1332"/>
      <c r="O580" s="1332"/>
      <c r="P580" s="1332"/>
      <c r="Q580" s="1332"/>
      <c r="R580" s="1332"/>
      <c r="S580" s="1332"/>
      <c r="T580" s="1332"/>
      <c r="U580" s="1332"/>
      <c r="V580" s="1332"/>
      <c r="W580" s="1332"/>
      <c r="X580" s="1332"/>
      <c r="Y580" s="1332"/>
      <c r="Z580" s="1332"/>
      <c r="AA580" s="1332"/>
      <c r="AB580" s="1332"/>
    </row>
    <row r="581">
      <c r="A581" s="1332"/>
      <c r="B581" s="1366"/>
      <c r="C581" s="1366"/>
      <c r="D581" s="1375"/>
      <c r="E581" s="1332"/>
      <c r="F581" s="1332"/>
      <c r="G581" s="1378"/>
      <c r="H581" s="1378"/>
      <c r="I581" s="1332"/>
      <c r="J581" s="1332"/>
      <c r="K581" s="1332"/>
      <c r="L581" s="1332"/>
      <c r="M581" s="1332"/>
      <c r="N581" s="1332"/>
      <c r="O581" s="1332"/>
      <c r="P581" s="1332"/>
      <c r="Q581" s="1332"/>
      <c r="R581" s="1332"/>
      <c r="S581" s="1332"/>
      <c r="T581" s="1332"/>
      <c r="U581" s="1332"/>
      <c r="V581" s="1332"/>
      <c r="W581" s="1332"/>
      <c r="X581" s="1332"/>
      <c r="Y581" s="1332"/>
      <c r="Z581" s="1332"/>
      <c r="AA581" s="1332"/>
      <c r="AB581" s="1332"/>
    </row>
    <row r="582">
      <c r="A582" s="1332"/>
      <c r="B582" s="1366"/>
      <c r="C582" s="1366"/>
      <c r="D582" s="1375"/>
      <c r="E582" s="1332"/>
      <c r="F582" s="1332"/>
      <c r="G582" s="1378"/>
      <c r="H582" s="1378"/>
      <c r="I582" s="1332"/>
      <c r="J582" s="1332"/>
      <c r="K582" s="1332"/>
      <c r="L582" s="1332"/>
      <c r="M582" s="1332"/>
      <c r="N582" s="1332"/>
      <c r="O582" s="1332"/>
      <c r="P582" s="1332"/>
      <c r="Q582" s="1332"/>
      <c r="R582" s="1332"/>
      <c r="S582" s="1332"/>
      <c r="T582" s="1332"/>
      <c r="U582" s="1332"/>
      <c r="V582" s="1332"/>
      <c r="W582" s="1332"/>
      <c r="X582" s="1332"/>
      <c r="Y582" s="1332"/>
      <c r="Z582" s="1332"/>
      <c r="AA582" s="1332"/>
      <c r="AB582" s="1332"/>
    </row>
    <row r="583">
      <c r="A583" s="1332"/>
      <c r="B583" s="1366"/>
      <c r="C583" s="1366"/>
      <c r="D583" s="1375"/>
      <c r="E583" s="1332"/>
      <c r="F583" s="1332"/>
      <c r="G583" s="1378"/>
      <c r="H583" s="1378"/>
      <c r="I583" s="1332"/>
      <c r="J583" s="1332"/>
      <c r="K583" s="1332"/>
      <c r="L583" s="1332"/>
      <c r="M583" s="1332"/>
      <c r="N583" s="1332"/>
      <c r="O583" s="1332"/>
      <c r="P583" s="1332"/>
      <c r="Q583" s="1332"/>
      <c r="R583" s="1332"/>
      <c r="S583" s="1332"/>
      <c r="T583" s="1332"/>
      <c r="U583" s="1332"/>
      <c r="V583" s="1332"/>
      <c r="W583" s="1332"/>
      <c r="X583" s="1332"/>
      <c r="Y583" s="1332"/>
      <c r="Z583" s="1332"/>
      <c r="AA583" s="1332"/>
      <c r="AB583" s="1332"/>
    </row>
    <row r="584">
      <c r="A584" s="1332"/>
      <c r="B584" s="1366"/>
      <c r="C584" s="1366"/>
      <c r="D584" s="1375"/>
      <c r="E584" s="1332"/>
      <c r="F584" s="1332"/>
      <c r="G584" s="1378"/>
      <c r="H584" s="1378"/>
      <c r="I584" s="1332"/>
      <c r="J584" s="1332"/>
      <c r="K584" s="1332"/>
      <c r="L584" s="1332"/>
      <c r="M584" s="1332"/>
      <c r="N584" s="1332"/>
      <c r="O584" s="1332"/>
      <c r="P584" s="1332"/>
      <c r="Q584" s="1332"/>
      <c r="R584" s="1332"/>
      <c r="S584" s="1332"/>
      <c r="T584" s="1332"/>
      <c r="U584" s="1332"/>
      <c r="V584" s="1332"/>
      <c r="W584" s="1332"/>
      <c r="X584" s="1332"/>
      <c r="Y584" s="1332"/>
      <c r="Z584" s="1332"/>
      <c r="AA584" s="1332"/>
      <c r="AB584" s="1332"/>
    </row>
    <row r="585">
      <c r="A585" s="1332"/>
      <c r="B585" s="1366"/>
      <c r="C585" s="1366"/>
      <c r="D585" s="1375"/>
      <c r="E585" s="1332"/>
      <c r="F585" s="1332"/>
      <c r="G585" s="1378"/>
      <c r="H585" s="1378"/>
      <c r="I585" s="1332"/>
      <c r="J585" s="1332"/>
      <c r="K585" s="1332"/>
      <c r="L585" s="1332"/>
      <c r="M585" s="1332"/>
      <c r="N585" s="1332"/>
      <c r="O585" s="1332"/>
      <c r="P585" s="1332"/>
      <c r="Q585" s="1332"/>
      <c r="R585" s="1332"/>
      <c r="S585" s="1332"/>
      <c r="T585" s="1332"/>
      <c r="U585" s="1332"/>
      <c r="V585" s="1332"/>
      <c r="W585" s="1332"/>
      <c r="X585" s="1332"/>
      <c r="Y585" s="1332"/>
      <c r="Z585" s="1332"/>
      <c r="AA585" s="1332"/>
      <c r="AB585" s="1332"/>
    </row>
    <row r="586">
      <c r="A586" s="1332"/>
      <c r="B586" s="1366"/>
      <c r="C586" s="1366"/>
      <c r="D586" s="1375"/>
      <c r="E586" s="1332"/>
      <c r="F586" s="1332"/>
      <c r="G586" s="1378"/>
      <c r="H586" s="1378"/>
      <c r="I586" s="1332"/>
      <c r="J586" s="1332"/>
      <c r="K586" s="1332"/>
      <c r="L586" s="1332"/>
      <c r="M586" s="1332"/>
      <c r="N586" s="1332"/>
      <c r="O586" s="1332"/>
      <c r="P586" s="1332"/>
      <c r="Q586" s="1332"/>
      <c r="R586" s="1332"/>
      <c r="S586" s="1332"/>
      <c r="T586" s="1332"/>
      <c r="U586" s="1332"/>
      <c r="V586" s="1332"/>
      <c r="W586" s="1332"/>
      <c r="X586" s="1332"/>
      <c r="Y586" s="1332"/>
      <c r="Z586" s="1332"/>
      <c r="AA586" s="1332"/>
      <c r="AB586" s="1332"/>
    </row>
    <row r="587">
      <c r="A587" s="1332"/>
      <c r="B587" s="1366"/>
      <c r="C587" s="1366"/>
      <c r="D587" s="1375"/>
      <c r="E587" s="1332"/>
      <c r="F587" s="1332"/>
      <c r="G587" s="1378"/>
      <c r="H587" s="1378"/>
      <c r="I587" s="1332"/>
      <c r="J587" s="1332"/>
      <c r="K587" s="1332"/>
      <c r="L587" s="1332"/>
      <c r="M587" s="1332"/>
      <c r="N587" s="1332"/>
      <c r="O587" s="1332"/>
      <c r="P587" s="1332"/>
      <c r="Q587" s="1332"/>
      <c r="R587" s="1332"/>
      <c r="S587" s="1332"/>
      <c r="T587" s="1332"/>
      <c r="U587" s="1332"/>
      <c r="V587" s="1332"/>
      <c r="W587" s="1332"/>
      <c r="X587" s="1332"/>
      <c r="Y587" s="1332"/>
      <c r="Z587" s="1332"/>
      <c r="AA587" s="1332"/>
      <c r="AB587" s="1332"/>
    </row>
    <row r="588">
      <c r="A588" s="1332"/>
      <c r="B588" s="1366"/>
      <c r="C588" s="1366"/>
      <c r="D588" s="1375"/>
      <c r="E588" s="1332"/>
      <c r="F588" s="1332"/>
      <c r="G588" s="1378"/>
      <c r="H588" s="1378"/>
      <c r="I588" s="1332"/>
      <c r="J588" s="1332"/>
      <c r="K588" s="1332"/>
      <c r="L588" s="1332"/>
      <c r="M588" s="1332"/>
      <c r="N588" s="1332"/>
      <c r="O588" s="1332"/>
      <c r="P588" s="1332"/>
      <c r="Q588" s="1332"/>
      <c r="R588" s="1332"/>
      <c r="S588" s="1332"/>
      <c r="T588" s="1332"/>
      <c r="U588" s="1332"/>
      <c r="V588" s="1332"/>
      <c r="W588" s="1332"/>
      <c r="X588" s="1332"/>
      <c r="Y588" s="1332"/>
      <c r="Z588" s="1332"/>
      <c r="AA588" s="1332"/>
      <c r="AB588" s="1332"/>
    </row>
    <row r="589">
      <c r="A589" s="1332"/>
      <c r="B589" s="1366"/>
      <c r="C589" s="1366"/>
      <c r="D589" s="1375"/>
      <c r="E589" s="1332"/>
      <c r="F589" s="1332"/>
      <c r="G589" s="1378"/>
      <c r="H589" s="1378"/>
      <c r="I589" s="1332"/>
      <c r="J589" s="1332"/>
      <c r="K589" s="1332"/>
      <c r="L589" s="1332"/>
      <c r="M589" s="1332"/>
      <c r="N589" s="1332"/>
      <c r="O589" s="1332"/>
      <c r="P589" s="1332"/>
      <c r="Q589" s="1332"/>
      <c r="R589" s="1332"/>
      <c r="S589" s="1332"/>
      <c r="T589" s="1332"/>
      <c r="U589" s="1332"/>
      <c r="V589" s="1332"/>
      <c r="W589" s="1332"/>
      <c r="X589" s="1332"/>
      <c r="Y589" s="1332"/>
      <c r="Z589" s="1332"/>
      <c r="AA589" s="1332"/>
      <c r="AB589" s="1332"/>
    </row>
    <row r="590">
      <c r="A590" s="1332"/>
      <c r="B590" s="1366"/>
      <c r="C590" s="1366"/>
      <c r="D590" s="1375"/>
      <c r="E590" s="1332"/>
      <c r="F590" s="1332"/>
      <c r="G590" s="1378"/>
      <c r="H590" s="1378"/>
      <c r="I590" s="1332"/>
      <c r="J590" s="1332"/>
      <c r="K590" s="1332"/>
      <c r="L590" s="1332"/>
      <c r="M590" s="1332"/>
      <c r="N590" s="1332"/>
      <c r="O590" s="1332"/>
      <c r="P590" s="1332"/>
      <c r="Q590" s="1332"/>
      <c r="R590" s="1332"/>
      <c r="S590" s="1332"/>
      <c r="T590" s="1332"/>
      <c r="U590" s="1332"/>
      <c r="V590" s="1332"/>
      <c r="W590" s="1332"/>
      <c r="X590" s="1332"/>
      <c r="Y590" s="1332"/>
      <c r="Z590" s="1332"/>
      <c r="AA590" s="1332"/>
      <c r="AB590" s="1332"/>
    </row>
    <row r="591">
      <c r="A591" s="1332"/>
      <c r="B591" s="1366"/>
      <c r="C591" s="1366"/>
      <c r="D591" s="1375"/>
      <c r="E591" s="1332"/>
      <c r="F591" s="1332"/>
      <c r="G591" s="1378"/>
      <c r="H591" s="1378"/>
      <c r="I591" s="1332"/>
      <c r="J591" s="1332"/>
      <c r="K591" s="1332"/>
      <c r="L591" s="1332"/>
      <c r="M591" s="1332"/>
      <c r="N591" s="1332"/>
      <c r="O591" s="1332"/>
      <c r="P591" s="1332"/>
      <c r="Q591" s="1332"/>
      <c r="R591" s="1332"/>
      <c r="S591" s="1332"/>
      <c r="T591" s="1332"/>
      <c r="U591" s="1332"/>
      <c r="V591" s="1332"/>
      <c r="W591" s="1332"/>
      <c r="X591" s="1332"/>
      <c r="Y591" s="1332"/>
      <c r="Z591" s="1332"/>
      <c r="AA591" s="1332"/>
      <c r="AB591" s="1332"/>
    </row>
    <row r="592">
      <c r="A592" s="1332"/>
      <c r="B592" s="1366"/>
      <c r="C592" s="1366"/>
      <c r="D592" s="1375"/>
      <c r="E592" s="1332"/>
      <c r="F592" s="1332"/>
      <c r="G592" s="1378"/>
      <c r="H592" s="1378"/>
      <c r="I592" s="1332"/>
      <c r="J592" s="1332"/>
      <c r="K592" s="1332"/>
      <c r="L592" s="1332"/>
      <c r="M592" s="1332"/>
      <c r="N592" s="1332"/>
      <c r="O592" s="1332"/>
      <c r="P592" s="1332"/>
      <c r="Q592" s="1332"/>
      <c r="R592" s="1332"/>
      <c r="S592" s="1332"/>
      <c r="T592" s="1332"/>
      <c r="U592" s="1332"/>
      <c r="V592" s="1332"/>
      <c r="W592" s="1332"/>
      <c r="X592" s="1332"/>
      <c r="Y592" s="1332"/>
      <c r="Z592" s="1332"/>
      <c r="AA592" s="1332"/>
      <c r="AB592" s="1332"/>
    </row>
    <row r="593">
      <c r="A593" s="1332"/>
      <c r="B593" s="1366"/>
      <c r="C593" s="1366"/>
      <c r="D593" s="1375"/>
      <c r="E593" s="1332"/>
      <c r="F593" s="1332"/>
      <c r="G593" s="1378"/>
      <c r="H593" s="1378"/>
      <c r="I593" s="1332"/>
      <c r="J593" s="1332"/>
      <c r="K593" s="1332"/>
      <c r="L593" s="1332"/>
      <c r="M593" s="1332"/>
      <c r="N593" s="1332"/>
      <c r="O593" s="1332"/>
      <c r="P593" s="1332"/>
      <c r="Q593" s="1332"/>
      <c r="R593" s="1332"/>
      <c r="S593" s="1332"/>
      <c r="T593" s="1332"/>
      <c r="U593" s="1332"/>
      <c r="V593" s="1332"/>
      <c r="W593" s="1332"/>
      <c r="X593" s="1332"/>
      <c r="Y593" s="1332"/>
      <c r="Z593" s="1332"/>
      <c r="AA593" s="1332"/>
      <c r="AB593" s="1332"/>
    </row>
    <row r="594">
      <c r="A594" s="1332"/>
      <c r="B594" s="1366"/>
      <c r="C594" s="1366"/>
      <c r="D594" s="1375"/>
      <c r="E594" s="1332"/>
      <c r="F594" s="1332"/>
      <c r="G594" s="1378"/>
      <c r="H594" s="1378"/>
      <c r="I594" s="1332"/>
      <c r="J594" s="1332"/>
      <c r="K594" s="1332"/>
      <c r="L594" s="1332"/>
      <c r="M594" s="1332"/>
      <c r="N594" s="1332"/>
      <c r="O594" s="1332"/>
      <c r="P594" s="1332"/>
      <c r="Q594" s="1332"/>
      <c r="R594" s="1332"/>
      <c r="S594" s="1332"/>
      <c r="T594" s="1332"/>
      <c r="U594" s="1332"/>
      <c r="V594" s="1332"/>
      <c r="W594" s="1332"/>
      <c r="X594" s="1332"/>
      <c r="Y594" s="1332"/>
      <c r="Z594" s="1332"/>
      <c r="AA594" s="1332"/>
      <c r="AB594" s="1332"/>
    </row>
    <row r="595">
      <c r="A595" s="1332"/>
      <c r="B595" s="1366"/>
      <c r="C595" s="1366"/>
      <c r="D595" s="1375"/>
      <c r="E595" s="1332"/>
      <c r="F595" s="1332"/>
      <c r="G595" s="1378"/>
      <c r="H595" s="1378"/>
      <c r="I595" s="1332"/>
      <c r="J595" s="1332"/>
      <c r="K595" s="1332"/>
      <c r="L595" s="1332"/>
      <c r="M595" s="1332"/>
      <c r="N595" s="1332"/>
      <c r="O595" s="1332"/>
      <c r="P595" s="1332"/>
      <c r="Q595" s="1332"/>
      <c r="R595" s="1332"/>
      <c r="S595" s="1332"/>
      <c r="T595" s="1332"/>
      <c r="U595" s="1332"/>
      <c r="V595" s="1332"/>
      <c r="W595" s="1332"/>
      <c r="X595" s="1332"/>
      <c r="Y595" s="1332"/>
      <c r="Z595" s="1332"/>
      <c r="AA595" s="1332"/>
      <c r="AB595" s="1332"/>
    </row>
    <row r="596">
      <c r="A596" s="1332"/>
      <c r="B596" s="1366"/>
      <c r="C596" s="1366"/>
      <c r="D596" s="1375"/>
      <c r="E596" s="1332"/>
      <c r="F596" s="1332"/>
      <c r="G596" s="1378"/>
      <c r="H596" s="1378"/>
      <c r="I596" s="1332"/>
      <c r="J596" s="1332"/>
      <c r="K596" s="1332"/>
      <c r="L596" s="1332"/>
      <c r="M596" s="1332"/>
      <c r="N596" s="1332"/>
      <c r="O596" s="1332"/>
      <c r="P596" s="1332"/>
      <c r="Q596" s="1332"/>
      <c r="R596" s="1332"/>
      <c r="S596" s="1332"/>
      <c r="T596" s="1332"/>
      <c r="U596" s="1332"/>
      <c r="V596" s="1332"/>
      <c r="W596" s="1332"/>
      <c r="X596" s="1332"/>
      <c r="Y596" s="1332"/>
      <c r="Z596" s="1332"/>
      <c r="AA596" s="1332"/>
      <c r="AB596" s="1332"/>
    </row>
    <row r="597">
      <c r="A597" s="1332"/>
      <c r="B597" s="1366"/>
      <c r="C597" s="1366"/>
      <c r="D597" s="1375"/>
      <c r="E597" s="1332"/>
      <c r="F597" s="1332"/>
      <c r="G597" s="1378"/>
      <c r="H597" s="1378"/>
      <c r="I597" s="1332"/>
      <c r="J597" s="1332"/>
      <c r="K597" s="1332"/>
      <c r="L597" s="1332"/>
      <c r="M597" s="1332"/>
      <c r="N597" s="1332"/>
      <c r="O597" s="1332"/>
      <c r="P597" s="1332"/>
      <c r="Q597" s="1332"/>
      <c r="R597" s="1332"/>
      <c r="S597" s="1332"/>
      <c r="T597" s="1332"/>
      <c r="U597" s="1332"/>
      <c r="V597" s="1332"/>
      <c r="W597" s="1332"/>
      <c r="X597" s="1332"/>
      <c r="Y597" s="1332"/>
      <c r="Z597" s="1332"/>
      <c r="AA597" s="1332"/>
      <c r="AB597" s="1332"/>
    </row>
    <row r="598">
      <c r="A598" s="1332"/>
      <c r="B598" s="1366"/>
      <c r="C598" s="1366"/>
      <c r="D598" s="1375"/>
      <c r="E598" s="1332"/>
      <c r="F598" s="1332"/>
      <c r="G598" s="1378"/>
      <c r="H598" s="1378"/>
      <c r="I598" s="1332"/>
      <c r="J598" s="1332"/>
      <c r="K598" s="1332"/>
      <c r="L598" s="1332"/>
      <c r="M598" s="1332"/>
      <c r="N598" s="1332"/>
      <c r="O598" s="1332"/>
      <c r="P598" s="1332"/>
      <c r="Q598" s="1332"/>
      <c r="R598" s="1332"/>
      <c r="S598" s="1332"/>
      <c r="T598" s="1332"/>
      <c r="U598" s="1332"/>
      <c r="V598" s="1332"/>
      <c r="W598" s="1332"/>
      <c r="X598" s="1332"/>
      <c r="Y598" s="1332"/>
      <c r="Z598" s="1332"/>
      <c r="AA598" s="1332"/>
      <c r="AB598" s="1332"/>
    </row>
    <row r="599">
      <c r="A599" s="1332"/>
      <c r="B599" s="1366"/>
      <c r="C599" s="1366"/>
      <c r="D599" s="1375"/>
      <c r="E599" s="1332"/>
      <c r="F599" s="1332"/>
      <c r="G599" s="1378"/>
      <c r="H599" s="1378"/>
      <c r="I599" s="1332"/>
      <c r="J599" s="1332"/>
      <c r="K599" s="1332"/>
      <c r="L599" s="1332"/>
      <c r="M599" s="1332"/>
      <c r="N599" s="1332"/>
      <c r="O599" s="1332"/>
      <c r="P599" s="1332"/>
      <c r="Q599" s="1332"/>
      <c r="R599" s="1332"/>
      <c r="S599" s="1332"/>
      <c r="T599" s="1332"/>
      <c r="U599" s="1332"/>
      <c r="V599" s="1332"/>
      <c r="W599" s="1332"/>
      <c r="X599" s="1332"/>
      <c r="Y599" s="1332"/>
      <c r="Z599" s="1332"/>
      <c r="AA599" s="1332"/>
      <c r="AB599" s="1332"/>
    </row>
    <row r="600">
      <c r="A600" s="1332"/>
      <c r="B600" s="1366"/>
      <c r="C600" s="1366"/>
      <c r="D600" s="1375"/>
      <c r="E600" s="1332"/>
      <c r="F600" s="1332"/>
      <c r="G600" s="1378"/>
      <c r="H600" s="1378"/>
      <c r="I600" s="1332"/>
      <c r="J600" s="1332"/>
      <c r="K600" s="1332"/>
      <c r="L600" s="1332"/>
      <c r="M600" s="1332"/>
      <c r="N600" s="1332"/>
      <c r="O600" s="1332"/>
      <c r="P600" s="1332"/>
      <c r="Q600" s="1332"/>
      <c r="R600" s="1332"/>
      <c r="S600" s="1332"/>
      <c r="T600" s="1332"/>
      <c r="U600" s="1332"/>
      <c r="V600" s="1332"/>
      <c r="W600" s="1332"/>
      <c r="X600" s="1332"/>
      <c r="Y600" s="1332"/>
      <c r="Z600" s="1332"/>
      <c r="AA600" s="1332"/>
      <c r="AB600" s="1332"/>
    </row>
    <row r="601">
      <c r="A601" s="1332"/>
      <c r="B601" s="1366"/>
      <c r="C601" s="1366"/>
      <c r="D601" s="1375"/>
      <c r="E601" s="1332"/>
      <c r="F601" s="1332"/>
      <c r="G601" s="1378"/>
      <c r="H601" s="1378"/>
      <c r="I601" s="1332"/>
      <c r="J601" s="1332"/>
      <c r="K601" s="1332"/>
      <c r="L601" s="1332"/>
      <c r="M601" s="1332"/>
      <c r="N601" s="1332"/>
      <c r="O601" s="1332"/>
      <c r="P601" s="1332"/>
      <c r="Q601" s="1332"/>
      <c r="R601" s="1332"/>
      <c r="S601" s="1332"/>
      <c r="T601" s="1332"/>
      <c r="U601" s="1332"/>
      <c r="V601" s="1332"/>
      <c r="W601" s="1332"/>
      <c r="X601" s="1332"/>
      <c r="Y601" s="1332"/>
      <c r="Z601" s="1332"/>
      <c r="AA601" s="1332"/>
      <c r="AB601" s="1332"/>
    </row>
    <row r="602">
      <c r="A602" s="1332"/>
      <c r="B602" s="1366"/>
      <c r="C602" s="1366"/>
      <c r="D602" s="1375"/>
      <c r="E602" s="1332"/>
      <c r="F602" s="1332"/>
      <c r="G602" s="1378"/>
      <c r="H602" s="1378"/>
      <c r="I602" s="1332"/>
      <c r="J602" s="1332"/>
      <c r="K602" s="1332"/>
      <c r="L602" s="1332"/>
      <c r="M602" s="1332"/>
      <c r="N602" s="1332"/>
      <c r="O602" s="1332"/>
      <c r="P602" s="1332"/>
      <c r="Q602" s="1332"/>
      <c r="R602" s="1332"/>
      <c r="S602" s="1332"/>
      <c r="T602" s="1332"/>
      <c r="U602" s="1332"/>
      <c r="V602" s="1332"/>
      <c r="W602" s="1332"/>
      <c r="X602" s="1332"/>
      <c r="Y602" s="1332"/>
      <c r="Z602" s="1332"/>
      <c r="AA602" s="1332"/>
      <c r="AB602" s="1332"/>
    </row>
    <row r="603">
      <c r="A603" s="1332"/>
      <c r="B603" s="1366"/>
      <c r="C603" s="1366"/>
      <c r="D603" s="1375"/>
      <c r="E603" s="1332"/>
      <c r="F603" s="1332"/>
      <c r="G603" s="1378"/>
      <c r="H603" s="1378"/>
      <c r="I603" s="1332"/>
      <c r="J603" s="1332"/>
      <c r="K603" s="1332"/>
      <c r="L603" s="1332"/>
      <c r="M603" s="1332"/>
      <c r="N603" s="1332"/>
      <c r="O603" s="1332"/>
      <c r="P603" s="1332"/>
      <c r="Q603" s="1332"/>
      <c r="R603" s="1332"/>
      <c r="S603" s="1332"/>
      <c r="T603" s="1332"/>
      <c r="U603" s="1332"/>
      <c r="V603" s="1332"/>
      <c r="W603" s="1332"/>
      <c r="X603" s="1332"/>
      <c r="Y603" s="1332"/>
      <c r="Z603" s="1332"/>
      <c r="AA603" s="1332"/>
      <c r="AB603" s="1332"/>
    </row>
    <row r="604">
      <c r="A604" s="1332"/>
      <c r="B604" s="1366"/>
      <c r="C604" s="1366"/>
      <c r="D604" s="1375"/>
      <c r="E604" s="1332"/>
      <c r="F604" s="1332"/>
      <c r="G604" s="1378"/>
      <c r="H604" s="1378"/>
      <c r="I604" s="1332"/>
      <c r="J604" s="1332"/>
      <c r="K604" s="1332"/>
      <c r="L604" s="1332"/>
      <c r="M604" s="1332"/>
      <c r="N604" s="1332"/>
      <c r="O604" s="1332"/>
      <c r="P604" s="1332"/>
      <c r="Q604" s="1332"/>
      <c r="R604" s="1332"/>
      <c r="S604" s="1332"/>
      <c r="T604" s="1332"/>
      <c r="U604" s="1332"/>
      <c r="V604" s="1332"/>
      <c r="W604" s="1332"/>
      <c r="X604" s="1332"/>
      <c r="Y604" s="1332"/>
      <c r="Z604" s="1332"/>
      <c r="AA604" s="1332"/>
      <c r="AB604" s="1332"/>
    </row>
    <row r="605">
      <c r="A605" s="1332"/>
      <c r="B605" s="1366"/>
      <c r="C605" s="1366"/>
      <c r="D605" s="1375"/>
      <c r="E605" s="1332"/>
      <c r="F605" s="1332"/>
      <c r="G605" s="1378"/>
      <c r="H605" s="1378"/>
      <c r="I605" s="1332"/>
      <c r="J605" s="1332"/>
      <c r="K605" s="1332"/>
      <c r="L605" s="1332"/>
      <c r="M605" s="1332"/>
      <c r="N605" s="1332"/>
      <c r="O605" s="1332"/>
      <c r="P605" s="1332"/>
      <c r="Q605" s="1332"/>
      <c r="R605" s="1332"/>
      <c r="S605" s="1332"/>
      <c r="T605" s="1332"/>
      <c r="U605" s="1332"/>
      <c r="V605" s="1332"/>
      <c r="W605" s="1332"/>
      <c r="X605" s="1332"/>
      <c r="Y605" s="1332"/>
      <c r="Z605" s="1332"/>
      <c r="AA605" s="1332"/>
      <c r="AB605" s="1332"/>
    </row>
    <row r="606">
      <c r="A606" s="1332"/>
      <c r="B606" s="1366"/>
      <c r="C606" s="1366"/>
      <c r="D606" s="1375"/>
      <c r="E606" s="1332"/>
      <c r="F606" s="1332"/>
      <c r="G606" s="1378"/>
      <c r="H606" s="1378"/>
      <c r="I606" s="1332"/>
      <c r="J606" s="1332"/>
      <c r="K606" s="1332"/>
      <c r="L606" s="1332"/>
      <c r="M606" s="1332"/>
      <c r="N606" s="1332"/>
      <c r="O606" s="1332"/>
      <c r="P606" s="1332"/>
      <c r="Q606" s="1332"/>
      <c r="R606" s="1332"/>
      <c r="S606" s="1332"/>
      <c r="T606" s="1332"/>
      <c r="U606" s="1332"/>
      <c r="V606" s="1332"/>
      <c r="W606" s="1332"/>
      <c r="X606" s="1332"/>
      <c r="Y606" s="1332"/>
      <c r="Z606" s="1332"/>
      <c r="AA606" s="1332"/>
      <c r="AB606" s="1332"/>
    </row>
    <row r="607">
      <c r="A607" s="1332"/>
      <c r="B607" s="1366"/>
      <c r="C607" s="1366"/>
      <c r="D607" s="1375"/>
      <c r="E607" s="1332"/>
      <c r="F607" s="1332"/>
      <c r="G607" s="1378"/>
      <c r="H607" s="1378"/>
      <c r="I607" s="1332"/>
      <c r="J607" s="1332"/>
      <c r="K607" s="1332"/>
      <c r="L607" s="1332"/>
      <c r="M607" s="1332"/>
      <c r="N607" s="1332"/>
      <c r="O607" s="1332"/>
      <c r="P607" s="1332"/>
      <c r="Q607" s="1332"/>
      <c r="R607" s="1332"/>
      <c r="S607" s="1332"/>
      <c r="T607" s="1332"/>
      <c r="U607" s="1332"/>
      <c r="V607" s="1332"/>
      <c r="W607" s="1332"/>
      <c r="X607" s="1332"/>
      <c r="Y607" s="1332"/>
      <c r="Z607" s="1332"/>
      <c r="AA607" s="1332"/>
      <c r="AB607" s="1332"/>
    </row>
    <row r="608">
      <c r="A608" s="1332"/>
      <c r="B608" s="1366"/>
      <c r="C608" s="1366"/>
      <c r="D608" s="1375"/>
      <c r="E608" s="1332"/>
      <c r="F608" s="1332"/>
      <c r="G608" s="1378"/>
      <c r="H608" s="1378"/>
      <c r="I608" s="1332"/>
      <c r="J608" s="1332"/>
      <c r="K608" s="1332"/>
      <c r="L608" s="1332"/>
      <c r="M608" s="1332"/>
      <c r="N608" s="1332"/>
      <c r="O608" s="1332"/>
      <c r="P608" s="1332"/>
      <c r="Q608" s="1332"/>
      <c r="R608" s="1332"/>
      <c r="S608" s="1332"/>
      <c r="T608" s="1332"/>
      <c r="U608" s="1332"/>
      <c r="V608" s="1332"/>
      <c r="W608" s="1332"/>
      <c r="X608" s="1332"/>
      <c r="Y608" s="1332"/>
      <c r="Z608" s="1332"/>
      <c r="AA608" s="1332"/>
      <c r="AB608" s="1332"/>
    </row>
    <row r="609">
      <c r="A609" s="1332"/>
      <c r="B609" s="1366"/>
      <c r="C609" s="1366"/>
      <c r="D609" s="1375"/>
      <c r="E609" s="1332"/>
      <c r="F609" s="1332"/>
      <c r="G609" s="1378"/>
      <c r="H609" s="1378"/>
      <c r="I609" s="1332"/>
      <c r="J609" s="1332"/>
      <c r="K609" s="1332"/>
      <c r="L609" s="1332"/>
      <c r="M609" s="1332"/>
      <c r="N609" s="1332"/>
      <c r="O609" s="1332"/>
      <c r="P609" s="1332"/>
      <c r="Q609" s="1332"/>
      <c r="R609" s="1332"/>
      <c r="S609" s="1332"/>
      <c r="T609" s="1332"/>
      <c r="U609" s="1332"/>
      <c r="V609" s="1332"/>
      <c r="W609" s="1332"/>
      <c r="X609" s="1332"/>
      <c r="Y609" s="1332"/>
      <c r="Z609" s="1332"/>
      <c r="AA609" s="1332"/>
      <c r="AB609" s="1332"/>
    </row>
    <row r="610">
      <c r="A610" s="1332"/>
      <c r="B610" s="1366"/>
      <c r="C610" s="1366"/>
      <c r="D610" s="1375"/>
      <c r="E610" s="1332"/>
      <c r="F610" s="1332"/>
      <c r="G610" s="1378"/>
      <c r="H610" s="1378"/>
      <c r="I610" s="1332"/>
      <c r="J610" s="1332"/>
      <c r="K610" s="1332"/>
      <c r="L610" s="1332"/>
      <c r="M610" s="1332"/>
      <c r="N610" s="1332"/>
      <c r="O610" s="1332"/>
      <c r="P610" s="1332"/>
      <c r="Q610" s="1332"/>
      <c r="R610" s="1332"/>
      <c r="S610" s="1332"/>
      <c r="T610" s="1332"/>
      <c r="U610" s="1332"/>
      <c r="V610" s="1332"/>
      <c r="W610" s="1332"/>
      <c r="X610" s="1332"/>
      <c r="Y610" s="1332"/>
      <c r="Z610" s="1332"/>
      <c r="AA610" s="1332"/>
      <c r="AB610" s="1332"/>
    </row>
    <row r="611">
      <c r="A611" s="1332"/>
      <c r="B611" s="1366"/>
      <c r="C611" s="1366"/>
      <c r="D611" s="1375"/>
      <c r="E611" s="1332"/>
      <c r="F611" s="1332"/>
      <c r="G611" s="1378"/>
      <c r="H611" s="1378"/>
      <c r="I611" s="1332"/>
      <c r="J611" s="1332"/>
      <c r="K611" s="1332"/>
      <c r="L611" s="1332"/>
      <c r="M611" s="1332"/>
      <c r="N611" s="1332"/>
      <c r="O611" s="1332"/>
      <c r="P611" s="1332"/>
      <c r="Q611" s="1332"/>
      <c r="R611" s="1332"/>
      <c r="S611" s="1332"/>
      <c r="T611" s="1332"/>
      <c r="U611" s="1332"/>
      <c r="V611" s="1332"/>
      <c r="W611" s="1332"/>
      <c r="X611" s="1332"/>
      <c r="Y611" s="1332"/>
      <c r="Z611" s="1332"/>
      <c r="AA611" s="1332"/>
      <c r="AB611" s="1332"/>
    </row>
    <row r="612">
      <c r="A612" s="1332"/>
      <c r="B612" s="1366"/>
      <c r="C612" s="1366"/>
      <c r="D612" s="1375"/>
      <c r="E612" s="1332"/>
      <c r="F612" s="1332"/>
      <c r="G612" s="1378"/>
      <c r="H612" s="1378"/>
      <c r="I612" s="1332"/>
      <c r="J612" s="1332"/>
      <c r="K612" s="1332"/>
      <c r="L612" s="1332"/>
      <c r="M612" s="1332"/>
      <c r="N612" s="1332"/>
      <c r="O612" s="1332"/>
      <c r="P612" s="1332"/>
      <c r="Q612" s="1332"/>
      <c r="R612" s="1332"/>
      <c r="S612" s="1332"/>
      <c r="T612" s="1332"/>
      <c r="U612" s="1332"/>
      <c r="V612" s="1332"/>
      <c r="W612" s="1332"/>
      <c r="X612" s="1332"/>
      <c r="Y612" s="1332"/>
      <c r="Z612" s="1332"/>
      <c r="AA612" s="1332"/>
      <c r="AB612" s="1332"/>
    </row>
    <row r="613">
      <c r="A613" s="1332"/>
      <c r="B613" s="1366"/>
      <c r="C613" s="1366"/>
      <c r="D613" s="1375"/>
      <c r="E613" s="1332"/>
      <c r="F613" s="1332"/>
      <c r="G613" s="1378"/>
      <c r="H613" s="1378"/>
      <c r="I613" s="1332"/>
      <c r="J613" s="1332"/>
      <c r="K613" s="1332"/>
      <c r="L613" s="1332"/>
      <c r="M613" s="1332"/>
      <c r="N613" s="1332"/>
      <c r="O613" s="1332"/>
      <c r="P613" s="1332"/>
      <c r="Q613" s="1332"/>
      <c r="R613" s="1332"/>
      <c r="S613" s="1332"/>
      <c r="T613" s="1332"/>
      <c r="U613" s="1332"/>
      <c r="V613" s="1332"/>
      <c r="W613" s="1332"/>
      <c r="X613" s="1332"/>
      <c r="Y613" s="1332"/>
      <c r="Z613" s="1332"/>
      <c r="AA613" s="1332"/>
      <c r="AB613" s="1332"/>
    </row>
    <row r="614">
      <c r="A614" s="1332"/>
      <c r="B614" s="1366"/>
      <c r="C614" s="1366"/>
      <c r="D614" s="1375"/>
      <c r="E614" s="1332"/>
      <c r="F614" s="1332"/>
      <c r="G614" s="1378"/>
      <c r="H614" s="1378"/>
      <c r="I614" s="1332"/>
      <c r="J614" s="1332"/>
      <c r="K614" s="1332"/>
      <c r="L614" s="1332"/>
      <c r="M614" s="1332"/>
      <c r="N614" s="1332"/>
      <c r="O614" s="1332"/>
      <c r="P614" s="1332"/>
      <c r="Q614" s="1332"/>
      <c r="R614" s="1332"/>
      <c r="S614" s="1332"/>
      <c r="T614" s="1332"/>
      <c r="U614" s="1332"/>
      <c r="V614" s="1332"/>
      <c r="W614" s="1332"/>
      <c r="X614" s="1332"/>
      <c r="Y614" s="1332"/>
      <c r="Z614" s="1332"/>
      <c r="AA614" s="1332"/>
      <c r="AB614" s="1332"/>
    </row>
    <row r="615">
      <c r="A615" s="1332"/>
      <c r="B615" s="1366"/>
      <c r="C615" s="1366"/>
      <c r="D615" s="1375"/>
      <c r="E615" s="1332"/>
      <c r="F615" s="1332"/>
      <c r="G615" s="1378"/>
      <c r="H615" s="1378"/>
      <c r="I615" s="1332"/>
      <c r="J615" s="1332"/>
      <c r="K615" s="1332"/>
      <c r="L615" s="1332"/>
      <c r="M615" s="1332"/>
      <c r="N615" s="1332"/>
      <c r="O615" s="1332"/>
      <c r="P615" s="1332"/>
      <c r="Q615" s="1332"/>
      <c r="R615" s="1332"/>
      <c r="S615" s="1332"/>
      <c r="T615" s="1332"/>
      <c r="U615" s="1332"/>
      <c r="V615" s="1332"/>
      <c r="W615" s="1332"/>
      <c r="X615" s="1332"/>
      <c r="Y615" s="1332"/>
      <c r="Z615" s="1332"/>
      <c r="AA615" s="1332"/>
      <c r="AB615" s="1332"/>
    </row>
    <row r="616">
      <c r="A616" s="1332"/>
      <c r="B616" s="1366"/>
      <c r="C616" s="1366"/>
      <c r="D616" s="1375"/>
      <c r="E616" s="1332"/>
      <c r="F616" s="1332"/>
      <c r="G616" s="1378"/>
      <c r="H616" s="1378"/>
      <c r="I616" s="1332"/>
      <c r="J616" s="1332"/>
      <c r="K616" s="1332"/>
      <c r="L616" s="1332"/>
      <c r="M616" s="1332"/>
      <c r="N616" s="1332"/>
      <c r="O616" s="1332"/>
      <c r="P616" s="1332"/>
      <c r="Q616" s="1332"/>
      <c r="R616" s="1332"/>
      <c r="S616" s="1332"/>
      <c r="T616" s="1332"/>
      <c r="U616" s="1332"/>
      <c r="V616" s="1332"/>
      <c r="W616" s="1332"/>
      <c r="X616" s="1332"/>
      <c r="Y616" s="1332"/>
      <c r="Z616" s="1332"/>
      <c r="AA616" s="1332"/>
      <c r="AB616" s="1332"/>
    </row>
    <row r="617">
      <c r="A617" s="1332"/>
      <c r="B617" s="1366"/>
      <c r="C617" s="1366"/>
      <c r="D617" s="1375"/>
      <c r="E617" s="1332"/>
      <c r="F617" s="1332"/>
      <c r="G617" s="1378"/>
      <c r="H617" s="1378"/>
      <c r="I617" s="1332"/>
      <c r="J617" s="1332"/>
      <c r="K617" s="1332"/>
      <c r="L617" s="1332"/>
      <c r="M617" s="1332"/>
      <c r="N617" s="1332"/>
      <c r="O617" s="1332"/>
      <c r="P617" s="1332"/>
      <c r="Q617" s="1332"/>
      <c r="R617" s="1332"/>
      <c r="S617" s="1332"/>
      <c r="T617" s="1332"/>
      <c r="U617" s="1332"/>
      <c r="V617" s="1332"/>
      <c r="W617" s="1332"/>
      <c r="X617" s="1332"/>
      <c r="Y617" s="1332"/>
      <c r="Z617" s="1332"/>
      <c r="AA617" s="1332"/>
      <c r="AB617" s="1332"/>
    </row>
    <row r="618">
      <c r="A618" s="1332"/>
      <c r="B618" s="1366"/>
      <c r="C618" s="1366"/>
      <c r="D618" s="1375"/>
      <c r="E618" s="1332"/>
      <c r="F618" s="1332"/>
      <c r="G618" s="1378"/>
      <c r="H618" s="1378"/>
      <c r="I618" s="1332"/>
      <c r="J618" s="1332"/>
      <c r="K618" s="1332"/>
      <c r="L618" s="1332"/>
      <c r="M618" s="1332"/>
      <c r="N618" s="1332"/>
      <c r="O618" s="1332"/>
      <c r="P618" s="1332"/>
      <c r="Q618" s="1332"/>
      <c r="R618" s="1332"/>
      <c r="S618" s="1332"/>
      <c r="T618" s="1332"/>
      <c r="U618" s="1332"/>
      <c r="V618" s="1332"/>
      <c r="W618" s="1332"/>
      <c r="X618" s="1332"/>
      <c r="Y618" s="1332"/>
      <c r="Z618" s="1332"/>
      <c r="AA618" s="1332"/>
      <c r="AB618" s="1332"/>
    </row>
    <row r="619">
      <c r="A619" s="1332"/>
      <c r="B619" s="1366"/>
      <c r="C619" s="1366"/>
      <c r="D619" s="1375"/>
      <c r="E619" s="1332"/>
      <c r="F619" s="1332"/>
      <c r="G619" s="1378"/>
      <c r="H619" s="1378"/>
      <c r="I619" s="1332"/>
      <c r="J619" s="1332"/>
      <c r="K619" s="1332"/>
      <c r="L619" s="1332"/>
      <c r="M619" s="1332"/>
      <c r="N619" s="1332"/>
      <c r="O619" s="1332"/>
      <c r="P619" s="1332"/>
      <c r="Q619" s="1332"/>
      <c r="R619" s="1332"/>
      <c r="S619" s="1332"/>
      <c r="T619" s="1332"/>
      <c r="U619" s="1332"/>
      <c r="V619" s="1332"/>
      <c r="W619" s="1332"/>
      <c r="X619" s="1332"/>
      <c r="Y619" s="1332"/>
      <c r="Z619" s="1332"/>
      <c r="AA619" s="1332"/>
      <c r="AB619" s="1332"/>
    </row>
    <row r="620">
      <c r="A620" s="1332"/>
      <c r="B620" s="1366"/>
      <c r="C620" s="1366"/>
      <c r="D620" s="1375"/>
      <c r="E620" s="1332"/>
      <c r="F620" s="1332"/>
      <c r="G620" s="1378"/>
      <c r="H620" s="1378"/>
      <c r="I620" s="1332"/>
      <c r="J620" s="1332"/>
      <c r="K620" s="1332"/>
      <c r="L620" s="1332"/>
      <c r="M620" s="1332"/>
      <c r="N620" s="1332"/>
      <c r="O620" s="1332"/>
      <c r="P620" s="1332"/>
      <c r="Q620" s="1332"/>
      <c r="R620" s="1332"/>
      <c r="S620" s="1332"/>
      <c r="T620" s="1332"/>
      <c r="U620" s="1332"/>
      <c r="V620" s="1332"/>
      <c r="W620" s="1332"/>
      <c r="X620" s="1332"/>
      <c r="Y620" s="1332"/>
      <c r="Z620" s="1332"/>
      <c r="AA620" s="1332"/>
      <c r="AB620" s="1332"/>
    </row>
    <row r="621">
      <c r="A621" s="1332"/>
      <c r="B621" s="1366"/>
      <c r="C621" s="1366"/>
      <c r="D621" s="1375"/>
      <c r="E621" s="1332"/>
      <c r="F621" s="1332"/>
      <c r="G621" s="1378"/>
      <c r="H621" s="1378"/>
      <c r="I621" s="1332"/>
      <c r="J621" s="1332"/>
      <c r="K621" s="1332"/>
      <c r="L621" s="1332"/>
      <c r="M621" s="1332"/>
      <c r="N621" s="1332"/>
      <c r="O621" s="1332"/>
      <c r="P621" s="1332"/>
      <c r="Q621" s="1332"/>
      <c r="R621" s="1332"/>
      <c r="S621" s="1332"/>
      <c r="T621" s="1332"/>
      <c r="U621" s="1332"/>
      <c r="V621" s="1332"/>
      <c r="W621" s="1332"/>
      <c r="X621" s="1332"/>
      <c r="Y621" s="1332"/>
      <c r="Z621" s="1332"/>
      <c r="AA621" s="1332"/>
      <c r="AB621" s="1332"/>
    </row>
    <row r="622">
      <c r="A622" s="1332"/>
      <c r="B622" s="1366"/>
      <c r="C622" s="1366"/>
      <c r="D622" s="1375"/>
      <c r="E622" s="1332"/>
      <c r="F622" s="1332"/>
      <c r="G622" s="1378"/>
      <c r="H622" s="1378"/>
      <c r="I622" s="1332"/>
      <c r="J622" s="1332"/>
      <c r="K622" s="1332"/>
      <c r="L622" s="1332"/>
      <c r="M622" s="1332"/>
      <c r="N622" s="1332"/>
      <c r="O622" s="1332"/>
      <c r="P622" s="1332"/>
      <c r="Q622" s="1332"/>
      <c r="R622" s="1332"/>
      <c r="S622" s="1332"/>
      <c r="T622" s="1332"/>
      <c r="U622" s="1332"/>
      <c r="V622" s="1332"/>
      <c r="W622" s="1332"/>
      <c r="X622" s="1332"/>
      <c r="Y622" s="1332"/>
      <c r="Z622" s="1332"/>
      <c r="AA622" s="1332"/>
      <c r="AB622" s="1332"/>
    </row>
    <row r="623">
      <c r="A623" s="1332"/>
      <c r="B623" s="1366"/>
      <c r="C623" s="1366"/>
      <c r="D623" s="1375"/>
      <c r="E623" s="1332"/>
      <c r="F623" s="1332"/>
      <c r="G623" s="1378"/>
      <c r="H623" s="1378"/>
      <c r="I623" s="1332"/>
      <c r="J623" s="1332"/>
      <c r="K623" s="1332"/>
      <c r="L623" s="1332"/>
      <c r="M623" s="1332"/>
      <c r="N623" s="1332"/>
      <c r="O623" s="1332"/>
      <c r="P623" s="1332"/>
      <c r="Q623" s="1332"/>
      <c r="R623" s="1332"/>
      <c r="S623" s="1332"/>
      <c r="T623" s="1332"/>
      <c r="U623" s="1332"/>
      <c r="V623" s="1332"/>
      <c r="W623" s="1332"/>
      <c r="X623" s="1332"/>
      <c r="Y623" s="1332"/>
      <c r="Z623" s="1332"/>
      <c r="AA623" s="1332"/>
      <c r="AB623" s="1332"/>
    </row>
    <row r="624">
      <c r="A624" s="1332"/>
      <c r="B624" s="1366"/>
      <c r="C624" s="1366"/>
      <c r="D624" s="1375"/>
      <c r="E624" s="1332"/>
      <c r="F624" s="1332"/>
      <c r="G624" s="1378"/>
      <c r="H624" s="1378"/>
      <c r="I624" s="1332"/>
      <c r="J624" s="1332"/>
      <c r="K624" s="1332"/>
      <c r="L624" s="1332"/>
      <c r="M624" s="1332"/>
      <c r="N624" s="1332"/>
      <c r="O624" s="1332"/>
      <c r="P624" s="1332"/>
      <c r="Q624" s="1332"/>
      <c r="R624" s="1332"/>
      <c r="S624" s="1332"/>
      <c r="T624" s="1332"/>
      <c r="U624" s="1332"/>
      <c r="V624" s="1332"/>
      <c r="W624" s="1332"/>
      <c r="X624" s="1332"/>
      <c r="Y624" s="1332"/>
      <c r="Z624" s="1332"/>
      <c r="AA624" s="1332"/>
      <c r="AB624" s="1332"/>
    </row>
    <row r="625">
      <c r="A625" s="1332"/>
      <c r="B625" s="1366"/>
      <c r="C625" s="1366"/>
      <c r="D625" s="1375"/>
      <c r="E625" s="1332"/>
      <c r="F625" s="1332"/>
      <c r="G625" s="1378"/>
      <c r="H625" s="1378"/>
      <c r="I625" s="1332"/>
      <c r="J625" s="1332"/>
      <c r="K625" s="1332"/>
      <c r="L625" s="1332"/>
      <c r="M625" s="1332"/>
      <c r="N625" s="1332"/>
      <c r="O625" s="1332"/>
      <c r="P625" s="1332"/>
      <c r="Q625" s="1332"/>
      <c r="R625" s="1332"/>
      <c r="S625" s="1332"/>
      <c r="T625" s="1332"/>
      <c r="U625" s="1332"/>
      <c r="V625" s="1332"/>
      <c r="W625" s="1332"/>
      <c r="X625" s="1332"/>
      <c r="Y625" s="1332"/>
      <c r="Z625" s="1332"/>
      <c r="AA625" s="1332"/>
      <c r="AB625" s="1332"/>
    </row>
    <row r="626">
      <c r="A626" s="1332"/>
      <c r="B626" s="1366"/>
      <c r="C626" s="1366"/>
      <c r="D626" s="1375"/>
      <c r="E626" s="1332"/>
      <c r="F626" s="1332"/>
      <c r="G626" s="1378"/>
      <c r="H626" s="1378"/>
      <c r="I626" s="1332"/>
      <c r="J626" s="1332"/>
      <c r="K626" s="1332"/>
      <c r="L626" s="1332"/>
      <c r="M626" s="1332"/>
      <c r="N626" s="1332"/>
      <c r="O626" s="1332"/>
      <c r="P626" s="1332"/>
      <c r="Q626" s="1332"/>
      <c r="R626" s="1332"/>
      <c r="S626" s="1332"/>
      <c r="T626" s="1332"/>
      <c r="U626" s="1332"/>
      <c r="V626" s="1332"/>
      <c r="W626" s="1332"/>
      <c r="X626" s="1332"/>
      <c r="Y626" s="1332"/>
      <c r="Z626" s="1332"/>
      <c r="AA626" s="1332"/>
      <c r="AB626" s="1332"/>
    </row>
    <row r="627">
      <c r="A627" s="1332"/>
      <c r="B627" s="1366"/>
      <c r="C627" s="1366"/>
      <c r="D627" s="1375"/>
      <c r="E627" s="1332"/>
      <c r="F627" s="1332"/>
      <c r="G627" s="1378"/>
      <c r="H627" s="1378"/>
      <c r="I627" s="1332"/>
      <c r="J627" s="1332"/>
      <c r="K627" s="1332"/>
      <c r="L627" s="1332"/>
      <c r="M627" s="1332"/>
      <c r="N627" s="1332"/>
      <c r="O627" s="1332"/>
      <c r="P627" s="1332"/>
      <c r="Q627" s="1332"/>
      <c r="R627" s="1332"/>
      <c r="S627" s="1332"/>
      <c r="T627" s="1332"/>
      <c r="U627" s="1332"/>
      <c r="V627" s="1332"/>
      <c r="W627" s="1332"/>
      <c r="X627" s="1332"/>
      <c r="Y627" s="1332"/>
      <c r="Z627" s="1332"/>
      <c r="AA627" s="1332"/>
      <c r="AB627" s="1332"/>
    </row>
    <row r="628">
      <c r="A628" s="1332"/>
      <c r="B628" s="1366"/>
      <c r="C628" s="1366"/>
      <c r="D628" s="1375"/>
      <c r="E628" s="1332"/>
      <c r="F628" s="1332"/>
      <c r="G628" s="1378"/>
      <c r="H628" s="1378"/>
      <c r="I628" s="1332"/>
      <c r="J628" s="1332"/>
      <c r="K628" s="1332"/>
      <c r="L628" s="1332"/>
      <c r="M628" s="1332"/>
      <c r="N628" s="1332"/>
      <c r="O628" s="1332"/>
      <c r="P628" s="1332"/>
      <c r="Q628" s="1332"/>
      <c r="R628" s="1332"/>
      <c r="S628" s="1332"/>
      <c r="T628" s="1332"/>
      <c r="U628" s="1332"/>
      <c r="V628" s="1332"/>
      <c r="W628" s="1332"/>
      <c r="X628" s="1332"/>
      <c r="Y628" s="1332"/>
      <c r="Z628" s="1332"/>
      <c r="AA628" s="1332"/>
      <c r="AB628" s="1332"/>
    </row>
    <row r="629">
      <c r="A629" s="1332"/>
      <c r="B629" s="1366"/>
      <c r="C629" s="1366"/>
      <c r="D629" s="1375"/>
      <c r="E629" s="1332"/>
      <c r="F629" s="1332"/>
      <c r="G629" s="1378"/>
      <c r="H629" s="1378"/>
      <c r="I629" s="1332"/>
      <c r="J629" s="1332"/>
      <c r="K629" s="1332"/>
      <c r="L629" s="1332"/>
      <c r="M629" s="1332"/>
      <c r="N629" s="1332"/>
      <c r="O629" s="1332"/>
      <c r="P629" s="1332"/>
      <c r="Q629" s="1332"/>
      <c r="R629" s="1332"/>
      <c r="S629" s="1332"/>
      <c r="T629" s="1332"/>
      <c r="U629" s="1332"/>
      <c r="V629" s="1332"/>
      <c r="W629" s="1332"/>
      <c r="X629" s="1332"/>
      <c r="Y629" s="1332"/>
      <c r="Z629" s="1332"/>
      <c r="AA629" s="1332"/>
      <c r="AB629" s="1332"/>
    </row>
    <row r="630">
      <c r="A630" s="1332"/>
      <c r="B630" s="1366"/>
      <c r="C630" s="1366"/>
      <c r="D630" s="1375"/>
      <c r="E630" s="1332"/>
      <c r="F630" s="1332"/>
      <c r="G630" s="1378"/>
      <c r="H630" s="1378"/>
      <c r="I630" s="1332"/>
      <c r="J630" s="1332"/>
      <c r="K630" s="1332"/>
      <c r="L630" s="1332"/>
      <c r="M630" s="1332"/>
      <c r="N630" s="1332"/>
      <c r="O630" s="1332"/>
      <c r="P630" s="1332"/>
      <c r="Q630" s="1332"/>
      <c r="R630" s="1332"/>
      <c r="S630" s="1332"/>
      <c r="T630" s="1332"/>
      <c r="U630" s="1332"/>
      <c r="V630" s="1332"/>
      <c r="W630" s="1332"/>
      <c r="X630" s="1332"/>
      <c r="Y630" s="1332"/>
      <c r="Z630" s="1332"/>
      <c r="AA630" s="1332"/>
      <c r="AB630" s="1332"/>
    </row>
    <row r="631">
      <c r="A631" s="1332"/>
      <c r="B631" s="1366"/>
      <c r="C631" s="1366"/>
      <c r="D631" s="1375"/>
      <c r="E631" s="1332"/>
      <c r="F631" s="1332"/>
      <c r="G631" s="1378"/>
      <c r="H631" s="1378"/>
      <c r="I631" s="1332"/>
      <c r="J631" s="1332"/>
      <c r="K631" s="1332"/>
      <c r="L631" s="1332"/>
      <c r="M631" s="1332"/>
      <c r="N631" s="1332"/>
      <c r="O631" s="1332"/>
      <c r="P631" s="1332"/>
      <c r="Q631" s="1332"/>
      <c r="R631" s="1332"/>
      <c r="S631" s="1332"/>
      <c r="T631" s="1332"/>
      <c r="U631" s="1332"/>
      <c r="V631" s="1332"/>
      <c r="W631" s="1332"/>
      <c r="X631" s="1332"/>
      <c r="Y631" s="1332"/>
      <c r="Z631" s="1332"/>
      <c r="AA631" s="1332"/>
      <c r="AB631" s="1332"/>
    </row>
    <row r="632">
      <c r="A632" s="1332"/>
      <c r="B632" s="1366"/>
      <c r="C632" s="1366"/>
      <c r="D632" s="1375"/>
      <c r="E632" s="1332"/>
      <c r="F632" s="1332"/>
      <c r="G632" s="1378"/>
      <c r="H632" s="1378"/>
      <c r="I632" s="1332"/>
      <c r="J632" s="1332"/>
      <c r="K632" s="1332"/>
      <c r="L632" s="1332"/>
      <c r="M632" s="1332"/>
      <c r="N632" s="1332"/>
      <c r="O632" s="1332"/>
      <c r="P632" s="1332"/>
      <c r="Q632" s="1332"/>
      <c r="R632" s="1332"/>
      <c r="S632" s="1332"/>
      <c r="T632" s="1332"/>
      <c r="U632" s="1332"/>
      <c r="V632" s="1332"/>
      <c r="W632" s="1332"/>
      <c r="X632" s="1332"/>
      <c r="Y632" s="1332"/>
      <c r="Z632" s="1332"/>
      <c r="AA632" s="1332"/>
      <c r="AB632" s="1332"/>
    </row>
    <row r="633">
      <c r="A633" s="1332"/>
      <c r="B633" s="1366"/>
      <c r="C633" s="1366"/>
      <c r="D633" s="1375"/>
      <c r="E633" s="1332"/>
      <c r="F633" s="1332"/>
      <c r="G633" s="1378"/>
      <c r="H633" s="1378"/>
      <c r="I633" s="1332"/>
      <c r="J633" s="1332"/>
      <c r="K633" s="1332"/>
      <c r="L633" s="1332"/>
      <c r="M633" s="1332"/>
      <c r="N633" s="1332"/>
      <c r="O633" s="1332"/>
      <c r="P633" s="1332"/>
      <c r="Q633" s="1332"/>
      <c r="R633" s="1332"/>
      <c r="S633" s="1332"/>
      <c r="T633" s="1332"/>
      <c r="U633" s="1332"/>
      <c r="V633" s="1332"/>
      <c r="W633" s="1332"/>
      <c r="X633" s="1332"/>
      <c r="Y633" s="1332"/>
      <c r="Z633" s="1332"/>
      <c r="AA633" s="1332"/>
      <c r="AB633" s="1332"/>
    </row>
    <row r="634">
      <c r="A634" s="1332"/>
      <c r="B634" s="1366"/>
      <c r="C634" s="1366"/>
      <c r="D634" s="1375"/>
      <c r="E634" s="1332"/>
      <c r="F634" s="1332"/>
      <c r="G634" s="1378"/>
      <c r="H634" s="1378"/>
      <c r="I634" s="1332"/>
      <c r="J634" s="1332"/>
      <c r="K634" s="1332"/>
      <c r="L634" s="1332"/>
      <c r="M634" s="1332"/>
      <c r="N634" s="1332"/>
      <c r="O634" s="1332"/>
      <c r="P634" s="1332"/>
      <c r="Q634" s="1332"/>
      <c r="R634" s="1332"/>
      <c r="S634" s="1332"/>
      <c r="T634" s="1332"/>
      <c r="U634" s="1332"/>
      <c r="V634" s="1332"/>
      <c r="W634" s="1332"/>
      <c r="X634" s="1332"/>
      <c r="Y634" s="1332"/>
      <c r="Z634" s="1332"/>
      <c r="AA634" s="1332"/>
      <c r="AB634" s="1332"/>
    </row>
    <row r="635">
      <c r="A635" s="1332"/>
      <c r="B635" s="1366"/>
      <c r="C635" s="1366"/>
      <c r="D635" s="1375"/>
      <c r="E635" s="1332"/>
      <c r="F635" s="1332"/>
      <c r="G635" s="1378"/>
      <c r="H635" s="1378"/>
      <c r="I635" s="1332"/>
      <c r="J635" s="1332"/>
      <c r="K635" s="1332"/>
      <c r="L635" s="1332"/>
      <c r="M635" s="1332"/>
      <c r="N635" s="1332"/>
      <c r="O635" s="1332"/>
      <c r="P635" s="1332"/>
      <c r="Q635" s="1332"/>
      <c r="R635" s="1332"/>
      <c r="S635" s="1332"/>
      <c r="T635" s="1332"/>
      <c r="U635" s="1332"/>
      <c r="V635" s="1332"/>
      <c r="W635" s="1332"/>
      <c r="X635" s="1332"/>
      <c r="Y635" s="1332"/>
      <c r="Z635" s="1332"/>
      <c r="AA635" s="1332"/>
      <c r="AB635" s="1332"/>
    </row>
    <row r="636">
      <c r="A636" s="1332"/>
      <c r="B636" s="1366"/>
      <c r="C636" s="1366"/>
      <c r="D636" s="1375"/>
      <c r="E636" s="1332"/>
      <c r="F636" s="1332"/>
      <c r="G636" s="1378"/>
      <c r="H636" s="1378"/>
      <c r="I636" s="1332"/>
      <c r="J636" s="1332"/>
      <c r="K636" s="1332"/>
      <c r="L636" s="1332"/>
      <c r="M636" s="1332"/>
      <c r="N636" s="1332"/>
      <c r="O636" s="1332"/>
      <c r="P636" s="1332"/>
      <c r="Q636" s="1332"/>
      <c r="R636" s="1332"/>
      <c r="S636" s="1332"/>
      <c r="T636" s="1332"/>
      <c r="U636" s="1332"/>
      <c r="V636" s="1332"/>
      <c r="W636" s="1332"/>
      <c r="X636" s="1332"/>
      <c r="Y636" s="1332"/>
      <c r="Z636" s="1332"/>
      <c r="AA636" s="1332"/>
      <c r="AB636" s="1332"/>
    </row>
    <row r="637">
      <c r="A637" s="1332"/>
      <c r="B637" s="1366"/>
      <c r="C637" s="1366"/>
      <c r="D637" s="1375"/>
      <c r="E637" s="1332"/>
      <c r="F637" s="1332"/>
      <c r="G637" s="1378"/>
      <c r="H637" s="1378"/>
      <c r="I637" s="1332"/>
      <c r="J637" s="1332"/>
      <c r="K637" s="1332"/>
      <c r="L637" s="1332"/>
      <c r="M637" s="1332"/>
      <c r="N637" s="1332"/>
      <c r="O637" s="1332"/>
      <c r="P637" s="1332"/>
      <c r="Q637" s="1332"/>
      <c r="R637" s="1332"/>
      <c r="S637" s="1332"/>
      <c r="T637" s="1332"/>
      <c r="U637" s="1332"/>
      <c r="V637" s="1332"/>
      <c r="W637" s="1332"/>
      <c r="X637" s="1332"/>
      <c r="Y637" s="1332"/>
      <c r="Z637" s="1332"/>
      <c r="AA637" s="1332"/>
      <c r="AB637" s="1332"/>
    </row>
    <row r="638">
      <c r="A638" s="1332"/>
      <c r="B638" s="1366"/>
      <c r="C638" s="1366"/>
      <c r="D638" s="1375"/>
      <c r="E638" s="1332"/>
      <c r="F638" s="1332"/>
      <c r="G638" s="1378"/>
      <c r="H638" s="1378"/>
      <c r="I638" s="1332"/>
      <c r="J638" s="1332"/>
      <c r="K638" s="1332"/>
      <c r="L638" s="1332"/>
      <c r="M638" s="1332"/>
      <c r="N638" s="1332"/>
      <c r="O638" s="1332"/>
      <c r="P638" s="1332"/>
      <c r="Q638" s="1332"/>
      <c r="R638" s="1332"/>
      <c r="S638" s="1332"/>
      <c r="T638" s="1332"/>
      <c r="U638" s="1332"/>
      <c r="V638" s="1332"/>
      <c r="W638" s="1332"/>
      <c r="X638" s="1332"/>
      <c r="Y638" s="1332"/>
      <c r="Z638" s="1332"/>
      <c r="AA638" s="1332"/>
      <c r="AB638" s="1332"/>
    </row>
    <row r="639">
      <c r="A639" s="1332"/>
      <c r="B639" s="1366"/>
      <c r="C639" s="1366"/>
      <c r="D639" s="1375"/>
      <c r="E639" s="1332"/>
      <c r="F639" s="1332"/>
      <c r="G639" s="1378"/>
      <c r="H639" s="1378"/>
      <c r="I639" s="1332"/>
      <c r="J639" s="1332"/>
      <c r="K639" s="1332"/>
      <c r="L639" s="1332"/>
      <c r="M639" s="1332"/>
      <c r="N639" s="1332"/>
      <c r="O639" s="1332"/>
      <c r="P639" s="1332"/>
      <c r="Q639" s="1332"/>
      <c r="R639" s="1332"/>
      <c r="S639" s="1332"/>
      <c r="T639" s="1332"/>
      <c r="U639" s="1332"/>
      <c r="V639" s="1332"/>
      <c r="W639" s="1332"/>
      <c r="X639" s="1332"/>
      <c r="Y639" s="1332"/>
      <c r="Z639" s="1332"/>
      <c r="AA639" s="1332"/>
      <c r="AB639" s="1332"/>
    </row>
    <row r="640">
      <c r="A640" s="1332"/>
      <c r="B640" s="1366"/>
      <c r="C640" s="1366"/>
      <c r="D640" s="1375"/>
      <c r="E640" s="1332"/>
      <c r="F640" s="1332"/>
      <c r="G640" s="1378"/>
      <c r="H640" s="1378"/>
      <c r="I640" s="1332"/>
      <c r="J640" s="1332"/>
      <c r="K640" s="1332"/>
      <c r="L640" s="1332"/>
      <c r="M640" s="1332"/>
      <c r="N640" s="1332"/>
      <c r="O640" s="1332"/>
      <c r="P640" s="1332"/>
      <c r="Q640" s="1332"/>
      <c r="R640" s="1332"/>
      <c r="S640" s="1332"/>
      <c r="T640" s="1332"/>
      <c r="U640" s="1332"/>
      <c r="V640" s="1332"/>
      <c r="W640" s="1332"/>
      <c r="X640" s="1332"/>
      <c r="Y640" s="1332"/>
      <c r="Z640" s="1332"/>
      <c r="AA640" s="1332"/>
      <c r="AB640" s="1332"/>
    </row>
    <row r="641">
      <c r="A641" s="1332"/>
      <c r="B641" s="1366"/>
      <c r="C641" s="1366"/>
      <c r="D641" s="1375"/>
      <c r="E641" s="1332"/>
      <c r="F641" s="1332"/>
      <c r="G641" s="1378"/>
      <c r="H641" s="1378"/>
      <c r="I641" s="1332"/>
      <c r="J641" s="1332"/>
      <c r="K641" s="1332"/>
      <c r="L641" s="1332"/>
      <c r="M641" s="1332"/>
      <c r="N641" s="1332"/>
      <c r="O641" s="1332"/>
      <c r="P641" s="1332"/>
      <c r="Q641" s="1332"/>
      <c r="R641" s="1332"/>
      <c r="S641" s="1332"/>
      <c r="T641" s="1332"/>
      <c r="U641" s="1332"/>
      <c r="V641" s="1332"/>
      <c r="W641" s="1332"/>
      <c r="X641" s="1332"/>
      <c r="Y641" s="1332"/>
      <c r="Z641" s="1332"/>
      <c r="AA641" s="1332"/>
      <c r="AB641" s="1332"/>
    </row>
    <row r="642">
      <c r="A642" s="1332"/>
      <c r="B642" s="1366"/>
      <c r="C642" s="1366"/>
      <c r="D642" s="1375"/>
      <c r="E642" s="1332"/>
      <c r="F642" s="1332"/>
      <c r="G642" s="1378"/>
      <c r="H642" s="1378"/>
      <c r="I642" s="1332"/>
      <c r="J642" s="1332"/>
      <c r="K642" s="1332"/>
      <c r="L642" s="1332"/>
      <c r="M642" s="1332"/>
      <c r="N642" s="1332"/>
      <c r="O642" s="1332"/>
      <c r="P642" s="1332"/>
      <c r="Q642" s="1332"/>
      <c r="R642" s="1332"/>
      <c r="S642" s="1332"/>
      <c r="T642" s="1332"/>
      <c r="U642" s="1332"/>
      <c r="V642" s="1332"/>
      <c r="W642" s="1332"/>
      <c r="X642" s="1332"/>
      <c r="Y642" s="1332"/>
      <c r="Z642" s="1332"/>
      <c r="AA642" s="1332"/>
      <c r="AB642" s="1332"/>
    </row>
    <row r="643">
      <c r="A643" s="1332"/>
      <c r="B643" s="1366"/>
      <c r="C643" s="1366"/>
      <c r="D643" s="1375"/>
      <c r="E643" s="1332"/>
      <c r="F643" s="1332"/>
      <c r="G643" s="1378"/>
      <c r="H643" s="1378"/>
      <c r="I643" s="1332"/>
      <c r="J643" s="1332"/>
      <c r="K643" s="1332"/>
      <c r="L643" s="1332"/>
      <c r="M643" s="1332"/>
      <c r="N643" s="1332"/>
      <c r="O643" s="1332"/>
      <c r="P643" s="1332"/>
      <c r="Q643" s="1332"/>
      <c r="R643" s="1332"/>
      <c r="S643" s="1332"/>
      <c r="T643" s="1332"/>
      <c r="U643" s="1332"/>
      <c r="V643" s="1332"/>
      <c r="W643" s="1332"/>
      <c r="X643" s="1332"/>
      <c r="Y643" s="1332"/>
      <c r="Z643" s="1332"/>
      <c r="AA643" s="1332"/>
      <c r="AB643" s="1332"/>
    </row>
    <row r="644">
      <c r="A644" s="1332"/>
      <c r="B644" s="1366"/>
      <c r="C644" s="1366"/>
      <c r="D644" s="1375"/>
      <c r="E644" s="1332"/>
      <c r="F644" s="1332"/>
      <c r="G644" s="1378"/>
      <c r="H644" s="1378"/>
      <c r="I644" s="1332"/>
      <c r="J644" s="1332"/>
      <c r="K644" s="1332"/>
      <c r="L644" s="1332"/>
      <c r="M644" s="1332"/>
      <c r="N644" s="1332"/>
      <c r="O644" s="1332"/>
      <c r="P644" s="1332"/>
      <c r="Q644" s="1332"/>
      <c r="R644" s="1332"/>
      <c r="S644" s="1332"/>
      <c r="T644" s="1332"/>
      <c r="U644" s="1332"/>
      <c r="V644" s="1332"/>
      <c r="W644" s="1332"/>
      <c r="X644" s="1332"/>
      <c r="Y644" s="1332"/>
      <c r="Z644" s="1332"/>
      <c r="AA644" s="1332"/>
      <c r="AB644" s="1332"/>
    </row>
    <row r="645">
      <c r="A645" s="1332"/>
      <c r="B645" s="1366"/>
      <c r="C645" s="1366"/>
      <c r="D645" s="1375"/>
      <c r="E645" s="1332"/>
      <c r="F645" s="1332"/>
      <c r="G645" s="1378"/>
      <c r="H645" s="1378"/>
      <c r="I645" s="1332"/>
      <c r="J645" s="1332"/>
      <c r="K645" s="1332"/>
      <c r="L645" s="1332"/>
      <c r="M645" s="1332"/>
      <c r="N645" s="1332"/>
      <c r="O645" s="1332"/>
      <c r="P645" s="1332"/>
      <c r="Q645" s="1332"/>
      <c r="R645" s="1332"/>
      <c r="S645" s="1332"/>
      <c r="T645" s="1332"/>
      <c r="U645" s="1332"/>
      <c r="V645" s="1332"/>
      <c r="W645" s="1332"/>
      <c r="X645" s="1332"/>
      <c r="Y645" s="1332"/>
      <c r="Z645" s="1332"/>
      <c r="AA645" s="1332"/>
      <c r="AB645" s="1332"/>
    </row>
    <row r="646">
      <c r="A646" s="1332"/>
      <c r="B646" s="1366"/>
      <c r="C646" s="1366"/>
      <c r="D646" s="1375"/>
      <c r="E646" s="1332"/>
      <c r="F646" s="1332"/>
      <c r="G646" s="1378"/>
      <c r="H646" s="1378"/>
      <c r="I646" s="1332"/>
      <c r="J646" s="1332"/>
      <c r="K646" s="1332"/>
      <c r="L646" s="1332"/>
      <c r="M646" s="1332"/>
      <c r="N646" s="1332"/>
      <c r="O646" s="1332"/>
      <c r="P646" s="1332"/>
      <c r="Q646" s="1332"/>
      <c r="R646" s="1332"/>
      <c r="S646" s="1332"/>
      <c r="T646" s="1332"/>
      <c r="U646" s="1332"/>
      <c r="V646" s="1332"/>
      <c r="W646" s="1332"/>
      <c r="X646" s="1332"/>
      <c r="Y646" s="1332"/>
      <c r="Z646" s="1332"/>
      <c r="AA646" s="1332"/>
      <c r="AB646" s="1332"/>
    </row>
    <row r="647">
      <c r="A647" s="1332"/>
      <c r="B647" s="1366"/>
      <c r="C647" s="1366"/>
      <c r="D647" s="1375"/>
      <c r="E647" s="1332"/>
      <c r="F647" s="1332"/>
      <c r="G647" s="1378"/>
      <c r="H647" s="1378"/>
      <c r="I647" s="1332"/>
      <c r="J647" s="1332"/>
      <c r="K647" s="1332"/>
      <c r="L647" s="1332"/>
      <c r="M647" s="1332"/>
      <c r="N647" s="1332"/>
      <c r="O647" s="1332"/>
      <c r="P647" s="1332"/>
      <c r="Q647" s="1332"/>
      <c r="R647" s="1332"/>
      <c r="S647" s="1332"/>
      <c r="T647" s="1332"/>
      <c r="U647" s="1332"/>
      <c r="V647" s="1332"/>
      <c r="W647" s="1332"/>
      <c r="X647" s="1332"/>
      <c r="Y647" s="1332"/>
      <c r="Z647" s="1332"/>
      <c r="AA647" s="1332"/>
      <c r="AB647" s="1332"/>
    </row>
    <row r="648">
      <c r="A648" s="1332"/>
      <c r="B648" s="1366"/>
      <c r="C648" s="1366"/>
      <c r="D648" s="1375"/>
      <c r="E648" s="1332"/>
      <c r="F648" s="1332"/>
      <c r="G648" s="1378"/>
      <c r="H648" s="1378"/>
      <c r="I648" s="1332"/>
      <c r="J648" s="1332"/>
      <c r="K648" s="1332"/>
      <c r="L648" s="1332"/>
      <c r="M648" s="1332"/>
      <c r="N648" s="1332"/>
      <c r="O648" s="1332"/>
      <c r="P648" s="1332"/>
      <c r="Q648" s="1332"/>
      <c r="R648" s="1332"/>
      <c r="S648" s="1332"/>
      <c r="T648" s="1332"/>
      <c r="U648" s="1332"/>
      <c r="V648" s="1332"/>
      <c r="W648" s="1332"/>
      <c r="X648" s="1332"/>
      <c r="Y648" s="1332"/>
      <c r="Z648" s="1332"/>
      <c r="AA648" s="1332"/>
      <c r="AB648" s="1332"/>
    </row>
    <row r="649">
      <c r="A649" s="1332"/>
      <c r="B649" s="1366"/>
      <c r="C649" s="1366"/>
      <c r="D649" s="1375"/>
      <c r="E649" s="1332"/>
      <c r="F649" s="1332"/>
      <c r="G649" s="1378"/>
      <c r="H649" s="1378"/>
      <c r="I649" s="1332"/>
      <c r="J649" s="1332"/>
      <c r="K649" s="1332"/>
      <c r="L649" s="1332"/>
      <c r="M649" s="1332"/>
      <c r="N649" s="1332"/>
      <c r="O649" s="1332"/>
      <c r="P649" s="1332"/>
      <c r="Q649" s="1332"/>
      <c r="R649" s="1332"/>
      <c r="S649" s="1332"/>
      <c r="T649" s="1332"/>
      <c r="U649" s="1332"/>
      <c r="V649" s="1332"/>
      <c r="W649" s="1332"/>
      <c r="X649" s="1332"/>
      <c r="Y649" s="1332"/>
      <c r="Z649" s="1332"/>
      <c r="AA649" s="1332"/>
      <c r="AB649" s="1332"/>
    </row>
    <row r="650">
      <c r="A650" s="1332"/>
      <c r="B650" s="1366"/>
      <c r="C650" s="1366"/>
      <c r="D650" s="1375"/>
      <c r="E650" s="1332"/>
      <c r="F650" s="1332"/>
      <c r="G650" s="1378"/>
      <c r="H650" s="1378"/>
      <c r="I650" s="1332"/>
      <c r="J650" s="1332"/>
      <c r="K650" s="1332"/>
      <c r="L650" s="1332"/>
      <c r="M650" s="1332"/>
      <c r="N650" s="1332"/>
      <c r="O650" s="1332"/>
      <c r="P650" s="1332"/>
      <c r="Q650" s="1332"/>
      <c r="R650" s="1332"/>
      <c r="S650" s="1332"/>
      <c r="T650" s="1332"/>
      <c r="U650" s="1332"/>
      <c r="V650" s="1332"/>
      <c r="W650" s="1332"/>
      <c r="X650" s="1332"/>
      <c r="Y650" s="1332"/>
      <c r="Z650" s="1332"/>
      <c r="AA650" s="1332"/>
      <c r="AB650" s="1332"/>
    </row>
    <row r="651">
      <c r="A651" s="1332"/>
      <c r="B651" s="1366"/>
      <c r="C651" s="1366"/>
      <c r="D651" s="1375"/>
      <c r="E651" s="1332"/>
      <c r="F651" s="1332"/>
      <c r="G651" s="1378"/>
      <c r="H651" s="1378"/>
      <c r="I651" s="1332"/>
      <c r="J651" s="1332"/>
      <c r="K651" s="1332"/>
      <c r="L651" s="1332"/>
      <c r="M651" s="1332"/>
      <c r="N651" s="1332"/>
      <c r="O651" s="1332"/>
      <c r="P651" s="1332"/>
      <c r="Q651" s="1332"/>
      <c r="R651" s="1332"/>
      <c r="S651" s="1332"/>
      <c r="T651" s="1332"/>
      <c r="U651" s="1332"/>
      <c r="V651" s="1332"/>
      <c r="W651" s="1332"/>
      <c r="X651" s="1332"/>
      <c r="Y651" s="1332"/>
      <c r="Z651" s="1332"/>
      <c r="AA651" s="1332"/>
      <c r="AB651" s="1332"/>
    </row>
    <row r="652">
      <c r="A652" s="1332"/>
      <c r="B652" s="1366"/>
      <c r="C652" s="1366"/>
      <c r="D652" s="1375"/>
      <c r="E652" s="1332"/>
      <c r="F652" s="1332"/>
      <c r="G652" s="1378"/>
      <c r="H652" s="1378"/>
      <c r="I652" s="1332"/>
      <c r="J652" s="1332"/>
      <c r="K652" s="1332"/>
      <c r="L652" s="1332"/>
      <c r="M652" s="1332"/>
      <c r="N652" s="1332"/>
      <c r="O652" s="1332"/>
      <c r="P652" s="1332"/>
      <c r="Q652" s="1332"/>
      <c r="R652" s="1332"/>
      <c r="S652" s="1332"/>
      <c r="T652" s="1332"/>
      <c r="U652" s="1332"/>
      <c r="V652" s="1332"/>
      <c r="W652" s="1332"/>
      <c r="X652" s="1332"/>
      <c r="Y652" s="1332"/>
      <c r="Z652" s="1332"/>
      <c r="AA652" s="1332"/>
      <c r="AB652" s="1332"/>
    </row>
    <row r="653">
      <c r="A653" s="1332"/>
      <c r="B653" s="1366"/>
      <c r="C653" s="1366"/>
      <c r="D653" s="1375"/>
      <c r="E653" s="1332"/>
      <c r="F653" s="1332"/>
      <c r="G653" s="1378"/>
      <c r="H653" s="1378"/>
      <c r="I653" s="1332"/>
      <c r="J653" s="1332"/>
      <c r="K653" s="1332"/>
      <c r="L653" s="1332"/>
      <c r="M653" s="1332"/>
      <c r="N653" s="1332"/>
      <c r="O653" s="1332"/>
      <c r="P653" s="1332"/>
      <c r="Q653" s="1332"/>
      <c r="R653" s="1332"/>
      <c r="S653" s="1332"/>
      <c r="T653" s="1332"/>
      <c r="U653" s="1332"/>
      <c r="V653" s="1332"/>
      <c r="W653" s="1332"/>
      <c r="X653" s="1332"/>
      <c r="Y653" s="1332"/>
      <c r="Z653" s="1332"/>
      <c r="AA653" s="1332"/>
      <c r="AB653" s="1332"/>
    </row>
    <row r="654">
      <c r="A654" s="1332"/>
      <c r="B654" s="1366"/>
      <c r="C654" s="1366"/>
      <c r="D654" s="1375"/>
      <c r="E654" s="1332"/>
      <c r="F654" s="1332"/>
      <c r="G654" s="1378"/>
      <c r="H654" s="1378"/>
      <c r="I654" s="1332"/>
      <c r="J654" s="1332"/>
      <c r="K654" s="1332"/>
      <c r="L654" s="1332"/>
      <c r="M654" s="1332"/>
      <c r="N654" s="1332"/>
      <c r="O654" s="1332"/>
      <c r="P654" s="1332"/>
      <c r="Q654" s="1332"/>
      <c r="R654" s="1332"/>
      <c r="S654" s="1332"/>
      <c r="T654" s="1332"/>
      <c r="U654" s="1332"/>
      <c r="V654" s="1332"/>
      <c r="W654" s="1332"/>
      <c r="X654" s="1332"/>
      <c r="Y654" s="1332"/>
      <c r="Z654" s="1332"/>
      <c r="AA654" s="1332"/>
      <c r="AB654" s="1332"/>
    </row>
    <row r="655">
      <c r="A655" s="1332"/>
      <c r="B655" s="1366"/>
      <c r="C655" s="1366"/>
      <c r="D655" s="1375"/>
      <c r="E655" s="1332"/>
      <c r="F655" s="1332"/>
      <c r="G655" s="1378"/>
      <c r="H655" s="1378"/>
      <c r="I655" s="1332"/>
      <c r="J655" s="1332"/>
      <c r="K655" s="1332"/>
      <c r="L655" s="1332"/>
      <c r="M655" s="1332"/>
      <c r="N655" s="1332"/>
      <c r="O655" s="1332"/>
      <c r="P655" s="1332"/>
      <c r="Q655" s="1332"/>
      <c r="R655" s="1332"/>
      <c r="S655" s="1332"/>
      <c r="T655" s="1332"/>
      <c r="U655" s="1332"/>
      <c r="V655" s="1332"/>
      <c r="W655" s="1332"/>
      <c r="X655" s="1332"/>
      <c r="Y655" s="1332"/>
      <c r="Z655" s="1332"/>
      <c r="AA655" s="1332"/>
      <c r="AB655" s="1332"/>
    </row>
    <row r="656">
      <c r="A656" s="1332"/>
      <c r="B656" s="1366"/>
      <c r="C656" s="1366"/>
      <c r="D656" s="1375"/>
      <c r="E656" s="1332"/>
      <c r="F656" s="1332"/>
      <c r="G656" s="1378"/>
      <c r="H656" s="1378"/>
      <c r="I656" s="1332"/>
      <c r="J656" s="1332"/>
      <c r="K656" s="1332"/>
      <c r="L656" s="1332"/>
      <c r="M656" s="1332"/>
      <c r="N656" s="1332"/>
      <c r="O656" s="1332"/>
      <c r="P656" s="1332"/>
      <c r="Q656" s="1332"/>
      <c r="R656" s="1332"/>
      <c r="S656" s="1332"/>
      <c r="T656" s="1332"/>
      <c r="U656" s="1332"/>
      <c r="V656" s="1332"/>
      <c r="W656" s="1332"/>
      <c r="X656" s="1332"/>
      <c r="Y656" s="1332"/>
      <c r="Z656" s="1332"/>
      <c r="AA656" s="1332"/>
      <c r="AB656" s="1332"/>
    </row>
    <row r="657">
      <c r="A657" s="1332"/>
      <c r="B657" s="1366"/>
      <c r="C657" s="1366"/>
      <c r="D657" s="1375"/>
      <c r="E657" s="1332"/>
      <c r="F657" s="1332"/>
      <c r="G657" s="1378"/>
      <c r="H657" s="1378"/>
      <c r="I657" s="1332"/>
      <c r="J657" s="1332"/>
      <c r="K657" s="1332"/>
      <c r="L657" s="1332"/>
      <c r="M657" s="1332"/>
      <c r="N657" s="1332"/>
      <c r="O657" s="1332"/>
      <c r="P657" s="1332"/>
      <c r="Q657" s="1332"/>
      <c r="R657" s="1332"/>
      <c r="S657" s="1332"/>
      <c r="T657" s="1332"/>
      <c r="U657" s="1332"/>
      <c r="V657" s="1332"/>
      <c r="W657" s="1332"/>
      <c r="X657" s="1332"/>
      <c r="Y657" s="1332"/>
      <c r="Z657" s="1332"/>
      <c r="AA657" s="1332"/>
      <c r="AB657" s="1332"/>
    </row>
    <row r="658">
      <c r="A658" s="1332"/>
      <c r="B658" s="1366"/>
      <c r="C658" s="1366"/>
      <c r="D658" s="1375"/>
      <c r="E658" s="1332"/>
      <c r="F658" s="1332"/>
      <c r="G658" s="1378"/>
      <c r="H658" s="1378"/>
      <c r="I658" s="1332"/>
      <c r="J658" s="1332"/>
      <c r="K658" s="1332"/>
      <c r="L658" s="1332"/>
      <c r="M658" s="1332"/>
      <c r="N658" s="1332"/>
      <c r="O658" s="1332"/>
      <c r="P658" s="1332"/>
      <c r="Q658" s="1332"/>
      <c r="R658" s="1332"/>
      <c r="S658" s="1332"/>
      <c r="T658" s="1332"/>
      <c r="U658" s="1332"/>
      <c r="V658" s="1332"/>
      <c r="W658" s="1332"/>
      <c r="X658" s="1332"/>
      <c r="Y658" s="1332"/>
      <c r="Z658" s="1332"/>
      <c r="AA658" s="1332"/>
      <c r="AB658" s="1332"/>
    </row>
    <row r="659">
      <c r="A659" s="1332"/>
      <c r="B659" s="1366"/>
      <c r="C659" s="1366"/>
      <c r="D659" s="1375"/>
      <c r="E659" s="1332"/>
      <c r="F659" s="1332"/>
      <c r="G659" s="1378"/>
      <c r="H659" s="1378"/>
      <c r="I659" s="1332"/>
      <c r="J659" s="1332"/>
      <c r="K659" s="1332"/>
      <c r="L659" s="1332"/>
      <c r="M659" s="1332"/>
      <c r="N659" s="1332"/>
      <c r="O659" s="1332"/>
      <c r="P659" s="1332"/>
      <c r="Q659" s="1332"/>
      <c r="R659" s="1332"/>
      <c r="S659" s="1332"/>
      <c r="T659" s="1332"/>
      <c r="U659" s="1332"/>
      <c r="V659" s="1332"/>
      <c r="W659" s="1332"/>
      <c r="X659" s="1332"/>
      <c r="Y659" s="1332"/>
      <c r="Z659" s="1332"/>
      <c r="AA659" s="1332"/>
      <c r="AB659" s="1332"/>
    </row>
    <row r="660">
      <c r="A660" s="1332"/>
      <c r="B660" s="1366"/>
      <c r="C660" s="1366"/>
      <c r="D660" s="1375"/>
      <c r="E660" s="1332"/>
      <c r="F660" s="1332"/>
      <c r="G660" s="1378"/>
      <c r="H660" s="1378"/>
      <c r="I660" s="1332"/>
      <c r="J660" s="1332"/>
      <c r="K660" s="1332"/>
      <c r="L660" s="1332"/>
      <c r="M660" s="1332"/>
      <c r="N660" s="1332"/>
      <c r="O660" s="1332"/>
      <c r="P660" s="1332"/>
      <c r="Q660" s="1332"/>
      <c r="R660" s="1332"/>
      <c r="S660" s="1332"/>
      <c r="T660" s="1332"/>
      <c r="U660" s="1332"/>
      <c r="V660" s="1332"/>
      <c r="W660" s="1332"/>
      <c r="X660" s="1332"/>
      <c r="Y660" s="1332"/>
      <c r="Z660" s="1332"/>
      <c r="AA660" s="1332"/>
      <c r="AB660" s="1332"/>
    </row>
    <row r="661">
      <c r="A661" s="1332"/>
      <c r="B661" s="1366"/>
      <c r="C661" s="1366"/>
      <c r="D661" s="1375"/>
      <c r="E661" s="1332"/>
      <c r="F661" s="1332"/>
      <c r="G661" s="1378"/>
      <c r="H661" s="1378"/>
      <c r="I661" s="1332"/>
      <c r="J661" s="1332"/>
      <c r="K661" s="1332"/>
      <c r="L661" s="1332"/>
      <c r="M661" s="1332"/>
      <c r="N661" s="1332"/>
      <c r="O661" s="1332"/>
      <c r="P661" s="1332"/>
      <c r="Q661" s="1332"/>
      <c r="R661" s="1332"/>
      <c r="S661" s="1332"/>
      <c r="T661" s="1332"/>
      <c r="U661" s="1332"/>
      <c r="V661" s="1332"/>
      <c r="W661" s="1332"/>
      <c r="X661" s="1332"/>
      <c r="Y661" s="1332"/>
      <c r="Z661" s="1332"/>
      <c r="AA661" s="1332"/>
      <c r="AB661" s="1332"/>
    </row>
    <row r="662">
      <c r="A662" s="1332"/>
      <c r="B662" s="1366"/>
      <c r="C662" s="1366"/>
      <c r="D662" s="1375"/>
      <c r="E662" s="1332"/>
      <c r="F662" s="1332"/>
      <c r="G662" s="1378"/>
      <c r="H662" s="1378"/>
      <c r="I662" s="1332"/>
      <c r="J662" s="1332"/>
      <c r="K662" s="1332"/>
      <c r="L662" s="1332"/>
      <c r="M662" s="1332"/>
      <c r="N662" s="1332"/>
      <c r="O662" s="1332"/>
      <c r="P662" s="1332"/>
      <c r="Q662" s="1332"/>
      <c r="R662" s="1332"/>
      <c r="S662" s="1332"/>
      <c r="T662" s="1332"/>
      <c r="U662" s="1332"/>
      <c r="V662" s="1332"/>
      <c r="W662" s="1332"/>
      <c r="X662" s="1332"/>
      <c r="Y662" s="1332"/>
      <c r="Z662" s="1332"/>
      <c r="AA662" s="1332"/>
      <c r="AB662" s="1332"/>
    </row>
    <row r="663">
      <c r="A663" s="1332"/>
      <c r="B663" s="1366"/>
      <c r="C663" s="1366"/>
      <c r="D663" s="1375"/>
      <c r="E663" s="1332"/>
      <c r="F663" s="1332"/>
      <c r="G663" s="1378"/>
      <c r="H663" s="1378"/>
      <c r="I663" s="1332"/>
      <c r="J663" s="1332"/>
      <c r="K663" s="1332"/>
      <c r="L663" s="1332"/>
      <c r="M663" s="1332"/>
      <c r="N663" s="1332"/>
      <c r="O663" s="1332"/>
      <c r="P663" s="1332"/>
      <c r="Q663" s="1332"/>
      <c r="R663" s="1332"/>
      <c r="S663" s="1332"/>
      <c r="T663" s="1332"/>
      <c r="U663" s="1332"/>
      <c r="V663" s="1332"/>
      <c r="W663" s="1332"/>
      <c r="X663" s="1332"/>
      <c r="Y663" s="1332"/>
      <c r="Z663" s="1332"/>
      <c r="AA663" s="1332"/>
      <c r="AB663" s="1332"/>
    </row>
    <row r="664">
      <c r="A664" s="1332"/>
      <c r="B664" s="1366"/>
      <c r="C664" s="1366"/>
      <c r="D664" s="1375"/>
      <c r="E664" s="1332"/>
      <c r="F664" s="1332"/>
      <c r="G664" s="1378"/>
      <c r="H664" s="1378"/>
      <c r="I664" s="1332"/>
      <c r="J664" s="1332"/>
      <c r="K664" s="1332"/>
      <c r="L664" s="1332"/>
      <c r="M664" s="1332"/>
      <c r="N664" s="1332"/>
      <c r="O664" s="1332"/>
      <c r="P664" s="1332"/>
      <c r="Q664" s="1332"/>
      <c r="R664" s="1332"/>
      <c r="S664" s="1332"/>
      <c r="T664" s="1332"/>
      <c r="U664" s="1332"/>
      <c r="V664" s="1332"/>
      <c r="W664" s="1332"/>
      <c r="X664" s="1332"/>
      <c r="Y664" s="1332"/>
      <c r="Z664" s="1332"/>
      <c r="AA664" s="1332"/>
      <c r="AB664" s="1332"/>
    </row>
    <row r="665">
      <c r="A665" s="1332"/>
      <c r="B665" s="1366"/>
      <c r="C665" s="1366"/>
      <c r="D665" s="1375"/>
      <c r="E665" s="1332"/>
      <c r="F665" s="1332"/>
      <c r="G665" s="1378"/>
      <c r="H665" s="1378"/>
      <c r="I665" s="1332"/>
      <c r="J665" s="1332"/>
      <c r="K665" s="1332"/>
      <c r="L665" s="1332"/>
      <c r="M665" s="1332"/>
      <c r="N665" s="1332"/>
      <c r="O665" s="1332"/>
      <c r="P665" s="1332"/>
      <c r="Q665" s="1332"/>
      <c r="R665" s="1332"/>
      <c r="S665" s="1332"/>
      <c r="T665" s="1332"/>
      <c r="U665" s="1332"/>
      <c r="V665" s="1332"/>
      <c r="W665" s="1332"/>
      <c r="X665" s="1332"/>
      <c r="Y665" s="1332"/>
      <c r="Z665" s="1332"/>
      <c r="AA665" s="1332"/>
      <c r="AB665" s="1332"/>
    </row>
    <row r="666">
      <c r="A666" s="1332"/>
      <c r="B666" s="1366"/>
      <c r="C666" s="1366"/>
      <c r="D666" s="1375"/>
      <c r="E666" s="1332"/>
      <c r="F666" s="1332"/>
      <c r="G666" s="1378"/>
      <c r="H666" s="1378"/>
      <c r="I666" s="1332"/>
      <c r="J666" s="1332"/>
      <c r="K666" s="1332"/>
      <c r="L666" s="1332"/>
      <c r="M666" s="1332"/>
      <c r="N666" s="1332"/>
      <c r="O666" s="1332"/>
      <c r="P666" s="1332"/>
      <c r="Q666" s="1332"/>
      <c r="R666" s="1332"/>
      <c r="S666" s="1332"/>
      <c r="T666" s="1332"/>
      <c r="U666" s="1332"/>
      <c r="V666" s="1332"/>
      <c r="W666" s="1332"/>
      <c r="X666" s="1332"/>
      <c r="Y666" s="1332"/>
      <c r="Z666" s="1332"/>
      <c r="AA666" s="1332"/>
      <c r="AB666" s="1332"/>
    </row>
    <row r="667">
      <c r="A667" s="1332"/>
      <c r="B667" s="1366"/>
      <c r="C667" s="1366"/>
      <c r="D667" s="1375"/>
      <c r="E667" s="1332"/>
      <c r="F667" s="1332"/>
      <c r="G667" s="1378"/>
      <c r="H667" s="1378"/>
      <c r="I667" s="1332"/>
      <c r="J667" s="1332"/>
      <c r="K667" s="1332"/>
      <c r="L667" s="1332"/>
      <c r="M667" s="1332"/>
      <c r="N667" s="1332"/>
      <c r="O667" s="1332"/>
      <c r="P667" s="1332"/>
      <c r="Q667" s="1332"/>
      <c r="R667" s="1332"/>
      <c r="S667" s="1332"/>
      <c r="T667" s="1332"/>
      <c r="U667" s="1332"/>
      <c r="V667" s="1332"/>
      <c r="W667" s="1332"/>
      <c r="X667" s="1332"/>
      <c r="Y667" s="1332"/>
      <c r="Z667" s="1332"/>
      <c r="AA667" s="1332"/>
      <c r="AB667" s="1332"/>
    </row>
    <row r="668">
      <c r="A668" s="1332"/>
      <c r="B668" s="1366"/>
      <c r="C668" s="1366"/>
      <c r="D668" s="1375"/>
      <c r="E668" s="1332"/>
      <c r="F668" s="1332"/>
      <c r="G668" s="1378"/>
      <c r="H668" s="1378"/>
      <c r="I668" s="1332"/>
      <c r="J668" s="1332"/>
      <c r="K668" s="1332"/>
      <c r="L668" s="1332"/>
      <c r="M668" s="1332"/>
      <c r="N668" s="1332"/>
      <c r="O668" s="1332"/>
      <c r="P668" s="1332"/>
      <c r="Q668" s="1332"/>
      <c r="R668" s="1332"/>
      <c r="S668" s="1332"/>
      <c r="T668" s="1332"/>
      <c r="U668" s="1332"/>
      <c r="V668" s="1332"/>
      <c r="W668" s="1332"/>
      <c r="X668" s="1332"/>
      <c r="Y668" s="1332"/>
      <c r="Z668" s="1332"/>
      <c r="AA668" s="1332"/>
      <c r="AB668" s="1332"/>
    </row>
    <row r="669">
      <c r="A669" s="1332"/>
      <c r="B669" s="1366"/>
      <c r="C669" s="1366"/>
      <c r="D669" s="1375"/>
      <c r="E669" s="1332"/>
      <c r="F669" s="1332"/>
      <c r="G669" s="1378"/>
      <c r="H669" s="1378"/>
      <c r="I669" s="1332"/>
      <c r="J669" s="1332"/>
      <c r="K669" s="1332"/>
      <c r="L669" s="1332"/>
      <c r="M669" s="1332"/>
      <c r="N669" s="1332"/>
      <c r="O669" s="1332"/>
      <c r="P669" s="1332"/>
      <c r="Q669" s="1332"/>
      <c r="R669" s="1332"/>
      <c r="S669" s="1332"/>
      <c r="T669" s="1332"/>
      <c r="U669" s="1332"/>
      <c r="V669" s="1332"/>
      <c r="W669" s="1332"/>
      <c r="X669" s="1332"/>
      <c r="Y669" s="1332"/>
      <c r="Z669" s="1332"/>
      <c r="AA669" s="1332"/>
      <c r="AB669" s="1332"/>
    </row>
    <row r="670">
      <c r="A670" s="1332"/>
      <c r="B670" s="1366"/>
      <c r="C670" s="1366"/>
      <c r="D670" s="1375"/>
      <c r="E670" s="1332"/>
      <c r="F670" s="1332"/>
      <c r="G670" s="1378"/>
      <c r="H670" s="1378"/>
      <c r="I670" s="1332"/>
      <c r="J670" s="1332"/>
      <c r="K670" s="1332"/>
      <c r="L670" s="1332"/>
      <c r="M670" s="1332"/>
      <c r="N670" s="1332"/>
      <c r="O670" s="1332"/>
      <c r="P670" s="1332"/>
      <c r="Q670" s="1332"/>
      <c r="R670" s="1332"/>
      <c r="S670" s="1332"/>
      <c r="T670" s="1332"/>
      <c r="U670" s="1332"/>
      <c r="V670" s="1332"/>
      <c r="W670" s="1332"/>
      <c r="X670" s="1332"/>
      <c r="Y670" s="1332"/>
      <c r="Z670" s="1332"/>
      <c r="AA670" s="1332"/>
      <c r="AB670" s="1332"/>
    </row>
    <row r="671">
      <c r="A671" s="1332"/>
      <c r="B671" s="1366"/>
      <c r="C671" s="1366"/>
      <c r="D671" s="1375"/>
      <c r="E671" s="1332"/>
      <c r="F671" s="1332"/>
      <c r="G671" s="1378"/>
      <c r="H671" s="1378"/>
      <c r="I671" s="1332"/>
      <c r="J671" s="1332"/>
      <c r="K671" s="1332"/>
      <c r="L671" s="1332"/>
      <c r="M671" s="1332"/>
      <c r="N671" s="1332"/>
      <c r="O671" s="1332"/>
      <c r="P671" s="1332"/>
      <c r="Q671" s="1332"/>
      <c r="R671" s="1332"/>
      <c r="S671" s="1332"/>
      <c r="T671" s="1332"/>
      <c r="U671" s="1332"/>
      <c r="V671" s="1332"/>
      <c r="W671" s="1332"/>
      <c r="X671" s="1332"/>
      <c r="Y671" s="1332"/>
      <c r="Z671" s="1332"/>
      <c r="AA671" s="1332"/>
      <c r="AB671" s="1332"/>
    </row>
    <row r="672">
      <c r="A672" s="1332"/>
      <c r="B672" s="1366"/>
      <c r="C672" s="1366"/>
      <c r="D672" s="1375"/>
      <c r="E672" s="1332"/>
      <c r="F672" s="1332"/>
      <c r="G672" s="1378"/>
      <c r="H672" s="1378"/>
      <c r="I672" s="1332"/>
      <c r="J672" s="1332"/>
      <c r="K672" s="1332"/>
      <c r="L672" s="1332"/>
      <c r="M672" s="1332"/>
      <c r="N672" s="1332"/>
      <c r="O672" s="1332"/>
      <c r="P672" s="1332"/>
      <c r="Q672" s="1332"/>
      <c r="R672" s="1332"/>
      <c r="S672" s="1332"/>
      <c r="T672" s="1332"/>
      <c r="U672" s="1332"/>
      <c r="V672" s="1332"/>
      <c r="W672" s="1332"/>
      <c r="X672" s="1332"/>
      <c r="Y672" s="1332"/>
      <c r="Z672" s="1332"/>
      <c r="AA672" s="1332"/>
      <c r="AB672" s="1332"/>
    </row>
    <row r="673">
      <c r="A673" s="1332"/>
      <c r="B673" s="1366"/>
      <c r="C673" s="1366"/>
      <c r="D673" s="1375"/>
      <c r="E673" s="1332"/>
      <c r="F673" s="1332"/>
      <c r="G673" s="1378"/>
      <c r="H673" s="1378"/>
      <c r="I673" s="1332"/>
      <c r="J673" s="1332"/>
      <c r="K673" s="1332"/>
      <c r="L673" s="1332"/>
      <c r="M673" s="1332"/>
      <c r="N673" s="1332"/>
      <c r="O673" s="1332"/>
      <c r="P673" s="1332"/>
      <c r="Q673" s="1332"/>
      <c r="R673" s="1332"/>
      <c r="S673" s="1332"/>
      <c r="T673" s="1332"/>
      <c r="U673" s="1332"/>
      <c r="V673" s="1332"/>
      <c r="W673" s="1332"/>
      <c r="X673" s="1332"/>
      <c r="Y673" s="1332"/>
      <c r="Z673" s="1332"/>
      <c r="AA673" s="1332"/>
      <c r="AB673" s="1332"/>
    </row>
    <row r="674">
      <c r="A674" s="1332"/>
      <c r="B674" s="1366"/>
      <c r="C674" s="1366"/>
      <c r="D674" s="1375"/>
      <c r="E674" s="1332"/>
      <c r="F674" s="1332"/>
      <c r="G674" s="1378"/>
      <c r="H674" s="1378"/>
      <c r="I674" s="1332"/>
      <c r="J674" s="1332"/>
      <c r="K674" s="1332"/>
      <c r="L674" s="1332"/>
      <c r="M674" s="1332"/>
      <c r="N674" s="1332"/>
      <c r="O674" s="1332"/>
      <c r="P674" s="1332"/>
      <c r="Q674" s="1332"/>
      <c r="R674" s="1332"/>
      <c r="S674" s="1332"/>
      <c r="T674" s="1332"/>
      <c r="U674" s="1332"/>
      <c r="V674" s="1332"/>
      <c r="W674" s="1332"/>
      <c r="X674" s="1332"/>
      <c r="Y674" s="1332"/>
      <c r="Z674" s="1332"/>
      <c r="AA674" s="1332"/>
      <c r="AB674" s="1332"/>
    </row>
    <row r="675">
      <c r="A675" s="1332"/>
      <c r="B675" s="1366"/>
      <c r="C675" s="1366"/>
      <c r="D675" s="1375"/>
      <c r="E675" s="1332"/>
      <c r="F675" s="1332"/>
      <c r="G675" s="1378"/>
      <c r="H675" s="1378"/>
      <c r="I675" s="1332"/>
      <c r="J675" s="1332"/>
      <c r="K675" s="1332"/>
      <c r="L675" s="1332"/>
      <c r="M675" s="1332"/>
      <c r="N675" s="1332"/>
      <c r="O675" s="1332"/>
      <c r="P675" s="1332"/>
      <c r="Q675" s="1332"/>
      <c r="R675" s="1332"/>
      <c r="S675" s="1332"/>
      <c r="T675" s="1332"/>
      <c r="U675" s="1332"/>
      <c r="V675" s="1332"/>
      <c r="W675" s="1332"/>
      <c r="X675" s="1332"/>
      <c r="Y675" s="1332"/>
      <c r="Z675" s="1332"/>
      <c r="AA675" s="1332"/>
      <c r="AB675" s="1332"/>
    </row>
    <row r="676">
      <c r="A676" s="1332"/>
      <c r="B676" s="1366"/>
      <c r="C676" s="1366"/>
      <c r="D676" s="1375"/>
      <c r="E676" s="1332"/>
      <c r="F676" s="1332"/>
      <c r="G676" s="1378"/>
      <c r="H676" s="1378"/>
      <c r="I676" s="1332"/>
      <c r="J676" s="1332"/>
      <c r="K676" s="1332"/>
      <c r="L676" s="1332"/>
      <c r="M676" s="1332"/>
      <c r="N676" s="1332"/>
      <c r="O676" s="1332"/>
      <c r="P676" s="1332"/>
      <c r="Q676" s="1332"/>
      <c r="R676" s="1332"/>
      <c r="S676" s="1332"/>
      <c r="T676" s="1332"/>
      <c r="U676" s="1332"/>
      <c r="V676" s="1332"/>
      <c r="W676" s="1332"/>
      <c r="X676" s="1332"/>
      <c r="Y676" s="1332"/>
      <c r="Z676" s="1332"/>
      <c r="AA676" s="1332"/>
      <c r="AB676" s="1332"/>
    </row>
    <row r="677">
      <c r="A677" s="1332"/>
      <c r="B677" s="1366"/>
      <c r="C677" s="1366"/>
      <c r="D677" s="1375"/>
      <c r="E677" s="1332"/>
      <c r="F677" s="1332"/>
      <c r="G677" s="1378"/>
      <c r="H677" s="1378"/>
      <c r="I677" s="1332"/>
      <c r="J677" s="1332"/>
      <c r="K677" s="1332"/>
      <c r="L677" s="1332"/>
      <c r="M677" s="1332"/>
      <c r="N677" s="1332"/>
      <c r="O677" s="1332"/>
      <c r="P677" s="1332"/>
      <c r="Q677" s="1332"/>
      <c r="R677" s="1332"/>
      <c r="S677" s="1332"/>
      <c r="T677" s="1332"/>
      <c r="U677" s="1332"/>
      <c r="V677" s="1332"/>
      <c r="W677" s="1332"/>
      <c r="X677" s="1332"/>
      <c r="Y677" s="1332"/>
      <c r="Z677" s="1332"/>
      <c r="AA677" s="1332"/>
      <c r="AB677" s="1332"/>
    </row>
    <row r="678">
      <c r="A678" s="1332"/>
      <c r="B678" s="1366"/>
      <c r="C678" s="1366"/>
      <c r="D678" s="1375"/>
      <c r="E678" s="1332"/>
      <c r="F678" s="1332"/>
      <c r="G678" s="1378"/>
      <c r="H678" s="1378"/>
      <c r="I678" s="1332"/>
      <c r="J678" s="1332"/>
      <c r="K678" s="1332"/>
      <c r="L678" s="1332"/>
      <c r="M678" s="1332"/>
      <c r="N678" s="1332"/>
      <c r="O678" s="1332"/>
      <c r="P678" s="1332"/>
      <c r="Q678" s="1332"/>
      <c r="R678" s="1332"/>
      <c r="S678" s="1332"/>
      <c r="T678" s="1332"/>
      <c r="U678" s="1332"/>
      <c r="V678" s="1332"/>
      <c r="W678" s="1332"/>
      <c r="X678" s="1332"/>
      <c r="Y678" s="1332"/>
      <c r="Z678" s="1332"/>
      <c r="AA678" s="1332"/>
      <c r="AB678" s="1332"/>
    </row>
    <row r="679">
      <c r="A679" s="1332"/>
      <c r="B679" s="1366"/>
      <c r="C679" s="1366"/>
      <c r="D679" s="1375"/>
      <c r="E679" s="1332"/>
      <c r="F679" s="1332"/>
      <c r="G679" s="1378"/>
      <c r="H679" s="1378"/>
      <c r="I679" s="1332"/>
      <c r="J679" s="1332"/>
      <c r="K679" s="1332"/>
      <c r="L679" s="1332"/>
      <c r="M679" s="1332"/>
      <c r="N679" s="1332"/>
      <c r="O679" s="1332"/>
      <c r="P679" s="1332"/>
      <c r="Q679" s="1332"/>
      <c r="R679" s="1332"/>
      <c r="S679" s="1332"/>
      <c r="T679" s="1332"/>
      <c r="U679" s="1332"/>
      <c r="V679" s="1332"/>
      <c r="W679" s="1332"/>
      <c r="X679" s="1332"/>
      <c r="Y679" s="1332"/>
      <c r="Z679" s="1332"/>
      <c r="AA679" s="1332"/>
      <c r="AB679" s="1332"/>
    </row>
    <row r="680">
      <c r="A680" s="1332"/>
      <c r="B680" s="1366"/>
      <c r="C680" s="1366"/>
      <c r="D680" s="1375"/>
      <c r="E680" s="1332"/>
      <c r="F680" s="1332"/>
      <c r="G680" s="1378"/>
      <c r="H680" s="1378"/>
      <c r="I680" s="1332"/>
      <c r="J680" s="1332"/>
      <c r="K680" s="1332"/>
      <c r="L680" s="1332"/>
      <c r="M680" s="1332"/>
      <c r="N680" s="1332"/>
      <c r="O680" s="1332"/>
      <c r="P680" s="1332"/>
      <c r="Q680" s="1332"/>
      <c r="R680" s="1332"/>
      <c r="S680" s="1332"/>
      <c r="T680" s="1332"/>
      <c r="U680" s="1332"/>
      <c r="V680" s="1332"/>
      <c r="W680" s="1332"/>
      <c r="X680" s="1332"/>
      <c r="Y680" s="1332"/>
      <c r="Z680" s="1332"/>
      <c r="AA680" s="1332"/>
      <c r="AB680" s="1332"/>
    </row>
    <row r="681">
      <c r="A681" s="1332"/>
      <c r="B681" s="1366"/>
      <c r="C681" s="1366"/>
      <c r="D681" s="1375"/>
      <c r="E681" s="1332"/>
      <c r="F681" s="1332"/>
      <c r="G681" s="1378"/>
      <c r="H681" s="1378"/>
      <c r="I681" s="1332"/>
      <c r="J681" s="1332"/>
      <c r="K681" s="1332"/>
      <c r="L681" s="1332"/>
      <c r="M681" s="1332"/>
      <c r="N681" s="1332"/>
      <c r="O681" s="1332"/>
      <c r="P681" s="1332"/>
      <c r="Q681" s="1332"/>
      <c r="R681" s="1332"/>
      <c r="S681" s="1332"/>
      <c r="T681" s="1332"/>
      <c r="U681" s="1332"/>
      <c r="V681" s="1332"/>
      <c r="W681" s="1332"/>
      <c r="X681" s="1332"/>
      <c r="Y681" s="1332"/>
      <c r="Z681" s="1332"/>
      <c r="AA681" s="1332"/>
      <c r="AB681" s="1332"/>
    </row>
    <row r="682">
      <c r="A682" s="1332"/>
      <c r="B682" s="1366"/>
      <c r="C682" s="1366"/>
      <c r="D682" s="1375"/>
      <c r="E682" s="1332"/>
      <c r="F682" s="1332"/>
      <c r="G682" s="1378"/>
      <c r="H682" s="1378"/>
      <c r="I682" s="1332"/>
      <c r="J682" s="1332"/>
      <c r="K682" s="1332"/>
      <c r="L682" s="1332"/>
      <c r="M682" s="1332"/>
      <c r="N682" s="1332"/>
      <c r="O682" s="1332"/>
      <c r="P682" s="1332"/>
      <c r="Q682" s="1332"/>
      <c r="R682" s="1332"/>
      <c r="S682" s="1332"/>
      <c r="T682" s="1332"/>
      <c r="U682" s="1332"/>
      <c r="V682" s="1332"/>
      <c r="W682" s="1332"/>
      <c r="X682" s="1332"/>
      <c r="Y682" s="1332"/>
      <c r="Z682" s="1332"/>
      <c r="AA682" s="1332"/>
      <c r="AB682" s="1332"/>
    </row>
    <row r="683">
      <c r="A683" s="1332"/>
      <c r="B683" s="1366"/>
      <c r="C683" s="1366"/>
      <c r="D683" s="1375"/>
      <c r="E683" s="1332"/>
      <c r="F683" s="1332"/>
      <c r="G683" s="1378"/>
      <c r="H683" s="1378"/>
      <c r="I683" s="1332"/>
      <c r="J683" s="1332"/>
      <c r="K683" s="1332"/>
      <c r="L683" s="1332"/>
      <c r="M683" s="1332"/>
      <c r="N683" s="1332"/>
      <c r="O683" s="1332"/>
      <c r="P683" s="1332"/>
      <c r="Q683" s="1332"/>
      <c r="R683" s="1332"/>
      <c r="S683" s="1332"/>
      <c r="T683" s="1332"/>
      <c r="U683" s="1332"/>
      <c r="V683" s="1332"/>
      <c r="W683" s="1332"/>
      <c r="X683" s="1332"/>
      <c r="Y683" s="1332"/>
      <c r="Z683" s="1332"/>
      <c r="AA683" s="1332"/>
      <c r="AB683" s="1332"/>
    </row>
    <row r="684">
      <c r="A684" s="1332"/>
      <c r="B684" s="1366"/>
      <c r="C684" s="1366"/>
      <c r="D684" s="1375"/>
      <c r="E684" s="1332"/>
      <c r="F684" s="1332"/>
      <c r="G684" s="1378"/>
      <c r="H684" s="1378"/>
      <c r="I684" s="1332"/>
      <c r="J684" s="1332"/>
      <c r="K684" s="1332"/>
      <c r="L684" s="1332"/>
      <c r="M684" s="1332"/>
      <c r="N684" s="1332"/>
      <c r="O684" s="1332"/>
      <c r="P684" s="1332"/>
      <c r="Q684" s="1332"/>
      <c r="R684" s="1332"/>
      <c r="S684" s="1332"/>
      <c r="T684" s="1332"/>
      <c r="U684" s="1332"/>
      <c r="V684" s="1332"/>
      <c r="W684" s="1332"/>
      <c r="X684" s="1332"/>
      <c r="Y684" s="1332"/>
      <c r="Z684" s="1332"/>
      <c r="AA684" s="1332"/>
      <c r="AB684" s="1332"/>
    </row>
    <row r="685">
      <c r="A685" s="1332"/>
      <c r="B685" s="1366"/>
      <c r="C685" s="1366"/>
      <c r="D685" s="1375"/>
      <c r="E685" s="1332"/>
      <c r="F685" s="1332"/>
      <c r="G685" s="1378"/>
      <c r="H685" s="1378"/>
      <c r="I685" s="1332"/>
      <c r="J685" s="1332"/>
      <c r="K685" s="1332"/>
      <c r="L685" s="1332"/>
      <c r="M685" s="1332"/>
      <c r="N685" s="1332"/>
      <c r="O685" s="1332"/>
      <c r="P685" s="1332"/>
      <c r="Q685" s="1332"/>
      <c r="R685" s="1332"/>
      <c r="S685" s="1332"/>
      <c r="T685" s="1332"/>
      <c r="U685" s="1332"/>
      <c r="V685" s="1332"/>
      <c r="W685" s="1332"/>
      <c r="X685" s="1332"/>
      <c r="Y685" s="1332"/>
      <c r="Z685" s="1332"/>
      <c r="AA685" s="1332"/>
      <c r="AB685" s="1332"/>
    </row>
    <row r="686">
      <c r="A686" s="1332"/>
      <c r="B686" s="1366"/>
      <c r="C686" s="1366"/>
      <c r="D686" s="1375"/>
      <c r="E686" s="1332"/>
      <c r="F686" s="1332"/>
      <c r="G686" s="1378"/>
      <c r="H686" s="1378"/>
      <c r="I686" s="1332"/>
      <c r="J686" s="1332"/>
      <c r="K686" s="1332"/>
      <c r="L686" s="1332"/>
      <c r="M686" s="1332"/>
      <c r="N686" s="1332"/>
      <c r="O686" s="1332"/>
      <c r="P686" s="1332"/>
      <c r="Q686" s="1332"/>
      <c r="R686" s="1332"/>
      <c r="S686" s="1332"/>
      <c r="T686" s="1332"/>
      <c r="U686" s="1332"/>
      <c r="V686" s="1332"/>
      <c r="W686" s="1332"/>
      <c r="X686" s="1332"/>
      <c r="Y686" s="1332"/>
      <c r="Z686" s="1332"/>
      <c r="AA686" s="1332"/>
      <c r="AB686" s="1332"/>
    </row>
    <row r="687">
      <c r="A687" s="1332"/>
      <c r="B687" s="1366"/>
      <c r="C687" s="1366"/>
      <c r="D687" s="1375"/>
      <c r="E687" s="1332"/>
      <c r="F687" s="1332"/>
      <c r="G687" s="1378"/>
      <c r="H687" s="1378"/>
      <c r="I687" s="1332"/>
      <c r="J687" s="1332"/>
      <c r="K687" s="1332"/>
      <c r="L687" s="1332"/>
      <c r="M687" s="1332"/>
      <c r="N687" s="1332"/>
      <c r="O687" s="1332"/>
      <c r="P687" s="1332"/>
      <c r="Q687" s="1332"/>
      <c r="R687" s="1332"/>
      <c r="S687" s="1332"/>
      <c r="T687" s="1332"/>
      <c r="U687" s="1332"/>
      <c r="V687" s="1332"/>
      <c r="W687" s="1332"/>
      <c r="X687" s="1332"/>
      <c r="Y687" s="1332"/>
      <c r="Z687" s="1332"/>
      <c r="AA687" s="1332"/>
      <c r="AB687" s="1332"/>
    </row>
    <row r="688">
      <c r="A688" s="1332"/>
      <c r="B688" s="1366"/>
      <c r="C688" s="1366"/>
      <c r="D688" s="1375"/>
      <c r="E688" s="1332"/>
      <c r="F688" s="1332"/>
      <c r="G688" s="1378"/>
      <c r="H688" s="1378"/>
      <c r="I688" s="1332"/>
      <c r="J688" s="1332"/>
      <c r="K688" s="1332"/>
      <c r="L688" s="1332"/>
      <c r="M688" s="1332"/>
      <c r="N688" s="1332"/>
      <c r="O688" s="1332"/>
      <c r="P688" s="1332"/>
      <c r="Q688" s="1332"/>
      <c r="R688" s="1332"/>
      <c r="S688" s="1332"/>
      <c r="T688" s="1332"/>
      <c r="U688" s="1332"/>
      <c r="V688" s="1332"/>
      <c r="W688" s="1332"/>
      <c r="X688" s="1332"/>
      <c r="Y688" s="1332"/>
      <c r="Z688" s="1332"/>
      <c r="AA688" s="1332"/>
      <c r="AB688" s="1332"/>
    </row>
    <row r="689">
      <c r="A689" s="1332"/>
      <c r="B689" s="1366"/>
      <c r="C689" s="1366"/>
      <c r="D689" s="1375"/>
      <c r="E689" s="1332"/>
      <c r="F689" s="1332"/>
      <c r="G689" s="1378"/>
      <c r="H689" s="1378"/>
      <c r="I689" s="1332"/>
      <c r="J689" s="1332"/>
      <c r="K689" s="1332"/>
      <c r="L689" s="1332"/>
      <c r="M689" s="1332"/>
      <c r="N689" s="1332"/>
      <c r="O689" s="1332"/>
      <c r="P689" s="1332"/>
      <c r="Q689" s="1332"/>
      <c r="R689" s="1332"/>
      <c r="S689" s="1332"/>
      <c r="T689" s="1332"/>
      <c r="U689" s="1332"/>
      <c r="V689" s="1332"/>
      <c r="W689" s="1332"/>
      <c r="X689" s="1332"/>
      <c r="Y689" s="1332"/>
      <c r="Z689" s="1332"/>
      <c r="AA689" s="1332"/>
      <c r="AB689" s="1332"/>
    </row>
    <row r="690">
      <c r="A690" s="1332"/>
      <c r="B690" s="1366"/>
      <c r="C690" s="1366"/>
      <c r="D690" s="1375"/>
      <c r="E690" s="1332"/>
      <c r="F690" s="1332"/>
      <c r="G690" s="1378"/>
      <c r="H690" s="1378"/>
      <c r="I690" s="1332"/>
      <c r="J690" s="1332"/>
      <c r="K690" s="1332"/>
      <c r="L690" s="1332"/>
      <c r="M690" s="1332"/>
      <c r="N690" s="1332"/>
      <c r="O690" s="1332"/>
      <c r="P690" s="1332"/>
      <c r="Q690" s="1332"/>
      <c r="R690" s="1332"/>
      <c r="S690" s="1332"/>
      <c r="T690" s="1332"/>
      <c r="U690" s="1332"/>
      <c r="V690" s="1332"/>
      <c r="W690" s="1332"/>
      <c r="X690" s="1332"/>
      <c r="Y690" s="1332"/>
      <c r="Z690" s="1332"/>
      <c r="AA690" s="1332"/>
      <c r="AB690" s="1332"/>
    </row>
    <row r="691">
      <c r="A691" s="1332"/>
      <c r="B691" s="1366"/>
      <c r="C691" s="1366"/>
      <c r="D691" s="1375"/>
      <c r="E691" s="1332"/>
      <c r="F691" s="1332"/>
      <c r="G691" s="1378"/>
      <c r="H691" s="1378"/>
      <c r="I691" s="1332"/>
      <c r="J691" s="1332"/>
      <c r="K691" s="1332"/>
      <c r="L691" s="1332"/>
      <c r="M691" s="1332"/>
      <c r="N691" s="1332"/>
      <c r="O691" s="1332"/>
      <c r="P691" s="1332"/>
      <c r="Q691" s="1332"/>
      <c r="R691" s="1332"/>
      <c r="S691" s="1332"/>
      <c r="T691" s="1332"/>
      <c r="U691" s="1332"/>
      <c r="V691" s="1332"/>
      <c r="W691" s="1332"/>
      <c r="X691" s="1332"/>
      <c r="Y691" s="1332"/>
      <c r="Z691" s="1332"/>
      <c r="AA691" s="1332"/>
      <c r="AB691" s="1332"/>
    </row>
    <row r="692">
      <c r="A692" s="1332"/>
      <c r="B692" s="1366"/>
      <c r="C692" s="1366"/>
      <c r="D692" s="1375"/>
      <c r="E692" s="1332"/>
      <c r="F692" s="1332"/>
      <c r="G692" s="1378"/>
      <c r="H692" s="1378"/>
      <c r="I692" s="1332"/>
      <c r="J692" s="1332"/>
      <c r="K692" s="1332"/>
      <c r="L692" s="1332"/>
      <c r="M692" s="1332"/>
      <c r="N692" s="1332"/>
      <c r="O692" s="1332"/>
      <c r="P692" s="1332"/>
      <c r="Q692" s="1332"/>
      <c r="R692" s="1332"/>
      <c r="S692" s="1332"/>
      <c r="T692" s="1332"/>
      <c r="U692" s="1332"/>
      <c r="V692" s="1332"/>
      <c r="W692" s="1332"/>
      <c r="X692" s="1332"/>
      <c r="Y692" s="1332"/>
      <c r="Z692" s="1332"/>
      <c r="AA692" s="1332"/>
      <c r="AB692" s="1332"/>
    </row>
    <row r="693">
      <c r="A693" s="1332"/>
      <c r="B693" s="1366"/>
      <c r="C693" s="1366"/>
      <c r="D693" s="1375"/>
      <c r="E693" s="1332"/>
      <c r="F693" s="1332"/>
      <c r="G693" s="1378"/>
      <c r="H693" s="1378"/>
      <c r="I693" s="1332"/>
      <c r="J693" s="1332"/>
      <c r="K693" s="1332"/>
      <c r="L693" s="1332"/>
      <c r="M693" s="1332"/>
      <c r="N693" s="1332"/>
      <c r="O693" s="1332"/>
      <c r="P693" s="1332"/>
      <c r="Q693" s="1332"/>
      <c r="R693" s="1332"/>
      <c r="S693" s="1332"/>
      <c r="T693" s="1332"/>
      <c r="U693" s="1332"/>
      <c r="V693" s="1332"/>
      <c r="W693" s="1332"/>
      <c r="X693" s="1332"/>
      <c r="Y693" s="1332"/>
      <c r="Z693" s="1332"/>
      <c r="AA693" s="1332"/>
      <c r="AB693" s="1332"/>
    </row>
    <row r="694">
      <c r="A694" s="1332"/>
      <c r="B694" s="1366"/>
      <c r="C694" s="1366"/>
      <c r="D694" s="1375"/>
      <c r="E694" s="1332"/>
      <c r="F694" s="1332"/>
      <c r="G694" s="1378"/>
      <c r="H694" s="1378"/>
      <c r="I694" s="1332"/>
      <c r="J694" s="1332"/>
      <c r="K694" s="1332"/>
      <c r="L694" s="1332"/>
      <c r="M694" s="1332"/>
      <c r="N694" s="1332"/>
      <c r="O694" s="1332"/>
      <c r="P694" s="1332"/>
      <c r="Q694" s="1332"/>
      <c r="R694" s="1332"/>
      <c r="S694" s="1332"/>
      <c r="T694" s="1332"/>
      <c r="U694" s="1332"/>
      <c r="V694" s="1332"/>
      <c r="W694" s="1332"/>
      <c r="X694" s="1332"/>
      <c r="Y694" s="1332"/>
      <c r="Z694" s="1332"/>
      <c r="AA694" s="1332"/>
      <c r="AB694" s="1332"/>
    </row>
    <row r="695">
      <c r="A695" s="1332"/>
      <c r="B695" s="1366"/>
      <c r="C695" s="1366"/>
      <c r="D695" s="1375"/>
      <c r="E695" s="1332"/>
      <c r="F695" s="1332"/>
      <c r="G695" s="1378"/>
      <c r="H695" s="1378"/>
      <c r="I695" s="1332"/>
      <c r="J695" s="1332"/>
      <c r="K695" s="1332"/>
      <c r="L695" s="1332"/>
      <c r="M695" s="1332"/>
      <c r="N695" s="1332"/>
      <c r="O695" s="1332"/>
      <c r="P695" s="1332"/>
      <c r="Q695" s="1332"/>
      <c r="R695" s="1332"/>
      <c r="S695" s="1332"/>
      <c r="T695" s="1332"/>
      <c r="U695" s="1332"/>
      <c r="V695" s="1332"/>
      <c r="W695" s="1332"/>
      <c r="X695" s="1332"/>
      <c r="Y695" s="1332"/>
      <c r="Z695" s="1332"/>
      <c r="AA695" s="1332"/>
      <c r="AB695" s="1332"/>
    </row>
    <row r="696">
      <c r="A696" s="1332"/>
      <c r="B696" s="1366"/>
      <c r="C696" s="1366"/>
      <c r="D696" s="1375"/>
      <c r="E696" s="1332"/>
      <c r="F696" s="1332"/>
      <c r="G696" s="1378"/>
      <c r="H696" s="1378"/>
      <c r="I696" s="1332"/>
      <c r="J696" s="1332"/>
      <c r="K696" s="1332"/>
      <c r="L696" s="1332"/>
      <c r="M696" s="1332"/>
      <c r="N696" s="1332"/>
      <c r="O696" s="1332"/>
      <c r="P696" s="1332"/>
      <c r="Q696" s="1332"/>
      <c r="R696" s="1332"/>
      <c r="S696" s="1332"/>
      <c r="T696" s="1332"/>
      <c r="U696" s="1332"/>
      <c r="V696" s="1332"/>
      <c r="W696" s="1332"/>
      <c r="X696" s="1332"/>
      <c r="Y696" s="1332"/>
      <c r="Z696" s="1332"/>
      <c r="AA696" s="1332"/>
      <c r="AB696" s="1332"/>
    </row>
    <row r="697">
      <c r="A697" s="1332"/>
      <c r="B697" s="1366"/>
      <c r="C697" s="1366"/>
      <c r="D697" s="1375"/>
      <c r="E697" s="1332"/>
      <c r="F697" s="1332"/>
      <c r="G697" s="1378"/>
      <c r="H697" s="1378"/>
      <c r="I697" s="1332"/>
      <c r="J697" s="1332"/>
      <c r="K697" s="1332"/>
      <c r="L697" s="1332"/>
      <c r="M697" s="1332"/>
      <c r="N697" s="1332"/>
      <c r="O697" s="1332"/>
      <c r="P697" s="1332"/>
      <c r="Q697" s="1332"/>
      <c r="R697" s="1332"/>
      <c r="S697" s="1332"/>
      <c r="T697" s="1332"/>
      <c r="U697" s="1332"/>
      <c r="V697" s="1332"/>
      <c r="W697" s="1332"/>
      <c r="X697" s="1332"/>
      <c r="Y697" s="1332"/>
      <c r="Z697" s="1332"/>
      <c r="AA697" s="1332"/>
      <c r="AB697" s="1332"/>
    </row>
    <row r="698">
      <c r="A698" s="1332"/>
      <c r="B698" s="1366"/>
      <c r="C698" s="1366"/>
      <c r="D698" s="1375"/>
      <c r="E698" s="1332"/>
      <c r="F698" s="1332"/>
      <c r="G698" s="1378"/>
      <c r="H698" s="1378"/>
      <c r="I698" s="1332"/>
      <c r="J698" s="1332"/>
      <c r="K698" s="1332"/>
      <c r="L698" s="1332"/>
      <c r="M698" s="1332"/>
      <c r="N698" s="1332"/>
      <c r="O698" s="1332"/>
      <c r="P698" s="1332"/>
      <c r="Q698" s="1332"/>
      <c r="R698" s="1332"/>
      <c r="S698" s="1332"/>
      <c r="T698" s="1332"/>
      <c r="U698" s="1332"/>
      <c r="V698" s="1332"/>
      <c r="W698" s="1332"/>
      <c r="X698" s="1332"/>
      <c r="Y698" s="1332"/>
      <c r="Z698" s="1332"/>
      <c r="AA698" s="1332"/>
      <c r="AB698" s="1332"/>
    </row>
    <row r="699">
      <c r="A699" s="1332"/>
      <c r="B699" s="1366"/>
      <c r="C699" s="1366"/>
      <c r="D699" s="1375"/>
      <c r="E699" s="1332"/>
      <c r="F699" s="1332"/>
      <c r="G699" s="1378"/>
      <c r="H699" s="1378"/>
      <c r="I699" s="1332"/>
      <c r="J699" s="1332"/>
      <c r="K699" s="1332"/>
      <c r="L699" s="1332"/>
      <c r="M699" s="1332"/>
      <c r="N699" s="1332"/>
      <c r="O699" s="1332"/>
      <c r="P699" s="1332"/>
      <c r="Q699" s="1332"/>
      <c r="R699" s="1332"/>
      <c r="S699" s="1332"/>
      <c r="T699" s="1332"/>
      <c r="U699" s="1332"/>
      <c r="V699" s="1332"/>
      <c r="W699" s="1332"/>
      <c r="X699" s="1332"/>
      <c r="Y699" s="1332"/>
      <c r="Z699" s="1332"/>
      <c r="AA699" s="1332"/>
      <c r="AB699" s="1332"/>
    </row>
    <row r="700">
      <c r="A700" s="1332"/>
      <c r="B700" s="1366"/>
      <c r="C700" s="1366"/>
      <c r="D700" s="1375"/>
      <c r="E700" s="1332"/>
      <c r="F700" s="1332"/>
      <c r="G700" s="1378"/>
      <c r="H700" s="1378"/>
      <c r="I700" s="1332"/>
      <c r="J700" s="1332"/>
      <c r="K700" s="1332"/>
      <c r="L700" s="1332"/>
      <c r="M700" s="1332"/>
      <c r="N700" s="1332"/>
      <c r="O700" s="1332"/>
      <c r="P700" s="1332"/>
      <c r="Q700" s="1332"/>
      <c r="R700" s="1332"/>
      <c r="S700" s="1332"/>
      <c r="T700" s="1332"/>
      <c r="U700" s="1332"/>
      <c r="V700" s="1332"/>
      <c r="W700" s="1332"/>
      <c r="X700" s="1332"/>
      <c r="Y700" s="1332"/>
      <c r="Z700" s="1332"/>
      <c r="AA700" s="1332"/>
      <c r="AB700" s="1332"/>
    </row>
    <row r="701">
      <c r="A701" s="1332"/>
      <c r="B701" s="1366"/>
      <c r="C701" s="1366"/>
      <c r="D701" s="1375"/>
      <c r="E701" s="1332"/>
      <c r="F701" s="1332"/>
      <c r="G701" s="1378"/>
      <c r="H701" s="1378"/>
      <c r="I701" s="1332"/>
      <c r="J701" s="1332"/>
      <c r="K701" s="1332"/>
      <c r="L701" s="1332"/>
      <c r="M701" s="1332"/>
      <c r="N701" s="1332"/>
      <c r="O701" s="1332"/>
      <c r="P701" s="1332"/>
      <c r="Q701" s="1332"/>
      <c r="R701" s="1332"/>
      <c r="S701" s="1332"/>
      <c r="T701" s="1332"/>
      <c r="U701" s="1332"/>
      <c r="V701" s="1332"/>
      <c r="W701" s="1332"/>
      <c r="X701" s="1332"/>
      <c r="Y701" s="1332"/>
      <c r="Z701" s="1332"/>
      <c r="AA701" s="1332"/>
      <c r="AB701" s="1332"/>
    </row>
    <row r="702">
      <c r="A702" s="1332"/>
      <c r="B702" s="1366"/>
      <c r="C702" s="1366"/>
      <c r="D702" s="1375"/>
      <c r="E702" s="1332"/>
      <c r="F702" s="1332"/>
      <c r="G702" s="1378"/>
      <c r="H702" s="1378"/>
      <c r="I702" s="1332"/>
      <c r="J702" s="1332"/>
      <c r="K702" s="1332"/>
      <c r="L702" s="1332"/>
      <c r="M702" s="1332"/>
      <c r="N702" s="1332"/>
      <c r="O702" s="1332"/>
      <c r="P702" s="1332"/>
      <c r="Q702" s="1332"/>
      <c r="R702" s="1332"/>
      <c r="S702" s="1332"/>
      <c r="T702" s="1332"/>
      <c r="U702" s="1332"/>
      <c r="V702" s="1332"/>
      <c r="W702" s="1332"/>
      <c r="X702" s="1332"/>
      <c r="Y702" s="1332"/>
      <c r="Z702" s="1332"/>
      <c r="AA702" s="1332"/>
      <c r="AB702" s="1332"/>
    </row>
    <row r="703">
      <c r="A703" s="1332"/>
      <c r="B703" s="1366"/>
      <c r="C703" s="1366"/>
      <c r="D703" s="1375"/>
      <c r="E703" s="1332"/>
      <c r="F703" s="1332"/>
      <c r="G703" s="1378"/>
      <c r="H703" s="1378"/>
      <c r="I703" s="1332"/>
      <c r="J703" s="1332"/>
      <c r="K703" s="1332"/>
      <c r="L703" s="1332"/>
      <c r="M703" s="1332"/>
      <c r="N703" s="1332"/>
      <c r="O703" s="1332"/>
      <c r="P703" s="1332"/>
      <c r="Q703" s="1332"/>
      <c r="R703" s="1332"/>
      <c r="S703" s="1332"/>
      <c r="T703" s="1332"/>
      <c r="U703" s="1332"/>
      <c r="V703" s="1332"/>
      <c r="W703" s="1332"/>
      <c r="X703" s="1332"/>
      <c r="Y703" s="1332"/>
      <c r="Z703" s="1332"/>
      <c r="AA703" s="1332"/>
      <c r="AB703" s="1332"/>
    </row>
    <row r="704">
      <c r="A704" s="1332"/>
      <c r="B704" s="1366"/>
      <c r="C704" s="1366"/>
      <c r="D704" s="1375"/>
      <c r="E704" s="1332"/>
      <c r="F704" s="1332"/>
      <c r="G704" s="1378"/>
      <c r="H704" s="1378"/>
      <c r="I704" s="1332"/>
      <c r="J704" s="1332"/>
      <c r="K704" s="1332"/>
      <c r="L704" s="1332"/>
      <c r="M704" s="1332"/>
      <c r="N704" s="1332"/>
      <c r="O704" s="1332"/>
      <c r="P704" s="1332"/>
      <c r="Q704" s="1332"/>
      <c r="R704" s="1332"/>
      <c r="S704" s="1332"/>
      <c r="T704" s="1332"/>
      <c r="U704" s="1332"/>
      <c r="V704" s="1332"/>
      <c r="W704" s="1332"/>
      <c r="X704" s="1332"/>
      <c r="Y704" s="1332"/>
      <c r="Z704" s="1332"/>
      <c r="AA704" s="1332"/>
      <c r="AB704" s="1332"/>
    </row>
    <row r="705">
      <c r="A705" s="1332"/>
      <c r="B705" s="1366"/>
      <c r="C705" s="1366"/>
      <c r="D705" s="1375"/>
      <c r="E705" s="1332"/>
      <c r="F705" s="1332"/>
      <c r="G705" s="1378"/>
      <c r="H705" s="1378"/>
      <c r="I705" s="1332"/>
      <c r="J705" s="1332"/>
      <c r="K705" s="1332"/>
      <c r="L705" s="1332"/>
      <c r="M705" s="1332"/>
      <c r="N705" s="1332"/>
      <c r="O705" s="1332"/>
      <c r="P705" s="1332"/>
      <c r="Q705" s="1332"/>
      <c r="R705" s="1332"/>
      <c r="S705" s="1332"/>
      <c r="T705" s="1332"/>
      <c r="U705" s="1332"/>
      <c r="V705" s="1332"/>
      <c r="W705" s="1332"/>
      <c r="X705" s="1332"/>
      <c r="Y705" s="1332"/>
      <c r="Z705" s="1332"/>
      <c r="AA705" s="1332"/>
      <c r="AB705" s="1332"/>
    </row>
    <row r="706">
      <c r="A706" s="1332"/>
      <c r="B706" s="1366"/>
      <c r="C706" s="1366"/>
      <c r="D706" s="1375"/>
      <c r="E706" s="1332"/>
      <c r="F706" s="1332"/>
      <c r="G706" s="1378"/>
      <c r="H706" s="1378"/>
      <c r="I706" s="1332"/>
      <c r="J706" s="1332"/>
      <c r="K706" s="1332"/>
      <c r="L706" s="1332"/>
      <c r="M706" s="1332"/>
      <c r="N706" s="1332"/>
      <c r="O706" s="1332"/>
      <c r="P706" s="1332"/>
      <c r="Q706" s="1332"/>
      <c r="R706" s="1332"/>
      <c r="S706" s="1332"/>
      <c r="T706" s="1332"/>
      <c r="U706" s="1332"/>
      <c r="V706" s="1332"/>
      <c r="W706" s="1332"/>
      <c r="X706" s="1332"/>
      <c r="Y706" s="1332"/>
      <c r="Z706" s="1332"/>
      <c r="AA706" s="1332"/>
      <c r="AB706" s="1332"/>
    </row>
    <row r="707">
      <c r="A707" s="1332"/>
      <c r="B707" s="1366"/>
      <c r="C707" s="1366"/>
      <c r="D707" s="1375"/>
      <c r="E707" s="1332"/>
      <c r="F707" s="1332"/>
      <c r="G707" s="1378"/>
      <c r="H707" s="1378"/>
      <c r="I707" s="1332"/>
      <c r="J707" s="1332"/>
      <c r="K707" s="1332"/>
      <c r="L707" s="1332"/>
      <c r="M707" s="1332"/>
      <c r="N707" s="1332"/>
      <c r="O707" s="1332"/>
      <c r="P707" s="1332"/>
      <c r="Q707" s="1332"/>
      <c r="R707" s="1332"/>
      <c r="S707" s="1332"/>
      <c r="T707" s="1332"/>
      <c r="U707" s="1332"/>
      <c r="V707" s="1332"/>
      <c r="W707" s="1332"/>
      <c r="X707" s="1332"/>
      <c r="Y707" s="1332"/>
      <c r="Z707" s="1332"/>
      <c r="AA707" s="1332"/>
      <c r="AB707" s="1332"/>
    </row>
    <row r="708">
      <c r="A708" s="1332"/>
      <c r="B708" s="1366"/>
      <c r="C708" s="1366"/>
      <c r="D708" s="1375"/>
      <c r="E708" s="1332"/>
      <c r="F708" s="1332"/>
      <c r="G708" s="1378"/>
      <c r="H708" s="1378"/>
      <c r="I708" s="1332"/>
      <c r="J708" s="1332"/>
      <c r="K708" s="1332"/>
      <c r="L708" s="1332"/>
      <c r="M708" s="1332"/>
      <c r="N708" s="1332"/>
      <c r="O708" s="1332"/>
      <c r="P708" s="1332"/>
      <c r="Q708" s="1332"/>
      <c r="R708" s="1332"/>
      <c r="S708" s="1332"/>
      <c r="T708" s="1332"/>
      <c r="U708" s="1332"/>
      <c r="V708" s="1332"/>
      <c r="W708" s="1332"/>
      <c r="X708" s="1332"/>
      <c r="Y708" s="1332"/>
      <c r="Z708" s="1332"/>
      <c r="AA708" s="1332"/>
      <c r="AB708" s="1332"/>
    </row>
    <row r="709">
      <c r="A709" s="1332"/>
      <c r="B709" s="1366"/>
      <c r="C709" s="1366"/>
      <c r="D709" s="1375"/>
      <c r="E709" s="1332"/>
      <c r="F709" s="1332"/>
      <c r="G709" s="1378"/>
      <c r="H709" s="1378"/>
      <c r="I709" s="1332"/>
      <c r="J709" s="1332"/>
      <c r="K709" s="1332"/>
      <c r="L709" s="1332"/>
      <c r="M709" s="1332"/>
      <c r="N709" s="1332"/>
      <c r="O709" s="1332"/>
      <c r="P709" s="1332"/>
      <c r="Q709" s="1332"/>
      <c r="R709" s="1332"/>
      <c r="S709" s="1332"/>
      <c r="T709" s="1332"/>
      <c r="U709" s="1332"/>
      <c r="V709" s="1332"/>
      <c r="W709" s="1332"/>
      <c r="X709" s="1332"/>
      <c r="Y709" s="1332"/>
      <c r="Z709" s="1332"/>
      <c r="AA709" s="1332"/>
      <c r="AB709" s="1332"/>
    </row>
    <row r="710">
      <c r="A710" s="1332"/>
      <c r="B710" s="1366"/>
      <c r="C710" s="1366"/>
      <c r="D710" s="1375"/>
      <c r="E710" s="1332"/>
      <c r="F710" s="1332"/>
      <c r="G710" s="1378"/>
      <c r="H710" s="1378"/>
      <c r="I710" s="1332"/>
      <c r="J710" s="1332"/>
      <c r="K710" s="1332"/>
      <c r="L710" s="1332"/>
      <c r="M710" s="1332"/>
      <c r="N710" s="1332"/>
      <c r="O710" s="1332"/>
      <c r="P710" s="1332"/>
      <c r="Q710" s="1332"/>
      <c r="R710" s="1332"/>
      <c r="S710" s="1332"/>
      <c r="T710" s="1332"/>
      <c r="U710" s="1332"/>
      <c r="V710" s="1332"/>
      <c r="W710" s="1332"/>
      <c r="X710" s="1332"/>
      <c r="Y710" s="1332"/>
      <c r="Z710" s="1332"/>
      <c r="AA710" s="1332"/>
      <c r="AB710" s="1332"/>
    </row>
    <row r="711">
      <c r="A711" s="1332"/>
      <c r="B711" s="1366"/>
      <c r="C711" s="1366"/>
      <c r="D711" s="1375"/>
      <c r="E711" s="1332"/>
      <c r="F711" s="1332"/>
      <c r="G711" s="1378"/>
      <c r="H711" s="1378"/>
      <c r="I711" s="1332"/>
      <c r="J711" s="1332"/>
      <c r="K711" s="1332"/>
      <c r="L711" s="1332"/>
      <c r="M711" s="1332"/>
      <c r="N711" s="1332"/>
      <c r="O711" s="1332"/>
      <c r="P711" s="1332"/>
      <c r="Q711" s="1332"/>
      <c r="R711" s="1332"/>
      <c r="S711" s="1332"/>
      <c r="T711" s="1332"/>
      <c r="U711" s="1332"/>
      <c r="V711" s="1332"/>
      <c r="W711" s="1332"/>
      <c r="X711" s="1332"/>
      <c r="Y711" s="1332"/>
      <c r="Z711" s="1332"/>
      <c r="AA711" s="1332"/>
      <c r="AB711" s="1332"/>
    </row>
    <row r="712">
      <c r="A712" s="1332"/>
      <c r="B712" s="1366"/>
      <c r="C712" s="1366"/>
      <c r="D712" s="1375"/>
      <c r="E712" s="1332"/>
      <c r="F712" s="1332"/>
      <c r="G712" s="1378"/>
      <c r="H712" s="1378"/>
      <c r="I712" s="1332"/>
      <c r="J712" s="1332"/>
      <c r="K712" s="1332"/>
      <c r="L712" s="1332"/>
      <c r="M712" s="1332"/>
      <c r="N712" s="1332"/>
      <c r="O712" s="1332"/>
      <c r="P712" s="1332"/>
      <c r="Q712" s="1332"/>
      <c r="R712" s="1332"/>
      <c r="S712" s="1332"/>
      <c r="T712" s="1332"/>
      <c r="U712" s="1332"/>
      <c r="V712" s="1332"/>
      <c r="W712" s="1332"/>
      <c r="X712" s="1332"/>
      <c r="Y712" s="1332"/>
      <c r="Z712" s="1332"/>
      <c r="AA712" s="1332"/>
      <c r="AB712" s="1332"/>
    </row>
    <row r="713">
      <c r="A713" s="1332"/>
      <c r="B713" s="1366"/>
      <c r="C713" s="1366"/>
      <c r="D713" s="1375"/>
      <c r="E713" s="1332"/>
      <c r="F713" s="1332"/>
      <c r="G713" s="1378"/>
      <c r="H713" s="1378"/>
      <c r="I713" s="1332"/>
      <c r="J713" s="1332"/>
      <c r="K713" s="1332"/>
      <c r="L713" s="1332"/>
      <c r="M713" s="1332"/>
      <c r="N713" s="1332"/>
      <c r="O713" s="1332"/>
      <c r="P713" s="1332"/>
      <c r="Q713" s="1332"/>
      <c r="R713" s="1332"/>
      <c r="S713" s="1332"/>
      <c r="T713" s="1332"/>
      <c r="U713" s="1332"/>
      <c r="V713" s="1332"/>
      <c r="W713" s="1332"/>
      <c r="X713" s="1332"/>
      <c r="Y713" s="1332"/>
      <c r="Z713" s="1332"/>
      <c r="AA713" s="1332"/>
      <c r="AB713" s="1332"/>
    </row>
    <row r="714">
      <c r="A714" s="1332"/>
      <c r="B714" s="1366"/>
      <c r="C714" s="1366"/>
      <c r="D714" s="1375"/>
      <c r="E714" s="1332"/>
      <c r="F714" s="1332"/>
      <c r="G714" s="1378"/>
      <c r="H714" s="1378"/>
      <c r="I714" s="1332"/>
      <c r="J714" s="1332"/>
      <c r="K714" s="1332"/>
      <c r="L714" s="1332"/>
      <c r="M714" s="1332"/>
      <c r="N714" s="1332"/>
      <c r="O714" s="1332"/>
      <c r="P714" s="1332"/>
      <c r="Q714" s="1332"/>
      <c r="R714" s="1332"/>
      <c r="S714" s="1332"/>
      <c r="T714" s="1332"/>
      <c r="U714" s="1332"/>
      <c r="V714" s="1332"/>
      <c r="W714" s="1332"/>
      <c r="X714" s="1332"/>
      <c r="Y714" s="1332"/>
      <c r="Z714" s="1332"/>
      <c r="AA714" s="1332"/>
      <c r="AB714" s="1332"/>
    </row>
    <row r="715">
      <c r="A715" s="1332"/>
      <c r="B715" s="1366"/>
      <c r="C715" s="1366"/>
      <c r="D715" s="1375"/>
      <c r="E715" s="1332"/>
      <c r="F715" s="1332"/>
      <c r="G715" s="1378"/>
      <c r="H715" s="1378"/>
      <c r="I715" s="1332"/>
      <c r="J715" s="1332"/>
      <c r="K715" s="1332"/>
      <c r="L715" s="1332"/>
      <c r="M715" s="1332"/>
      <c r="N715" s="1332"/>
      <c r="O715" s="1332"/>
      <c r="P715" s="1332"/>
      <c r="Q715" s="1332"/>
      <c r="R715" s="1332"/>
      <c r="S715" s="1332"/>
      <c r="T715" s="1332"/>
      <c r="U715" s="1332"/>
      <c r="V715" s="1332"/>
      <c r="W715" s="1332"/>
      <c r="X715" s="1332"/>
      <c r="Y715" s="1332"/>
      <c r="Z715" s="1332"/>
      <c r="AA715" s="1332"/>
      <c r="AB715" s="1332"/>
    </row>
    <row r="716">
      <c r="A716" s="1332"/>
      <c r="B716" s="1366"/>
      <c r="C716" s="1366"/>
      <c r="D716" s="1375"/>
      <c r="E716" s="1332"/>
      <c r="F716" s="1332"/>
      <c r="G716" s="1378"/>
      <c r="H716" s="1378"/>
      <c r="I716" s="1332"/>
      <c r="J716" s="1332"/>
      <c r="K716" s="1332"/>
      <c r="L716" s="1332"/>
      <c r="M716" s="1332"/>
      <c r="N716" s="1332"/>
      <c r="O716" s="1332"/>
      <c r="P716" s="1332"/>
      <c r="Q716" s="1332"/>
      <c r="R716" s="1332"/>
      <c r="S716" s="1332"/>
      <c r="T716" s="1332"/>
      <c r="U716" s="1332"/>
      <c r="V716" s="1332"/>
      <c r="W716" s="1332"/>
      <c r="X716" s="1332"/>
      <c r="Y716" s="1332"/>
      <c r="Z716" s="1332"/>
      <c r="AA716" s="1332"/>
      <c r="AB716" s="1332"/>
    </row>
    <row r="717">
      <c r="A717" s="1332"/>
      <c r="B717" s="1366"/>
      <c r="C717" s="1366"/>
      <c r="D717" s="1375"/>
      <c r="E717" s="1332"/>
      <c r="F717" s="1332"/>
      <c r="G717" s="1378"/>
      <c r="H717" s="1378"/>
      <c r="I717" s="1332"/>
      <c r="J717" s="1332"/>
      <c r="K717" s="1332"/>
      <c r="L717" s="1332"/>
      <c r="M717" s="1332"/>
      <c r="N717" s="1332"/>
      <c r="O717" s="1332"/>
      <c r="P717" s="1332"/>
      <c r="Q717" s="1332"/>
      <c r="R717" s="1332"/>
      <c r="S717" s="1332"/>
      <c r="T717" s="1332"/>
      <c r="U717" s="1332"/>
      <c r="V717" s="1332"/>
      <c r="W717" s="1332"/>
      <c r="X717" s="1332"/>
      <c r="Y717" s="1332"/>
      <c r="Z717" s="1332"/>
      <c r="AA717" s="1332"/>
      <c r="AB717" s="1332"/>
    </row>
    <row r="718">
      <c r="A718" s="1332"/>
      <c r="B718" s="1366"/>
      <c r="C718" s="1366"/>
      <c r="D718" s="1375"/>
      <c r="E718" s="1332"/>
      <c r="F718" s="1332"/>
      <c r="G718" s="1378"/>
      <c r="H718" s="1378"/>
      <c r="I718" s="1332"/>
      <c r="J718" s="1332"/>
      <c r="K718" s="1332"/>
      <c r="L718" s="1332"/>
      <c r="M718" s="1332"/>
      <c r="N718" s="1332"/>
      <c r="O718" s="1332"/>
      <c r="P718" s="1332"/>
      <c r="Q718" s="1332"/>
      <c r="R718" s="1332"/>
      <c r="S718" s="1332"/>
      <c r="T718" s="1332"/>
      <c r="U718" s="1332"/>
      <c r="V718" s="1332"/>
      <c r="W718" s="1332"/>
      <c r="X718" s="1332"/>
      <c r="Y718" s="1332"/>
      <c r="Z718" s="1332"/>
      <c r="AA718" s="1332"/>
      <c r="AB718" s="1332"/>
    </row>
    <row r="719">
      <c r="A719" s="1332"/>
      <c r="B719" s="1366"/>
      <c r="C719" s="1366"/>
      <c r="D719" s="1375"/>
      <c r="E719" s="1332"/>
      <c r="F719" s="1332"/>
      <c r="G719" s="1378"/>
      <c r="H719" s="1378"/>
      <c r="I719" s="1332"/>
      <c r="J719" s="1332"/>
      <c r="K719" s="1332"/>
      <c r="L719" s="1332"/>
      <c r="M719" s="1332"/>
      <c r="N719" s="1332"/>
      <c r="O719" s="1332"/>
      <c r="P719" s="1332"/>
      <c r="Q719" s="1332"/>
      <c r="R719" s="1332"/>
      <c r="S719" s="1332"/>
      <c r="T719" s="1332"/>
      <c r="U719" s="1332"/>
      <c r="V719" s="1332"/>
      <c r="W719" s="1332"/>
      <c r="X719" s="1332"/>
      <c r="Y719" s="1332"/>
      <c r="Z719" s="1332"/>
      <c r="AA719" s="1332"/>
      <c r="AB719" s="1332"/>
    </row>
    <row r="720">
      <c r="A720" s="1332"/>
      <c r="B720" s="1366"/>
      <c r="C720" s="1366"/>
      <c r="D720" s="1375"/>
      <c r="E720" s="1332"/>
      <c r="F720" s="1332"/>
      <c r="G720" s="1378"/>
      <c r="H720" s="1378"/>
      <c r="I720" s="1332"/>
      <c r="J720" s="1332"/>
      <c r="K720" s="1332"/>
      <c r="L720" s="1332"/>
      <c r="M720" s="1332"/>
      <c r="N720" s="1332"/>
      <c r="O720" s="1332"/>
      <c r="P720" s="1332"/>
      <c r="Q720" s="1332"/>
      <c r="R720" s="1332"/>
      <c r="S720" s="1332"/>
      <c r="T720" s="1332"/>
      <c r="U720" s="1332"/>
      <c r="V720" s="1332"/>
      <c r="W720" s="1332"/>
      <c r="X720" s="1332"/>
      <c r="Y720" s="1332"/>
      <c r="Z720" s="1332"/>
      <c r="AA720" s="1332"/>
      <c r="AB720" s="1332"/>
    </row>
    <row r="721">
      <c r="A721" s="1332"/>
      <c r="B721" s="1366"/>
      <c r="C721" s="1366"/>
      <c r="D721" s="1375"/>
      <c r="E721" s="1332"/>
      <c r="F721" s="1332"/>
      <c r="G721" s="1378"/>
      <c r="H721" s="1378"/>
      <c r="I721" s="1332"/>
      <c r="J721" s="1332"/>
      <c r="K721" s="1332"/>
      <c r="L721" s="1332"/>
      <c r="M721" s="1332"/>
      <c r="N721" s="1332"/>
      <c r="O721" s="1332"/>
      <c r="P721" s="1332"/>
      <c r="Q721" s="1332"/>
      <c r="R721" s="1332"/>
      <c r="S721" s="1332"/>
      <c r="T721" s="1332"/>
      <c r="U721" s="1332"/>
      <c r="V721" s="1332"/>
      <c r="W721" s="1332"/>
      <c r="X721" s="1332"/>
      <c r="Y721" s="1332"/>
      <c r="Z721" s="1332"/>
      <c r="AA721" s="1332"/>
      <c r="AB721" s="1332"/>
    </row>
    <row r="722">
      <c r="A722" s="1332"/>
      <c r="B722" s="1366"/>
      <c r="C722" s="1366"/>
      <c r="D722" s="1375"/>
      <c r="E722" s="1332"/>
      <c r="F722" s="1332"/>
      <c r="G722" s="1378"/>
      <c r="H722" s="1378"/>
      <c r="I722" s="1332"/>
      <c r="J722" s="1332"/>
      <c r="K722" s="1332"/>
      <c r="L722" s="1332"/>
      <c r="M722" s="1332"/>
      <c r="N722" s="1332"/>
      <c r="O722" s="1332"/>
      <c r="P722" s="1332"/>
      <c r="Q722" s="1332"/>
      <c r="R722" s="1332"/>
      <c r="S722" s="1332"/>
      <c r="T722" s="1332"/>
      <c r="U722" s="1332"/>
      <c r="V722" s="1332"/>
      <c r="W722" s="1332"/>
      <c r="X722" s="1332"/>
      <c r="Y722" s="1332"/>
      <c r="Z722" s="1332"/>
      <c r="AA722" s="1332"/>
      <c r="AB722" s="1332"/>
    </row>
    <row r="723">
      <c r="A723" s="1332"/>
      <c r="B723" s="1366"/>
      <c r="C723" s="1366"/>
      <c r="D723" s="1375"/>
      <c r="E723" s="1332"/>
      <c r="F723" s="1332"/>
      <c r="G723" s="1378"/>
      <c r="H723" s="1378"/>
      <c r="I723" s="1332"/>
      <c r="J723" s="1332"/>
      <c r="K723" s="1332"/>
      <c r="L723" s="1332"/>
      <c r="M723" s="1332"/>
      <c r="N723" s="1332"/>
      <c r="O723" s="1332"/>
      <c r="P723" s="1332"/>
      <c r="Q723" s="1332"/>
      <c r="R723" s="1332"/>
      <c r="S723" s="1332"/>
      <c r="T723" s="1332"/>
      <c r="U723" s="1332"/>
      <c r="V723" s="1332"/>
      <c r="W723" s="1332"/>
      <c r="X723" s="1332"/>
      <c r="Y723" s="1332"/>
      <c r="Z723" s="1332"/>
      <c r="AA723" s="1332"/>
      <c r="AB723" s="1332"/>
    </row>
    <row r="724">
      <c r="A724" s="1332"/>
      <c r="B724" s="1366"/>
      <c r="C724" s="1366"/>
      <c r="D724" s="1375"/>
      <c r="E724" s="1332"/>
      <c r="F724" s="1332"/>
      <c r="G724" s="1378"/>
      <c r="H724" s="1378"/>
      <c r="I724" s="1332"/>
      <c r="J724" s="1332"/>
      <c r="K724" s="1332"/>
      <c r="L724" s="1332"/>
      <c r="M724" s="1332"/>
      <c r="N724" s="1332"/>
      <c r="O724" s="1332"/>
      <c r="P724" s="1332"/>
      <c r="Q724" s="1332"/>
      <c r="R724" s="1332"/>
      <c r="S724" s="1332"/>
      <c r="T724" s="1332"/>
      <c r="U724" s="1332"/>
      <c r="V724" s="1332"/>
      <c r="W724" s="1332"/>
      <c r="X724" s="1332"/>
      <c r="Y724" s="1332"/>
      <c r="Z724" s="1332"/>
      <c r="AA724" s="1332"/>
      <c r="AB724" s="1332"/>
    </row>
    <row r="725">
      <c r="A725" s="1332"/>
      <c r="B725" s="1366"/>
      <c r="C725" s="1366"/>
      <c r="D725" s="1375"/>
      <c r="E725" s="1332"/>
      <c r="F725" s="1332"/>
      <c r="G725" s="1378"/>
      <c r="H725" s="1378"/>
      <c r="I725" s="1332"/>
      <c r="J725" s="1332"/>
      <c r="K725" s="1332"/>
      <c r="L725" s="1332"/>
      <c r="M725" s="1332"/>
      <c r="N725" s="1332"/>
      <c r="O725" s="1332"/>
      <c r="P725" s="1332"/>
      <c r="Q725" s="1332"/>
      <c r="R725" s="1332"/>
      <c r="S725" s="1332"/>
      <c r="T725" s="1332"/>
      <c r="U725" s="1332"/>
      <c r="V725" s="1332"/>
      <c r="W725" s="1332"/>
      <c r="X725" s="1332"/>
      <c r="Y725" s="1332"/>
      <c r="Z725" s="1332"/>
      <c r="AA725" s="1332"/>
      <c r="AB725" s="1332"/>
    </row>
    <row r="726">
      <c r="A726" s="1332"/>
      <c r="B726" s="1366"/>
      <c r="C726" s="1366"/>
      <c r="D726" s="1375"/>
      <c r="E726" s="1332"/>
      <c r="F726" s="1332"/>
      <c r="G726" s="1378"/>
      <c r="H726" s="1378"/>
      <c r="I726" s="1332"/>
      <c r="J726" s="1332"/>
      <c r="K726" s="1332"/>
      <c r="L726" s="1332"/>
      <c r="M726" s="1332"/>
      <c r="N726" s="1332"/>
      <c r="O726" s="1332"/>
      <c r="P726" s="1332"/>
      <c r="Q726" s="1332"/>
      <c r="R726" s="1332"/>
      <c r="S726" s="1332"/>
      <c r="T726" s="1332"/>
      <c r="U726" s="1332"/>
      <c r="V726" s="1332"/>
      <c r="W726" s="1332"/>
      <c r="X726" s="1332"/>
      <c r="Y726" s="1332"/>
      <c r="Z726" s="1332"/>
      <c r="AA726" s="1332"/>
      <c r="AB726" s="1332"/>
    </row>
    <row r="727">
      <c r="A727" s="1332"/>
      <c r="B727" s="1366"/>
      <c r="C727" s="1366"/>
      <c r="D727" s="1375"/>
      <c r="E727" s="1332"/>
      <c r="F727" s="1332"/>
      <c r="G727" s="1378"/>
      <c r="H727" s="1378"/>
      <c r="I727" s="1332"/>
      <c r="J727" s="1332"/>
      <c r="K727" s="1332"/>
      <c r="L727" s="1332"/>
      <c r="M727" s="1332"/>
      <c r="N727" s="1332"/>
      <c r="O727" s="1332"/>
      <c r="P727" s="1332"/>
      <c r="Q727" s="1332"/>
      <c r="R727" s="1332"/>
      <c r="S727" s="1332"/>
      <c r="T727" s="1332"/>
      <c r="U727" s="1332"/>
      <c r="V727" s="1332"/>
      <c r="W727" s="1332"/>
      <c r="X727" s="1332"/>
      <c r="Y727" s="1332"/>
      <c r="Z727" s="1332"/>
      <c r="AA727" s="1332"/>
      <c r="AB727" s="1332"/>
    </row>
    <row r="728">
      <c r="A728" s="1332"/>
      <c r="B728" s="1366"/>
      <c r="C728" s="1366"/>
      <c r="D728" s="1375"/>
      <c r="E728" s="1332"/>
      <c r="F728" s="1332"/>
      <c r="G728" s="1378"/>
      <c r="H728" s="1378"/>
      <c r="I728" s="1332"/>
      <c r="J728" s="1332"/>
      <c r="K728" s="1332"/>
      <c r="L728" s="1332"/>
      <c r="M728" s="1332"/>
      <c r="N728" s="1332"/>
      <c r="O728" s="1332"/>
      <c r="P728" s="1332"/>
      <c r="Q728" s="1332"/>
      <c r="R728" s="1332"/>
      <c r="S728" s="1332"/>
      <c r="T728" s="1332"/>
      <c r="U728" s="1332"/>
      <c r="V728" s="1332"/>
      <c r="W728" s="1332"/>
      <c r="X728" s="1332"/>
      <c r="Y728" s="1332"/>
      <c r="Z728" s="1332"/>
      <c r="AA728" s="1332"/>
      <c r="AB728" s="1332"/>
    </row>
    <row r="729">
      <c r="A729" s="1332"/>
      <c r="B729" s="1366"/>
      <c r="C729" s="1366"/>
      <c r="D729" s="1375"/>
      <c r="E729" s="1332"/>
      <c r="F729" s="1332"/>
      <c r="G729" s="1378"/>
      <c r="H729" s="1378"/>
      <c r="I729" s="1332"/>
      <c r="J729" s="1332"/>
      <c r="K729" s="1332"/>
      <c r="L729" s="1332"/>
      <c r="M729" s="1332"/>
      <c r="N729" s="1332"/>
      <c r="O729" s="1332"/>
      <c r="P729" s="1332"/>
      <c r="Q729" s="1332"/>
      <c r="R729" s="1332"/>
      <c r="S729" s="1332"/>
      <c r="T729" s="1332"/>
      <c r="U729" s="1332"/>
      <c r="V729" s="1332"/>
      <c r="W729" s="1332"/>
      <c r="X729" s="1332"/>
      <c r="Y729" s="1332"/>
      <c r="Z729" s="1332"/>
      <c r="AA729" s="1332"/>
      <c r="AB729" s="1332"/>
    </row>
    <row r="730">
      <c r="A730" s="1332"/>
      <c r="B730" s="1366"/>
      <c r="C730" s="1366"/>
      <c r="D730" s="1375"/>
      <c r="E730" s="1332"/>
      <c r="F730" s="1332"/>
      <c r="G730" s="1378"/>
      <c r="H730" s="1378"/>
      <c r="I730" s="1332"/>
      <c r="J730" s="1332"/>
      <c r="K730" s="1332"/>
      <c r="L730" s="1332"/>
      <c r="M730" s="1332"/>
      <c r="N730" s="1332"/>
      <c r="O730" s="1332"/>
      <c r="P730" s="1332"/>
      <c r="Q730" s="1332"/>
      <c r="R730" s="1332"/>
      <c r="S730" s="1332"/>
      <c r="T730" s="1332"/>
      <c r="U730" s="1332"/>
      <c r="V730" s="1332"/>
      <c r="W730" s="1332"/>
      <c r="X730" s="1332"/>
      <c r="Y730" s="1332"/>
      <c r="Z730" s="1332"/>
      <c r="AA730" s="1332"/>
      <c r="AB730" s="1332"/>
    </row>
    <row r="731">
      <c r="A731" s="1332"/>
      <c r="B731" s="1366"/>
      <c r="C731" s="1366"/>
      <c r="D731" s="1375"/>
      <c r="E731" s="1332"/>
      <c r="F731" s="1332"/>
      <c r="G731" s="1378"/>
      <c r="H731" s="1378"/>
      <c r="I731" s="1332"/>
      <c r="J731" s="1332"/>
      <c r="K731" s="1332"/>
      <c r="L731" s="1332"/>
      <c r="M731" s="1332"/>
      <c r="N731" s="1332"/>
      <c r="O731" s="1332"/>
      <c r="P731" s="1332"/>
      <c r="Q731" s="1332"/>
      <c r="R731" s="1332"/>
      <c r="S731" s="1332"/>
      <c r="T731" s="1332"/>
      <c r="U731" s="1332"/>
      <c r="V731" s="1332"/>
      <c r="W731" s="1332"/>
      <c r="X731" s="1332"/>
      <c r="Y731" s="1332"/>
      <c r="Z731" s="1332"/>
      <c r="AA731" s="1332"/>
      <c r="AB731" s="1332"/>
    </row>
    <row r="732">
      <c r="A732" s="1332"/>
      <c r="B732" s="1366"/>
      <c r="C732" s="1366"/>
      <c r="D732" s="1375"/>
      <c r="E732" s="1332"/>
      <c r="F732" s="1332"/>
      <c r="G732" s="1378"/>
      <c r="H732" s="1378"/>
      <c r="I732" s="1332"/>
      <c r="J732" s="1332"/>
      <c r="K732" s="1332"/>
      <c r="L732" s="1332"/>
      <c r="M732" s="1332"/>
      <c r="N732" s="1332"/>
      <c r="O732" s="1332"/>
      <c r="P732" s="1332"/>
      <c r="Q732" s="1332"/>
      <c r="R732" s="1332"/>
      <c r="S732" s="1332"/>
      <c r="T732" s="1332"/>
      <c r="U732" s="1332"/>
      <c r="V732" s="1332"/>
      <c r="W732" s="1332"/>
      <c r="X732" s="1332"/>
      <c r="Y732" s="1332"/>
      <c r="Z732" s="1332"/>
      <c r="AA732" s="1332"/>
      <c r="AB732" s="1332"/>
    </row>
    <row r="733">
      <c r="A733" s="1332"/>
      <c r="B733" s="1366"/>
      <c r="C733" s="1366"/>
      <c r="D733" s="1375"/>
      <c r="E733" s="1332"/>
      <c r="F733" s="1332"/>
      <c r="G733" s="1378"/>
      <c r="H733" s="1378"/>
      <c r="I733" s="1332"/>
      <c r="J733" s="1332"/>
      <c r="K733" s="1332"/>
      <c r="L733" s="1332"/>
      <c r="M733" s="1332"/>
      <c r="N733" s="1332"/>
      <c r="O733" s="1332"/>
      <c r="P733" s="1332"/>
      <c r="Q733" s="1332"/>
      <c r="R733" s="1332"/>
      <c r="S733" s="1332"/>
      <c r="T733" s="1332"/>
      <c r="U733" s="1332"/>
      <c r="V733" s="1332"/>
      <c r="W733" s="1332"/>
      <c r="X733" s="1332"/>
      <c r="Y733" s="1332"/>
      <c r="Z733" s="1332"/>
      <c r="AA733" s="1332"/>
      <c r="AB733" s="1332"/>
    </row>
    <row r="734">
      <c r="A734" s="1332"/>
      <c r="B734" s="1366"/>
      <c r="C734" s="1366"/>
      <c r="D734" s="1375"/>
      <c r="E734" s="1332"/>
      <c r="F734" s="1332"/>
      <c r="G734" s="1378"/>
      <c r="H734" s="1378"/>
      <c r="I734" s="1332"/>
      <c r="J734" s="1332"/>
      <c r="K734" s="1332"/>
      <c r="L734" s="1332"/>
      <c r="M734" s="1332"/>
      <c r="N734" s="1332"/>
      <c r="O734" s="1332"/>
      <c r="P734" s="1332"/>
      <c r="Q734" s="1332"/>
      <c r="R734" s="1332"/>
      <c r="S734" s="1332"/>
      <c r="T734" s="1332"/>
      <c r="U734" s="1332"/>
      <c r="V734" s="1332"/>
      <c r="W734" s="1332"/>
      <c r="X734" s="1332"/>
      <c r="Y734" s="1332"/>
      <c r="Z734" s="1332"/>
      <c r="AA734" s="1332"/>
      <c r="AB734" s="1332"/>
    </row>
    <row r="735">
      <c r="A735" s="1332"/>
      <c r="B735" s="1366"/>
      <c r="C735" s="1366"/>
      <c r="D735" s="1375"/>
      <c r="E735" s="1332"/>
      <c r="F735" s="1332"/>
      <c r="G735" s="1378"/>
      <c r="H735" s="1378"/>
      <c r="I735" s="1332"/>
      <c r="J735" s="1332"/>
      <c r="K735" s="1332"/>
      <c r="L735" s="1332"/>
      <c r="M735" s="1332"/>
      <c r="N735" s="1332"/>
      <c r="O735" s="1332"/>
      <c r="P735" s="1332"/>
      <c r="Q735" s="1332"/>
      <c r="R735" s="1332"/>
      <c r="S735" s="1332"/>
      <c r="T735" s="1332"/>
      <c r="U735" s="1332"/>
      <c r="V735" s="1332"/>
      <c r="W735" s="1332"/>
      <c r="X735" s="1332"/>
      <c r="Y735" s="1332"/>
      <c r="Z735" s="1332"/>
      <c r="AA735" s="1332"/>
      <c r="AB735" s="1332"/>
    </row>
    <row r="736">
      <c r="A736" s="1332"/>
      <c r="B736" s="1366"/>
      <c r="C736" s="1366"/>
      <c r="D736" s="1375"/>
      <c r="E736" s="1332"/>
      <c r="F736" s="1332"/>
      <c r="G736" s="1378"/>
      <c r="H736" s="1378"/>
      <c r="I736" s="1332"/>
      <c r="J736" s="1332"/>
      <c r="K736" s="1332"/>
      <c r="L736" s="1332"/>
      <c r="M736" s="1332"/>
      <c r="N736" s="1332"/>
      <c r="O736" s="1332"/>
      <c r="P736" s="1332"/>
      <c r="Q736" s="1332"/>
      <c r="R736" s="1332"/>
      <c r="S736" s="1332"/>
      <c r="T736" s="1332"/>
      <c r="U736" s="1332"/>
      <c r="V736" s="1332"/>
      <c r="W736" s="1332"/>
      <c r="X736" s="1332"/>
      <c r="Y736" s="1332"/>
      <c r="Z736" s="1332"/>
      <c r="AA736" s="1332"/>
      <c r="AB736" s="1332"/>
    </row>
    <row r="737">
      <c r="A737" s="1332"/>
      <c r="B737" s="1366"/>
      <c r="C737" s="1366"/>
      <c r="D737" s="1375"/>
      <c r="E737" s="1332"/>
      <c r="F737" s="1332"/>
      <c r="G737" s="1378"/>
      <c r="H737" s="1378"/>
      <c r="I737" s="1332"/>
      <c r="J737" s="1332"/>
      <c r="K737" s="1332"/>
      <c r="L737" s="1332"/>
      <c r="M737" s="1332"/>
      <c r="N737" s="1332"/>
      <c r="O737" s="1332"/>
      <c r="P737" s="1332"/>
      <c r="Q737" s="1332"/>
      <c r="R737" s="1332"/>
      <c r="S737" s="1332"/>
      <c r="T737" s="1332"/>
      <c r="U737" s="1332"/>
      <c r="V737" s="1332"/>
      <c r="W737" s="1332"/>
      <c r="X737" s="1332"/>
      <c r="Y737" s="1332"/>
      <c r="Z737" s="1332"/>
      <c r="AA737" s="1332"/>
      <c r="AB737" s="1332"/>
    </row>
    <row r="738">
      <c r="A738" s="1332"/>
      <c r="B738" s="1366"/>
      <c r="C738" s="1366"/>
      <c r="D738" s="1375"/>
      <c r="E738" s="1332"/>
      <c r="F738" s="1332"/>
      <c r="G738" s="1378"/>
      <c r="H738" s="1378"/>
      <c r="I738" s="1332"/>
      <c r="J738" s="1332"/>
      <c r="K738" s="1332"/>
      <c r="L738" s="1332"/>
      <c r="M738" s="1332"/>
      <c r="N738" s="1332"/>
      <c r="O738" s="1332"/>
      <c r="P738" s="1332"/>
      <c r="Q738" s="1332"/>
      <c r="R738" s="1332"/>
      <c r="S738" s="1332"/>
      <c r="T738" s="1332"/>
      <c r="U738" s="1332"/>
      <c r="V738" s="1332"/>
      <c r="W738" s="1332"/>
      <c r="X738" s="1332"/>
      <c r="Y738" s="1332"/>
      <c r="Z738" s="1332"/>
      <c r="AA738" s="1332"/>
      <c r="AB738" s="1332"/>
    </row>
    <row r="739">
      <c r="A739" s="1332"/>
      <c r="B739" s="1366"/>
      <c r="C739" s="1366"/>
      <c r="D739" s="1375"/>
      <c r="E739" s="1332"/>
      <c r="F739" s="1332"/>
      <c r="G739" s="1378"/>
      <c r="H739" s="1378"/>
      <c r="I739" s="1332"/>
      <c r="J739" s="1332"/>
      <c r="K739" s="1332"/>
      <c r="L739" s="1332"/>
      <c r="M739" s="1332"/>
      <c r="N739" s="1332"/>
      <c r="O739" s="1332"/>
      <c r="P739" s="1332"/>
      <c r="Q739" s="1332"/>
      <c r="R739" s="1332"/>
      <c r="S739" s="1332"/>
      <c r="T739" s="1332"/>
      <c r="U739" s="1332"/>
      <c r="V739" s="1332"/>
      <c r="W739" s="1332"/>
      <c r="X739" s="1332"/>
      <c r="Y739" s="1332"/>
      <c r="Z739" s="1332"/>
      <c r="AA739" s="1332"/>
      <c r="AB739" s="1332"/>
    </row>
    <row r="740">
      <c r="A740" s="1332"/>
      <c r="B740" s="1366"/>
      <c r="C740" s="1366"/>
      <c r="D740" s="1375"/>
      <c r="E740" s="1332"/>
      <c r="F740" s="1332"/>
      <c r="G740" s="1378"/>
      <c r="H740" s="1378"/>
      <c r="I740" s="1332"/>
      <c r="J740" s="1332"/>
      <c r="K740" s="1332"/>
      <c r="L740" s="1332"/>
      <c r="M740" s="1332"/>
      <c r="N740" s="1332"/>
      <c r="O740" s="1332"/>
      <c r="P740" s="1332"/>
      <c r="Q740" s="1332"/>
      <c r="R740" s="1332"/>
      <c r="S740" s="1332"/>
      <c r="T740" s="1332"/>
      <c r="U740" s="1332"/>
      <c r="V740" s="1332"/>
      <c r="W740" s="1332"/>
      <c r="X740" s="1332"/>
      <c r="Y740" s="1332"/>
      <c r="Z740" s="1332"/>
      <c r="AA740" s="1332"/>
      <c r="AB740" s="1332"/>
    </row>
    <row r="741">
      <c r="A741" s="1332"/>
      <c r="B741" s="1366"/>
      <c r="C741" s="1366"/>
      <c r="D741" s="1375"/>
      <c r="E741" s="1332"/>
      <c r="F741" s="1332"/>
      <c r="G741" s="1378"/>
      <c r="H741" s="1378"/>
      <c r="I741" s="1332"/>
      <c r="J741" s="1332"/>
      <c r="K741" s="1332"/>
      <c r="L741" s="1332"/>
      <c r="M741" s="1332"/>
      <c r="N741" s="1332"/>
      <c r="O741" s="1332"/>
      <c r="P741" s="1332"/>
      <c r="Q741" s="1332"/>
      <c r="R741" s="1332"/>
      <c r="S741" s="1332"/>
      <c r="T741" s="1332"/>
      <c r="U741" s="1332"/>
      <c r="V741" s="1332"/>
      <c r="W741" s="1332"/>
      <c r="X741" s="1332"/>
      <c r="Y741" s="1332"/>
      <c r="Z741" s="1332"/>
      <c r="AA741" s="1332"/>
      <c r="AB741" s="1332"/>
    </row>
    <row r="742">
      <c r="A742" s="1332"/>
      <c r="B742" s="1366"/>
      <c r="C742" s="1366"/>
      <c r="D742" s="1375"/>
      <c r="E742" s="1332"/>
      <c r="F742" s="1332"/>
      <c r="G742" s="1378"/>
      <c r="H742" s="1378"/>
      <c r="I742" s="1332"/>
      <c r="J742" s="1332"/>
      <c r="K742" s="1332"/>
      <c r="L742" s="1332"/>
      <c r="M742" s="1332"/>
      <c r="N742" s="1332"/>
      <c r="O742" s="1332"/>
      <c r="P742" s="1332"/>
      <c r="Q742" s="1332"/>
      <c r="R742" s="1332"/>
      <c r="S742" s="1332"/>
      <c r="T742" s="1332"/>
      <c r="U742" s="1332"/>
      <c r="V742" s="1332"/>
      <c r="W742" s="1332"/>
      <c r="X742" s="1332"/>
      <c r="Y742" s="1332"/>
      <c r="Z742" s="1332"/>
      <c r="AA742" s="1332"/>
      <c r="AB742" s="1332"/>
    </row>
    <row r="743">
      <c r="A743" s="1332"/>
      <c r="B743" s="1366"/>
      <c r="C743" s="1366"/>
      <c r="D743" s="1375"/>
      <c r="E743" s="1332"/>
      <c r="F743" s="1332"/>
      <c r="G743" s="1378"/>
      <c r="H743" s="1378"/>
      <c r="I743" s="1332"/>
      <c r="J743" s="1332"/>
      <c r="K743" s="1332"/>
      <c r="L743" s="1332"/>
      <c r="M743" s="1332"/>
      <c r="N743" s="1332"/>
      <c r="O743" s="1332"/>
      <c r="P743" s="1332"/>
      <c r="Q743" s="1332"/>
      <c r="R743" s="1332"/>
      <c r="S743" s="1332"/>
      <c r="T743" s="1332"/>
      <c r="U743" s="1332"/>
      <c r="V743" s="1332"/>
      <c r="W743" s="1332"/>
      <c r="X743" s="1332"/>
      <c r="Y743" s="1332"/>
      <c r="Z743" s="1332"/>
      <c r="AA743" s="1332"/>
      <c r="AB743" s="1332"/>
    </row>
    <row r="744">
      <c r="A744" s="1332"/>
      <c r="B744" s="1366"/>
      <c r="C744" s="1366"/>
      <c r="D744" s="1375"/>
      <c r="E744" s="1332"/>
      <c r="F744" s="1332"/>
      <c r="G744" s="1378"/>
      <c r="H744" s="1378"/>
      <c r="I744" s="1332"/>
      <c r="J744" s="1332"/>
      <c r="K744" s="1332"/>
      <c r="L744" s="1332"/>
      <c r="M744" s="1332"/>
      <c r="N744" s="1332"/>
      <c r="O744" s="1332"/>
      <c r="P744" s="1332"/>
      <c r="Q744" s="1332"/>
      <c r="R744" s="1332"/>
      <c r="S744" s="1332"/>
      <c r="T744" s="1332"/>
      <c r="U744" s="1332"/>
      <c r="V744" s="1332"/>
      <c r="W744" s="1332"/>
      <c r="X744" s="1332"/>
      <c r="Y744" s="1332"/>
      <c r="Z744" s="1332"/>
      <c r="AA744" s="1332"/>
      <c r="AB744" s="1332"/>
    </row>
    <row r="745">
      <c r="A745" s="1332"/>
      <c r="B745" s="1366"/>
      <c r="C745" s="1366"/>
      <c r="D745" s="1375"/>
      <c r="E745" s="1332"/>
      <c r="F745" s="1332"/>
      <c r="G745" s="1378"/>
      <c r="H745" s="1378"/>
      <c r="I745" s="1332"/>
      <c r="J745" s="1332"/>
      <c r="K745" s="1332"/>
      <c r="L745" s="1332"/>
      <c r="M745" s="1332"/>
      <c r="N745" s="1332"/>
      <c r="O745" s="1332"/>
      <c r="P745" s="1332"/>
      <c r="Q745" s="1332"/>
      <c r="R745" s="1332"/>
      <c r="S745" s="1332"/>
      <c r="T745" s="1332"/>
      <c r="U745" s="1332"/>
      <c r="V745" s="1332"/>
      <c r="W745" s="1332"/>
      <c r="X745" s="1332"/>
      <c r="Y745" s="1332"/>
      <c r="Z745" s="1332"/>
      <c r="AA745" s="1332"/>
      <c r="AB745" s="1332"/>
    </row>
    <row r="746">
      <c r="A746" s="1332"/>
      <c r="B746" s="1366"/>
      <c r="C746" s="1366"/>
      <c r="D746" s="1375"/>
      <c r="E746" s="1332"/>
      <c r="F746" s="1332"/>
      <c r="G746" s="1378"/>
      <c r="H746" s="1378"/>
      <c r="I746" s="1332"/>
      <c r="J746" s="1332"/>
      <c r="K746" s="1332"/>
      <c r="L746" s="1332"/>
      <c r="M746" s="1332"/>
      <c r="N746" s="1332"/>
      <c r="O746" s="1332"/>
      <c r="P746" s="1332"/>
      <c r="Q746" s="1332"/>
      <c r="R746" s="1332"/>
      <c r="S746" s="1332"/>
      <c r="T746" s="1332"/>
      <c r="U746" s="1332"/>
      <c r="V746" s="1332"/>
      <c r="W746" s="1332"/>
      <c r="X746" s="1332"/>
      <c r="Y746" s="1332"/>
      <c r="Z746" s="1332"/>
      <c r="AA746" s="1332"/>
      <c r="AB746" s="1332"/>
    </row>
    <row r="747">
      <c r="A747" s="1332"/>
      <c r="B747" s="1366"/>
      <c r="C747" s="1366"/>
      <c r="D747" s="1375"/>
      <c r="E747" s="1332"/>
      <c r="F747" s="1332"/>
      <c r="G747" s="1378"/>
      <c r="H747" s="1378"/>
      <c r="I747" s="1332"/>
      <c r="J747" s="1332"/>
      <c r="K747" s="1332"/>
      <c r="L747" s="1332"/>
      <c r="M747" s="1332"/>
      <c r="N747" s="1332"/>
      <c r="O747" s="1332"/>
      <c r="P747" s="1332"/>
      <c r="Q747" s="1332"/>
      <c r="R747" s="1332"/>
      <c r="S747" s="1332"/>
      <c r="T747" s="1332"/>
      <c r="U747" s="1332"/>
      <c r="V747" s="1332"/>
      <c r="W747" s="1332"/>
      <c r="X747" s="1332"/>
      <c r="Y747" s="1332"/>
      <c r="Z747" s="1332"/>
      <c r="AA747" s="1332"/>
      <c r="AB747" s="1332"/>
    </row>
    <row r="748">
      <c r="A748" s="1332"/>
      <c r="B748" s="1366"/>
      <c r="C748" s="1366"/>
      <c r="D748" s="1375"/>
      <c r="E748" s="1332"/>
      <c r="F748" s="1332"/>
      <c r="G748" s="1378"/>
      <c r="H748" s="1378"/>
      <c r="I748" s="1332"/>
      <c r="J748" s="1332"/>
      <c r="K748" s="1332"/>
      <c r="L748" s="1332"/>
      <c r="M748" s="1332"/>
      <c r="N748" s="1332"/>
      <c r="O748" s="1332"/>
      <c r="P748" s="1332"/>
      <c r="Q748" s="1332"/>
      <c r="R748" s="1332"/>
      <c r="S748" s="1332"/>
      <c r="T748" s="1332"/>
      <c r="U748" s="1332"/>
      <c r="V748" s="1332"/>
      <c r="W748" s="1332"/>
      <c r="X748" s="1332"/>
      <c r="Y748" s="1332"/>
      <c r="Z748" s="1332"/>
      <c r="AA748" s="1332"/>
      <c r="AB748" s="1332"/>
    </row>
    <row r="749">
      <c r="A749" s="1332"/>
      <c r="B749" s="1366"/>
      <c r="C749" s="1366"/>
      <c r="D749" s="1375"/>
      <c r="E749" s="1332"/>
      <c r="F749" s="1332"/>
      <c r="G749" s="1378"/>
      <c r="H749" s="1378"/>
      <c r="I749" s="1332"/>
      <c r="J749" s="1332"/>
      <c r="K749" s="1332"/>
      <c r="L749" s="1332"/>
      <c r="M749" s="1332"/>
      <c r="N749" s="1332"/>
      <c r="O749" s="1332"/>
      <c r="P749" s="1332"/>
      <c r="Q749" s="1332"/>
      <c r="R749" s="1332"/>
      <c r="S749" s="1332"/>
      <c r="T749" s="1332"/>
      <c r="U749" s="1332"/>
      <c r="V749" s="1332"/>
      <c r="W749" s="1332"/>
      <c r="X749" s="1332"/>
      <c r="Y749" s="1332"/>
      <c r="Z749" s="1332"/>
      <c r="AA749" s="1332"/>
      <c r="AB749" s="1332"/>
    </row>
    <row r="750">
      <c r="A750" s="1332"/>
      <c r="B750" s="1366"/>
      <c r="C750" s="1366"/>
      <c r="D750" s="1375"/>
      <c r="E750" s="1332"/>
      <c r="F750" s="1332"/>
      <c r="G750" s="1378"/>
      <c r="H750" s="1378"/>
      <c r="I750" s="1332"/>
      <c r="J750" s="1332"/>
      <c r="K750" s="1332"/>
      <c r="L750" s="1332"/>
      <c r="M750" s="1332"/>
      <c r="N750" s="1332"/>
      <c r="O750" s="1332"/>
      <c r="P750" s="1332"/>
      <c r="Q750" s="1332"/>
      <c r="R750" s="1332"/>
      <c r="S750" s="1332"/>
      <c r="T750" s="1332"/>
      <c r="U750" s="1332"/>
      <c r="V750" s="1332"/>
      <c r="W750" s="1332"/>
      <c r="X750" s="1332"/>
      <c r="Y750" s="1332"/>
      <c r="Z750" s="1332"/>
      <c r="AA750" s="1332"/>
      <c r="AB750" s="1332"/>
    </row>
    <row r="751">
      <c r="A751" s="1332"/>
      <c r="B751" s="1366"/>
      <c r="C751" s="1366"/>
      <c r="D751" s="1375"/>
      <c r="E751" s="1332"/>
      <c r="F751" s="1332"/>
      <c r="G751" s="1378"/>
      <c r="H751" s="1378"/>
      <c r="I751" s="1332"/>
      <c r="J751" s="1332"/>
      <c r="K751" s="1332"/>
      <c r="L751" s="1332"/>
      <c r="M751" s="1332"/>
      <c r="N751" s="1332"/>
      <c r="O751" s="1332"/>
      <c r="P751" s="1332"/>
      <c r="Q751" s="1332"/>
      <c r="R751" s="1332"/>
      <c r="S751" s="1332"/>
      <c r="T751" s="1332"/>
      <c r="U751" s="1332"/>
      <c r="V751" s="1332"/>
      <c r="W751" s="1332"/>
      <c r="X751" s="1332"/>
      <c r="Y751" s="1332"/>
      <c r="Z751" s="1332"/>
      <c r="AA751" s="1332"/>
      <c r="AB751" s="1332"/>
    </row>
    <row r="752">
      <c r="A752" s="1332"/>
      <c r="B752" s="1366"/>
      <c r="C752" s="1366"/>
      <c r="D752" s="1375"/>
      <c r="E752" s="1332"/>
      <c r="F752" s="1332"/>
      <c r="G752" s="1378"/>
      <c r="H752" s="1378"/>
      <c r="I752" s="1332"/>
      <c r="J752" s="1332"/>
      <c r="K752" s="1332"/>
      <c r="L752" s="1332"/>
      <c r="M752" s="1332"/>
      <c r="N752" s="1332"/>
      <c r="O752" s="1332"/>
      <c r="P752" s="1332"/>
      <c r="Q752" s="1332"/>
      <c r="R752" s="1332"/>
      <c r="S752" s="1332"/>
      <c r="T752" s="1332"/>
      <c r="U752" s="1332"/>
      <c r="V752" s="1332"/>
      <c r="W752" s="1332"/>
      <c r="X752" s="1332"/>
      <c r="Y752" s="1332"/>
      <c r="Z752" s="1332"/>
      <c r="AA752" s="1332"/>
      <c r="AB752" s="1332"/>
    </row>
    <row r="753">
      <c r="A753" s="1332"/>
      <c r="B753" s="1366"/>
      <c r="C753" s="1366"/>
      <c r="D753" s="1375"/>
      <c r="E753" s="1332"/>
      <c r="F753" s="1332"/>
      <c r="G753" s="1378"/>
      <c r="H753" s="1378"/>
      <c r="I753" s="1332"/>
      <c r="J753" s="1332"/>
      <c r="K753" s="1332"/>
      <c r="L753" s="1332"/>
      <c r="M753" s="1332"/>
      <c r="N753" s="1332"/>
      <c r="O753" s="1332"/>
      <c r="P753" s="1332"/>
      <c r="Q753" s="1332"/>
      <c r="R753" s="1332"/>
      <c r="S753" s="1332"/>
      <c r="T753" s="1332"/>
      <c r="U753" s="1332"/>
      <c r="V753" s="1332"/>
      <c r="W753" s="1332"/>
      <c r="X753" s="1332"/>
      <c r="Y753" s="1332"/>
      <c r="Z753" s="1332"/>
      <c r="AA753" s="1332"/>
      <c r="AB753" s="1332"/>
    </row>
    <row r="754">
      <c r="A754" s="1332"/>
      <c r="B754" s="1366"/>
      <c r="C754" s="1366"/>
      <c r="D754" s="1375"/>
      <c r="E754" s="1332"/>
      <c r="F754" s="1332"/>
      <c r="G754" s="1378"/>
      <c r="H754" s="1378"/>
      <c r="I754" s="1332"/>
      <c r="J754" s="1332"/>
      <c r="K754" s="1332"/>
      <c r="L754" s="1332"/>
      <c r="M754" s="1332"/>
      <c r="N754" s="1332"/>
      <c r="O754" s="1332"/>
      <c r="P754" s="1332"/>
      <c r="Q754" s="1332"/>
      <c r="R754" s="1332"/>
      <c r="S754" s="1332"/>
      <c r="T754" s="1332"/>
      <c r="U754" s="1332"/>
      <c r="V754" s="1332"/>
      <c r="W754" s="1332"/>
      <c r="X754" s="1332"/>
      <c r="Y754" s="1332"/>
      <c r="Z754" s="1332"/>
      <c r="AA754" s="1332"/>
      <c r="AB754" s="1332"/>
    </row>
    <row r="755">
      <c r="A755" s="1332"/>
      <c r="B755" s="1366"/>
      <c r="C755" s="1366"/>
      <c r="D755" s="1375"/>
      <c r="E755" s="1332"/>
      <c r="F755" s="1332"/>
      <c r="G755" s="1378"/>
      <c r="H755" s="1378"/>
      <c r="I755" s="1332"/>
      <c r="J755" s="1332"/>
      <c r="K755" s="1332"/>
      <c r="L755" s="1332"/>
      <c r="M755" s="1332"/>
      <c r="N755" s="1332"/>
      <c r="O755" s="1332"/>
      <c r="P755" s="1332"/>
      <c r="Q755" s="1332"/>
      <c r="R755" s="1332"/>
      <c r="S755" s="1332"/>
      <c r="T755" s="1332"/>
      <c r="U755" s="1332"/>
      <c r="V755" s="1332"/>
      <c r="W755" s="1332"/>
      <c r="X755" s="1332"/>
      <c r="Y755" s="1332"/>
      <c r="Z755" s="1332"/>
      <c r="AA755" s="1332"/>
      <c r="AB755" s="1332"/>
    </row>
    <row r="756">
      <c r="A756" s="1332"/>
      <c r="B756" s="1366"/>
      <c r="C756" s="1366"/>
      <c r="D756" s="1375"/>
      <c r="E756" s="1332"/>
      <c r="F756" s="1332"/>
      <c r="G756" s="1378"/>
      <c r="H756" s="1378"/>
      <c r="I756" s="1332"/>
      <c r="J756" s="1332"/>
      <c r="K756" s="1332"/>
      <c r="L756" s="1332"/>
      <c r="M756" s="1332"/>
      <c r="N756" s="1332"/>
      <c r="O756" s="1332"/>
      <c r="P756" s="1332"/>
      <c r="Q756" s="1332"/>
      <c r="R756" s="1332"/>
      <c r="S756" s="1332"/>
      <c r="T756" s="1332"/>
      <c r="U756" s="1332"/>
      <c r="V756" s="1332"/>
      <c r="W756" s="1332"/>
      <c r="X756" s="1332"/>
      <c r="Y756" s="1332"/>
      <c r="Z756" s="1332"/>
      <c r="AA756" s="1332"/>
      <c r="AB756" s="1332"/>
    </row>
    <row r="757">
      <c r="A757" s="1332"/>
      <c r="B757" s="1366"/>
      <c r="C757" s="1366"/>
      <c r="D757" s="1375"/>
      <c r="E757" s="1332"/>
      <c r="F757" s="1332"/>
      <c r="G757" s="1378"/>
      <c r="H757" s="1378"/>
      <c r="I757" s="1332"/>
      <c r="J757" s="1332"/>
      <c r="K757" s="1332"/>
      <c r="L757" s="1332"/>
      <c r="M757" s="1332"/>
      <c r="N757" s="1332"/>
      <c r="O757" s="1332"/>
      <c r="P757" s="1332"/>
      <c r="Q757" s="1332"/>
      <c r="R757" s="1332"/>
      <c r="S757" s="1332"/>
      <c r="T757" s="1332"/>
      <c r="U757" s="1332"/>
      <c r="V757" s="1332"/>
      <c r="W757" s="1332"/>
      <c r="X757" s="1332"/>
      <c r="Y757" s="1332"/>
      <c r="Z757" s="1332"/>
      <c r="AA757" s="1332"/>
      <c r="AB757" s="1332"/>
    </row>
    <row r="758">
      <c r="A758" s="1332"/>
      <c r="B758" s="1366"/>
      <c r="C758" s="1366"/>
      <c r="D758" s="1375"/>
      <c r="E758" s="1332"/>
      <c r="F758" s="1332"/>
      <c r="G758" s="1378"/>
      <c r="H758" s="1378"/>
      <c r="I758" s="1332"/>
      <c r="J758" s="1332"/>
      <c r="K758" s="1332"/>
      <c r="L758" s="1332"/>
      <c r="M758" s="1332"/>
      <c r="N758" s="1332"/>
      <c r="O758" s="1332"/>
      <c r="P758" s="1332"/>
      <c r="Q758" s="1332"/>
      <c r="R758" s="1332"/>
      <c r="S758" s="1332"/>
      <c r="T758" s="1332"/>
      <c r="U758" s="1332"/>
      <c r="V758" s="1332"/>
      <c r="W758" s="1332"/>
      <c r="X758" s="1332"/>
      <c r="Y758" s="1332"/>
      <c r="Z758" s="1332"/>
      <c r="AA758" s="1332"/>
      <c r="AB758" s="1332"/>
    </row>
    <row r="759">
      <c r="A759" s="1332"/>
      <c r="B759" s="1366"/>
      <c r="C759" s="1366"/>
      <c r="D759" s="1375"/>
      <c r="E759" s="1332"/>
      <c r="F759" s="1332"/>
      <c r="G759" s="1378"/>
      <c r="H759" s="1378"/>
      <c r="I759" s="1332"/>
      <c r="J759" s="1332"/>
      <c r="K759" s="1332"/>
      <c r="L759" s="1332"/>
      <c r="M759" s="1332"/>
      <c r="N759" s="1332"/>
      <c r="O759" s="1332"/>
      <c r="P759" s="1332"/>
      <c r="Q759" s="1332"/>
      <c r="R759" s="1332"/>
      <c r="S759" s="1332"/>
      <c r="T759" s="1332"/>
      <c r="U759" s="1332"/>
      <c r="V759" s="1332"/>
      <c r="W759" s="1332"/>
      <c r="X759" s="1332"/>
      <c r="Y759" s="1332"/>
      <c r="Z759" s="1332"/>
      <c r="AA759" s="1332"/>
      <c r="AB759" s="1332"/>
    </row>
    <row r="760">
      <c r="A760" s="1332"/>
      <c r="B760" s="1366"/>
      <c r="C760" s="1366"/>
      <c r="D760" s="1375"/>
      <c r="E760" s="1332"/>
      <c r="F760" s="1332"/>
      <c r="G760" s="1378"/>
      <c r="H760" s="1378"/>
      <c r="I760" s="1332"/>
      <c r="J760" s="1332"/>
      <c r="K760" s="1332"/>
      <c r="L760" s="1332"/>
      <c r="M760" s="1332"/>
      <c r="N760" s="1332"/>
      <c r="O760" s="1332"/>
      <c r="P760" s="1332"/>
      <c r="Q760" s="1332"/>
      <c r="R760" s="1332"/>
      <c r="S760" s="1332"/>
      <c r="T760" s="1332"/>
      <c r="U760" s="1332"/>
      <c r="V760" s="1332"/>
      <c r="W760" s="1332"/>
      <c r="X760" s="1332"/>
      <c r="Y760" s="1332"/>
      <c r="Z760" s="1332"/>
      <c r="AA760" s="1332"/>
      <c r="AB760" s="1332"/>
    </row>
    <row r="761">
      <c r="A761" s="1332"/>
      <c r="B761" s="1366"/>
      <c r="C761" s="1366"/>
      <c r="D761" s="1375"/>
      <c r="E761" s="1332"/>
      <c r="F761" s="1332"/>
      <c r="G761" s="1378"/>
      <c r="H761" s="1378"/>
      <c r="I761" s="1332"/>
      <c r="J761" s="1332"/>
      <c r="K761" s="1332"/>
      <c r="L761" s="1332"/>
      <c r="M761" s="1332"/>
      <c r="N761" s="1332"/>
      <c r="O761" s="1332"/>
      <c r="P761" s="1332"/>
      <c r="Q761" s="1332"/>
      <c r="R761" s="1332"/>
      <c r="S761" s="1332"/>
      <c r="T761" s="1332"/>
      <c r="U761" s="1332"/>
      <c r="V761" s="1332"/>
      <c r="W761" s="1332"/>
      <c r="X761" s="1332"/>
      <c r="Y761" s="1332"/>
      <c r="Z761" s="1332"/>
      <c r="AA761" s="1332"/>
      <c r="AB761" s="1332"/>
    </row>
    <row r="762">
      <c r="A762" s="1332"/>
      <c r="B762" s="1366"/>
      <c r="C762" s="1366"/>
      <c r="D762" s="1375"/>
      <c r="E762" s="1332"/>
      <c r="F762" s="1332"/>
      <c r="G762" s="1378"/>
      <c r="H762" s="1378"/>
      <c r="I762" s="1332"/>
      <c r="J762" s="1332"/>
      <c r="K762" s="1332"/>
      <c r="L762" s="1332"/>
      <c r="M762" s="1332"/>
      <c r="N762" s="1332"/>
      <c r="O762" s="1332"/>
      <c r="P762" s="1332"/>
      <c r="Q762" s="1332"/>
      <c r="R762" s="1332"/>
      <c r="S762" s="1332"/>
      <c r="T762" s="1332"/>
      <c r="U762" s="1332"/>
      <c r="V762" s="1332"/>
      <c r="W762" s="1332"/>
      <c r="X762" s="1332"/>
      <c r="Y762" s="1332"/>
      <c r="Z762" s="1332"/>
      <c r="AA762" s="1332"/>
      <c r="AB762" s="1332"/>
    </row>
    <row r="763">
      <c r="A763" s="1332"/>
      <c r="B763" s="1366"/>
      <c r="C763" s="1366"/>
      <c r="D763" s="1375"/>
      <c r="E763" s="1332"/>
      <c r="F763" s="1332"/>
      <c r="G763" s="1378"/>
      <c r="H763" s="1378"/>
      <c r="I763" s="1332"/>
      <c r="J763" s="1332"/>
      <c r="K763" s="1332"/>
      <c r="L763" s="1332"/>
      <c r="M763" s="1332"/>
      <c r="N763" s="1332"/>
      <c r="O763" s="1332"/>
      <c r="P763" s="1332"/>
      <c r="Q763" s="1332"/>
      <c r="R763" s="1332"/>
      <c r="S763" s="1332"/>
      <c r="T763" s="1332"/>
      <c r="U763" s="1332"/>
      <c r="V763" s="1332"/>
      <c r="W763" s="1332"/>
      <c r="X763" s="1332"/>
      <c r="Y763" s="1332"/>
      <c r="Z763" s="1332"/>
      <c r="AA763" s="1332"/>
      <c r="AB763" s="1332"/>
    </row>
    <row r="764">
      <c r="A764" s="1332"/>
      <c r="B764" s="1366"/>
      <c r="C764" s="1366"/>
      <c r="D764" s="1375"/>
      <c r="E764" s="1332"/>
      <c r="F764" s="1332"/>
      <c r="G764" s="1378"/>
      <c r="H764" s="1378"/>
      <c r="I764" s="1332"/>
      <c r="J764" s="1332"/>
      <c r="K764" s="1332"/>
      <c r="L764" s="1332"/>
      <c r="M764" s="1332"/>
      <c r="N764" s="1332"/>
      <c r="O764" s="1332"/>
      <c r="P764" s="1332"/>
      <c r="Q764" s="1332"/>
      <c r="R764" s="1332"/>
      <c r="S764" s="1332"/>
      <c r="T764" s="1332"/>
      <c r="U764" s="1332"/>
      <c r="V764" s="1332"/>
      <c r="W764" s="1332"/>
      <c r="X764" s="1332"/>
      <c r="Y764" s="1332"/>
      <c r="Z764" s="1332"/>
      <c r="AA764" s="1332"/>
      <c r="AB764" s="1332"/>
    </row>
    <row r="765">
      <c r="A765" s="1332"/>
      <c r="B765" s="1366"/>
      <c r="C765" s="1366"/>
      <c r="D765" s="1375"/>
      <c r="E765" s="1332"/>
      <c r="F765" s="1332"/>
      <c r="G765" s="1378"/>
      <c r="H765" s="1378"/>
      <c r="I765" s="1332"/>
      <c r="J765" s="1332"/>
      <c r="K765" s="1332"/>
      <c r="L765" s="1332"/>
      <c r="M765" s="1332"/>
      <c r="N765" s="1332"/>
      <c r="O765" s="1332"/>
      <c r="P765" s="1332"/>
      <c r="Q765" s="1332"/>
      <c r="R765" s="1332"/>
      <c r="S765" s="1332"/>
      <c r="T765" s="1332"/>
      <c r="U765" s="1332"/>
      <c r="V765" s="1332"/>
      <c r="W765" s="1332"/>
      <c r="X765" s="1332"/>
      <c r="Y765" s="1332"/>
      <c r="Z765" s="1332"/>
      <c r="AA765" s="1332"/>
      <c r="AB765" s="1332"/>
    </row>
    <row r="766">
      <c r="A766" s="1332"/>
      <c r="B766" s="1366"/>
      <c r="C766" s="1366"/>
      <c r="D766" s="1375"/>
      <c r="E766" s="1332"/>
      <c r="F766" s="1332"/>
      <c r="G766" s="1378"/>
      <c r="H766" s="1378"/>
      <c r="I766" s="1332"/>
      <c r="J766" s="1332"/>
      <c r="K766" s="1332"/>
      <c r="L766" s="1332"/>
      <c r="M766" s="1332"/>
      <c r="N766" s="1332"/>
      <c r="O766" s="1332"/>
      <c r="P766" s="1332"/>
      <c r="Q766" s="1332"/>
      <c r="R766" s="1332"/>
      <c r="S766" s="1332"/>
      <c r="T766" s="1332"/>
      <c r="U766" s="1332"/>
      <c r="V766" s="1332"/>
      <c r="W766" s="1332"/>
      <c r="X766" s="1332"/>
      <c r="Y766" s="1332"/>
      <c r="Z766" s="1332"/>
      <c r="AA766" s="1332"/>
      <c r="AB766" s="1332"/>
    </row>
    <row r="767">
      <c r="A767" s="1332"/>
      <c r="B767" s="1366"/>
      <c r="C767" s="1366"/>
      <c r="D767" s="1375"/>
      <c r="E767" s="1332"/>
      <c r="F767" s="1332"/>
      <c r="G767" s="1378"/>
      <c r="H767" s="1378"/>
      <c r="I767" s="1332"/>
      <c r="J767" s="1332"/>
      <c r="K767" s="1332"/>
      <c r="L767" s="1332"/>
      <c r="M767" s="1332"/>
      <c r="N767" s="1332"/>
      <c r="O767" s="1332"/>
      <c r="P767" s="1332"/>
      <c r="Q767" s="1332"/>
      <c r="R767" s="1332"/>
      <c r="S767" s="1332"/>
      <c r="T767" s="1332"/>
      <c r="U767" s="1332"/>
      <c r="V767" s="1332"/>
      <c r="W767" s="1332"/>
      <c r="X767" s="1332"/>
      <c r="Y767" s="1332"/>
      <c r="Z767" s="1332"/>
      <c r="AA767" s="1332"/>
      <c r="AB767" s="1332"/>
    </row>
    <row r="768">
      <c r="A768" s="1332"/>
      <c r="B768" s="1366"/>
      <c r="C768" s="1366"/>
      <c r="D768" s="1375"/>
      <c r="E768" s="1332"/>
      <c r="F768" s="1332"/>
      <c r="G768" s="1378"/>
      <c r="H768" s="1378"/>
      <c r="I768" s="1332"/>
      <c r="J768" s="1332"/>
      <c r="K768" s="1332"/>
      <c r="L768" s="1332"/>
      <c r="M768" s="1332"/>
      <c r="N768" s="1332"/>
      <c r="O768" s="1332"/>
      <c r="P768" s="1332"/>
      <c r="Q768" s="1332"/>
      <c r="R768" s="1332"/>
      <c r="S768" s="1332"/>
      <c r="T768" s="1332"/>
      <c r="U768" s="1332"/>
      <c r="V768" s="1332"/>
      <c r="W768" s="1332"/>
      <c r="X768" s="1332"/>
      <c r="Y768" s="1332"/>
      <c r="Z768" s="1332"/>
      <c r="AA768" s="1332"/>
      <c r="AB768" s="1332"/>
    </row>
    <row r="769">
      <c r="A769" s="1332"/>
      <c r="B769" s="1366"/>
      <c r="C769" s="1366"/>
      <c r="D769" s="1375"/>
      <c r="E769" s="1332"/>
      <c r="F769" s="1332"/>
      <c r="G769" s="1378"/>
      <c r="H769" s="1378"/>
      <c r="I769" s="1332"/>
      <c r="J769" s="1332"/>
      <c r="K769" s="1332"/>
      <c r="L769" s="1332"/>
      <c r="M769" s="1332"/>
      <c r="N769" s="1332"/>
      <c r="O769" s="1332"/>
      <c r="P769" s="1332"/>
      <c r="Q769" s="1332"/>
      <c r="R769" s="1332"/>
      <c r="S769" s="1332"/>
      <c r="T769" s="1332"/>
      <c r="U769" s="1332"/>
      <c r="V769" s="1332"/>
      <c r="W769" s="1332"/>
      <c r="X769" s="1332"/>
      <c r="Y769" s="1332"/>
      <c r="Z769" s="1332"/>
      <c r="AA769" s="1332"/>
      <c r="AB769" s="1332"/>
    </row>
    <row r="770">
      <c r="A770" s="1332"/>
      <c r="B770" s="1366"/>
      <c r="C770" s="1366"/>
      <c r="D770" s="1375"/>
      <c r="E770" s="1332"/>
      <c r="F770" s="1332"/>
      <c r="G770" s="1378"/>
      <c r="H770" s="1378"/>
      <c r="I770" s="1332"/>
      <c r="J770" s="1332"/>
      <c r="K770" s="1332"/>
      <c r="L770" s="1332"/>
      <c r="M770" s="1332"/>
      <c r="N770" s="1332"/>
      <c r="O770" s="1332"/>
      <c r="P770" s="1332"/>
      <c r="Q770" s="1332"/>
      <c r="R770" s="1332"/>
      <c r="S770" s="1332"/>
      <c r="T770" s="1332"/>
      <c r="U770" s="1332"/>
      <c r="V770" s="1332"/>
      <c r="W770" s="1332"/>
      <c r="X770" s="1332"/>
      <c r="Y770" s="1332"/>
      <c r="Z770" s="1332"/>
      <c r="AA770" s="1332"/>
      <c r="AB770" s="1332"/>
    </row>
    <row r="771">
      <c r="A771" s="1332"/>
      <c r="B771" s="1366"/>
      <c r="C771" s="1366"/>
      <c r="D771" s="1375"/>
      <c r="E771" s="1332"/>
      <c r="F771" s="1332"/>
      <c r="G771" s="1378"/>
      <c r="H771" s="1378"/>
      <c r="I771" s="1332"/>
      <c r="J771" s="1332"/>
      <c r="K771" s="1332"/>
      <c r="L771" s="1332"/>
      <c r="M771" s="1332"/>
      <c r="N771" s="1332"/>
      <c r="O771" s="1332"/>
      <c r="P771" s="1332"/>
      <c r="Q771" s="1332"/>
      <c r="R771" s="1332"/>
      <c r="S771" s="1332"/>
      <c r="T771" s="1332"/>
      <c r="U771" s="1332"/>
      <c r="V771" s="1332"/>
      <c r="W771" s="1332"/>
      <c r="X771" s="1332"/>
      <c r="Y771" s="1332"/>
      <c r="Z771" s="1332"/>
      <c r="AA771" s="1332"/>
      <c r="AB771" s="1332"/>
    </row>
    <row r="772">
      <c r="A772" s="1332"/>
      <c r="B772" s="1366"/>
      <c r="C772" s="1366"/>
      <c r="D772" s="1375"/>
      <c r="E772" s="1332"/>
      <c r="F772" s="1332"/>
      <c r="G772" s="1378"/>
      <c r="H772" s="1378"/>
      <c r="I772" s="1332"/>
      <c r="J772" s="1332"/>
      <c r="K772" s="1332"/>
      <c r="L772" s="1332"/>
      <c r="M772" s="1332"/>
      <c r="N772" s="1332"/>
      <c r="O772" s="1332"/>
      <c r="P772" s="1332"/>
      <c r="Q772" s="1332"/>
      <c r="R772" s="1332"/>
      <c r="S772" s="1332"/>
      <c r="T772" s="1332"/>
      <c r="U772" s="1332"/>
      <c r="V772" s="1332"/>
      <c r="W772" s="1332"/>
      <c r="X772" s="1332"/>
      <c r="Y772" s="1332"/>
      <c r="Z772" s="1332"/>
      <c r="AA772" s="1332"/>
      <c r="AB772" s="1332"/>
    </row>
    <row r="773">
      <c r="A773" s="1332"/>
      <c r="B773" s="1366"/>
      <c r="C773" s="1366"/>
      <c r="D773" s="1375"/>
      <c r="E773" s="1332"/>
      <c r="F773" s="1332"/>
      <c r="G773" s="1378"/>
      <c r="H773" s="1378"/>
      <c r="I773" s="1332"/>
      <c r="J773" s="1332"/>
      <c r="K773" s="1332"/>
      <c r="L773" s="1332"/>
      <c r="M773" s="1332"/>
      <c r="N773" s="1332"/>
      <c r="O773" s="1332"/>
      <c r="P773" s="1332"/>
      <c r="Q773" s="1332"/>
      <c r="R773" s="1332"/>
      <c r="S773" s="1332"/>
      <c r="T773" s="1332"/>
      <c r="U773" s="1332"/>
      <c r="V773" s="1332"/>
      <c r="W773" s="1332"/>
      <c r="X773" s="1332"/>
      <c r="Y773" s="1332"/>
      <c r="Z773" s="1332"/>
      <c r="AA773" s="1332"/>
      <c r="AB773" s="1332"/>
    </row>
    <row r="774">
      <c r="A774" s="1332"/>
      <c r="B774" s="1366"/>
      <c r="C774" s="1366"/>
      <c r="D774" s="1375"/>
      <c r="E774" s="1332"/>
      <c r="F774" s="1332"/>
      <c r="G774" s="1378"/>
      <c r="H774" s="1378"/>
      <c r="I774" s="1332"/>
      <c r="J774" s="1332"/>
      <c r="K774" s="1332"/>
      <c r="L774" s="1332"/>
      <c r="M774" s="1332"/>
      <c r="N774" s="1332"/>
      <c r="O774" s="1332"/>
      <c r="P774" s="1332"/>
      <c r="Q774" s="1332"/>
      <c r="R774" s="1332"/>
      <c r="S774" s="1332"/>
      <c r="T774" s="1332"/>
      <c r="U774" s="1332"/>
      <c r="V774" s="1332"/>
      <c r="W774" s="1332"/>
      <c r="X774" s="1332"/>
      <c r="Y774" s="1332"/>
      <c r="Z774" s="1332"/>
      <c r="AA774" s="1332"/>
      <c r="AB774" s="1332"/>
    </row>
    <row r="775">
      <c r="A775" s="1332"/>
      <c r="B775" s="1366"/>
      <c r="C775" s="1366"/>
      <c r="D775" s="1375"/>
      <c r="E775" s="1332"/>
      <c r="F775" s="1332"/>
      <c r="G775" s="1378"/>
      <c r="H775" s="1378"/>
      <c r="I775" s="1332"/>
      <c r="J775" s="1332"/>
      <c r="K775" s="1332"/>
      <c r="L775" s="1332"/>
      <c r="M775" s="1332"/>
      <c r="N775" s="1332"/>
      <c r="O775" s="1332"/>
      <c r="P775" s="1332"/>
      <c r="Q775" s="1332"/>
      <c r="R775" s="1332"/>
      <c r="S775" s="1332"/>
      <c r="T775" s="1332"/>
      <c r="U775" s="1332"/>
      <c r="V775" s="1332"/>
      <c r="W775" s="1332"/>
      <c r="X775" s="1332"/>
      <c r="Y775" s="1332"/>
      <c r="Z775" s="1332"/>
      <c r="AA775" s="1332"/>
      <c r="AB775" s="1332"/>
    </row>
    <row r="776">
      <c r="A776" s="1332"/>
      <c r="B776" s="1366"/>
      <c r="C776" s="1366"/>
      <c r="D776" s="1375"/>
      <c r="E776" s="1332"/>
      <c r="F776" s="1332"/>
      <c r="G776" s="1378"/>
      <c r="H776" s="1378"/>
      <c r="I776" s="1332"/>
      <c r="J776" s="1332"/>
      <c r="K776" s="1332"/>
      <c r="L776" s="1332"/>
      <c r="M776" s="1332"/>
      <c r="N776" s="1332"/>
      <c r="O776" s="1332"/>
      <c r="P776" s="1332"/>
      <c r="Q776" s="1332"/>
      <c r="R776" s="1332"/>
      <c r="S776" s="1332"/>
      <c r="T776" s="1332"/>
      <c r="U776" s="1332"/>
      <c r="V776" s="1332"/>
      <c r="W776" s="1332"/>
      <c r="X776" s="1332"/>
      <c r="Y776" s="1332"/>
      <c r="Z776" s="1332"/>
      <c r="AA776" s="1332"/>
      <c r="AB776" s="1332"/>
    </row>
    <row r="777">
      <c r="A777" s="1332"/>
      <c r="B777" s="1366"/>
      <c r="C777" s="1366"/>
      <c r="D777" s="1375"/>
      <c r="E777" s="1332"/>
      <c r="F777" s="1332"/>
      <c r="G777" s="1378"/>
      <c r="H777" s="1378"/>
      <c r="I777" s="1332"/>
      <c r="J777" s="1332"/>
      <c r="K777" s="1332"/>
      <c r="L777" s="1332"/>
      <c r="M777" s="1332"/>
      <c r="N777" s="1332"/>
      <c r="O777" s="1332"/>
      <c r="P777" s="1332"/>
      <c r="Q777" s="1332"/>
      <c r="R777" s="1332"/>
      <c r="S777" s="1332"/>
      <c r="T777" s="1332"/>
      <c r="U777" s="1332"/>
      <c r="V777" s="1332"/>
      <c r="W777" s="1332"/>
      <c r="X777" s="1332"/>
      <c r="Y777" s="1332"/>
      <c r="Z777" s="1332"/>
      <c r="AA777" s="1332"/>
      <c r="AB777" s="1332"/>
    </row>
    <row r="778">
      <c r="A778" s="1332"/>
      <c r="B778" s="1366"/>
      <c r="C778" s="1366"/>
      <c r="D778" s="1375"/>
      <c r="E778" s="1332"/>
      <c r="F778" s="1332"/>
      <c r="G778" s="1378"/>
      <c r="H778" s="1378"/>
      <c r="I778" s="1332"/>
      <c r="J778" s="1332"/>
      <c r="K778" s="1332"/>
      <c r="L778" s="1332"/>
      <c r="M778" s="1332"/>
      <c r="N778" s="1332"/>
      <c r="O778" s="1332"/>
      <c r="P778" s="1332"/>
      <c r="Q778" s="1332"/>
      <c r="R778" s="1332"/>
      <c r="S778" s="1332"/>
      <c r="T778" s="1332"/>
      <c r="U778" s="1332"/>
      <c r="V778" s="1332"/>
      <c r="W778" s="1332"/>
      <c r="X778" s="1332"/>
      <c r="Y778" s="1332"/>
      <c r="Z778" s="1332"/>
      <c r="AA778" s="1332"/>
      <c r="AB778" s="1332"/>
    </row>
    <row r="779">
      <c r="A779" s="1332"/>
      <c r="B779" s="1366"/>
      <c r="C779" s="1366"/>
      <c r="D779" s="1375"/>
      <c r="E779" s="1332"/>
      <c r="F779" s="1332"/>
      <c r="G779" s="1378"/>
      <c r="H779" s="1378"/>
      <c r="I779" s="1332"/>
      <c r="J779" s="1332"/>
      <c r="K779" s="1332"/>
      <c r="L779" s="1332"/>
      <c r="M779" s="1332"/>
      <c r="N779" s="1332"/>
      <c r="O779" s="1332"/>
      <c r="P779" s="1332"/>
      <c r="Q779" s="1332"/>
      <c r="R779" s="1332"/>
      <c r="S779" s="1332"/>
      <c r="T779" s="1332"/>
      <c r="U779" s="1332"/>
      <c r="V779" s="1332"/>
      <c r="W779" s="1332"/>
      <c r="X779" s="1332"/>
      <c r="Y779" s="1332"/>
      <c r="Z779" s="1332"/>
      <c r="AA779" s="1332"/>
      <c r="AB779" s="1332"/>
    </row>
    <row r="780">
      <c r="A780" s="1332"/>
      <c r="B780" s="1366"/>
      <c r="C780" s="1366"/>
      <c r="D780" s="1375"/>
      <c r="E780" s="1332"/>
      <c r="F780" s="1332"/>
      <c r="G780" s="1378"/>
      <c r="H780" s="1378"/>
      <c r="I780" s="1332"/>
      <c r="J780" s="1332"/>
      <c r="K780" s="1332"/>
      <c r="L780" s="1332"/>
      <c r="M780" s="1332"/>
      <c r="N780" s="1332"/>
      <c r="O780" s="1332"/>
      <c r="P780" s="1332"/>
      <c r="Q780" s="1332"/>
      <c r="R780" s="1332"/>
      <c r="S780" s="1332"/>
      <c r="T780" s="1332"/>
      <c r="U780" s="1332"/>
      <c r="V780" s="1332"/>
      <c r="W780" s="1332"/>
      <c r="X780" s="1332"/>
      <c r="Y780" s="1332"/>
      <c r="Z780" s="1332"/>
      <c r="AA780" s="1332"/>
      <c r="AB780" s="1332"/>
    </row>
    <row r="781">
      <c r="A781" s="1332"/>
      <c r="B781" s="1366"/>
      <c r="C781" s="1366"/>
      <c r="D781" s="1375"/>
      <c r="E781" s="1332"/>
      <c r="F781" s="1332"/>
      <c r="G781" s="1378"/>
      <c r="H781" s="1378"/>
      <c r="I781" s="1332"/>
      <c r="J781" s="1332"/>
      <c r="K781" s="1332"/>
      <c r="L781" s="1332"/>
      <c r="M781" s="1332"/>
      <c r="N781" s="1332"/>
      <c r="O781" s="1332"/>
      <c r="P781" s="1332"/>
      <c r="Q781" s="1332"/>
      <c r="R781" s="1332"/>
      <c r="S781" s="1332"/>
      <c r="T781" s="1332"/>
      <c r="U781" s="1332"/>
      <c r="V781" s="1332"/>
      <c r="W781" s="1332"/>
      <c r="X781" s="1332"/>
      <c r="Y781" s="1332"/>
      <c r="Z781" s="1332"/>
      <c r="AA781" s="1332"/>
      <c r="AB781" s="1332"/>
    </row>
    <row r="782">
      <c r="A782" s="1332"/>
      <c r="B782" s="1366"/>
      <c r="C782" s="1366"/>
      <c r="D782" s="1375"/>
      <c r="E782" s="1332"/>
      <c r="F782" s="1332"/>
      <c r="G782" s="1378"/>
      <c r="H782" s="1378"/>
      <c r="I782" s="1332"/>
      <c r="J782" s="1332"/>
      <c r="K782" s="1332"/>
      <c r="L782" s="1332"/>
      <c r="M782" s="1332"/>
      <c r="N782" s="1332"/>
      <c r="O782" s="1332"/>
      <c r="P782" s="1332"/>
      <c r="Q782" s="1332"/>
      <c r="R782" s="1332"/>
      <c r="S782" s="1332"/>
      <c r="T782" s="1332"/>
      <c r="U782" s="1332"/>
      <c r="V782" s="1332"/>
      <c r="W782" s="1332"/>
      <c r="X782" s="1332"/>
      <c r="Y782" s="1332"/>
      <c r="Z782" s="1332"/>
      <c r="AA782" s="1332"/>
      <c r="AB782" s="1332"/>
    </row>
    <row r="783">
      <c r="A783" s="1332"/>
      <c r="B783" s="1366"/>
      <c r="C783" s="1366"/>
      <c r="D783" s="1375"/>
      <c r="E783" s="1332"/>
      <c r="F783" s="1332"/>
      <c r="G783" s="1378"/>
      <c r="H783" s="1378"/>
      <c r="I783" s="1332"/>
      <c r="J783" s="1332"/>
      <c r="K783" s="1332"/>
      <c r="L783" s="1332"/>
      <c r="M783" s="1332"/>
      <c r="N783" s="1332"/>
      <c r="O783" s="1332"/>
      <c r="P783" s="1332"/>
      <c r="Q783" s="1332"/>
      <c r="R783" s="1332"/>
      <c r="S783" s="1332"/>
      <c r="T783" s="1332"/>
      <c r="U783" s="1332"/>
      <c r="V783" s="1332"/>
      <c r="W783" s="1332"/>
      <c r="X783" s="1332"/>
      <c r="Y783" s="1332"/>
      <c r="Z783" s="1332"/>
      <c r="AA783" s="1332"/>
      <c r="AB783" s="1332"/>
    </row>
    <row r="784">
      <c r="A784" s="1332"/>
      <c r="B784" s="1366"/>
      <c r="C784" s="1366"/>
      <c r="D784" s="1375"/>
      <c r="E784" s="1332"/>
      <c r="F784" s="1332"/>
      <c r="G784" s="1378"/>
      <c r="H784" s="1378"/>
      <c r="I784" s="1332"/>
      <c r="J784" s="1332"/>
      <c r="K784" s="1332"/>
      <c r="L784" s="1332"/>
      <c r="M784" s="1332"/>
      <c r="N784" s="1332"/>
      <c r="O784" s="1332"/>
      <c r="P784" s="1332"/>
      <c r="Q784" s="1332"/>
      <c r="R784" s="1332"/>
      <c r="S784" s="1332"/>
      <c r="T784" s="1332"/>
      <c r="U784" s="1332"/>
      <c r="V784" s="1332"/>
      <c r="W784" s="1332"/>
      <c r="X784" s="1332"/>
      <c r="Y784" s="1332"/>
      <c r="Z784" s="1332"/>
      <c r="AA784" s="1332"/>
      <c r="AB784" s="1332"/>
    </row>
    <row r="785">
      <c r="A785" s="1332"/>
      <c r="B785" s="1366"/>
      <c r="C785" s="1366"/>
      <c r="D785" s="1375"/>
      <c r="E785" s="1332"/>
      <c r="F785" s="1332"/>
      <c r="G785" s="1378"/>
      <c r="H785" s="1378"/>
      <c r="I785" s="1332"/>
      <c r="J785" s="1332"/>
      <c r="K785" s="1332"/>
      <c r="L785" s="1332"/>
      <c r="M785" s="1332"/>
      <c r="N785" s="1332"/>
      <c r="O785" s="1332"/>
      <c r="P785" s="1332"/>
      <c r="Q785" s="1332"/>
      <c r="R785" s="1332"/>
      <c r="S785" s="1332"/>
      <c r="T785" s="1332"/>
      <c r="U785" s="1332"/>
      <c r="V785" s="1332"/>
      <c r="W785" s="1332"/>
      <c r="X785" s="1332"/>
      <c r="Y785" s="1332"/>
      <c r="Z785" s="1332"/>
      <c r="AA785" s="1332"/>
      <c r="AB785" s="1332"/>
    </row>
    <row r="786">
      <c r="A786" s="1332"/>
      <c r="B786" s="1366"/>
      <c r="C786" s="1366"/>
      <c r="D786" s="1375"/>
      <c r="E786" s="1332"/>
      <c r="F786" s="1332"/>
      <c r="G786" s="1378"/>
      <c r="H786" s="1378"/>
      <c r="I786" s="1332"/>
      <c r="J786" s="1332"/>
      <c r="K786" s="1332"/>
      <c r="L786" s="1332"/>
      <c r="M786" s="1332"/>
      <c r="N786" s="1332"/>
      <c r="O786" s="1332"/>
      <c r="P786" s="1332"/>
      <c r="Q786" s="1332"/>
      <c r="R786" s="1332"/>
      <c r="S786" s="1332"/>
      <c r="T786" s="1332"/>
      <c r="U786" s="1332"/>
      <c r="V786" s="1332"/>
      <c r="W786" s="1332"/>
      <c r="X786" s="1332"/>
      <c r="Y786" s="1332"/>
      <c r="Z786" s="1332"/>
      <c r="AA786" s="1332"/>
      <c r="AB786" s="1332"/>
    </row>
    <row r="787">
      <c r="A787" s="1332"/>
      <c r="B787" s="1366"/>
      <c r="C787" s="1366"/>
      <c r="D787" s="1375"/>
      <c r="E787" s="1332"/>
      <c r="F787" s="1332"/>
      <c r="G787" s="1378"/>
      <c r="H787" s="1378"/>
      <c r="I787" s="1332"/>
      <c r="J787" s="1332"/>
      <c r="K787" s="1332"/>
      <c r="L787" s="1332"/>
      <c r="M787" s="1332"/>
      <c r="N787" s="1332"/>
      <c r="O787" s="1332"/>
      <c r="P787" s="1332"/>
      <c r="Q787" s="1332"/>
      <c r="R787" s="1332"/>
      <c r="S787" s="1332"/>
      <c r="T787" s="1332"/>
      <c r="U787" s="1332"/>
      <c r="V787" s="1332"/>
      <c r="W787" s="1332"/>
      <c r="X787" s="1332"/>
      <c r="Y787" s="1332"/>
      <c r="Z787" s="1332"/>
      <c r="AA787" s="1332"/>
      <c r="AB787" s="1332"/>
    </row>
    <row r="788">
      <c r="A788" s="1332"/>
      <c r="B788" s="1366"/>
      <c r="C788" s="1366"/>
      <c r="D788" s="1375"/>
      <c r="E788" s="1332"/>
      <c r="F788" s="1332"/>
      <c r="G788" s="1378"/>
      <c r="H788" s="1378"/>
      <c r="I788" s="1332"/>
      <c r="J788" s="1332"/>
      <c r="K788" s="1332"/>
      <c r="L788" s="1332"/>
      <c r="M788" s="1332"/>
      <c r="N788" s="1332"/>
      <c r="O788" s="1332"/>
      <c r="P788" s="1332"/>
      <c r="Q788" s="1332"/>
      <c r="R788" s="1332"/>
      <c r="S788" s="1332"/>
      <c r="T788" s="1332"/>
      <c r="U788" s="1332"/>
      <c r="V788" s="1332"/>
      <c r="W788" s="1332"/>
      <c r="X788" s="1332"/>
      <c r="Y788" s="1332"/>
      <c r="Z788" s="1332"/>
      <c r="AA788" s="1332"/>
      <c r="AB788" s="1332"/>
    </row>
    <row r="789">
      <c r="A789" s="1332"/>
      <c r="B789" s="1366"/>
      <c r="C789" s="1366"/>
      <c r="D789" s="1375"/>
      <c r="E789" s="1332"/>
      <c r="F789" s="1332"/>
      <c r="G789" s="1378"/>
      <c r="H789" s="1378"/>
      <c r="I789" s="1332"/>
      <c r="J789" s="1332"/>
      <c r="K789" s="1332"/>
      <c r="L789" s="1332"/>
      <c r="M789" s="1332"/>
      <c r="N789" s="1332"/>
      <c r="O789" s="1332"/>
      <c r="P789" s="1332"/>
      <c r="Q789" s="1332"/>
      <c r="R789" s="1332"/>
      <c r="S789" s="1332"/>
      <c r="T789" s="1332"/>
      <c r="U789" s="1332"/>
      <c r="V789" s="1332"/>
      <c r="W789" s="1332"/>
      <c r="X789" s="1332"/>
      <c r="Y789" s="1332"/>
      <c r="Z789" s="1332"/>
      <c r="AA789" s="1332"/>
      <c r="AB789" s="1332"/>
    </row>
    <row r="790">
      <c r="A790" s="1332"/>
      <c r="B790" s="1366"/>
      <c r="C790" s="1366"/>
      <c r="D790" s="1375"/>
      <c r="E790" s="1332"/>
      <c r="F790" s="1332"/>
      <c r="G790" s="1378"/>
      <c r="H790" s="1378"/>
      <c r="I790" s="1332"/>
      <c r="J790" s="1332"/>
      <c r="K790" s="1332"/>
      <c r="L790" s="1332"/>
      <c r="M790" s="1332"/>
      <c r="N790" s="1332"/>
      <c r="O790" s="1332"/>
      <c r="P790" s="1332"/>
      <c r="Q790" s="1332"/>
      <c r="R790" s="1332"/>
      <c r="S790" s="1332"/>
      <c r="T790" s="1332"/>
      <c r="U790" s="1332"/>
      <c r="V790" s="1332"/>
      <c r="W790" s="1332"/>
      <c r="X790" s="1332"/>
      <c r="Y790" s="1332"/>
      <c r="Z790" s="1332"/>
      <c r="AA790" s="1332"/>
      <c r="AB790" s="1332"/>
    </row>
    <row r="791">
      <c r="A791" s="1332"/>
      <c r="B791" s="1366"/>
      <c r="C791" s="1366"/>
      <c r="D791" s="1375"/>
      <c r="E791" s="1332"/>
      <c r="F791" s="1332"/>
      <c r="G791" s="1378"/>
      <c r="H791" s="1378"/>
      <c r="I791" s="1332"/>
      <c r="J791" s="1332"/>
      <c r="K791" s="1332"/>
      <c r="L791" s="1332"/>
      <c r="M791" s="1332"/>
      <c r="N791" s="1332"/>
      <c r="O791" s="1332"/>
      <c r="P791" s="1332"/>
      <c r="Q791" s="1332"/>
      <c r="R791" s="1332"/>
      <c r="S791" s="1332"/>
      <c r="T791" s="1332"/>
      <c r="U791" s="1332"/>
      <c r="V791" s="1332"/>
      <c r="W791" s="1332"/>
      <c r="X791" s="1332"/>
      <c r="Y791" s="1332"/>
      <c r="Z791" s="1332"/>
      <c r="AA791" s="1332"/>
      <c r="AB791" s="1332"/>
    </row>
    <row r="792">
      <c r="A792" s="1332"/>
      <c r="B792" s="1366"/>
      <c r="C792" s="1366"/>
      <c r="D792" s="1375"/>
      <c r="E792" s="1332"/>
      <c r="F792" s="1332"/>
      <c r="G792" s="1378"/>
      <c r="H792" s="1378"/>
      <c r="I792" s="1332"/>
      <c r="J792" s="1332"/>
      <c r="K792" s="1332"/>
      <c r="L792" s="1332"/>
      <c r="M792" s="1332"/>
      <c r="N792" s="1332"/>
      <c r="O792" s="1332"/>
      <c r="P792" s="1332"/>
      <c r="Q792" s="1332"/>
      <c r="R792" s="1332"/>
      <c r="S792" s="1332"/>
      <c r="T792" s="1332"/>
      <c r="U792" s="1332"/>
      <c r="V792" s="1332"/>
      <c r="W792" s="1332"/>
      <c r="X792" s="1332"/>
      <c r="Y792" s="1332"/>
      <c r="Z792" s="1332"/>
      <c r="AA792" s="1332"/>
      <c r="AB792" s="1332"/>
    </row>
    <row r="793">
      <c r="A793" s="1332"/>
      <c r="B793" s="1366"/>
      <c r="C793" s="1366"/>
      <c r="D793" s="1375"/>
      <c r="E793" s="1332"/>
      <c r="F793" s="1332"/>
      <c r="G793" s="1378"/>
      <c r="H793" s="1378"/>
      <c r="I793" s="1332"/>
      <c r="J793" s="1332"/>
      <c r="K793" s="1332"/>
      <c r="L793" s="1332"/>
      <c r="M793" s="1332"/>
      <c r="N793" s="1332"/>
      <c r="O793" s="1332"/>
      <c r="P793" s="1332"/>
      <c r="Q793" s="1332"/>
      <c r="R793" s="1332"/>
      <c r="S793" s="1332"/>
      <c r="T793" s="1332"/>
      <c r="U793" s="1332"/>
      <c r="V793" s="1332"/>
      <c r="W793" s="1332"/>
      <c r="X793" s="1332"/>
      <c r="Y793" s="1332"/>
      <c r="Z793" s="1332"/>
      <c r="AA793" s="1332"/>
      <c r="AB793" s="1332"/>
    </row>
    <row r="794">
      <c r="A794" s="1332"/>
      <c r="B794" s="1366"/>
      <c r="C794" s="1366"/>
      <c r="D794" s="1375"/>
      <c r="E794" s="1332"/>
      <c r="F794" s="1332"/>
      <c r="G794" s="1378"/>
      <c r="H794" s="1378"/>
      <c r="I794" s="1332"/>
      <c r="J794" s="1332"/>
      <c r="K794" s="1332"/>
      <c r="L794" s="1332"/>
      <c r="M794" s="1332"/>
      <c r="N794" s="1332"/>
      <c r="O794" s="1332"/>
      <c r="P794" s="1332"/>
      <c r="Q794" s="1332"/>
      <c r="R794" s="1332"/>
      <c r="S794" s="1332"/>
      <c r="T794" s="1332"/>
      <c r="U794" s="1332"/>
      <c r="V794" s="1332"/>
      <c r="W794" s="1332"/>
      <c r="X794" s="1332"/>
      <c r="Y794" s="1332"/>
      <c r="Z794" s="1332"/>
      <c r="AA794" s="1332"/>
      <c r="AB794" s="1332"/>
    </row>
    <row r="795">
      <c r="A795" s="1332"/>
      <c r="B795" s="1366"/>
      <c r="C795" s="1366"/>
      <c r="D795" s="1375"/>
      <c r="E795" s="1332"/>
      <c r="F795" s="1332"/>
      <c r="G795" s="1378"/>
      <c r="H795" s="1378"/>
      <c r="I795" s="1332"/>
      <c r="J795" s="1332"/>
      <c r="K795" s="1332"/>
      <c r="L795" s="1332"/>
      <c r="M795" s="1332"/>
      <c r="N795" s="1332"/>
      <c r="O795" s="1332"/>
      <c r="P795" s="1332"/>
      <c r="Q795" s="1332"/>
      <c r="R795" s="1332"/>
      <c r="S795" s="1332"/>
      <c r="T795" s="1332"/>
      <c r="U795" s="1332"/>
      <c r="V795" s="1332"/>
      <c r="W795" s="1332"/>
      <c r="X795" s="1332"/>
      <c r="Y795" s="1332"/>
      <c r="Z795" s="1332"/>
      <c r="AA795" s="1332"/>
      <c r="AB795" s="1332"/>
    </row>
    <row r="796">
      <c r="A796" s="1332"/>
      <c r="B796" s="1366"/>
      <c r="C796" s="1366"/>
      <c r="D796" s="1375"/>
      <c r="E796" s="1332"/>
      <c r="F796" s="1332"/>
      <c r="G796" s="1378"/>
      <c r="H796" s="1378"/>
      <c r="I796" s="1332"/>
      <c r="J796" s="1332"/>
      <c r="K796" s="1332"/>
      <c r="L796" s="1332"/>
      <c r="M796" s="1332"/>
      <c r="N796" s="1332"/>
      <c r="O796" s="1332"/>
      <c r="P796" s="1332"/>
      <c r="Q796" s="1332"/>
      <c r="R796" s="1332"/>
      <c r="S796" s="1332"/>
      <c r="T796" s="1332"/>
      <c r="U796" s="1332"/>
      <c r="V796" s="1332"/>
      <c r="W796" s="1332"/>
      <c r="X796" s="1332"/>
      <c r="Y796" s="1332"/>
      <c r="Z796" s="1332"/>
      <c r="AA796" s="1332"/>
      <c r="AB796" s="1332"/>
    </row>
    <row r="797">
      <c r="A797" s="1332"/>
      <c r="B797" s="1366"/>
      <c r="C797" s="1366"/>
      <c r="D797" s="1375"/>
      <c r="E797" s="1332"/>
      <c r="F797" s="1332"/>
      <c r="G797" s="1378"/>
      <c r="H797" s="1378"/>
      <c r="I797" s="1332"/>
      <c r="J797" s="1332"/>
      <c r="K797" s="1332"/>
      <c r="L797" s="1332"/>
      <c r="M797" s="1332"/>
      <c r="N797" s="1332"/>
      <c r="O797" s="1332"/>
      <c r="P797" s="1332"/>
      <c r="Q797" s="1332"/>
      <c r="R797" s="1332"/>
      <c r="S797" s="1332"/>
      <c r="T797" s="1332"/>
      <c r="U797" s="1332"/>
      <c r="V797" s="1332"/>
      <c r="W797" s="1332"/>
      <c r="X797" s="1332"/>
      <c r="Y797" s="1332"/>
      <c r="Z797" s="1332"/>
      <c r="AA797" s="1332"/>
      <c r="AB797" s="1332"/>
    </row>
    <row r="798">
      <c r="A798" s="1332"/>
      <c r="B798" s="1366"/>
      <c r="C798" s="1366"/>
      <c r="D798" s="1375"/>
      <c r="E798" s="1332"/>
      <c r="F798" s="1332"/>
      <c r="G798" s="1378"/>
      <c r="H798" s="1378"/>
      <c r="I798" s="1332"/>
      <c r="J798" s="1332"/>
      <c r="K798" s="1332"/>
      <c r="L798" s="1332"/>
      <c r="M798" s="1332"/>
      <c r="N798" s="1332"/>
      <c r="O798" s="1332"/>
      <c r="P798" s="1332"/>
      <c r="Q798" s="1332"/>
      <c r="R798" s="1332"/>
      <c r="S798" s="1332"/>
      <c r="T798" s="1332"/>
      <c r="U798" s="1332"/>
      <c r="V798" s="1332"/>
      <c r="W798" s="1332"/>
      <c r="X798" s="1332"/>
      <c r="Y798" s="1332"/>
      <c r="Z798" s="1332"/>
      <c r="AA798" s="1332"/>
      <c r="AB798" s="1332"/>
    </row>
    <row r="799">
      <c r="A799" s="1332"/>
      <c r="B799" s="1366"/>
      <c r="C799" s="1366"/>
      <c r="D799" s="1375"/>
      <c r="E799" s="1332"/>
      <c r="F799" s="1332"/>
      <c r="G799" s="1378"/>
      <c r="H799" s="1378"/>
      <c r="I799" s="1332"/>
      <c r="J799" s="1332"/>
      <c r="K799" s="1332"/>
      <c r="L799" s="1332"/>
      <c r="M799" s="1332"/>
      <c r="N799" s="1332"/>
      <c r="O799" s="1332"/>
      <c r="P799" s="1332"/>
      <c r="Q799" s="1332"/>
      <c r="R799" s="1332"/>
      <c r="S799" s="1332"/>
      <c r="T799" s="1332"/>
      <c r="U799" s="1332"/>
      <c r="V799" s="1332"/>
      <c r="W799" s="1332"/>
      <c r="X799" s="1332"/>
      <c r="Y799" s="1332"/>
      <c r="Z799" s="1332"/>
      <c r="AA799" s="1332"/>
      <c r="AB799" s="1332"/>
    </row>
    <row r="800">
      <c r="A800" s="1332"/>
      <c r="B800" s="1366"/>
      <c r="C800" s="1366"/>
      <c r="D800" s="1375"/>
      <c r="E800" s="1332"/>
      <c r="F800" s="1332"/>
      <c r="G800" s="1378"/>
      <c r="H800" s="1378"/>
      <c r="I800" s="1332"/>
      <c r="J800" s="1332"/>
      <c r="K800" s="1332"/>
      <c r="L800" s="1332"/>
      <c r="M800" s="1332"/>
      <c r="N800" s="1332"/>
      <c r="O800" s="1332"/>
      <c r="P800" s="1332"/>
      <c r="Q800" s="1332"/>
      <c r="R800" s="1332"/>
      <c r="S800" s="1332"/>
      <c r="T800" s="1332"/>
      <c r="U800" s="1332"/>
      <c r="V800" s="1332"/>
      <c r="W800" s="1332"/>
      <c r="X800" s="1332"/>
      <c r="Y800" s="1332"/>
      <c r="Z800" s="1332"/>
      <c r="AA800" s="1332"/>
      <c r="AB800" s="1332"/>
    </row>
    <row r="801">
      <c r="A801" s="1332"/>
      <c r="B801" s="1366"/>
      <c r="C801" s="1366"/>
      <c r="D801" s="1375"/>
      <c r="E801" s="1332"/>
      <c r="F801" s="1332"/>
      <c r="G801" s="1378"/>
      <c r="H801" s="1378"/>
      <c r="I801" s="1332"/>
      <c r="J801" s="1332"/>
      <c r="K801" s="1332"/>
      <c r="L801" s="1332"/>
      <c r="M801" s="1332"/>
      <c r="N801" s="1332"/>
      <c r="O801" s="1332"/>
      <c r="P801" s="1332"/>
      <c r="Q801" s="1332"/>
      <c r="R801" s="1332"/>
      <c r="S801" s="1332"/>
      <c r="T801" s="1332"/>
      <c r="U801" s="1332"/>
      <c r="V801" s="1332"/>
      <c r="W801" s="1332"/>
      <c r="X801" s="1332"/>
      <c r="Y801" s="1332"/>
      <c r="Z801" s="1332"/>
      <c r="AA801" s="1332"/>
      <c r="AB801" s="1332"/>
    </row>
    <row r="802">
      <c r="A802" s="1332"/>
      <c r="B802" s="1366"/>
      <c r="C802" s="1366"/>
      <c r="D802" s="1375"/>
      <c r="E802" s="1332"/>
      <c r="F802" s="1332"/>
      <c r="G802" s="1378"/>
      <c r="H802" s="1378"/>
      <c r="I802" s="1332"/>
      <c r="J802" s="1332"/>
      <c r="K802" s="1332"/>
      <c r="L802" s="1332"/>
      <c r="M802" s="1332"/>
      <c r="N802" s="1332"/>
      <c r="O802" s="1332"/>
      <c r="P802" s="1332"/>
      <c r="Q802" s="1332"/>
      <c r="R802" s="1332"/>
      <c r="S802" s="1332"/>
      <c r="T802" s="1332"/>
      <c r="U802" s="1332"/>
      <c r="V802" s="1332"/>
      <c r="W802" s="1332"/>
      <c r="X802" s="1332"/>
      <c r="Y802" s="1332"/>
      <c r="Z802" s="1332"/>
      <c r="AA802" s="1332"/>
      <c r="AB802" s="1332"/>
    </row>
    <row r="803">
      <c r="A803" s="1332"/>
      <c r="B803" s="1366"/>
      <c r="C803" s="1366"/>
      <c r="D803" s="1375"/>
      <c r="E803" s="1332"/>
      <c r="F803" s="1332"/>
      <c r="G803" s="1378"/>
      <c r="H803" s="1378"/>
      <c r="I803" s="1332"/>
      <c r="J803" s="1332"/>
      <c r="K803" s="1332"/>
      <c r="L803" s="1332"/>
      <c r="M803" s="1332"/>
      <c r="N803" s="1332"/>
      <c r="O803" s="1332"/>
      <c r="P803" s="1332"/>
      <c r="Q803" s="1332"/>
      <c r="R803" s="1332"/>
      <c r="S803" s="1332"/>
      <c r="T803" s="1332"/>
      <c r="U803" s="1332"/>
      <c r="V803" s="1332"/>
      <c r="W803" s="1332"/>
      <c r="X803" s="1332"/>
      <c r="Y803" s="1332"/>
      <c r="Z803" s="1332"/>
      <c r="AA803" s="1332"/>
      <c r="AB803" s="1332"/>
    </row>
    <row r="804">
      <c r="A804" s="1332"/>
      <c r="B804" s="1366"/>
      <c r="C804" s="1366"/>
      <c r="D804" s="1375"/>
      <c r="E804" s="1332"/>
      <c r="F804" s="1332"/>
      <c r="G804" s="1378"/>
      <c r="H804" s="1378"/>
      <c r="I804" s="1332"/>
      <c r="J804" s="1332"/>
      <c r="K804" s="1332"/>
      <c r="L804" s="1332"/>
      <c r="M804" s="1332"/>
      <c r="N804" s="1332"/>
      <c r="O804" s="1332"/>
      <c r="P804" s="1332"/>
      <c r="Q804" s="1332"/>
      <c r="R804" s="1332"/>
      <c r="S804" s="1332"/>
      <c r="T804" s="1332"/>
      <c r="U804" s="1332"/>
      <c r="V804" s="1332"/>
      <c r="W804" s="1332"/>
      <c r="X804" s="1332"/>
      <c r="Y804" s="1332"/>
      <c r="Z804" s="1332"/>
      <c r="AA804" s="1332"/>
      <c r="AB804" s="1332"/>
    </row>
    <row r="805">
      <c r="A805" s="1332"/>
      <c r="B805" s="1366"/>
      <c r="C805" s="1366"/>
      <c r="D805" s="1375"/>
      <c r="E805" s="1332"/>
      <c r="F805" s="1332"/>
      <c r="G805" s="1378"/>
      <c r="H805" s="1378"/>
      <c r="I805" s="1332"/>
      <c r="J805" s="1332"/>
      <c r="K805" s="1332"/>
      <c r="L805" s="1332"/>
      <c r="M805" s="1332"/>
      <c r="N805" s="1332"/>
      <c r="O805" s="1332"/>
      <c r="P805" s="1332"/>
      <c r="Q805" s="1332"/>
      <c r="R805" s="1332"/>
      <c r="S805" s="1332"/>
      <c r="T805" s="1332"/>
      <c r="U805" s="1332"/>
      <c r="V805" s="1332"/>
      <c r="W805" s="1332"/>
      <c r="X805" s="1332"/>
      <c r="Y805" s="1332"/>
      <c r="Z805" s="1332"/>
      <c r="AA805" s="1332"/>
      <c r="AB805" s="1332"/>
    </row>
    <row r="806">
      <c r="A806" s="1332"/>
      <c r="B806" s="1366"/>
      <c r="C806" s="1366"/>
      <c r="D806" s="1375"/>
      <c r="E806" s="1332"/>
      <c r="F806" s="1332"/>
      <c r="G806" s="1378"/>
      <c r="H806" s="1378"/>
      <c r="I806" s="1332"/>
      <c r="J806" s="1332"/>
      <c r="K806" s="1332"/>
      <c r="L806" s="1332"/>
      <c r="M806" s="1332"/>
      <c r="N806" s="1332"/>
      <c r="O806" s="1332"/>
      <c r="P806" s="1332"/>
      <c r="Q806" s="1332"/>
      <c r="R806" s="1332"/>
      <c r="S806" s="1332"/>
      <c r="T806" s="1332"/>
      <c r="U806" s="1332"/>
      <c r="V806" s="1332"/>
      <c r="W806" s="1332"/>
      <c r="X806" s="1332"/>
      <c r="Y806" s="1332"/>
      <c r="Z806" s="1332"/>
      <c r="AA806" s="1332"/>
      <c r="AB806" s="1332"/>
    </row>
    <row r="807">
      <c r="A807" s="1332"/>
      <c r="B807" s="1366"/>
      <c r="C807" s="1366"/>
      <c r="D807" s="1375"/>
      <c r="E807" s="1332"/>
      <c r="F807" s="1332"/>
      <c r="G807" s="1378"/>
      <c r="H807" s="1378"/>
      <c r="I807" s="1332"/>
      <c r="J807" s="1332"/>
      <c r="K807" s="1332"/>
      <c r="L807" s="1332"/>
      <c r="M807" s="1332"/>
      <c r="N807" s="1332"/>
      <c r="O807" s="1332"/>
      <c r="P807" s="1332"/>
      <c r="Q807" s="1332"/>
      <c r="R807" s="1332"/>
      <c r="S807" s="1332"/>
      <c r="T807" s="1332"/>
      <c r="U807" s="1332"/>
      <c r="V807" s="1332"/>
      <c r="W807" s="1332"/>
      <c r="X807" s="1332"/>
      <c r="Y807" s="1332"/>
      <c r="Z807" s="1332"/>
      <c r="AA807" s="1332"/>
      <c r="AB807" s="1332"/>
    </row>
    <row r="808">
      <c r="A808" s="1332"/>
      <c r="B808" s="1366"/>
      <c r="C808" s="1366"/>
      <c r="D808" s="1375"/>
      <c r="E808" s="1332"/>
      <c r="F808" s="1332"/>
      <c r="G808" s="1378"/>
      <c r="H808" s="1378"/>
      <c r="I808" s="1332"/>
      <c r="J808" s="1332"/>
      <c r="K808" s="1332"/>
      <c r="L808" s="1332"/>
      <c r="M808" s="1332"/>
      <c r="N808" s="1332"/>
      <c r="O808" s="1332"/>
      <c r="P808" s="1332"/>
      <c r="Q808" s="1332"/>
      <c r="R808" s="1332"/>
      <c r="S808" s="1332"/>
      <c r="T808" s="1332"/>
      <c r="U808" s="1332"/>
      <c r="V808" s="1332"/>
      <c r="W808" s="1332"/>
      <c r="X808" s="1332"/>
      <c r="Y808" s="1332"/>
      <c r="Z808" s="1332"/>
      <c r="AA808" s="1332"/>
      <c r="AB808" s="1332"/>
    </row>
    <row r="809">
      <c r="A809" s="1332"/>
      <c r="B809" s="1366"/>
      <c r="C809" s="1366"/>
      <c r="D809" s="1375"/>
      <c r="E809" s="1332"/>
      <c r="F809" s="1332"/>
      <c r="G809" s="1378"/>
      <c r="H809" s="1378"/>
      <c r="I809" s="1332"/>
      <c r="J809" s="1332"/>
      <c r="K809" s="1332"/>
      <c r="L809" s="1332"/>
      <c r="M809" s="1332"/>
      <c r="N809" s="1332"/>
      <c r="O809" s="1332"/>
      <c r="P809" s="1332"/>
      <c r="Q809" s="1332"/>
      <c r="R809" s="1332"/>
      <c r="S809" s="1332"/>
      <c r="T809" s="1332"/>
      <c r="U809" s="1332"/>
      <c r="V809" s="1332"/>
      <c r="W809" s="1332"/>
      <c r="X809" s="1332"/>
      <c r="Y809" s="1332"/>
      <c r="Z809" s="1332"/>
      <c r="AA809" s="1332"/>
      <c r="AB809" s="1332"/>
    </row>
    <row r="810">
      <c r="A810" s="1332"/>
      <c r="B810" s="1366"/>
      <c r="C810" s="1366"/>
      <c r="D810" s="1375"/>
      <c r="E810" s="1332"/>
      <c r="F810" s="1332"/>
      <c r="G810" s="1378"/>
      <c r="H810" s="1378"/>
      <c r="I810" s="1332"/>
      <c r="J810" s="1332"/>
      <c r="K810" s="1332"/>
      <c r="L810" s="1332"/>
      <c r="M810" s="1332"/>
      <c r="N810" s="1332"/>
      <c r="O810" s="1332"/>
      <c r="P810" s="1332"/>
      <c r="Q810" s="1332"/>
      <c r="R810" s="1332"/>
      <c r="S810" s="1332"/>
      <c r="T810" s="1332"/>
      <c r="U810" s="1332"/>
      <c r="V810" s="1332"/>
      <c r="W810" s="1332"/>
      <c r="X810" s="1332"/>
      <c r="Y810" s="1332"/>
      <c r="Z810" s="1332"/>
      <c r="AA810" s="1332"/>
      <c r="AB810" s="1332"/>
    </row>
    <row r="811">
      <c r="A811" s="1332"/>
      <c r="B811" s="1366"/>
      <c r="C811" s="1366"/>
      <c r="D811" s="1375"/>
      <c r="E811" s="1332"/>
      <c r="F811" s="1332"/>
      <c r="G811" s="1378"/>
      <c r="H811" s="1378"/>
      <c r="I811" s="1332"/>
      <c r="J811" s="1332"/>
      <c r="K811" s="1332"/>
      <c r="L811" s="1332"/>
      <c r="M811" s="1332"/>
      <c r="N811" s="1332"/>
      <c r="O811" s="1332"/>
      <c r="P811" s="1332"/>
      <c r="Q811" s="1332"/>
      <c r="R811" s="1332"/>
      <c r="S811" s="1332"/>
      <c r="T811" s="1332"/>
      <c r="U811" s="1332"/>
      <c r="V811" s="1332"/>
      <c r="W811" s="1332"/>
      <c r="X811" s="1332"/>
      <c r="Y811" s="1332"/>
      <c r="Z811" s="1332"/>
      <c r="AA811" s="1332"/>
      <c r="AB811" s="1332"/>
    </row>
    <row r="812">
      <c r="A812" s="1332"/>
      <c r="B812" s="1366"/>
      <c r="C812" s="1366"/>
      <c r="D812" s="1375"/>
      <c r="E812" s="1332"/>
      <c r="F812" s="1332"/>
      <c r="G812" s="1378"/>
      <c r="H812" s="1378"/>
      <c r="I812" s="1332"/>
      <c r="J812" s="1332"/>
      <c r="K812" s="1332"/>
      <c r="L812" s="1332"/>
      <c r="M812" s="1332"/>
      <c r="N812" s="1332"/>
      <c r="O812" s="1332"/>
      <c r="P812" s="1332"/>
      <c r="Q812" s="1332"/>
      <c r="R812" s="1332"/>
      <c r="S812" s="1332"/>
      <c r="T812" s="1332"/>
      <c r="U812" s="1332"/>
      <c r="V812" s="1332"/>
      <c r="W812" s="1332"/>
      <c r="X812" s="1332"/>
      <c r="Y812" s="1332"/>
      <c r="Z812" s="1332"/>
      <c r="AA812" s="1332"/>
      <c r="AB812" s="1332"/>
    </row>
    <row r="813">
      <c r="A813" s="1332"/>
      <c r="B813" s="1366"/>
      <c r="C813" s="1366"/>
      <c r="D813" s="1375"/>
      <c r="E813" s="1332"/>
      <c r="F813" s="1332"/>
      <c r="G813" s="1378"/>
      <c r="H813" s="1378"/>
      <c r="I813" s="1332"/>
      <c r="J813" s="1332"/>
      <c r="K813" s="1332"/>
      <c r="L813" s="1332"/>
      <c r="M813" s="1332"/>
      <c r="N813" s="1332"/>
      <c r="O813" s="1332"/>
      <c r="P813" s="1332"/>
      <c r="Q813" s="1332"/>
      <c r="R813" s="1332"/>
      <c r="S813" s="1332"/>
      <c r="T813" s="1332"/>
      <c r="U813" s="1332"/>
      <c r="V813" s="1332"/>
      <c r="W813" s="1332"/>
      <c r="X813" s="1332"/>
      <c r="Y813" s="1332"/>
      <c r="Z813" s="1332"/>
      <c r="AA813" s="1332"/>
      <c r="AB813" s="1332"/>
    </row>
    <row r="814">
      <c r="A814" s="1332"/>
      <c r="B814" s="1366"/>
      <c r="C814" s="1366"/>
      <c r="D814" s="1375"/>
      <c r="E814" s="1332"/>
      <c r="F814" s="1332"/>
      <c r="G814" s="1378"/>
      <c r="H814" s="1378"/>
      <c r="I814" s="1332"/>
      <c r="J814" s="1332"/>
      <c r="K814" s="1332"/>
      <c r="L814" s="1332"/>
      <c r="M814" s="1332"/>
      <c r="N814" s="1332"/>
      <c r="O814" s="1332"/>
      <c r="P814" s="1332"/>
      <c r="Q814" s="1332"/>
      <c r="R814" s="1332"/>
      <c r="S814" s="1332"/>
      <c r="T814" s="1332"/>
      <c r="U814" s="1332"/>
      <c r="V814" s="1332"/>
      <c r="W814" s="1332"/>
      <c r="X814" s="1332"/>
      <c r="Y814" s="1332"/>
      <c r="Z814" s="1332"/>
      <c r="AA814" s="1332"/>
      <c r="AB814" s="1332"/>
    </row>
    <row r="815">
      <c r="A815" s="1332"/>
      <c r="B815" s="1366"/>
      <c r="C815" s="1366"/>
      <c r="D815" s="1375"/>
      <c r="E815" s="1332"/>
      <c r="F815" s="1332"/>
      <c r="G815" s="1378"/>
      <c r="H815" s="1378"/>
      <c r="I815" s="1332"/>
      <c r="J815" s="1332"/>
      <c r="K815" s="1332"/>
      <c r="L815" s="1332"/>
      <c r="M815" s="1332"/>
      <c r="N815" s="1332"/>
      <c r="O815" s="1332"/>
      <c r="P815" s="1332"/>
      <c r="Q815" s="1332"/>
      <c r="R815" s="1332"/>
      <c r="S815" s="1332"/>
      <c r="T815" s="1332"/>
      <c r="U815" s="1332"/>
      <c r="V815" s="1332"/>
      <c r="W815" s="1332"/>
      <c r="X815" s="1332"/>
      <c r="Y815" s="1332"/>
      <c r="Z815" s="1332"/>
      <c r="AA815" s="1332"/>
      <c r="AB815" s="1332"/>
    </row>
    <row r="816">
      <c r="A816" s="1332"/>
      <c r="B816" s="1366"/>
      <c r="C816" s="1366"/>
      <c r="D816" s="1375"/>
      <c r="E816" s="1332"/>
      <c r="F816" s="1332"/>
      <c r="G816" s="1378"/>
      <c r="H816" s="1378"/>
      <c r="I816" s="1332"/>
      <c r="J816" s="1332"/>
      <c r="K816" s="1332"/>
      <c r="L816" s="1332"/>
      <c r="M816" s="1332"/>
      <c r="N816" s="1332"/>
      <c r="O816" s="1332"/>
      <c r="P816" s="1332"/>
      <c r="Q816" s="1332"/>
      <c r="R816" s="1332"/>
      <c r="S816" s="1332"/>
      <c r="T816" s="1332"/>
      <c r="U816" s="1332"/>
      <c r="V816" s="1332"/>
      <c r="W816" s="1332"/>
      <c r="X816" s="1332"/>
      <c r="Y816" s="1332"/>
      <c r="Z816" s="1332"/>
      <c r="AA816" s="1332"/>
      <c r="AB816" s="1332"/>
    </row>
    <row r="817">
      <c r="A817" s="1332"/>
      <c r="B817" s="1366"/>
      <c r="C817" s="1366"/>
      <c r="D817" s="1375"/>
      <c r="E817" s="1332"/>
      <c r="F817" s="1332"/>
      <c r="G817" s="1378"/>
      <c r="H817" s="1378"/>
      <c r="I817" s="1332"/>
      <c r="J817" s="1332"/>
      <c r="K817" s="1332"/>
      <c r="L817" s="1332"/>
      <c r="M817" s="1332"/>
      <c r="N817" s="1332"/>
      <c r="O817" s="1332"/>
      <c r="P817" s="1332"/>
      <c r="Q817" s="1332"/>
      <c r="R817" s="1332"/>
      <c r="S817" s="1332"/>
      <c r="T817" s="1332"/>
      <c r="U817" s="1332"/>
      <c r="V817" s="1332"/>
      <c r="W817" s="1332"/>
      <c r="X817" s="1332"/>
      <c r="Y817" s="1332"/>
      <c r="Z817" s="1332"/>
      <c r="AA817" s="1332"/>
      <c r="AB817" s="1332"/>
    </row>
    <row r="818">
      <c r="A818" s="1332"/>
      <c r="B818" s="1366"/>
      <c r="C818" s="1366"/>
      <c r="D818" s="1375"/>
      <c r="E818" s="1332"/>
      <c r="F818" s="1332"/>
      <c r="G818" s="1378"/>
      <c r="H818" s="1378"/>
      <c r="I818" s="1332"/>
      <c r="J818" s="1332"/>
      <c r="K818" s="1332"/>
      <c r="L818" s="1332"/>
      <c r="M818" s="1332"/>
      <c r="N818" s="1332"/>
      <c r="O818" s="1332"/>
      <c r="P818" s="1332"/>
      <c r="Q818" s="1332"/>
      <c r="R818" s="1332"/>
      <c r="S818" s="1332"/>
      <c r="T818" s="1332"/>
      <c r="U818" s="1332"/>
      <c r="V818" s="1332"/>
      <c r="W818" s="1332"/>
      <c r="X818" s="1332"/>
      <c r="Y818" s="1332"/>
      <c r="Z818" s="1332"/>
      <c r="AA818" s="1332"/>
      <c r="AB818" s="1332"/>
    </row>
    <row r="819">
      <c r="A819" s="1332"/>
      <c r="B819" s="1366"/>
      <c r="C819" s="1366"/>
      <c r="D819" s="1375"/>
      <c r="E819" s="1332"/>
      <c r="F819" s="1332"/>
      <c r="G819" s="1378"/>
      <c r="H819" s="1378"/>
      <c r="I819" s="1332"/>
      <c r="J819" s="1332"/>
      <c r="K819" s="1332"/>
      <c r="L819" s="1332"/>
      <c r="M819" s="1332"/>
      <c r="N819" s="1332"/>
      <c r="O819" s="1332"/>
      <c r="P819" s="1332"/>
      <c r="Q819" s="1332"/>
      <c r="R819" s="1332"/>
      <c r="S819" s="1332"/>
      <c r="T819" s="1332"/>
      <c r="U819" s="1332"/>
      <c r="V819" s="1332"/>
      <c r="W819" s="1332"/>
      <c r="X819" s="1332"/>
      <c r="Y819" s="1332"/>
      <c r="Z819" s="1332"/>
      <c r="AA819" s="1332"/>
      <c r="AB819" s="1332"/>
    </row>
    <row r="820">
      <c r="A820" s="1332"/>
      <c r="B820" s="1366"/>
      <c r="C820" s="1366"/>
      <c r="D820" s="1375"/>
      <c r="E820" s="1332"/>
      <c r="F820" s="1332"/>
      <c r="G820" s="1378"/>
      <c r="H820" s="1378"/>
      <c r="I820" s="1332"/>
      <c r="J820" s="1332"/>
      <c r="K820" s="1332"/>
      <c r="L820" s="1332"/>
      <c r="M820" s="1332"/>
      <c r="N820" s="1332"/>
      <c r="O820" s="1332"/>
      <c r="P820" s="1332"/>
      <c r="Q820" s="1332"/>
      <c r="R820" s="1332"/>
      <c r="S820" s="1332"/>
      <c r="T820" s="1332"/>
      <c r="U820" s="1332"/>
      <c r="V820" s="1332"/>
      <c r="W820" s="1332"/>
      <c r="X820" s="1332"/>
      <c r="Y820" s="1332"/>
      <c r="Z820" s="1332"/>
      <c r="AA820" s="1332"/>
      <c r="AB820" s="1332"/>
    </row>
    <row r="821">
      <c r="A821" s="1332"/>
      <c r="B821" s="1366"/>
      <c r="C821" s="1366"/>
      <c r="D821" s="1375"/>
      <c r="E821" s="1332"/>
      <c r="F821" s="1332"/>
      <c r="G821" s="1378"/>
      <c r="H821" s="1378"/>
      <c r="I821" s="1332"/>
      <c r="J821" s="1332"/>
      <c r="K821" s="1332"/>
      <c r="L821" s="1332"/>
      <c r="M821" s="1332"/>
      <c r="N821" s="1332"/>
      <c r="O821" s="1332"/>
      <c r="P821" s="1332"/>
      <c r="Q821" s="1332"/>
      <c r="R821" s="1332"/>
      <c r="S821" s="1332"/>
      <c r="T821" s="1332"/>
      <c r="U821" s="1332"/>
      <c r="V821" s="1332"/>
      <c r="W821" s="1332"/>
      <c r="X821" s="1332"/>
      <c r="Y821" s="1332"/>
      <c r="Z821" s="1332"/>
      <c r="AA821" s="1332"/>
      <c r="AB821" s="1332"/>
    </row>
    <row r="822">
      <c r="A822" s="1332"/>
      <c r="B822" s="1366"/>
      <c r="C822" s="1366"/>
      <c r="D822" s="1375"/>
      <c r="E822" s="1332"/>
      <c r="F822" s="1332"/>
      <c r="G822" s="1378"/>
      <c r="H822" s="1378"/>
      <c r="I822" s="1332"/>
      <c r="J822" s="1332"/>
      <c r="K822" s="1332"/>
      <c r="L822" s="1332"/>
      <c r="M822" s="1332"/>
      <c r="N822" s="1332"/>
      <c r="O822" s="1332"/>
      <c r="P822" s="1332"/>
      <c r="Q822" s="1332"/>
      <c r="R822" s="1332"/>
      <c r="S822" s="1332"/>
      <c r="T822" s="1332"/>
      <c r="U822" s="1332"/>
      <c r="V822" s="1332"/>
      <c r="W822" s="1332"/>
      <c r="X822" s="1332"/>
      <c r="Y822" s="1332"/>
      <c r="Z822" s="1332"/>
      <c r="AA822" s="1332"/>
      <c r="AB822" s="1332"/>
    </row>
    <row r="823">
      <c r="A823" s="1332"/>
      <c r="B823" s="1366"/>
      <c r="C823" s="1366"/>
      <c r="D823" s="1375"/>
      <c r="E823" s="1332"/>
      <c r="F823" s="1332"/>
      <c r="G823" s="1378"/>
      <c r="H823" s="1378"/>
      <c r="I823" s="1332"/>
      <c r="J823" s="1332"/>
      <c r="K823" s="1332"/>
      <c r="L823" s="1332"/>
      <c r="M823" s="1332"/>
      <c r="N823" s="1332"/>
      <c r="O823" s="1332"/>
      <c r="P823" s="1332"/>
      <c r="Q823" s="1332"/>
      <c r="R823" s="1332"/>
      <c r="S823" s="1332"/>
      <c r="T823" s="1332"/>
      <c r="U823" s="1332"/>
      <c r="V823" s="1332"/>
      <c r="W823" s="1332"/>
      <c r="X823" s="1332"/>
      <c r="Y823" s="1332"/>
      <c r="Z823" s="1332"/>
      <c r="AA823" s="1332"/>
      <c r="AB823" s="1332"/>
    </row>
    <row r="824">
      <c r="A824" s="1332"/>
      <c r="B824" s="1366"/>
      <c r="C824" s="1366"/>
      <c r="D824" s="1375"/>
      <c r="E824" s="1332"/>
      <c r="F824" s="1332"/>
      <c r="G824" s="1378"/>
      <c r="H824" s="1378"/>
      <c r="I824" s="1332"/>
      <c r="J824" s="1332"/>
      <c r="K824" s="1332"/>
      <c r="L824" s="1332"/>
      <c r="M824" s="1332"/>
      <c r="N824" s="1332"/>
      <c r="O824" s="1332"/>
      <c r="P824" s="1332"/>
      <c r="Q824" s="1332"/>
      <c r="R824" s="1332"/>
      <c r="S824" s="1332"/>
      <c r="T824" s="1332"/>
      <c r="U824" s="1332"/>
      <c r="V824" s="1332"/>
      <c r="W824" s="1332"/>
      <c r="X824" s="1332"/>
      <c r="Y824" s="1332"/>
      <c r="Z824" s="1332"/>
      <c r="AA824" s="1332"/>
      <c r="AB824" s="1332"/>
    </row>
    <row r="825">
      <c r="A825" s="1332"/>
      <c r="B825" s="1366"/>
      <c r="C825" s="1366"/>
      <c r="D825" s="1375"/>
      <c r="E825" s="1332"/>
      <c r="F825" s="1332"/>
      <c r="G825" s="1378"/>
      <c r="H825" s="1378"/>
      <c r="I825" s="1332"/>
      <c r="J825" s="1332"/>
      <c r="K825" s="1332"/>
      <c r="L825" s="1332"/>
      <c r="M825" s="1332"/>
      <c r="N825" s="1332"/>
      <c r="O825" s="1332"/>
      <c r="P825" s="1332"/>
      <c r="Q825" s="1332"/>
      <c r="R825" s="1332"/>
      <c r="S825" s="1332"/>
      <c r="T825" s="1332"/>
      <c r="U825" s="1332"/>
      <c r="V825" s="1332"/>
      <c r="W825" s="1332"/>
      <c r="X825" s="1332"/>
      <c r="Y825" s="1332"/>
      <c r="Z825" s="1332"/>
      <c r="AA825" s="1332"/>
      <c r="AB825" s="1332"/>
    </row>
    <row r="826">
      <c r="A826" s="1332"/>
      <c r="B826" s="1366"/>
      <c r="C826" s="1366"/>
      <c r="D826" s="1375"/>
      <c r="E826" s="1332"/>
      <c r="F826" s="1332"/>
      <c r="G826" s="1378"/>
      <c r="H826" s="1378"/>
      <c r="I826" s="1332"/>
      <c r="J826" s="1332"/>
      <c r="K826" s="1332"/>
      <c r="L826" s="1332"/>
      <c r="M826" s="1332"/>
      <c r="N826" s="1332"/>
      <c r="O826" s="1332"/>
      <c r="P826" s="1332"/>
      <c r="Q826" s="1332"/>
      <c r="R826" s="1332"/>
      <c r="S826" s="1332"/>
      <c r="T826" s="1332"/>
      <c r="U826" s="1332"/>
      <c r="V826" s="1332"/>
      <c r="W826" s="1332"/>
      <c r="X826" s="1332"/>
      <c r="Y826" s="1332"/>
      <c r="Z826" s="1332"/>
      <c r="AA826" s="1332"/>
      <c r="AB826" s="1332"/>
    </row>
    <row r="827">
      <c r="A827" s="1332"/>
      <c r="B827" s="1366"/>
      <c r="C827" s="1366"/>
      <c r="D827" s="1375"/>
      <c r="E827" s="1332"/>
      <c r="F827" s="1332"/>
      <c r="G827" s="1378"/>
      <c r="H827" s="1378"/>
      <c r="I827" s="1332"/>
      <c r="J827" s="1332"/>
      <c r="K827" s="1332"/>
      <c r="L827" s="1332"/>
      <c r="M827" s="1332"/>
      <c r="N827" s="1332"/>
      <c r="O827" s="1332"/>
      <c r="P827" s="1332"/>
      <c r="Q827" s="1332"/>
      <c r="R827" s="1332"/>
      <c r="S827" s="1332"/>
      <c r="T827" s="1332"/>
      <c r="U827" s="1332"/>
      <c r="V827" s="1332"/>
      <c r="W827" s="1332"/>
      <c r="X827" s="1332"/>
      <c r="Y827" s="1332"/>
      <c r="Z827" s="1332"/>
      <c r="AA827" s="1332"/>
      <c r="AB827" s="1332"/>
    </row>
    <row r="828">
      <c r="A828" s="1332"/>
      <c r="B828" s="1366"/>
      <c r="C828" s="1366"/>
      <c r="D828" s="1375"/>
      <c r="E828" s="1332"/>
      <c r="F828" s="1332"/>
      <c r="G828" s="1378"/>
      <c r="H828" s="1378"/>
      <c r="I828" s="1332"/>
      <c r="J828" s="1332"/>
      <c r="K828" s="1332"/>
      <c r="L828" s="1332"/>
      <c r="M828" s="1332"/>
      <c r="N828" s="1332"/>
      <c r="O828" s="1332"/>
      <c r="P828" s="1332"/>
      <c r="Q828" s="1332"/>
      <c r="R828" s="1332"/>
      <c r="S828" s="1332"/>
      <c r="T828" s="1332"/>
      <c r="U828" s="1332"/>
      <c r="V828" s="1332"/>
      <c r="W828" s="1332"/>
      <c r="X828" s="1332"/>
      <c r="Y828" s="1332"/>
      <c r="Z828" s="1332"/>
      <c r="AA828" s="1332"/>
      <c r="AB828" s="1332"/>
    </row>
    <row r="829">
      <c r="A829" s="1332"/>
      <c r="B829" s="1366"/>
      <c r="C829" s="1366"/>
      <c r="D829" s="1375"/>
      <c r="E829" s="1332"/>
      <c r="F829" s="1332"/>
      <c r="G829" s="1378"/>
      <c r="H829" s="1378"/>
      <c r="I829" s="1332"/>
      <c r="J829" s="1332"/>
      <c r="K829" s="1332"/>
      <c r="L829" s="1332"/>
      <c r="M829" s="1332"/>
      <c r="N829" s="1332"/>
      <c r="O829" s="1332"/>
      <c r="P829" s="1332"/>
      <c r="Q829" s="1332"/>
      <c r="R829" s="1332"/>
      <c r="S829" s="1332"/>
      <c r="T829" s="1332"/>
      <c r="U829" s="1332"/>
      <c r="V829" s="1332"/>
      <c r="W829" s="1332"/>
      <c r="X829" s="1332"/>
      <c r="Y829" s="1332"/>
      <c r="Z829" s="1332"/>
      <c r="AA829" s="1332"/>
      <c r="AB829" s="1332"/>
    </row>
    <row r="830">
      <c r="A830" s="1332"/>
      <c r="B830" s="1366"/>
      <c r="C830" s="1366"/>
      <c r="D830" s="1375"/>
      <c r="E830" s="1332"/>
      <c r="F830" s="1332"/>
      <c r="G830" s="1378"/>
      <c r="H830" s="1378"/>
      <c r="I830" s="1332"/>
      <c r="J830" s="1332"/>
      <c r="K830" s="1332"/>
      <c r="L830" s="1332"/>
      <c r="M830" s="1332"/>
      <c r="N830" s="1332"/>
      <c r="O830" s="1332"/>
      <c r="P830" s="1332"/>
      <c r="Q830" s="1332"/>
      <c r="R830" s="1332"/>
      <c r="S830" s="1332"/>
      <c r="T830" s="1332"/>
      <c r="U830" s="1332"/>
      <c r="V830" s="1332"/>
      <c r="W830" s="1332"/>
      <c r="X830" s="1332"/>
      <c r="Y830" s="1332"/>
      <c r="Z830" s="1332"/>
      <c r="AA830" s="1332"/>
      <c r="AB830" s="1332"/>
    </row>
    <row r="831">
      <c r="A831" s="1332"/>
      <c r="B831" s="1366"/>
      <c r="C831" s="1366"/>
      <c r="D831" s="1375"/>
      <c r="E831" s="1332"/>
      <c r="F831" s="1332"/>
      <c r="G831" s="1378"/>
      <c r="H831" s="1378"/>
      <c r="I831" s="1332"/>
      <c r="J831" s="1332"/>
      <c r="K831" s="1332"/>
      <c r="L831" s="1332"/>
      <c r="M831" s="1332"/>
      <c r="N831" s="1332"/>
      <c r="O831" s="1332"/>
      <c r="P831" s="1332"/>
      <c r="Q831" s="1332"/>
      <c r="R831" s="1332"/>
      <c r="S831" s="1332"/>
      <c r="T831" s="1332"/>
      <c r="U831" s="1332"/>
      <c r="V831" s="1332"/>
      <c r="W831" s="1332"/>
      <c r="X831" s="1332"/>
      <c r="Y831" s="1332"/>
      <c r="Z831" s="1332"/>
      <c r="AA831" s="1332"/>
      <c r="AB831" s="1332"/>
    </row>
    <row r="832">
      <c r="A832" s="1332"/>
      <c r="B832" s="1366"/>
      <c r="C832" s="1366"/>
      <c r="D832" s="1375"/>
      <c r="E832" s="1332"/>
      <c r="F832" s="1332"/>
      <c r="G832" s="1378"/>
      <c r="H832" s="1378"/>
      <c r="I832" s="1332"/>
      <c r="J832" s="1332"/>
      <c r="K832" s="1332"/>
      <c r="L832" s="1332"/>
      <c r="M832" s="1332"/>
      <c r="N832" s="1332"/>
      <c r="O832" s="1332"/>
      <c r="P832" s="1332"/>
      <c r="Q832" s="1332"/>
      <c r="R832" s="1332"/>
      <c r="S832" s="1332"/>
      <c r="T832" s="1332"/>
      <c r="U832" s="1332"/>
      <c r="V832" s="1332"/>
      <c r="W832" s="1332"/>
      <c r="X832" s="1332"/>
      <c r="Y832" s="1332"/>
      <c r="Z832" s="1332"/>
      <c r="AA832" s="1332"/>
      <c r="AB832" s="1332"/>
    </row>
    <row r="833">
      <c r="A833" s="1332"/>
      <c r="B833" s="1366"/>
      <c r="C833" s="1366"/>
      <c r="D833" s="1375"/>
      <c r="E833" s="1332"/>
      <c r="F833" s="1332"/>
      <c r="G833" s="1378"/>
      <c r="H833" s="1378"/>
      <c r="I833" s="1332"/>
      <c r="J833" s="1332"/>
      <c r="K833" s="1332"/>
      <c r="L833" s="1332"/>
      <c r="M833" s="1332"/>
      <c r="N833" s="1332"/>
      <c r="O833" s="1332"/>
      <c r="P833" s="1332"/>
      <c r="Q833" s="1332"/>
      <c r="R833" s="1332"/>
      <c r="S833" s="1332"/>
      <c r="T833" s="1332"/>
      <c r="U833" s="1332"/>
      <c r="V833" s="1332"/>
      <c r="W833" s="1332"/>
      <c r="X833" s="1332"/>
      <c r="Y833" s="1332"/>
      <c r="Z833" s="1332"/>
      <c r="AA833" s="1332"/>
      <c r="AB833" s="1332"/>
    </row>
    <row r="834">
      <c r="A834" s="1332"/>
      <c r="B834" s="1366"/>
      <c r="C834" s="1366"/>
      <c r="D834" s="1375"/>
      <c r="E834" s="1332"/>
      <c r="F834" s="1332"/>
      <c r="G834" s="1378"/>
      <c r="H834" s="1378"/>
      <c r="I834" s="1332"/>
      <c r="J834" s="1332"/>
      <c r="K834" s="1332"/>
      <c r="L834" s="1332"/>
      <c r="M834" s="1332"/>
      <c r="N834" s="1332"/>
      <c r="O834" s="1332"/>
      <c r="P834" s="1332"/>
      <c r="Q834" s="1332"/>
      <c r="R834" s="1332"/>
      <c r="S834" s="1332"/>
      <c r="T834" s="1332"/>
      <c r="U834" s="1332"/>
      <c r="V834" s="1332"/>
      <c r="W834" s="1332"/>
      <c r="X834" s="1332"/>
      <c r="Y834" s="1332"/>
      <c r="Z834" s="1332"/>
      <c r="AA834" s="1332"/>
      <c r="AB834" s="1332"/>
    </row>
    <row r="835">
      <c r="A835" s="1332"/>
      <c r="B835" s="1366"/>
      <c r="C835" s="1366"/>
      <c r="D835" s="1375"/>
      <c r="E835" s="1332"/>
      <c r="F835" s="1332"/>
      <c r="G835" s="1378"/>
      <c r="H835" s="1378"/>
      <c r="I835" s="1332"/>
      <c r="J835" s="1332"/>
      <c r="K835" s="1332"/>
      <c r="L835" s="1332"/>
      <c r="M835" s="1332"/>
      <c r="N835" s="1332"/>
      <c r="O835" s="1332"/>
      <c r="P835" s="1332"/>
      <c r="Q835" s="1332"/>
      <c r="R835" s="1332"/>
      <c r="S835" s="1332"/>
      <c r="T835" s="1332"/>
      <c r="U835" s="1332"/>
      <c r="V835" s="1332"/>
      <c r="W835" s="1332"/>
      <c r="X835" s="1332"/>
      <c r="Y835" s="1332"/>
      <c r="Z835" s="1332"/>
      <c r="AA835" s="1332"/>
      <c r="AB835" s="1332"/>
    </row>
    <row r="836">
      <c r="A836" s="1332"/>
      <c r="B836" s="1366"/>
      <c r="C836" s="1366"/>
      <c r="D836" s="1375"/>
      <c r="E836" s="1332"/>
      <c r="F836" s="1332"/>
      <c r="G836" s="1378"/>
      <c r="H836" s="1378"/>
      <c r="I836" s="1332"/>
      <c r="J836" s="1332"/>
      <c r="K836" s="1332"/>
      <c r="L836" s="1332"/>
      <c r="M836" s="1332"/>
      <c r="N836" s="1332"/>
      <c r="O836" s="1332"/>
      <c r="P836" s="1332"/>
      <c r="Q836" s="1332"/>
      <c r="R836" s="1332"/>
      <c r="S836" s="1332"/>
      <c r="T836" s="1332"/>
      <c r="U836" s="1332"/>
      <c r="V836" s="1332"/>
      <c r="W836" s="1332"/>
      <c r="X836" s="1332"/>
      <c r="Y836" s="1332"/>
      <c r="Z836" s="1332"/>
      <c r="AA836" s="1332"/>
      <c r="AB836" s="1332"/>
    </row>
    <row r="837">
      <c r="A837" s="1332"/>
      <c r="B837" s="1366"/>
      <c r="C837" s="1366"/>
      <c r="D837" s="1375"/>
      <c r="E837" s="1332"/>
      <c r="F837" s="1332"/>
      <c r="G837" s="1378"/>
      <c r="H837" s="1378"/>
      <c r="I837" s="1332"/>
      <c r="J837" s="1332"/>
      <c r="K837" s="1332"/>
      <c r="L837" s="1332"/>
      <c r="M837" s="1332"/>
      <c r="N837" s="1332"/>
      <c r="O837" s="1332"/>
      <c r="P837" s="1332"/>
      <c r="Q837" s="1332"/>
      <c r="R837" s="1332"/>
      <c r="S837" s="1332"/>
      <c r="T837" s="1332"/>
      <c r="U837" s="1332"/>
      <c r="V837" s="1332"/>
      <c r="W837" s="1332"/>
      <c r="X837" s="1332"/>
      <c r="Y837" s="1332"/>
      <c r="Z837" s="1332"/>
      <c r="AA837" s="1332"/>
      <c r="AB837" s="1332"/>
    </row>
    <row r="838">
      <c r="A838" s="1332"/>
      <c r="B838" s="1366"/>
      <c r="C838" s="1366"/>
      <c r="D838" s="1375"/>
      <c r="E838" s="1332"/>
      <c r="F838" s="1332"/>
      <c r="G838" s="1378"/>
      <c r="H838" s="1378"/>
      <c r="I838" s="1332"/>
      <c r="J838" s="1332"/>
      <c r="K838" s="1332"/>
      <c r="L838" s="1332"/>
      <c r="M838" s="1332"/>
      <c r="N838" s="1332"/>
      <c r="O838" s="1332"/>
      <c r="P838" s="1332"/>
      <c r="Q838" s="1332"/>
      <c r="R838" s="1332"/>
      <c r="S838" s="1332"/>
      <c r="T838" s="1332"/>
      <c r="U838" s="1332"/>
      <c r="V838" s="1332"/>
      <c r="W838" s="1332"/>
      <c r="X838" s="1332"/>
      <c r="Y838" s="1332"/>
      <c r="Z838" s="1332"/>
      <c r="AA838" s="1332"/>
      <c r="AB838" s="1332"/>
    </row>
    <row r="839">
      <c r="A839" s="1332"/>
      <c r="B839" s="1366"/>
      <c r="C839" s="1366"/>
      <c r="D839" s="1375"/>
      <c r="E839" s="1332"/>
      <c r="F839" s="1332"/>
      <c r="G839" s="1378"/>
      <c r="H839" s="1378"/>
      <c r="I839" s="1332"/>
      <c r="J839" s="1332"/>
      <c r="K839" s="1332"/>
      <c r="L839" s="1332"/>
      <c r="M839" s="1332"/>
      <c r="N839" s="1332"/>
      <c r="O839" s="1332"/>
      <c r="P839" s="1332"/>
      <c r="Q839" s="1332"/>
      <c r="R839" s="1332"/>
      <c r="S839" s="1332"/>
      <c r="T839" s="1332"/>
      <c r="U839" s="1332"/>
      <c r="V839" s="1332"/>
      <c r="W839" s="1332"/>
      <c r="X839" s="1332"/>
      <c r="Y839" s="1332"/>
      <c r="Z839" s="1332"/>
      <c r="AA839" s="1332"/>
      <c r="AB839" s="1332"/>
    </row>
    <row r="840">
      <c r="A840" s="1332"/>
      <c r="B840" s="1366"/>
      <c r="C840" s="1366"/>
      <c r="D840" s="1375"/>
      <c r="E840" s="1332"/>
      <c r="F840" s="1332"/>
      <c r="G840" s="1378"/>
      <c r="H840" s="1378"/>
      <c r="I840" s="1332"/>
      <c r="J840" s="1332"/>
      <c r="K840" s="1332"/>
      <c r="L840" s="1332"/>
      <c r="M840" s="1332"/>
      <c r="N840" s="1332"/>
      <c r="O840" s="1332"/>
      <c r="P840" s="1332"/>
      <c r="Q840" s="1332"/>
      <c r="R840" s="1332"/>
      <c r="S840" s="1332"/>
      <c r="T840" s="1332"/>
      <c r="U840" s="1332"/>
      <c r="V840" s="1332"/>
      <c r="W840" s="1332"/>
      <c r="X840" s="1332"/>
      <c r="Y840" s="1332"/>
      <c r="Z840" s="1332"/>
      <c r="AA840" s="1332"/>
      <c r="AB840" s="1332"/>
    </row>
    <row r="841">
      <c r="A841" s="1332"/>
      <c r="B841" s="1366"/>
      <c r="C841" s="1366"/>
      <c r="D841" s="1375"/>
      <c r="E841" s="1332"/>
      <c r="F841" s="1332"/>
      <c r="G841" s="1378"/>
      <c r="H841" s="1378"/>
      <c r="I841" s="1332"/>
      <c r="J841" s="1332"/>
      <c r="K841" s="1332"/>
      <c r="L841" s="1332"/>
      <c r="M841" s="1332"/>
      <c r="N841" s="1332"/>
      <c r="O841" s="1332"/>
      <c r="P841" s="1332"/>
      <c r="Q841" s="1332"/>
      <c r="R841" s="1332"/>
      <c r="S841" s="1332"/>
      <c r="T841" s="1332"/>
      <c r="U841" s="1332"/>
      <c r="V841" s="1332"/>
      <c r="W841" s="1332"/>
      <c r="X841" s="1332"/>
      <c r="Y841" s="1332"/>
      <c r="Z841" s="1332"/>
      <c r="AA841" s="1332"/>
      <c r="AB841" s="1332"/>
    </row>
    <row r="842">
      <c r="A842" s="1332"/>
      <c r="B842" s="1366"/>
      <c r="C842" s="1366"/>
      <c r="D842" s="1375"/>
      <c r="E842" s="1332"/>
      <c r="F842" s="1332"/>
      <c r="G842" s="1378"/>
      <c r="H842" s="1378"/>
      <c r="I842" s="1332"/>
      <c r="J842" s="1332"/>
      <c r="K842" s="1332"/>
      <c r="L842" s="1332"/>
      <c r="M842" s="1332"/>
      <c r="N842" s="1332"/>
      <c r="O842" s="1332"/>
      <c r="P842" s="1332"/>
      <c r="Q842" s="1332"/>
      <c r="R842" s="1332"/>
      <c r="S842" s="1332"/>
      <c r="T842" s="1332"/>
      <c r="U842" s="1332"/>
      <c r="V842" s="1332"/>
      <c r="W842" s="1332"/>
      <c r="X842" s="1332"/>
      <c r="Y842" s="1332"/>
      <c r="Z842" s="1332"/>
      <c r="AA842" s="1332"/>
      <c r="AB842" s="1332"/>
    </row>
    <row r="843">
      <c r="A843" s="1332"/>
      <c r="B843" s="1366"/>
      <c r="C843" s="1366"/>
      <c r="D843" s="1375"/>
      <c r="E843" s="1332"/>
      <c r="F843" s="1332"/>
      <c r="G843" s="1378"/>
      <c r="H843" s="1378"/>
      <c r="I843" s="1332"/>
      <c r="J843" s="1332"/>
      <c r="K843" s="1332"/>
      <c r="L843" s="1332"/>
      <c r="M843" s="1332"/>
      <c r="N843" s="1332"/>
      <c r="O843" s="1332"/>
      <c r="P843" s="1332"/>
      <c r="Q843" s="1332"/>
      <c r="R843" s="1332"/>
      <c r="S843" s="1332"/>
      <c r="T843" s="1332"/>
      <c r="U843" s="1332"/>
      <c r="V843" s="1332"/>
      <c r="W843" s="1332"/>
      <c r="X843" s="1332"/>
      <c r="Y843" s="1332"/>
      <c r="Z843" s="1332"/>
      <c r="AA843" s="1332"/>
      <c r="AB843" s="1332"/>
    </row>
    <row r="844">
      <c r="A844" s="1332"/>
      <c r="B844" s="1366"/>
      <c r="C844" s="1366"/>
      <c r="D844" s="1375"/>
      <c r="E844" s="1332"/>
      <c r="F844" s="1332"/>
      <c r="G844" s="1378"/>
      <c r="H844" s="1378"/>
      <c r="I844" s="1332"/>
      <c r="J844" s="1332"/>
      <c r="K844" s="1332"/>
      <c r="L844" s="1332"/>
      <c r="M844" s="1332"/>
      <c r="N844" s="1332"/>
      <c r="O844" s="1332"/>
      <c r="P844" s="1332"/>
      <c r="Q844" s="1332"/>
      <c r="R844" s="1332"/>
      <c r="S844" s="1332"/>
      <c r="T844" s="1332"/>
      <c r="U844" s="1332"/>
      <c r="V844" s="1332"/>
      <c r="W844" s="1332"/>
      <c r="X844" s="1332"/>
      <c r="Y844" s="1332"/>
      <c r="Z844" s="1332"/>
      <c r="AA844" s="1332"/>
      <c r="AB844" s="1332"/>
    </row>
    <row r="845">
      <c r="A845" s="1332"/>
      <c r="B845" s="1366"/>
      <c r="C845" s="1366"/>
      <c r="D845" s="1375"/>
      <c r="E845" s="1332"/>
      <c r="F845" s="1332"/>
      <c r="G845" s="1378"/>
      <c r="H845" s="1378"/>
      <c r="I845" s="1332"/>
      <c r="J845" s="1332"/>
      <c r="K845" s="1332"/>
      <c r="L845" s="1332"/>
      <c r="M845" s="1332"/>
      <c r="N845" s="1332"/>
      <c r="O845" s="1332"/>
      <c r="P845" s="1332"/>
      <c r="Q845" s="1332"/>
      <c r="R845" s="1332"/>
      <c r="S845" s="1332"/>
      <c r="T845" s="1332"/>
      <c r="U845" s="1332"/>
      <c r="V845" s="1332"/>
      <c r="W845" s="1332"/>
      <c r="X845" s="1332"/>
      <c r="Y845" s="1332"/>
      <c r="Z845" s="1332"/>
      <c r="AA845" s="1332"/>
      <c r="AB845" s="1332"/>
    </row>
    <row r="846">
      <c r="A846" s="1332"/>
      <c r="B846" s="1366"/>
      <c r="C846" s="1366"/>
      <c r="D846" s="1375"/>
      <c r="E846" s="1332"/>
      <c r="F846" s="1332"/>
      <c r="G846" s="1378"/>
      <c r="H846" s="1378"/>
      <c r="I846" s="1332"/>
      <c r="J846" s="1332"/>
      <c r="K846" s="1332"/>
      <c r="L846" s="1332"/>
      <c r="M846" s="1332"/>
      <c r="N846" s="1332"/>
      <c r="O846" s="1332"/>
      <c r="P846" s="1332"/>
      <c r="Q846" s="1332"/>
      <c r="R846" s="1332"/>
      <c r="S846" s="1332"/>
      <c r="T846" s="1332"/>
      <c r="U846" s="1332"/>
      <c r="V846" s="1332"/>
      <c r="W846" s="1332"/>
      <c r="X846" s="1332"/>
      <c r="Y846" s="1332"/>
      <c r="Z846" s="1332"/>
      <c r="AA846" s="1332"/>
      <c r="AB846" s="1332"/>
    </row>
    <row r="847">
      <c r="A847" s="1332"/>
      <c r="B847" s="1366"/>
      <c r="C847" s="1366"/>
      <c r="D847" s="1375"/>
      <c r="E847" s="1332"/>
      <c r="F847" s="1332"/>
      <c r="G847" s="1378"/>
      <c r="H847" s="1378"/>
      <c r="I847" s="1332"/>
      <c r="J847" s="1332"/>
      <c r="K847" s="1332"/>
      <c r="L847" s="1332"/>
      <c r="M847" s="1332"/>
      <c r="N847" s="1332"/>
      <c r="O847" s="1332"/>
      <c r="P847" s="1332"/>
      <c r="Q847" s="1332"/>
      <c r="R847" s="1332"/>
      <c r="S847" s="1332"/>
      <c r="T847" s="1332"/>
      <c r="U847" s="1332"/>
      <c r="V847" s="1332"/>
      <c r="W847" s="1332"/>
      <c r="X847" s="1332"/>
      <c r="Y847" s="1332"/>
      <c r="Z847" s="1332"/>
      <c r="AA847" s="1332"/>
      <c r="AB847" s="1332"/>
    </row>
    <row r="848">
      <c r="A848" s="1332"/>
      <c r="B848" s="1366"/>
      <c r="C848" s="1366"/>
      <c r="D848" s="1375"/>
      <c r="E848" s="1332"/>
      <c r="F848" s="1332"/>
      <c r="G848" s="1378"/>
      <c r="H848" s="1378"/>
      <c r="I848" s="1332"/>
      <c r="J848" s="1332"/>
      <c r="K848" s="1332"/>
      <c r="L848" s="1332"/>
      <c r="M848" s="1332"/>
      <c r="N848" s="1332"/>
      <c r="O848" s="1332"/>
      <c r="P848" s="1332"/>
      <c r="Q848" s="1332"/>
      <c r="R848" s="1332"/>
      <c r="S848" s="1332"/>
      <c r="T848" s="1332"/>
      <c r="U848" s="1332"/>
      <c r="V848" s="1332"/>
      <c r="W848" s="1332"/>
      <c r="X848" s="1332"/>
      <c r="Y848" s="1332"/>
      <c r="Z848" s="1332"/>
      <c r="AA848" s="1332"/>
      <c r="AB848" s="1332"/>
    </row>
    <row r="849">
      <c r="A849" s="1332"/>
      <c r="B849" s="1366"/>
      <c r="C849" s="1366"/>
      <c r="D849" s="1375"/>
      <c r="E849" s="1332"/>
      <c r="F849" s="1332"/>
      <c r="G849" s="1378"/>
      <c r="H849" s="1378"/>
      <c r="I849" s="1332"/>
      <c r="J849" s="1332"/>
      <c r="K849" s="1332"/>
      <c r="L849" s="1332"/>
      <c r="M849" s="1332"/>
      <c r="N849" s="1332"/>
      <c r="O849" s="1332"/>
      <c r="P849" s="1332"/>
      <c r="Q849" s="1332"/>
      <c r="R849" s="1332"/>
      <c r="S849" s="1332"/>
      <c r="T849" s="1332"/>
      <c r="U849" s="1332"/>
      <c r="V849" s="1332"/>
      <c r="W849" s="1332"/>
      <c r="X849" s="1332"/>
      <c r="Y849" s="1332"/>
      <c r="Z849" s="1332"/>
      <c r="AA849" s="1332"/>
      <c r="AB849" s="1332"/>
    </row>
    <row r="850">
      <c r="A850" s="1332"/>
      <c r="B850" s="1366"/>
      <c r="C850" s="1366"/>
      <c r="D850" s="1375"/>
      <c r="E850" s="1332"/>
      <c r="F850" s="1332"/>
      <c r="G850" s="1378"/>
      <c r="H850" s="1378"/>
      <c r="I850" s="1332"/>
      <c r="J850" s="1332"/>
      <c r="K850" s="1332"/>
      <c r="L850" s="1332"/>
      <c r="M850" s="1332"/>
      <c r="N850" s="1332"/>
      <c r="O850" s="1332"/>
      <c r="P850" s="1332"/>
      <c r="Q850" s="1332"/>
      <c r="R850" s="1332"/>
      <c r="S850" s="1332"/>
      <c r="T850" s="1332"/>
      <c r="U850" s="1332"/>
      <c r="V850" s="1332"/>
      <c r="W850" s="1332"/>
      <c r="X850" s="1332"/>
      <c r="Y850" s="1332"/>
      <c r="Z850" s="1332"/>
      <c r="AA850" s="1332"/>
      <c r="AB850" s="1332"/>
    </row>
    <row r="851">
      <c r="A851" s="1332"/>
      <c r="B851" s="1366"/>
      <c r="C851" s="1366"/>
      <c r="D851" s="1375"/>
      <c r="E851" s="1332"/>
      <c r="F851" s="1332"/>
      <c r="G851" s="1378"/>
      <c r="H851" s="1378"/>
      <c r="I851" s="1332"/>
      <c r="J851" s="1332"/>
      <c r="K851" s="1332"/>
      <c r="L851" s="1332"/>
      <c r="M851" s="1332"/>
      <c r="N851" s="1332"/>
      <c r="O851" s="1332"/>
      <c r="P851" s="1332"/>
      <c r="Q851" s="1332"/>
      <c r="R851" s="1332"/>
      <c r="S851" s="1332"/>
      <c r="T851" s="1332"/>
      <c r="U851" s="1332"/>
      <c r="V851" s="1332"/>
      <c r="W851" s="1332"/>
      <c r="X851" s="1332"/>
      <c r="Y851" s="1332"/>
      <c r="Z851" s="1332"/>
      <c r="AA851" s="1332"/>
      <c r="AB851" s="1332"/>
    </row>
    <row r="852">
      <c r="A852" s="1332"/>
      <c r="B852" s="1366"/>
      <c r="C852" s="1366"/>
      <c r="D852" s="1375"/>
      <c r="E852" s="1332"/>
      <c r="F852" s="1332"/>
      <c r="G852" s="1378"/>
      <c r="H852" s="1378"/>
      <c r="I852" s="1332"/>
      <c r="J852" s="1332"/>
      <c r="K852" s="1332"/>
      <c r="L852" s="1332"/>
      <c r="M852" s="1332"/>
      <c r="N852" s="1332"/>
      <c r="O852" s="1332"/>
      <c r="P852" s="1332"/>
      <c r="Q852" s="1332"/>
      <c r="R852" s="1332"/>
      <c r="S852" s="1332"/>
      <c r="T852" s="1332"/>
      <c r="U852" s="1332"/>
      <c r="V852" s="1332"/>
      <c r="W852" s="1332"/>
      <c r="X852" s="1332"/>
      <c r="Y852" s="1332"/>
      <c r="Z852" s="1332"/>
      <c r="AA852" s="1332"/>
      <c r="AB852" s="1332"/>
    </row>
    <row r="853">
      <c r="A853" s="1332"/>
      <c r="B853" s="1366"/>
      <c r="C853" s="1366"/>
      <c r="D853" s="1375"/>
      <c r="E853" s="1332"/>
      <c r="F853" s="1332"/>
      <c r="G853" s="1378"/>
      <c r="H853" s="1378"/>
      <c r="I853" s="1332"/>
      <c r="J853" s="1332"/>
      <c r="K853" s="1332"/>
      <c r="L853" s="1332"/>
      <c r="M853" s="1332"/>
      <c r="N853" s="1332"/>
      <c r="O853" s="1332"/>
      <c r="P853" s="1332"/>
      <c r="Q853" s="1332"/>
      <c r="R853" s="1332"/>
      <c r="S853" s="1332"/>
      <c r="T853" s="1332"/>
      <c r="U853" s="1332"/>
      <c r="V853" s="1332"/>
      <c r="W853" s="1332"/>
      <c r="X853" s="1332"/>
      <c r="Y853" s="1332"/>
      <c r="Z853" s="1332"/>
      <c r="AA853" s="1332"/>
      <c r="AB853" s="1332"/>
    </row>
    <row r="854">
      <c r="A854" s="1332"/>
      <c r="B854" s="1366"/>
      <c r="C854" s="1366"/>
      <c r="D854" s="1375"/>
      <c r="E854" s="1332"/>
      <c r="F854" s="1332"/>
      <c r="G854" s="1378"/>
      <c r="H854" s="1378"/>
      <c r="I854" s="1332"/>
      <c r="J854" s="1332"/>
      <c r="K854" s="1332"/>
      <c r="L854" s="1332"/>
      <c r="M854" s="1332"/>
      <c r="N854" s="1332"/>
      <c r="O854" s="1332"/>
      <c r="P854" s="1332"/>
      <c r="Q854" s="1332"/>
      <c r="R854" s="1332"/>
      <c r="S854" s="1332"/>
      <c r="T854" s="1332"/>
      <c r="U854" s="1332"/>
      <c r="V854" s="1332"/>
      <c r="W854" s="1332"/>
      <c r="X854" s="1332"/>
      <c r="Y854" s="1332"/>
      <c r="Z854" s="1332"/>
      <c r="AA854" s="1332"/>
      <c r="AB854" s="1332"/>
    </row>
    <row r="855">
      <c r="A855" s="1332"/>
      <c r="B855" s="1366"/>
      <c r="C855" s="1366"/>
      <c r="D855" s="1375"/>
      <c r="E855" s="1332"/>
      <c r="F855" s="1332"/>
      <c r="G855" s="1378"/>
      <c r="H855" s="1378"/>
      <c r="I855" s="1332"/>
      <c r="J855" s="1332"/>
      <c r="K855" s="1332"/>
      <c r="L855" s="1332"/>
      <c r="M855" s="1332"/>
      <c r="N855" s="1332"/>
      <c r="O855" s="1332"/>
      <c r="P855" s="1332"/>
      <c r="Q855" s="1332"/>
      <c r="R855" s="1332"/>
      <c r="S855" s="1332"/>
      <c r="T855" s="1332"/>
      <c r="U855" s="1332"/>
      <c r="V855" s="1332"/>
      <c r="W855" s="1332"/>
      <c r="X855" s="1332"/>
      <c r="Y855" s="1332"/>
      <c r="Z855" s="1332"/>
      <c r="AA855" s="1332"/>
      <c r="AB855" s="1332"/>
    </row>
    <row r="856">
      <c r="A856" s="1332"/>
      <c r="B856" s="1366"/>
      <c r="C856" s="1366"/>
      <c r="D856" s="1375"/>
      <c r="E856" s="1332"/>
      <c r="F856" s="1332"/>
      <c r="G856" s="1378"/>
      <c r="H856" s="1378"/>
      <c r="I856" s="1332"/>
      <c r="J856" s="1332"/>
      <c r="K856" s="1332"/>
      <c r="L856" s="1332"/>
      <c r="M856" s="1332"/>
      <c r="N856" s="1332"/>
      <c r="O856" s="1332"/>
      <c r="P856" s="1332"/>
      <c r="Q856" s="1332"/>
      <c r="R856" s="1332"/>
      <c r="S856" s="1332"/>
      <c r="T856" s="1332"/>
      <c r="U856" s="1332"/>
      <c r="V856" s="1332"/>
      <c r="W856" s="1332"/>
      <c r="X856" s="1332"/>
      <c r="Y856" s="1332"/>
      <c r="Z856" s="1332"/>
      <c r="AA856" s="1332"/>
      <c r="AB856" s="1332"/>
    </row>
    <row r="857">
      <c r="A857" s="1332"/>
      <c r="B857" s="1366"/>
      <c r="C857" s="1366"/>
      <c r="D857" s="1375"/>
      <c r="E857" s="1332"/>
      <c r="F857" s="1332"/>
      <c r="G857" s="1378"/>
      <c r="H857" s="1378"/>
      <c r="I857" s="1332"/>
      <c r="J857" s="1332"/>
      <c r="K857" s="1332"/>
      <c r="L857" s="1332"/>
      <c r="M857" s="1332"/>
      <c r="N857" s="1332"/>
      <c r="O857" s="1332"/>
      <c r="P857" s="1332"/>
      <c r="Q857" s="1332"/>
      <c r="R857" s="1332"/>
      <c r="S857" s="1332"/>
      <c r="T857" s="1332"/>
      <c r="U857" s="1332"/>
      <c r="V857" s="1332"/>
      <c r="W857" s="1332"/>
      <c r="X857" s="1332"/>
      <c r="Y857" s="1332"/>
      <c r="Z857" s="1332"/>
      <c r="AA857" s="1332"/>
      <c r="AB857" s="1332"/>
    </row>
    <row r="858">
      <c r="A858" s="1332"/>
      <c r="B858" s="1366"/>
      <c r="C858" s="1366"/>
      <c r="D858" s="1375"/>
      <c r="E858" s="1332"/>
      <c r="F858" s="1332"/>
      <c r="G858" s="1378"/>
      <c r="H858" s="1378"/>
      <c r="I858" s="1332"/>
      <c r="J858" s="1332"/>
      <c r="K858" s="1332"/>
      <c r="L858" s="1332"/>
      <c r="M858" s="1332"/>
      <c r="N858" s="1332"/>
      <c r="O858" s="1332"/>
      <c r="P858" s="1332"/>
      <c r="Q858" s="1332"/>
      <c r="R858" s="1332"/>
      <c r="S858" s="1332"/>
      <c r="T858" s="1332"/>
      <c r="U858" s="1332"/>
      <c r="V858" s="1332"/>
      <c r="W858" s="1332"/>
      <c r="X858" s="1332"/>
      <c r="Y858" s="1332"/>
      <c r="Z858" s="1332"/>
      <c r="AA858" s="1332"/>
      <c r="AB858" s="1332"/>
    </row>
    <row r="859">
      <c r="A859" s="1332"/>
      <c r="B859" s="1366"/>
      <c r="C859" s="1366"/>
      <c r="D859" s="1375"/>
      <c r="E859" s="1332"/>
      <c r="F859" s="1332"/>
      <c r="G859" s="1378"/>
      <c r="H859" s="1378"/>
      <c r="I859" s="1332"/>
      <c r="J859" s="1332"/>
      <c r="K859" s="1332"/>
      <c r="L859" s="1332"/>
      <c r="M859" s="1332"/>
      <c r="N859" s="1332"/>
      <c r="O859" s="1332"/>
      <c r="P859" s="1332"/>
      <c r="Q859" s="1332"/>
      <c r="R859" s="1332"/>
      <c r="S859" s="1332"/>
      <c r="T859" s="1332"/>
      <c r="U859" s="1332"/>
      <c r="V859" s="1332"/>
      <c r="W859" s="1332"/>
      <c r="X859" s="1332"/>
      <c r="Y859" s="1332"/>
      <c r="Z859" s="1332"/>
      <c r="AA859" s="1332"/>
      <c r="AB859" s="1332"/>
    </row>
    <row r="860">
      <c r="A860" s="1332"/>
      <c r="B860" s="1366"/>
      <c r="C860" s="1366"/>
      <c r="D860" s="1375"/>
      <c r="E860" s="1332"/>
      <c r="F860" s="1332"/>
      <c r="G860" s="1378"/>
      <c r="H860" s="1378"/>
      <c r="I860" s="1332"/>
      <c r="J860" s="1332"/>
      <c r="K860" s="1332"/>
      <c r="L860" s="1332"/>
      <c r="M860" s="1332"/>
      <c r="N860" s="1332"/>
      <c r="O860" s="1332"/>
      <c r="P860" s="1332"/>
      <c r="Q860" s="1332"/>
      <c r="R860" s="1332"/>
      <c r="S860" s="1332"/>
      <c r="T860" s="1332"/>
      <c r="U860" s="1332"/>
      <c r="V860" s="1332"/>
      <c r="W860" s="1332"/>
      <c r="X860" s="1332"/>
      <c r="Y860" s="1332"/>
      <c r="Z860" s="1332"/>
      <c r="AA860" s="1332"/>
      <c r="AB860" s="1332"/>
    </row>
    <row r="861">
      <c r="A861" s="1332"/>
      <c r="B861" s="1366"/>
      <c r="C861" s="1366"/>
      <c r="D861" s="1375"/>
      <c r="E861" s="1332"/>
      <c r="F861" s="1332"/>
      <c r="G861" s="1378"/>
      <c r="H861" s="1378"/>
      <c r="I861" s="1332"/>
      <c r="J861" s="1332"/>
      <c r="K861" s="1332"/>
      <c r="L861" s="1332"/>
      <c r="M861" s="1332"/>
      <c r="N861" s="1332"/>
      <c r="O861" s="1332"/>
      <c r="P861" s="1332"/>
      <c r="Q861" s="1332"/>
      <c r="R861" s="1332"/>
      <c r="S861" s="1332"/>
      <c r="T861" s="1332"/>
      <c r="U861" s="1332"/>
      <c r="V861" s="1332"/>
      <c r="W861" s="1332"/>
      <c r="X861" s="1332"/>
      <c r="Y861" s="1332"/>
      <c r="Z861" s="1332"/>
      <c r="AA861" s="1332"/>
      <c r="AB861" s="1332"/>
    </row>
    <row r="862">
      <c r="A862" s="1332"/>
      <c r="B862" s="1366"/>
      <c r="C862" s="1366"/>
      <c r="D862" s="1375"/>
      <c r="E862" s="1332"/>
      <c r="F862" s="1332"/>
      <c r="G862" s="1378"/>
      <c r="H862" s="1378"/>
      <c r="I862" s="1332"/>
      <c r="J862" s="1332"/>
      <c r="K862" s="1332"/>
      <c r="L862" s="1332"/>
      <c r="M862" s="1332"/>
      <c r="N862" s="1332"/>
      <c r="O862" s="1332"/>
      <c r="P862" s="1332"/>
      <c r="Q862" s="1332"/>
      <c r="R862" s="1332"/>
      <c r="S862" s="1332"/>
      <c r="T862" s="1332"/>
      <c r="U862" s="1332"/>
      <c r="V862" s="1332"/>
      <c r="W862" s="1332"/>
      <c r="X862" s="1332"/>
      <c r="Y862" s="1332"/>
      <c r="Z862" s="1332"/>
      <c r="AA862" s="1332"/>
      <c r="AB862" s="1332"/>
    </row>
    <row r="863">
      <c r="A863" s="1332"/>
      <c r="B863" s="1366"/>
      <c r="C863" s="1366"/>
      <c r="D863" s="1375"/>
      <c r="E863" s="1332"/>
      <c r="F863" s="1332"/>
      <c r="G863" s="1378"/>
      <c r="H863" s="1378"/>
      <c r="I863" s="1332"/>
      <c r="J863" s="1332"/>
      <c r="K863" s="1332"/>
      <c r="L863" s="1332"/>
      <c r="M863" s="1332"/>
      <c r="N863" s="1332"/>
      <c r="O863" s="1332"/>
      <c r="P863" s="1332"/>
      <c r="Q863" s="1332"/>
      <c r="R863" s="1332"/>
      <c r="S863" s="1332"/>
      <c r="T863" s="1332"/>
      <c r="U863" s="1332"/>
      <c r="V863" s="1332"/>
      <c r="W863" s="1332"/>
      <c r="X863" s="1332"/>
      <c r="Y863" s="1332"/>
      <c r="Z863" s="1332"/>
      <c r="AA863" s="1332"/>
      <c r="AB863" s="1332"/>
    </row>
    <row r="864">
      <c r="A864" s="1332"/>
      <c r="B864" s="1366"/>
      <c r="C864" s="1366"/>
      <c r="D864" s="1375"/>
      <c r="E864" s="1332"/>
      <c r="F864" s="1332"/>
      <c r="G864" s="1378"/>
      <c r="H864" s="1378"/>
      <c r="I864" s="1332"/>
      <c r="J864" s="1332"/>
      <c r="K864" s="1332"/>
      <c r="L864" s="1332"/>
      <c r="M864" s="1332"/>
      <c r="N864" s="1332"/>
      <c r="O864" s="1332"/>
      <c r="P864" s="1332"/>
      <c r="Q864" s="1332"/>
      <c r="R864" s="1332"/>
      <c r="S864" s="1332"/>
      <c r="T864" s="1332"/>
      <c r="U864" s="1332"/>
      <c r="V864" s="1332"/>
      <c r="W864" s="1332"/>
      <c r="X864" s="1332"/>
      <c r="Y864" s="1332"/>
      <c r="Z864" s="1332"/>
      <c r="AA864" s="1332"/>
      <c r="AB864" s="1332"/>
    </row>
    <row r="865">
      <c r="A865" s="1332"/>
      <c r="B865" s="1366"/>
      <c r="C865" s="1366"/>
      <c r="D865" s="1375"/>
      <c r="E865" s="1332"/>
      <c r="F865" s="1332"/>
      <c r="G865" s="1378"/>
      <c r="H865" s="1378"/>
      <c r="I865" s="1332"/>
      <c r="J865" s="1332"/>
      <c r="K865" s="1332"/>
      <c r="L865" s="1332"/>
      <c r="M865" s="1332"/>
      <c r="N865" s="1332"/>
      <c r="O865" s="1332"/>
      <c r="P865" s="1332"/>
      <c r="Q865" s="1332"/>
      <c r="R865" s="1332"/>
      <c r="S865" s="1332"/>
      <c r="T865" s="1332"/>
      <c r="U865" s="1332"/>
      <c r="V865" s="1332"/>
      <c r="W865" s="1332"/>
      <c r="X865" s="1332"/>
      <c r="Y865" s="1332"/>
      <c r="Z865" s="1332"/>
      <c r="AA865" s="1332"/>
      <c r="AB865" s="1332"/>
    </row>
    <row r="866">
      <c r="A866" s="1332"/>
      <c r="B866" s="1366"/>
      <c r="C866" s="1366"/>
      <c r="D866" s="1375"/>
      <c r="E866" s="1332"/>
      <c r="F866" s="1332"/>
      <c r="G866" s="1378"/>
      <c r="H866" s="1378"/>
      <c r="I866" s="1332"/>
      <c r="J866" s="1332"/>
      <c r="K866" s="1332"/>
      <c r="L866" s="1332"/>
      <c r="M866" s="1332"/>
      <c r="N866" s="1332"/>
      <c r="O866" s="1332"/>
      <c r="P866" s="1332"/>
      <c r="Q866" s="1332"/>
      <c r="R866" s="1332"/>
      <c r="S866" s="1332"/>
      <c r="T866" s="1332"/>
      <c r="U866" s="1332"/>
      <c r="V866" s="1332"/>
      <c r="W866" s="1332"/>
      <c r="X866" s="1332"/>
      <c r="Y866" s="1332"/>
      <c r="Z866" s="1332"/>
      <c r="AA866" s="1332"/>
      <c r="AB866" s="1332"/>
    </row>
    <row r="867">
      <c r="A867" s="1332"/>
      <c r="B867" s="1366"/>
      <c r="C867" s="1366"/>
      <c r="D867" s="1375"/>
      <c r="E867" s="1332"/>
      <c r="F867" s="1332"/>
      <c r="G867" s="1378"/>
      <c r="H867" s="1378"/>
      <c r="I867" s="1332"/>
      <c r="J867" s="1332"/>
      <c r="K867" s="1332"/>
      <c r="L867" s="1332"/>
      <c r="M867" s="1332"/>
      <c r="N867" s="1332"/>
      <c r="O867" s="1332"/>
      <c r="P867" s="1332"/>
      <c r="Q867" s="1332"/>
      <c r="R867" s="1332"/>
      <c r="S867" s="1332"/>
      <c r="T867" s="1332"/>
      <c r="U867" s="1332"/>
      <c r="V867" s="1332"/>
      <c r="W867" s="1332"/>
      <c r="X867" s="1332"/>
      <c r="Y867" s="1332"/>
      <c r="Z867" s="1332"/>
      <c r="AA867" s="1332"/>
      <c r="AB867" s="1332"/>
    </row>
    <row r="868">
      <c r="A868" s="1332"/>
      <c r="B868" s="1366"/>
      <c r="C868" s="1366"/>
      <c r="D868" s="1375"/>
      <c r="E868" s="1332"/>
      <c r="F868" s="1332"/>
      <c r="G868" s="1378"/>
      <c r="H868" s="1378"/>
      <c r="I868" s="1332"/>
      <c r="J868" s="1332"/>
      <c r="K868" s="1332"/>
      <c r="L868" s="1332"/>
      <c r="M868" s="1332"/>
      <c r="N868" s="1332"/>
      <c r="O868" s="1332"/>
      <c r="P868" s="1332"/>
      <c r="Q868" s="1332"/>
      <c r="R868" s="1332"/>
      <c r="S868" s="1332"/>
      <c r="T868" s="1332"/>
      <c r="U868" s="1332"/>
      <c r="V868" s="1332"/>
      <c r="W868" s="1332"/>
      <c r="X868" s="1332"/>
      <c r="Y868" s="1332"/>
      <c r="Z868" s="1332"/>
      <c r="AA868" s="1332"/>
      <c r="AB868" s="1332"/>
    </row>
    <row r="869">
      <c r="A869" s="1332"/>
      <c r="B869" s="1366"/>
      <c r="C869" s="1366"/>
      <c r="D869" s="1375"/>
      <c r="E869" s="1332"/>
      <c r="F869" s="1332"/>
      <c r="G869" s="1378"/>
      <c r="H869" s="1378"/>
      <c r="I869" s="1332"/>
      <c r="J869" s="1332"/>
      <c r="K869" s="1332"/>
      <c r="L869" s="1332"/>
      <c r="M869" s="1332"/>
      <c r="N869" s="1332"/>
      <c r="O869" s="1332"/>
      <c r="P869" s="1332"/>
      <c r="Q869" s="1332"/>
      <c r="R869" s="1332"/>
      <c r="S869" s="1332"/>
      <c r="T869" s="1332"/>
      <c r="U869" s="1332"/>
      <c r="V869" s="1332"/>
      <c r="W869" s="1332"/>
      <c r="X869" s="1332"/>
      <c r="Y869" s="1332"/>
      <c r="Z869" s="1332"/>
      <c r="AA869" s="1332"/>
      <c r="AB869" s="1332"/>
    </row>
    <row r="870">
      <c r="A870" s="1332"/>
      <c r="B870" s="1366"/>
      <c r="C870" s="1366"/>
      <c r="D870" s="1375"/>
      <c r="E870" s="1332"/>
      <c r="F870" s="1332"/>
      <c r="G870" s="1378"/>
      <c r="H870" s="1378"/>
      <c r="I870" s="1332"/>
      <c r="J870" s="1332"/>
      <c r="K870" s="1332"/>
      <c r="L870" s="1332"/>
      <c r="M870" s="1332"/>
      <c r="N870" s="1332"/>
      <c r="O870" s="1332"/>
      <c r="P870" s="1332"/>
      <c r="Q870" s="1332"/>
      <c r="R870" s="1332"/>
      <c r="S870" s="1332"/>
      <c r="T870" s="1332"/>
      <c r="U870" s="1332"/>
      <c r="V870" s="1332"/>
      <c r="W870" s="1332"/>
      <c r="X870" s="1332"/>
      <c r="Y870" s="1332"/>
      <c r="Z870" s="1332"/>
      <c r="AA870" s="1332"/>
      <c r="AB870" s="1332"/>
    </row>
    <row r="871">
      <c r="A871" s="1332"/>
      <c r="B871" s="1366"/>
      <c r="C871" s="1366"/>
      <c r="D871" s="1375"/>
      <c r="E871" s="1332"/>
      <c r="F871" s="1332"/>
      <c r="G871" s="1378"/>
      <c r="H871" s="1378"/>
      <c r="I871" s="1332"/>
      <c r="J871" s="1332"/>
      <c r="K871" s="1332"/>
      <c r="L871" s="1332"/>
      <c r="M871" s="1332"/>
      <c r="N871" s="1332"/>
      <c r="O871" s="1332"/>
      <c r="P871" s="1332"/>
      <c r="Q871" s="1332"/>
      <c r="R871" s="1332"/>
      <c r="S871" s="1332"/>
      <c r="T871" s="1332"/>
      <c r="U871" s="1332"/>
      <c r="V871" s="1332"/>
      <c r="W871" s="1332"/>
      <c r="X871" s="1332"/>
      <c r="Y871" s="1332"/>
      <c r="Z871" s="1332"/>
      <c r="AA871" s="1332"/>
      <c r="AB871" s="1332"/>
    </row>
    <row r="872">
      <c r="A872" s="1332"/>
      <c r="B872" s="1366"/>
      <c r="C872" s="1366"/>
      <c r="D872" s="1375"/>
      <c r="E872" s="1332"/>
      <c r="F872" s="1332"/>
      <c r="G872" s="1378"/>
      <c r="H872" s="1378"/>
      <c r="I872" s="1332"/>
      <c r="J872" s="1332"/>
      <c r="K872" s="1332"/>
      <c r="L872" s="1332"/>
      <c r="M872" s="1332"/>
      <c r="N872" s="1332"/>
      <c r="O872" s="1332"/>
      <c r="P872" s="1332"/>
      <c r="Q872" s="1332"/>
      <c r="R872" s="1332"/>
      <c r="S872" s="1332"/>
      <c r="T872" s="1332"/>
      <c r="U872" s="1332"/>
      <c r="V872" s="1332"/>
      <c r="W872" s="1332"/>
      <c r="X872" s="1332"/>
      <c r="Y872" s="1332"/>
      <c r="Z872" s="1332"/>
      <c r="AA872" s="1332"/>
      <c r="AB872" s="1332"/>
    </row>
    <row r="873">
      <c r="A873" s="1332"/>
      <c r="B873" s="1366"/>
      <c r="C873" s="1366"/>
      <c r="D873" s="1375"/>
      <c r="E873" s="1332"/>
      <c r="F873" s="1332"/>
      <c r="G873" s="1378"/>
      <c r="H873" s="1378"/>
      <c r="I873" s="1332"/>
      <c r="J873" s="1332"/>
      <c r="K873" s="1332"/>
      <c r="L873" s="1332"/>
      <c r="M873" s="1332"/>
      <c r="N873" s="1332"/>
      <c r="O873" s="1332"/>
      <c r="P873" s="1332"/>
      <c r="Q873" s="1332"/>
      <c r="R873" s="1332"/>
      <c r="S873" s="1332"/>
      <c r="T873" s="1332"/>
      <c r="U873" s="1332"/>
      <c r="V873" s="1332"/>
      <c r="W873" s="1332"/>
      <c r="X873" s="1332"/>
      <c r="Y873" s="1332"/>
      <c r="Z873" s="1332"/>
      <c r="AA873" s="1332"/>
      <c r="AB873" s="1332"/>
    </row>
    <row r="874">
      <c r="A874" s="1332"/>
      <c r="B874" s="1366"/>
      <c r="C874" s="1366"/>
      <c r="D874" s="1375"/>
      <c r="E874" s="1332"/>
      <c r="F874" s="1332"/>
      <c r="G874" s="1378"/>
      <c r="H874" s="1378"/>
      <c r="I874" s="1332"/>
      <c r="J874" s="1332"/>
      <c r="K874" s="1332"/>
      <c r="L874" s="1332"/>
      <c r="M874" s="1332"/>
      <c r="N874" s="1332"/>
      <c r="O874" s="1332"/>
      <c r="P874" s="1332"/>
      <c r="Q874" s="1332"/>
      <c r="R874" s="1332"/>
      <c r="S874" s="1332"/>
      <c r="T874" s="1332"/>
      <c r="U874" s="1332"/>
      <c r="V874" s="1332"/>
      <c r="W874" s="1332"/>
      <c r="X874" s="1332"/>
      <c r="Y874" s="1332"/>
      <c r="Z874" s="1332"/>
      <c r="AA874" s="1332"/>
      <c r="AB874" s="1332"/>
    </row>
    <row r="875">
      <c r="A875" s="1332"/>
      <c r="B875" s="1366"/>
      <c r="C875" s="1366"/>
      <c r="D875" s="1375"/>
      <c r="E875" s="1332"/>
      <c r="F875" s="1332"/>
      <c r="G875" s="1378"/>
      <c r="H875" s="1378"/>
      <c r="I875" s="1332"/>
      <c r="J875" s="1332"/>
      <c r="K875" s="1332"/>
      <c r="L875" s="1332"/>
      <c r="M875" s="1332"/>
      <c r="N875" s="1332"/>
      <c r="O875" s="1332"/>
      <c r="P875" s="1332"/>
      <c r="Q875" s="1332"/>
      <c r="R875" s="1332"/>
      <c r="S875" s="1332"/>
      <c r="T875" s="1332"/>
      <c r="U875" s="1332"/>
      <c r="V875" s="1332"/>
      <c r="W875" s="1332"/>
      <c r="X875" s="1332"/>
      <c r="Y875" s="1332"/>
      <c r="Z875" s="1332"/>
      <c r="AA875" s="1332"/>
      <c r="AB875" s="1332"/>
    </row>
    <row r="876">
      <c r="A876" s="1332"/>
      <c r="B876" s="1366"/>
      <c r="C876" s="1366"/>
      <c r="D876" s="1375"/>
      <c r="E876" s="1332"/>
      <c r="F876" s="1332"/>
      <c r="G876" s="1378"/>
      <c r="H876" s="1378"/>
      <c r="I876" s="1332"/>
      <c r="J876" s="1332"/>
      <c r="K876" s="1332"/>
      <c r="L876" s="1332"/>
      <c r="M876" s="1332"/>
      <c r="N876" s="1332"/>
      <c r="O876" s="1332"/>
      <c r="P876" s="1332"/>
      <c r="Q876" s="1332"/>
      <c r="R876" s="1332"/>
      <c r="S876" s="1332"/>
      <c r="T876" s="1332"/>
      <c r="U876" s="1332"/>
      <c r="V876" s="1332"/>
      <c r="W876" s="1332"/>
      <c r="X876" s="1332"/>
      <c r="Y876" s="1332"/>
      <c r="Z876" s="1332"/>
      <c r="AA876" s="1332"/>
      <c r="AB876" s="1332"/>
    </row>
    <row r="877">
      <c r="A877" s="1332"/>
      <c r="B877" s="1366"/>
      <c r="C877" s="1366"/>
      <c r="D877" s="1375"/>
      <c r="E877" s="1332"/>
      <c r="F877" s="1332"/>
      <c r="G877" s="1378"/>
      <c r="H877" s="1378"/>
      <c r="I877" s="1332"/>
      <c r="J877" s="1332"/>
      <c r="K877" s="1332"/>
      <c r="L877" s="1332"/>
      <c r="M877" s="1332"/>
      <c r="N877" s="1332"/>
      <c r="O877" s="1332"/>
      <c r="P877" s="1332"/>
      <c r="Q877" s="1332"/>
      <c r="R877" s="1332"/>
      <c r="S877" s="1332"/>
      <c r="T877" s="1332"/>
      <c r="U877" s="1332"/>
      <c r="V877" s="1332"/>
      <c r="W877" s="1332"/>
      <c r="X877" s="1332"/>
      <c r="Y877" s="1332"/>
      <c r="Z877" s="1332"/>
      <c r="AA877" s="1332"/>
      <c r="AB877" s="1332"/>
    </row>
    <row r="878">
      <c r="A878" s="1332"/>
      <c r="B878" s="1366"/>
      <c r="C878" s="1366"/>
      <c r="D878" s="1375"/>
      <c r="E878" s="1332"/>
      <c r="F878" s="1332"/>
      <c r="G878" s="1378"/>
      <c r="H878" s="1378"/>
      <c r="I878" s="1332"/>
      <c r="J878" s="1332"/>
      <c r="K878" s="1332"/>
      <c r="L878" s="1332"/>
      <c r="M878" s="1332"/>
      <c r="N878" s="1332"/>
      <c r="O878" s="1332"/>
      <c r="P878" s="1332"/>
      <c r="Q878" s="1332"/>
      <c r="R878" s="1332"/>
      <c r="S878" s="1332"/>
      <c r="T878" s="1332"/>
      <c r="U878" s="1332"/>
      <c r="V878" s="1332"/>
      <c r="W878" s="1332"/>
      <c r="X878" s="1332"/>
      <c r="Y878" s="1332"/>
      <c r="Z878" s="1332"/>
      <c r="AA878" s="1332"/>
      <c r="AB878" s="1332"/>
    </row>
    <row r="879">
      <c r="A879" s="1332"/>
      <c r="B879" s="1366"/>
      <c r="C879" s="1366"/>
      <c r="D879" s="1375"/>
      <c r="E879" s="1332"/>
      <c r="F879" s="1332"/>
      <c r="G879" s="1378"/>
      <c r="H879" s="1378"/>
      <c r="I879" s="1332"/>
      <c r="J879" s="1332"/>
      <c r="K879" s="1332"/>
      <c r="L879" s="1332"/>
      <c r="M879" s="1332"/>
      <c r="N879" s="1332"/>
      <c r="O879" s="1332"/>
      <c r="P879" s="1332"/>
      <c r="Q879" s="1332"/>
      <c r="R879" s="1332"/>
      <c r="S879" s="1332"/>
      <c r="T879" s="1332"/>
      <c r="U879" s="1332"/>
      <c r="V879" s="1332"/>
      <c r="W879" s="1332"/>
      <c r="X879" s="1332"/>
      <c r="Y879" s="1332"/>
      <c r="Z879" s="1332"/>
      <c r="AA879" s="1332"/>
      <c r="AB879" s="1332"/>
    </row>
    <row r="880">
      <c r="A880" s="1332"/>
      <c r="B880" s="1366"/>
      <c r="C880" s="1366"/>
      <c r="D880" s="1375"/>
      <c r="E880" s="1332"/>
      <c r="F880" s="1332"/>
      <c r="G880" s="1378"/>
      <c r="H880" s="1378"/>
      <c r="I880" s="1332"/>
      <c r="J880" s="1332"/>
      <c r="K880" s="1332"/>
      <c r="L880" s="1332"/>
      <c r="M880" s="1332"/>
      <c r="N880" s="1332"/>
      <c r="O880" s="1332"/>
      <c r="P880" s="1332"/>
      <c r="Q880" s="1332"/>
      <c r="R880" s="1332"/>
      <c r="S880" s="1332"/>
      <c r="T880" s="1332"/>
      <c r="U880" s="1332"/>
      <c r="V880" s="1332"/>
      <c r="W880" s="1332"/>
      <c r="X880" s="1332"/>
      <c r="Y880" s="1332"/>
      <c r="Z880" s="1332"/>
      <c r="AA880" s="1332"/>
      <c r="AB880" s="1332"/>
    </row>
    <row r="881">
      <c r="A881" s="1332"/>
      <c r="B881" s="1366"/>
      <c r="C881" s="1366"/>
      <c r="D881" s="1375"/>
      <c r="E881" s="1332"/>
      <c r="F881" s="1332"/>
      <c r="G881" s="1378"/>
      <c r="H881" s="1378"/>
      <c r="I881" s="1332"/>
      <c r="J881" s="1332"/>
      <c r="K881" s="1332"/>
      <c r="L881" s="1332"/>
      <c r="M881" s="1332"/>
      <c r="N881" s="1332"/>
      <c r="O881" s="1332"/>
      <c r="P881" s="1332"/>
      <c r="Q881" s="1332"/>
      <c r="R881" s="1332"/>
      <c r="S881" s="1332"/>
      <c r="T881" s="1332"/>
      <c r="U881" s="1332"/>
      <c r="V881" s="1332"/>
      <c r="W881" s="1332"/>
      <c r="X881" s="1332"/>
      <c r="Y881" s="1332"/>
      <c r="Z881" s="1332"/>
      <c r="AA881" s="1332"/>
      <c r="AB881" s="1332"/>
    </row>
    <row r="882">
      <c r="A882" s="1332"/>
      <c r="B882" s="1366"/>
      <c r="C882" s="1366"/>
      <c r="D882" s="1375"/>
      <c r="E882" s="1332"/>
      <c r="F882" s="1332"/>
      <c r="G882" s="1378"/>
      <c r="H882" s="1378"/>
      <c r="I882" s="1332"/>
      <c r="J882" s="1332"/>
      <c r="K882" s="1332"/>
      <c r="L882" s="1332"/>
      <c r="M882" s="1332"/>
      <c r="N882" s="1332"/>
      <c r="O882" s="1332"/>
      <c r="P882" s="1332"/>
      <c r="Q882" s="1332"/>
      <c r="R882" s="1332"/>
      <c r="S882" s="1332"/>
      <c r="T882" s="1332"/>
      <c r="U882" s="1332"/>
      <c r="V882" s="1332"/>
      <c r="W882" s="1332"/>
      <c r="X882" s="1332"/>
      <c r="Y882" s="1332"/>
      <c r="Z882" s="1332"/>
      <c r="AA882" s="1332"/>
      <c r="AB882" s="1332"/>
    </row>
    <row r="883">
      <c r="A883" s="1332"/>
      <c r="B883" s="1366"/>
      <c r="C883" s="1366"/>
      <c r="D883" s="1375"/>
      <c r="E883" s="1332"/>
      <c r="F883" s="1332"/>
      <c r="G883" s="1378"/>
      <c r="H883" s="1378"/>
      <c r="I883" s="1332"/>
      <c r="J883" s="1332"/>
      <c r="K883" s="1332"/>
      <c r="L883" s="1332"/>
      <c r="M883" s="1332"/>
      <c r="N883" s="1332"/>
      <c r="O883" s="1332"/>
      <c r="P883" s="1332"/>
      <c r="Q883" s="1332"/>
      <c r="R883" s="1332"/>
      <c r="S883" s="1332"/>
      <c r="T883" s="1332"/>
      <c r="U883" s="1332"/>
      <c r="V883" s="1332"/>
      <c r="W883" s="1332"/>
      <c r="X883" s="1332"/>
      <c r="Y883" s="1332"/>
      <c r="Z883" s="1332"/>
      <c r="AA883" s="1332"/>
      <c r="AB883" s="1332"/>
    </row>
    <row r="884">
      <c r="A884" s="1332"/>
      <c r="B884" s="1366"/>
      <c r="C884" s="1366"/>
      <c r="D884" s="1375"/>
      <c r="E884" s="1332"/>
      <c r="F884" s="1332"/>
      <c r="G884" s="1378"/>
      <c r="H884" s="1378"/>
      <c r="I884" s="1332"/>
      <c r="J884" s="1332"/>
      <c r="K884" s="1332"/>
      <c r="L884" s="1332"/>
      <c r="M884" s="1332"/>
      <c r="N884" s="1332"/>
      <c r="O884" s="1332"/>
      <c r="P884" s="1332"/>
      <c r="Q884" s="1332"/>
      <c r="R884" s="1332"/>
      <c r="S884" s="1332"/>
      <c r="T884" s="1332"/>
      <c r="U884" s="1332"/>
      <c r="V884" s="1332"/>
      <c r="W884" s="1332"/>
      <c r="X884" s="1332"/>
      <c r="Y884" s="1332"/>
      <c r="Z884" s="1332"/>
      <c r="AA884" s="1332"/>
      <c r="AB884" s="1332"/>
    </row>
    <row r="885">
      <c r="A885" s="1332"/>
      <c r="B885" s="1366"/>
      <c r="C885" s="1366"/>
      <c r="D885" s="1375"/>
      <c r="E885" s="1332"/>
      <c r="F885" s="1332"/>
      <c r="G885" s="1378"/>
      <c r="H885" s="1378"/>
      <c r="I885" s="1332"/>
      <c r="J885" s="1332"/>
      <c r="K885" s="1332"/>
      <c r="L885" s="1332"/>
      <c r="M885" s="1332"/>
      <c r="N885" s="1332"/>
      <c r="O885" s="1332"/>
      <c r="P885" s="1332"/>
      <c r="Q885" s="1332"/>
      <c r="R885" s="1332"/>
      <c r="S885" s="1332"/>
      <c r="T885" s="1332"/>
      <c r="U885" s="1332"/>
      <c r="V885" s="1332"/>
      <c r="W885" s="1332"/>
      <c r="X885" s="1332"/>
      <c r="Y885" s="1332"/>
      <c r="Z885" s="1332"/>
      <c r="AA885" s="1332"/>
      <c r="AB885" s="1332"/>
    </row>
    <row r="886">
      <c r="A886" s="1332"/>
      <c r="B886" s="1366"/>
      <c r="C886" s="1366"/>
      <c r="D886" s="1375"/>
      <c r="E886" s="1332"/>
      <c r="F886" s="1332"/>
      <c r="G886" s="1378"/>
      <c r="H886" s="1378"/>
      <c r="I886" s="1332"/>
      <c r="J886" s="1332"/>
      <c r="K886" s="1332"/>
      <c r="L886" s="1332"/>
      <c r="M886" s="1332"/>
      <c r="N886" s="1332"/>
      <c r="O886" s="1332"/>
      <c r="P886" s="1332"/>
      <c r="Q886" s="1332"/>
      <c r="R886" s="1332"/>
      <c r="S886" s="1332"/>
      <c r="T886" s="1332"/>
      <c r="U886" s="1332"/>
      <c r="V886" s="1332"/>
      <c r="W886" s="1332"/>
      <c r="X886" s="1332"/>
      <c r="Y886" s="1332"/>
      <c r="Z886" s="1332"/>
      <c r="AA886" s="1332"/>
      <c r="AB886" s="1332"/>
    </row>
    <row r="887">
      <c r="A887" s="1332"/>
      <c r="B887" s="1366"/>
      <c r="C887" s="1366"/>
      <c r="D887" s="1375"/>
      <c r="E887" s="1332"/>
      <c r="F887" s="1332"/>
      <c r="G887" s="1378"/>
      <c r="H887" s="1378"/>
      <c r="I887" s="1332"/>
      <c r="J887" s="1332"/>
      <c r="K887" s="1332"/>
      <c r="L887" s="1332"/>
      <c r="M887" s="1332"/>
      <c r="N887" s="1332"/>
      <c r="O887" s="1332"/>
      <c r="P887" s="1332"/>
      <c r="Q887" s="1332"/>
      <c r="R887" s="1332"/>
      <c r="S887" s="1332"/>
      <c r="T887" s="1332"/>
      <c r="U887" s="1332"/>
      <c r="V887" s="1332"/>
      <c r="W887" s="1332"/>
      <c r="X887" s="1332"/>
      <c r="Y887" s="1332"/>
      <c r="Z887" s="1332"/>
      <c r="AA887" s="1332"/>
      <c r="AB887" s="1332"/>
    </row>
    <row r="888">
      <c r="A888" s="1332"/>
      <c r="B888" s="1366"/>
      <c r="C888" s="1366"/>
      <c r="D888" s="1375"/>
      <c r="E888" s="1332"/>
      <c r="F888" s="1332"/>
      <c r="G888" s="1378"/>
      <c r="H888" s="1378"/>
      <c r="I888" s="1332"/>
      <c r="J888" s="1332"/>
      <c r="K888" s="1332"/>
      <c r="L888" s="1332"/>
      <c r="M888" s="1332"/>
      <c r="N888" s="1332"/>
      <c r="O888" s="1332"/>
      <c r="P888" s="1332"/>
      <c r="Q888" s="1332"/>
      <c r="R888" s="1332"/>
      <c r="S888" s="1332"/>
      <c r="T888" s="1332"/>
      <c r="U888" s="1332"/>
      <c r="V888" s="1332"/>
      <c r="W888" s="1332"/>
      <c r="X888" s="1332"/>
      <c r="Y888" s="1332"/>
      <c r="Z888" s="1332"/>
      <c r="AA888" s="1332"/>
      <c r="AB888" s="1332"/>
    </row>
    <row r="889">
      <c r="A889" s="1332"/>
      <c r="B889" s="1366"/>
      <c r="C889" s="1366"/>
      <c r="D889" s="1375"/>
      <c r="E889" s="1332"/>
      <c r="F889" s="1332"/>
      <c r="G889" s="1378"/>
      <c r="H889" s="1378"/>
      <c r="I889" s="1332"/>
      <c r="J889" s="1332"/>
      <c r="K889" s="1332"/>
      <c r="L889" s="1332"/>
      <c r="M889" s="1332"/>
      <c r="N889" s="1332"/>
      <c r="O889" s="1332"/>
      <c r="P889" s="1332"/>
      <c r="Q889" s="1332"/>
      <c r="R889" s="1332"/>
      <c r="S889" s="1332"/>
      <c r="T889" s="1332"/>
      <c r="U889" s="1332"/>
      <c r="V889" s="1332"/>
      <c r="W889" s="1332"/>
      <c r="X889" s="1332"/>
      <c r="Y889" s="1332"/>
      <c r="Z889" s="1332"/>
      <c r="AA889" s="1332"/>
      <c r="AB889" s="1332"/>
    </row>
    <row r="890">
      <c r="A890" s="1332"/>
      <c r="B890" s="1366"/>
      <c r="C890" s="1366"/>
      <c r="D890" s="1375"/>
      <c r="E890" s="1332"/>
      <c r="F890" s="1332"/>
      <c r="G890" s="1378"/>
      <c r="H890" s="1378"/>
      <c r="I890" s="1332"/>
      <c r="J890" s="1332"/>
      <c r="K890" s="1332"/>
      <c r="L890" s="1332"/>
      <c r="M890" s="1332"/>
      <c r="N890" s="1332"/>
      <c r="O890" s="1332"/>
      <c r="P890" s="1332"/>
      <c r="Q890" s="1332"/>
      <c r="R890" s="1332"/>
      <c r="S890" s="1332"/>
      <c r="T890" s="1332"/>
      <c r="U890" s="1332"/>
      <c r="V890" s="1332"/>
      <c r="W890" s="1332"/>
      <c r="X890" s="1332"/>
      <c r="Y890" s="1332"/>
      <c r="Z890" s="1332"/>
      <c r="AA890" s="1332"/>
      <c r="AB890" s="1332"/>
    </row>
    <row r="891">
      <c r="A891" s="1332"/>
      <c r="B891" s="1366"/>
      <c r="C891" s="1366"/>
      <c r="D891" s="1375"/>
      <c r="E891" s="1332"/>
      <c r="F891" s="1332"/>
      <c r="G891" s="1378"/>
      <c r="H891" s="1378"/>
      <c r="I891" s="1332"/>
      <c r="J891" s="1332"/>
      <c r="K891" s="1332"/>
      <c r="L891" s="1332"/>
      <c r="M891" s="1332"/>
      <c r="N891" s="1332"/>
      <c r="O891" s="1332"/>
      <c r="P891" s="1332"/>
      <c r="Q891" s="1332"/>
      <c r="R891" s="1332"/>
      <c r="S891" s="1332"/>
      <c r="T891" s="1332"/>
      <c r="U891" s="1332"/>
      <c r="V891" s="1332"/>
      <c r="W891" s="1332"/>
      <c r="X891" s="1332"/>
      <c r="Y891" s="1332"/>
      <c r="Z891" s="1332"/>
      <c r="AA891" s="1332"/>
      <c r="AB891" s="1332"/>
    </row>
    <row r="892">
      <c r="A892" s="1332"/>
      <c r="B892" s="1366"/>
      <c r="C892" s="1366"/>
      <c r="D892" s="1375"/>
      <c r="E892" s="1332"/>
      <c r="F892" s="1332"/>
      <c r="G892" s="1378"/>
      <c r="H892" s="1378"/>
      <c r="I892" s="1332"/>
      <c r="J892" s="1332"/>
      <c r="K892" s="1332"/>
      <c r="L892" s="1332"/>
      <c r="M892" s="1332"/>
      <c r="N892" s="1332"/>
      <c r="O892" s="1332"/>
      <c r="P892" s="1332"/>
      <c r="Q892" s="1332"/>
      <c r="R892" s="1332"/>
      <c r="S892" s="1332"/>
      <c r="T892" s="1332"/>
      <c r="U892" s="1332"/>
      <c r="V892" s="1332"/>
      <c r="W892" s="1332"/>
      <c r="X892" s="1332"/>
      <c r="Y892" s="1332"/>
      <c r="Z892" s="1332"/>
      <c r="AA892" s="1332"/>
      <c r="AB892" s="1332"/>
    </row>
    <row r="893">
      <c r="A893" s="1332"/>
      <c r="B893" s="1366"/>
      <c r="C893" s="1366"/>
      <c r="D893" s="1375"/>
      <c r="E893" s="1332"/>
      <c r="F893" s="1332"/>
      <c r="G893" s="1378"/>
      <c r="H893" s="1378"/>
      <c r="I893" s="1332"/>
      <c r="J893" s="1332"/>
      <c r="K893" s="1332"/>
      <c r="L893" s="1332"/>
      <c r="M893" s="1332"/>
      <c r="N893" s="1332"/>
      <c r="O893" s="1332"/>
      <c r="P893" s="1332"/>
      <c r="Q893" s="1332"/>
      <c r="R893" s="1332"/>
      <c r="S893" s="1332"/>
      <c r="T893" s="1332"/>
      <c r="U893" s="1332"/>
      <c r="V893" s="1332"/>
      <c r="W893" s="1332"/>
      <c r="X893" s="1332"/>
      <c r="Y893" s="1332"/>
      <c r="Z893" s="1332"/>
      <c r="AA893" s="1332"/>
      <c r="AB893" s="1332"/>
    </row>
    <row r="894">
      <c r="A894" s="1332"/>
      <c r="B894" s="1366"/>
      <c r="C894" s="1366"/>
      <c r="D894" s="1375"/>
      <c r="E894" s="1332"/>
      <c r="F894" s="1332"/>
      <c r="G894" s="1378"/>
      <c r="H894" s="1378"/>
      <c r="I894" s="1332"/>
      <c r="J894" s="1332"/>
      <c r="K894" s="1332"/>
      <c r="L894" s="1332"/>
      <c r="M894" s="1332"/>
      <c r="N894" s="1332"/>
      <c r="O894" s="1332"/>
      <c r="P894" s="1332"/>
      <c r="Q894" s="1332"/>
      <c r="R894" s="1332"/>
      <c r="S894" s="1332"/>
      <c r="T894" s="1332"/>
      <c r="U894" s="1332"/>
      <c r="V894" s="1332"/>
      <c r="W894" s="1332"/>
      <c r="X894" s="1332"/>
      <c r="Y894" s="1332"/>
      <c r="Z894" s="1332"/>
      <c r="AA894" s="1332"/>
      <c r="AB894" s="1332"/>
    </row>
    <row r="895">
      <c r="A895" s="1332"/>
      <c r="B895" s="1366"/>
      <c r="C895" s="1366"/>
      <c r="D895" s="1375"/>
      <c r="E895" s="1332"/>
      <c r="F895" s="1332"/>
      <c r="G895" s="1378"/>
      <c r="H895" s="1378"/>
      <c r="I895" s="1332"/>
      <c r="J895" s="1332"/>
      <c r="K895" s="1332"/>
      <c r="L895" s="1332"/>
      <c r="M895" s="1332"/>
      <c r="N895" s="1332"/>
      <c r="O895" s="1332"/>
      <c r="P895" s="1332"/>
      <c r="Q895" s="1332"/>
      <c r="R895" s="1332"/>
      <c r="S895" s="1332"/>
      <c r="T895" s="1332"/>
      <c r="U895" s="1332"/>
      <c r="V895" s="1332"/>
      <c r="W895" s="1332"/>
      <c r="X895" s="1332"/>
      <c r="Y895" s="1332"/>
      <c r="Z895" s="1332"/>
      <c r="AA895" s="1332"/>
      <c r="AB895" s="1332"/>
    </row>
    <row r="896">
      <c r="A896" s="1332"/>
      <c r="B896" s="1366"/>
      <c r="C896" s="1366"/>
      <c r="D896" s="1375"/>
      <c r="E896" s="1332"/>
      <c r="F896" s="1332"/>
      <c r="G896" s="1378"/>
      <c r="H896" s="1378"/>
      <c r="I896" s="1332"/>
      <c r="J896" s="1332"/>
      <c r="K896" s="1332"/>
      <c r="L896" s="1332"/>
      <c r="M896" s="1332"/>
      <c r="N896" s="1332"/>
      <c r="O896" s="1332"/>
      <c r="P896" s="1332"/>
      <c r="Q896" s="1332"/>
      <c r="R896" s="1332"/>
      <c r="S896" s="1332"/>
      <c r="T896" s="1332"/>
      <c r="U896" s="1332"/>
      <c r="V896" s="1332"/>
      <c r="W896" s="1332"/>
      <c r="X896" s="1332"/>
      <c r="Y896" s="1332"/>
      <c r="Z896" s="1332"/>
      <c r="AA896" s="1332"/>
      <c r="AB896" s="1332"/>
    </row>
    <row r="897">
      <c r="A897" s="1332"/>
      <c r="B897" s="1366"/>
      <c r="C897" s="1366"/>
      <c r="D897" s="1375"/>
      <c r="E897" s="1332"/>
      <c r="F897" s="1332"/>
      <c r="G897" s="1378"/>
      <c r="H897" s="1378"/>
      <c r="I897" s="1332"/>
      <c r="J897" s="1332"/>
      <c r="K897" s="1332"/>
      <c r="L897" s="1332"/>
      <c r="M897" s="1332"/>
      <c r="N897" s="1332"/>
      <c r="O897" s="1332"/>
      <c r="P897" s="1332"/>
      <c r="Q897" s="1332"/>
      <c r="R897" s="1332"/>
      <c r="S897" s="1332"/>
      <c r="T897" s="1332"/>
      <c r="U897" s="1332"/>
      <c r="V897" s="1332"/>
      <c r="W897" s="1332"/>
      <c r="X897" s="1332"/>
      <c r="Y897" s="1332"/>
      <c r="Z897" s="1332"/>
      <c r="AA897" s="1332"/>
      <c r="AB897" s="1332"/>
    </row>
    <row r="898">
      <c r="A898" s="1332"/>
      <c r="B898" s="1366"/>
      <c r="C898" s="1366"/>
      <c r="D898" s="1375"/>
      <c r="E898" s="1332"/>
      <c r="F898" s="1332"/>
      <c r="G898" s="1378"/>
      <c r="H898" s="1378"/>
      <c r="I898" s="1332"/>
      <c r="J898" s="1332"/>
      <c r="K898" s="1332"/>
      <c r="L898" s="1332"/>
      <c r="M898" s="1332"/>
      <c r="N898" s="1332"/>
      <c r="O898" s="1332"/>
      <c r="P898" s="1332"/>
      <c r="Q898" s="1332"/>
      <c r="R898" s="1332"/>
      <c r="S898" s="1332"/>
      <c r="T898" s="1332"/>
      <c r="U898" s="1332"/>
      <c r="V898" s="1332"/>
      <c r="W898" s="1332"/>
      <c r="X898" s="1332"/>
      <c r="Y898" s="1332"/>
      <c r="Z898" s="1332"/>
      <c r="AA898" s="1332"/>
      <c r="AB898" s="1332"/>
    </row>
    <row r="899">
      <c r="A899" s="1332"/>
      <c r="B899" s="1366"/>
      <c r="C899" s="1366"/>
      <c r="D899" s="1375"/>
      <c r="E899" s="1332"/>
      <c r="F899" s="1332"/>
      <c r="G899" s="1378"/>
      <c r="H899" s="1378"/>
      <c r="I899" s="1332"/>
      <c r="J899" s="1332"/>
      <c r="K899" s="1332"/>
      <c r="L899" s="1332"/>
      <c r="M899" s="1332"/>
      <c r="N899" s="1332"/>
      <c r="O899" s="1332"/>
      <c r="P899" s="1332"/>
      <c r="Q899" s="1332"/>
      <c r="R899" s="1332"/>
      <c r="S899" s="1332"/>
      <c r="T899" s="1332"/>
      <c r="U899" s="1332"/>
      <c r="V899" s="1332"/>
      <c r="W899" s="1332"/>
      <c r="X899" s="1332"/>
      <c r="Y899" s="1332"/>
      <c r="Z899" s="1332"/>
      <c r="AA899" s="1332"/>
      <c r="AB899" s="1332"/>
    </row>
    <row r="900">
      <c r="A900" s="1332"/>
      <c r="B900" s="1366"/>
      <c r="C900" s="1366"/>
      <c r="D900" s="1375"/>
      <c r="E900" s="1332"/>
      <c r="F900" s="1332"/>
      <c r="G900" s="1378"/>
      <c r="H900" s="1378"/>
      <c r="I900" s="1332"/>
      <c r="J900" s="1332"/>
      <c r="K900" s="1332"/>
      <c r="L900" s="1332"/>
      <c r="M900" s="1332"/>
      <c r="N900" s="1332"/>
      <c r="O900" s="1332"/>
      <c r="P900" s="1332"/>
      <c r="Q900" s="1332"/>
      <c r="R900" s="1332"/>
      <c r="S900" s="1332"/>
      <c r="T900" s="1332"/>
      <c r="U900" s="1332"/>
      <c r="V900" s="1332"/>
      <c r="W900" s="1332"/>
      <c r="X900" s="1332"/>
      <c r="Y900" s="1332"/>
      <c r="Z900" s="1332"/>
      <c r="AA900" s="1332"/>
      <c r="AB900" s="1332"/>
    </row>
    <row r="901">
      <c r="A901" s="1332"/>
      <c r="B901" s="1366"/>
      <c r="C901" s="1366"/>
      <c r="D901" s="1375"/>
      <c r="E901" s="1332"/>
      <c r="F901" s="1332"/>
      <c r="G901" s="1378"/>
      <c r="H901" s="1378"/>
      <c r="I901" s="1332"/>
      <c r="J901" s="1332"/>
      <c r="K901" s="1332"/>
      <c r="L901" s="1332"/>
      <c r="M901" s="1332"/>
      <c r="N901" s="1332"/>
      <c r="O901" s="1332"/>
      <c r="P901" s="1332"/>
      <c r="Q901" s="1332"/>
      <c r="R901" s="1332"/>
      <c r="S901" s="1332"/>
      <c r="T901" s="1332"/>
      <c r="U901" s="1332"/>
      <c r="V901" s="1332"/>
      <c r="W901" s="1332"/>
      <c r="X901" s="1332"/>
      <c r="Y901" s="1332"/>
      <c r="Z901" s="1332"/>
      <c r="AA901" s="1332"/>
      <c r="AB901" s="1332"/>
    </row>
    <row r="902">
      <c r="A902" s="1332"/>
      <c r="B902" s="1366"/>
      <c r="C902" s="1366"/>
      <c r="D902" s="1375"/>
      <c r="E902" s="1332"/>
      <c r="F902" s="1332"/>
      <c r="G902" s="1378"/>
      <c r="H902" s="1378"/>
      <c r="I902" s="1332"/>
      <c r="J902" s="1332"/>
      <c r="K902" s="1332"/>
      <c r="L902" s="1332"/>
      <c r="M902" s="1332"/>
      <c r="N902" s="1332"/>
      <c r="O902" s="1332"/>
      <c r="P902" s="1332"/>
      <c r="Q902" s="1332"/>
      <c r="R902" s="1332"/>
      <c r="S902" s="1332"/>
      <c r="T902" s="1332"/>
      <c r="U902" s="1332"/>
      <c r="V902" s="1332"/>
      <c r="W902" s="1332"/>
      <c r="X902" s="1332"/>
      <c r="Y902" s="1332"/>
      <c r="Z902" s="1332"/>
      <c r="AA902" s="1332"/>
      <c r="AB902" s="1332"/>
    </row>
    <row r="903">
      <c r="A903" s="1332"/>
      <c r="B903" s="1366"/>
      <c r="C903" s="1366"/>
      <c r="D903" s="1375"/>
      <c r="E903" s="1332"/>
      <c r="F903" s="1332"/>
      <c r="G903" s="1378"/>
      <c r="H903" s="1378"/>
      <c r="I903" s="1332"/>
      <c r="J903" s="1332"/>
      <c r="K903" s="1332"/>
      <c r="L903" s="1332"/>
      <c r="M903" s="1332"/>
      <c r="N903" s="1332"/>
      <c r="O903" s="1332"/>
      <c r="P903" s="1332"/>
      <c r="Q903" s="1332"/>
      <c r="R903" s="1332"/>
      <c r="S903" s="1332"/>
      <c r="T903" s="1332"/>
      <c r="U903" s="1332"/>
      <c r="V903" s="1332"/>
      <c r="W903" s="1332"/>
      <c r="X903" s="1332"/>
      <c r="Y903" s="1332"/>
      <c r="Z903" s="1332"/>
      <c r="AA903" s="1332"/>
      <c r="AB903" s="1332"/>
    </row>
    <row r="904">
      <c r="A904" s="1332"/>
      <c r="B904" s="1366"/>
      <c r="C904" s="1366"/>
      <c r="D904" s="1375"/>
      <c r="E904" s="1332"/>
      <c r="F904" s="1332"/>
      <c r="G904" s="1378"/>
      <c r="H904" s="1378"/>
      <c r="I904" s="1332"/>
      <c r="J904" s="1332"/>
      <c r="K904" s="1332"/>
      <c r="L904" s="1332"/>
      <c r="M904" s="1332"/>
      <c r="N904" s="1332"/>
      <c r="O904" s="1332"/>
      <c r="P904" s="1332"/>
      <c r="Q904" s="1332"/>
      <c r="R904" s="1332"/>
      <c r="S904" s="1332"/>
      <c r="T904" s="1332"/>
      <c r="U904" s="1332"/>
      <c r="V904" s="1332"/>
      <c r="W904" s="1332"/>
      <c r="X904" s="1332"/>
      <c r="Y904" s="1332"/>
      <c r="Z904" s="1332"/>
      <c r="AA904" s="1332"/>
      <c r="AB904" s="1332"/>
    </row>
    <row r="905">
      <c r="A905" s="1332"/>
      <c r="B905" s="1366"/>
      <c r="C905" s="1366"/>
      <c r="D905" s="1375"/>
      <c r="E905" s="1332"/>
      <c r="F905" s="1332"/>
      <c r="G905" s="1378"/>
      <c r="H905" s="1378"/>
      <c r="I905" s="1332"/>
      <c r="J905" s="1332"/>
      <c r="K905" s="1332"/>
      <c r="L905" s="1332"/>
      <c r="M905" s="1332"/>
      <c r="N905" s="1332"/>
      <c r="O905" s="1332"/>
      <c r="P905" s="1332"/>
      <c r="Q905" s="1332"/>
      <c r="R905" s="1332"/>
      <c r="S905" s="1332"/>
      <c r="T905" s="1332"/>
      <c r="U905" s="1332"/>
      <c r="V905" s="1332"/>
      <c r="W905" s="1332"/>
      <c r="X905" s="1332"/>
      <c r="Y905" s="1332"/>
      <c r="Z905" s="1332"/>
      <c r="AA905" s="1332"/>
      <c r="AB905" s="1332"/>
    </row>
    <row r="906">
      <c r="A906" s="1332"/>
      <c r="B906" s="1366"/>
      <c r="C906" s="1366"/>
      <c r="D906" s="1375"/>
      <c r="E906" s="1332"/>
      <c r="F906" s="1332"/>
      <c r="G906" s="1378"/>
      <c r="H906" s="1378"/>
      <c r="I906" s="1332"/>
      <c r="J906" s="1332"/>
      <c r="K906" s="1332"/>
      <c r="L906" s="1332"/>
      <c r="M906" s="1332"/>
      <c r="N906" s="1332"/>
      <c r="O906" s="1332"/>
      <c r="P906" s="1332"/>
      <c r="Q906" s="1332"/>
      <c r="R906" s="1332"/>
      <c r="S906" s="1332"/>
      <c r="T906" s="1332"/>
      <c r="U906" s="1332"/>
      <c r="V906" s="1332"/>
      <c r="W906" s="1332"/>
      <c r="X906" s="1332"/>
      <c r="Y906" s="1332"/>
      <c r="Z906" s="1332"/>
      <c r="AA906" s="1332"/>
      <c r="AB906" s="1332"/>
    </row>
    <row r="907">
      <c r="A907" s="1332"/>
      <c r="B907" s="1366"/>
      <c r="C907" s="1366"/>
      <c r="D907" s="1375"/>
      <c r="E907" s="1332"/>
      <c r="F907" s="1332"/>
      <c r="G907" s="1378"/>
      <c r="H907" s="1378"/>
      <c r="I907" s="1332"/>
      <c r="J907" s="1332"/>
      <c r="K907" s="1332"/>
      <c r="L907" s="1332"/>
      <c r="M907" s="1332"/>
      <c r="N907" s="1332"/>
      <c r="O907" s="1332"/>
      <c r="P907" s="1332"/>
      <c r="Q907" s="1332"/>
      <c r="R907" s="1332"/>
      <c r="S907" s="1332"/>
      <c r="T907" s="1332"/>
      <c r="U907" s="1332"/>
      <c r="V907" s="1332"/>
      <c r="W907" s="1332"/>
      <c r="X907" s="1332"/>
      <c r="Y907" s="1332"/>
      <c r="Z907" s="1332"/>
      <c r="AA907" s="1332"/>
      <c r="AB907" s="1332"/>
    </row>
    <row r="908">
      <c r="A908" s="1332"/>
      <c r="B908" s="1366"/>
      <c r="C908" s="1366"/>
      <c r="D908" s="1375"/>
      <c r="E908" s="1332"/>
      <c r="F908" s="1332"/>
      <c r="G908" s="1378"/>
      <c r="H908" s="1378"/>
      <c r="I908" s="1332"/>
      <c r="J908" s="1332"/>
      <c r="K908" s="1332"/>
      <c r="L908" s="1332"/>
      <c r="M908" s="1332"/>
      <c r="N908" s="1332"/>
      <c r="O908" s="1332"/>
      <c r="P908" s="1332"/>
      <c r="Q908" s="1332"/>
      <c r="R908" s="1332"/>
      <c r="S908" s="1332"/>
      <c r="T908" s="1332"/>
      <c r="U908" s="1332"/>
      <c r="V908" s="1332"/>
      <c r="W908" s="1332"/>
      <c r="X908" s="1332"/>
      <c r="Y908" s="1332"/>
      <c r="Z908" s="1332"/>
      <c r="AA908" s="1332"/>
      <c r="AB908" s="1332"/>
    </row>
    <row r="909">
      <c r="A909" s="1332"/>
      <c r="B909" s="1366"/>
      <c r="C909" s="1366"/>
      <c r="D909" s="1375"/>
      <c r="E909" s="1332"/>
      <c r="F909" s="1332"/>
      <c r="G909" s="1378"/>
      <c r="H909" s="1378"/>
      <c r="I909" s="1332"/>
      <c r="J909" s="1332"/>
      <c r="K909" s="1332"/>
      <c r="L909" s="1332"/>
      <c r="M909" s="1332"/>
      <c r="N909" s="1332"/>
      <c r="O909" s="1332"/>
      <c r="P909" s="1332"/>
      <c r="Q909" s="1332"/>
      <c r="R909" s="1332"/>
      <c r="S909" s="1332"/>
      <c r="T909" s="1332"/>
      <c r="U909" s="1332"/>
      <c r="V909" s="1332"/>
      <c r="W909" s="1332"/>
      <c r="X909" s="1332"/>
      <c r="Y909" s="1332"/>
      <c r="Z909" s="1332"/>
      <c r="AA909" s="1332"/>
      <c r="AB909" s="1332"/>
    </row>
    <row r="910">
      <c r="A910" s="1332"/>
      <c r="B910" s="1366"/>
      <c r="C910" s="1366"/>
      <c r="D910" s="1375"/>
      <c r="E910" s="1332"/>
      <c r="F910" s="1332"/>
      <c r="G910" s="1378"/>
      <c r="H910" s="1378"/>
      <c r="I910" s="1332"/>
      <c r="J910" s="1332"/>
      <c r="K910" s="1332"/>
      <c r="L910" s="1332"/>
      <c r="M910" s="1332"/>
      <c r="N910" s="1332"/>
      <c r="O910" s="1332"/>
      <c r="P910" s="1332"/>
      <c r="Q910" s="1332"/>
      <c r="R910" s="1332"/>
      <c r="S910" s="1332"/>
      <c r="T910" s="1332"/>
      <c r="U910" s="1332"/>
      <c r="V910" s="1332"/>
      <c r="W910" s="1332"/>
      <c r="X910" s="1332"/>
      <c r="Y910" s="1332"/>
      <c r="Z910" s="1332"/>
      <c r="AA910" s="1332"/>
      <c r="AB910" s="1332"/>
    </row>
    <row r="911">
      <c r="A911" s="1332"/>
      <c r="B911" s="1366"/>
      <c r="C911" s="1366"/>
      <c r="D911" s="1375"/>
      <c r="E911" s="1332"/>
      <c r="F911" s="1332"/>
      <c r="G911" s="1378"/>
      <c r="H911" s="1378"/>
      <c r="I911" s="1332"/>
      <c r="J911" s="1332"/>
      <c r="K911" s="1332"/>
      <c r="L911" s="1332"/>
      <c r="M911" s="1332"/>
      <c r="N911" s="1332"/>
      <c r="O911" s="1332"/>
      <c r="P911" s="1332"/>
      <c r="Q911" s="1332"/>
      <c r="R911" s="1332"/>
      <c r="S911" s="1332"/>
      <c r="T911" s="1332"/>
      <c r="U911" s="1332"/>
      <c r="V911" s="1332"/>
      <c r="W911" s="1332"/>
      <c r="X911" s="1332"/>
      <c r="Y911" s="1332"/>
      <c r="Z911" s="1332"/>
      <c r="AA911" s="1332"/>
      <c r="AB911" s="1332"/>
    </row>
    <row r="912">
      <c r="A912" s="1332"/>
      <c r="B912" s="1366"/>
      <c r="C912" s="1366"/>
      <c r="D912" s="1375"/>
      <c r="E912" s="1332"/>
      <c r="F912" s="1332"/>
      <c r="G912" s="1378"/>
      <c r="H912" s="1378"/>
      <c r="I912" s="1332"/>
      <c r="J912" s="1332"/>
      <c r="K912" s="1332"/>
      <c r="L912" s="1332"/>
      <c r="M912" s="1332"/>
      <c r="N912" s="1332"/>
      <c r="O912" s="1332"/>
      <c r="P912" s="1332"/>
      <c r="Q912" s="1332"/>
      <c r="R912" s="1332"/>
      <c r="S912" s="1332"/>
      <c r="T912" s="1332"/>
      <c r="U912" s="1332"/>
      <c r="V912" s="1332"/>
      <c r="W912" s="1332"/>
      <c r="X912" s="1332"/>
      <c r="Y912" s="1332"/>
      <c r="Z912" s="1332"/>
      <c r="AA912" s="1332"/>
      <c r="AB912" s="1332"/>
    </row>
    <row r="913">
      <c r="A913" s="1332"/>
      <c r="B913" s="1366"/>
      <c r="C913" s="1366"/>
      <c r="D913" s="1375"/>
      <c r="E913" s="1332"/>
      <c r="F913" s="1332"/>
      <c r="G913" s="1378"/>
      <c r="H913" s="1378"/>
      <c r="I913" s="1332"/>
      <c r="J913" s="1332"/>
      <c r="K913" s="1332"/>
      <c r="L913" s="1332"/>
      <c r="M913" s="1332"/>
      <c r="N913" s="1332"/>
      <c r="O913" s="1332"/>
      <c r="P913" s="1332"/>
      <c r="Q913" s="1332"/>
      <c r="R913" s="1332"/>
      <c r="S913" s="1332"/>
      <c r="T913" s="1332"/>
      <c r="U913" s="1332"/>
      <c r="V913" s="1332"/>
      <c r="W913" s="1332"/>
      <c r="X913" s="1332"/>
      <c r="Y913" s="1332"/>
      <c r="Z913" s="1332"/>
      <c r="AA913" s="1332"/>
      <c r="AB913" s="1332"/>
    </row>
    <row r="914">
      <c r="A914" s="1332"/>
      <c r="B914" s="1366"/>
      <c r="C914" s="1366"/>
      <c r="D914" s="1375"/>
      <c r="E914" s="1332"/>
      <c r="F914" s="1332"/>
      <c r="G914" s="1378"/>
      <c r="H914" s="1378"/>
      <c r="I914" s="1332"/>
      <c r="J914" s="1332"/>
      <c r="K914" s="1332"/>
      <c r="L914" s="1332"/>
      <c r="M914" s="1332"/>
      <c r="N914" s="1332"/>
      <c r="O914" s="1332"/>
      <c r="P914" s="1332"/>
      <c r="Q914" s="1332"/>
      <c r="R914" s="1332"/>
      <c r="S914" s="1332"/>
      <c r="T914" s="1332"/>
      <c r="U914" s="1332"/>
      <c r="V914" s="1332"/>
      <c r="W914" s="1332"/>
      <c r="X914" s="1332"/>
      <c r="Y914" s="1332"/>
      <c r="Z914" s="1332"/>
      <c r="AA914" s="1332"/>
      <c r="AB914" s="1332"/>
    </row>
    <row r="915">
      <c r="A915" s="1332"/>
      <c r="B915" s="1366"/>
      <c r="C915" s="1366"/>
      <c r="D915" s="1375"/>
      <c r="E915" s="1332"/>
      <c r="F915" s="1332"/>
      <c r="G915" s="1378"/>
      <c r="H915" s="1378"/>
      <c r="I915" s="1332"/>
      <c r="J915" s="1332"/>
      <c r="K915" s="1332"/>
      <c r="L915" s="1332"/>
      <c r="M915" s="1332"/>
      <c r="N915" s="1332"/>
      <c r="O915" s="1332"/>
      <c r="P915" s="1332"/>
      <c r="Q915" s="1332"/>
      <c r="R915" s="1332"/>
      <c r="S915" s="1332"/>
      <c r="T915" s="1332"/>
      <c r="U915" s="1332"/>
      <c r="V915" s="1332"/>
      <c r="W915" s="1332"/>
      <c r="X915" s="1332"/>
      <c r="Y915" s="1332"/>
      <c r="Z915" s="1332"/>
      <c r="AA915" s="1332"/>
      <c r="AB915" s="1332"/>
    </row>
    <row r="916">
      <c r="A916" s="1332"/>
      <c r="B916" s="1366"/>
      <c r="C916" s="1366"/>
      <c r="D916" s="1375"/>
      <c r="E916" s="1332"/>
      <c r="F916" s="1332"/>
      <c r="G916" s="1378"/>
      <c r="H916" s="1378"/>
      <c r="I916" s="1332"/>
      <c r="J916" s="1332"/>
      <c r="K916" s="1332"/>
      <c r="L916" s="1332"/>
      <c r="M916" s="1332"/>
      <c r="N916" s="1332"/>
      <c r="O916" s="1332"/>
      <c r="P916" s="1332"/>
      <c r="Q916" s="1332"/>
      <c r="R916" s="1332"/>
      <c r="S916" s="1332"/>
      <c r="T916" s="1332"/>
      <c r="U916" s="1332"/>
      <c r="V916" s="1332"/>
      <c r="W916" s="1332"/>
      <c r="X916" s="1332"/>
      <c r="Y916" s="1332"/>
      <c r="Z916" s="1332"/>
      <c r="AA916" s="1332"/>
      <c r="AB916" s="1332"/>
    </row>
    <row r="917">
      <c r="A917" s="1332"/>
      <c r="B917" s="1366"/>
      <c r="C917" s="1366"/>
      <c r="D917" s="1375"/>
      <c r="E917" s="1332"/>
      <c r="F917" s="1332"/>
      <c r="G917" s="1378"/>
      <c r="H917" s="1378"/>
      <c r="I917" s="1332"/>
      <c r="J917" s="1332"/>
      <c r="K917" s="1332"/>
      <c r="L917" s="1332"/>
      <c r="M917" s="1332"/>
      <c r="N917" s="1332"/>
      <c r="O917" s="1332"/>
      <c r="P917" s="1332"/>
      <c r="Q917" s="1332"/>
      <c r="R917" s="1332"/>
      <c r="S917" s="1332"/>
      <c r="T917" s="1332"/>
      <c r="U917" s="1332"/>
      <c r="V917" s="1332"/>
      <c r="W917" s="1332"/>
      <c r="X917" s="1332"/>
      <c r="Y917" s="1332"/>
      <c r="Z917" s="1332"/>
      <c r="AA917" s="1332"/>
      <c r="AB917" s="1332"/>
    </row>
    <row r="918">
      <c r="A918" s="1332"/>
      <c r="B918" s="1366"/>
      <c r="C918" s="1366"/>
      <c r="D918" s="1375"/>
      <c r="E918" s="1332"/>
      <c r="F918" s="1332"/>
      <c r="G918" s="1378"/>
      <c r="H918" s="1378"/>
      <c r="I918" s="1332"/>
      <c r="J918" s="1332"/>
      <c r="K918" s="1332"/>
      <c r="L918" s="1332"/>
      <c r="M918" s="1332"/>
      <c r="N918" s="1332"/>
      <c r="O918" s="1332"/>
      <c r="P918" s="1332"/>
      <c r="Q918" s="1332"/>
      <c r="R918" s="1332"/>
      <c r="S918" s="1332"/>
      <c r="T918" s="1332"/>
      <c r="U918" s="1332"/>
      <c r="V918" s="1332"/>
      <c r="W918" s="1332"/>
      <c r="X918" s="1332"/>
      <c r="Y918" s="1332"/>
      <c r="Z918" s="1332"/>
      <c r="AA918" s="1332"/>
      <c r="AB918" s="1332"/>
    </row>
    <row r="919">
      <c r="A919" s="1332"/>
      <c r="B919" s="1366"/>
      <c r="C919" s="1366"/>
      <c r="D919" s="1375"/>
      <c r="E919" s="1332"/>
      <c r="F919" s="1332"/>
      <c r="G919" s="1378"/>
      <c r="H919" s="1378"/>
      <c r="I919" s="1332"/>
      <c r="J919" s="1332"/>
      <c r="K919" s="1332"/>
      <c r="L919" s="1332"/>
      <c r="M919" s="1332"/>
      <c r="N919" s="1332"/>
      <c r="O919" s="1332"/>
      <c r="P919" s="1332"/>
      <c r="Q919" s="1332"/>
      <c r="R919" s="1332"/>
      <c r="S919" s="1332"/>
      <c r="T919" s="1332"/>
      <c r="U919" s="1332"/>
      <c r="V919" s="1332"/>
      <c r="W919" s="1332"/>
      <c r="X919" s="1332"/>
      <c r="Y919" s="1332"/>
      <c r="Z919" s="1332"/>
      <c r="AA919" s="1332"/>
      <c r="AB919" s="1332"/>
    </row>
    <row r="920">
      <c r="A920" s="1332"/>
      <c r="B920" s="1366"/>
      <c r="C920" s="1366"/>
      <c r="D920" s="1375"/>
      <c r="E920" s="1332"/>
      <c r="F920" s="1332"/>
      <c r="G920" s="1378"/>
      <c r="H920" s="1378"/>
      <c r="I920" s="1332"/>
      <c r="J920" s="1332"/>
      <c r="K920" s="1332"/>
      <c r="L920" s="1332"/>
      <c r="M920" s="1332"/>
      <c r="N920" s="1332"/>
      <c r="O920" s="1332"/>
      <c r="P920" s="1332"/>
      <c r="Q920" s="1332"/>
      <c r="R920" s="1332"/>
      <c r="S920" s="1332"/>
      <c r="T920" s="1332"/>
      <c r="U920" s="1332"/>
      <c r="V920" s="1332"/>
      <c r="W920" s="1332"/>
      <c r="X920" s="1332"/>
      <c r="Y920" s="1332"/>
      <c r="Z920" s="1332"/>
      <c r="AA920" s="1332"/>
      <c r="AB920" s="1332"/>
    </row>
    <row r="921">
      <c r="A921" s="1332"/>
      <c r="B921" s="1366"/>
      <c r="C921" s="1366"/>
      <c r="D921" s="1375"/>
      <c r="E921" s="1332"/>
      <c r="F921" s="1332"/>
      <c r="G921" s="1378"/>
      <c r="H921" s="1378"/>
      <c r="I921" s="1332"/>
      <c r="J921" s="1332"/>
      <c r="K921" s="1332"/>
      <c r="L921" s="1332"/>
      <c r="M921" s="1332"/>
      <c r="N921" s="1332"/>
      <c r="O921" s="1332"/>
      <c r="P921" s="1332"/>
      <c r="Q921" s="1332"/>
      <c r="R921" s="1332"/>
      <c r="S921" s="1332"/>
      <c r="T921" s="1332"/>
      <c r="U921" s="1332"/>
      <c r="V921" s="1332"/>
      <c r="W921" s="1332"/>
      <c r="X921" s="1332"/>
      <c r="Y921" s="1332"/>
      <c r="Z921" s="1332"/>
      <c r="AA921" s="1332"/>
      <c r="AB921" s="1332"/>
    </row>
    <row r="922">
      <c r="A922" s="1332"/>
      <c r="B922" s="1366"/>
      <c r="C922" s="1366"/>
      <c r="D922" s="1375"/>
      <c r="E922" s="1332"/>
      <c r="F922" s="1332"/>
      <c r="G922" s="1378"/>
      <c r="H922" s="1378"/>
      <c r="I922" s="1332"/>
      <c r="J922" s="1332"/>
      <c r="K922" s="1332"/>
      <c r="L922" s="1332"/>
      <c r="M922" s="1332"/>
      <c r="N922" s="1332"/>
      <c r="O922" s="1332"/>
      <c r="P922" s="1332"/>
      <c r="Q922" s="1332"/>
      <c r="R922" s="1332"/>
      <c r="S922" s="1332"/>
      <c r="T922" s="1332"/>
      <c r="U922" s="1332"/>
      <c r="V922" s="1332"/>
      <c r="W922" s="1332"/>
      <c r="X922" s="1332"/>
      <c r="Y922" s="1332"/>
      <c r="Z922" s="1332"/>
      <c r="AA922" s="1332"/>
      <c r="AB922" s="1332"/>
    </row>
    <row r="923">
      <c r="A923" s="1332"/>
      <c r="B923" s="1366"/>
      <c r="C923" s="1366"/>
      <c r="D923" s="1375"/>
      <c r="E923" s="1332"/>
      <c r="F923" s="1332"/>
      <c r="G923" s="1378"/>
      <c r="H923" s="1378"/>
      <c r="I923" s="1332"/>
      <c r="J923" s="1332"/>
      <c r="K923" s="1332"/>
      <c r="L923" s="1332"/>
      <c r="M923" s="1332"/>
      <c r="N923" s="1332"/>
      <c r="O923" s="1332"/>
      <c r="P923" s="1332"/>
      <c r="Q923" s="1332"/>
      <c r="R923" s="1332"/>
      <c r="S923" s="1332"/>
      <c r="T923" s="1332"/>
      <c r="U923" s="1332"/>
      <c r="V923" s="1332"/>
      <c r="W923" s="1332"/>
      <c r="X923" s="1332"/>
      <c r="Y923" s="1332"/>
      <c r="Z923" s="1332"/>
      <c r="AA923" s="1332"/>
      <c r="AB923" s="1332"/>
    </row>
    <row r="924">
      <c r="A924" s="1332"/>
      <c r="B924" s="1366"/>
      <c r="C924" s="1366"/>
      <c r="D924" s="1375"/>
      <c r="E924" s="1332"/>
      <c r="F924" s="1332"/>
      <c r="G924" s="1378"/>
      <c r="H924" s="1378"/>
      <c r="I924" s="1332"/>
      <c r="J924" s="1332"/>
      <c r="K924" s="1332"/>
      <c r="L924" s="1332"/>
      <c r="M924" s="1332"/>
      <c r="N924" s="1332"/>
      <c r="O924" s="1332"/>
      <c r="P924" s="1332"/>
      <c r="Q924" s="1332"/>
      <c r="R924" s="1332"/>
      <c r="S924" s="1332"/>
      <c r="T924" s="1332"/>
      <c r="U924" s="1332"/>
      <c r="V924" s="1332"/>
      <c r="W924" s="1332"/>
      <c r="X924" s="1332"/>
      <c r="Y924" s="1332"/>
      <c r="Z924" s="1332"/>
      <c r="AA924" s="1332"/>
      <c r="AB924" s="1332"/>
    </row>
    <row r="925">
      <c r="A925" s="1332"/>
      <c r="B925" s="1366"/>
      <c r="C925" s="1366"/>
      <c r="D925" s="1375"/>
      <c r="E925" s="1332"/>
      <c r="F925" s="1332"/>
      <c r="G925" s="1378"/>
      <c r="H925" s="1378"/>
      <c r="I925" s="1332"/>
      <c r="J925" s="1332"/>
      <c r="K925" s="1332"/>
      <c r="L925" s="1332"/>
      <c r="M925" s="1332"/>
      <c r="N925" s="1332"/>
      <c r="O925" s="1332"/>
      <c r="P925" s="1332"/>
      <c r="Q925" s="1332"/>
      <c r="R925" s="1332"/>
      <c r="S925" s="1332"/>
      <c r="T925" s="1332"/>
      <c r="U925" s="1332"/>
      <c r="V925" s="1332"/>
      <c r="W925" s="1332"/>
      <c r="X925" s="1332"/>
      <c r="Y925" s="1332"/>
      <c r="Z925" s="1332"/>
      <c r="AA925" s="1332"/>
      <c r="AB925" s="1332"/>
    </row>
    <row r="926">
      <c r="A926" s="1332"/>
      <c r="B926" s="1366"/>
      <c r="C926" s="1366"/>
      <c r="D926" s="1375"/>
      <c r="E926" s="1332"/>
      <c r="F926" s="1332"/>
      <c r="G926" s="1378"/>
      <c r="H926" s="1378"/>
      <c r="I926" s="1332"/>
      <c r="J926" s="1332"/>
      <c r="K926" s="1332"/>
      <c r="L926" s="1332"/>
      <c r="M926" s="1332"/>
      <c r="N926" s="1332"/>
      <c r="O926" s="1332"/>
      <c r="P926" s="1332"/>
      <c r="Q926" s="1332"/>
      <c r="R926" s="1332"/>
      <c r="S926" s="1332"/>
      <c r="T926" s="1332"/>
      <c r="U926" s="1332"/>
      <c r="V926" s="1332"/>
      <c r="W926" s="1332"/>
      <c r="X926" s="1332"/>
      <c r="Y926" s="1332"/>
      <c r="Z926" s="1332"/>
      <c r="AA926" s="1332"/>
      <c r="AB926" s="1332"/>
    </row>
    <row r="927">
      <c r="A927" s="1332"/>
      <c r="B927" s="1366"/>
      <c r="C927" s="1366"/>
      <c r="D927" s="1375"/>
      <c r="E927" s="1332"/>
      <c r="F927" s="1332"/>
      <c r="G927" s="1378"/>
      <c r="H927" s="1378"/>
      <c r="I927" s="1332"/>
      <c r="J927" s="1332"/>
      <c r="K927" s="1332"/>
      <c r="L927" s="1332"/>
      <c r="M927" s="1332"/>
      <c r="N927" s="1332"/>
      <c r="O927" s="1332"/>
      <c r="P927" s="1332"/>
      <c r="Q927" s="1332"/>
      <c r="R927" s="1332"/>
      <c r="S927" s="1332"/>
      <c r="T927" s="1332"/>
      <c r="U927" s="1332"/>
      <c r="V927" s="1332"/>
      <c r="W927" s="1332"/>
      <c r="X927" s="1332"/>
      <c r="Y927" s="1332"/>
      <c r="Z927" s="1332"/>
      <c r="AA927" s="1332"/>
      <c r="AB927" s="1332"/>
    </row>
    <row r="928">
      <c r="A928" s="1332"/>
      <c r="B928" s="1366"/>
      <c r="C928" s="1366"/>
      <c r="D928" s="1375"/>
      <c r="E928" s="1332"/>
      <c r="F928" s="1332"/>
      <c r="G928" s="1378"/>
      <c r="H928" s="1378"/>
      <c r="I928" s="1332"/>
      <c r="J928" s="1332"/>
      <c r="K928" s="1332"/>
      <c r="L928" s="1332"/>
      <c r="M928" s="1332"/>
      <c r="N928" s="1332"/>
      <c r="O928" s="1332"/>
      <c r="P928" s="1332"/>
      <c r="Q928" s="1332"/>
      <c r="R928" s="1332"/>
      <c r="S928" s="1332"/>
      <c r="T928" s="1332"/>
      <c r="U928" s="1332"/>
      <c r="V928" s="1332"/>
      <c r="W928" s="1332"/>
      <c r="X928" s="1332"/>
      <c r="Y928" s="1332"/>
      <c r="Z928" s="1332"/>
      <c r="AA928" s="1332"/>
      <c r="AB928" s="1332"/>
    </row>
    <row r="929">
      <c r="A929" s="1332"/>
      <c r="B929" s="1366"/>
      <c r="C929" s="1366"/>
      <c r="D929" s="1375"/>
      <c r="E929" s="1332"/>
      <c r="F929" s="1332"/>
      <c r="G929" s="1378"/>
      <c r="H929" s="1378"/>
      <c r="I929" s="1332"/>
      <c r="J929" s="1332"/>
      <c r="K929" s="1332"/>
      <c r="L929" s="1332"/>
      <c r="M929" s="1332"/>
      <c r="N929" s="1332"/>
      <c r="O929" s="1332"/>
      <c r="P929" s="1332"/>
      <c r="Q929" s="1332"/>
      <c r="R929" s="1332"/>
      <c r="S929" s="1332"/>
      <c r="T929" s="1332"/>
      <c r="U929" s="1332"/>
      <c r="V929" s="1332"/>
      <c r="W929" s="1332"/>
      <c r="X929" s="1332"/>
      <c r="Y929" s="1332"/>
      <c r="Z929" s="1332"/>
      <c r="AA929" s="1332"/>
      <c r="AB929" s="1332"/>
    </row>
    <row r="930">
      <c r="A930" s="1332"/>
      <c r="B930" s="1366"/>
      <c r="C930" s="1366"/>
      <c r="D930" s="1375"/>
      <c r="E930" s="1332"/>
      <c r="F930" s="1332"/>
      <c r="G930" s="1378"/>
      <c r="H930" s="1378"/>
      <c r="I930" s="1332"/>
      <c r="J930" s="1332"/>
      <c r="K930" s="1332"/>
      <c r="L930" s="1332"/>
      <c r="M930" s="1332"/>
      <c r="N930" s="1332"/>
      <c r="O930" s="1332"/>
      <c r="P930" s="1332"/>
      <c r="Q930" s="1332"/>
      <c r="R930" s="1332"/>
      <c r="S930" s="1332"/>
      <c r="T930" s="1332"/>
      <c r="U930" s="1332"/>
      <c r="V930" s="1332"/>
      <c r="W930" s="1332"/>
      <c r="X930" s="1332"/>
      <c r="Y930" s="1332"/>
      <c r="Z930" s="1332"/>
      <c r="AA930" s="1332"/>
      <c r="AB930" s="1332"/>
    </row>
    <row r="931">
      <c r="A931" s="1332"/>
      <c r="B931" s="1366"/>
      <c r="C931" s="1366"/>
      <c r="D931" s="1375"/>
      <c r="E931" s="1332"/>
      <c r="F931" s="1332"/>
      <c r="G931" s="1378"/>
      <c r="H931" s="1378"/>
      <c r="I931" s="1332"/>
      <c r="J931" s="1332"/>
      <c r="K931" s="1332"/>
      <c r="L931" s="1332"/>
      <c r="M931" s="1332"/>
      <c r="N931" s="1332"/>
      <c r="O931" s="1332"/>
      <c r="P931" s="1332"/>
      <c r="Q931" s="1332"/>
      <c r="R931" s="1332"/>
      <c r="S931" s="1332"/>
      <c r="T931" s="1332"/>
      <c r="U931" s="1332"/>
      <c r="V931" s="1332"/>
      <c r="W931" s="1332"/>
      <c r="X931" s="1332"/>
      <c r="Y931" s="1332"/>
      <c r="Z931" s="1332"/>
      <c r="AA931" s="1332"/>
      <c r="AB931" s="1332"/>
    </row>
    <row r="932">
      <c r="A932" s="1332"/>
      <c r="B932" s="1366"/>
      <c r="C932" s="1366"/>
      <c r="D932" s="1375"/>
      <c r="E932" s="1332"/>
      <c r="F932" s="1332"/>
      <c r="G932" s="1378"/>
      <c r="H932" s="1378"/>
      <c r="I932" s="1332"/>
      <c r="J932" s="1332"/>
      <c r="K932" s="1332"/>
      <c r="L932" s="1332"/>
      <c r="M932" s="1332"/>
      <c r="N932" s="1332"/>
      <c r="O932" s="1332"/>
      <c r="P932" s="1332"/>
      <c r="Q932" s="1332"/>
      <c r="R932" s="1332"/>
      <c r="S932" s="1332"/>
      <c r="T932" s="1332"/>
      <c r="U932" s="1332"/>
      <c r="V932" s="1332"/>
      <c r="W932" s="1332"/>
      <c r="X932" s="1332"/>
      <c r="Y932" s="1332"/>
      <c r="Z932" s="1332"/>
      <c r="AA932" s="1332"/>
      <c r="AB932" s="1332"/>
    </row>
    <row r="933">
      <c r="A933" s="1332"/>
      <c r="B933" s="1366"/>
      <c r="C933" s="1366"/>
      <c r="D933" s="1375"/>
      <c r="E933" s="1332"/>
      <c r="F933" s="1332"/>
      <c r="G933" s="1378"/>
      <c r="H933" s="1378"/>
      <c r="I933" s="1332"/>
      <c r="J933" s="1332"/>
      <c r="K933" s="1332"/>
      <c r="L933" s="1332"/>
      <c r="M933" s="1332"/>
      <c r="N933" s="1332"/>
      <c r="O933" s="1332"/>
      <c r="P933" s="1332"/>
      <c r="Q933" s="1332"/>
      <c r="R933" s="1332"/>
      <c r="S933" s="1332"/>
      <c r="T933" s="1332"/>
      <c r="U933" s="1332"/>
      <c r="V933" s="1332"/>
      <c r="W933" s="1332"/>
      <c r="X933" s="1332"/>
      <c r="Y933" s="1332"/>
      <c r="Z933" s="1332"/>
      <c r="AA933" s="1332"/>
      <c r="AB933" s="1332"/>
    </row>
    <row r="934">
      <c r="A934" s="1332"/>
      <c r="B934" s="1366"/>
      <c r="C934" s="1366"/>
      <c r="D934" s="1375"/>
      <c r="E934" s="1332"/>
      <c r="F934" s="1332"/>
      <c r="G934" s="1378"/>
      <c r="H934" s="1378"/>
      <c r="I934" s="1332"/>
      <c r="J934" s="1332"/>
      <c r="K934" s="1332"/>
      <c r="L934" s="1332"/>
      <c r="M934" s="1332"/>
      <c r="N934" s="1332"/>
      <c r="O934" s="1332"/>
      <c r="P934" s="1332"/>
      <c r="Q934" s="1332"/>
      <c r="R934" s="1332"/>
      <c r="S934" s="1332"/>
      <c r="T934" s="1332"/>
      <c r="U934" s="1332"/>
      <c r="V934" s="1332"/>
      <c r="W934" s="1332"/>
      <c r="X934" s="1332"/>
      <c r="Y934" s="1332"/>
      <c r="Z934" s="1332"/>
      <c r="AA934" s="1332"/>
      <c r="AB934" s="1332"/>
    </row>
    <row r="935">
      <c r="A935" s="1332"/>
      <c r="B935" s="1366"/>
      <c r="C935" s="1366"/>
      <c r="D935" s="1375"/>
      <c r="E935" s="1332"/>
      <c r="F935" s="1332"/>
      <c r="G935" s="1378"/>
      <c r="H935" s="1378"/>
      <c r="I935" s="1332"/>
      <c r="J935" s="1332"/>
      <c r="K935" s="1332"/>
      <c r="L935" s="1332"/>
      <c r="M935" s="1332"/>
      <c r="N935" s="1332"/>
      <c r="O935" s="1332"/>
      <c r="P935" s="1332"/>
      <c r="Q935" s="1332"/>
      <c r="R935" s="1332"/>
      <c r="S935" s="1332"/>
      <c r="T935" s="1332"/>
      <c r="U935" s="1332"/>
      <c r="V935" s="1332"/>
      <c r="W935" s="1332"/>
      <c r="X935" s="1332"/>
      <c r="Y935" s="1332"/>
      <c r="Z935" s="1332"/>
      <c r="AA935" s="1332"/>
      <c r="AB935" s="1332"/>
    </row>
    <row r="936">
      <c r="A936" s="1332"/>
      <c r="B936" s="1366"/>
      <c r="C936" s="1366"/>
      <c r="D936" s="1375"/>
      <c r="E936" s="1332"/>
      <c r="F936" s="1332"/>
      <c r="G936" s="1378"/>
      <c r="H936" s="1378"/>
      <c r="I936" s="1332"/>
      <c r="J936" s="1332"/>
      <c r="K936" s="1332"/>
      <c r="L936" s="1332"/>
      <c r="M936" s="1332"/>
      <c r="N936" s="1332"/>
      <c r="O936" s="1332"/>
      <c r="P936" s="1332"/>
      <c r="Q936" s="1332"/>
      <c r="R936" s="1332"/>
      <c r="S936" s="1332"/>
      <c r="T936" s="1332"/>
      <c r="U936" s="1332"/>
      <c r="V936" s="1332"/>
      <c r="W936" s="1332"/>
      <c r="X936" s="1332"/>
      <c r="Y936" s="1332"/>
      <c r="Z936" s="1332"/>
      <c r="AA936" s="1332"/>
      <c r="AB936" s="1332"/>
    </row>
    <row r="937">
      <c r="A937" s="1332"/>
      <c r="B937" s="1366"/>
      <c r="C937" s="1366"/>
      <c r="D937" s="1375"/>
      <c r="E937" s="1332"/>
      <c r="F937" s="1332"/>
      <c r="G937" s="1378"/>
      <c r="H937" s="1378"/>
      <c r="I937" s="1332"/>
      <c r="J937" s="1332"/>
      <c r="K937" s="1332"/>
      <c r="L937" s="1332"/>
      <c r="M937" s="1332"/>
      <c r="N937" s="1332"/>
      <c r="O937" s="1332"/>
      <c r="P937" s="1332"/>
      <c r="Q937" s="1332"/>
      <c r="R937" s="1332"/>
      <c r="S937" s="1332"/>
      <c r="T937" s="1332"/>
      <c r="U937" s="1332"/>
      <c r="V937" s="1332"/>
      <c r="W937" s="1332"/>
      <c r="X937" s="1332"/>
      <c r="Y937" s="1332"/>
      <c r="Z937" s="1332"/>
      <c r="AA937" s="1332"/>
      <c r="AB937" s="1332"/>
    </row>
    <row r="938">
      <c r="A938" s="1332"/>
      <c r="B938" s="1366"/>
      <c r="C938" s="1366"/>
      <c r="D938" s="1375"/>
      <c r="E938" s="1332"/>
      <c r="F938" s="1332"/>
      <c r="G938" s="1378"/>
      <c r="H938" s="1378"/>
      <c r="I938" s="1332"/>
      <c r="J938" s="1332"/>
      <c r="K938" s="1332"/>
      <c r="L938" s="1332"/>
      <c r="M938" s="1332"/>
      <c r="N938" s="1332"/>
      <c r="O938" s="1332"/>
      <c r="P938" s="1332"/>
      <c r="Q938" s="1332"/>
      <c r="R938" s="1332"/>
      <c r="S938" s="1332"/>
      <c r="T938" s="1332"/>
      <c r="U938" s="1332"/>
      <c r="V938" s="1332"/>
      <c r="W938" s="1332"/>
      <c r="X938" s="1332"/>
      <c r="Y938" s="1332"/>
      <c r="Z938" s="1332"/>
      <c r="AA938" s="1332"/>
      <c r="AB938" s="1332"/>
    </row>
    <row r="939">
      <c r="A939" s="1332"/>
      <c r="B939" s="1366"/>
      <c r="C939" s="1366"/>
      <c r="D939" s="1375"/>
      <c r="E939" s="1332"/>
      <c r="F939" s="1332"/>
      <c r="G939" s="1378"/>
      <c r="H939" s="1378"/>
      <c r="I939" s="1332"/>
      <c r="J939" s="1332"/>
      <c r="K939" s="1332"/>
      <c r="L939" s="1332"/>
      <c r="M939" s="1332"/>
      <c r="N939" s="1332"/>
      <c r="O939" s="1332"/>
      <c r="P939" s="1332"/>
      <c r="Q939" s="1332"/>
      <c r="R939" s="1332"/>
      <c r="S939" s="1332"/>
      <c r="T939" s="1332"/>
      <c r="U939" s="1332"/>
      <c r="V939" s="1332"/>
      <c r="W939" s="1332"/>
      <c r="X939" s="1332"/>
      <c r="Y939" s="1332"/>
      <c r="Z939" s="1332"/>
      <c r="AA939" s="1332"/>
      <c r="AB939" s="1332"/>
    </row>
    <row r="940">
      <c r="A940" s="1332"/>
      <c r="B940" s="1366"/>
      <c r="C940" s="1366"/>
      <c r="D940" s="1375"/>
      <c r="E940" s="1332"/>
      <c r="F940" s="1332"/>
      <c r="G940" s="1378"/>
      <c r="H940" s="1378"/>
      <c r="I940" s="1332"/>
      <c r="J940" s="1332"/>
      <c r="K940" s="1332"/>
      <c r="L940" s="1332"/>
      <c r="M940" s="1332"/>
      <c r="N940" s="1332"/>
      <c r="O940" s="1332"/>
      <c r="P940" s="1332"/>
      <c r="Q940" s="1332"/>
      <c r="R940" s="1332"/>
      <c r="S940" s="1332"/>
      <c r="T940" s="1332"/>
      <c r="U940" s="1332"/>
      <c r="V940" s="1332"/>
      <c r="W940" s="1332"/>
      <c r="X940" s="1332"/>
      <c r="Y940" s="1332"/>
      <c r="Z940" s="1332"/>
      <c r="AA940" s="1332"/>
      <c r="AB940" s="1332"/>
    </row>
    <row r="941">
      <c r="A941" s="1332"/>
      <c r="B941" s="1366"/>
      <c r="C941" s="1366"/>
      <c r="D941" s="1375"/>
      <c r="E941" s="1332"/>
      <c r="F941" s="1332"/>
      <c r="G941" s="1378"/>
      <c r="H941" s="1378"/>
      <c r="I941" s="1332"/>
      <c r="J941" s="1332"/>
      <c r="K941" s="1332"/>
      <c r="L941" s="1332"/>
      <c r="M941" s="1332"/>
      <c r="N941" s="1332"/>
      <c r="O941" s="1332"/>
      <c r="P941" s="1332"/>
      <c r="Q941" s="1332"/>
      <c r="R941" s="1332"/>
      <c r="S941" s="1332"/>
      <c r="T941" s="1332"/>
      <c r="U941" s="1332"/>
      <c r="V941" s="1332"/>
      <c r="W941" s="1332"/>
      <c r="X941" s="1332"/>
      <c r="Y941" s="1332"/>
      <c r="Z941" s="1332"/>
      <c r="AA941" s="1332"/>
      <c r="AB941" s="1332"/>
    </row>
    <row r="942">
      <c r="A942" s="1332"/>
      <c r="B942" s="1366"/>
      <c r="C942" s="1366"/>
      <c r="D942" s="1375"/>
      <c r="E942" s="1332"/>
      <c r="F942" s="1332"/>
      <c r="G942" s="1378"/>
      <c r="H942" s="1378"/>
      <c r="I942" s="1332"/>
      <c r="J942" s="1332"/>
      <c r="K942" s="1332"/>
      <c r="L942" s="1332"/>
      <c r="M942" s="1332"/>
      <c r="N942" s="1332"/>
      <c r="O942" s="1332"/>
      <c r="P942" s="1332"/>
      <c r="Q942" s="1332"/>
      <c r="R942" s="1332"/>
      <c r="S942" s="1332"/>
      <c r="T942" s="1332"/>
      <c r="U942" s="1332"/>
      <c r="V942" s="1332"/>
      <c r="W942" s="1332"/>
      <c r="X942" s="1332"/>
      <c r="Y942" s="1332"/>
      <c r="Z942" s="1332"/>
      <c r="AA942" s="1332"/>
      <c r="AB942" s="1332"/>
    </row>
    <row r="943">
      <c r="A943" s="1332"/>
      <c r="B943" s="1366"/>
      <c r="C943" s="1366"/>
      <c r="D943" s="1375"/>
      <c r="E943" s="1332"/>
      <c r="F943" s="1332"/>
      <c r="G943" s="1378"/>
      <c r="H943" s="1378"/>
      <c r="I943" s="1332"/>
      <c r="J943" s="1332"/>
      <c r="K943" s="1332"/>
      <c r="L943" s="1332"/>
      <c r="M943" s="1332"/>
      <c r="N943" s="1332"/>
      <c r="O943" s="1332"/>
      <c r="P943" s="1332"/>
      <c r="Q943" s="1332"/>
      <c r="R943" s="1332"/>
      <c r="S943" s="1332"/>
      <c r="T943" s="1332"/>
      <c r="U943" s="1332"/>
      <c r="V943" s="1332"/>
      <c r="W943" s="1332"/>
      <c r="X943" s="1332"/>
      <c r="Y943" s="1332"/>
      <c r="Z943" s="1332"/>
      <c r="AA943" s="1332"/>
      <c r="AB943" s="1332"/>
    </row>
    <row r="944">
      <c r="A944" s="1332"/>
      <c r="B944" s="1366"/>
      <c r="C944" s="1366"/>
      <c r="D944" s="1375"/>
      <c r="E944" s="1332"/>
      <c r="F944" s="1332"/>
      <c r="G944" s="1378"/>
      <c r="H944" s="1378"/>
      <c r="I944" s="1332"/>
      <c r="J944" s="1332"/>
      <c r="K944" s="1332"/>
      <c r="L944" s="1332"/>
      <c r="M944" s="1332"/>
      <c r="N944" s="1332"/>
      <c r="O944" s="1332"/>
      <c r="P944" s="1332"/>
      <c r="Q944" s="1332"/>
      <c r="R944" s="1332"/>
      <c r="S944" s="1332"/>
      <c r="T944" s="1332"/>
      <c r="U944" s="1332"/>
      <c r="V944" s="1332"/>
      <c r="W944" s="1332"/>
      <c r="X944" s="1332"/>
      <c r="Y944" s="1332"/>
      <c r="Z944" s="1332"/>
      <c r="AA944" s="1332"/>
      <c r="AB944" s="1332"/>
    </row>
    <row r="945">
      <c r="A945" s="1332"/>
      <c r="B945" s="1366"/>
      <c r="C945" s="1366"/>
      <c r="D945" s="1375"/>
      <c r="E945" s="1332"/>
      <c r="F945" s="1332"/>
      <c r="G945" s="1378"/>
      <c r="H945" s="1378"/>
      <c r="I945" s="1332"/>
      <c r="J945" s="1332"/>
      <c r="K945" s="1332"/>
      <c r="L945" s="1332"/>
      <c r="M945" s="1332"/>
      <c r="N945" s="1332"/>
      <c r="O945" s="1332"/>
      <c r="P945" s="1332"/>
      <c r="Q945" s="1332"/>
      <c r="R945" s="1332"/>
      <c r="S945" s="1332"/>
      <c r="T945" s="1332"/>
      <c r="U945" s="1332"/>
      <c r="V945" s="1332"/>
      <c r="W945" s="1332"/>
      <c r="X945" s="1332"/>
      <c r="Y945" s="1332"/>
      <c r="Z945" s="1332"/>
      <c r="AA945" s="1332"/>
      <c r="AB945" s="1332"/>
    </row>
    <row r="946">
      <c r="A946" s="1332"/>
      <c r="B946" s="1366"/>
      <c r="C946" s="1366"/>
      <c r="D946" s="1375"/>
      <c r="E946" s="1332"/>
      <c r="F946" s="1332"/>
      <c r="G946" s="1378"/>
      <c r="H946" s="1378"/>
      <c r="I946" s="1332"/>
      <c r="J946" s="1332"/>
      <c r="K946" s="1332"/>
      <c r="L946" s="1332"/>
      <c r="M946" s="1332"/>
      <c r="N946" s="1332"/>
      <c r="O946" s="1332"/>
      <c r="P946" s="1332"/>
      <c r="Q946" s="1332"/>
      <c r="R946" s="1332"/>
      <c r="S946" s="1332"/>
      <c r="T946" s="1332"/>
      <c r="U946" s="1332"/>
      <c r="V946" s="1332"/>
      <c r="W946" s="1332"/>
      <c r="X946" s="1332"/>
      <c r="Y946" s="1332"/>
      <c r="Z946" s="1332"/>
      <c r="AA946" s="1332"/>
      <c r="AB946" s="1332"/>
    </row>
    <row r="947">
      <c r="A947" s="1332"/>
      <c r="B947" s="1366"/>
      <c r="C947" s="1366"/>
      <c r="D947" s="1375"/>
      <c r="E947" s="1332"/>
      <c r="F947" s="1332"/>
      <c r="G947" s="1378"/>
      <c r="H947" s="1378"/>
      <c r="I947" s="1332"/>
      <c r="J947" s="1332"/>
      <c r="K947" s="1332"/>
      <c r="L947" s="1332"/>
      <c r="M947" s="1332"/>
      <c r="N947" s="1332"/>
      <c r="O947" s="1332"/>
      <c r="P947" s="1332"/>
      <c r="Q947" s="1332"/>
      <c r="R947" s="1332"/>
      <c r="S947" s="1332"/>
      <c r="T947" s="1332"/>
      <c r="U947" s="1332"/>
      <c r="V947" s="1332"/>
      <c r="W947" s="1332"/>
      <c r="X947" s="1332"/>
      <c r="Y947" s="1332"/>
      <c r="Z947" s="1332"/>
      <c r="AA947" s="1332"/>
      <c r="AB947" s="1332"/>
    </row>
    <row r="948">
      <c r="A948" s="1332"/>
      <c r="B948" s="1366"/>
      <c r="C948" s="1366"/>
      <c r="D948" s="1375"/>
      <c r="E948" s="1332"/>
      <c r="F948" s="1332"/>
      <c r="G948" s="1378"/>
      <c r="H948" s="1378"/>
      <c r="I948" s="1332"/>
      <c r="J948" s="1332"/>
      <c r="K948" s="1332"/>
      <c r="L948" s="1332"/>
      <c r="M948" s="1332"/>
      <c r="N948" s="1332"/>
      <c r="O948" s="1332"/>
      <c r="P948" s="1332"/>
      <c r="Q948" s="1332"/>
      <c r="R948" s="1332"/>
      <c r="S948" s="1332"/>
      <c r="T948" s="1332"/>
      <c r="U948" s="1332"/>
      <c r="V948" s="1332"/>
      <c r="W948" s="1332"/>
      <c r="X948" s="1332"/>
      <c r="Y948" s="1332"/>
      <c r="Z948" s="1332"/>
      <c r="AA948" s="1332"/>
      <c r="AB948" s="1332"/>
    </row>
    <row r="949">
      <c r="A949" s="1332"/>
      <c r="B949" s="1366"/>
      <c r="C949" s="1366"/>
      <c r="D949" s="1375"/>
      <c r="E949" s="1332"/>
      <c r="F949" s="1332"/>
      <c r="G949" s="1378"/>
      <c r="H949" s="1378"/>
      <c r="I949" s="1332"/>
      <c r="J949" s="1332"/>
      <c r="K949" s="1332"/>
      <c r="L949" s="1332"/>
      <c r="M949" s="1332"/>
      <c r="N949" s="1332"/>
      <c r="O949" s="1332"/>
      <c r="P949" s="1332"/>
      <c r="Q949" s="1332"/>
      <c r="R949" s="1332"/>
      <c r="S949" s="1332"/>
      <c r="T949" s="1332"/>
      <c r="U949" s="1332"/>
      <c r="V949" s="1332"/>
      <c r="W949" s="1332"/>
      <c r="X949" s="1332"/>
      <c r="Y949" s="1332"/>
      <c r="Z949" s="1332"/>
      <c r="AA949" s="1332"/>
      <c r="AB949" s="1332"/>
    </row>
    <row r="950">
      <c r="A950" s="1332"/>
      <c r="B950" s="1366"/>
      <c r="C950" s="1366"/>
      <c r="D950" s="1375"/>
      <c r="E950" s="1332"/>
      <c r="F950" s="1332"/>
      <c r="G950" s="1378"/>
      <c r="H950" s="1378"/>
      <c r="I950" s="1332"/>
      <c r="J950" s="1332"/>
      <c r="K950" s="1332"/>
      <c r="L950" s="1332"/>
      <c r="M950" s="1332"/>
      <c r="N950" s="1332"/>
      <c r="O950" s="1332"/>
      <c r="P950" s="1332"/>
      <c r="Q950" s="1332"/>
      <c r="R950" s="1332"/>
      <c r="S950" s="1332"/>
      <c r="T950" s="1332"/>
      <c r="U950" s="1332"/>
      <c r="V950" s="1332"/>
      <c r="W950" s="1332"/>
      <c r="X950" s="1332"/>
      <c r="Y950" s="1332"/>
      <c r="Z950" s="1332"/>
      <c r="AA950" s="1332"/>
      <c r="AB950" s="1332"/>
    </row>
    <row r="951">
      <c r="A951" s="1332"/>
      <c r="B951" s="1366"/>
      <c r="C951" s="1366"/>
      <c r="D951" s="1375"/>
      <c r="E951" s="1332"/>
      <c r="F951" s="1332"/>
      <c r="G951" s="1378"/>
      <c r="H951" s="1378"/>
      <c r="I951" s="1332"/>
      <c r="J951" s="1332"/>
      <c r="K951" s="1332"/>
      <c r="L951" s="1332"/>
      <c r="M951" s="1332"/>
      <c r="N951" s="1332"/>
      <c r="O951" s="1332"/>
      <c r="P951" s="1332"/>
      <c r="Q951" s="1332"/>
      <c r="R951" s="1332"/>
      <c r="S951" s="1332"/>
      <c r="T951" s="1332"/>
      <c r="U951" s="1332"/>
      <c r="V951" s="1332"/>
      <c r="W951" s="1332"/>
      <c r="X951" s="1332"/>
      <c r="Y951" s="1332"/>
      <c r="Z951" s="1332"/>
      <c r="AA951" s="1332"/>
      <c r="AB951" s="1332"/>
    </row>
    <row r="952">
      <c r="A952" s="1332"/>
      <c r="B952" s="1366"/>
      <c r="C952" s="1366"/>
      <c r="D952" s="1375"/>
      <c r="E952" s="1332"/>
      <c r="F952" s="1332"/>
      <c r="G952" s="1378"/>
      <c r="H952" s="1378"/>
      <c r="I952" s="1332"/>
      <c r="J952" s="1332"/>
      <c r="K952" s="1332"/>
      <c r="L952" s="1332"/>
      <c r="M952" s="1332"/>
      <c r="N952" s="1332"/>
      <c r="O952" s="1332"/>
      <c r="P952" s="1332"/>
      <c r="Q952" s="1332"/>
      <c r="R952" s="1332"/>
      <c r="S952" s="1332"/>
      <c r="T952" s="1332"/>
      <c r="U952" s="1332"/>
      <c r="V952" s="1332"/>
      <c r="W952" s="1332"/>
      <c r="X952" s="1332"/>
      <c r="Y952" s="1332"/>
      <c r="Z952" s="1332"/>
      <c r="AA952" s="1332"/>
      <c r="AB952" s="1332"/>
    </row>
    <row r="953">
      <c r="A953" s="1332"/>
      <c r="B953" s="1366"/>
      <c r="C953" s="1366"/>
      <c r="D953" s="1375"/>
      <c r="E953" s="1332"/>
      <c r="F953" s="1332"/>
      <c r="G953" s="1378"/>
      <c r="H953" s="1378"/>
      <c r="I953" s="1332"/>
      <c r="J953" s="1332"/>
      <c r="K953" s="1332"/>
      <c r="L953" s="1332"/>
      <c r="M953" s="1332"/>
      <c r="N953" s="1332"/>
      <c r="O953" s="1332"/>
      <c r="P953" s="1332"/>
      <c r="Q953" s="1332"/>
      <c r="R953" s="1332"/>
      <c r="S953" s="1332"/>
      <c r="T953" s="1332"/>
      <c r="U953" s="1332"/>
      <c r="V953" s="1332"/>
      <c r="W953" s="1332"/>
      <c r="X953" s="1332"/>
      <c r="Y953" s="1332"/>
      <c r="Z953" s="1332"/>
      <c r="AA953" s="1332"/>
      <c r="AB953" s="1332"/>
    </row>
    <row r="954">
      <c r="A954" s="1332"/>
      <c r="B954" s="1366"/>
      <c r="C954" s="1366"/>
      <c r="D954" s="1375"/>
      <c r="E954" s="1332"/>
      <c r="F954" s="1332"/>
      <c r="G954" s="1378"/>
      <c r="H954" s="1378"/>
      <c r="I954" s="1332"/>
      <c r="J954" s="1332"/>
      <c r="K954" s="1332"/>
      <c r="L954" s="1332"/>
      <c r="M954" s="1332"/>
      <c r="N954" s="1332"/>
      <c r="O954" s="1332"/>
      <c r="P954" s="1332"/>
      <c r="Q954" s="1332"/>
      <c r="R954" s="1332"/>
      <c r="S954" s="1332"/>
      <c r="T954" s="1332"/>
      <c r="U954" s="1332"/>
      <c r="V954" s="1332"/>
      <c r="W954" s="1332"/>
      <c r="X954" s="1332"/>
      <c r="Y954" s="1332"/>
      <c r="Z954" s="1332"/>
      <c r="AA954" s="1332"/>
      <c r="AB954" s="1332"/>
    </row>
    <row r="955">
      <c r="A955" s="1332"/>
      <c r="B955" s="1366"/>
      <c r="C955" s="1366"/>
      <c r="D955" s="1375"/>
      <c r="E955" s="1332"/>
      <c r="F955" s="1332"/>
      <c r="G955" s="1378"/>
      <c r="H955" s="1378"/>
      <c r="I955" s="1332"/>
      <c r="J955" s="1332"/>
      <c r="K955" s="1332"/>
      <c r="L955" s="1332"/>
      <c r="M955" s="1332"/>
      <c r="N955" s="1332"/>
      <c r="O955" s="1332"/>
      <c r="P955" s="1332"/>
      <c r="Q955" s="1332"/>
      <c r="R955" s="1332"/>
      <c r="S955" s="1332"/>
      <c r="T955" s="1332"/>
      <c r="U955" s="1332"/>
      <c r="V955" s="1332"/>
      <c r="W955" s="1332"/>
      <c r="X955" s="1332"/>
      <c r="Y955" s="1332"/>
      <c r="Z955" s="1332"/>
      <c r="AA955" s="1332"/>
      <c r="AB955" s="1332"/>
    </row>
    <row r="956">
      <c r="A956" s="1332"/>
      <c r="B956" s="1366"/>
      <c r="C956" s="1366"/>
      <c r="D956" s="1375"/>
      <c r="E956" s="1332"/>
      <c r="F956" s="1332"/>
      <c r="G956" s="1378"/>
      <c r="H956" s="1378"/>
      <c r="I956" s="1332"/>
      <c r="J956" s="1332"/>
      <c r="K956" s="1332"/>
      <c r="L956" s="1332"/>
      <c r="M956" s="1332"/>
      <c r="N956" s="1332"/>
      <c r="O956" s="1332"/>
      <c r="P956" s="1332"/>
      <c r="Q956" s="1332"/>
      <c r="R956" s="1332"/>
      <c r="S956" s="1332"/>
      <c r="T956" s="1332"/>
      <c r="U956" s="1332"/>
      <c r="V956" s="1332"/>
      <c r="W956" s="1332"/>
      <c r="X956" s="1332"/>
      <c r="Y956" s="1332"/>
      <c r="Z956" s="1332"/>
      <c r="AA956" s="1332"/>
      <c r="AB956" s="1332"/>
    </row>
    <row r="957">
      <c r="A957" s="1332"/>
      <c r="B957" s="1366"/>
      <c r="C957" s="1366"/>
      <c r="D957" s="1375"/>
      <c r="E957" s="1332"/>
      <c r="F957" s="1332"/>
      <c r="G957" s="1378"/>
      <c r="H957" s="1378"/>
      <c r="I957" s="1332"/>
      <c r="J957" s="1332"/>
      <c r="K957" s="1332"/>
      <c r="L957" s="1332"/>
      <c r="M957" s="1332"/>
      <c r="N957" s="1332"/>
      <c r="O957" s="1332"/>
      <c r="P957" s="1332"/>
      <c r="Q957" s="1332"/>
      <c r="R957" s="1332"/>
      <c r="S957" s="1332"/>
      <c r="T957" s="1332"/>
      <c r="U957" s="1332"/>
      <c r="V957" s="1332"/>
      <c r="W957" s="1332"/>
      <c r="X957" s="1332"/>
      <c r="Y957" s="1332"/>
      <c r="Z957" s="1332"/>
      <c r="AA957" s="1332"/>
      <c r="AB957" s="1332"/>
    </row>
    <row r="958">
      <c r="A958" s="1332"/>
      <c r="B958" s="1366"/>
      <c r="C958" s="1366"/>
      <c r="D958" s="1375"/>
      <c r="E958" s="1332"/>
      <c r="F958" s="1332"/>
      <c r="G958" s="1378"/>
      <c r="H958" s="1378"/>
      <c r="I958" s="1332"/>
      <c r="J958" s="1332"/>
      <c r="K958" s="1332"/>
      <c r="L958" s="1332"/>
      <c r="M958" s="1332"/>
      <c r="N958" s="1332"/>
      <c r="O958" s="1332"/>
      <c r="P958" s="1332"/>
      <c r="Q958" s="1332"/>
      <c r="R958" s="1332"/>
      <c r="S958" s="1332"/>
      <c r="T958" s="1332"/>
      <c r="U958" s="1332"/>
      <c r="V958" s="1332"/>
      <c r="W958" s="1332"/>
      <c r="X958" s="1332"/>
      <c r="Y958" s="1332"/>
      <c r="Z958" s="1332"/>
      <c r="AA958" s="1332"/>
      <c r="AB958" s="1332"/>
    </row>
    <row r="959">
      <c r="A959" s="1332"/>
      <c r="B959" s="1366"/>
      <c r="C959" s="1366"/>
      <c r="D959" s="1375"/>
      <c r="E959" s="1332"/>
      <c r="F959" s="1332"/>
      <c r="G959" s="1378"/>
      <c r="H959" s="1378"/>
      <c r="I959" s="1332"/>
      <c r="J959" s="1332"/>
      <c r="K959" s="1332"/>
      <c r="L959" s="1332"/>
      <c r="M959" s="1332"/>
      <c r="N959" s="1332"/>
      <c r="O959" s="1332"/>
      <c r="P959" s="1332"/>
      <c r="Q959" s="1332"/>
      <c r="R959" s="1332"/>
      <c r="S959" s="1332"/>
      <c r="T959" s="1332"/>
      <c r="U959" s="1332"/>
      <c r="V959" s="1332"/>
      <c r="W959" s="1332"/>
      <c r="X959" s="1332"/>
      <c r="Y959" s="1332"/>
      <c r="Z959" s="1332"/>
      <c r="AA959" s="1332"/>
      <c r="AB959" s="1332"/>
    </row>
    <row r="960">
      <c r="A960" s="1332"/>
      <c r="B960" s="1366"/>
      <c r="C960" s="1366"/>
      <c r="D960" s="1375"/>
      <c r="E960" s="1332"/>
      <c r="F960" s="1332"/>
      <c r="G960" s="1378"/>
      <c r="H960" s="1378"/>
      <c r="I960" s="1332"/>
      <c r="J960" s="1332"/>
      <c r="K960" s="1332"/>
      <c r="L960" s="1332"/>
      <c r="M960" s="1332"/>
      <c r="N960" s="1332"/>
      <c r="O960" s="1332"/>
      <c r="P960" s="1332"/>
      <c r="Q960" s="1332"/>
      <c r="R960" s="1332"/>
      <c r="S960" s="1332"/>
      <c r="T960" s="1332"/>
      <c r="U960" s="1332"/>
      <c r="V960" s="1332"/>
      <c r="W960" s="1332"/>
      <c r="X960" s="1332"/>
      <c r="Y960" s="1332"/>
      <c r="Z960" s="1332"/>
      <c r="AA960" s="1332"/>
      <c r="AB960" s="1332"/>
    </row>
    <row r="961">
      <c r="A961" s="1332"/>
      <c r="B961" s="1366"/>
      <c r="C961" s="1366"/>
      <c r="D961" s="1375"/>
      <c r="E961" s="1332"/>
      <c r="F961" s="1332"/>
      <c r="G961" s="1378"/>
      <c r="H961" s="1378"/>
      <c r="I961" s="1332"/>
      <c r="J961" s="1332"/>
      <c r="K961" s="1332"/>
      <c r="L961" s="1332"/>
      <c r="M961" s="1332"/>
      <c r="N961" s="1332"/>
      <c r="O961" s="1332"/>
      <c r="P961" s="1332"/>
      <c r="Q961" s="1332"/>
      <c r="R961" s="1332"/>
      <c r="S961" s="1332"/>
      <c r="T961" s="1332"/>
      <c r="U961" s="1332"/>
      <c r="V961" s="1332"/>
      <c r="W961" s="1332"/>
      <c r="X961" s="1332"/>
      <c r="Y961" s="1332"/>
      <c r="Z961" s="1332"/>
      <c r="AA961" s="1332"/>
      <c r="AB961" s="1332"/>
    </row>
    <row r="962">
      <c r="A962" s="1332"/>
      <c r="B962" s="1366"/>
      <c r="C962" s="1366"/>
      <c r="D962" s="1375"/>
      <c r="E962" s="1332"/>
      <c r="F962" s="1332"/>
      <c r="G962" s="1378"/>
      <c r="H962" s="1378"/>
      <c r="I962" s="1332"/>
      <c r="J962" s="1332"/>
      <c r="K962" s="1332"/>
      <c r="L962" s="1332"/>
      <c r="M962" s="1332"/>
      <c r="N962" s="1332"/>
      <c r="O962" s="1332"/>
      <c r="P962" s="1332"/>
      <c r="Q962" s="1332"/>
      <c r="R962" s="1332"/>
      <c r="S962" s="1332"/>
      <c r="T962" s="1332"/>
      <c r="U962" s="1332"/>
      <c r="V962" s="1332"/>
      <c r="W962" s="1332"/>
      <c r="X962" s="1332"/>
      <c r="Y962" s="1332"/>
      <c r="Z962" s="1332"/>
      <c r="AA962" s="1332"/>
      <c r="AB962" s="1332"/>
    </row>
    <row r="963">
      <c r="A963" s="1332"/>
      <c r="B963" s="1366"/>
      <c r="C963" s="1366"/>
      <c r="D963" s="1375"/>
      <c r="E963" s="1332"/>
      <c r="F963" s="1332"/>
      <c r="G963" s="1378"/>
      <c r="H963" s="1378"/>
      <c r="I963" s="1332"/>
      <c r="J963" s="1332"/>
      <c r="K963" s="1332"/>
      <c r="L963" s="1332"/>
      <c r="M963" s="1332"/>
      <c r="N963" s="1332"/>
      <c r="O963" s="1332"/>
      <c r="P963" s="1332"/>
      <c r="Q963" s="1332"/>
      <c r="R963" s="1332"/>
      <c r="S963" s="1332"/>
      <c r="T963" s="1332"/>
      <c r="U963" s="1332"/>
      <c r="V963" s="1332"/>
      <c r="W963" s="1332"/>
      <c r="X963" s="1332"/>
      <c r="Y963" s="1332"/>
      <c r="Z963" s="1332"/>
      <c r="AA963" s="1332"/>
      <c r="AB963" s="1332"/>
    </row>
    <row r="964">
      <c r="A964" s="1332"/>
      <c r="B964" s="1366"/>
      <c r="C964" s="1366"/>
      <c r="D964" s="1375"/>
      <c r="E964" s="1332"/>
      <c r="F964" s="1332"/>
      <c r="G964" s="1378"/>
      <c r="H964" s="1378"/>
      <c r="I964" s="1332"/>
      <c r="J964" s="1332"/>
      <c r="K964" s="1332"/>
      <c r="L964" s="1332"/>
      <c r="M964" s="1332"/>
      <c r="N964" s="1332"/>
      <c r="O964" s="1332"/>
      <c r="P964" s="1332"/>
      <c r="Q964" s="1332"/>
      <c r="R964" s="1332"/>
      <c r="S964" s="1332"/>
      <c r="T964" s="1332"/>
      <c r="U964" s="1332"/>
      <c r="V964" s="1332"/>
      <c r="W964" s="1332"/>
      <c r="X964" s="1332"/>
      <c r="Y964" s="1332"/>
      <c r="Z964" s="1332"/>
      <c r="AA964" s="1332"/>
      <c r="AB964" s="1332"/>
    </row>
    <row r="965">
      <c r="A965" s="1332"/>
      <c r="B965" s="1366"/>
      <c r="C965" s="1366"/>
      <c r="D965" s="1375"/>
      <c r="E965" s="1332"/>
      <c r="F965" s="1332"/>
      <c r="G965" s="1378"/>
      <c r="H965" s="1378"/>
      <c r="I965" s="1332"/>
      <c r="J965" s="1332"/>
      <c r="K965" s="1332"/>
      <c r="L965" s="1332"/>
      <c r="M965" s="1332"/>
      <c r="N965" s="1332"/>
      <c r="O965" s="1332"/>
      <c r="P965" s="1332"/>
      <c r="Q965" s="1332"/>
      <c r="R965" s="1332"/>
      <c r="S965" s="1332"/>
      <c r="T965" s="1332"/>
      <c r="U965" s="1332"/>
      <c r="V965" s="1332"/>
      <c r="W965" s="1332"/>
      <c r="X965" s="1332"/>
      <c r="Y965" s="1332"/>
      <c r="Z965" s="1332"/>
      <c r="AA965" s="1332"/>
      <c r="AB965" s="1332"/>
    </row>
    <row r="966">
      <c r="A966" s="1332"/>
      <c r="B966" s="1366"/>
      <c r="C966" s="1366"/>
      <c r="D966" s="1375"/>
      <c r="E966" s="1332"/>
      <c r="F966" s="1332"/>
      <c r="G966" s="1378"/>
      <c r="H966" s="1378"/>
      <c r="I966" s="1332"/>
      <c r="J966" s="1332"/>
      <c r="K966" s="1332"/>
      <c r="L966" s="1332"/>
      <c r="M966" s="1332"/>
      <c r="N966" s="1332"/>
      <c r="O966" s="1332"/>
      <c r="P966" s="1332"/>
      <c r="Q966" s="1332"/>
      <c r="R966" s="1332"/>
      <c r="S966" s="1332"/>
      <c r="T966" s="1332"/>
      <c r="U966" s="1332"/>
      <c r="V966" s="1332"/>
      <c r="W966" s="1332"/>
      <c r="X966" s="1332"/>
      <c r="Y966" s="1332"/>
      <c r="Z966" s="1332"/>
      <c r="AA966" s="1332"/>
      <c r="AB966" s="1332"/>
    </row>
    <row r="967">
      <c r="A967" s="1332"/>
      <c r="B967" s="1366"/>
      <c r="C967" s="1366"/>
      <c r="D967" s="1375"/>
      <c r="E967" s="1332"/>
      <c r="F967" s="1332"/>
      <c r="G967" s="1378"/>
      <c r="H967" s="1378"/>
      <c r="I967" s="1332"/>
      <c r="J967" s="1332"/>
      <c r="K967" s="1332"/>
      <c r="L967" s="1332"/>
      <c r="M967" s="1332"/>
      <c r="N967" s="1332"/>
      <c r="O967" s="1332"/>
      <c r="P967" s="1332"/>
      <c r="Q967" s="1332"/>
      <c r="R967" s="1332"/>
      <c r="S967" s="1332"/>
      <c r="T967" s="1332"/>
      <c r="U967" s="1332"/>
      <c r="V967" s="1332"/>
      <c r="W967" s="1332"/>
      <c r="X967" s="1332"/>
      <c r="Y967" s="1332"/>
      <c r="Z967" s="1332"/>
      <c r="AA967" s="1332"/>
      <c r="AB967" s="1332"/>
    </row>
    <row r="968">
      <c r="A968" s="1332"/>
      <c r="B968" s="1366"/>
      <c r="C968" s="1366"/>
      <c r="D968" s="1375"/>
      <c r="E968" s="1332"/>
      <c r="F968" s="1332"/>
      <c r="G968" s="1378"/>
      <c r="H968" s="1378"/>
      <c r="I968" s="1332"/>
      <c r="J968" s="1332"/>
      <c r="K968" s="1332"/>
      <c r="L968" s="1332"/>
      <c r="M968" s="1332"/>
      <c r="N968" s="1332"/>
      <c r="O968" s="1332"/>
      <c r="P968" s="1332"/>
      <c r="Q968" s="1332"/>
      <c r="R968" s="1332"/>
      <c r="S968" s="1332"/>
      <c r="T968" s="1332"/>
      <c r="U968" s="1332"/>
      <c r="V968" s="1332"/>
      <c r="W968" s="1332"/>
      <c r="X968" s="1332"/>
      <c r="Y968" s="1332"/>
      <c r="Z968" s="1332"/>
      <c r="AA968" s="1332"/>
      <c r="AB968" s="1332"/>
    </row>
    <row r="969">
      <c r="A969" s="1332"/>
      <c r="B969" s="1366"/>
      <c r="C969" s="1366"/>
      <c r="D969" s="1375"/>
      <c r="E969" s="1332"/>
      <c r="F969" s="1332"/>
      <c r="G969" s="1378"/>
      <c r="H969" s="1378"/>
      <c r="I969" s="1332"/>
      <c r="J969" s="1332"/>
      <c r="K969" s="1332"/>
      <c r="L969" s="1332"/>
      <c r="M969" s="1332"/>
      <c r="N969" s="1332"/>
      <c r="O969" s="1332"/>
      <c r="P969" s="1332"/>
      <c r="Q969" s="1332"/>
      <c r="R969" s="1332"/>
      <c r="S969" s="1332"/>
      <c r="T969" s="1332"/>
      <c r="U969" s="1332"/>
      <c r="V969" s="1332"/>
      <c r="W969" s="1332"/>
      <c r="X969" s="1332"/>
      <c r="Y969" s="1332"/>
      <c r="Z969" s="1332"/>
      <c r="AA969" s="1332"/>
      <c r="AB969" s="1332"/>
    </row>
    <row r="970">
      <c r="A970" s="1332"/>
      <c r="B970" s="1366"/>
      <c r="C970" s="1366"/>
      <c r="D970" s="1375"/>
      <c r="E970" s="1332"/>
      <c r="F970" s="1332"/>
      <c r="G970" s="1378"/>
      <c r="H970" s="1378"/>
      <c r="I970" s="1332"/>
      <c r="J970" s="1332"/>
      <c r="K970" s="1332"/>
      <c r="L970" s="1332"/>
      <c r="M970" s="1332"/>
      <c r="N970" s="1332"/>
      <c r="O970" s="1332"/>
      <c r="P970" s="1332"/>
      <c r="Q970" s="1332"/>
      <c r="R970" s="1332"/>
      <c r="S970" s="1332"/>
      <c r="T970" s="1332"/>
      <c r="U970" s="1332"/>
      <c r="V970" s="1332"/>
      <c r="W970" s="1332"/>
      <c r="X970" s="1332"/>
      <c r="Y970" s="1332"/>
      <c r="Z970" s="1332"/>
      <c r="AA970" s="1332"/>
      <c r="AB970" s="1332"/>
    </row>
    <row r="971">
      <c r="A971" s="1332"/>
      <c r="B971" s="1366"/>
      <c r="C971" s="1366"/>
      <c r="D971" s="1375"/>
      <c r="E971" s="1332"/>
      <c r="F971" s="1332"/>
      <c r="G971" s="1378"/>
      <c r="H971" s="1378"/>
      <c r="I971" s="1332"/>
      <c r="J971" s="1332"/>
      <c r="K971" s="1332"/>
      <c r="L971" s="1332"/>
      <c r="M971" s="1332"/>
      <c r="N971" s="1332"/>
      <c r="O971" s="1332"/>
      <c r="P971" s="1332"/>
      <c r="Q971" s="1332"/>
      <c r="R971" s="1332"/>
      <c r="S971" s="1332"/>
      <c r="T971" s="1332"/>
      <c r="U971" s="1332"/>
      <c r="V971" s="1332"/>
      <c r="W971" s="1332"/>
      <c r="X971" s="1332"/>
      <c r="Y971" s="1332"/>
      <c r="Z971" s="1332"/>
      <c r="AA971" s="1332"/>
      <c r="AB971" s="1332"/>
    </row>
    <row r="972">
      <c r="A972" s="1332"/>
      <c r="B972" s="1366"/>
      <c r="C972" s="1366"/>
      <c r="D972" s="1375"/>
      <c r="E972" s="1332"/>
      <c r="F972" s="1332"/>
      <c r="G972" s="1378"/>
      <c r="H972" s="1378"/>
      <c r="I972" s="1332"/>
      <c r="J972" s="1332"/>
      <c r="K972" s="1332"/>
      <c r="L972" s="1332"/>
      <c r="M972" s="1332"/>
      <c r="N972" s="1332"/>
      <c r="O972" s="1332"/>
      <c r="P972" s="1332"/>
      <c r="Q972" s="1332"/>
      <c r="R972" s="1332"/>
      <c r="S972" s="1332"/>
      <c r="T972" s="1332"/>
      <c r="U972" s="1332"/>
      <c r="V972" s="1332"/>
      <c r="W972" s="1332"/>
      <c r="X972" s="1332"/>
      <c r="Y972" s="1332"/>
      <c r="Z972" s="1332"/>
      <c r="AA972" s="1332"/>
      <c r="AB972" s="1332"/>
    </row>
    <row r="973">
      <c r="A973" s="1332"/>
      <c r="B973" s="1366"/>
      <c r="C973" s="1366"/>
      <c r="D973" s="1375"/>
      <c r="E973" s="1332"/>
      <c r="F973" s="1332"/>
      <c r="G973" s="1378"/>
      <c r="H973" s="1378"/>
      <c r="I973" s="1332"/>
      <c r="J973" s="1332"/>
      <c r="K973" s="1332"/>
      <c r="L973" s="1332"/>
      <c r="M973" s="1332"/>
      <c r="N973" s="1332"/>
      <c r="O973" s="1332"/>
      <c r="P973" s="1332"/>
      <c r="Q973" s="1332"/>
      <c r="R973" s="1332"/>
      <c r="S973" s="1332"/>
      <c r="T973" s="1332"/>
      <c r="U973" s="1332"/>
      <c r="V973" s="1332"/>
      <c r="W973" s="1332"/>
      <c r="X973" s="1332"/>
      <c r="Y973" s="1332"/>
      <c r="Z973" s="1332"/>
      <c r="AA973" s="1332"/>
      <c r="AB973" s="1332"/>
    </row>
    <row r="974">
      <c r="A974" s="1332"/>
      <c r="B974" s="1366"/>
      <c r="C974" s="1366"/>
      <c r="D974" s="1375"/>
      <c r="E974" s="1332"/>
      <c r="F974" s="1332"/>
      <c r="G974" s="1378"/>
      <c r="H974" s="1378"/>
      <c r="I974" s="1332"/>
      <c r="J974" s="1332"/>
      <c r="K974" s="1332"/>
      <c r="L974" s="1332"/>
      <c r="M974" s="1332"/>
      <c r="N974" s="1332"/>
      <c r="O974" s="1332"/>
      <c r="P974" s="1332"/>
      <c r="Q974" s="1332"/>
      <c r="R974" s="1332"/>
      <c r="S974" s="1332"/>
      <c r="T974" s="1332"/>
      <c r="U974" s="1332"/>
      <c r="V974" s="1332"/>
      <c r="W974" s="1332"/>
      <c r="X974" s="1332"/>
      <c r="Y974" s="1332"/>
      <c r="Z974" s="1332"/>
      <c r="AA974" s="1332"/>
      <c r="AB974" s="1332"/>
    </row>
    <row r="975">
      <c r="A975" s="1332"/>
      <c r="B975" s="1366"/>
      <c r="C975" s="1366"/>
      <c r="D975" s="1375"/>
      <c r="E975" s="1332"/>
      <c r="F975" s="1332"/>
      <c r="G975" s="1378"/>
      <c r="H975" s="1378"/>
      <c r="I975" s="1332"/>
      <c r="J975" s="1332"/>
      <c r="K975" s="1332"/>
      <c r="L975" s="1332"/>
      <c r="M975" s="1332"/>
      <c r="N975" s="1332"/>
      <c r="O975" s="1332"/>
      <c r="P975" s="1332"/>
      <c r="Q975" s="1332"/>
      <c r="R975" s="1332"/>
      <c r="S975" s="1332"/>
      <c r="T975" s="1332"/>
      <c r="U975" s="1332"/>
      <c r="V975" s="1332"/>
      <c r="W975" s="1332"/>
      <c r="X975" s="1332"/>
      <c r="Y975" s="1332"/>
      <c r="Z975" s="1332"/>
      <c r="AA975" s="1332"/>
      <c r="AB975" s="1332"/>
    </row>
    <row r="976">
      <c r="A976" s="1332"/>
      <c r="B976" s="1366"/>
      <c r="C976" s="1366"/>
      <c r="D976" s="1375"/>
      <c r="E976" s="1332"/>
      <c r="F976" s="1332"/>
      <c r="G976" s="1378"/>
      <c r="H976" s="1378"/>
      <c r="I976" s="1332"/>
      <c r="J976" s="1332"/>
      <c r="K976" s="1332"/>
      <c r="L976" s="1332"/>
      <c r="M976" s="1332"/>
      <c r="N976" s="1332"/>
      <c r="O976" s="1332"/>
      <c r="P976" s="1332"/>
      <c r="Q976" s="1332"/>
      <c r="R976" s="1332"/>
      <c r="S976" s="1332"/>
      <c r="T976" s="1332"/>
      <c r="U976" s="1332"/>
      <c r="V976" s="1332"/>
      <c r="W976" s="1332"/>
      <c r="X976" s="1332"/>
      <c r="Y976" s="1332"/>
      <c r="Z976" s="1332"/>
      <c r="AA976" s="1332"/>
      <c r="AB976" s="1332"/>
    </row>
    <row r="977">
      <c r="A977" s="1332"/>
      <c r="B977" s="1366"/>
      <c r="C977" s="1366"/>
      <c r="D977" s="1375"/>
      <c r="E977" s="1332"/>
      <c r="F977" s="1332"/>
      <c r="G977" s="1378"/>
      <c r="H977" s="1378"/>
      <c r="I977" s="1332"/>
      <c r="J977" s="1332"/>
      <c r="K977" s="1332"/>
      <c r="L977" s="1332"/>
      <c r="M977" s="1332"/>
      <c r="N977" s="1332"/>
      <c r="O977" s="1332"/>
      <c r="P977" s="1332"/>
      <c r="Q977" s="1332"/>
      <c r="R977" s="1332"/>
      <c r="S977" s="1332"/>
      <c r="T977" s="1332"/>
      <c r="U977" s="1332"/>
      <c r="V977" s="1332"/>
      <c r="W977" s="1332"/>
      <c r="X977" s="1332"/>
      <c r="Y977" s="1332"/>
      <c r="Z977" s="1332"/>
      <c r="AA977" s="1332"/>
      <c r="AB977" s="1332"/>
    </row>
    <row r="978">
      <c r="A978" s="1332"/>
      <c r="B978" s="1366"/>
      <c r="C978" s="1366"/>
      <c r="D978" s="1375"/>
      <c r="E978" s="1332"/>
      <c r="F978" s="1332"/>
      <c r="G978" s="1378"/>
      <c r="H978" s="1378"/>
      <c r="I978" s="1332"/>
      <c r="J978" s="1332"/>
      <c r="K978" s="1332"/>
      <c r="L978" s="1332"/>
      <c r="M978" s="1332"/>
      <c r="N978" s="1332"/>
      <c r="O978" s="1332"/>
      <c r="P978" s="1332"/>
      <c r="Q978" s="1332"/>
      <c r="R978" s="1332"/>
      <c r="S978" s="1332"/>
      <c r="T978" s="1332"/>
      <c r="U978" s="1332"/>
      <c r="V978" s="1332"/>
      <c r="W978" s="1332"/>
      <c r="X978" s="1332"/>
      <c r="Y978" s="1332"/>
      <c r="Z978" s="1332"/>
      <c r="AA978" s="1332"/>
      <c r="AB978" s="1332"/>
    </row>
    <row r="979">
      <c r="A979" s="1332"/>
      <c r="B979" s="1366"/>
      <c r="C979" s="1366"/>
      <c r="D979" s="1375"/>
      <c r="E979" s="1332"/>
      <c r="F979" s="1332"/>
      <c r="G979" s="1378"/>
      <c r="H979" s="1378"/>
      <c r="I979" s="1332"/>
      <c r="J979" s="1332"/>
      <c r="K979" s="1332"/>
      <c r="L979" s="1332"/>
      <c r="M979" s="1332"/>
      <c r="N979" s="1332"/>
      <c r="O979" s="1332"/>
      <c r="P979" s="1332"/>
      <c r="Q979" s="1332"/>
      <c r="R979" s="1332"/>
      <c r="S979" s="1332"/>
      <c r="T979" s="1332"/>
      <c r="U979" s="1332"/>
      <c r="V979" s="1332"/>
      <c r="W979" s="1332"/>
      <c r="X979" s="1332"/>
      <c r="Y979" s="1332"/>
      <c r="Z979" s="1332"/>
      <c r="AA979" s="1332"/>
      <c r="AB979" s="1332"/>
    </row>
    <row r="980">
      <c r="A980" s="1332"/>
      <c r="B980" s="1366"/>
      <c r="C980" s="1366"/>
      <c r="D980" s="1375"/>
      <c r="E980" s="1332"/>
      <c r="F980" s="1332"/>
      <c r="G980" s="1378"/>
      <c r="H980" s="1378"/>
      <c r="I980" s="1332"/>
      <c r="J980" s="1332"/>
      <c r="K980" s="1332"/>
      <c r="L980" s="1332"/>
      <c r="M980" s="1332"/>
      <c r="N980" s="1332"/>
      <c r="O980" s="1332"/>
      <c r="P980" s="1332"/>
      <c r="Q980" s="1332"/>
      <c r="R980" s="1332"/>
      <c r="S980" s="1332"/>
      <c r="T980" s="1332"/>
      <c r="U980" s="1332"/>
      <c r="V980" s="1332"/>
      <c r="W980" s="1332"/>
      <c r="X980" s="1332"/>
      <c r="Y980" s="1332"/>
      <c r="Z980" s="1332"/>
      <c r="AA980" s="1332"/>
      <c r="AB980" s="1332"/>
    </row>
    <row r="981">
      <c r="A981" s="1332"/>
      <c r="B981" s="1366"/>
      <c r="C981" s="1366"/>
      <c r="D981" s="1375"/>
      <c r="E981" s="1332"/>
      <c r="F981" s="1332"/>
      <c r="G981" s="1378"/>
      <c r="H981" s="1378"/>
      <c r="I981" s="1332"/>
      <c r="J981" s="1332"/>
      <c r="K981" s="1332"/>
      <c r="L981" s="1332"/>
      <c r="M981" s="1332"/>
      <c r="N981" s="1332"/>
      <c r="O981" s="1332"/>
      <c r="P981" s="1332"/>
      <c r="Q981" s="1332"/>
      <c r="R981" s="1332"/>
      <c r="S981" s="1332"/>
      <c r="T981" s="1332"/>
      <c r="U981" s="1332"/>
      <c r="V981" s="1332"/>
      <c r="W981" s="1332"/>
      <c r="X981" s="1332"/>
      <c r="Y981" s="1332"/>
      <c r="Z981" s="1332"/>
      <c r="AA981" s="1332"/>
      <c r="AB981" s="1332"/>
    </row>
    <row r="982">
      <c r="A982" s="1332"/>
      <c r="B982" s="1366"/>
      <c r="C982" s="1366"/>
      <c r="D982" s="1375"/>
      <c r="E982" s="1332"/>
      <c r="F982" s="1332"/>
      <c r="G982" s="1378"/>
      <c r="H982" s="1378"/>
      <c r="I982" s="1332"/>
      <c r="J982" s="1332"/>
      <c r="K982" s="1332"/>
      <c r="L982" s="1332"/>
      <c r="M982" s="1332"/>
      <c r="N982" s="1332"/>
      <c r="O982" s="1332"/>
      <c r="P982" s="1332"/>
      <c r="Q982" s="1332"/>
      <c r="R982" s="1332"/>
      <c r="S982" s="1332"/>
      <c r="T982" s="1332"/>
      <c r="U982" s="1332"/>
      <c r="V982" s="1332"/>
      <c r="W982" s="1332"/>
      <c r="X982" s="1332"/>
      <c r="Y982" s="1332"/>
      <c r="Z982" s="1332"/>
      <c r="AA982" s="1332"/>
      <c r="AB982" s="1332"/>
    </row>
    <row r="983">
      <c r="A983" s="1332"/>
      <c r="B983" s="1366"/>
      <c r="C983" s="1366"/>
      <c r="D983" s="1375"/>
      <c r="E983" s="1332"/>
      <c r="F983" s="1332"/>
      <c r="G983" s="1378"/>
      <c r="H983" s="1378"/>
      <c r="I983" s="1332"/>
      <c r="J983" s="1332"/>
      <c r="K983" s="1332"/>
      <c r="L983" s="1332"/>
      <c r="M983" s="1332"/>
      <c r="N983" s="1332"/>
      <c r="O983" s="1332"/>
      <c r="P983" s="1332"/>
      <c r="Q983" s="1332"/>
      <c r="R983" s="1332"/>
      <c r="S983" s="1332"/>
      <c r="T983" s="1332"/>
      <c r="U983" s="1332"/>
      <c r="V983" s="1332"/>
      <c r="W983" s="1332"/>
      <c r="X983" s="1332"/>
      <c r="Y983" s="1332"/>
      <c r="Z983" s="1332"/>
      <c r="AA983" s="1332"/>
      <c r="AB983" s="1332"/>
    </row>
    <row r="984">
      <c r="A984" s="1332"/>
      <c r="B984" s="1366"/>
      <c r="C984" s="1366"/>
      <c r="D984" s="1375"/>
      <c r="E984" s="1332"/>
      <c r="F984" s="1332"/>
      <c r="G984" s="1378"/>
      <c r="H984" s="1378"/>
      <c r="I984" s="1332"/>
      <c r="J984" s="1332"/>
      <c r="K984" s="1332"/>
      <c r="L984" s="1332"/>
      <c r="M984" s="1332"/>
      <c r="N984" s="1332"/>
      <c r="O984" s="1332"/>
      <c r="P984" s="1332"/>
      <c r="Q984" s="1332"/>
      <c r="R984" s="1332"/>
      <c r="S984" s="1332"/>
      <c r="T984" s="1332"/>
      <c r="U984" s="1332"/>
      <c r="V984" s="1332"/>
      <c r="W984" s="1332"/>
      <c r="X984" s="1332"/>
      <c r="Y984" s="1332"/>
      <c r="Z984" s="1332"/>
      <c r="AA984" s="1332"/>
      <c r="AB984" s="1332"/>
    </row>
    <row r="985">
      <c r="A985" s="1332"/>
      <c r="B985" s="1366"/>
      <c r="C985" s="1366"/>
      <c r="D985" s="1375"/>
      <c r="E985" s="1332"/>
      <c r="F985" s="1332"/>
      <c r="G985" s="1378"/>
      <c r="H985" s="1378"/>
      <c r="I985" s="1332"/>
      <c r="J985" s="1332"/>
      <c r="K985" s="1332"/>
      <c r="L985" s="1332"/>
      <c r="M985" s="1332"/>
      <c r="N985" s="1332"/>
      <c r="O985" s="1332"/>
      <c r="P985" s="1332"/>
      <c r="Q985" s="1332"/>
      <c r="R985" s="1332"/>
      <c r="S985" s="1332"/>
      <c r="T985" s="1332"/>
      <c r="U985" s="1332"/>
      <c r="V985" s="1332"/>
      <c r="W985" s="1332"/>
      <c r="X985" s="1332"/>
      <c r="Y985" s="1332"/>
      <c r="Z985" s="1332"/>
      <c r="AA985" s="1332"/>
      <c r="AB985" s="1332"/>
    </row>
    <row r="986">
      <c r="A986" s="1332"/>
      <c r="B986" s="1366"/>
      <c r="C986" s="1366"/>
      <c r="D986" s="1375"/>
      <c r="E986" s="1332"/>
      <c r="F986" s="1332"/>
      <c r="G986" s="1378"/>
      <c r="H986" s="1378"/>
      <c r="I986" s="1332"/>
      <c r="J986" s="1332"/>
      <c r="K986" s="1332"/>
      <c r="L986" s="1332"/>
      <c r="M986" s="1332"/>
      <c r="N986" s="1332"/>
      <c r="O986" s="1332"/>
      <c r="P986" s="1332"/>
      <c r="Q986" s="1332"/>
      <c r="R986" s="1332"/>
      <c r="S986" s="1332"/>
      <c r="T986" s="1332"/>
      <c r="U986" s="1332"/>
      <c r="V986" s="1332"/>
      <c r="W986" s="1332"/>
      <c r="X986" s="1332"/>
      <c r="Y986" s="1332"/>
      <c r="Z986" s="1332"/>
      <c r="AA986" s="1332"/>
      <c r="AB986" s="1332"/>
    </row>
    <row r="987">
      <c r="A987" s="1332"/>
      <c r="B987" s="1366"/>
      <c r="C987" s="1366"/>
      <c r="D987" s="1375"/>
      <c r="E987" s="1332"/>
      <c r="F987" s="1332"/>
      <c r="G987" s="1378"/>
      <c r="H987" s="1378"/>
      <c r="I987" s="1332"/>
      <c r="J987" s="1332"/>
      <c r="K987" s="1332"/>
      <c r="L987" s="1332"/>
      <c r="M987" s="1332"/>
      <c r="N987" s="1332"/>
      <c r="O987" s="1332"/>
      <c r="P987" s="1332"/>
      <c r="Q987" s="1332"/>
      <c r="R987" s="1332"/>
      <c r="S987" s="1332"/>
      <c r="T987" s="1332"/>
      <c r="U987" s="1332"/>
      <c r="V987" s="1332"/>
      <c r="W987" s="1332"/>
      <c r="X987" s="1332"/>
      <c r="Y987" s="1332"/>
      <c r="Z987" s="1332"/>
      <c r="AA987" s="1332"/>
      <c r="AB987" s="1332"/>
    </row>
    <row r="988">
      <c r="A988" s="1332"/>
      <c r="B988" s="1366"/>
      <c r="C988" s="1366"/>
      <c r="D988" s="1375"/>
      <c r="E988" s="1332"/>
      <c r="F988" s="1332"/>
      <c r="G988" s="1378"/>
      <c r="H988" s="1378"/>
      <c r="I988" s="1332"/>
      <c r="J988" s="1332"/>
      <c r="K988" s="1332"/>
      <c r="L988" s="1332"/>
      <c r="M988" s="1332"/>
      <c r="N988" s="1332"/>
      <c r="O988" s="1332"/>
      <c r="P988" s="1332"/>
      <c r="Q988" s="1332"/>
      <c r="R988" s="1332"/>
      <c r="S988" s="1332"/>
      <c r="T988" s="1332"/>
      <c r="U988" s="1332"/>
      <c r="V988" s="1332"/>
      <c r="W988" s="1332"/>
      <c r="X988" s="1332"/>
      <c r="Y988" s="1332"/>
      <c r="Z988" s="1332"/>
      <c r="AA988" s="1332"/>
      <c r="AB988" s="1332"/>
    </row>
    <row r="989">
      <c r="A989" s="1332"/>
      <c r="B989" s="1366"/>
      <c r="C989" s="1366"/>
      <c r="D989" s="1375"/>
      <c r="E989" s="1332"/>
      <c r="F989" s="1332"/>
      <c r="G989" s="1378"/>
      <c r="H989" s="1378"/>
      <c r="I989" s="1332"/>
      <c r="J989" s="1332"/>
      <c r="K989" s="1332"/>
      <c r="L989" s="1332"/>
      <c r="M989" s="1332"/>
      <c r="N989" s="1332"/>
      <c r="O989" s="1332"/>
      <c r="P989" s="1332"/>
      <c r="Q989" s="1332"/>
      <c r="R989" s="1332"/>
      <c r="S989" s="1332"/>
      <c r="T989" s="1332"/>
      <c r="U989" s="1332"/>
      <c r="V989" s="1332"/>
      <c r="W989" s="1332"/>
      <c r="X989" s="1332"/>
      <c r="Y989" s="1332"/>
      <c r="Z989" s="1332"/>
      <c r="AA989" s="1332"/>
      <c r="AB989" s="1332"/>
    </row>
    <row r="990">
      <c r="A990" s="1332"/>
      <c r="B990" s="1366"/>
      <c r="C990" s="1366"/>
      <c r="D990" s="1375"/>
      <c r="E990" s="1332"/>
      <c r="F990" s="1332"/>
      <c r="G990" s="1378"/>
      <c r="H990" s="1378"/>
      <c r="I990" s="1332"/>
      <c r="J990" s="1332"/>
      <c r="K990" s="1332"/>
      <c r="L990" s="1332"/>
      <c r="M990" s="1332"/>
      <c r="N990" s="1332"/>
      <c r="O990" s="1332"/>
      <c r="P990" s="1332"/>
      <c r="Q990" s="1332"/>
      <c r="R990" s="1332"/>
      <c r="S990" s="1332"/>
      <c r="T990" s="1332"/>
      <c r="U990" s="1332"/>
      <c r="V990" s="1332"/>
      <c r="W990" s="1332"/>
      <c r="X990" s="1332"/>
      <c r="Y990" s="1332"/>
      <c r="Z990" s="1332"/>
      <c r="AA990" s="1332"/>
      <c r="AB990" s="1332"/>
    </row>
    <row r="991">
      <c r="A991" s="1332"/>
      <c r="B991" s="1366"/>
      <c r="C991" s="1366"/>
      <c r="D991" s="1375"/>
      <c r="E991" s="1332"/>
      <c r="F991" s="1332"/>
      <c r="G991" s="1378"/>
      <c r="H991" s="1378"/>
      <c r="I991" s="1332"/>
      <c r="J991" s="1332"/>
      <c r="K991" s="1332"/>
      <c r="L991" s="1332"/>
      <c r="M991" s="1332"/>
      <c r="N991" s="1332"/>
      <c r="O991" s="1332"/>
      <c r="P991" s="1332"/>
      <c r="Q991" s="1332"/>
      <c r="R991" s="1332"/>
      <c r="S991" s="1332"/>
      <c r="T991" s="1332"/>
      <c r="U991" s="1332"/>
      <c r="V991" s="1332"/>
      <c r="W991" s="1332"/>
      <c r="X991" s="1332"/>
      <c r="Y991" s="1332"/>
      <c r="Z991" s="1332"/>
      <c r="AA991" s="1332"/>
      <c r="AB991" s="1332"/>
    </row>
    <row r="992">
      <c r="A992" s="1332"/>
      <c r="B992" s="1366"/>
      <c r="C992" s="1366"/>
      <c r="D992" s="1375"/>
      <c r="E992" s="1332"/>
      <c r="F992" s="1332"/>
      <c r="G992" s="1378"/>
      <c r="H992" s="1378"/>
      <c r="I992" s="1332"/>
      <c r="J992" s="1332"/>
      <c r="K992" s="1332"/>
      <c r="L992" s="1332"/>
      <c r="M992" s="1332"/>
      <c r="N992" s="1332"/>
      <c r="O992" s="1332"/>
      <c r="P992" s="1332"/>
      <c r="Q992" s="1332"/>
      <c r="R992" s="1332"/>
      <c r="S992" s="1332"/>
      <c r="T992" s="1332"/>
      <c r="U992" s="1332"/>
      <c r="V992" s="1332"/>
      <c r="W992" s="1332"/>
      <c r="X992" s="1332"/>
      <c r="Y992" s="1332"/>
      <c r="Z992" s="1332"/>
      <c r="AA992" s="1332"/>
      <c r="AB992" s="1332"/>
    </row>
    <row r="993">
      <c r="A993" s="1332"/>
      <c r="B993" s="1366"/>
      <c r="C993" s="1366"/>
      <c r="D993" s="1375"/>
      <c r="E993" s="1332"/>
      <c r="F993" s="1332"/>
      <c r="G993" s="1378"/>
      <c r="H993" s="1378"/>
      <c r="I993" s="1332"/>
      <c r="J993" s="1332"/>
      <c r="K993" s="1332"/>
      <c r="L993" s="1332"/>
      <c r="M993" s="1332"/>
      <c r="N993" s="1332"/>
      <c r="O993" s="1332"/>
      <c r="P993" s="1332"/>
      <c r="Q993" s="1332"/>
      <c r="R993" s="1332"/>
      <c r="S993" s="1332"/>
      <c r="T993" s="1332"/>
      <c r="U993" s="1332"/>
      <c r="V993" s="1332"/>
      <c r="W993" s="1332"/>
      <c r="X993" s="1332"/>
      <c r="Y993" s="1332"/>
      <c r="Z993" s="1332"/>
      <c r="AA993" s="1332"/>
      <c r="AB993" s="1332"/>
    </row>
    <row r="994">
      <c r="A994" s="1332"/>
      <c r="B994" s="1366"/>
      <c r="C994" s="1366"/>
      <c r="D994" s="1375"/>
      <c r="E994" s="1332"/>
      <c r="F994" s="1332"/>
      <c r="G994" s="1378"/>
      <c r="H994" s="1378"/>
      <c r="I994" s="1332"/>
      <c r="J994" s="1332"/>
      <c r="K994" s="1332"/>
      <c r="L994" s="1332"/>
      <c r="M994" s="1332"/>
      <c r="N994" s="1332"/>
      <c r="O994" s="1332"/>
      <c r="P994" s="1332"/>
      <c r="Q994" s="1332"/>
      <c r="R994" s="1332"/>
      <c r="S994" s="1332"/>
      <c r="T994" s="1332"/>
      <c r="U994" s="1332"/>
      <c r="V994" s="1332"/>
      <c r="W994" s="1332"/>
      <c r="X994" s="1332"/>
      <c r="Y994" s="1332"/>
      <c r="Z994" s="1332"/>
      <c r="AA994" s="1332"/>
      <c r="AB994" s="1332"/>
    </row>
    <row r="995">
      <c r="A995" s="1332"/>
      <c r="B995" s="1366"/>
      <c r="C995" s="1366"/>
      <c r="D995" s="1375"/>
      <c r="E995" s="1332"/>
      <c r="F995" s="1332"/>
      <c r="G995" s="1378"/>
      <c r="H995" s="1378"/>
      <c r="I995" s="1332"/>
      <c r="J995" s="1332"/>
      <c r="K995" s="1332"/>
      <c r="L995" s="1332"/>
      <c r="M995" s="1332"/>
      <c r="N995" s="1332"/>
      <c r="O995" s="1332"/>
      <c r="P995" s="1332"/>
      <c r="Q995" s="1332"/>
      <c r="R995" s="1332"/>
      <c r="S995" s="1332"/>
      <c r="T995" s="1332"/>
      <c r="U995" s="1332"/>
      <c r="V995" s="1332"/>
      <c r="W995" s="1332"/>
      <c r="X995" s="1332"/>
      <c r="Y995" s="1332"/>
      <c r="Z995" s="1332"/>
      <c r="AA995" s="1332"/>
      <c r="AB995" s="1332"/>
    </row>
    <row r="996">
      <c r="A996" s="1332"/>
      <c r="B996" s="1366"/>
      <c r="C996" s="1366"/>
      <c r="D996" s="1375"/>
      <c r="E996" s="1332"/>
      <c r="F996" s="1332"/>
      <c r="G996" s="1378"/>
      <c r="H996" s="1378"/>
      <c r="I996" s="1332"/>
      <c r="J996" s="1332"/>
      <c r="K996" s="1332"/>
      <c r="L996" s="1332"/>
      <c r="M996" s="1332"/>
      <c r="N996" s="1332"/>
      <c r="O996" s="1332"/>
      <c r="P996" s="1332"/>
      <c r="Q996" s="1332"/>
      <c r="R996" s="1332"/>
      <c r="S996" s="1332"/>
      <c r="T996" s="1332"/>
      <c r="U996" s="1332"/>
      <c r="V996" s="1332"/>
      <c r="W996" s="1332"/>
      <c r="X996" s="1332"/>
      <c r="Y996" s="1332"/>
      <c r="Z996" s="1332"/>
      <c r="AA996" s="1332"/>
      <c r="AB996" s="1332"/>
    </row>
    <row r="997">
      <c r="A997" s="1332"/>
      <c r="B997" s="1366"/>
      <c r="C997" s="1366"/>
      <c r="D997" s="1375"/>
      <c r="E997" s="1332"/>
      <c r="F997" s="1332"/>
      <c r="G997" s="1378"/>
      <c r="H997" s="1378"/>
      <c r="I997" s="1332"/>
      <c r="J997" s="1332"/>
      <c r="K997" s="1332"/>
      <c r="L997" s="1332"/>
      <c r="M997" s="1332"/>
      <c r="N997" s="1332"/>
      <c r="O997" s="1332"/>
      <c r="P997" s="1332"/>
      <c r="Q997" s="1332"/>
      <c r="R997" s="1332"/>
      <c r="S997" s="1332"/>
      <c r="T997" s="1332"/>
      <c r="U997" s="1332"/>
      <c r="V997" s="1332"/>
      <c r="W997" s="1332"/>
      <c r="X997" s="1332"/>
      <c r="Y997" s="1332"/>
      <c r="Z997" s="1332"/>
      <c r="AA997" s="1332"/>
      <c r="AB997" s="1332"/>
    </row>
  </sheetData>
  <mergeCells count="6">
    <mergeCell ref="A1:H1"/>
    <mergeCell ref="A2:H2"/>
    <mergeCell ref="B3:G3"/>
    <mergeCell ref="A30:D30"/>
    <mergeCell ref="A31:D31"/>
    <mergeCell ref="A32:D32"/>
  </mergeCells>
  <conditionalFormatting sqref="F5:F9">
    <cfRule type="expression" dxfId="22" priority="1">
      <formula>ABS($F5)&gt;$G5</formula>
    </cfRule>
  </conditionalFormatting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38"/>
    <col customWidth="1" min="2" max="2" width="6.88"/>
    <col customWidth="1" min="3" max="3" width="46.25"/>
    <col customWidth="1" min="4" max="4" width="17.0"/>
    <col customWidth="1" hidden="1" min="5" max="5" width="24.38"/>
    <col customWidth="1" min="6" max="6" width="8.88"/>
    <col customWidth="1" min="7" max="7" width="7.0"/>
    <col customWidth="1" min="8" max="8" width="10.25"/>
    <col customWidth="1" min="9" max="9" width="9.13"/>
    <col customWidth="1" min="10" max="10" width="6.0"/>
    <col customWidth="1" min="11" max="11" width="8.13"/>
  </cols>
  <sheetData>
    <row r="1">
      <c r="A1" s="1381"/>
      <c r="B1" s="1381"/>
      <c r="C1" s="1381"/>
      <c r="D1" s="1381"/>
      <c r="E1" s="1381"/>
      <c r="F1" s="1382" t="s">
        <v>1222</v>
      </c>
      <c r="G1" s="1348"/>
      <c r="H1" s="1348"/>
      <c r="I1" s="1349"/>
      <c r="J1" s="1383" t="s">
        <v>1223</v>
      </c>
      <c r="K1" s="1349"/>
      <c r="L1" s="1356"/>
      <c r="M1" s="1356"/>
      <c r="N1" s="1356"/>
      <c r="O1" s="1356"/>
      <c r="P1" s="1356"/>
      <c r="Q1" s="1356"/>
      <c r="R1" s="1356"/>
      <c r="S1" s="1356"/>
      <c r="T1" s="1356"/>
      <c r="U1" s="1356"/>
      <c r="V1" s="1356"/>
      <c r="W1" s="1356"/>
      <c r="X1" s="1356"/>
    </row>
    <row r="2">
      <c r="A2" s="1351" t="s">
        <v>395</v>
      </c>
      <c r="B2" s="1351" t="s">
        <v>1224</v>
      </c>
      <c r="C2" s="1351" t="s">
        <v>1225</v>
      </c>
      <c r="D2" s="1351" t="s">
        <v>355</v>
      </c>
      <c r="E2" s="1351" t="s">
        <v>1226</v>
      </c>
      <c r="F2" s="1384" t="s">
        <v>1227</v>
      </c>
      <c r="G2" s="1351" t="s">
        <v>1228</v>
      </c>
      <c r="H2" s="1354" t="s">
        <v>1210</v>
      </c>
      <c r="I2" s="1351" t="s">
        <v>1229</v>
      </c>
      <c r="J2" s="1385" t="s">
        <v>1230</v>
      </c>
      <c r="K2" s="1386" t="s">
        <v>1231</v>
      </c>
      <c r="L2" s="1356"/>
      <c r="M2" s="1356"/>
      <c r="N2" s="1356"/>
      <c r="O2" s="1356"/>
      <c r="P2" s="1356"/>
      <c r="Q2" s="1356"/>
      <c r="R2" s="1356"/>
      <c r="S2" s="1356"/>
      <c r="T2" s="1356"/>
      <c r="U2" s="1356"/>
      <c r="V2" s="1356"/>
      <c r="W2" s="1356"/>
      <c r="X2" s="1356"/>
    </row>
    <row r="3">
      <c r="A3" s="1387" t="s">
        <v>1232</v>
      </c>
      <c r="B3" s="1387" t="s">
        <v>1233</v>
      </c>
      <c r="C3" s="1373" t="str">
        <f>IFERROR(__xludf.DUMMYFUNCTION("GOOGLEFINANCE($B3,""name"")"),"Vanguard Total Stock Market Index Fund Admiral Shares")</f>
        <v>Vanguard Total Stock Market Index Fund Admiral Shares</v>
      </c>
      <c r="D3" s="1373" t="s">
        <v>1217</v>
      </c>
      <c r="E3" s="1388" t="str">
        <f t="shared" ref="E3:E20" si="1">A3 &amp; " - " &amp; B3</f>
        <v>Vanguard Rollover IRA - VTSAX</v>
      </c>
      <c r="F3" s="1389">
        <v>3000.0</v>
      </c>
      <c r="G3" s="1390">
        <f>IFERROR(__xludf.DUMMYFUNCTION("GOOGLEFINANCE($B3,""price"")"),125.97)</f>
        <v>125.97</v>
      </c>
      <c r="H3" s="1364">
        <f t="shared" ref="H3:H20" si="2">F3*G3</f>
        <v>377910</v>
      </c>
      <c r="I3" s="1363" t="str">
        <f>'Copy of Holdings 1'!HoldingValue/'Copy of Holdings 1'!TotalValue</f>
        <v>#N/A</v>
      </c>
      <c r="J3" s="1391">
        <f>IFERROR(__xludf.DUMMYFUNCTION("IFERROR(GOOGLEFINANCE($B3,""expenseratio""),"""")"),0.04)</f>
        <v>0.04</v>
      </c>
      <c r="K3" s="1392" t="str">
        <f>$J3*'Copy of Holdings 1'!PortfolioPercent</f>
        <v>#N/A</v>
      </c>
      <c r="L3" s="1332"/>
      <c r="M3" s="1332"/>
      <c r="N3" s="1332"/>
      <c r="O3" s="1332"/>
      <c r="P3" s="1332"/>
      <c r="Q3" s="1332"/>
      <c r="R3" s="1332"/>
      <c r="S3" s="1332"/>
      <c r="T3" s="1332"/>
      <c r="U3" s="1332"/>
      <c r="V3" s="1332"/>
      <c r="W3" s="1332"/>
      <c r="X3" s="1332"/>
    </row>
    <row r="4">
      <c r="A4" s="1387" t="s">
        <v>1232</v>
      </c>
      <c r="B4" s="1387" t="s">
        <v>1234</v>
      </c>
      <c r="C4" s="1373" t="str">
        <f>IFERROR(__xludf.DUMMYFUNCTION("GOOGLEFINANCE($B4,""name"")"),"Vanguard Total International Stock Index Fund Admiral Shares")</f>
        <v>Vanguard Total International Stock Index Fund Admiral Shares</v>
      </c>
      <c r="D4" s="1373" t="s">
        <v>1218</v>
      </c>
      <c r="E4" s="1388" t="str">
        <f t="shared" si="1"/>
        <v>Vanguard Rollover IRA - VTIAX</v>
      </c>
      <c r="F4" s="1389">
        <v>1800.0</v>
      </c>
      <c r="G4" s="1390">
        <f>IFERROR(__xludf.DUMMYFUNCTION("GOOGLEFINANCE($B4,""price"")"),32.91)</f>
        <v>32.91</v>
      </c>
      <c r="H4" s="1364">
        <f t="shared" si="2"/>
        <v>59238</v>
      </c>
      <c r="I4" s="1363" t="str">
        <f>'Copy of Holdings 1'!HoldingValue/'Copy of Holdings 1'!TotalValue</f>
        <v>#N/A</v>
      </c>
      <c r="J4" s="1391">
        <f>IFERROR(__xludf.DUMMYFUNCTION("IFERROR(GOOGLEFINANCE($B4,""expenseratio""),"""")"),0.11)</f>
        <v>0.11</v>
      </c>
      <c r="K4" s="1392" t="str">
        <f>$J4*'Copy of Holdings 1'!PortfolioPercent</f>
        <v>#N/A</v>
      </c>
      <c r="L4" s="1332"/>
      <c r="M4" s="1332"/>
      <c r="N4" s="1332"/>
      <c r="O4" s="1332"/>
      <c r="P4" s="1332"/>
      <c r="Q4" s="1332"/>
      <c r="R4" s="1332"/>
      <c r="S4" s="1332"/>
      <c r="T4" s="1332"/>
      <c r="U4" s="1332"/>
      <c r="V4" s="1332"/>
      <c r="W4" s="1332"/>
      <c r="X4" s="1332"/>
    </row>
    <row r="5">
      <c r="A5" s="1387" t="s">
        <v>1232</v>
      </c>
      <c r="B5" s="1387" t="s">
        <v>1235</v>
      </c>
      <c r="C5" s="1373" t="str">
        <f>IFERROR(__xludf.DUMMYFUNCTION("GOOGLEFINANCE($B5,""name"")"),"Vanguard Total Bond Market Index Fund Admiral Shares")</f>
        <v>Vanguard Total Bond Market Index Fund Admiral Shares</v>
      </c>
      <c r="D5" s="1373" t="s">
        <v>1220</v>
      </c>
      <c r="E5" s="1388" t="str">
        <f t="shared" si="1"/>
        <v>Vanguard Rollover IRA - VBTLX</v>
      </c>
      <c r="F5" s="1389">
        <v>2000.0</v>
      </c>
      <c r="G5" s="1390">
        <f>IFERROR(__xludf.DUMMYFUNCTION("GOOGLEFINANCE($B5,""price"")"),9.56)</f>
        <v>9.56</v>
      </c>
      <c r="H5" s="1364">
        <f t="shared" si="2"/>
        <v>19120</v>
      </c>
      <c r="I5" s="1363" t="str">
        <f>'Copy of Holdings 1'!HoldingValue/'Copy of Holdings 1'!TotalValue</f>
        <v>#N/A</v>
      </c>
      <c r="J5" s="1391">
        <f>IFERROR(__xludf.DUMMYFUNCTION("IFERROR(GOOGLEFINANCE($B5,""expenseratio""),"""")"),0.05)</f>
        <v>0.05</v>
      </c>
      <c r="K5" s="1392" t="str">
        <f>$J5*'Copy of Holdings 1'!PortfolioPercent</f>
        <v>#N/A</v>
      </c>
      <c r="L5" s="1332"/>
      <c r="M5" s="1332"/>
      <c r="N5" s="1332"/>
      <c r="O5" s="1332"/>
      <c r="P5" s="1332"/>
      <c r="Q5" s="1332"/>
      <c r="R5" s="1332"/>
      <c r="S5" s="1332"/>
      <c r="T5" s="1332"/>
      <c r="U5" s="1332"/>
      <c r="V5" s="1332"/>
      <c r="W5" s="1332"/>
      <c r="X5" s="1332"/>
    </row>
    <row r="6">
      <c r="A6" s="1387" t="s">
        <v>1232</v>
      </c>
      <c r="B6" s="1393" t="s">
        <v>1236</v>
      </c>
      <c r="C6" s="1373" t="str">
        <f>IFERROR(__xludf.DUMMYFUNCTION("GOOGLEFINANCE($B6,""name"")"),"Vanguard Real Estate Index Fund Admiral Shares")</f>
        <v>Vanguard Real Estate Index Fund Admiral Shares</v>
      </c>
      <c r="D6" s="1373" t="s">
        <v>1219</v>
      </c>
      <c r="E6" s="1388" t="str">
        <f t="shared" si="1"/>
        <v>Vanguard Rollover IRA - VGSLX</v>
      </c>
      <c r="F6" s="1389">
        <v>200.0</v>
      </c>
      <c r="G6" s="1390">
        <f>IFERROR(__xludf.DUMMYFUNCTION("GOOGLEFINANCE($B6,""price"")"),123.06)</f>
        <v>123.06</v>
      </c>
      <c r="H6" s="1364">
        <f t="shared" si="2"/>
        <v>24612</v>
      </c>
      <c r="I6" s="1363" t="str">
        <f>'Copy of Holdings 1'!HoldingValue/'Copy of Holdings 1'!TotalValue</f>
        <v>#N/A</v>
      </c>
      <c r="J6" s="1391">
        <f>IFERROR(__xludf.DUMMYFUNCTION("IFERROR(GOOGLEFINANCE($B6,""expenseratio""),"""")"),0.12)</f>
        <v>0.12</v>
      </c>
      <c r="K6" s="1392" t="str">
        <f>$J6*'Copy of Holdings 1'!PortfolioPercent</f>
        <v>#N/A</v>
      </c>
      <c r="L6" s="1332"/>
      <c r="M6" s="1332"/>
      <c r="N6" s="1332"/>
      <c r="O6" s="1332"/>
      <c r="P6" s="1332"/>
      <c r="Q6" s="1332"/>
      <c r="R6" s="1332"/>
      <c r="S6" s="1332"/>
      <c r="T6" s="1332"/>
      <c r="U6" s="1332"/>
      <c r="V6" s="1332"/>
      <c r="W6" s="1332"/>
      <c r="X6" s="1332"/>
    </row>
    <row r="7">
      <c r="A7" s="1387" t="s">
        <v>1232</v>
      </c>
      <c r="B7" s="1387" t="s">
        <v>1237</v>
      </c>
      <c r="C7" s="1373" t="str">
        <f>IFERROR(__xludf.DUMMYFUNCTION("GOOGLEFINANCE($B7,""name"")"),"Vanguard Total Stock Market Index Fund ETF")</f>
        <v>Vanguard Total Stock Market Index Fund ETF</v>
      </c>
      <c r="D7" s="1373" t="s">
        <v>1217</v>
      </c>
      <c r="E7" s="1388" t="str">
        <f t="shared" si="1"/>
        <v>Vanguard Rollover IRA - VTI</v>
      </c>
      <c r="F7" s="1389">
        <v>200.0</v>
      </c>
      <c r="G7" s="1390">
        <f>IFERROR(__xludf.DUMMYFUNCTION("GOOGLEFINANCE($B7,""price"")"),258.75)</f>
        <v>258.75</v>
      </c>
      <c r="H7" s="1364">
        <f t="shared" si="2"/>
        <v>51750</v>
      </c>
      <c r="I7" s="1363" t="str">
        <f>'Copy of Holdings 1'!HoldingValue/'Copy of Holdings 1'!TotalValue</f>
        <v>#N/A</v>
      </c>
      <c r="J7" s="1394">
        <v>0.05</v>
      </c>
      <c r="K7" s="1392" t="str">
        <f>$J7*'Copy of Holdings 1'!PortfolioPercent</f>
        <v>#N/A</v>
      </c>
      <c r="L7" s="1332"/>
      <c r="M7" s="1332"/>
      <c r="N7" s="1332"/>
      <c r="O7" s="1332"/>
      <c r="P7" s="1332"/>
      <c r="Q7" s="1332"/>
      <c r="R7" s="1332"/>
      <c r="S7" s="1332"/>
      <c r="T7" s="1332"/>
      <c r="U7" s="1332"/>
      <c r="V7" s="1332"/>
      <c r="W7" s="1332"/>
      <c r="X7" s="1332"/>
    </row>
    <row r="8">
      <c r="A8" s="1395" t="s">
        <v>1238</v>
      </c>
      <c r="B8" s="1396" t="s">
        <v>1233</v>
      </c>
      <c r="C8" s="1397" t="str">
        <f>IFERROR(__xludf.DUMMYFUNCTION("GOOGLEFINANCE($B8,""name"")"),"Vanguard Total Stock Market Index Fund Admiral Shares")</f>
        <v>Vanguard Total Stock Market Index Fund Admiral Shares</v>
      </c>
      <c r="D8" s="1397" t="s">
        <v>1217</v>
      </c>
      <c r="E8" s="1398" t="str">
        <f t="shared" si="1"/>
        <v>Vanguard Roth IRA - VTSAX</v>
      </c>
      <c r="F8" s="1399">
        <v>2000.0</v>
      </c>
      <c r="G8" s="1400">
        <f>IFERROR(__xludf.DUMMYFUNCTION("GOOGLEFINANCE($B8,""price"")"),125.97)</f>
        <v>125.97</v>
      </c>
      <c r="H8" s="1401">
        <f t="shared" si="2"/>
        <v>251940</v>
      </c>
      <c r="I8" s="1358" t="str">
        <f>'Copy of Holdings 1'!HoldingValue/'Copy of Holdings 1'!TotalValue</f>
        <v>#N/A</v>
      </c>
      <c r="J8" s="1402">
        <f>IFERROR(__xludf.DUMMYFUNCTION("IFERROR(GOOGLEFINANCE($B8,""expenseratio""),"""")"),0.04)</f>
        <v>0.04</v>
      </c>
      <c r="K8" s="1403" t="str">
        <f>$J8*'Copy of Holdings 1'!PortfolioPercent</f>
        <v>#N/A</v>
      </c>
      <c r="L8" s="1332"/>
      <c r="M8" s="1332"/>
      <c r="N8" s="1332"/>
      <c r="O8" s="1332"/>
      <c r="P8" s="1332"/>
      <c r="Q8" s="1332"/>
      <c r="R8" s="1332"/>
      <c r="S8" s="1332"/>
      <c r="T8" s="1332"/>
      <c r="U8" s="1332"/>
      <c r="V8" s="1332"/>
      <c r="W8" s="1332"/>
      <c r="X8" s="1332"/>
    </row>
    <row r="9">
      <c r="A9" s="1395" t="s">
        <v>1238</v>
      </c>
      <c r="B9" s="1404" t="s">
        <v>1234</v>
      </c>
      <c r="C9" s="1397" t="str">
        <f>IFERROR(__xludf.DUMMYFUNCTION("GOOGLEFINANCE($B9,""name"")"),"Vanguard Total International Stock Index Fund Admiral Shares")</f>
        <v>Vanguard Total International Stock Index Fund Admiral Shares</v>
      </c>
      <c r="D9" s="1397" t="s">
        <v>1218</v>
      </c>
      <c r="E9" s="1398" t="str">
        <f t="shared" si="1"/>
        <v>Vanguard Roth IRA - VTIAX</v>
      </c>
      <c r="F9" s="1399">
        <v>1400.0</v>
      </c>
      <c r="G9" s="1400">
        <f>IFERROR(__xludf.DUMMYFUNCTION("GOOGLEFINANCE($B9,""price"")"),32.91)</f>
        <v>32.91</v>
      </c>
      <c r="H9" s="1401">
        <f t="shared" si="2"/>
        <v>46074</v>
      </c>
      <c r="I9" s="1358" t="str">
        <f>'Copy of Holdings 1'!HoldingValue/'Copy of Holdings 1'!TotalValue</f>
        <v>#N/A</v>
      </c>
      <c r="J9" s="1402">
        <f>IFERROR(__xludf.DUMMYFUNCTION("IFERROR(GOOGLEFINANCE($B9,""expenseratio""),"""")"),0.11)</f>
        <v>0.11</v>
      </c>
      <c r="K9" s="1403" t="str">
        <f>$J9*'Copy of Holdings 1'!PortfolioPercent</f>
        <v>#N/A</v>
      </c>
      <c r="L9" s="1332"/>
      <c r="M9" s="1332"/>
      <c r="N9" s="1332"/>
      <c r="O9" s="1332"/>
      <c r="P9" s="1332"/>
      <c r="Q9" s="1332"/>
      <c r="R9" s="1332"/>
      <c r="S9" s="1332"/>
      <c r="T9" s="1332"/>
      <c r="U9" s="1332"/>
      <c r="V9" s="1332"/>
      <c r="W9" s="1332"/>
      <c r="X9" s="1332"/>
    </row>
    <row r="10">
      <c r="A10" s="1395" t="s">
        <v>1238</v>
      </c>
      <c r="B10" s="1404" t="s">
        <v>1239</v>
      </c>
      <c r="C10" s="1397" t="str">
        <f>IFERROR(__xludf.DUMMYFUNCTION("GOOGLEFINANCE($B10,""name"")"),"Vanguard Total Bond Market Index Fund Investor Shares")</f>
        <v>Vanguard Total Bond Market Index Fund Investor Shares</v>
      </c>
      <c r="D10" s="1397" t="s">
        <v>1220</v>
      </c>
      <c r="E10" s="1398" t="str">
        <f t="shared" si="1"/>
        <v>Vanguard Roth IRA - VBMFX</v>
      </c>
      <c r="F10" s="1399">
        <v>1300.0</v>
      </c>
      <c r="G10" s="1400">
        <f>IFERROR(__xludf.DUMMYFUNCTION("GOOGLEFINANCE($B10,""price"")"),9.56)</f>
        <v>9.56</v>
      </c>
      <c r="H10" s="1401">
        <f t="shared" si="2"/>
        <v>12428</v>
      </c>
      <c r="I10" s="1358" t="str">
        <f>'Copy of Holdings 1'!HoldingValue/'Copy of Holdings 1'!TotalValue</f>
        <v>#N/A</v>
      </c>
      <c r="J10" s="1402">
        <f>IFERROR(__xludf.DUMMYFUNCTION("IFERROR(GOOGLEFINANCE($B10,""expenseratio""),"""")"),0.15)</f>
        <v>0.15</v>
      </c>
      <c r="K10" s="1403" t="str">
        <f>$J10*'Copy of Holdings 1'!PortfolioPercent</f>
        <v>#N/A</v>
      </c>
      <c r="L10" s="1332"/>
      <c r="M10" s="1332"/>
      <c r="N10" s="1332"/>
      <c r="O10" s="1332"/>
      <c r="P10" s="1332"/>
      <c r="Q10" s="1332"/>
      <c r="R10" s="1332"/>
      <c r="S10" s="1332"/>
      <c r="T10" s="1332"/>
      <c r="U10" s="1332"/>
      <c r="V10" s="1332"/>
      <c r="W10" s="1332"/>
      <c r="X10" s="1332"/>
    </row>
    <row r="11">
      <c r="A11" s="1395" t="s">
        <v>1238</v>
      </c>
      <c r="B11" s="1396" t="s">
        <v>1240</v>
      </c>
      <c r="C11" s="1397" t="str">
        <f>IFERROR(__xludf.DUMMYFUNCTION("GOOGLEFINANCE($B11,""name"")"),"Vanguard Real Estate Index Fund Investor Shares")</f>
        <v>Vanguard Real Estate Index Fund Investor Shares</v>
      </c>
      <c r="D11" s="1397" t="s">
        <v>1219</v>
      </c>
      <c r="E11" s="1398" t="str">
        <f t="shared" si="1"/>
        <v>Vanguard Roth IRA - VGSIX</v>
      </c>
      <c r="F11" s="1399">
        <v>500.0</v>
      </c>
      <c r="G11" s="1400">
        <f>IFERROR(__xludf.DUMMYFUNCTION("GOOGLEFINANCE($B11,""price"")"),28.86)</f>
        <v>28.86</v>
      </c>
      <c r="H11" s="1401">
        <f t="shared" si="2"/>
        <v>14430</v>
      </c>
      <c r="I11" s="1358" t="str">
        <f>'Copy of Holdings 1'!HoldingValue/'Copy of Holdings 1'!TotalValue</f>
        <v>#N/A</v>
      </c>
      <c r="J11" s="1402">
        <f>IFERROR(__xludf.DUMMYFUNCTION("IFERROR(GOOGLEFINANCE($B11,""expenseratio""),"""")"),0.26)</f>
        <v>0.26</v>
      </c>
      <c r="K11" s="1403" t="str">
        <f>$J11*'Copy of Holdings 1'!PortfolioPercent</f>
        <v>#N/A</v>
      </c>
      <c r="L11" s="1332"/>
      <c r="M11" s="1332"/>
      <c r="N11" s="1332"/>
      <c r="O11" s="1332"/>
      <c r="P11" s="1332"/>
      <c r="Q11" s="1332"/>
      <c r="R11" s="1332"/>
      <c r="S11" s="1332"/>
      <c r="T11" s="1332"/>
      <c r="U11" s="1332"/>
      <c r="V11" s="1332"/>
      <c r="W11" s="1332"/>
      <c r="X11" s="1332"/>
    </row>
    <row r="12">
      <c r="A12" s="1405" t="s">
        <v>1241</v>
      </c>
      <c r="B12" s="1405" t="s">
        <v>1233</v>
      </c>
      <c r="C12" s="1373" t="str">
        <f>IFERROR(__xludf.DUMMYFUNCTION("GOOGLEFINANCE($B12,""name"")"),"Vanguard Total Stock Market Index Fund Admiral Shares")</f>
        <v>Vanguard Total Stock Market Index Fund Admiral Shares</v>
      </c>
      <c r="D12" s="1373" t="s">
        <v>1217</v>
      </c>
      <c r="E12" s="1388" t="str">
        <f t="shared" si="1"/>
        <v>PCS 401K - VTSAX</v>
      </c>
      <c r="F12" s="1389">
        <v>700.0</v>
      </c>
      <c r="G12" s="1390">
        <f>IFERROR(__xludf.DUMMYFUNCTION("GOOGLEFINANCE($B12,""price"")"),125.97)</f>
        <v>125.97</v>
      </c>
      <c r="H12" s="1364">
        <f t="shared" si="2"/>
        <v>88179</v>
      </c>
      <c r="I12" s="1363" t="str">
        <f>'Copy of Holdings 1'!HoldingValue/'Copy of Holdings 1'!TotalValue</f>
        <v>#N/A</v>
      </c>
      <c r="J12" s="1391">
        <f>IFERROR(__xludf.DUMMYFUNCTION("IFERROR(GOOGLEFINANCE($B12,""expenseratio""),"""")"),0.04)</f>
        <v>0.04</v>
      </c>
      <c r="K12" s="1392" t="str">
        <f>$J12*'Copy of Holdings 1'!PortfolioPercent</f>
        <v>#N/A</v>
      </c>
      <c r="L12" s="1332"/>
      <c r="M12" s="1332"/>
      <c r="N12" s="1332"/>
      <c r="O12" s="1332"/>
      <c r="P12" s="1332"/>
      <c r="Q12" s="1332"/>
      <c r="R12" s="1332"/>
      <c r="S12" s="1332"/>
      <c r="T12" s="1332"/>
      <c r="U12" s="1332"/>
      <c r="V12" s="1332"/>
      <c r="W12" s="1332"/>
      <c r="X12" s="1332"/>
    </row>
    <row r="13">
      <c r="A13" s="1405" t="s">
        <v>1241</v>
      </c>
      <c r="B13" s="1405" t="s">
        <v>1234</v>
      </c>
      <c r="C13" s="1373" t="str">
        <f>IFERROR(__xludf.DUMMYFUNCTION("GOOGLEFINANCE($B13,""name"")"),"Vanguard Total International Stock Index Fund Admiral Shares")</f>
        <v>Vanguard Total International Stock Index Fund Admiral Shares</v>
      </c>
      <c r="D13" s="1373" t="s">
        <v>1218</v>
      </c>
      <c r="E13" s="1388" t="str">
        <f t="shared" si="1"/>
        <v>PCS 401K - VTIAX</v>
      </c>
      <c r="F13" s="1389">
        <v>300.0</v>
      </c>
      <c r="G13" s="1390">
        <f>IFERROR(__xludf.DUMMYFUNCTION("GOOGLEFINANCE($B13,""price"")"),32.91)</f>
        <v>32.91</v>
      </c>
      <c r="H13" s="1364">
        <f t="shared" si="2"/>
        <v>9873</v>
      </c>
      <c r="I13" s="1363" t="str">
        <f>'Copy of Holdings 1'!HoldingValue/'Copy of Holdings 1'!TotalValue</f>
        <v>#N/A</v>
      </c>
      <c r="J13" s="1391">
        <f>IFERROR(__xludf.DUMMYFUNCTION("IFERROR(GOOGLEFINANCE($B13,""expenseratio""),"""")"),0.11)</f>
        <v>0.11</v>
      </c>
      <c r="K13" s="1392" t="str">
        <f>$J13*'Copy of Holdings 1'!PortfolioPercent</f>
        <v>#N/A</v>
      </c>
      <c r="L13" s="1332"/>
      <c r="M13" s="1332"/>
      <c r="N13" s="1332"/>
      <c r="O13" s="1332"/>
      <c r="P13" s="1332"/>
      <c r="Q13" s="1332"/>
      <c r="R13" s="1332"/>
      <c r="S13" s="1332"/>
      <c r="T13" s="1332"/>
      <c r="U13" s="1332"/>
      <c r="V13" s="1332"/>
      <c r="W13" s="1332"/>
      <c r="X13" s="1332"/>
    </row>
    <row r="14">
      <c r="A14" s="1405" t="s">
        <v>1241</v>
      </c>
      <c r="B14" s="1405" t="s">
        <v>1235</v>
      </c>
      <c r="C14" s="1373" t="str">
        <f>IFERROR(__xludf.DUMMYFUNCTION("GOOGLEFINANCE($B14,""name"")"),"Vanguard Total Bond Market Index Fund Admiral Shares")</f>
        <v>Vanguard Total Bond Market Index Fund Admiral Shares</v>
      </c>
      <c r="D14" s="1373" t="s">
        <v>1220</v>
      </c>
      <c r="E14" s="1388" t="str">
        <f t="shared" si="1"/>
        <v>PCS 401K - VBTLX</v>
      </c>
      <c r="F14" s="1389">
        <v>400.0</v>
      </c>
      <c r="G14" s="1390">
        <f>IFERROR(__xludf.DUMMYFUNCTION("GOOGLEFINANCE($B14,""price"")"),9.56)</f>
        <v>9.56</v>
      </c>
      <c r="H14" s="1364">
        <f t="shared" si="2"/>
        <v>3824</v>
      </c>
      <c r="I14" s="1363" t="str">
        <f>'Copy of Holdings 1'!HoldingValue/'Copy of Holdings 1'!TotalValue</f>
        <v>#N/A</v>
      </c>
      <c r="J14" s="1391">
        <f>IFERROR(__xludf.DUMMYFUNCTION("IFERROR(GOOGLEFINANCE($B14,""expenseratio""),"""")"),0.05)</f>
        <v>0.05</v>
      </c>
      <c r="K14" s="1392" t="str">
        <f>$J14*'Copy of Holdings 1'!PortfolioPercent</f>
        <v>#N/A</v>
      </c>
      <c r="L14" s="1332"/>
      <c r="M14" s="1332"/>
      <c r="N14" s="1332"/>
      <c r="O14" s="1332"/>
      <c r="P14" s="1332"/>
      <c r="Q14" s="1332"/>
      <c r="R14" s="1332"/>
      <c r="S14" s="1332"/>
      <c r="T14" s="1332"/>
      <c r="U14" s="1332"/>
      <c r="V14" s="1332"/>
      <c r="W14" s="1332"/>
      <c r="X14" s="1332"/>
    </row>
    <row r="15">
      <c r="A15" s="1405" t="s">
        <v>1241</v>
      </c>
      <c r="B15" s="1405" t="s">
        <v>1236</v>
      </c>
      <c r="C15" s="1373" t="str">
        <f>IFERROR(__xludf.DUMMYFUNCTION("GOOGLEFINANCE($B15,""name"")"),"Vanguard Real Estate Index Fund Admiral Shares")</f>
        <v>Vanguard Real Estate Index Fund Admiral Shares</v>
      </c>
      <c r="D15" s="1373" t="s">
        <v>1219</v>
      </c>
      <c r="E15" s="1388" t="str">
        <f t="shared" si="1"/>
        <v>PCS 401K - VGSLX</v>
      </c>
      <c r="F15" s="1389">
        <v>40.0</v>
      </c>
      <c r="G15" s="1390">
        <f>IFERROR(__xludf.DUMMYFUNCTION("GOOGLEFINANCE($B15,""price"")"),123.06)</f>
        <v>123.06</v>
      </c>
      <c r="H15" s="1364">
        <f t="shared" si="2"/>
        <v>4922.4</v>
      </c>
      <c r="I15" s="1363" t="str">
        <f>'Copy of Holdings 1'!HoldingValue/'Copy of Holdings 1'!TotalValue</f>
        <v>#N/A</v>
      </c>
      <c r="J15" s="1406">
        <f>IFERROR(__xludf.DUMMYFUNCTION("IFERROR(GOOGLEFINANCE($B15,""expenseratio""),"""")"),0.12)</f>
        <v>0.12</v>
      </c>
      <c r="K15" s="1392" t="str">
        <f>$J15*'Copy of Holdings 1'!PortfolioPercent</f>
        <v>#N/A</v>
      </c>
      <c r="L15" s="1332"/>
      <c r="M15" s="1332"/>
      <c r="N15" s="1332"/>
      <c r="O15" s="1332"/>
      <c r="P15" s="1332"/>
      <c r="Q15" s="1332"/>
      <c r="R15" s="1332"/>
      <c r="S15" s="1332"/>
      <c r="T15" s="1332"/>
      <c r="U15" s="1332"/>
      <c r="V15" s="1332"/>
      <c r="W15" s="1332"/>
      <c r="X15" s="1332"/>
    </row>
    <row r="16">
      <c r="A16" s="1396" t="s">
        <v>1242</v>
      </c>
      <c r="B16" s="1396" t="s">
        <v>1237</v>
      </c>
      <c r="C16" s="1397" t="str">
        <f>IFERROR(__xludf.DUMMYFUNCTION("GOOGLEFINANCE($B16,""name"")"),"Vanguard Total Stock Market Index Fund ETF")</f>
        <v>Vanguard Total Stock Market Index Fund ETF</v>
      </c>
      <c r="D16" s="1397" t="s">
        <v>1217</v>
      </c>
      <c r="E16" s="1398" t="str">
        <f t="shared" si="1"/>
        <v>HSA Bank - VTI</v>
      </c>
      <c r="F16" s="1399">
        <v>150.0</v>
      </c>
      <c r="G16" s="1400">
        <f>IFERROR(__xludf.DUMMYFUNCTION("GOOGLEFINANCE($B16,""price"")"),258.75)</f>
        <v>258.75</v>
      </c>
      <c r="H16" s="1401">
        <f t="shared" si="2"/>
        <v>38812.5</v>
      </c>
      <c r="I16" s="1358" t="str">
        <f>'Copy of Holdings 1'!HoldingValue/'Copy of Holdings 1'!TotalValue</f>
        <v>#N/A</v>
      </c>
      <c r="J16" s="1407">
        <v>0.05</v>
      </c>
      <c r="K16" s="1403" t="str">
        <f>$J16*'Copy of Holdings 1'!PortfolioPercent</f>
        <v>#N/A</v>
      </c>
      <c r="L16" s="1332"/>
      <c r="M16" s="1332"/>
      <c r="N16" s="1332"/>
      <c r="O16" s="1332"/>
      <c r="P16" s="1332"/>
      <c r="Q16" s="1332"/>
      <c r="R16" s="1332"/>
      <c r="S16" s="1332"/>
      <c r="T16" s="1332"/>
      <c r="U16" s="1332"/>
      <c r="V16" s="1332"/>
      <c r="W16" s="1332"/>
      <c r="X16" s="1332"/>
    </row>
    <row r="17">
      <c r="A17" s="1396" t="s">
        <v>1242</v>
      </c>
      <c r="B17" s="1396" t="s">
        <v>1243</v>
      </c>
      <c r="C17" s="1397" t="str">
        <f>IFERROR(__xludf.DUMMYFUNCTION("GOOGLEFINANCE($B17,""name"")"),"Vanguard FTSE All World ex US ETF")</f>
        <v>Vanguard FTSE All World ex US ETF</v>
      </c>
      <c r="D17" s="1397" t="s">
        <v>1218</v>
      </c>
      <c r="E17" s="1398" t="str">
        <f t="shared" si="1"/>
        <v>HSA Bank - VEU</v>
      </c>
      <c r="F17" s="1399">
        <v>80.0</v>
      </c>
      <c r="G17" s="1400">
        <f>IFERROR(__xludf.DUMMYFUNCTION("GOOGLEFINANCE($B17,""price"")"),59.8)</f>
        <v>59.8</v>
      </c>
      <c r="H17" s="1401">
        <f t="shared" si="2"/>
        <v>4784</v>
      </c>
      <c r="I17" s="1358" t="str">
        <f>'Copy of Holdings 1'!HoldingValue/'Copy of Holdings 1'!TotalValue</f>
        <v>#N/A</v>
      </c>
      <c r="J17" s="1407">
        <v>0.15</v>
      </c>
      <c r="K17" s="1403" t="str">
        <f>$J17*'Copy of Holdings 1'!PortfolioPercent</f>
        <v>#N/A</v>
      </c>
      <c r="L17" s="1332"/>
      <c r="M17" s="1332"/>
      <c r="N17" s="1332"/>
      <c r="O17" s="1332"/>
      <c r="P17" s="1332"/>
      <c r="Q17" s="1332"/>
      <c r="R17" s="1332"/>
      <c r="S17" s="1332"/>
      <c r="T17" s="1332"/>
      <c r="U17" s="1332"/>
      <c r="V17" s="1332"/>
      <c r="W17" s="1332"/>
      <c r="X17" s="1332"/>
    </row>
    <row r="18">
      <c r="A18" s="1396" t="s">
        <v>1242</v>
      </c>
      <c r="B18" s="1396" t="s">
        <v>1244</v>
      </c>
      <c r="C18" s="1397" t="str">
        <f>IFERROR(__xludf.DUMMYFUNCTION("GOOGLEFINANCE($B18,""name"")"),"Vanguard Total Bond Market Index Fund ETF")</f>
        <v>Vanguard Total Bond Market Index Fund ETF</v>
      </c>
      <c r="D18" s="1397" t="s">
        <v>1220</v>
      </c>
      <c r="E18" s="1398" t="str">
        <f t="shared" si="1"/>
        <v>HSA Bank - BND</v>
      </c>
      <c r="F18" s="1399">
        <v>20.0</v>
      </c>
      <c r="G18" s="1400">
        <f>IFERROR(__xludf.DUMMYFUNCTION("GOOGLEFINANCE($B18,""price"")"),72.65)</f>
        <v>72.65</v>
      </c>
      <c r="H18" s="1401">
        <f t="shared" si="2"/>
        <v>1453</v>
      </c>
      <c r="I18" s="1358" t="str">
        <f>'Copy of Holdings 1'!HoldingValue/'Copy of Holdings 1'!TotalValue</f>
        <v>#N/A</v>
      </c>
      <c r="J18" s="1407">
        <v>0.08</v>
      </c>
      <c r="K18" s="1403" t="str">
        <f>$J18*'Copy of Holdings 1'!PortfolioPercent</f>
        <v>#N/A</v>
      </c>
      <c r="L18" s="1332"/>
      <c r="M18" s="1332"/>
      <c r="N18" s="1332"/>
      <c r="O18" s="1332"/>
      <c r="P18" s="1332"/>
      <c r="Q18" s="1332"/>
      <c r="R18" s="1332"/>
      <c r="S18" s="1332"/>
      <c r="T18" s="1332"/>
      <c r="U18" s="1332"/>
      <c r="V18" s="1332"/>
      <c r="W18" s="1332"/>
      <c r="X18" s="1332"/>
    </row>
    <row r="19">
      <c r="A19" s="1396" t="s">
        <v>1242</v>
      </c>
      <c r="B19" s="1396" t="s">
        <v>1245</v>
      </c>
      <c r="C19" s="1397" t="str">
        <f>IFERROR(__xludf.DUMMYFUNCTION("GOOGLEFINANCE($B19,""name"")"),"Vanguard Real Estate Index Fund ETF")</f>
        <v>Vanguard Real Estate Index Fund ETF</v>
      </c>
      <c r="D19" s="1397" t="s">
        <v>1219</v>
      </c>
      <c r="E19" s="1398" t="str">
        <f t="shared" si="1"/>
        <v>HSA Bank - VNQ</v>
      </c>
      <c r="F19" s="1399">
        <v>25.0</v>
      </c>
      <c r="G19" s="1400">
        <f>IFERROR(__xludf.DUMMYFUNCTION("GOOGLEFINANCE($B19,""price"")"),86.84)</f>
        <v>86.84</v>
      </c>
      <c r="H19" s="1401">
        <f t="shared" si="2"/>
        <v>2171</v>
      </c>
      <c r="I19" s="1358" t="str">
        <f>'Copy of Holdings 1'!HoldingValue/'Copy of Holdings 1'!TotalValue</f>
        <v>#N/A</v>
      </c>
      <c r="J19" s="1407">
        <v>0.1</v>
      </c>
      <c r="K19" s="1403" t="str">
        <f>$J19*'Copy of Holdings 1'!PortfolioPercent</f>
        <v>#N/A</v>
      </c>
      <c r="L19" s="1332"/>
      <c r="M19" s="1332"/>
      <c r="N19" s="1332"/>
      <c r="O19" s="1332"/>
      <c r="P19" s="1332"/>
      <c r="Q19" s="1332"/>
      <c r="R19" s="1332"/>
      <c r="S19" s="1332"/>
      <c r="T19" s="1332"/>
      <c r="U19" s="1332"/>
      <c r="V19" s="1332"/>
      <c r="W19" s="1332"/>
      <c r="X19" s="1332"/>
    </row>
    <row r="20">
      <c r="A20" s="1396" t="s">
        <v>1242</v>
      </c>
      <c r="B20" s="1396" t="s">
        <v>1246</v>
      </c>
      <c r="C20" s="1397" t="str">
        <f>IFERROR(__xludf.DUMMYFUNCTION("GOOGLEFINANCE($B20,""name"")"),"#N/A")</f>
        <v>#N/A</v>
      </c>
      <c r="D20" s="1397" t="s">
        <v>1168</v>
      </c>
      <c r="E20" s="1398" t="str">
        <f t="shared" si="1"/>
        <v>HSA Bank - TDAXX</v>
      </c>
      <c r="F20" s="1399">
        <v>30.0</v>
      </c>
      <c r="G20" s="1400" t="str">
        <f>IFERROR(__xludf.DUMMYFUNCTION("GOOGLEFINANCE($B20,""price"")"),"#N/A")</f>
        <v>#N/A</v>
      </c>
      <c r="H20" s="1408" t="str">
        <f t="shared" si="2"/>
        <v>#N/A</v>
      </c>
      <c r="I20" s="1358" t="str">
        <f>'Copy of Holdings 1'!HoldingValue/'Copy of Holdings 1'!TotalValue</f>
        <v>#N/A</v>
      </c>
      <c r="J20" s="1409" t="str">
        <f>IFERROR(__xludf.DUMMYFUNCTION("IFERROR(GOOGLEFINANCE($B20,""expenseratio""),"""")"),"")</f>
        <v/>
      </c>
      <c r="K20" s="1403" t="str">
        <f>$J20*'Copy of Holdings 1'!PortfolioPercent</f>
        <v>#N/A</v>
      </c>
      <c r="L20" s="1332"/>
      <c r="M20" s="1332"/>
      <c r="N20" s="1332"/>
      <c r="O20" s="1332"/>
      <c r="P20" s="1332"/>
      <c r="Q20" s="1332"/>
      <c r="R20" s="1332"/>
      <c r="S20" s="1332"/>
      <c r="T20" s="1332"/>
      <c r="U20" s="1332"/>
      <c r="V20" s="1332"/>
      <c r="W20" s="1332"/>
      <c r="X20" s="1332"/>
    </row>
    <row r="21">
      <c r="C21" s="110"/>
      <c r="D21" s="110"/>
      <c r="E21" s="110"/>
      <c r="F21" s="1410"/>
      <c r="H21" s="1411" t="str">
        <f>SUM('Copy of Holdings 1'!HoldingValue)</f>
        <v>#N/A</v>
      </c>
      <c r="I21" s="1412"/>
      <c r="J21" s="1413"/>
      <c r="K21" s="1414" t="str">
        <f>SUM(K3:K20)</f>
        <v>#N/A</v>
      </c>
    </row>
    <row r="22">
      <c r="C22" s="108"/>
      <c r="D22" s="110"/>
      <c r="E22" s="110"/>
      <c r="F22" s="1410"/>
      <c r="H22" s="1053"/>
      <c r="I22" s="1412"/>
      <c r="J22" s="1413"/>
      <c r="K22" s="1415"/>
    </row>
    <row r="23">
      <c r="C23" s="110"/>
      <c r="D23" s="110"/>
      <c r="E23" s="110"/>
      <c r="F23" s="1410"/>
      <c r="H23" s="1053"/>
      <c r="I23" s="1412"/>
      <c r="J23" s="1413"/>
      <c r="K23" s="1415"/>
    </row>
    <row r="24">
      <c r="C24" s="110"/>
      <c r="D24" s="110"/>
      <c r="E24" s="110"/>
      <c r="F24" s="1410"/>
      <c r="H24" s="1053"/>
      <c r="I24" s="1412"/>
      <c r="J24" s="1413"/>
      <c r="K24" s="1415"/>
    </row>
    <row r="25">
      <c r="C25" s="110"/>
      <c r="D25" s="110"/>
      <c r="E25" s="110"/>
      <c r="F25" s="1410"/>
      <c r="H25" s="1053"/>
      <c r="I25" s="1412"/>
      <c r="J25" s="1413"/>
      <c r="K25" s="1415"/>
    </row>
    <row r="26">
      <c r="C26" s="110"/>
      <c r="D26" s="110"/>
      <c r="E26" s="110"/>
      <c r="F26" s="1410"/>
      <c r="H26" s="1053"/>
      <c r="I26" s="1412"/>
      <c r="J26" s="1413"/>
      <c r="K26" s="1415"/>
    </row>
    <row r="27">
      <c r="C27" s="110"/>
      <c r="D27" s="110"/>
      <c r="E27" s="110"/>
      <c r="F27" s="1410"/>
      <c r="H27" s="1053"/>
      <c r="I27" s="1412"/>
      <c r="J27" s="1413"/>
      <c r="K27" s="1415"/>
    </row>
    <row r="28">
      <c r="C28" s="110"/>
      <c r="D28" s="110"/>
      <c r="E28" s="110"/>
      <c r="F28" s="1410"/>
      <c r="H28" s="1053"/>
      <c r="I28" s="1412"/>
      <c r="J28" s="1413"/>
      <c r="K28" s="1415"/>
    </row>
    <row r="29">
      <c r="C29" s="110"/>
      <c r="D29" s="110"/>
      <c r="E29" s="110"/>
      <c r="F29" s="1410"/>
      <c r="H29" s="1053"/>
      <c r="I29" s="1412"/>
      <c r="J29" s="1413"/>
      <c r="K29" s="1415"/>
    </row>
    <row r="30">
      <c r="F30" s="1410"/>
      <c r="H30" s="1053"/>
      <c r="I30" s="1412"/>
      <c r="J30" s="1413"/>
      <c r="K30" s="1415"/>
    </row>
    <row r="31">
      <c r="F31" s="1410"/>
      <c r="H31" s="1053"/>
      <c r="I31" s="1412"/>
      <c r="J31" s="1413"/>
      <c r="K31" s="1415"/>
    </row>
    <row r="32">
      <c r="F32" s="1410"/>
      <c r="H32" s="1053"/>
      <c r="I32" s="1412"/>
      <c r="J32" s="1413"/>
      <c r="K32" s="1415"/>
    </row>
    <row r="33">
      <c r="F33" s="1410"/>
      <c r="H33" s="1053"/>
      <c r="I33" s="1412"/>
      <c r="J33" s="1413"/>
      <c r="K33" s="1415"/>
    </row>
    <row r="34">
      <c r="F34" s="1410"/>
      <c r="H34" s="1053"/>
      <c r="I34" s="1412"/>
      <c r="J34" s="1413"/>
      <c r="K34" s="1415"/>
    </row>
    <row r="35">
      <c r="F35" s="1410"/>
      <c r="H35" s="1053"/>
      <c r="I35" s="1412"/>
      <c r="J35" s="1413"/>
      <c r="K35" s="1415"/>
    </row>
    <row r="36">
      <c r="F36" s="1410"/>
      <c r="H36" s="1053"/>
      <c r="I36" s="1412"/>
      <c r="J36" s="1413"/>
      <c r="K36" s="1415"/>
    </row>
    <row r="37">
      <c r="F37" s="1410"/>
      <c r="H37" s="1053"/>
      <c r="I37" s="1412"/>
      <c r="J37" s="1413"/>
      <c r="K37" s="1415"/>
    </row>
    <row r="38">
      <c r="F38" s="1410"/>
      <c r="H38" s="1053"/>
      <c r="I38" s="1412"/>
      <c r="J38" s="1413"/>
      <c r="K38" s="1415"/>
    </row>
    <row r="39">
      <c r="F39" s="1410"/>
      <c r="H39" s="1053"/>
      <c r="I39" s="1412"/>
      <c r="J39" s="1413"/>
      <c r="K39" s="1415"/>
    </row>
    <row r="40">
      <c r="F40" s="1410"/>
      <c r="H40" s="1053"/>
      <c r="I40" s="1412"/>
      <c r="J40" s="1413"/>
      <c r="K40" s="1415"/>
    </row>
    <row r="41">
      <c r="F41" s="1410"/>
      <c r="H41" s="1053"/>
      <c r="I41" s="1412"/>
      <c r="J41" s="1413"/>
      <c r="K41" s="1415"/>
    </row>
    <row r="42">
      <c r="F42" s="1410"/>
      <c r="H42" s="1053"/>
      <c r="I42" s="1412"/>
      <c r="J42" s="1413"/>
      <c r="K42" s="1415"/>
    </row>
    <row r="43">
      <c r="F43" s="1410"/>
      <c r="H43" s="1053"/>
      <c r="I43" s="1412"/>
      <c r="J43" s="1413"/>
      <c r="K43" s="1415"/>
    </row>
    <row r="44">
      <c r="F44" s="1410"/>
      <c r="H44" s="1053"/>
      <c r="I44" s="1412"/>
      <c r="J44" s="1413"/>
      <c r="K44" s="1415"/>
    </row>
    <row r="45">
      <c r="F45" s="1410"/>
      <c r="H45" s="1053"/>
      <c r="I45" s="1412"/>
      <c r="J45" s="1413"/>
      <c r="K45" s="1415"/>
    </row>
    <row r="46">
      <c r="F46" s="1410"/>
      <c r="H46" s="1053"/>
      <c r="I46" s="1412"/>
      <c r="J46" s="1413"/>
      <c r="K46" s="1415"/>
    </row>
    <row r="47">
      <c r="F47" s="1410"/>
      <c r="H47" s="1053"/>
      <c r="I47" s="1412"/>
      <c r="J47" s="1413"/>
      <c r="K47" s="1415"/>
    </row>
    <row r="48">
      <c r="F48" s="1410"/>
      <c r="H48" s="1053"/>
      <c r="I48" s="1412"/>
      <c r="J48" s="1413"/>
      <c r="K48" s="1415"/>
    </row>
    <row r="49">
      <c r="F49" s="1410"/>
      <c r="H49" s="1053"/>
      <c r="I49" s="1412"/>
      <c r="J49" s="1413"/>
      <c r="K49" s="1415"/>
    </row>
    <row r="50">
      <c r="F50" s="1410"/>
      <c r="H50" s="1053"/>
      <c r="I50" s="1412"/>
      <c r="J50" s="1413"/>
      <c r="K50" s="1415"/>
    </row>
    <row r="51">
      <c r="F51" s="1410"/>
      <c r="H51" s="1053"/>
      <c r="I51" s="1412"/>
      <c r="J51" s="1413"/>
      <c r="K51" s="1415"/>
    </row>
    <row r="52">
      <c r="F52" s="1410"/>
      <c r="H52" s="1053"/>
      <c r="I52" s="1412"/>
      <c r="J52" s="1413"/>
      <c r="K52" s="1415"/>
    </row>
    <row r="53">
      <c r="F53" s="1410"/>
      <c r="H53" s="1053"/>
      <c r="I53" s="1412"/>
      <c r="J53" s="1413"/>
      <c r="K53" s="1415"/>
    </row>
    <row r="54">
      <c r="F54" s="1410"/>
      <c r="H54" s="1053"/>
      <c r="I54" s="1412"/>
      <c r="J54" s="1413"/>
      <c r="K54" s="1415"/>
    </row>
    <row r="55">
      <c r="F55" s="1410"/>
      <c r="H55" s="1053"/>
      <c r="I55" s="1412"/>
      <c r="J55" s="1413"/>
      <c r="K55" s="1415"/>
    </row>
    <row r="56">
      <c r="F56" s="1410"/>
      <c r="H56" s="1053"/>
      <c r="I56" s="1412"/>
      <c r="J56" s="1413"/>
      <c r="K56" s="1415"/>
    </row>
    <row r="57">
      <c r="F57" s="1410"/>
      <c r="H57" s="1053"/>
      <c r="I57" s="1412"/>
      <c r="J57" s="1413"/>
      <c r="K57" s="1415"/>
    </row>
    <row r="58">
      <c r="F58" s="1410"/>
      <c r="H58" s="1053"/>
      <c r="I58" s="1412"/>
      <c r="J58" s="1413"/>
      <c r="K58" s="1415"/>
    </row>
    <row r="59">
      <c r="F59" s="1410"/>
      <c r="H59" s="1053"/>
      <c r="I59" s="1412"/>
      <c r="J59" s="1413"/>
      <c r="K59" s="1415"/>
    </row>
    <row r="60">
      <c r="F60" s="1410"/>
      <c r="H60" s="1053"/>
      <c r="I60" s="1412"/>
      <c r="J60" s="1413"/>
      <c r="K60" s="1415"/>
    </row>
    <row r="61">
      <c r="F61" s="1410"/>
      <c r="H61" s="1053"/>
      <c r="I61" s="1412"/>
      <c r="J61" s="1413"/>
      <c r="K61" s="1415"/>
    </row>
    <row r="62">
      <c r="F62" s="1410"/>
      <c r="H62" s="1053"/>
      <c r="I62" s="1412"/>
      <c r="J62" s="1413"/>
      <c r="K62" s="1415"/>
    </row>
    <row r="63">
      <c r="F63" s="1410"/>
      <c r="H63" s="1053"/>
      <c r="I63" s="1412"/>
      <c r="J63" s="1413"/>
      <c r="K63" s="1415"/>
    </row>
    <row r="64">
      <c r="F64" s="1410"/>
      <c r="H64" s="1053"/>
      <c r="I64" s="1412"/>
      <c r="J64" s="1413"/>
      <c r="K64" s="1415"/>
    </row>
    <row r="65">
      <c r="F65" s="1410"/>
      <c r="H65" s="1053"/>
      <c r="I65" s="1412"/>
      <c r="J65" s="1413"/>
      <c r="K65" s="1415"/>
    </row>
    <row r="66">
      <c r="F66" s="1410"/>
      <c r="H66" s="1053"/>
      <c r="I66" s="1412"/>
      <c r="J66" s="1413"/>
      <c r="K66" s="1415"/>
    </row>
    <row r="67">
      <c r="F67" s="1410"/>
      <c r="H67" s="1053"/>
      <c r="I67" s="1412"/>
      <c r="J67" s="1413"/>
      <c r="K67" s="1415"/>
    </row>
    <row r="68">
      <c r="F68" s="1410"/>
      <c r="H68" s="1053"/>
      <c r="I68" s="1412"/>
      <c r="J68" s="1413"/>
      <c r="K68" s="1415"/>
    </row>
    <row r="69">
      <c r="F69" s="1410"/>
      <c r="H69" s="1053"/>
      <c r="I69" s="1412"/>
      <c r="J69" s="1413"/>
      <c r="K69" s="1415"/>
    </row>
    <row r="70">
      <c r="F70" s="1410"/>
      <c r="H70" s="1053"/>
      <c r="I70" s="1412"/>
      <c r="J70" s="1413"/>
      <c r="K70" s="1415"/>
    </row>
    <row r="71">
      <c r="F71" s="1410"/>
      <c r="H71" s="1053"/>
      <c r="I71" s="1412"/>
      <c r="J71" s="1413"/>
      <c r="K71" s="1415"/>
    </row>
    <row r="72">
      <c r="F72" s="1410"/>
      <c r="H72" s="1053"/>
      <c r="I72" s="1412"/>
      <c r="J72" s="1413"/>
      <c r="K72" s="1415"/>
    </row>
    <row r="73">
      <c r="F73" s="1410"/>
      <c r="H73" s="1053"/>
      <c r="I73" s="1412"/>
      <c r="J73" s="1413"/>
      <c r="K73" s="1415"/>
    </row>
    <row r="74">
      <c r="F74" s="1410"/>
      <c r="H74" s="1053"/>
      <c r="I74" s="1412"/>
      <c r="J74" s="1413"/>
      <c r="K74" s="1415"/>
    </row>
    <row r="75">
      <c r="F75" s="1410"/>
      <c r="H75" s="1053"/>
      <c r="I75" s="1412"/>
      <c r="J75" s="1413"/>
      <c r="K75" s="1415"/>
    </row>
    <row r="76">
      <c r="F76" s="1410"/>
      <c r="H76" s="1053"/>
      <c r="I76" s="1412"/>
      <c r="J76" s="1413"/>
      <c r="K76" s="1415"/>
    </row>
    <row r="77">
      <c r="F77" s="1410"/>
      <c r="H77" s="1053"/>
      <c r="I77" s="1412"/>
      <c r="J77" s="1413"/>
      <c r="K77" s="1415"/>
    </row>
    <row r="78">
      <c r="F78" s="1410"/>
      <c r="H78" s="1053"/>
      <c r="I78" s="1412"/>
      <c r="J78" s="1413"/>
      <c r="K78" s="1415"/>
    </row>
    <row r="79">
      <c r="F79" s="1410"/>
      <c r="H79" s="1053"/>
      <c r="I79" s="1412"/>
      <c r="J79" s="1413"/>
      <c r="K79" s="1415"/>
    </row>
    <row r="80">
      <c r="F80" s="1410"/>
      <c r="H80" s="1053"/>
      <c r="I80" s="1412"/>
      <c r="J80" s="1413"/>
      <c r="K80" s="1415"/>
    </row>
    <row r="81">
      <c r="F81" s="1410"/>
      <c r="H81" s="1053"/>
      <c r="I81" s="1412"/>
      <c r="J81" s="1413"/>
      <c r="K81" s="1415"/>
    </row>
    <row r="82">
      <c r="F82" s="1410"/>
      <c r="H82" s="1053"/>
      <c r="I82" s="1412"/>
      <c r="J82" s="1413"/>
      <c r="K82" s="1415"/>
    </row>
    <row r="83">
      <c r="F83" s="1410"/>
      <c r="H83" s="1053"/>
      <c r="I83" s="1412"/>
      <c r="J83" s="1413"/>
      <c r="K83" s="1415"/>
    </row>
    <row r="84">
      <c r="F84" s="1410"/>
      <c r="H84" s="1053"/>
      <c r="I84" s="1412"/>
      <c r="J84" s="1413"/>
      <c r="K84" s="1415"/>
    </row>
    <row r="85">
      <c r="F85" s="1410"/>
      <c r="H85" s="1053"/>
      <c r="I85" s="1412"/>
      <c r="J85" s="1413"/>
      <c r="K85" s="1415"/>
    </row>
    <row r="86">
      <c r="F86" s="1410"/>
      <c r="H86" s="1053"/>
      <c r="I86" s="1412"/>
      <c r="J86" s="1413"/>
      <c r="K86" s="1415"/>
    </row>
    <row r="87">
      <c r="F87" s="1410"/>
      <c r="H87" s="1053"/>
      <c r="I87" s="1412"/>
      <c r="J87" s="1413"/>
      <c r="K87" s="1415"/>
    </row>
    <row r="88">
      <c r="F88" s="1410"/>
      <c r="H88" s="1053"/>
      <c r="I88" s="1412"/>
      <c r="J88" s="1413"/>
      <c r="K88" s="1415"/>
    </row>
    <row r="89">
      <c r="F89" s="1410"/>
      <c r="H89" s="1053"/>
      <c r="I89" s="1412"/>
      <c r="J89" s="1413"/>
      <c r="K89" s="1415"/>
    </row>
    <row r="90">
      <c r="F90" s="1410"/>
      <c r="H90" s="1053"/>
      <c r="I90" s="1412"/>
      <c r="J90" s="1413"/>
      <c r="K90" s="1415"/>
    </row>
    <row r="91">
      <c r="F91" s="1410"/>
      <c r="H91" s="1053"/>
      <c r="I91" s="1412"/>
      <c r="J91" s="1413"/>
      <c r="K91" s="1415"/>
    </row>
    <row r="92">
      <c r="F92" s="1410"/>
      <c r="H92" s="1053"/>
      <c r="I92" s="1412"/>
      <c r="J92" s="1413"/>
      <c r="K92" s="1415"/>
    </row>
    <row r="93">
      <c r="F93" s="1410"/>
      <c r="H93" s="1053"/>
      <c r="I93" s="1412"/>
      <c r="J93" s="1413"/>
      <c r="K93" s="1415"/>
    </row>
    <row r="94">
      <c r="F94" s="1410"/>
      <c r="H94" s="1053"/>
      <c r="I94" s="1412"/>
      <c r="J94" s="1413"/>
      <c r="K94" s="1415"/>
    </row>
    <row r="95">
      <c r="F95" s="1410"/>
      <c r="H95" s="1053"/>
      <c r="I95" s="1412"/>
      <c r="J95" s="1413"/>
      <c r="K95" s="1415"/>
    </row>
    <row r="96">
      <c r="F96" s="1410"/>
      <c r="H96" s="1053"/>
      <c r="I96" s="1412"/>
      <c r="J96" s="1413"/>
      <c r="K96" s="1415"/>
    </row>
    <row r="97">
      <c r="F97" s="1410"/>
      <c r="H97" s="1053"/>
      <c r="I97" s="1412"/>
      <c r="J97" s="1413"/>
      <c r="K97" s="1415"/>
    </row>
    <row r="98">
      <c r="F98" s="1410"/>
      <c r="H98" s="1053"/>
      <c r="I98" s="1412"/>
      <c r="J98" s="1413"/>
      <c r="K98" s="1415"/>
    </row>
    <row r="99">
      <c r="F99" s="1410"/>
      <c r="H99" s="1053"/>
      <c r="I99" s="1412"/>
      <c r="J99" s="1413"/>
      <c r="K99" s="1415"/>
    </row>
    <row r="100">
      <c r="F100" s="1410"/>
      <c r="H100" s="1053"/>
      <c r="I100" s="1412"/>
      <c r="J100" s="1413"/>
      <c r="K100" s="1415"/>
    </row>
    <row r="101">
      <c r="F101" s="1410"/>
      <c r="H101" s="1053"/>
      <c r="I101" s="1412"/>
      <c r="J101" s="1413"/>
      <c r="K101" s="1415"/>
    </row>
    <row r="102">
      <c r="F102" s="1410"/>
      <c r="H102" s="1053"/>
      <c r="I102" s="1412"/>
      <c r="J102" s="1413"/>
      <c r="K102" s="1415"/>
    </row>
    <row r="103">
      <c r="F103" s="1410"/>
      <c r="H103" s="1053"/>
      <c r="I103" s="1412"/>
      <c r="J103" s="1413"/>
      <c r="K103" s="1415"/>
    </row>
    <row r="104">
      <c r="F104" s="1410"/>
      <c r="H104" s="1053"/>
      <c r="I104" s="1412"/>
      <c r="J104" s="1413"/>
      <c r="K104" s="1415"/>
    </row>
    <row r="105">
      <c r="F105" s="1410"/>
      <c r="H105" s="1053"/>
      <c r="I105" s="1412"/>
      <c r="J105" s="1413"/>
      <c r="K105" s="1415"/>
    </row>
    <row r="106">
      <c r="F106" s="1410"/>
      <c r="H106" s="1053"/>
      <c r="I106" s="1412"/>
      <c r="J106" s="1413"/>
      <c r="K106" s="1415"/>
    </row>
    <row r="107">
      <c r="F107" s="1410"/>
      <c r="H107" s="1053"/>
      <c r="I107" s="1412"/>
      <c r="J107" s="1413"/>
      <c r="K107" s="1415"/>
    </row>
    <row r="108">
      <c r="F108" s="1410"/>
      <c r="H108" s="1053"/>
      <c r="I108" s="1412"/>
      <c r="J108" s="1413"/>
      <c r="K108" s="1415"/>
    </row>
    <row r="109">
      <c r="F109" s="1410"/>
      <c r="H109" s="1053"/>
      <c r="I109" s="1412"/>
      <c r="J109" s="1413"/>
      <c r="K109" s="1415"/>
    </row>
    <row r="110">
      <c r="F110" s="1410"/>
      <c r="H110" s="1053"/>
      <c r="I110" s="1412"/>
      <c r="J110" s="1413"/>
      <c r="K110" s="1415"/>
    </row>
    <row r="111">
      <c r="F111" s="1410"/>
      <c r="H111" s="1053"/>
      <c r="I111" s="1412"/>
      <c r="J111" s="1413"/>
      <c r="K111" s="1415"/>
    </row>
    <row r="112">
      <c r="F112" s="1410"/>
      <c r="H112" s="1053"/>
      <c r="I112" s="1412"/>
      <c r="J112" s="1413"/>
      <c r="K112" s="1415"/>
    </row>
    <row r="113">
      <c r="F113" s="1410"/>
      <c r="H113" s="1053"/>
      <c r="I113" s="1412"/>
      <c r="J113" s="1413"/>
      <c r="K113" s="1415"/>
    </row>
    <row r="114">
      <c r="F114" s="1410"/>
      <c r="H114" s="1053"/>
      <c r="I114" s="1412"/>
      <c r="J114" s="1413"/>
      <c r="K114" s="1415"/>
    </row>
    <row r="115">
      <c r="F115" s="1410"/>
      <c r="H115" s="1053"/>
      <c r="I115" s="1412"/>
      <c r="J115" s="1413"/>
      <c r="K115" s="1415"/>
    </row>
    <row r="116">
      <c r="F116" s="1410"/>
      <c r="H116" s="1053"/>
      <c r="I116" s="1412"/>
      <c r="J116" s="1413"/>
      <c r="K116" s="1415"/>
    </row>
    <row r="117">
      <c r="F117" s="1410"/>
      <c r="H117" s="1053"/>
      <c r="I117" s="1412"/>
      <c r="J117" s="1413"/>
      <c r="K117" s="1415"/>
    </row>
    <row r="118">
      <c r="F118" s="1410"/>
      <c r="H118" s="1053"/>
      <c r="I118" s="1412"/>
      <c r="J118" s="1413"/>
      <c r="K118" s="1415"/>
    </row>
    <row r="119">
      <c r="F119" s="1410"/>
      <c r="H119" s="1053"/>
      <c r="I119" s="1412"/>
      <c r="J119" s="1413"/>
      <c r="K119" s="1415"/>
    </row>
    <row r="120">
      <c r="F120" s="1410"/>
      <c r="H120" s="1053"/>
      <c r="I120" s="1412"/>
      <c r="J120" s="1413"/>
      <c r="K120" s="1415"/>
    </row>
    <row r="121">
      <c r="F121" s="1410"/>
      <c r="H121" s="1053"/>
      <c r="I121" s="1412"/>
      <c r="J121" s="1413"/>
      <c r="K121" s="1415"/>
    </row>
    <row r="122">
      <c r="F122" s="1410"/>
      <c r="H122" s="1053"/>
      <c r="I122" s="1412"/>
      <c r="J122" s="1413"/>
      <c r="K122" s="1415"/>
    </row>
    <row r="123">
      <c r="F123" s="1410"/>
      <c r="H123" s="1053"/>
      <c r="I123" s="1412"/>
      <c r="J123" s="1413"/>
      <c r="K123" s="1415"/>
    </row>
    <row r="124">
      <c r="F124" s="1410"/>
      <c r="H124" s="1053"/>
      <c r="I124" s="1412"/>
      <c r="J124" s="1413"/>
      <c r="K124" s="1415"/>
    </row>
    <row r="125">
      <c r="F125" s="1410"/>
      <c r="H125" s="1053"/>
      <c r="I125" s="1412"/>
      <c r="J125" s="1413"/>
      <c r="K125" s="1415"/>
    </row>
    <row r="126">
      <c r="F126" s="1410"/>
      <c r="H126" s="1053"/>
      <c r="I126" s="1412"/>
      <c r="J126" s="1413"/>
      <c r="K126" s="1415"/>
    </row>
    <row r="127">
      <c r="F127" s="1410"/>
      <c r="H127" s="1053"/>
      <c r="I127" s="1412"/>
      <c r="J127" s="1413"/>
      <c r="K127" s="1415"/>
    </row>
    <row r="128">
      <c r="F128" s="1410"/>
      <c r="H128" s="1053"/>
      <c r="I128" s="1412"/>
      <c r="J128" s="1413"/>
      <c r="K128" s="1415"/>
    </row>
    <row r="129">
      <c r="F129" s="1410"/>
      <c r="H129" s="1053"/>
      <c r="I129" s="1412"/>
      <c r="J129" s="1413"/>
      <c r="K129" s="1415"/>
    </row>
    <row r="130">
      <c r="F130" s="1410"/>
      <c r="H130" s="1053"/>
      <c r="I130" s="1412"/>
      <c r="J130" s="1413"/>
      <c r="K130" s="1415"/>
    </row>
    <row r="131">
      <c r="F131" s="1410"/>
      <c r="H131" s="1053"/>
      <c r="I131" s="1412"/>
      <c r="J131" s="1413"/>
      <c r="K131" s="1415"/>
    </row>
    <row r="132">
      <c r="F132" s="1410"/>
      <c r="H132" s="1053"/>
      <c r="I132" s="1412"/>
      <c r="J132" s="1413"/>
      <c r="K132" s="1415"/>
    </row>
    <row r="133">
      <c r="F133" s="1410"/>
      <c r="H133" s="1053"/>
      <c r="I133" s="1412"/>
      <c r="J133" s="1413"/>
      <c r="K133" s="1415"/>
    </row>
    <row r="134">
      <c r="F134" s="1410"/>
      <c r="H134" s="1053"/>
      <c r="I134" s="1412"/>
      <c r="J134" s="1413"/>
      <c r="K134" s="1415"/>
    </row>
    <row r="135">
      <c r="F135" s="1410"/>
      <c r="H135" s="1053"/>
      <c r="I135" s="1412"/>
      <c r="J135" s="1413"/>
      <c r="K135" s="1415"/>
    </row>
    <row r="136">
      <c r="F136" s="1410"/>
      <c r="H136" s="1053"/>
      <c r="I136" s="1412"/>
      <c r="J136" s="1413"/>
      <c r="K136" s="1415"/>
    </row>
    <row r="137">
      <c r="F137" s="1410"/>
      <c r="H137" s="1053"/>
      <c r="I137" s="1412"/>
      <c r="J137" s="1413"/>
      <c r="K137" s="1415"/>
    </row>
    <row r="138">
      <c r="F138" s="1410"/>
      <c r="H138" s="1053"/>
      <c r="I138" s="1412"/>
      <c r="J138" s="1413"/>
      <c r="K138" s="1415"/>
    </row>
    <row r="139">
      <c r="F139" s="1410"/>
      <c r="H139" s="1053"/>
      <c r="I139" s="1412"/>
      <c r="J139" s="1413"/>
      <c r="K139" s="1415"/>
    </row>
    <row r="140">
      <c r="F140" s="1410"/>
      <c r="H140" s="1053"/>
      <c r="I140" s="1412"/>
      <c r="J140" s="1413"/>
      <c r="K140" s="1415"/>
    </row>
    <row r="141">
      <c r="F141" s="1410"/>
      <c r="H141" s="1053"/>
      <c r="I141" s="1412"/>
      <c r="J141" s="1413"/>
      <c r="K141" s="1415"/>
    </row>
    <row r="142">
      <c r="F142" s="1410"/>
      <c r="H142" s="1053"/>
      <c r="I142" s="1412"/>
      <c r="J142" s="1413"/>
      <c r="K142" s="1415"/>
    </row>
    <row r="143">
      <c r="F143" s="1410"/>
      <c r="H143" s="1053"/>
      <c r="I143" s="1412"/>
      <c r="J143" s="1413"/>
      <c r="K143" s="1415"/>
    </row>
    <row r="144">
      <c r="F144" s="1410"/>
      <c r="H144" s="1053"/>
      <c r="I144" s="1412"/>
      <c r="J144" s="1413"/>
      <c r="K144" s="1415"/>
    </row>
    <row r="145">
      <c r="F145" s="1410"/>
      <c r="H145" s="1053"/>
      <c r="I145" s="1412"/>
      <c r="J145" s="1413"/>
      <c r="K145" s="1415"/>
    </row>
    <row r="146">
      <c r="F146" s="1410"/>
      <c r="H146" s="1053"/>
      <c r="I146" s="1412"/>
      <c r="J146" s="1413"/>
      <c r="K146" s="1415"/>
    </row>
    <row r="147">
      <c r="F147" s="1410"/>
      <c r="H147" s="1053"/>
      <c r="I147" s="1412"/>
      <c r="J147" s="1413"/>
      <c r="K147" s="1415"/>
    </row>
    <row r="148">
      <c r="F148" s="1410"/>
      <c r="H148" s="1053"/>
      <c r="I148" s="1412"/>
      <c r="J148" s="1413"/>
      <c r="K148" s="1415"/>
    </row>
    <row r="149">
      <c r="F149" s="1410"/>
      <c r="H149" s="1053"/>
      <c r="I149" s="1412"/>
      <c r="J149" s="1413"/>
      <c r="K149" s="1415"/>
    </row>
    <row r="150">
      <c r="F150" s="1410"/>
      <c r="H150" s="1053"/>
      <c r="I150" s="1412"/>
      <c r="J150" s="1413"/>
      <c r="K150" s="1415"/>
    </row>
    <row r="151">
      <c r="F151" s="1410"/>
      <c r="H151" s="1053"/>
      <c r="I151" s="1412"/>
      <c r="J151" s="1413"/>
      <c r="K151" s="1415"/>
    </row>
    <row r="152">
      <c r="F152" s="1410"/>
      <c r="H152" s="1053"/>
      <c r="I152" s="1412"/>
      <c r="J152" s="1413"/>
      <c r="K152" s="1415"/>
    </row>
    <row r="153">
      <c r="F153" s="1410"/>
      <c r="H153" s="1053"/>
      <c r="I153" s="1412"/>
      <c r="J153" s="1413"/>
      <c r="K153" s="1415"/>
    </row>
    <row r="154">
      <c r="F154" s="1410"/>
      <c r="H154" s="1053"/>
      <c r="I154" s="1412"/>
      <c r="J154" s="1413"/>
      <c r="K154" s="1415"/>
    </row>
    <row r="155">
      <c r="F155" s="1410"/>
      <c r="H155" s="1053"/>
      <c r="I155" s="1412"/>
      <c r="J155" s="1413"/>
      <c r="K155" s="1415"/>
    </row>
    <row r="156">
      <c r="F156" s="1410"/>
      <c r="H156" s="1053"/>
      <c r="I156" s="1412"/>
      <c r="J156" s="1413"/>
      <c r="K156" s="1415"/>
    </row>
    <row r="157">
      <c r="F157" s="1410"/>
      <c r="H157" s="1053"/>
      <c r="I157" s="1412"/>
      <c r="J157" s="1413"/>
      <c r="K157" s="1415"/>
    </row>
    <row r="158">
      <c r="F158" s="1410"/>
      <c r="H158" s="1053"/>
      <c r="I158" s="1412"/>
      <c r="J158" s="1413"/>
      <c r="K158" s="1415"/>
    </row>
    <row r="159">
      <c r="F159" s="1410"/>
      <c r="H159" s="1053"/>
      <c r="I159" s="1412"/>
      <c r="J159" s="1413"/>
      <c r="K159" s="1415"/>
    </row>
    <row r="160">
      <c r="F160" s="1410"/>
      <c r="H160" s="1053"/>
      <c r="I160" s="1412"/>
      <c r="J160" s="1413"/>
      <c r="K160" s="1415"/>
    </row>
    <row r="161">
      <c r="F161" s="1410"/>
      <c r="H161" s="1053"/>
      <c r="I161" s="1412"/>
      <c r="J161" s="1413"/>
      <c r="K161" s="1415"/>
    </row>
    <row r="162">
      <c r="F162" s="1410"/>
      <c r="H162" s="1053"/>
      <c r="I162" s="1412"/>
      <c r="J162" s="1413"/>
      <c r="K162" s="1415"/>
    </row>
    <row r="163">
      <c r="F163" s="1410"/>
      <c r="H163" s="1053"/>
      <c r="I163" s="1412"/>
      <c r="J163" s="1413"/>
      <c r="K163" s="1415"/>
    </row>
    <row r="164">
      <c r="F164" s="1410"/>
      <c r="H164" s="1053"/>
      <c r="I164" s="1412"/>
      <c r="J164" s="1413"/>
      <c r="K164" s="1415"/>
    </row>
    <row r="165">
      <c r="F165" s="1410"/>
      <c r="H165" s="1053"/>
      <c r="I165" s="1412"/>
      <c r="J165" s="1413"/>
      <c r="K165" s="1415"/>
    </row>
    <row r="166">
      <c r="F166" s="1410"/>
      <c r="H166" s="1053"/>
      <c r="I166" s="1412"/>
      <c r="J166" s="1413"/>
      <c r="K166" s="1415"/>
    </row>
    <row r="167">
      <c r="F167" s="1410"/>
      <c r="H167" s="1053"/>
      <c r="I167" s="1412"/>
      <c r="J167" s="1413"/>
      <c r="K167" s="1415"/>
    </row>
    <row r="168">
      <c r="F168" s="1410"/>
      <c r="H168" s="1053"/>
      <c r="I168" s="1412"/>
      <c r="J168" s="1413"/>
      <c r="K168" s="1415"/>
    </row>
    <row r="169">
      <c r="F169" s="1410"/>
      <c r="H169" s="1053"/>
      <c r="I169" s="1412"/>
      <c r="J169" s="1413"/>
      <c r="K169" s="1415"/>
    </row>
    <row r="170">
      <c r="F170" s="1410"/>
      <c r="H170" s="1053"/>
      <c r="I170" s="1412"/>
      <c r="J170" s="1413"/>
      <c r="K170" s="1415"/>
    </row>
    <row r="171">
      <c r="F171" s="1410"/>
      <c r="H171" s="1053"/>
      <c r="I171" s="1412"/>
      <c r="J171" s="1413"/>
      <c r="K171" s="1415"/>
    </row>
    <row r="172">
      <c r="F172" s="1410"/>
      <c r="H172" s="1053"/>
      <c r="I172" s="1412"/>
      <c r="J172" s="1413"/>
      <c r="K172" s="1415"/>
    </row>
    <row r="173">
      <c r="F173" s="1410"/>
      <c r="H173" s="1053"/>
      <c r="I173" s="1412"/>
      <c r="J173" s="1413"/>
      <c r="K173" s="1415"/>
    </row>
    <row r="174">
      <c r="F174" s="1410"/>
      <c r="H174" s="1053"/>
      <c r="I174" s="1412"/>
      <c r="J174" s="1413"/>
      <c r="K174" s="1415"/>
    </row>
    <row r="175">
      <c r="F175" s="1410"/>
      <c r="H175" s="1053"/>
      <c r="I175" s="1412"/>
      <c r="J175" s="1413"/>
      <c r="K175" s="1415"/>
    </row>
    <row r="176">
      <c r="F176" s="1410"/>
      <c r="H176" s="1053"/>
      <c r="I176" s="1412"/>
      <c r="J176" s="1413"/>
      <c r="K176" s="1415"/>
    </row>
    <row r="177">
      <c r="F177" s="1410"/>
      <c r="H177" s="1053"/>
      <c r="I177" s="1412"/>
      <c r="J177" s="1413"/>
      <c r="K177" s="1415"/>
    </row>
    <row r="178">
      <c r="F178" s="1410"/>
      <c r="H178" s="1053"/>
      <c r="I178" s="1412"/>
      <c r="J178" s="1413"/>
      <c r="K178" s="1415"/>
    </row>
    <row r="179">
      <c r="F179" s="1410"/>
      <c r="H179" s="1053"/>
      <c r="I179" s="1412"/>
      <c r="J179" s="1413"/>
      <c r="K179" s="1415"/>
    </row>
    <row r="180">
      <c r="F180" s="1410"/>
      <c r="H180" s="1053"/>
      <c r="I180" s="1412"/>
      <c r="J180" s="1413"/>
      <c r="K180" s="1415"/>
    </row>
    <row r="181">
      <c r="F181" s="1410"/>
      <c r="H181" s="1053"/>
      <c r="I181" s="1412"/>
      <c r="J181" s="1413"/>
      <c r="K181" s="1415"/>
    </row>
    <row r="182">
      <c r="F182" s="1410"/>
      <c r="H182" s="1053"/>
      <c r="I182" s="1412"/>
      <c r="J182" s="1413"/>
      <c r="K182" s="1415"/>
    </row>
    <row r="183">
      <c r="F183" s="1410"/>
      <c r="H183" s="1053"/>
      <c r="I183" s="1412"/>
      <c r="J183" s="1413"/>
      <c r="K183" s="1415"/>
    </row>
    <row r="184">
      <c r="F184" s="1410"/>
      <c r="H184" s="1053"/>
      <c r="I184" s="1412"/>
      <c r="J184" s="1413"/>
      <c r="K184" s="1415"/>
    </row>
    <row r="185">
      <c r="F185" s="1410"/>
      <c r="H185" s="1053"/>
      <c r="I185" s="1412"/>
      <c r="J185" s="1413"/>
      <c r="K185" s="1415"/>
    </row>
    <row r="186">
      <c r="F186" s="1410"/>
      <c r="H186" s="1053"/>
      <c r="I186" s="1412"/>
      <c r="J186" s="1413"/>
      <c r="K186" s="1415"/>
    </row>
    <row r="187">
      <c r="F187" s="1410"/>
      <c r="H187" s="1053"/>
      <c r="I187" s="1412"/>
      <c r="J187" s="1413"/>
      <c r="K187" s="1415"/>
    </row>
    <row r="188">
      <c r="F188" s="1410"/>
      <c r="H188" s="1053"/>
      <c r="I188" s="1412"/>
      <c r="J188" s="1413"/>
      <c r="K188" s="1415"/>
    </row>
    <row r="189">
      <c r="F189" s="1410"/>
      <c r="H189" s="1053"/>
      <c r="I189" s="1412"/>
      <c r="J189" s="1413"/>
      <c r="K189" s="1415"/>
    </row>
    <row r="190">
      <c r="F190" s="1410"/>
      <c r="H190" s="1053"/>
      <c r="I190" s="1412"/>
      <c r="J190" s="1413"/>
      <c r="K190" s="1415"/>
    </row>
    <row r="191">
      <c r="F191" s="1410"/>
      <c r="H191" s="1053"/>
      <c r="I191" s="1412"/>
      <c r="J191" s="1413"/>
      <c r="K191" s="1415"/>
    </row>
    <row r="192">
      <c r="F192" s="1410"/>
      <c r="H192" s="1053"/>
      <c r="I192" s="1412"/>
      <c r="J192" s="1413"/>
      <c r="K192" s="1415"/>
    </row>
    <row r="193">
      <c r="F193" s="1410"/>
      <c r="H193" s="1053"/>
      <c r="I193" s="1412"/>
      <c r="J193" s="1413"/>
      <c r="K193" s="1415"/>
    </row>
    <row r="194">
      <c r="F194" s="1410"/>
      <c r="H194" s="1053"/>
      <c r="I194" s="1412"/>
      <c r="J194" s="1413"/>
      <c r="K194" s="1415"/>
    </row>
    <row r="195">
      <c r="F195" s="1410"/>
      <c r="H195" s="1053"/>
      <c r="I195" s="1412"/>
      <c r="J195" s="1413"/>
      <c r="K195" s="1415"/>
    </row>
    <row r="196">
      <c r="F196" s="1410"/>
      <c r="H196" s="1053"/>
      <c r="I196" s="1412"/>
      <c r="J196" s="1413"/>
      <c r="K196" s="1415"/>
    </row>
    <row r="197">
      <c r="F197" s="1410"/>
      <c r="H197" s="1053"/>
      <c r="I197" s="1412"/>
      <c r="J197" s="1413"/>
      <c r="K197" s="1415"/>
    </row>
    <row r="198">
      <c r="F198" s="1410"/>
      <c r="H198" s="1053"/>
      <c r="I198" s="1412"/>
      <c r="J198" s="1413"/>
      <c r="K198" s="1415"/>
    </row>
    <row r="199">
      <c r="F199" s="1410"/>
      <c r="H199" s="1053"/>
      <c r="I199" s="1412"/>
      <c r="J199" s="1413"/>
      <c r="K199" s="1415"/>
    </row>
    <row r="200">
      <c r="F200" s="1410"/>
      <c r="H200" s="1053"/>
      <c r="I200" s="1412"/>
      <c r="J200" s="1413"/>
      <c r="K200" s="1415"/>
    </row>
    <row r="201">
      <c r="F201" s="1410"/>
      <c r="H201" s="1053"/>
      <c r="I201" s="1412"/>
      <c r="J201" s="1413"/>
      <c r="K201" s="1415"/>
    </row>
    <row r="202">
      <c r="F202" s="1410"/>
      <c r="H202" s="1053"/>
      <c r="I202" s="1412"/>
      <c r="J202" s="1413"/>
      <c r="K202" s="1415"/>
    </row>
    <row r="203">
      <c r="F203" s="1410"/>
      <c r="H203" s="1053"/>
      <c r="I203" s="1412"/>
      <c r="J203" s="1413"/>
      <c r="K203" s="1415"/>
    </row>
    <row r="204">
      <c r="F204" s="1410"/>
      <c r="H204" s="1053"/>
      <c r="I204" s="1412"/>
      <c r="J204" s="1413"/>
      <c r="K204" s="1415"/>
    </row>
    <row r="205">
      <c r="F205" s="1410"/>
      <c r="H205" s="1053"/>
      <c r="I205" s="1412"/>
      <c r="J205" s="1413"/>
      <c r="K205" s="1415"/>
    </row>
    <row r="206">
      <c r="F206" s="1410"/>
      <c r="H206" s="1053"/>
      <c r="I206" s="1412"/>
      <c r="J206" s="1413"/>
      <c r="K206" s="1415"/>
    </row>
    <row r="207">
      <c r="F207" s="1410"/>
      <c r="H207" s="1053"/>
      <c r="I207" s="1412"/>
      <c r="J207" s="1413"/>
      <c r="K207" s="1415"/>
    </row>
    <row r="208">
      <c r="F208" s="1410"/>
      <c r="H208" s="1053"/>
      <c r="I208" s="1412"/>
      <c r="J208" s="1413"/>
      <c r="K208" s="1415"/>
    </row>
    <row r="209">
      <c r="F209" s="1410"/>
      <c r="H209" s="1053"/>
      <c r="I209" s="1412"/>
      <c r="J209" s="1413"/>
      <c r="K209" s="1415"/>
    </row>
    <row r="210">
      <c r="F210" s="1410"/>
      <c r="H210" s="1053"/>
      <c r="I210" s="1412"/>
      <c r="J210" s="1413"/>
      <c r="K210" s="1415"/>
    </row>
    <row r="211">
      <c r="F211" s="1410"/>
      <c r="H211" s="1053"/>
      <c r="I211" s="1412"/>
      <c r="J211" s="1413"/>
      <c r="K211" s="1415"/>
    </row>
    <row r="212">
      <c r="F212" s="1410"/>
      <c r="H212" s="1053"/>
      <c r="I212" s="1412"/>
      <c r="J212" s="1413"/>
      <c r="K212" s="1415"/>
    </row>
    <row r="213">
      <c r="F213" s="1410"/>
      <c r="H213" s="1053"/>
      <c r="I213" s="1412"/>
      <c r="J213" s="1413"/>
      <c r="K213" s="1415"/>
    </row>
    <row r="214">
      <c r="F214" s="1410"/>
      <c r="H214" s="1053"/>
      <c r="I214" s="1412"/>
      <c r="J214" s="1413"/>
      <c r="K214" s="1415"/>
    </row>
    <row r="215">
      <c r="F215" s="1410"/>
      <c r="H215" s="1053"/>
      <c r="I215" s="1412"/>
      <c r="J215" s="1413"/>
      <c r="K215" s="1415"/>
    </row>
    <row r="216">
      <c r="F216" s="1410"/>
      <c r="H216" s="1053"/>
      <c r="I216" s="1412"/>
      <c r="J216" s="1413"/>
      <c r="K216" s="1415"/>
    </row>
    <row r="217">
      <c r="F217" s="1410"/>
      <c r="H217" s="1053"/>
      <c r="I217" s="1412"/>
      <c r="J217" s="1413"/>
      <c r="K217" s="1415"/>
    </row>
    <row r="218">
      <c r="F218" s="1410"/>
      <c r="H218" s="1053"/>
      <c r="I218" s="1412"/>
      <c r="J218" s="1413"/>
      <c r="K218" s="1415"/>
    </row>
    <row r="219">
      <c r="F219" s="1410"/>
      <c r="H219" s="1053"/>
      <c r="I219" s="1412"/>
      <c r="J219" s="1413"/>
      <c r="K219" s="1415"/>
    </row>
    <row r="220">
      <c r="F220" s="1410"/>
      <c r="H220" s="1053"/>
      <c r="I220" s="1412"/>
      <c r="J220" s="1413"/>
      <c r="K220" s="1415"/>
    </row>
    <row r="221">
      <c r="F221" s="1410"/>
      <c r="H221" s="1053"/>
      <c r="I221" s="1412"/>
      <c r="J221" s="1413"/>
      <c r="K221" s="1415"/>
    </row>
    <row r="222">
      <c r="F222" s="1410"/>
      <c r="H222" s="1053"/>
      <c r="I222" s="1412"/>
      <c r="J222" s="1413"/>
      <c r="K222" s="1415"/>
    </row>
    <row r="223">
      <c r="F223" s="1410"/>
      <c r="H223" s="1053"/>
      <c r="I223" s="1412"/>
      <c r="J223" s="1413"/>
      <c r="K223" s="1415"/>
    </row>
    <row r="224">
      <c r="F224" s="1410"/>
      <c r="H224" s="1053"/>
      <c r="I224" s="1412"/>
      <c r="J224" s="1413"/>
      <c r="K224" s="1415"/>
    </row>
    <row r="225">
      <c r="F225" s="1410"/>
      <c r="H225" s="1053"/>
      <c r="I225" s="1412"/>
      <c r="J225" s="1413"/>
      <c r="K225" s="1415"/>
    </row>
    <row r="226">
      <c r="F226" s="1410"/>
      <c r="H226" s="1053"/>
      <c r="I226" s="1412"/>
      <c r="J226" s="1413"/>
      <c r="K226" s="1415"/>
    </row>
    <row r="227">
      <c r="F227" s="1410"/>
      <c r="H227" s="1053"/>
      <c r="I227" s="1412"/>
      <c r="J227" s="1413"/>
      <c r="K227" s="1415"/>
    </row>
    <row r="228">
      <c r="F228" s="1410"/>
      <c r="H228" s="1053"/>
      <c r="I228" s="1412"/>
      <c r="J228" s="1413"/>
      <c r="K228" s="1415"/>
    </row>
    <row r="229">
      <c r="F229" s="1410"/>
      <c r="H229" s="1053"/>
      <c r="I229" s="1412"/>
      <c r="J229" s="1413"/>
      <c r="K229" s="1415"/>
    </row>
    <row r="230">
      <c r="F230" s="1410"/>
      <c r="H230" s="1053"/>
      <c r="I230" s="1412"/>
      <c r="J230" s="1413"/>
      <c r="K230" s="1415"/>
    </row>
    <row r="231">
      <c r="F231" s="1410"/>
      <c r="H231" s="1053"/>
      <c r="I231" s="1412"/>
      <c r="J231" s="1413"/>
      <c r="K231" s="1415"/>
    </row>
    <row r="232">
      <c r="F232" s="1410"/>
      <c r="H232" s="1053"/>
      <c r="I232" s="1412"/>
      <c r="J232" s="1413"/>
      <c r="K232" s="1415"/>
    </row>
    <row r="233">
      <c r="F233" s="1410"/>
      <c r="H233" s="1053"/>
      <c r="I233" s="1412"/>
      <c r="J233" s="1413"/>
      <c r="K233" s="1415"/>
    </row>
    <row r="234">
      <c r="F234" s="1410"/>
      <c r="H234" s="1053"/>
      <c r="I234" s="1412"/>
      <c r="J234" s="1413"/>
      <c r="K234" s="1415"/>
    </row>
    <row r="235">
      <c r="F235" s="1410"/>
      <c r="H235" s="1053"/>
      <c r="I235" s="1412"/>
      <c r="J235" s="1413"/>
      <c r="K235" s="1415"/>
    </row>
    <row r="236">
      <c r="F236" s="1410"/>
      <c r="H236" s="1053"/>
      <c r="I236" s="1412"/>
      <c r="J236" s="1413"/>
      <c r="K236" s="1415"/>
    </row>
    <row r="237">
      <c r="F237" s="1410"/>
      <c r="H237" s="1053"/>
      <c r="I237" s="1412"/>
      <c r="J237" s="1413"/>
      <c r="K237" s="1415"/>
    </row>
    <row r="238">
      <c r="F238" s="1410"/>
      <c r="H238" s="1053"/>
      <c r="I238" s="1412"/>
      <c r="J238" s="1413"/>
      <c r="K238" s="1415"/>
    </row>
    <row r="239">
      <c r="F239" s="1410"/>
      <c r="H239" s="1053"/>
      <c r="I239" s="1412"/>
      <c r="J239" s="1413"/>
      <c r="K239" s="1415"/>
    </row>
    <row r="240">
      <c r="F240" s="1410"/>
      <c r="H240" s="1053"/>
      <c r="I240" s="1412"/>
      <c r="J240" s="1413"/>
      <c r="K240" s="1415"/>
    </row>
    <row r="241">
      <c r="F241" s="1410"/>
      <c r="H241" s="1053"/>
      <c r="I241" s="1412"/>
      <c r="J241" s="1413"/>
      <c r="K241" s="1415"/>
    </row>
    <row r="242">
      <c r="F242" s="1410"/>
      <c r="H242" s="1053"/>
      <c r="I242" s="1412"/>
      <c r="J242" s="1413"/>
      <c r="K242" s="1415"/>
    </row>
    <row r="243">
      <c r="F243" s="1410"/>
      <c r="H243" s="1053"/>
      <c r="I243" s="1412"/>
      <c r="J243" s="1413"/>
      <c r="K243" s="1415"/>
    </row>
    <row r="244">
      <c r="F244" s="1410"/>
      <c r="H244" s="1053"/>
      <c r="I244" s="1412"/>
      <c r="J244" s="1413"/>
      <c r="K244" s="1415"/>
    </row>
    <row r="245">
      <c r="F245" s="1410"/>
      <c r="H245" s="1053"/>
      <c r="I245" s="1412"/>
      <c r="J245" s="1413"/>
      <c r="K245" s="1415"/>
    </row>
    <row r="246">
      <c r="F246" s="1410"/>
      <c r="H246" s="1053"/>
      <c r="I246" s="1412"/>
      <c r="J246" s="1413"/>
      <c r="K246" s="1415"/>
    </row>
    <row r="247">
      <c r="F247" s="1410"/>
      <c r="H247" s="1053"/>
      <c r="I247" s="1412"/>
      <c r="J247" s="1413"/>
      <c r="K247" s="1415"/>
    </row>
    <row r="248">
      <c r="F248" s="1410"/>
      <c r="H248" s="1053"/>
      <c r="I248" s="1412"/>
      <c r="J248" s="1413"/>
      <c r="K248" s="1415"/>
    </row>
    <row r="249">
      <c r="F249" s="1410"/>
      <c r="H249" s="1053"/>
      <c r="I249" s="1412"/>
      <c r="J249" s="1413"/>
      <c r="K249" s="1415"/>
    </row>
    <row r="250">
      <c r="F250" s="1410"/>
      <c r="H250" s="1053"/>
      <c r="I250" s="1412"/>
      <c r="J250" s="1413"/>
      <c r="K250" s="1415"/>
    </row>
    <row r="251">
      <c r="F251" s="1410"/>
      <c r="H251" s="1053"/>
      <c r="I251" s="1412"/>
      <c r="J251" s="1413"/>
      <c r="K251" s="1415"/>
    </row>
    <row r="252">
      <c r="F252" s="1410"/>
      <c r="H252" s="1053"/>
      <c r="I252" s="1412"/>
      <c r="J252" s="1413"/>
      <c r="K252" s="1415"/>
    </row>
    <row r="253">
      <c r="F253" s="1410"/>
      <c r="H253" s="1053"/>
      <c r="I253" s="1412"/>
      <c r="J253" s="1413"/>
      <c r="K253" s="1415"/>
    </row>
    <row r="254">
      <c r="F254" s="1410"/>
      <c r="H254" s="1053"/>
      <c r="I254" s="1412"/>
      <c r="J254" s="1413"/>
      <c r="K254" s="1415"/>
    </row>
    <row r="255">
      <c r="F255" s="1410"/>
      <c r="H255" s="1053"/>
      <c r="I255" s="1412"/>
      <c r="J255" s="1413"/>
      <c r="K255" s="1415"/>
    </row>
    <row r="256">
      <c r="F256" s="1410"/>
      <c r="H256" s="1053"/>
      <c r="I256" s="1412"/>
      <c r="J256" s="1413"/>
      <c r="K256" s="1415"/>
    </row>
    <row r="257">
      <c r="F257" s="1410"/>
      <c r="H257" s="1053"/>
      <c r="I257" s="1412"/>
      <c r="J257" s="1413"/>
      <c r="K257" s="1415"/>
    </row>
    <row r="258">
      <c r="F258" s="1410"/>
      <c r="H258" s="1053"/>
      <c r="I258" s="1412"/>
      <c r="J258" s="1413"/>
      <c r="K258" s="1415"/>
    </row>
    <row r="259">
      <c r="F259" s="1410"/>
      <c r="H259" s="1053"/>
      <c r="I259" s="1412"/>
      <c r="J259" s="1413"/>
      <c r="K259" s="1415"/>
    </row>
    <row r="260">
      <c r="F260" s="1410"/>
      <c r="H260" s="1053"/>
      <c r="I260" s="1412"/>
      <c r="J260" s="1413"/>
      <c r="K260" s="1415"/>
    </row>
    <row r="261">
      <c r="F261" s="1410"/>
      <c r="H261" s="1053"/>
      <c r="I261" s="1412"/>
      <c r="J261" s="1413"/>
      <c r="K261" s="1415"/>
    </row>
    <row r="262">
      <c r="F262" s="1410"/>
      <c r="H262" s="1053"/>
      <c r="I262" s="1412"/>
      <c r="J262" s="1413"/>
      <c r="K262" s="1415"/>
    </row>
    <row r="263">
      <c r="F263" s="1410"/>
      <c r="H263" s="1053"/>
      <c r="I263" s="1412"/>
      <c r="J263" s="1413"/>
      <c r="K263" s="1415"/>
    </row>
    <row r="264">
      <c r="F264" s="1410"/>
      <c r="H264" s="1053"/>
      <c r="I264" s="1412"/>
      <c r="J264" s="1413"/>
      <c r="K264" s="1415"/>
    </row>
    <row r="265">
      <c r="F265" s="1410"/>
      <c r="H265" s="1053"/>
      <c r="I265" s="1412"/>
      <c r="J265" s="1413"/>
      <c r="K265" s="1415"/>
    </row>
    <row r="266">
      <c r="F266" s="1410"/>
      <c r="H266" s="1053"/>
      <c r="I266" s="1412"/>
      <c r="J266" s="1413"/>
      <c r="K266" s="1415"/>
    </row>
    <row r="267">
      <c r="F267" s="1410"/>
      <c r="H267" s="1053"/>
      <c r="I267" s="1412"/>
      <c r="J267" s="1413"/>
      <c r="K267" s="1415"/>
    </row>
    <row r="268">
      <c r="F268" s="1410"/>
      <c r="H268" s="1053"/>
      <c r="I268" s="1412"/>
      <c r="J268" s="1413"/>
      <c r="K268" s="1415"/>
    </row>
    <row r="269">
      <c r="F269" s="1410"/>
      <c r="H269" s="1053"/>
      <c r="I269" s="1412"/>
      <c r="J269" s="1413"/>
      <c r="K269" s="1415"/>
    </row>
    <row r="270">
      <c r="F270" s="1410"/>
      <c r="H270" s="1053"/>
      <c r="I270" s="1412"/>
      <c r="J270" s="1413"/>
      <c r="K270" s="1415"/>
    </row>
    <row r="271">
      <c r="F271" s="1410"/>
      <c r="H271" s="1053"/>
      <c r="I271" s="1412"/>
      <c r="J271" s="1413"/>
      <c r="K271" s="1415"/>
    </row>
    <row r="272">
      <c r="F272" s="1410"/>
      <c r="H272" s="1053"/>
      <c r="I272" s="1412"/>
      <c r="J272" s="1413"/>
      <c r="K272" s="1415"/>
    </row>
    <row r="273">
      <c r="F273" s="1410"/>
      <c r="H273" s="1053"/>
      <c r="I273" s="1412"/>
      <c r="J273" s="1413"/>
      <c r="K273" s="1415"/>
    </row>
    <row r="274">
      <c r="F274" s="1410"/>
      <c r="H274" s="1053"/>
      <c r="I274" s="1412"/>
      <c r="J274" s="1413"/>
      <c r="K274" s="1415"/>
    </row>
    <row r="275">
      <c r="F275" s="1410"/>
      <c r="H275" s="1053"/>
      <c r="I275" s="1412"/>
      <c r="J275" s="1413"/>
      <c r="K275" s="1415"/>
    </row>
    <row r="276">
      <c r="F276" s="1410"/>
      <c r="H276" s="1053"/>
      <c r="I276" s="1412"/>
      <c r="J276" s="1413"/>
      <c r="K276" s="1415"/>
    </row>
    <row r="277">
      <c r="F277" s="1410"/>
      <c r="H277" s="1053"/>
      <c r="I277" s="1412"/>
      <c r="J277" s="1413"/>
      <c r="K277" s="1415"/>
    </row>
    <row r="278">
      <c r="F278" s="1410"/>
      <c r="H278" s="1053"/>
      <c r="I278" s="1412"/>
      <c r="J278" s="1413"/>
      <c r="K278" s="1415"/>
    </row>
    <row r="279">
      <c r="F279" s="1410"/>
      <c r="H279" s="1053"/>
      <c r="I279" s="1412"/>
      <c r="J279" s="1413"/>
      <c r="K279" s="1415"/>
    </row>
    <row r="280">
      <c r="F280" s="1410"/>
      <c r="H280" s="1053"/>
      <c r="I280" s="1412"/>
      <c r="J280" s="1413"/>
      <c r="K280" s="1415"/>
    </row>
    <row r="281">
      <c r="F281" s="1410"/>
      <c r="H281" s="1053"/>
      <c r="I281" s="1412"/>
      <c r="J281" s="1413"/>
      <c r="K281" s="1415"/>
    </row>
    <row r="282">
      <c r="F282" s="1410"/>
      <c r="H282" s="1053"/>
      <c r="I282" s="1412"/>
      <c r="J282" s="1413"/>
      <c r="K282" s="1415"/>
    </row>
    <row r="283">
      <c r="F283" s="1410"/>
      <c r="H283" s="1053"/>
      <c r="I283" s="1412"/>
      <c r="J283" s="1413"/>
      <c r="K283" s="1415"/>
    </row>
    <row r="284">
      <c r="F284" s="1410"/>
      <c r="H284" s="1053"/>
      <c r="I284" s="1412"/>
      <c r="J284" s="1413"/>
      <c r="K284" s="1415"/>
    </row>
    <row r="285">
      <c r="F285" s="1410"/>
      <c r="H285" s="1053"/>
      <c r="I285" s="1412"/>
      <c r="J285" s="1413"/>
      <c r="K285" s="1415"/>
    </row>
    <row r="286">
      <c r="F286" s="1410"/>
      <c r="H286" s="1053"/>
      <c r="I286" s="1412"/>
      <c r="J286" s="1413"/>
      <c r="K286" s="1415"/>
    </row>
    <row r="287">
      <c r="F287" s="1410"/>
      <c r="H287" s="1053"/>
      <c r="I287" s="1412"/>
      <c r="J287" s="1413"/>
      <c r="K287" s="1415"/>
    </row>
    <row r="288">
      <c r="F288" s="1410"/>
      <c r="H288" s="1053"/>
      <c r="I288" s="1412"/>
      <c r="J288" s="1413"/>
      <c r="K288" s="1415"/>
    </row>
    <row r="289">
      <c r="F289" s="1410"/>
      <c r="H289" s="1053"/>
      <c r="I289" s="1412"/>
      <c r="J289" s="1413"/>
      <c r="K289" s="1415"/>
    </row>
    <row r="290">
      <c r="F290" s="1410"/>
      <c r="H290" s="1053"/>
      <c r="I290" s="1412"/>
      <c r="J290" s="1413"/>
      <c r="K290" s="1415"/>
    </row>
    <row r="291">
      <c r="F291" s="1410"/>
      <c r="H291" s="1053"/>
      <c r="I291" s="1412"/>
      <c r="J291" s="1413"/>
      <c r="K291" s="1415"/>
    </row>
    <row r="292">
      <c r="F292" s="1410"/>
      <c r="H292" s="1053"/>
      <c r="I292" s="1412"/>
      <c r="J292" s="1413"/>
      <c r="K292" s="1415"/>
    </row>
    <row r="293">
      <c r="F293" s="1410"/>
      <c r="H293" s="1053"/>
      <c r="I293" s="1412"/>
      <c r="J293" s="1413"/>
      <c r="K293" s="1415"/>
    </row>
    <row r="294">
      <c r="F294" s="1410"/>
      <c r="H294" s="1053"/>
      <c r="I294" s="1412"/>
      <c r="J294" s="1413"/>
      <c r="K294" s="1415"/>
    </row>
    <row r="295">
      <c r="F295" s="1410"/>
      <c r="H295" s="1053"/>
      <c r="I295" s="1412"/>
      <c r="J295" s="1413"/>
      <c r="K295" s="1415"/>
    </row>
    <row r="296">
      <c r="F296" s="1410"/>
      <c r="H296" s="1053"/>
      <c r="I296" s="1412"/>
      <c r="J296" s="1413"/>
      <c r="K296" s="1415"/>
    </row>
    <row r="297">
      <c r="F297" s="1410"/>
      <c r="H297" s="1053"/>
      <c r="I297" s="1412"/>
      <c r="J297" s="1413"/>
      <c r="K297" s="1415"/>
    </row>
    <row r="298">
      <c r="F298" s="1410"/>
      <c r="H298" s="1053"/>
      <c r="I298" s="1412"/>
      <c r="J298" s="1413"/>
      <c r="K298" s="1415"/>
    </row>
    <row r="299">
      <c r="F299" s="1410"/>
      <c r="H299" s="1053"/>
      <c r="I299" s="1412"/>
      <c r="J299" s="1413"/>
      <c r="K299" s="1415"/>
    </row>
    <row r="300">
      <c r="F300" s="1410"/>
      <c r="H300" s="1053"/>
      <c r="I300" s="1412"/>
      <c r="J300" s="1413"/>
      <c r="K300" s="1415"/>
    </row>
    <row r="301">
      <c r="F301" s="1410"/>
      <c r="H301" s="1053"/>
      <c r="I301" s="1412"/>
      <c r="J301" s="1413"/>
      <c r="K301" s="1415"/>
    </row>
    <row r="302">
      <c r="F302" s="1410"/>
      <c r="H302" s="1053"/>
      <c r="I302" s="1412"/>
      <c r="J302" s="1413"/>
      <c r="K302" s="1415"/>
    </row>
    <row r="303">
      <c r="F303" s="1410"/>
      <c r="H303" s="1053"/>
      <c r="I303" s="1412"/>
      <c r="J303" s="1413"/>
      <c r="K303" s="1415"/>
    </row>
    <row r="304">
      <c r="F304" s="1410"/>
      <c r="H304" s="1053"/>
      <c r="I304" s="1412"/>
      <c r="J304" s="1413"/>
      <c r="K304" s="1415"/>
    </row>
    <row r="305">
      <c r="F305" s="1410"/>
      <c r="H305" s="1053"/>
      <c r="I305" s="1412"/>
      <c r="J305" s="1413"/>
      <c r="K305" s="1415"/>
    </row>
    <row r="306">
      <c r="F306" s="1410"/>
      <c r="H306" s="1053"/>
      <c r="I306" s="1412"/>
      <c r="J306" s="1413"/>
      <c r="K306" s="1415"/>
    </row>
    <row r="307">
      <c r="F307" s="1410"/>
      <c r="H307" s="1053"/>
      <c r="I307" s="1412"/>
      <c r="J307" s="1413"/>
      <c r="K307" s="1415"/>
    </row>
    <row r="308">
      <c r="F308" s="1410"/>
      <c r="H308" s="1053"/>
      <c r="I308" s="1412"/>
      <c r="J308" s="1413"/>
      <c r="K308" s="1415"/>
    </row>
    <row r="309">
      <c r="F309" s="1410"/>
      <c r="H309" s="1053"/>
      <c r="I309" s="1412"/>
      <c r="J309" s="1413"/>
      <c r="K309" s="1415"/>
    </row>
    <row r="310">
      <c r="F310" s="1410"/>
      <c r="H310" s="1053"/>
      <c r="I310" s="1412"/>
      <c r="J310" s="1413"/>
      <c r="K310" s="1415"/>
    </row>
    <row r="311">
      <c r="F311" s="1410"/>
      <c r="H311" s="1053"/>
      <c r="I311" s="1412"/>
      <c r="J311" s="1413"/>
      <c r="K311" s="1415"/>
    </row>
    <row r="312">
      <c r="F312" s="1410"/>
      <c r="H312" s="1053"/>
      <c r="I312" s="1412"/>
      <c r="J312" s="1413"/>
      <c r="K312" s="1415"/>
    </row>
    <row r="313">
      <c r="F313" s="1410"/>
      <c r="H313" s="1053"/>
      <c r="I313" s="1412"/>
      <c r="J313" s="1413"/>
      <c r="K313" s="1415"/>
    </row>
    <row r="314">
      <c r="F314" s="1410"/>
      <c r="H314" s="1053"/>
      <c r="I314" s="1412"/>
      <c r="J314" s="1413"/>
      <c r="K314" s="1415"/>
    </row>
    <row r="315">
      <c r="F315" s="1410"/>
      <c r="H315" s="1053"/>
      <c r="I315" s="1412"/>
      <c r="J315" s="1413"/>
      <c r="K315" s="1415"/>
    </row>
    <row r="316">
      <c r="F316" s="1410"/>
      <c r="H316" s="1053"/>
      <c r="I316" s="1412"/>
      <c r="J316" s="1413"/>
      <c r="K316" s="1415"/>
    </row>
    <row r="317">
      <c r="F317" s="1410"/>
      <c r="H317" s="1053"/>
      <c r="I317" s="1412"/>
      <c r="J317" s="1413"/>
      <c r="K317" s="1415"/>
    </row>
    <row r="318">
      <c r="F318" s="1410"/>
      <c r="H318" s="1053"/>
      <c r="I318" s="1412"/>
      <c r="J318" s="1413"/>
      <c r="K318" s="1415"/>
    </row>
    <row r="319">
      <c r="F319" s="1410"/>
      <c r="H319" s="1053"/>
      <c r="I319" s="1412"/>
      <c r="J319" s="1413"/>
      <c r="K319" s="1415"/>
    </row>
    <row r="320">
      <c r="F320" s="1410"/>
      <c r="H320" s="1053"/>
      <c r="I320" s="1412"/>
      <c r="J320" s="1413"/>
      <c r="K320" s="1415"/>
    </row>
    <row r="321">
      <c r="F321" s="1410"/>
      <c r="H321" s="1053"/>
      <c r="I321" s="1412"/>
      <c r="J321" s="1413"/>
      <c r="K321" s="1415"/>
    </row>
    <row r="322">
      <c r="F322" s="1410"/>
      <c r="H322" s="1053"/>
      <c r="I322" s="1412"/>
      <c r="J322" s="1413"/>
      <c r="K322" s="1415"/>
    </row>
    <row r="323">
      <c r="F323" s="1410"/>
      <c r="H323" s="1053"/>
      <c r="I323" s="1412"/>
      <c r="J323" s="1413"/>
      <c r="K323" s="1415"/>
    </row>
    <row r="324">
      <c r="F324" s="1410"/>
      <c r="H324" s="1053"/>
      <c r="I324" s="1412"/>
      <c r="J324" s="1413"/>
      <c r="K324" s="1415"/>
    </row>
    <row r="325">
      <c r="F325" s="1410"/>
      <c r="H325" s="1053"/>
      <c r="I325" s="1412"/>
      <c r="J325" s="1413"/>
      <c r="K325" s="1415"/>
    </row>
    <row r="326">
      <c r="F326" s="1410"/>
      <c r="H326" s="1053"/>
      <c r="I326" s="1412"/>
      <c r="J326" s="1413"/>
      <c r="K326" s="1415"/>
    </row>
    <row r="327">
      <c r="F327" s="1410"/>
      <c r="H327" s="1053"/>
      <c r="I327" s="1412"/>
      <c r="J327" s="1413"/>
      <c r="K327" s="1415"/>
    </row>
    <row r="328">
      <c r="F328" s="1410"/>
      <c r="H328" s="1053"/>
      <c r="I328" s="1412"/>
      <c r="J328" s="1413"/>
      <c r="K328" s="1415"/>
    </row>
    <row r="329">
      <c r="F329" s="1410"/>
      <c r="H329" s="1053"/>
      <c r="I329" s="1412"/>
      <c r="J329" s="1413"/>
      <c r="K329" s="1415"/>
    </row>
    <row r="330">
      <c r="F330" s="1410"/>
      <c r="H330" s="1053"/>
      <c r="I330" s="1412"/>
      <c r="J330" s="1413"/>
      <c r="K330" s="1415"/>
    </row>
    <row r="331">
      <c r="F331" s="1410"/>
      <c r="H331" s="1053"/>
      <c r="I331" s="1412"/>
      <c r="J331" s="1413"/>
      <c r="K331" s="1415"/>
    </row>
    <row r="332">
      <c r="F332" s="1410"/>
      <c r="H332" s="1053"/>
      <c r="I332" s="1412"/>
      <c r="J332" s="1413"/>
      <c r="K332" s="1415"/>
    </row>
    <row r="333">
      <c r="F333" s="1410"/>
      <c r="H333" s="1053"/>
      <c r="I333" s="1412"/>
      <c r="J333" s="1413"/>
      <c r="K333" s="1415"/>
    </row>
    <row r="334">
      <c r="F334" s="1410"/>
      <c r="H334" s="1053"/>
      <c r="I334" s="1412"/>
      <c r="J334" s="1413"/>
      <c r="K334" s="1415"/>
    </row>
    <row r="335">
      <c r="F335" s="1410"/>
      <c r="H335" s="1053"/>
      <c r="I335" s="1412"/>
      <c r="J335" s="1413"/>
      <c r="K335" s="1415"/>
    </row>
    <row r="336">
      <c r="F336" s="1410"/>
      <c r="H336" s="1053"/>
      <c r="I336" s="1412"/>
      <c r="J336" s="1413"/>
      <c r="K336" s="1415"/>
    </row>
    <row r="337">
      <c r="F337" s="1410"/>
      <c r="H337" s="1053"/>
      <c r="I337" s="1412"/>
      <c r="J337" s="1413"/>
      <c r="K337" s="1415"/>
    </row>
    <row r="338">
      <c r="F338" s="1410"/>
      <c r="H338" s="1053"/>
      <c r="I338" s="1412"/>
      <c r="J338" s="1413"/>
      <c r="K338" s="1415"/>
    </row>
    <row r="339">
      <c r="F339" s="1410"/>
      <c r="H339" s="1053"/>
      <c r="I339" s="1412"/>
      <c r="J339" s="1413"/>
      <c r="K339" s="1415"/>
    </row>
    <row r="340">
      <c r="F340" s="1410"/>
      <c r="H340" s="1053"/>
      <c r="I340" s="1412"/>
      <c r="J340" s="1413"/>
      <c r="K340" s="1415"/>
    </row>
    <row r="341">
      <c r="F341" s="1410"/>
      <c r="H341" s="1053"/>
      <c r="I341" s="1412"/>
      <c r="J341" s="1413"/>
      <c r="K341" s="1415"/>
    </row>
    <row r="342">
      <c r="F342" s="1410"/>
      <c r="H342" s="1053"/>
      <c r="I342" s="1412"/>
      <c r="J342" s="1413"/>
      <c r="K342" s="1415"/>
    </row>
    <row r="343">
      <c r="F343" s="1410"/>
      <c r="H343" s="1053"/>
      <c r="I343" s="1412"/>
      <c r="J343" s="1413"/>
      <c r="K343" s="1415"/>
    </row>
    <row r="344">
      <c r="F344" s="1410"/>
      <c r="H344" s="1053"/>
      <c r="I344" s="1412"/>
      <c r="J344" s="1413"/>
      <c r="K344" s="1415"/>
    </row>
    <row r="345">
      <c r="F345" s="1410"/>
      <c r="H345" s="1053"/>
      <c r="I345" s="1412"/>
      <c r="J345" s="1413"/>
      <c r="K345" s="1415"/>
    </row>
    <row r="346">
      <c r="F346" s="1410"/>
      <c r="H346" s="1053"/>
      <c r="I346" s="1412"/>
      <c r="J346" s="1413"/>
      <c r="K346" s="1415"/>
    </row>
    <row r="347">
      <c r="F347" s="1410"/>
      <c r="H347" s="1053"/>
      <c r="I347" s="1412"/>
      <c r="J347" s="1413"/>
      <c r="K347" s="1415"/>
    </row>
    <row r="348">
      <c r="F348" s="1410"/>
      <c r="H348" s="1053"/>
      <c r="I348" s="1412"/>
      <c r="J348" s="1413"/>
      <c r="K348" s="1415"/>
    </row>
    <row r="349">
      <c r="F349" s="1410"/>
      <c r="H349" s="1053"/>
      <c r="I349" s="1412"/>
      <c r="J349" s="1413"/>
      <c r="K349" s="1415"/>
    </row>
    <row r="350">
      <c r="F350" s="1410"/>
      <c r="H350" s="1053"/>
      <c r="I350" s="1412"/>
      <c r="J350" s="1413"/>
      <c r="K350" s="1415"/>
    </row>
    <row r="351">
      <c r="F351" s="1410"/>
      <c r="H351" s="1053"/>
      <c r="I351" s="1412"/>
      <c r="J351" s="1413"/>
      <c r="K351" s="1415"/>
    </row>
    <row r="352">
      <c r="F352" s="1410"/>
      <c r="H352" s="1053"/>
      <c r="I352" s="1412"/>
      <c r="J352" s="1413"/>
      <c r="K352" s="1415"/>
    </row>
    <row r="353">
      <c r="F353" s="1410"/>
      <c r="H353" s="1053"/>
      <c r="I353" s="1412"/>
      <c r="J353" s="1413"/>
      <c r="K353" s="1415"/>
    </row>
    <row r="354">
      <c r="F354" s="1410"/>
      <c r="H354" s="1053"/>
      <c r="I354" s="1412"/>
      <c r="J354" s="1413"/>
      <c r="K354" s="1415"/>
    </row>
    <row r="355">
      <c r="F355" s="1410"/>
      <c r="H355" s="1053"/>
      <c r="I355" s="1412"/>
      <c r="J355" s="1413"/>
      <c r="K355" s="1415"/>
    </row>
    <row r="356">
      <c r="F356" s="1410"/>
      <c r="H356" s="1053"/>
      <c r="I356" s="1412"/>
      <c r="J356" s="1413"/>
      <c r="K356" s="1415"/>
    </row>
    <row r="357">
      <c r="F357" s="1410"/>
      <c r="H357" s="1053"/>
      <c r="I357" s="1412"/>
      <c r="J357" s="1413"/>
      <c r="K357" s="1415"/>
    </row>
    <row r="358">
      <c r="F358" s="1410"/>
      <c r="H358" s="1053"/>
      <c r="I358" s="1412"/>
      <c r="J358" s="1413"/>
      <c r="K358" s="1415"/>
    </row>
    <row r="359">
      <c r="F359" s="1410"/>
      <c r="H359" s="1053"/>
      <c r="I359" s="1412"/>
      <c r="J359" s="1413"/>
      <c r="K359" s="1415"/>
    </row>
    <row r="360">
      <c r="F360" s="1410"/>
      <c r="H360" s="1053"/>
      <c r="I360" s="1412"/>
      <c r="J360" s="1413"/>
      <c r="K360" s="1415"/>
    </row>
    <row r="361">
      <c r="F361" s="1410"/>
      <c r="H361" s="1053"/>
      <c r="I361" s="1412"/>
      <c r="J361" s="1413"/>
      <c r="K361" s="1415"/>
    </row>
    <row r="362">
      <c r="F362" s="1410"/>
      <c r="H362" s="1053"/>
      <c r="I362" s="1412"/>
      <c r="J362" s="1413"/>
      <c r="K362" s="1415"/>
    </row>
    <row r="363">
      <c r="F363" s="1410"/>
      <c r="H363" s="1053"/>
      <c r="I363" s="1412"/>
      <c r="J363" s="1413"/>
      <c r="K363" s="1415"/>
    </row>
    <row r="364">
      <c r="F364" s="1410"/>
      <c r="H364" s="1053"/>
      <c r="I364" s="1412"/>
      <c r="J364" s="1413"/>
      <c r="K364" s="1415"/>
    </row>
    <row r="365">
      <c r="F365" s="1410"/>
      <c r="H365" s="1053"/>
      <c r="I365" s="1412"/>
      <c r="J365" s="1413"/>
      <c r="K365" s="1415"/>
    </row>
    <row r="366">
      <c r="F366" s="1410"/>
      <c r="H366" s="1053"/>
      <c r="I366" s="1412"/>
      <c r="J366" s="1413"/>
      <c r="K366" s="1415"/>
    </row>
    <row r="367">
      <c r="F367" s="1410"/>
      <c r="H367" s="1053"/>
      <c r="I367" s="1412"/>
      <c r="J367" s="1413"/>
      <c r="K367" s="1415"/>
    </row>
    <row r="368">
      <c r="F368" s="1410"/>
      <c r="H368" s="1053"/>
      <c r="I368" s="1412"/>
      <c r="J368" s="1413"/>
      <c r="K368" s="1415"/>
    </row>
    <row r="369">
      <c r="F369" s="1410"/>
      <c r="H369" s="1053"/>
      <c r="I369" s="1412"/>
      <c r="J369" s="1413"/>
      <c r="K369" s="1415"/>
    </row>
    <row r="370">
      <c r="F370" s="1410"/>
      <c r="H370" s="1053"/>
      <c r="I370" s="1412"/>
      <c r="J370" s="1413"/>
      <c r="K370" s="1415"/>
    </row>
    <row r="371">
      <c r="F371" s="1410"/>
      <c r="H371" s="1053"/>
      <c r="I371" s="1412"/>
      <c r="J371" s="1413"/>
      <c r="K371" s="1415"/>
    </row>
    <row r="372">
      <c r="F372" s="1410"/>
      <c r="H372" s="1053"/>
      <c r="I372" s="1412"/>
      <c r="J372" s="1413"/>
      <c r="K372" s="1415"/>
    </row>
    <row r="373">
      <c r="F373" s="1410"/>
      <c r="H373" s="1053"/>
      <c r="I373" s="1412"/>
      <c r="J373" s="1413"/>
      <c r="K373" s="1415"/>
    </row>
    <row r="374">
      <c r="F374" s="1410"/>
      <c r="H374" s="1053"/>
      <c r="I374" s="1412"/>
      <c r="J374" s="1413"/>
      <c r="K374" s="1415"/>
    </row>
    <row r="375">
      <c r="F375" s="1410"/>
      <c r="H375" s="1053"/>
      <c r="I375" s="1412"/>
      <c r="J375" s="1413"/>
      <c r="K375" s="1415"/>
    </row>
    <row r="376">
      <c r="F376" s="1410"/>
      <c r="H376" s="1053"/>
      <c r="I376" s="1412"/>
      <c r="J376" s="1413"/>
      <c r="K376" s="1415"/>
    </row>
    <row r="377">
      <c r="F377" s="1410"/>
      <c r="H377" s="1053"/>
      <c r="I377" s="1412"/>
      <c r="J377" s="1413"/>
      <c r="K377" s="1415"/>
    </row>
    <row r="378">
      <c r="F378" s="1410"/>
      <c r="H378" s="1053"/>
      <c r="I378" s="1412"/>
      <c r="J378" s="1413"/>
      <c r="K378" s="1415"/>
    </row>
    <row r="379">
      <c r="F379" s="1410"/>
      <c r="H379" s="1053"/>
      <c r="I379" s="1412"/>
      <c r="J379" s="1413"/>
      <c r="K379" s="1415"/>
    </row>
    <row r="380">
      <c r="F380" s="1410"/>
      <c r="H380" s="1053"/>
      <c r="I380" s="1412"/>
      <c r="J380" s="1413"/>
      <c r="K380" s="1415"/>
    </row>
    <row r="381">
      <c r="F381" s="1410"/>
      <c r="H381" s="1053"/>
      <c r="I381" s="1412"/>
      <c r="J381" s="1413"/>
      <c r="K381" s="1415"/>
    </row>
    <row r="382">
      <c r="F382" s="1410"/>
      <c r="H382" s="1053"/>
      <c r="I382" s="1412"/>
      <c r="J382" s="1413"/>
      <c r="K382" s="1415"/>
    </row>
    <row r="383">
      <c r="F383" s="1410"/>
      <c r="H383" s="1053"/>
      <c r="I383" s="1412"/>
      <c r="J383" s="1413"/>
      <c r="K383" s="1415"/>
    </row>
    <row r="384">
      <c r="F384" s="1410"/>
      <c r="H384" s="1053"/>
      <c r="I384" s="1412"/>
      <c r="J384" s="1413"/>
      <c r="K384" s="1415"/>
    </row>
    <row r="385">
      <c r="F385" s="1410"/>
      <c r="H385" s="1053"/>
      <c r="I385" s="1412"/>
      <c r="J385" s="1413"/>
      <c r="K385" s="1415"/>
    </row>
    <row r="386">
      <c r="F386" s="1410"/>
      <c r="H386" s="1053"/>
      <c r="I386" s="1412"/>
      <c r="J386" s="1413"/>
      <c r="K386" s="1415"/>
    </row>
    <row r="387">
      <c r="F387" s="1410"/>
      <c r="H387" s="1053"/>
      <c r="I387" s="1412"/>
      <c r="J387" s="1413"/>
      <c r="K387" s="1415"/>
    </row>
    <row r="388">
      <c r="F388" s="1410"/>
      <c r="H388" s="1053"/>
      <c r="I388" s="1412"/>
      <c r="J388" s="1413"/>
      <c r="K388" s="1415"/>
    </row>
    <row r="389">
      <c r="F389" s="1410"/>
      <c r="H389" s="1053"/>
      <c r="I389" s="1412"/>
      <c r="J389" s="1413"/>
      <c r="K389" s="1415"/>
    </row>
    <row r="390">
      <c r="F390" s="1410"/>
      <c r="H390" s="1053"/>
      <c r="I390" s="1412"/>
      <c r="J390" s="1413"/>
      <c r="K390" s="1415"/>
    </row>
    <row r="391">
      <c r="F391" s="1410"/>
      <c r="H391" s="1053"/>
      <c r="I391" s="1412"/>
      <c r="J391" s="1413"/>
      <c r="K391" s="1415"/>
    </row>
    <row r="392">
      <c r="F392" s="1410"/>
      <c r="H392" s="1053"/>
      <c r="I392" s="1412"/>
      <c r="J392" s="1413"/>
      <c r="K392" s="1415"/>
    </row>
    <row r="393">
      <c r="F393" s="1410"/>
      <c r="H393" s="1053"/>
      <c r="I393" s="1412"/>
      <c r="J393" s="1413"/>
      <c r="K393" s="1415"/>
    </row>
    <row r="394">
      <c r="F394" s="1410"/>
      <c r="H394" s="1053"/>
      <c r="I394" s="1412"/>
      <c r="J394" s="1413"/>
      <c r="K394" s="1415"/>
    </row>
    <row r="395">
      <c r="F395" s="1410"/>
      <c r="H395" s="1053"/>
      <c r="I395" s="1412"/>
      <c r="J395" s="1413"/>
      <c r="K395" s="1415"/>
    </row>
    <row r="396">
      <c r="F396" s="1410"/>
      <c r="H396" s="1053"/>
      <c r="I396" s="1412"/>
      <c r="J396" s="1413"/>
      <c r="K396" s="1415"/>
    </row>
    <row r="397">
      <c r="F397" s="1410"/>
      <c r="H397" s="1053"/>
      <c r="I397" s="1412"/>
      <c r="J397" s="1413"/>
      <c r="K397" s="1415"/>
    </row>
    <row r="398">
      <c r="F398" s="1410"/>
      <c r="H398" s="1053"/>
      <c r="I398" s="1412"/>
      <c r="J398" s="1413"/>
      <c r="K398" s="1415"/>
    </row>
    <row r="399">
      <c r="F399" s="1410"/>
      <c r="H399" s="1053"/>
      <c r="I399" s="1412"/>
      <c r="J399" s="1413"/>
      <c r="K399" s="1415"/>
    </row>
    <row r="400">
      <c r="F400" s="1410"/>
      <c r="H400" s="1053"/>
      <c r="I400" s="1412"/>
      <c r="J400" s="1413"/>
      <c r="K400" s="1415"/>
    </row>
    <row r="401">
      <c r="F401" s="1410"/>
      <c r="H401" s="1053"/>
      <c r="I401" s="1412"/>
      <c r="J401" s="1413"/>
      <c r="K401" s="1415"/>
    </row>
    <row r="402">
      <c r="F402" s="1410"/>
      <c r="H402" s="1053"/>
      <c r="I402" s="1412"/>
      <c r="J402" s="1413"/>
      <c r="K402" s="1415"/>
    </row>
    <row r="403">
      <c r="F403" s="1410"/>
      <c r="H403" s="1053"/>
      <c r="I403" s="1412"/>
      <c r="J403" s="1413"/>
      <c r="K403" s="1415"/>
    </row>
    <row r="404">
      <c r="F404" s="1410"/>
      <c r="H404" s="1053"/>
      <c r="I404" s="1412"/>
      <c r="J404" s="1413"/>
      <c r="K404" s="1415"/>
    </row>
    <row r="405">
      <c r="F405" s="1410"/>
      <c r="H405" s="1053"/>
      <c r="I405" s="1412"/>
      <c r="J405" s="1413"/>
      <c r="K405" s="1415"/>
    </row>
    <row r="406">
      <c r="F406" s="1410"/>
      <c r="H406" s="1053"/>
      <c r="I406" s="1412"/>
      <c r="J406" s="1413"/>
      <c r="K406" s="1415"/>
    </row>
    <row r="407">
      <c r="F407" s="1410"/>
      <c r="H407" s="1053"/>
      <c r="I407" s="1412"/>
      <c r="J407" s="1413"/>
      <c r="K407" s="1415"/>
    </row>
    <row r="408">
      <c r="F408" s="1410"/>
      <c r="H408" s="1053"/>
      <c r="I408" s="1412"/>
      <c r="J408" s="1413"/>
      <c r="K408" s="1415"/>
    </row>
    <row r="409">
      <c r="F409" s="1410"/>
      <c r="H409" s="1053"/>
      <c r="I409" s="1412"/>
      <c r="J409" s="1413"/>
      <c r="K409" s="1415"/>
    </row>
    <row r="410">
      <c r="F410" s="1410"/>
      <c r="H410" s="1053"/>
      <c r="I410" s="1412"/>
      <c r="J410" s="1413"/>
      <c r="K410" s="1415"/>
    </row>
    <row r="411">
      <c r="F411" s="1410"/>
      <c r="H411" s="1053"/>
      <c r="I411" s="1412"/>
      <c r="J411" s="1413"/>
      <c r="K411" s="1415"/>
    </row>
    <row r="412">
      <c r="F412" s="1410"/>
      <c r="H412" s="1053"/>
      <c r="I412" s="1412"/>
      <c r="J412" s="1413"/>
      <c r="K412" s="1415"/>
    </row>
    <row r="413">
      <c r="F413" s="1410"/>
      <c r="H413" s="1053"/>
      <c r="I413" s="1412"/>
      <c r="J413" s="1413"/>
      <c r="K413" s="1415"/>
    </row>
    <row r="414">
      <c r="F414" s="1410"/>
      <c r="H414" s="1053"/>
      <c r="I414" s="1412"/>
      <c r="J414" s="1413"/>
      <c r="K414" s="1415"/>
    </row>
    <row r="415">
      <c r="F415" s="1410"/>
      <c r="H415" s="1053"/>
      <c r="I415" s="1412"/>
      <c r="J415" s="1413"/>
      <c r="K415" s="1415"/>
    </row>
    <row r="416">
      <c r="F416" s="1410"/>
      <c r="H416" s="1053"/>
      <c r="I416" s="1412"/>
      <c r="J416" s="1413"/>
      <c r="K416" s="1415"/>
    </row>
    <row r="417">
      <c r="F417" s="1410"/>
      <c r="H417" s="1053"/>
      <c r="I417" s="1412"/>
      <c r="J417" s="1413"/>
      <c r="K417" s="1415"/>
    </row>
    <row r="418">
      <c r="F418" s="1410"/>
      <c r="H418" s="1053"/>
      <c r="I418" s="1412"/>
      <c r="J418" s="1413"/>
      <c r="K418" s="1415"/>
    </row>
    <row r="419">
      <c r="F419" s="1410"/>
      <c r="H419" s="1053"/>
      <c r="I419" s="1412"/>
      <c r="J419" s="1413"/>
      <c r="K419" s="1415"/>
    </row>
    <row r="420">
      <c r="F420" s="1410"/>
      <c r="H420" s="1053"/>
      <c r="I420" s="1412"/>
      <c r="J420" s="1413"/>
      <c r="K420" s="1415"/>
    </row>
    <row r="421">
      <c r="F421" s="1410"/>
      <c r="H421" s="1053"/>
      <c r="I421" s="1412"/>
      <c r="J421" s="1413"/>
      <c r="K421" s="1415"/>
    </row>
    <row r="422">
      <c r="F422" s="1410"/>
      <c r="H422" s="1053"/>
      <c r="I422" s="1412"/>
      <c r="J422" s="1413"/>
      <c r="K422" s="1415"/>
    </row>
    <row r="423">
      <c r="F423" s="1410"/>
      <c r="H423" s="1053"/>
      <c r="I423" s="1412"/>
      <c r="J423" s="1413"/>
      <c r="K423" s="1415"/>
    </row>
    <row r="424">
      <c r="F424" s="1410"/>
      <c r="H424" s="1053"/>
      <c r="I424" s="1412"/>
      <c r="J424" s="1413"/>
      <c r="K424" s="1415"/>
    </row>
    <row r="425">
      <c r="F425" s="1410"/>
      <c r="H425" s="1053"/>
      <c r="I425" s="1412"/>
      <c r="J425" s="1413"/>
      <c r="K425" s="1415"/>
    </row>
    <row r="426">
      <c r="F426" s="1410"/>
      <c r="H426" s="1053"/>
      <c r="I426" s="1412"/>
      <c r="J426" s="1413"/>
      <c r="K426" s="1415"/>
    </row>
    <row r="427">
      <c r="F427" s="1410"/>
      <c r="H427" s="1053"/>
      <c r="I427" s="1412"/>
      <c r="J427" s="1413"/>
      <c r="K427" s="1415"/>
    </row>
    <row r="428">
      <c r="F428" s="1410"/>
      <c r="H428" s="1053"/>
      <c r="I428" s="1412"/>
      <c r="J428" s="1413"/>
      <c r="K428" s="1415"/>
    </row>
    <row r="429">
      <c r="F429" s="1410"/>
      <c r="H429" s="1053"/>
      <c r="I429" s="1412"/>
      <c r="J429" s="1413"/>
      <c r="K429" s="1415"/>
    </row>
    <row r="430">
      <c r="F430" s="1410"/>
      <c r="H430" s="1053"/>
      <c r="I430" s="1412"/>
      <c r="J430" s="1413"/>
      <c r="K430" s="1415"/>
    </row>
    <row r="431">
      <c r="F431" s="1410"/>
      <c r="H431" s="1053"/>
      <c r="I431" s="1412"/>
      <c r="J431" s="1413"/>
      <c r="K431" s="1415"/>
    </row>
    <row r="432">
      <c r="F432" s="1410"/>
      <c r="H432" s="1053"/>
      <c r="I432" s="1412"/>
      <c r="J432" s="1413"/>
      <c r="K432" s="1415"/>
    </row>
    <row r="433">
      <c r="F433" s="1410"/>
      <c r="H433" s="1053"/>
      <c r="I433" s="1412"/>
      <c r="J433" s="1413"/>
      <c r="K433" s="1415"/>
    </row>
    <row r="434">
      <c r="F434" s="1410"/>
      <c r="H434" s="1053"/>
      <c r="I434" s="1412"/>
      <c r="J434" s="1413"/>
      <c r="K434" s="1415"/>
    </row>
    <row r="435">
      <c r="F435" s="1410"/>
      <c r="H435" s="1053"/>
      <c r="I435" s="1412"/>
      <c r="J435" s="1413"/>
      <c r="K435" s="1415"/>
    </row>
    <row r="436">
      <c r="F436" s="1410"/>
      <c r="H436" s="1053"/>
      <c r="I436" s="1412"/>
      <c r="J436" s="1413"/>
      <c r="K436" s="1415"/>
    </row>
    <row r="437">
      <c r="F437" s="1410"/>
      <c r="H437" s="1053"/>
      <c r="I437" s="1412"/>
      <c r="J437" s="1413"/>
      <c r="K437" s="1415"/>
    </row>
    <row r="438">
      <c r="F438" s="1410"/>
      <c r="H438" s="1053"/>
      <c r="I438" s="1412"/>
      <c r="J438" s="1413"/>
      <c r="K438" s="1415"/>
    </row>
    <row r="439">
      <c r="F439" s="1410"/>
      <c r="H439" s="1053"/>
      <c r="I439" s="1412"/>
      <c r="J439" s="1413"/>
      <c r="K439" s="1415"/>
    </row>
    <row r="440">
      <c r="F440" s="1410"/>
      <c r="H440" s="1053"/>
      <c r="I440" s="1412"/>
      <c r="J440" s="1413"/>
      <c r="K440" s="1415"/>
    </row>
    <row r="441">
      <c r="F441" s="1410"/>
      <c r="H441" s="1053"/>
      <c r="I441" s="1412"/>
      <c r="J441" s="1413"/>
      <c r="K441" s="1415"/>
    </row>
    <row r="442">
      <c r="F442" s="1410"/>
      <c r="H442" s="1053"/>
      <c r="I442" s="1412"/>
      <c r="J442" s="1413"/>
      <c r="K442" s="1415"/>
    </row>
    <row r="443">
      <c r="F443" s="1410"/>
      <c r="H443" s="1053"/>
      <c r="I443" s="1412"/>
      <c r="J443" s="1413"/>
      <c r="K443" s="1415"/>
    </row>
    <row r="444">
      <c r="F444" s="1410"/>
      <c r="H444" s="1053"/>
      <c r="I444" s="1412"/>
      <c r="J444" s="1413"/>
      <c r="K444" s="1415"/>
    </row>
    <row r="445">
      <c r="F445" s="1410"/>
      <c r="H445" s="1053"/>
      <c r="I445" s="1412"/>
      <c r="J445" s="1413"/>
      <c r="K445" s="1415"/>
    </row>
    <row r="446">
      <c r="F446" s="1410"/>
      <c r="H446" s="1053"/>
      <c r="I446" s="1412"/>
      <c r="J446" s="1413"/>
      <c r="K446" s="1415"/>
    </row>
    <row r="447">
      <c r="F447" s="1410"/>
      <c r="H447" s="1053"/>
      <c r="I447" s="1412"/>
      <c r="J447" s="1413"/>
      <c r="K447" s="1415"/>
    </row>
    <row r="448">
      <c r="F448" s="1410"/>
      <c r="H448" s="1053"/>
      <c r="I448" s="1412"/>
      <c r="J448" s="1413"/>
      <c r="K448" s="1415"/>
    </row>
    <row r="449">
      <c r="F449" s="1410"/>
      <c r="H449" s="1053"/>
      <c r="I449" s="1412"/>
      <c r="J449" s="1413"/>
      <c r="K449" s="1415"/>
    </row>
    <row r="450">
      <c r="F450" s="1410"/>
      <c r="H450" s="1053"/>
      <c r="I450" s="1412"/>
      <c r="J450" s="1413"/>
      <c r="K450" s="1415"/>
    </row>
    <row r="451">
      <c r="F451" s="1410"/>
      <c r="H451" s="1053"/>
      <c r="I451" s="1412"/>
      <c r="J451" s="1413"/>
      <c r="K451" s="1415"/>
    </row>
    <row r="452">
      <c r="F452" s="1410"/>
      <c r="H452" s="1053"/>
      <c r="I452" s="1412"/>
      <c r="J452" s="1413"/>
      <c r="K452" s="1415"/>
    </row>
    <row r="453">
      <c r="F453" s="1410"/>
      <c r="H453" s="1053"/>
      <c r="I453" s="1412"/>
      <c r="J453" s="1413"/>
      <c r="K453" s="1415"/>
    </row>
    <row r="454">
      <c r="F454" s="1410"/>
      <c r="H454" s="1053"/>
      <c r="I454" s="1412"/>
      <c r="J454" s="1413"/>
      <c r="K454" s="1415"/>
    </row>
    <row r="455">
      <c r="F455" s="1410"/>
      <c r="H455" s="1053"/>
      <c r="I455" s="1412"/>
      <c r="J455" s="1413"/>
      <c r="K455" s="1415"/>
    </row>
    <row r="456">
      <c r="F456" s="1410"/>
      <c r="H456" s="1053"/>
      <c r="I456" s="1412"/>
      <c r="J456" s="1413"/>
      <c r="K456" s="1415"/>
    </row>
    <row r="457">
      <c r="F457" s="1410"/>
      <c r="H457" s="1053"/>
      <c r="I457" s="1412"/>
      <c r="J457" s="1413"/>
      <c r="K457" s="1415"/>
    </row>
    <row r="458">
      <c r="F458" s="1410"/>
      <c r="H458" s="1053"/>
      <c r="I458" s="1412"/>
      <c r="J458" s="1413"/>
      <c r="K458" s="1415"/>
    </row>
    <row r="459">
      <c r="F459" s="1410"/>
      <c r="H459" s="1053"/>
      <c r="I459" s="1412"/>
      <c r="J459" s="1413"/>
      <c r="K459" s="1415"/>
    </row>
    <row r="460">
      <c r="F460" s="1410"/>
      <c r="H460" s="1053"/>
      <c r="I460" s="1412"/>
      <c r="J460" s="1413"/>
      <c r="K460" s="1415"/>
    </row>
    <row r="461">
      <c r="F461" s="1410"/>
      <c r="H461" s="1053"/>
      <c r="I461" s="1412"/>
      <c r="J461" s="1413"/>
      <c r="K461" s="1415"/>
    </row>
    <row r="462">
      <c r="F462" s="1410"/>
      <c r="H462" s="1053"/>
      <c r="I462" s="1412"/>
      <c r="J462" s="1413"/>
      <c r="K462" s="1415"/>
    </row>
    <row r="463">
      <c r="F463" s="1410"/>
      <c r="H463" s="1053"/>
      <c r="I463" s="1412"/>
      <c r="J463" s="1413"/>
      <c r="K463" s="1415"/>
    </row>
    <row r="464">
      <c r="F464" s="1410"/>
      <c r="H464" s="1053"/>
      <c r="I464" s="1412"/>
      <c r="J464" s="1413"/>
      <c r="K464" s="1415"/>
    </row>
    <row r="465">
      <c r="F465" s="1410"/>
      <c r="H465" s="1053"/>
      <c r="I465" s="1412"/>
      <c r="J465" s="1413"/>
      <c r="K465" s="1415"/>
    </row>
    <row r="466">
      <c r="F466" s="1410"/>
      <c r="H466" s="1053"/>
      <c r="I466" s="1412"/>
      <c r="J466" s="1413"/>
      <c r="K466" s="1415"/>
    </row>
    <row r="467">
      <c r="F467" s="1410"/>
      <c r="H467" s="1053"/>
      <c r="I467" s="1412"/>
      <c r="J467" s="1413"/>
      <c r="K467" s="1415"/>
    </row>
    <row r="468">
      <c r="F468" s="1410"/>
      <c r="H468" s="1053"/>
      <c r="I468" s="1412"/>
      <c r="J468" s="1413"/>
      <c r="K468" s="1415"/>
    </row>
    <row r="469">
      <c r="F469" s="1410"/>
      <c r="H469" s="1053"/>
      <c r="I469" s="1412"/>
      <c r="J469" s="1413"/>
      <c r="K469" s="1415"/>
    </row>
    <row r="470">
      <c r="F470" s="1410"/>
      <c r="H470" s="1053"/>
      <c r="I470" s="1412"/>
      <c r="J470" s="1413"/>
      <c r="K470" s="1415"/>
    </row>
    <row r="471">
      <c r="F471" s="1410"/>
      <c r="H471" s="1053"/>
      <c r="I471" s="1412"/>
      <c r="J471" s="1413"/>
      <c r="K471" s="1415"/>
    </row>
    <row r="472">
      <c r="F472" s="1410"/>
      <c r="H472" s="1053"/>
      <c r="I472" s="1412"/>
      <c r="J472" s="1413"/>
      <c r="K472" s="1415"/>
    </row>
    <row r="473">
      <c r="F473" s="1410"/>
      <c r="H473" s="1053"/>
      <c r="I473" s="1412"/>
      <c r="J473" s="1413"/>
      <c r="K473" s="1415"/>
    </row>
    <row r="474">
      <c r="F474" s="1410"/>
      <c r="H474" s="1053"/>
      <c r="I474" s="1412"/>
      <c r="J474" s="1413"/>
      <c r="K474" s="1415"/>
    </row>
    <row r="475">
      <c r="F475" s="1410"/>
      <c r="H475" s="1053"/>
      <c r="I475" s="1412"/>
      <c r="J475" s="1413"/>
      <c r="K475" s="1415"/>
    </row>
    <row r="476">
      <c r="F476" s="1410"/>
      <c r="H476" s="1053"/>
      <c r="I476" s="1412"/>
      <c r="J476" s="1413"/>
      <c r="K476" s="1415"/>
    </row>
    <row r="477">
      <c r="F477" s="1410"/>
      <c r="H477" s="1053"/>
      <c r="I477" s="1412"/>
      <c r="J477" s="1413"/>
      <c r="K477" s="1415"/>
    </row>
    <row r="478">
      <c r="F478" s="1410"/>
      <c r="H478" s="1053"/>
      <c r="I478" s="1412"/>
      <c r="J478" s="1413"/>
      <c r="K478" s="1415"/>
    </row>
    <row r="479">
      <c r="F479" s="1410"/>
      <c r="H479" s="1053"/>
      <c r="I479" s="1412"/>
      <c r="J479" s="1413"/>
      <c r="K479" s="1415"/>
    </row>
    <row r="480">
      <c r="F480" s="1410"/>
      <c r="H480" s="1053"/>
      <c r="I480" s="1412"/>
      <c r="J480" s="1413"/>
      <c r="K480" s="1415"/>
    </row>
    <row r="481">
      <c r="F481" s="1410"/>
      <c r="H481" s="1053"/>
      <c r="I481" s="1412"/>
      <c r="J481" s="1413"/>
      <c r="K481" s="1415"/>
    </row>
    <row r="482">
      <c r="F482" s="1410"/>
      <c r="H482" s="1053"/>
      <c r="I482" s="1412"/>
      <c r="J482" s="1413"/>
      <c r="K482" s="1415"/>
    </row>
    <row r="483">
      <c r="F483" s="1410"/>
      <c r="H483" s="1053"/>
      <c r="I483" s="1412"/>
      <c r="J483" s="1413"/>
      <c r="K483" s="1415"/>
    </row>
    <row r="484">
      <c r="F484" s="1410"/>
      <c r="H484" s="1053"/>
      <c r="I484" s="1412"/>
      <c r="J484" s="1413"/>
      <c r="K484" s="1415"/>
    </row>
    <row r="485">
      <c r="F485" s="1410"/>
      <c r="H485" s="1053"/>
      <c r="I485" s="1412"/>
      <c r="J485" s="1413"/>
      <c r="K485" s="1415"/>
    </row>
    <row r="486">
      <c r="F486" s="1410"/>
      <c r="H486" s="1053"/>
      <c r="I486" s="1412"/>
      <c r="J486" s="1413"/>
      <c r="K486" s="1415"/>
    </row>
    <row r="487">
      <c r="F487" s="1410"/>
      <c r="H487" s="1053"/>
      <c r="I487" s="1412"/>
      <c r="J487" s="1413"/>
      <c r="K487" s="1415"/>
    </row>
    <row r="488">
      <c r="F488" s="1410"/>
      <c r="H488" s="1053"/>
      <c r="I488" s="1412"/>
      <c r="J488" s="1413"/>
      <c r="K488" s="1415"/>
    </row>
    <row r="489">
      <c r="F489" s="1410"/>
      <c r="H489" s="1053"/>
      <c r="I489" s="1412"/>
      <c r="J489" s="1413"/>
      <c r="K489" s="1415"/>
    </row>
    <row r="490">
      <c r="F490" s="1410"/>
      <c r="H490" s="1053"/>
      <c r="I490" s="1412"/>
      <c r="J490" s="1413"/>
      <c r="K490" s="1415"/>
    </row>
    <row r="491">
      <c r="F491" s="1410"/>
      <c r="H491" s="1053"/>
      <c r="I491" s="1412"/>
      <c r="J491" s="1413"/>
      <c r="K491" s="1415"/>
    </row>
    <row r="492">
      <c r="F492" s="1410"/>
      <c r="H492" s="1053"/>
      <c r="I492" s="1412"/>
      <c r="J492" s="1413"/>
      <c r="K492" s="1415"/>
    </row>
    <row r="493">
      <c r="F493" s="1410"/>
      <c r="H493" s="1053"/>
      <c r="I493" s="1412"/>
      <c r="J493" s="1413"/>
      <c r="K493" s="1415"/>
    </row>
    <row r="494">
      <c r="F494" s="1410"/>
      <c r="H494" s="1053"/>
      <c r="I494" s="1412"/>
      <c r="J494" s="1413"/>
      <c r="K494" s="1415"/>
    </row>
    <row r="495">
      <c r="F495" s="1410"/>
      <c r="H495" s="1053"/>
      <c r="I495" s="1412"/>
      <c r="J495" s="1413"/>
      <c r="K495" s="1415"/>
    </row>
    <row r="496">
      <c r="F496" s="1410"/>
      <c r="H496" s="1053"/>
      <c r="I496" s="1412"/>
      <c r="J496" s="1413"/>
      <c r="K496" s="1415"/>
    </row>
    <row r="497">
      <c r="F497" s="1410"/>
      <c r="H497" s="1053"/>
      <c r="I497" s="1412"/>
      <c r="J497" s="1413"/>
      <c r="K497" s="1415"/>
    </row>
    <row r="498">
      <c r="F498" s="1410"/>
      <c r="H498" s="1053"/>
      <c r="I498" s="1412"/>
      <c r="J498" s="1413"/>
      <c r="K498" s="1415"/>
    </row>
    <row r="499">
      <c r="F499" s="1410"/>
      <c r="H499" s="1053"/>
      <c r="I499" s="1412"/>
      <c r="J499" s="1413"/>
      <c r="K499" s="1415"/>
    </row>
    <row r="500">
      <c r="F500" s="1410"/>
      <c r="H500" s="1053"/>
      <c r="I500" s="1412"/>
      <c r="J500" s="1413"/>
      <c r="K500" s="1415"/>
    </row>
    <row r="501">
      <c r="F501" s="1410"/>
      <c r="H501" s="1053"/>
      <c r="I501" s="1412"/>
      <c r="J501" s="1413"/>
      <c r="K501" s="1415"/>
    </row>
    <row r="502">
      <c r="F502" s="1410"/>
      <c r="H502" s="1053"/>
      <c r="I502" s="1412"/>
      <c r="J502" s="1413"/>
      <c r="K502" s="1415"/>
    </row>
    <row r="503">
      <c r="F503" s="1410"/>
      <c r="H503" s="1053"/>
      <c r="I503" s="1412"/>
      <c r="J503" s="1413"/>
      <c r="K503" s="1415"/>
    </row>
    <row r="504">
      <c r="F504" s="1410"/>
      <c r="H504" s="1053"/>
      <c r="I504" s="1412"/>
      <c r="J504" s="1413"/>
      <c r="K504" s="1415"/>
    </row>
    <row r="505">
      <c r="F505" s="1410"/>
      <c r="H505" s="1053"/>
      <c r="I505" s="1412"/>
      <c r="J505" s="1413"/>
      <c r="K505" s="1415"/>
    </row>
    <row r="506">
      <c r="F506" s="1410"/>
      <c r="H506" s="1053"/>
      <c r="I506" s="1412"/>
      <c r="J506" s="1413"/>
      <c r="K506" s="1415"/>
    </row>
    <row r="507">
      <c r="F507" s="1410"/>
      <c r="H507" s="1053"/>
      <c r="I507" s="1412"/>
      <c r="J507" s="1413"/>
      <c r="K507" s="1415"/>
    </row>
    <row r="508">
      <c r="F508" s="1410"/>
      <c r="H508" s="1053"/>
      <c r="I508" s="1412"/>
      <c r="J508" s="1413"/>
      <c r="K508" s="1415"/>
    </row>
    <row r="509">
      <c r="F509" s="1410"/>
      <c r="H509" s="1053"/>
      <c r="I509" s="1412"/>
      <c r="J509" s="1413"/>
      <c r="K509" s="1415"/>
    </row>
    <row r="510">
      <c r="F510" s="1410"/>
      <c r="H510" s="1053"/>
      <c r="I510" s="1412"/>
      <c r="J510" s="1413"/>
      <c r="K510" s="1415"/>
    </row>
    <row r="511">
      <c r="F511" s="1410"/>
      <c r="H511" s="1053"/>
      <c r="I511" s="1412"/>
      <c r="J511" s="1413"/>
      <c r="K511" s="1415"/>
    </row>
    <row r="512">
      <c r="F512" s="1410"/>
      <c r="H512" s="1053"/>
      <c r="I512" s="1412"/>
      <c r="J512" s="1413"/>
      <c r="K512" s="1415"/>
    </row>
    <row r="513">
      <c r="F513" s="1410"/>
      <c r="H513" s="1053"/>
      <c r="I513" s="1412"/>
      <c r="J513" s="1413"/>
      <c r="K513" s="1415"/>
    </row>
    <row r="514">
      <c r="F514" s="1410"/>
      <c r="H514" s="1053"/>
      <c r="I514" s="1412"/>
      <c r="J514" s="1413"/>
      <c r="K514" s="1415"/>
    </row>
    <row r="515">
      <c r="F515" s="1410"/>
      <c r="H515" s="1053"/>
      <c r="I515" s="1412"/>
      <c r="J515" s="1413"/>
      <c r="K515" s="1415"/>
    </row>
    <row r="516">
      <c r="F516" s="1410"/>
      <c r="H516" s="1053"/>
      <c r="I516" s="1412"/>
      <c r="J516" s="1413"/>
      <c r="K516" s="1415"/>
    </row>
    <row r="517">
      <c r="F517" s="1410"/>
      <c r="H517" s="1053"/>
      <c r="I517" s="1412"/>
      <c r="J517" s="1413"/>
      <c r="K517" s="1415"/>
    </row>
    <row r="518">
      <c r="F518" s="1410"/>
      <c r="H518" s="1053"/>
      <c r="I518" s="1412"/>
      <c r="J518" s="1413"/>
      <c r="K518" s="1415"/>
    </row>
    <row r="519">
      <c r="F519" s="1410"/>
      <c r="H519" s="1053"/>
      <c r="I519" s="1412"/>
      <c r="J519" s="1413"/>
      <c r="K519" s="1415"/>
    </row>
    <row r="520">
      <c r="F520" s="1410"/>
      <c r="H520" s="1053"/>
      <c r="I520" s="1412"/>
      <c r="J520" s="1413"/>
      <c r="K520" s="1415"/>
    </row>
    <row r="521">
      <c r="F521" s="1410"/>
      <c r="H521" s="1053"/>
      <c r="I521" s="1412"/>
      <c r="J521" s="1413"/>
      <c r="K521" s="1415"/>
    </row>
    <row r="522">
      <c r="F522" s="1410"/>
      <c r="H522" s="1053"/>
      <c r="I522" s="1412"/>
      <c r="J522" s="1413"/>
      <c r="K522" s="1415"/>
    </row>
    <row r="523">
      <c r="F523" s="1410"/>
      <c r="H523" s="1053"/>
      <c r="I523" s="1412"/>
      <c r="J523" s="1413"/>
      <c r="K523" s="1415"/>
    </row>
    <row r="524">
      <c r="F524" s="1410"/>
      <c r="H524" s="1053"/>
      <c r="I524" s="1412"/>
      <c r="J524" s="1413"/>
      <c r="K524" s="1415"/>
    </row>
    <row r="525">
      <c r="F525" s="1410"/>
      <c r="H525" s="1053"/>
      <c r="I525" s="1412"/>
      <c r="J525" s="1413"/>
      <c r="K525" s="1415"/>
    </row>
    <row r="526">
      <c r="F526" s="1410"/>
      <c r="H526" s="1053"/>
      <c r="I526" s="1412"/>
      <c r="J526" s="1413"/>
      <c r="K526" s="1415"/>
    </row>
    <row r="527">
      <c r="F527" s="1410"/>
      <c r="H527" s="1053"/>
      <c r="I527" s="1412"/>
      <c r="J527" s="1413"/>
      <c r="K527" s="1415"/>
    </row>
    <row r="528">
      <c r="F528" s="1410"/>
      <c r="H528" s="1053"/>
      <c r="I528" s="1412"/>
      <c r="J528" s="1413"/>
      <c r="K528" s="1415"/>
    </row>
    <row r="529">
      <c r="F529" s="1410"/>
      <c r="H529" s="1053"/>
      <c r="I529" s="1412"/>
      <c r="J529" s="1413"/>
      <c r="K529" s="1415"/>
    </row>
    <row r="530">
      <c r="F530" s="1410"/>
      <c r="H530" s="1053"/>
      <c r="I530" s="1412"/>
      <c r="J530" s="1413"/>
      <c r="K530" s="1415"/>
    </row>
    <row r="531">
      <c r="F531" s="1410"/>
      <c r="H531" s="1053"/>
      <c r="I531" s="1412"/>
      <c r="J531" s="1413"/>
      <c r="K531" s="1415"/>
    </row>
    <row r="532">
      <c r="F532" s="1410"/>
      <c r="H532" s="1053"/>
      <c r="I532" s="1412"/>
      <c r="J532" s="1413"/>
      <c r="K532" s="1415"/>
    </row>
    <row r="533">
      <c r="F533" s="1410"/>
      <c r="H533" s="1053"/>
      <c r="I533" s="1412"/>
      <c r="J533" s="1413"/>
      <c r="K533" s="1415"/>
    </row>
    <row r="534">
      <c r="F534" s="1410"/>
      <c r="H534" s="1053"/>
      <c r="I534" s="1412"/>
      <c r="J534" s="1413"/>
      <c r="K534" s="1415"/>
    </row>
    <row r="535">
      <c r="F535" s="1410"/>
      <c r="H535" s="1053"/>
      <c r="I535" s="1412"/>
      <c r="J535" s="1413"/>
      <c r="K535" s="1415"/>
    </row>
    <row r="536">
      <c r="F536" s="1410"/>
      <c r="H536" s="1053"/>
      <c r="I536" s="1412"/>
      <c r="J536" s="1413"/>
      <c r="K536" s="1415"/>
    </row>
    <row r="537">
      <c r="F537" s="1410"/>
      <c r="H537" s="1053"/>
      <c r="I537" s="1412"/>
      <c r="J537" s="1413"/>
      <c r="K537" s="1415"/>
    </row>
    <row r="538">
      <c r="F538" s="1410"/>
      <c r="H538" s="1053"/>
      <c r="I538" s="1412"/>
      <c r="J538" s="1413"/>
      <c r="K538" s="1415"/>
    </row>
    <row r="539">
      <c r="F539" s="1410"/>
      <c r="H539" s="1053"/>
      <c r="I539" s="1412"/>
      <c r="J539" s="1413"/>
      <c r="K539" s="1415"/>
    </row>
    <row r="540">
      <c r="F540" s="1410"/>
      <c r="H540" s="1053"/>
      <c r="I540" s="1412"/>
      <c r="J540" s="1413"/>
      <c r="K540" s="1415"/>
    </row>
    <row r="541">
      <c r="F541" s="1410"/>
      <c r="H541" s="1053"/>
      <c r="I541" s="1412"/>
      <c r="J541" s="1413"/>
      <c r="K541" s="1415"/>
    </row>
    <row r="542">
      <c r="F542" s="1410"/>
      <c r="H542" s="1053"/>
      <c r="I542" s="1412"/>
      <c r="J542" s="1413"/>
      <c r="K542" s="1415"/>
    </row>
    <row r="543">
      <c r="F543" s="1410"/>
      <c r="H543" s="1053"/>
      <c r="I543" s="1412"/>
      <c r="J543" s="1413"/>
      <c r="K543" s="1415"/>
    </row>
    <row r="544">
      <c r="F544" s="1410"/>
      <c r="H544" s="1053"/>
      <c r="I544" s="1412"/>
      <c r="J544" s="1413"/>
      <c r="K544" s="1415"/>
    </row>
    <row r="545">
      <c r="F545" s="1410"/>
      <c r="H545" s="1053"/>
      <c r="I545" s="1412"/>
      <c r="J545" s="1413"/>
      <c r="K545" s="1415"/>
    </row>
    <row r="546">
      <c r="F546" s="1410"/>
      <c r="H546" s="1053"/>
      <c r="I546" s="1412"/>
      <c r="J546" s="1413"/>
      <c r="K546" s="1415"/>
    </row>
    <row r="547">
      <c r="F547" s="1410"/>
      <c r="H547" s="1053"/>
      <c r="I547" s="1412"/>
      <c r="J547" s="1413"/>
      <c r="K547" s="1415"/>
    </row>
    <row r="548">
      <c r="F548" s="1410"/>
      <c r="H548" s="1053"/>
      <c r="I548" s="1412"/>
      <c r="J548" s="1413"/>
      <c r="K548" s="1415"/>
    </row>
    <row r="549">
      <c r="F549" s="1410"/>
      <c r="H549" s="1053"/>
      <c r="I549" s="1412"/>
      <c r="J549" s="1413"/>
      <c r="K549" s="1415"/>
    </row>
    <row r="550">
      <c r="F550" s="1410"/>
      <c r="H550" s="1053"/>
      <c r="I550" s="1412"/>
      <c r="J550" s="1413"/>
      <c r="K550" s="1415"/>
    </row>
    <row r="551">
      <c r="F551" s="1410"/>
      <c r="H551" s="1053"/>
      <c r="I551" s="1412"/>
      <c r="J551" s="1413"/>
      <c r="K551" s="1415"/>
    </row>
    <row r="552">
      <c r="F552" s="1410"/>
      <c r="H552" s="1053"/>
      <c r="I552" s="1412"/>
      <c r="J552" s="1413"/>
      <c r="K552" s="1415"/>
    </row>
    <row r="553">
      <c r="F553" s="1410"/>
      <c r="H553" s="1053"/>
      <c r="I553" s="1412"/>
      <c r="J553" s="1413"/>
      <c r="K553" s="1415"/>
    </row>
    <row r="554">
      <c r="F554" s="1410"/>
      <c r="H554" s="1053"/>
      <c r="I554" s="1412"/>
      <c r="J554" s="1413"/>
      <c r="K554" s="1415"/>
    </row>
    <row r="555">
      <c r="F555" s="1410"/>
      <c r="H555" s="1053"/>
      <c r="I555" s="1412"/>
      <c r="J555" s="1413"/>
      <c r="K555" s="1415"/>
    </row>
    <row r="556">
      <c r="F556" s="1410"/>
      <c r="H556" s="1053"/>
      <c r="I556" s="1412"/>
      <c r="J556" s="1413"/>
      <c r="K556" s="1415"/>
    </row>
    <row r="557">
      <c r="F557" s="1410"/>
      <c r="H557" s="1053"/>
      <c r="I557" s="1412"/>
      <c r="J557" s="1413"/>
      <c r="K557" s="1415"/>
    </row>
    <row r="558">
      <c r="F558" s="1410"/>
      <c r="H558" s="1053"/>
      <c r="I558" s="1412"/>
      <c r="J558" s="1413"/>
      <c r="K558" s="1415"/>
    </row>
    <row r="559">
      <c r="F559" s="1410"/>
      <c r="H559" s="1053"/>
      <c r="I559" s="1412"/>
      <c r="J559" s="1413"/>
      <c r="K559" s="1415"/>
    </row>
    <row r="560">
      <c r="F560" s="1410"/>
      <c r="H560" s="1053"/>
      <c r="I560" s="1412"/>
      <c r="J560" s="1413"/>
      <c r="K560" s="1415"/>
    </row>
    <row r="561">
      <c r="F561" s="1410"/>
      <c r="H561" s="1053"/>
      <c r="I561" s="1412"/>
      <c r="J561" s="1413"/>
      <c r="K561" s="1415"/>
    </row>
    <row r="562">
      <c r="F562" s="1410"/>
      <c r="H562" s="1053"/>
      <c r="I562" s="1412"/>
      <c r="J562" s="1413"/>
      <c r="K562" s="1415"/>
    </row>
    <row r="563">
      <c r="F563" s="1410"/>
      <c r="H563" s="1053"/>
      <c r="I563" s="1412"/>
      <c r="J563" s="1413"/>
      <c r="K563" s="1415"/>
    </row>
    <row r="564">
      <c r="F564" s="1410"/>
      <c r="H564" s="1053"/>
      <c r="I564" s="1412"/>
      <c r="J564" s="1413"/>
      <c r="K564" s="1415"/>
    </row>
    <row r="565">
      <c r="F565" s="1410"/>
      <c r="H565" s="1053"/>
      <c r="I565" s="1412"/>
      <c r="J565" s="1413"/>
      <c r="K565" s="1415"/>
    </row>
    <row r="566">
      <c r="F566" s="1410"/>
      <c r="H566" s="1053"/>
      <c r="I566" s="1412"/>
      <c r="J566" s="1413"/>
      <c r="K566" s="1415"/>
    </row>
    <row r="567">
      <c r="F567" s="1410"/>
      <c r="H567" s="1053"/>
      <c r="I567" s="1412"/>
      <c r="J567" s="1413"/>
      <c r="K567" s="1415"/>
    </row>
    <row r="568">
      <c r="F568" s="1410"/>
      <c r="H568" s="1053"/>
      <c r="I568" s="1412"/>
      <c r="J568" s="1413"/>
      <c r="K568" s="1415"/>
    </row>
    <row r="569">
      <c r="F569" s="1410"/>
      <c r="H569" s="1053"/>
      <c r="I569" s="1412"/>
      <c r="J569" s="1413"/>
      <c r="K569" s="1415"/>
    </row>
    <row r="570">
      <c r="F570" s="1410"/>
      <c r="H570" s="1053"/>
      <c r="I570" s="1412"/>
      <c r="J570" s="1413"/>
      <c r="K570" s="1415"/>
    </row>
    <row r="571">
      <c r="F571" s="1410"/>
      <c r="H571" s="1053"/>
      <c r="I571" s="1412"/>
      <c r="J571" s="1413"/>
      <c r="K571" s="1415"/>
    </row>
    <row r="572">
      <c r="F572" s="1410"/>
      <c r="H572" s="1053"/>
      <c r="I572" s="1412"/>
      <c r="J572" s="1413"/>
      <c r="K572" s="1415"/>
    </row>
    <row r="573">
      <c r="F573" s="1410"/>
      <c r="H573" s="1053"/>
      <c r="I573" s="1412"/>
      <c r="J573" s="1413"/>
      <c r="K573" s="1415"/>
    </row>
    <row r="574">
      <c r="F574" s="1410"/>
      <c r="H574" s="1053"/>
      <c r="I574" s="1412"/>
      <c r="J574" s="1413"/>
      <c r="K574" s="1415"/>
    </row>
    <row r="575">
      <c r="F575" s="1410"/>
      <c r="H575" s="1053"/>
      <c r="I575" s="1412"/>
      <c r="J575" s="1413"/>
      <c r="K575" s="1415"/>
    </row>
    <row r="576">
      <c r="F576" s="1410"/>
      <c r="H576" s="1053"/>
      <c r="I576" s="1412"/>
      <c r="J576" s="1413"/>
      <c r="K576" s="1415"/>
    </row>
    <row r="577">
      <c r="F577" s="1410"/>
      <c r="H577" s="1053"/>
      <c r="I577" s="1412"/>
      <c r="J577" s="1413"/>
      <c r="K577" s="1415"/>
    </row>
    <row r="578">
      <c r="F578" s="1410"/>
      <c r="H578" s="1053"/>
      <c r="I578" s="1412"/>
      <c r="J578" s="1413"/>
      <c r="K578" s="1415"/>
    </row>
    <row r="579">
      <c r="F579" s="1410"/>
      <c r="H579" s="1053"/>
      <c r="I579" s="1412"/>
      <c r="J579" s="1413"/>
      <c r="K579" s="1415"/>
    </row>
    <row r="580">
      <c r="F580" s="1410"/>
      <c r="H580" s="1053"/>
      <c r="I580" s="1412"/>
      <c r="J580" s="1413"/>
      <c r="K580" s="1415"/>
    </row>
    <row r="581">
      <c r="F581" s="1410"/>
      <c r="H581" s="1053"/>
      <c r="I581" s="1412"/>
      <c r="J581" s="1413"/>
      <c r="K581" s="1415"/>
    </row>
    <row r="582">
      <c r="F582" s="1410"/>
      <c r="H582" s="1053"/>
      <c r="I582" s="1412"/>
      <c r="J582" s="1413"/>
      <c r="K582" s="1415"/>
    </row>
    <row r="583">
      <c r="F583" s="1410"/>
      <c r="H583" s="1053"/>
      <c r="I583" s="1412"/>
      <c r="J583" s="1413"/>
      <c r="K583" s="1415"/>
    </row>
    <row r="584">
      <c r="F584" s="1410"/>
      <c r="H584" s="1053"/>
      <c r="I584" s="1412"/>
      <c r="J584" s="1413"/>
      <c r="K584" s="1415"/>
    </row>
    <row r="585">
      <c r="F585" s="1410"/>
      <c r="H585" s="1053"/>
      <c r="I585" s="1412"/>
      <c r="J585" s="1413"/>
      <c r="K585" s="1415"/>
    </row>
    <row r="586">
      <c r="F586" s="1410"/>
      <c r="H586" s="1053"/>
      <c r="I586" s="1412"/>
      <c r="J586" s="1413"/>
      <c r="K586" s="1415"/>
    </row>
    <row r="587">
      <c r="F587" s="1410"/>
      <c r="H587" s="1053"/>
      <c r="I587" s="1412"/>
      <c r="J587" s="1413"/>
      <c r="K587" s="1415"/>
    </row>
    <row r="588">
      <c r="F588" s="1410"/>
      <c r="H588" s="1053"/>
      <c r="I588" s="1412"/>
      <c r="J588" s="1413"/>
      <c r="K588" s="1415"/>
    </row>
    <row r="589">
      <c r="F589" s="1410"/>
      <c r="H589" s="1053"/>
      <c r="I589" s="1412"/>
      <c r="J589" s="1413"/>
      <c r="K589" s="1415"/>
    </row>
    <row r="590">
      <c r="F590" s="1410"/>
      <c r="H590" s="1053"/>
      <c r="I590" s="1412"/>
      <c r="J590" s="1413"/>
      <c r="K590" s="1415"/>
    </row>
    <row r="591">
      <c r="F591" s="1410"/>
      <c r="H591" s="1053"/>
      <c r="I591" s="1412"/>
      <c r="J591" s="1413"/>
      <c r="K591" s="1415"/>
    </row>
    <row r="592">
      <c r="F592" s="1410"/>
      <c r="H592" s="1053"/>
      <c r="I592" s="1412"/>
      <c r="J592" s="1413"/>
      <c r="K592" s="1415"/>
    </row>
    <row r="593">
      <c r="F593" s="1410"/>
      <c r="H593" s="1053"/>
      <c r="I593" s="1412"/>
      <c r="J593" s="1413"/>
      <c r="K593" s="1415"/>
    </row>
    <row r="594">
      <c r="F594" s="1410"/>
      <c r="H594" s="1053"/>
      <c r="I594" s="1412"/>
      <c r="J594" s="1413"/>
      <c r="K594" s="1415"/>
    </row>
    <row r="595">
      <c r="F595" s="1410"/>
      <c r="H595" s="1053"/>
      <c r="I595" s="1412"/>
      <c r="J595" s="1413"/>
      <c r="K595" s="1415"/>
    </row>
    <row r="596">
      <c r="F596" s="1410"/>
      <c r="H596" s="1053"/>
      <c r="I596" s="1412"/>
      <c r="J596" s="1413"/>
      <c r="K596" s="1415"/>
    </row>
    <row r="597">
      <c r="F597" s="1410"/>
      <c r="H597" s="1053"/>
      <c r="I597" s="1412"/>
      <c r="J597" s="1413"/>
      <c r="K597" s="1415"/>
    </row>
    <row r="598">
      <c r="F598" s="1410"/>
      <c r="H598" s="1053"/>
      <c r="I598" s="1412"/>
      <c r="J598" s="1413"/>
      <c r="K598" s="1415"/>
    </row>
    <row r="599">
      <c r="F599" s="1410"/>
      <c r="H599" s="1053"/>
      <c r="I599" s="1412"/>
      <c r="J599" s="1413"/>
      <c r="K599" s="1415"/>
    </row>
    <row r="600">
      <c r="F600" s="1410"/>
      <c r="H600" s="1053"/>
      <c r="I600" s="1412"/>
      <c r="J600" s="1413"/>
      <c r="K600" s="1415"/>
    </row>
    <row r="601">
      <c r="F601" s="1410"/>
      <c r="H601" s="1053"/>
      <c r="I601" s="1412"/>
      <c r="J601" s="1413"/>
      <c r="K601" s="1415"/>
    </row>
    <row r="602">
      <c r="F602" s="1410"/>
      <c r="H602" s="1053"/>
      <c r="I602" s="1412"/>
      <c r="J602" s="1413"/>
      <c r="K602" s="1415"/>
    </row>
    <row r="603">
      <c r="F603" s="1410"/>
      <c r="H603" s="1053"/>
      <c r="I603" s="1412"/>
      <c r="J603" s="1413"/>
      <c r="K603" s="1415"/>
    </row>
    <row r="604">
      <c r="F604" s="1410"/>
      <c r="H604" s="1053"/>
      <c r="I604" s="1412"/>
      <c r="J604" s="1413"/>
      <c r="K604" s="1415"/>
    </row>
    <row r="605">
      <c r="F605" s="1410"/>
      <c r="H605" s="1053"/>
      <c r="I605" s="1412"/>
      <c r="J605" s="1413"/>
      <c r="K605" s="1415"/>
    </row>
    <row r="606">
      <c r="F606" s="1410"/>
      <c r="H606" s="1053"/>
      <c r="I606" s="1412"/>
      <c r="J606" s="1413"/>
      <c r="K606" s="1415"/>
    </row>
    <row r="607">
      <c r="F607" s="1410"/>
      <c r="H607" s="1053"/>
      <c r="I607" s="1412"/>
      <c r="J607" s="1413"/>
      <c r="K607" s="1415"/>
    </row>
    <row r="608">
      <c r="F608" s="1410"/>
      <c r="H608" s="1053"/>
      <c r="I608" s="1412"/>
      <c r="J608" s="1413"/>
      <c r="K608" s="1415"/>
    </row>
    <row r="609">
      <c r="F609" s="1410"/>
      <c r="H609" s="1053"/>
      <c r="I609" s="1412"/>
      <c r="J609" s="1413"/>
      <c r="K609" s="1415"/>
    </row>
    <row r="610">
      <c r="F610" s="1410"/>
      <c r="H610" s="1053"/>
      <c r="I610" s="1412"/>
      <c r="J610" s="1413"/>
      <c r="K610" s="1415"/>
    </row>
    <row r="611">
      <c r="F611" s="1410"/>
      <c r="H611" s="1053"/>
      <c r="I611" s="1412"/>
      <c r="J611" s="1413"/>
      <c r="K611" s="1415"/>
    </row>
    <row r="612">
      <c r="F612" s="1410"/>
      <c r="H612" s="1053"/>
      <c r="I612" s="1412"/>
      <c r="J612" s="1413"/>
      <c r="K612" s="1415"/>
    </row>
    <row r="613">
      <c r="F613" s="1410"/>
      <c r="H613" s="1053"/>
      <c r="I613" s="1412"/>
      <c r="J613" s="1413"/>
      <c r="K613" s="1415"/>
    </row>
    <row r="614">
      <c r="F614" s="1410"/>
      <c r="H614" s="1053"/>
      <c r="I614" s="1412"/>
      <c r="J614" s="1413"/>
      <c r="K614" s="1415"/>
    </row>
    <row r="615">
      <c r="F615" s="1410"/>
      <c r="H615" s="1053"/>
      <c r="I615" s="1412"/>
      <c r="J615" s="1413"/>
      <c r="K615" s="1415"/>
    </row>
    <row r="616">
      <c r="F616" s="1410"/>
      <c r="H616" s="1053"/>
      <c r="I616" s="1412"/>
      <c r="J616" s="1413"/>
      <c r="K616" s="1415"/>
    </row>
    <row r="617">
      <c r="F617" s="1410"/>
      <c r="H617" s="1053"/>
      <c r="I617" s="1412"/>
      <c r="J617" s="1413"/>
      <c r="K617" s="1415"/>
    </row>
    <row r="618">
      <c r="F618" s="1410"/>
      <c r="H618" s="1053"/>
      <c r="I618" s="1412"/>
      <c r="J618" s="1413"/>
      <c r="K618" s="1415"/>
    </row>
    <row r="619">
      <c r="F619" s="1410"/>
      <c r="H619" s="1053"/>
      <c r="I619" s="1412"/>
      <c r="J619" s="1413"/>
      <c r="K619" s="1415"/>
    </row>
    <row r="620">
      <c r="F620" s="1410"/>
      <c r="H620" s="1053"/>
      <c r="I620" s="1412"/>
      <c r="J620" s="1413"/>
      <c r="K620" s="1415"/>
    </row>
    <row r="621">
      <c r="F621" s="1410"/>
      <c r="H621" s="1053"/>
      <c r="I621" s="1412"/>
      <c r="J621" s="1413"/>
      <c r="K621" s="1415"/>
    </row>
    <row r="622">
      <c r="F622" s="1410"/>
      <c r="H622" s="1053"/>
      <c r="I622" s="1412"/>
      <c r="J622" s="1413"/>
      <c r="K622" s="1415"/>
    </row>
    <row r="623">
      <c r="F623" s="1410"/>
      <c r="H623" s="1053"/>
      <c r="I623" s="1412"/>
      <c r="J623" s="1413"/>
      <c r="K623" s="1415"/>
    </row>
    <row r="624">
      <c r="F624" s="1410"/>
      <c r="H624" s="1053"/>
      <c r="I624" s="1412"/>
      <c r="J624" s="1413"/>
      <c r="K624" s="1415"/>
    </row>
    <row r="625">
      <c r="F625" s="1410"/>
      <c r="H625" s="1053"/>
      <c r="I625" s="1412"/>
      <c r="J625" s="1413"/>
      <c r="K625" s="1415"/>
    </row>
    <row r="626">
      <c r="F626" s="1410"/>
      <c r="H626" s="1053"/>
      <c r="I626" s="1412"/>
      <c r="J626" s="1413"/>
      <c r="K626" s="1415"/>
    </row>
    <row r="627">
      <c r="F627" s="1410"/>
      <c r="H627" s="1053"/>
      <c r="I627" s="1412"/>
      <c r="J627" s="1413"/>
      <c r="K627" s="1415"/>
    </row>
    <row r="628">
      <c r="F628" s="1410"/>
      <c r="H628" s="1053"/>
      <c r="I628" s="1412"/>
      <c r="J628" s="1413"/>
      <c r="K628" s="1415"/>
    </row>
    <row r="629">
      <c r="F629" s="1410"/>
      <c r="H629" s="1053"/>
      <c r="I629" s="1412"/>
      <c r="J629" s="1413"/>
      <c r="K629" s="1415"/>
    </row>
    <row r="630">
      <c r="F630" s="1410"/>
      <c r="H630" s="1053"/>
      <c r="I630" s="1412"/>
      <c r="J630" s="1413"/>
      <c r="K630" s="1415"/>
    </row>
    <row r="631">
      <c r="F631" s="1410"/>
      <c r="H631" s="1053"/>
      <c r="I631" s="1412"/>
      <c r="J631" s="1413"/>
      <c r="K631" s="1415"/>
    </row>
    <row r="632">
      <c r="F632" s="1410"/>
      <c r="H632" s="1053"/>
      <c r="I632" s="1412"/>
      <c r="J632" s="1413"/>
      <c r="K632" s="1415"/>
    </row>
    <row r="633">
      <c r="F633" s="1410"/>
      <c r="H633" s="1053"/>
      <c r="I633" s="1412"/>
      <c r="J633" s="1413"/>
      <c r="K633" s="1415"/>
    </row>
    <row r="634">
      <c r="F634" s="1410"/>
      <c r="H634" s="1053"/>
      <c r="I634" s="1412"/>
      <c r="J634" s="1413"/>
      <c r="K634" s="1415"/>
    </row>
    <row r="635">
      <c r="F635" s="1410"/>
      <c r="H635" s="1053"/>
      <c r="I635" s="1412"/>
      <c r="J635" s="1413"/>
      <c r="K635" s="1415"/>
    </row>
    <row r="636">
      <c r="F636" s="1410"/>
      <c r="H636" s="1053"/>
      <c r="I636" s="1412"/>
      <c r="J636" s="1413"/>
      <c r="K636" s="1415"/>
    </row>
    <row r="637">
      <c r="F637" s="1410"/>
      <c r="H637" s="1053"/>
      <c r="I637" s="1412"/>
      <c r="J637" s="1413"/>
      <c r="K637" s="1415"/>
    </row>
    <row r="638">
      <c r="F638" s="1410"/>
      <c r="H638" s="1053"/>
      <c r="I638" s="1412"/>
      <c r="J638" s="1413"/>
      <c r="K638" s="1415"/>
    </row>
    <row r="639">
      <c r="F639" s="1410"/>
      <c r="H639" s="1053"/>
      <c r="I639" s="1412"/>
      <c r="J639" s="1413"/>
      <c r="K639" s="1415"/>
    </row>
    <row r="640">
      <c r="F640" s="1410"/>
      <c r="H640" s="1053"/>
      <c r="I640" s="1412"/>
      <c r="J640" s="1413"/>
      <c r="K640" s="1415"/>
    </row>
    <row r="641">
      <c r="F641" s="1410"/>
      <c r="H641" s="1053"/>
      <c r="I641" s="1412"/>
      <c r="J641" s="1413"/>
      <c r="K641" s="1415"/>
    </row>
    <row r="642">
      <c r="F642" s="1410"/>
      <c r="H642" s="1053"/>
      <c r="I642" s="1412"/>
      <c r="J642" s="1413"/>
      <c r="K642" s="1415"/>
    </row>
    <row r="643">
      <c r="F643" s="1410"/>
      <c r="H643" s="1053"/>
      <c r="I643" s="1412"/>
      <c r="J643" s="1413"/>
      <c r="K643" s="1415"/>
    </row>
    <row r="644">
      <c r="F644" s="1410"/>
      <c r="H644" s="1053"/>
      <c r="I644" s="1412"/>
      <c r="J644" s="1413"/>
      <c r="K644" s="1415"/>
    </row>
    <row r="645">
      <c r="F645" s="1410"/>
      <c r="H645" s="1053"/>
      <c r="I645" s="1412"/>
      <c r="J645" s="1413"/>
      <c r="K645" s="1415"/>
    </row>
    <row r="646">
      <c r="F646" s="1410"/>
      <c r="H646" s="1053"/>
      <c r="I646" s="1412"/>
      <c r="J646" s="1413"/>
      <c r="K646" s="1415"/>
    </row>
    <row r="647">
      <c r="F647" s="1410"/>
      <c r="H647" s="1053"/>
      <c r="I647" s="1412"/>
      <c r="J647" s="1413"/>
      <c r="K647" s="1415"/>
    </row>
    <row r="648">
      <c r="F648" s="1410"/>
      <c r="H648" s="1053"/>
      <c r="I648" s="1412"/>
      <c r="J648" s="1413"/>
      <c r="K648" s="1415"/>
    </row>
    <row r="649">
      <c r="F649" s="1410"/>
      <c r="H649" s="1053"/>
      <c r="I649" s="1412"/>
      <c r="J649" s="1413"/>
      <c r="K649" s="1415"/>
    </row>
    <row r="650">
      <c r="F650" s="1410"/>
      <c r="H650" s="1053"/>
      <c r="I650" s="1412"/>
      <c r="J650" s="1413"/>
      <c r="K650" s="1415"/>
    </row>
    <row r="651">
      <c r="F651" s="1410"/>
      <c r="H651" s="1053"/>
      <c r="I651" s="1412"/>
      <c r="J651" s="1413"/>
      <c r="K651" s="1415"/>
    </row>
    <row r="652">
      <c r="F652" s="1410"/>
      <c r="H652" s="1053"/>
      <c r="I652" s="1412"/>
      <c r="J652" s="1413"/>
      <c r="K652" s="1415"/>
    </row>
    <row r="653">
      <c r="F653" s="1410"/>
      <c r="H653" s="1053"/>
      <c r="I653" s="1412"/>
      <c r="J653" s="1413"/>
      <c r="K653" s="1415"/>
    </row>
    <row r="654">
      <c r="F654" s="1410"/>
      <c r="H654" s="1053"/>
      <c r="I654" s="1412"/>
      <c r="J654" s="1413"/>
      <c r="K654" s="1415"/>
    </row>
    <row r="655">
      <c r="F655" s="1410"/>
      <c r="H655" s="1053"/>
      <c r="I655" s="1412"/>
      <c r="J655" s="1413"/>
      <c r="K655" s="1415"/>
    </row>
    <row r="656">
      <c r="F656" s="1410"/>
      <c r="H656" s="1053"/>
      <c r="I656" s="1412"/>
      <c r="J656" s="1413"/>
      <c r="K656" s="1415"/>
    </row>
    <row r="657">
      <c r="F657" s="1410"/>
      <c r="H657" s="1053"/>
      <c r="I657" s="1412"/>
      <c r="J657" s="1413"/>
      <c r="K657" s="1415"/>
    </row>
    <row r="658">
      <c r="F658" s="1410"/>
      <c r="H658" s="1053"/>
      <c r="I658" s="1412"/>
      <c r="J658" s="1413"/>
      <c r="K658" s="1415"/>
    </row>
    <row r="659">
      <c r="F659" s="1410"/>
      <c r="H659" s="1053"/>
      <c r="I659" s="1412"/>
      <c r="J659" s="1413"/>
      <c r="K659" s="1415"/>
    </row>
    <row r="660">
      <c r="F660" s="1410"/>
      <c r="H660" s="1053"/>
      <c r="I660" s="1412"/>
      <c r="J660" s="1413"/>
      <c r="K660" s="1415"/>
    </row>
    <row r="661">
      <c r="F661" s="1410"/>
      <c r="H661" s="1053"/>
      <c r="I661" s="1412"/>
      <c r="J661" s="1413"/>
      <c r="K661" s="1415"/>
    </row>
    <row r="662">
      <c r="F662" s="1410"/>
      <c r="H662" s="1053"/>
      <c r="I662" s="1412"/>
      <c r="J662" s="1413"/>
      <c r="K662" s="1415"/>
    </row>
    <row r="663">
      <c r="F663" s="1410"/>
      <c r="H663" s="1053"/>
      <c r="I663" s="1412"/>
      <c r="J663" s="1413"/>
      <c r="K663" s="1415"/>
    </row>
    <row r="664">
      <c r="F664" s="1410"/>
      <c r="H664" s="1053"/>
      <c r="I664" s="1412"/>
      <c r="J664" s="1413"/>
      <c r="K664" s="1415"/>
    </row>
    <row r="665">
      <c r="F665" s="1410"/>
      <c r="H665" s="1053"/>
      <c r="I665" s="1412"/>
      <c r="J665" s="1413"/>
      <c r="K665" s="1415"/>
    </row>
    <row r="666">
      <c r="F666" s="1410"/>
      <c r="H666" s="1053"/>
      <c r="I666" s="1412"/>
      <c r="J666" s="1413"/>
      <c r="K666" s="1415"/>
    </row>
    <row r="667">
      <c r="F667" s="1410"/>
      <c r="H667" s="1053"/>
      <c r="I667" s="1412"/>
      <c r="J667" s="1413"/>
      <c r="K667" s="1415"/>
    </row>
    <row r="668">
      <c r="F668" s="1410"/>
      <c r="H668" s="1053"/>
      <c r="I668" s="1412"/>
      <c r="J668" s="1413"/>
      <c r="K668" s="1415"/>
    </row>
    <row r="669">
      <c r="F669" s="1410"/>
      <c r="H669" s="1053"/>
      <c r="I669" s="1412"/>
      <c r="J669" s="1413"/>
      <c r="K669" s="1415"/>
    </row>
    <row r="670">
      <c r="F670" s="1410"/>
      <c r="H670" s="1053"/>
      <c r="I670" s="1412"/>
      <c r="J670" s="1413"/>
      <c r="K670" s="1415"/>
    </row>
    <row r="671">
      <c r="F671" s="1410"/>
      <c r="H671" s="1053"/>
      <c r="I671" s="1412"/>
      <c r="J671" s="1413"/>
      <c r="K671" s="1415"/>
    </row>
    <row r="672">
      <c r="F672" s="1410"/>
      <c r="H672" s="1053"/>
      <c r="I672" s="1412"/>
      <c r="J672" s="1413"/>
      <c r="K672" s="1415"/>
    </row>
    <row r="673">
      <c r="F673" s="1410"/>
      <c r="H673" s="1053"/>
      <c r="I673" s="1412"/>
      <c r="J673" s="1413"/>
      <c r="K673" s="1415"/>
    </row>
    <row r="674">
      <c r="F674" s="1410"/>
      <c r="H674" s="1053"/>
      <c r="I674" s="1412"/>
      <c r="J674" s="1413"/>
      <c r="K674" s="1415"/>
    </row>
    <row r="675">
      <c r="F675" s="1410"/>
      <c r="H675" s="1053"/>
      <c r="I675" s="1412"/>
      <c r="J675" s="1413"/>
      <c r="K675" s="1415"/>
    </row>
    <row r="676">
      <c r="F676" s="1410"/>
      <c r="H676" s="1053"/>
      <c r="I676" s="1412"/>
      <c r="J676" s="1413"/>
      <c r="K676" s="1415"/>
    </row>
    <row r="677">
      <c r="F677" s="1410"/>
      <c r="H677" s="1053"/>
      <c r="I677" s="1412"/>
      <c r="J677" s="1413"/>
      <c r="K677" s="1415"/>
    </row>
    <row r="678">
      <c r="F678" s="1410"/>
      <c r="H678" s="1053"/>
      <c r="I678" s="1412"/>
      <c r="J678" s="1413"/>
      <c r="K678" s="1415"/>
    </row>
    <row r="679">
      <c r="F679" s="1410"/>
      <c r="H679" s="1053"/>
      <c r="I679" s="1412"/>
      <c r="J679" s="1413"/>
      <c r="K679" s="1415"/>
    </row>
    <row r="680">
      <c r="F680" s="1410"/>
      <c r="H680" s="1053"/>
      <c r="I680" s="1412"/>
      <c r="J680" s="1413"/>
      <c r="K680" s="1415"/>
    </row>
    <row r="681">
      <c r="F681" s="1410"/>
      <c r="H681" s="1053"/>
      <c r="I681" s="1412"/>
      <c r="J681" s="1413"/>
      <c r="K681" s="1415"/>
    </row>
    <row r="682">
      <c r="F682" s="1410"/>
      <c r="H682" s="1053"/>
      <c r="I682" s="1412"/>
      <c r="J682" s="1413"/>
      <c r="K682" s="1415"/>
    </row>
    <row r="683">
      <c r="F683" s="1410"/>
      <c r="H683" s="1053"/>
      <c r="I683" s="1412"/>
      <c r="J683" s="1413"/>
      <c r="K683" s="1415"/>
    </row>
    <row r="684">
      <c r="F684" s="1410"/>
      <c r="H684" s="1053"/>
      <c r="I684" s="1412"/>
      <c r="J684" s="1413"/>
      <c r="K684" s="1415"/>
    </row>
    <row r="685">
      <c r="F685" s="1410"/>
      <c r="H685" s="1053"/>
      <c r="I685" s="1412"/>
      <c r="J685" s="1413"/>
      <c r="K685" s="1415"/>
    </row>
    <row r="686">
      <c r="F686" s="1410"/>
      <c r="H686" s="1053"/>
      <c r="I686" s="1412"/>
      <c r="J686" s="1413"/>
      <c r="K686" s="1415"/>
    </row>
    <row r="687">
      <c r="F687" s="1410"/>
      <c r="H687" s="1053"/>
      <c r="I687" s="1412"/>
      <c r="J687" s="1413"/>
      <c r="K687" s="1415"/>
    </row>
    <row r="688">
      <c r="F688" s="1410"/>
      <c r="H688" s="1053"/>
      <c r="I688" s="1412"/>
      <c r="J688" s="1413"/>
      <c r="K688" s="1415"/>
    </row>
    <row r="689">
      <c r="F689" s="1410"/>
      <c r="H689" s="1053"/>
      <c r="I689" s="1412"/>
      <c r="J689" s="1413"/>
      <c r="K689" s="1415"/>
    </row>
    <row r="690">
      <c r="F690" s="1410"/>
      <c r="H690" s="1053"/>
      <c r="I690" s="1412"/>
      <c r="J690" s="1413"/>
      <c r="K690" s="1415"/>
    </row>
    <row r="691">
      <c r="F691" s="1410"/>
      <c r="H691" s="1053"/>
      <c r="I691" s="1412"/>
      <c r="J691" s="1413"/>
      <c r="K691" s="1415"/>
    </row>
    <row r="692">
      <c r="F692" s="1410"/>
      <c r="H692" s="1053"/>
      <c r="I692" s="1412"/>
      <c r="J692" s="1413"/>
      <c r="K692" s="1415"/>
    </row>
    <row r="693">
      <c r="F693" s="1410"/>
      <c r="H693" s="1053"/>
      <c r="I693" s="1412"/>
      <c r="J693" s="1413"/>
      <c r="K693" s="1415"/>
    </row>
    <row r="694">
      <c r="F694" s="1410"/>
      <c r="H694" s="1053"/>
      <c r="I694" s="1412"/>
      <c r="J694" s="1413"/>
      <c r="K694" s="1415"/>
    </row>
    <row r="695">
      <c r="F695" s="1410"/>
      <c r="H695" s="1053"/>
      <c r="I695" s="1412"/>
      <c r="J695" s="1413"/>
      <c r="K695" s="1415"/>
    </row>
    <row r="696">
      <c r="F696" s="1410"/>
      <c r="H696" s="1053"/>
      <c r="I696" s="1412"/>
      <c r="J696" s="1413"/>
      <c r="K696" s="1415"/>
    </row>
    <row r="697">
      <c r="F697" s="1410"/>
      <c r="H697" s="1053"/>
      <c r="I697" s="1412"/>
      <c r="J697" s="1413"/>
      <c r="K697" s="1415"/>
    </row>
    <row r="698">
      <c r="F698" s="1410"/>
      <c r="H698" s="1053"/>
      <c r="I698" s="1412"/>
      <c r="J698" s="1413"/>
      <c r="K698" s="1415"/>
    </row>
    <row r="699">
      <c r="F699" s="1410"/>
      <c r="H699" s="1053"/>
      <c r="I699" s="1412"/>
      <c r="J699" s="1413"/>
      <c r="K699" s="1415"/>
    </row>
    <row r="700">
      <c r="F700" s="1410"/>
      <c r="H700" s="1053"/>
      <c r="I700" s="1412"/>
      <c r="J700" s="1413"/>
      <c r="K700" s="1415"/>
    </row>
    <row r="701">
      <c r="F701" s="1410"/>
      <c r="H701" s="1053"/>
      <c r="I701" s="1412"/>
      <c r="J701" s="1413"/>
      <c r="K701" s="1415"/>
    </row>
    <row r="702">
      <c r="F702" s="1410"/>
      <c r="H702" s="1053"/>
      <c r="I702" s="1412"/>
      <c r="J702" s="1413"/>
      <c r="K702" s="1415"/>
    </row>
    <row r="703">
      <c r="F703" s="1410"/>
      <c r="H703" s="1053"/>
      <c r="I703" s="1412"/>
      <c r="J703" s="1413"/>
      <c r="K703" s="1415"/>
    </row>
    <row r="704">
      <c r="F704" s="1410"/>
      <c r="H704" s="1053"/>
      <c r="I704" s="1412"/>
      <c r="J704" s="1413"/>
      <c r="K704" s="1415"/>
    </row>
    <row r="705">
      <c r="F705" s="1410"/>
      <c r="H705" s="1053"/>
      <c r="I705" s="1412"/>
      <c r="J705" s="1413"/>
      <c r="K705" s="1415"/>
    </row>
    <row r="706">
      <c r="F706" s="1410"/>
      <c r="H706" s="1053"/>
      <c r="I706" s="1412"/>
      <c r="J706" s="1413"/>
      <c r="K706" s="1415"/>
    </row>
    <row r="707">
      <c r="F707" s="1410"/>
      <c r="H707" s="1053"/>
      <c r="I707" s="1412"/>
      <c r="J707" s="1413"/>
      <c r="K707" s="1415"/>
    </row>
    <row r="708">
      <c r="F708" s="1410"/>
      <c r="H708" s="1053"/>
      <c r="I708" s="1412"/>
      <c r="J708" s="1413"/>
      <c r="K708" s="1415"/>
    </row>
    <row r="709">
      <c r="F709" s="1410"/>
      <c r="H709" s="1053"/>
      <c r="I709" s="1412"/>
      <c r="J709" s="1413"/>
      <c r="K709" s="1415"/>
    </row>
    <row r="710">
      <c r="F710" s="1410"/>
      <c r="H710" s="1053"/>
      <c r="I710" s="1412"/>
      <c r="J710" s="1413"/>
      <c r="K710" s="1415"/>
    </row>
    <row r="711">
      <c r="F711" s="1410"/>
      <c r="H711" s="1053"/>
      <c r="I711" s="1412"/>
      <c r="J711" s="1413"/>
      <c r="K711" s="1415"/>
    </row>
    <row r="712">
      <c r="F712" s="1410"/>
      <c r="H712" s="1053"/>
      <c r="I712" s="1412"/>
      <c r="J712" s="1413"/>
      <c r="K712" s="1415"/>
    </row>
    <row r="713">
      <c r="F713" s="1410"/>
      <c r="H713" s="1053"/>
      <c r="I713" s="1412"/>
      <c r="J713" s="1413"/>
      <c r="K713" s="1415"/>
    </row>
    <row r="714">
      <c r="F714" s="1410"/>
      <c r="H714" s="1053"/>
      <c r="I714" s="1412"/>
      <c r="J714" s="1413"/>
      <c r="K714" s="1415"/>
    </row>
    <row r="715">
      <c r="F715" s="1410"/>
      <c r="H715" s="1053"/>
      <c r="I715" s="1412"/>
      <c r="J715" s="1413"/>
      <c r="K715" s="1415"/>
    </row>
    <row r="716">
      <c r="F716" s="1410"/>
      <c r="H716" s="1053"/>
      <c r="I716" s="1412"/>
      <c r="J716" s="1413"/>
      <c r="K716" s="1415"/>
    </row>
    <row r="717">
      <c r="F717" s="1410"/>
      <c r="H717" s="1053"/>
      <c r="I717" s="1412"/>
      <c r="J717" s="1413"/>
      <c r="K717" s="1415"/>
    </row>
    <row r="718">
      <c r="F718" s="1410"/>
      <c r="H718" s="1053"/>
      <c r="I718" s="1412"/>
      <c r="J718" s="1413"/>
      <c r="K718" s="1415"/>
    </row>
    <row r="719">
      <c r="F719" s="1410"/>
      <c r="H719" s="1053"/>
      <c r="I719" s="1412"/>
      <c r="J719" s="1413"/>
      <c r="K719" s="1415"/>
    </row>
    <row r="720">
      <c r="F720" s="1410"/>
      <c r="H720" s="1053"/>
      <c r="I720" s="1412"/>
      <c r="J720" s="1413"/>
      <c r="K720" s="1415"/>
    </row>
    <row r="721">
      <c r="F721" s="1410"/>
      <c r="H721" s="1053"/>
      <c r="I721" s="1412"/>
      <c r="J721" s="1413"/>
      <c r="K721" s="1415"/>
    </row>
    <row r="722">
      <c r="F722" s="1410"/>
      <c r="H722" s="1053"/>
      <c r="I722" s="1412"/>
      <c r="J722" s="1413"/>
      <c r="K722" s="1415"/>
    </row>
    <row r="723">
      <c r="F723" s="1410"/>
      <c r="H723" s="1053"/>
      <c r="I723" s="1412"/>
      <c r="J723" s="1413"/>
      <c r="K723" s="1415"/>
    </row>
    <row r="724">
      <c r="F724" s="1410"/>
      <c r="H724" s="1053"/>
      <c r="I724" s="1412"/>
      <c r="J724" s="1413"/>
      <c r="K724" s="1415"/>
    </row>
    <row r="725">
      <c r="F725" s="1410"/>
      <c r="H725" s="1053"/>
      <c r="I725" s="1412"/>
      <c r="J725" s="1413"/>
      <c r="K725" s="1415"/>
    </row>
    <row r="726">
      <c r="F726" s="1410"/>
      <c r="H726" s="1053"/>
      <c r="I726" s="1412"/>
      <c r="J726" s="1413"/>
      <c r="K726" s="1415"/>
    </row>
    <row r="727">
      <c r="F727" s="1410"/>
      <c r="H727" s="1053"/>
      <c r="I727" s="1412"/>
      <c r="J727" s="1413"/>
      <c r="K727" s="1415"/>
    </row>
    <row r="728">
      <c r="F728" s="1410"/>
      <c r="H728" s="1053"/>
      <c r="I728" s="1412"/>
      <c r="J728" s="1413"/>
      <c r="K728" s="1415"/>
    </row>
    <row r="729">
      <c r="F729" s="1410"/>
      <c r="H729" s="1053"/>
      <c r="I729" s="1412"/>
      <c r="J729" s="1413"/>
      <c r="K729" s="1415"/>
    </row>
    <row r="730">
      <c r="F730" s="1410"/>
      <c r="H730" s="1053"/>
      <c r="I730" s="1412"/>
      <c r="J730" s="1413"/>
      <c r="K730" s="1415"/>
    </row>
    <row r="731">
      <c r="F731" s="1410"/>
      <c r="H731" s="1053"/>
      <c r="I731" s="1412"/>
      <c r="J731" s="1413"/>
      <c r="K731" s="1415"/>
    </row>
    <row r="732">
      <c r="F732" s="1410"/>
      <c r="H732" s="1053"/>
      <c r="I732" s="1412"/>
      <c r="J732" s="1413"/>
      <c r="K732" s="1415"/>
    </row>
    <row r="733">
      <c r="F733" s="1410"/>
      <c r="H733" s="1053"/>
      <c r="I733" s="1412"/>
      <c r="J733" s="1413"/>
      <c r="K733" s="1415"/>
    </row>
    <row r="734">
      <c r="F734" s="1410"/>
      <c r="H734" s="1053"/>
      <c r="I734" s="1412"/>
      <c r="J734" s="1413"/>
      <c r="K734" s="1415"/>
    </row>
    <row r="735">
      <c r="F735" s="1410"/>
      <c r="H735" s="1053"/>
      <c r="I735" s="1412"/>
      <c r="J735" s="1413"/>
      <c r="K735" s="1415"/>
    </row>
    <row r="736">
      <c r="F736" s="1410"/>
      <c r="H736" s="1053"/>
      <c r="I736" s="1412"/>
      <c r="J736" s="1413"/>
      <c r="K736" s="1415"/>
    </row>
    <row r="737">
      <c r="F737" s="1410"/>
      <c r="H737" s="1053"/>
      <c r="I737" s="1412"/>
      <c r="J737" s="1413"/>
      <c r="K737" s="1415"/>
    </row>
    <row r="738">
      <c r="F738" s="1410"/>
      <c r="H738" s="1053"/>
      <c r="I738" s="1412"/>
      <c r="J738" s="1413"/>
      <c r="K738" s="1415"/>
    </row>
    <row r="739">
      <c r="F739" s="1410"/>
      <c r="H739" s="1053"/>
      <c r="I739" s="1412"/>
      <c r="J739" s="1413"/>
      <c r="K739" s="1415"/>
    </row>
    <row r="740">
      <c r="F740" s="1410"/>
      <c r="H740" s="1053"/>
      <c r="I740" s="1412"/>
      <c r="J740" s="1413"/>
      <c r="K740" s="1415"/>
    </row>
    <row r="741">
      <c r="F741" s="1410"/>
      <c r="H741" s="1053"/>
      <c r="I741" s="1412"/>
      <c r="J741" s="1413"/>
      <c r="K741" s="1415"/>
    </row>
    <row r="742">
      <c r="F742" s="1410"/>
      <c r="H742" s="1053"/>
      <c r="I742" s="1412"/>
      <c r="J742" s="1413"/>
      <c r="K742" s="1415"/>
    </row>
    <row r="743">
      <c r="F743" s="1410"/>
      <c r="H743" s="1053"/>
      <c r="I743" s="1412"/>
      <c r="J743" s="1413"/>
      <c r="K743" s="1415"/>
    </row>
    <row r="744">
      <c r="F744" s="1410"/>
      <c r="H744" s="1053"/>
      <c r="I744" s="1412"/>
      <c r="J744" s="1413"/>
      <c r="K744" s="1415"/>
    </row>
    <row r="745">
      <c r="F745" s="1410"/>
      <c r="H745" s="1053"/>
      <c r="I745" s="1412"/>
      <c r="J745" s="1413"/>
      <c r="K745" s="1415"/>
    </row>
    <row r="746">
      <c r="F746" s="1410"/>
      <c r="H746" s="1053"/>
      <c r="I746" s="1412"/>
      <c r="J746" s="1413"/>
      <c r="K746" s="1415"/>
    </row>
    <row r="747">
      <c r="F747" s="1410"/>
      <c r="H747" s="1053"/>
      <c r="I747" s="1412"/>
      <c r="J747" s="1413"/>
      <c r="K747" s="1415"/>
    </row>
    <row r="748">
      <c r="F748" s="1410"/>
      <c r="H748" s="1053"/>
      <c r="I748" s="1412"/>
      <c r="J748" s="1413"/>
      <c r="K748" s="1415"/>
    </row>
    <row r="749">
      <c r="F749" s="1410"/>
      <c r="H749" s="1053"/>
      <c r="I749" s="1412"/>
      <c r="J749" s="1413"/>
      <c r="K749" s="1415"/>
    </row>
    <row r="750">
      <c r="F750" s="1410"/>
      <c r="H750" s="1053"/>
      <c r="I750" s="1412"/>
      <c r="J750" s="1413"/>
      <c r="K750" s="1415"/>
    </row>
    <row r="751">
      <c r="F751" s="1410"/>
      <c r="H751" s="1053"/>
      <c r="I751" s="1412"/>
      <c r="J751" s="1413"/>
      <c r="K751" s="1415"/>
    </row>
    <row r="752">
      <c r="F752" s="1410"/>
      <c r="H752" s="1053"/>
      <c r="I752" s="1412"/>
      <c r="J752" s="1413"/>
      <c r="K752" s="1415"/>
    </row>
    <row r="753">
      <c r="F753" s="1410"/>
      <c r="H753" s="1053"/>
      <c r="I753" s="1412"/>
      <c r="J753" s="1413"/>
      <c r="K753" s="1415"/>
    </row>
    <row r="754">
      <c r="F754" s="1410"/>
      <c r="H754" s="1053"/>
      <c r="I754" s="1412"/>
      <c r="J754" s="1413"/>
      <c r="K754" s="1415"/>
    </row>
    <row r="755">
      <c r="F755" s="1410"/>
      <c r="H755" s="1053"/>
      <c r="I755" s="1412"/>
      <c r="J755" s="1413"/>
      <c r="K755" s="1415"/>
    </row>
    <row r="756">
      <c r="F756" s="1410"/>
      <c r="H756" s="1053"/>
      <c r="I756" s="1412"/>
      <c r="J756" s="1413"/>
      <c r="K756" s="1415"/>
    </row>
    <row r="757">
      <c r="F757" s="1410"/>
      <c r="H757" s="1053"/>
      <c r="I757" s="1412"/>
      <c r="J757" s="1413"/>
      <c r="K757" s="1415"/>
    </row>
    <row r="758">
      <c r="F758" s="1410"/>
      <c r="H758" s="1053"/>
      <c r="I758" s="1412"/>
      <c r="J758" s="1413"/>
      <c r="K758" s="1415"/>
    </row>
    <row r="759">
      <c r="F759" s="1410"/>
      <c r="H759" s="1053"/>
      <c r="I759" s="1412"/>
      <c r="J759" s="1413"/>
      <c r="K759" s="1415"/>
    </row>
    <row r="760">
      <c r="F760" s="1410"/>
      <c r="H760" s="1053"/>
      <c r="I760" s="1412"/>
      <c r="J760" s="1413"/>
      <c r="K760" s="1415"/>
    </row>
    <row r="761">
      <c r="F761" s="1410"/>
      <c r="H761" s="1053"/>
      <c r="I761" s="1412"/>
      <c r="J761" s="1413"/>
      <c r="K761" s="1415"/>
    </row>
    <row r="762">
      <c r="F762" s="1410"/>
      <c r="H762" s="1053"/>
      <c r="I762" s="1412"/>
      <c r="J762" s="1413"/>
      <c r="K762" s="1415"/>
    </row>
    <row r="763">
      <c r="F763" s="1410"/>
      <c r="H763" s="1053"/>
      <c r="I763" s="1412"/>
      <c r="J763" s="1413"/>
      <c r="K763" s="1415"/>
    </row>
    <row r="764">
      <c r="F764" s="1410"/>
      <c r="H764" s="1053"/>
      <c r="I764" s="1412"/>
      <c r="J764" s="1413"/>
      <c r="K764" s="1415"/>
    </row>
    <row r="765">
      <c r="F765" s="1410"/>
      <c r="H765" s="1053"/>
      <c r="I765" s="1412"/>
      <c r="J765" s="1413"/>
      <c r="K765" s="1415"/>
    </row>
    <row r="766">
      <c r="F766" s="1410"/>
      <c r="H766" s="1053"/>
      <c r="I766" s="1412"/>
      <c r="J766" s="1413"/>
      <c r="K766" s="1415"/>
    </row>
    <row r="767">
      <c r="F767" s="1410"/>
      <c r="H767" s="1053"/>
      <c r="I767" s="1412"/>
      <c r="J767" s="1413"/>
      <c r="K767" s="1415"/>
    </row>
    <row r="768">
      <c r="F768" s="1410"/>
      <c r="H768" s="1053"/>
      <c r="I768" s="1412"/>
      <c r="J768" s="1413"/>
      <c r="K768" s="1415"/>
    </row>
    <row r="769">
      <c r="F769" s="1410"/>
      <c r="H769" s="1053"/>
      <c r="I769" s="1412"/>
      <c r="J769" s="1413"/>
      <c r="K769" s="1415"/>
    </row>
    <row r="770">
      <c r="F770" s="1410"/>
      <c r="H770" s="1053"/>
      <c r="I770" s="1412"/>
      <c r="J770" s="1413"/>
      <c r="K770" s="1415"/>
    </row>
    <row r="771">
      <c r="F771" s="1410"/>
      <c r="H771" s="1053"/>
      <c r="I771" s="1412"/>
      <c r="J771" s="1413"/>
      <c r="K771" s="1415"/>
    </row>
    <row r="772">
      <c r="F772" s="1410"/>
      <c r="H772" s="1053"/>
      <c r="I772" s="1412"/>
      <c r="J772" s="1413"/>
      <c r="K772" s="1415"/>
    </row>
    <row r="773">
      <c r="F773" s="1410"/>
      <c r="H773" s="1053"/>
      <c r="I773" s="1412"/>
      <c r="J773" s="1413"/>
      <c r="K773" s="1415"/>
    </row>
    <row r="774">
      <c r="F774" s="1410"/>
      <c r="H774" s="1053"/>
      <c r="I774" s="1412"/>
      <c r="J774" s="1413"/>
      <c r="K774" s="1415"/>
    </row>
    <row r="775">
      <c r="F775" s="1410"/>
      <c r="H775" s="1053"/>
      <c r="I775" s="1412"/>
      <c r="J775" s="1413"/>
      <c r="K775" s="1415"/>
    </row>
    <row r="776">
      <c r="F776" s="1410"/>
      <c r="H776" s="1053"/>
      <c r="I776" s="1412"/>
      <c r="J776" s="1413"/>
      <c r="K776" s="1415"/>
    </row>
    <row r="777">
      <c r="F777" s="1410"/>
      <c r="H777" s="1053"/>
      <c r="I777" s="1412"/>
      <c r="J777" s="1413"/>
      <c r="K777" s="1415"/>
    </row>
    <row r="778">
      <c r="F778" s="1410"/>
      <c r="H778" s="1053"/>
      <c r="I778" s="1412"/>
      <c r="J778" s="1413"/>
      <c r="K778" s="1415"/>
    </row>
    <row r="779">
      <c r="F779" s="1410"/>
      <c r="H779" s="1053"/>
      <c r="I779" s="1412"/>
      <c r="J779" s="1413"/>
      <c r="K779" s="1415"/>
    </row>
    <row r="780">
      <c r="F780" s="1410"/>
      <c r="H780" s="1053"/>
      <c r="I780" s="1412"/>
      <c r="J780" s="1413"/>
      <c r="K780" s="1415"/>
    </row>
    <row r="781">
      <c r="F781" s="1410"/>
      <c r="H781" s="1053"/>
      <c r="I781" s="1412"/>
      <c r="J781" s="1413"/>
      <c r="K781" s="1415"/>
    </row>
    <row r="782">
      <c r="F782" s="1410"/>
      <c r="H782" s="1053"/>
      <c r="I782" s="1412"/>
      <c r="J782" s="1413"/>
      <c r="K782" s="1415"/>
    </row>
    <row r="783">
      <c r="F783" s="1410"/>
      <c r="H783" s="1053"/>
      <c r="I783" s="1412"/>
      <c r="J783" s="1413"/>
      <c r="K783" s="1415"/>
    </row>
    <row r="784">
      <c r="F784" s="1410"/>
      <c r="H784" s="1053"/>
      <c r="I784" s="1412"/>
      <c r="J784" s="1413"/>
      <c r="K784" s="1415"/>
    </row>
    <row r="785">
      <c r="F785" s="1410"/>
      <c r="H785" s="1053"/>
      <c r="I785" s="1412"/>
      <c r="J785" s="1413"/>
      <c r="K785" s="1415"/>
    </row>
    <row r="786">
      <c r="F786" s="1410"/>
      <c r="H786" s="1053"/>
      <c r="I786" s="1412"/>
      <c r="J786" s="1413"/>
      <c r="K786" s="1415"/>
    </row>
    <row r="787">
      <c r="F787" s="1410"/>
      <c r="H787" s="1053"/>
      <c r="I787" s="1412"/>
      <c r="J787" s="1413"/>
      <c r="K787" s="1415"/>
    </row>
    <row r="788">
      <c r="F788" s="1410"/>
      <c r="H788" s="1053"/>
      <c r="I788" s="1412"/>
      <c r="J788" s="1413"/>
      <c r="K788" s="1415"/>
    </row>
    <row r="789">
      <c r="F789" s="1410"/>
      <c r="H789" s="1053"/>
      <c r="I789" s="1412"/>
      <c r="J789" s="1413"/>
      <c r="K789" s="1415"/>
    </row>
    <row r="790">
      <c r="F790" s="1410"/>
      <c r="H790" s="1053"/>
      <c r="I790" s="1412"/>
      <c r="J790" s="1413"/>
      <c r="K790" s="1415"/>
    </row>
    <row r="791">
      <c r="F791" s="1410"/>
      <c r="H791" s="1053"/>
      <c r="I791" s="1412"/>
      <c r="J791" s="1413"/>
      <c r="K791" s="1415"/>
    </row>
    <row r="792">
      <c r="F792" s="1410"/>
      <c r="H792" s="1053"/>
      <c r="I792" s="1412"/>
      <c r="J792" s="1413"/>
      <c r="K792" s="1415"/>
    </row>
    <row r="793">
      <c r="F793" s="1410"/>
      <c r="H793" s="1053"/>
      <c r="I793" s="1412"/>
      <c r="J793" s="1413"/>
      <c r="K793" s="1415"/>
    </row>
    <row r="794">
      <c r="F794" s="1410"/>
      <c r="H794" s="1053"/>
      <c r="I794" s="1412"/>
      <c r="J794" s="1413"/>
      <c r="K794" s="1415"/>
    </row>
    <row r="795">
      <c r="F795" s="1410"/>
      <c r="H795" s="1053"/>
      <c r="I795" s="1412"/>
      <c r="J795" s="1413"/>
      <c r="K795" s="1415"/>
    </row>
    <row r="796">
      <c r="F796" s="1410"/>
      <c r="H796" s="1053"/>
      <c r="I796" s="1412"/>
      <c r="J796" s="1413"/>
      <c r="K796" s="1415"/>
    </row>
    <row r="797">
      <c r="F797" s="1410"/>
      <c r="H797" s="1053"/>
      <c r="I797" s="1412"/>
      <c r="J797" s="1413"/>
      <c r="K797" s="1415"/>
    </row>
    <row r="798">
      <c r="F798" s="1410"/>
      <c r="H798" s="1053"/>
      <c r="I798" s="1412"/>
      <c r="J798" s="1413"/>
      <c r="K798" s="1415"/>
    </row>
    <row r="799">
      <c r="F799" s="1410"/>
      <c r="H799" s="1053"/>
      <c r="I799" s="1412"/>
      <c r="J799" s="1413"/>
      <c r="K799" s="1415"/>
    </row>
    <row r="800">
      <c r="F800" s="1410"/>
      <c r="H800" s="1053"/>
      <c r="I800" s="1412"/>
      <c r="J800" s="1413"/>
      <c r="K800" s="1415"/>
    </row>
    <row r="801">
      <c r="F801" s="1410"/>
      <c r="H801" s="1053"/>
      <c r="I801" s="1412"/>
      <c r="J801" s="1413"/>
      <c r="K801" s="1415"/>
    </row>
    <row r="802">
      <c r="F802" s="1410"/>
      <c r="H802" s="1053"/>
      <c r="I802" s="1412"/>
      <c r="J802" s="1413"/>
      <c r="K802" s="1415"/>
    </row>
    <row r="803">
      <c r="F803" s="1410"/>
      <c r="H803" s="1053"/>
      <c r="I803" s="1412"/>
      <c r="J803" s="1413"/>
      <c r="K803" s="1415"/>
    </row>
    <row r="804">
      <c r="F804" s="1410"/>
      <c r="H804" s="1053"/>
      <c r="I804" s="1412"/>
      <c r="J804" s="1413"/>
      <c r="K804" s="1415"/>
    </row>
    <row r="805">
      <c r="F805" s="1410"/>
      <c r="H805" s="1053"/>
      <c r="I805" s="1412"/>
      <c r="J805" s="1413"/>
      <c r="K805" s="1415"/>
    </row>
    <row r="806">
      <c r="F806" s="1410"/>
      <c r="H806" s="1053"/>
      <c r="I806" s="1412"/>
      <c r="J806" s="1413"/>
      <c r="K806" s="1415"/>
    </row>
    <row r="807">
      <c r="F807" s="1410"/>
      <c r="H807" s="1053"/>
      <c r="I807" s="1412"/>
      <c r="J807" s="1413"/>
      <c r="K807" s="1415"/>
    </row>
    <row r="808">
      <c r="F808" s="1410"/>
      <c r="H808" s="1053"/>
      <c r="I808" s="1412"/>
      <c r="J808" s="1413"/>
      <c r="K808" s="1415"/>
    </row>
    <row r="809">
      <c r="F809" s="1410"/>
      <c r="H809" s="1053"/>
      <c r="I809" s="1412"/>
      <c r="J809" s="1413"/>
      <c r="K809" s="1415"/>
    </row>
    <row r="810">
      <c r="F810" s="1410"/>
      <c r="H810" s="1053"/>
      <c r="I810" s="1412"/>
      <c r="J810" s="1413"/>
      <c r="K810" s="1415"/>
    </row>
    <row r="811">
      <c r="F811" s="1410"/>
      <c r="H811" s="1053"/>
      <c r="I811" s="1412"/>
      <c r="J811" s="1413"/>
      <c r="K811" s="1415"/>
    </row>
    <row r="812">
      <c r="F812" s="1410"/>
      <c r="H812" s="1053"/>
      <c r="I812" s="1412"/>
      <c r="J812" s="1413"/>
      <c r="K812" s="1415"/>
    </row>
    <row r="813">
      <c r="F813" s="1410"/>
      <c r="H813" s="1053"/>
      <c r="I813" s="1412"/>
      <c r="J813" s="1413"/>
      <c r="K813" s="1415"/>
    </row>
    <row r="814">
      <c r="F814" s="1410"/>
      <c r="H814" s="1053"/>
      <c r="I814" s="1412"/>
      <c r="J814" s="1413"/>
      <c r="K814" s="1415"/>
    </row>
    <row r="815">
      <c r="F815" s="1410"/>
      <c r="H815" s="1053"/>
      <c r="I815" s="1412"/>
      <c r="J815" s="1413"/>
      <c r="K815" s="1415"/>
    </row>
    <row r="816">
      <c r="F816" s="1410"/>
      <c r="H816" s="1053"/>
      <c r="I816" s="1412"/>
      <c r="J816" s="1413"/>
      <c r="K816" s="1415"/>
    </row>
    <row r="817">
      <c r="F817" s="1410"/>
      <c r="H817" s="1053"/>
      <c r="I817" s="1412"/>
      <c r="J817" s="1413"/>
      <c r="K817" s="1415"/>
    </row>
    <row r="818">
      <c r="F818" s="1410"/>
      <c r="H818" s="1053"/>
      <c r="I818" s="1412"/>
      <c r="J818" s="1413"/>
      <c r="K818" s="1415"/>
    </row>
    <row r="819">
      <c r="F819" s="1410"/>
      <c r="H819" s="1053"/>
      <c r="I819" s="1412"/>
      <c r="J819" s="1413"/>
      <c r="K819" s="1415"/>
    </row>
    <row r="820">
      <c r="F820" s="1410"/>
      <c r="H820" s="1053"/>
      <c r="I820" s="1412"/>
      <c r="J820" s="1413"/>
      <c r="K820" s="1415"/>
    </row>
    <row r="821">
      <c r="F821" s="1410"/>
      <c r="H821" s="1053"/>
      <c r="I821" s="1412"/>
      <c r="J821" s="1413"/>
      <c r="K821" s="1415"/>
    </row>
    <row r="822">
      <c r="F822" s="1410"/>
      <c r="H822" s="1053"/>
      <c r="I822" s="1412"/>
      <c r="J822" s="1413"/>
      <c r="K822" s="1415"/>
    </row>
    <row r="823">
      <c r="F823" s="1410"/>
      <c r="H823" s="1053"/>
      <c r="I823" s="1412"/>
      <c r="J823" s="1413"/>
      <c r="K823" s="1415"/>
    </row>
    <row r="824">
      <c r="F824" s="1410"/>
      <c r="H824" s="1053"/>
      <c r="I824" s="1412"/>
      <c r="J824" s="1413"/>
      <c r="K824" s="1415"/>
    </row>
    <row r="825">
      <c r="F825" s="1410"/>
      <c r="H825" s="1053"/>
      <c r="I825" s="1412"/>
      <c r="J825" s="1413"/>
      <c r="K825" s="1415"/>
    </row>
    <row r="826">
      <c r="F826" s="1410"/>
      <c r="H826" s="1053"/>
      <c r="I826" s="1412"/>
      <c r="J826" s="1413"/>
      <c r="K826" s="1415"/>
    </row>
    <row r="827">
      <c r="F827" s="1410"/>
      <c r="H827" s="1053"/>
      <c r="I827" s="1412"/>
      <c r="J827" s="1413"/>
      <c r="K827" s="1415"/>
    </row>
    <row r="828">
      <c r="F828" s="1410"/>
      <c r="H828" s="1053"/>
      <c r="I828" s="1412"/>
      <c r="J828" s="1413"/>
      <c r="K828" s="1415"/>
    </row>
    <row r="829">
      <c r="F829" s="1410"/>
      <c r="H829" s="1053"/>
      <c r="I829" s="1412"/>
      <c r="J829" s="1413"/>
      <c r="K829" s="1415"/>
    </row>
    <row r="830">
      <c r="F830" s="1410"/>
      <c r="H830" s="1053"/>
      <c r="I830" s="1412"/>
      <c r="J830" s="1413"/>
      <c r="K830" s="1415"/>
    </row>
    <row r="831">
      <c r="F831" s="1410"/>
      <c r="H831" s="1053"/>
      <c r="I831" s="1412"/>
      <c r="J831" s="1413"/>
      <c r="K831" s="1415"/>
    </row>
    <row r="832">
      <c r="F832" s="1410"/>
      <c r="H832" s="1053"/>
      <c r="I832" s="1412"/>
      <c r="J832" s="1413"/>
      <c r="K832" s="1415"/>
    </row>
    <row r="833">
      <c r="F833" s="1410"/>
      <c r="H833" s="1053"/>
      <c r="I833" s="1412"/>
      <c r="J833" s="1413"/>
      <c r="K833" s="1415"/>
    </row>
    <row r="834">
      <c r="F834" s="1410"/>
      <c r="H834" s="1053"/>
      <c r="I834" s="1412"/>
      <c r="J834" s="1413"/>
      <c r="K834" s="1415"/>
    </row>
    <row r="835">
      <c r="F835" s="1410"/>
      <c r="H835" s="1053"/>
      <c r="I835" s="1412"/>
      <c r="J835" s="1413"/>
      <c r="K835" s="1415"/>
    </row>
    <row r="836">
      <c r="F836" s="1410"/>
      <c r="H836" s="1053"/>
      <c r="I836" s="1412"/>
      <c r="J836" s="1413"/>
      <c r="K836" s="1415"/>
    </row>
    <row r="837">
      <c r="F837" s="1410"/>
      <c r="H837" s="1053"/>
      <c r="I837" s="1412"/>
      <c r="J837" s="1413"/>
      <c r="K837" s="1415"/>
    </row>
    <row r="838">
      <c r="F838" s="1410"/>
      <c r="H838" s="1053"/>
      <c r="I838" s="1412"/>
      <c r="J838" s="1413"/>
      <c r="K838" s="1415"/>
    </row>
    <row r="839">
      <c r="F839" s="1410"/>
      <c r="H839" s="1053"/>
      <c r="I839" s="1412"/>
      <c r="J839" s="1413"/>
      <c r="K839" s="1415"/>
    </row>
    <row r="840">
      <c r="F840" s="1410"/>
      <c r="H840" s="1053"/>
      <c r="I840" s="1412"/>
      <c r="J840" s="1413"/>
      <c r="K840" s="1415"/>
    </row>
    <row r="841">
      <c r="F841" s="1410"/>
      <c r="H841" s="1053"/>
      <c r="I841" s="1412"/>
      <c r="J841" s="1413"/>
      <c r="K841" s="1415"/>
    </row>
    <row r="842">
      <c r="F842" s="1410"/>
      <c r="H842" s="1053"/>
      <c r="I842" s="1412"/>
      <c r="J842" s="1413"/>
      <c r="K842" s="1415"/>
    </row>
    <row r="843">
      <c r="F843" s="1410"/>
      <c r="H843" s="1053"/>
      <c r="I843" s="1412"/>
      <c r="J843" s="1413"/>
      <c r="K843" s="1415"/>
    </row>
    <row r="844">
      <c r="F844" s="1410"/>
      <c r="H844" s="1053"/>
      <c r="I844" s="1412"/>
      <c r="J844" s="1413"/>
      <c r="K844" s="1415"/>
    </row>
    <row r="845">
      <c r="F845" s="1410"/>
      <c r="H845" s="1053"/>
      <c r="I845" s="1412"/>
      <c r="J845" s="1413"/>
      <c r="K845" s="1415"/>
    </row>
    <row r="846">
      <c r="F846" s="1410"/>
      <c r="H846" s="1053"/>
      <c r="I846" s="1412"/>
      <c r="J846" s="1413"/>
      <c r="K846" s="1415"/>
    </row>
    <row r="847">
      <c r="F847" s="1410"/>
      <c r="H847" s="1053"/>
      <c r="I847" s="1412"/>
      <c r="J847" s="1413"/>
      <c r="K847" s="1415"/>
    </row>
    <row r="848">
      <c r="F848" s="1410"/>
      <c r="H848" s="1053"/>
      <c r="I848" s="1412"/>
      <c r="J848" s="1413"/>
      <c r="K848" s="1415"/>
    </row>
    <row r="849">
      <c r="F849" s="1410"/>
      <c r="H849" s="1053"/>
      <c r="I849" s="1412"/>
      <c r="J849" s="1413"/>
      <c r="K849" s="1415"/>
    </row>
    <row r="850">
      <c r="F850" s="1410"/>
      <c r="H850" s="1053"/>
      <c r="I850" s="1412"/>
      <c r="J850" s="1413"/>
      <c r="K850" s="1415"/>
    </row>
    <row r="851">
      <c r="F851" s="1410"/>
      <c r="H851" s="1053"/>
      <c r="I851" s="1412"/>
      <c r="J851" s="1413"/>
      <c r="K851" s="1415"/>
    </row>
    <row r="852">
      <c r="F852" s="1410"/>
      <c r="H852" s="1053"/>
      <c r="I852" s="1412"/>
      <c r="J852" s="1413"/>
      <c r="K852" s="1415"/>
    </row>
    <row r="853">
      <c r="F853" s="1410"/>
      <c r="H853" s="1053"/>
      <c r="I853" s="1412"/>
      <c r="J853" s="1413"/>
      <c r="K853" s="1415"/>
    </row>
    <row r="854">
      <c r="F854" s="1410"/>
      <c r="H854" s="1053"/>
      <c r="I854" s="1412"/>
      <c r="J854" s="1413"/>
      <c r="K854" s="1415"/>
    </row>
    <row r="855">
      <c r="F855" s="1410"/>
      <c r="H855" s="1053"/>
      <c r="I855" s="1412"/>
      <c r="J855" s="1413"/>
      <c r="K855" s="1415"/>
    </row>
    <row r="856">
      <c r="F856" s="1410"/>
      <c r="H856" s="1053"/>
      <c r="I856" s="1412"/>
      <c r="J856" s="1413"/>
      <c r="K856" s="1415"/>
    </row>
    <row r="857">
      <c r="F857" s="1410"/>
      <c r="H857" s="1053"/>
      <c r="I857" s="1412"/>
      <c r="J857" s="1413"/>
      <c r="K857" s="1415"/>
    </row>
    <row r="858">
      <c r="F858" s="1410"/>
      <c r="H858" s="1053"/>
      <c r="I858" s="1412"/>
      <c r="J858" s="1413"/>
      <c r="K858" s="1415"/>
    </row>
    <row r="859">
      <c r="F859" s="1410"/>
      <c r="H859" s="1053"/>
      <c r="I859" s="1412"/>
      <c r="J859" s="1413"/>
      <c r="K859" s="1415"/>
    </row>
    <row r="860">
      <c r="F860" s="1410"/>
      <c r="H860" s="1053"/>
      <c r="I860" s="1412"/>
      <c r="J860" s="1413"/>
      <c r="K860" s="1415"/>
    </row>
    <row r="861">
      <c r="F861" s="1410"/>
      <c r="H861" s="1053"/>
      <c r="I861" s="1412"/>
      <c r="J861" s="1413"/>
      <c r="K861" s="1415"/>
    </row>
    <row r="862">
      <c r="F862" s="1410"/>
      <c r="H862" s="1053"/>
      <c r="I862" s="1412"/>
      <c r="J862" s="1413"/>
      <c r="K862" s="1415"/>
    </row>
    <row r="863">
      <c r="F863" s="1410"/>
      <c r="H863" s="1053"/>
      <c r="I863" s="1412"/>
      <c r="J863" s="1413"/>
      <c r="K863" s="1415"/>
    </row>
    <row r="864">
      <c r="F864" s="1410"/>
      <c r="H864" s="1053"/>
      <c r="I864" s="1412"/>
      <c r="J864" s="1413"/>
      <c r="K864" s="1415"/>
    </row>
    <row r="865">
      <c r="F865" s="1410"/>
      <c r="H865" s="1053"/>
      <c r="I865" s="1412"/>
      <c r="J865" s="1413"/>
      <c r="K865" s="1415"/>
    </row>
    <row r="866">
      <c r="F866" s="1410"/>
      <c r="H866" s="1053"/>
      <c r="I866" s="1412"/>
      <c r="J866" s="1413"/>
      <c r="K866" s="1415"/>
    </row>
    <row r="867">
      <c r="F867" s="1410"/>
      <c r="H867" s="1053"/>
      <c r="I867" s="1412"/>
      <c r="J867" s="1413"/>
      <c r="K867" s="1415"/>
    </row>
    <row r="868">
      <c r="F868" s="1410"/>
      <c r="H868" s="1053"/>
      <c r="I868" s="1412"/>
      <c r="J868" s="1413"/>
      <c r="K868" s="1415"/>
    </row>
    <row r="869">
      <c r="F869" s="1410"/>
      <c r="H869" s="1053"/>
      <c r="I869" s="1412"/>
      <c r="J869" s="1413"/>
      <c r="K869" s="1415"/>
    </row>
    <row r="870">
      <c r="F870" s="1410"/>
      <c r="H870" s="1053"/>
      <c r="I870" s="1412"/>
      <c r="J870" s="1413"/>
      <c r="K870" s="1415"/>
    </row>
    <row r="871">
      <c r="F871" s="1410"/>
      <c r="H871" s="1053"/>
      <c r="I871" s="1412"/>
      <c r="J871" s="1413"/>
      <c r="K871" s="1415"/>
    </row>
    <row r="872">
      <c r="F872" s="1410"/>
      <c r="H872" s="1053"/>
      <c r="I872" s="1412"/>
      <c r="J872" s="1413"/>
      <c r="K872" s="1415"/>
    </row>
    <row r="873">
      <c r="F873" s="1410"/>
      <c r="H873" s="1053"/>
      <c r="I873" s="1412"/>
      <c r="J873" s="1413"/>
      <c r="K873" s="1415"/>
    </row>
    <row r="874">
      <c r="F874" s="1410"/>
      <c r="H874" s="1053"/>
      <c r="I874" s="1412"/>
      <c r="J874" s="1413"/>
      <c r="K874" s="1415"/>
    </row>
    <row r="875">
      <c r="F875" s="1410"/>
      <c r="H875" s="1053"/>
      <c r="I875" s="1412"/>
      <c r="J875" s="1413"/>
      <c r="K875" s="1415"/>
    </row>
    <row r="876">
      <c r="F876" s="1410"/>
      <c r="H876" s="1053"/>
      <c r="I876" s="1412"/>
      <c r="J876" s="1413"/>
      <c r="K876" s="1415"/>
    </row>
    <row r="877">
      <c r="F877" s="1410"/>
      <c r="H877" s="1053"/>
      <c r="I877" s="1412"/>
      <c r="J877" s="1413"/>
      <c r="K877" s="1415"/>
    </row>
    <row r="878">
      <c r="F878" s="1410"/>
      <c r="H878" s="1053"/>
      <c r="I878" s="1412"/>
      <c r="J878" s="1413"/>
      <c r="K878" s="1415"/>
    </row>
    <row r="879">
      <c r="F879" s="1410"/>
      <c r="H879" s="1053"/>
      <c r="I879" s="1412"/>
      <c r="J879" s="1413"/>
      <c r="K879" s="1415"/>
    </row>
    <row r="880">
      <c r="F880" s="1410"/>
      <c r="H880" s="1053"/>
      <c r="I880" s="1412"/>
      <c r="J880" s="1413"/>
      <c r="K880" s="1415"/>
    </row>
    <row r="881">
      <c r="F881" s="1410"/>
      <c r="H881" s="1053"/>
      <c r="I881" s="1412"/>
      <c r="J881" s="1413"/>
      <c r="K881" s="1415"/>
    </row>
    <row r="882">
      <c r="F882" s="1410"/>
      <c r="H882" s="1053"/>
      <c r="I882" s="1412"/>
      <c r="J882" s="1413"/>
      <c r="K882" s="1415"/>
    </row>
    <row r="883">
      <c r="F883" s="1410"/>
      <c r="H883" s="1053"/>
      <c r="I883" s="1412"/>
      <c r="J883" s="1413"/>
      <c r="K883" s="1415"/>
    </row>
    <row r="884">
      <c r="F884" s="1410"/>
      <c r="H884" s="1053"/>
      <c r="I884" s="1412"/>
      <c r="J884" s="1413"/>
      <c r="K884" s="1415"/>
    </row>
    <row r="885">
      <c r="F885" s="1410"/>
      <c r="H885" s="1053"/>
      <c r="I885" s="1412"/>
      <c r="J885" s="1413"/>
      <c r="K885" s="1415"/>
    </row>
    <row r="886">
      <c r="F886" s="1410"/>
      <c r="H886" s="1053"/>
      <c r="I886" s="1412"/>
      <c r="J886" s="1413"/>
      <c r="K886" s="1415"/>
    </row>
    <row r="887">
      <c r="F887" s="1410"/>
      <c r="H887" s="1053"/>
      <c r="I887" s="1412"/>
      <c r="J887" s="1413"/>
      <c r="K887" s="1415"/>
    </row>
    <row r="888">
      <c r="F888" s="1410"/>
      <c r="H888" s="1053"/>
      <c r="I888" s="1412"/>
      <c r="J888" s="1413"/>
      <c r="K888" s="1415"/>
    </row>
    <row r="889">
      <c r="F889" s="1410"/>
      <c r="H889" s="1053"/>
      <c r="I889" s="1412"/>
      <c r="J889" s="1413"/>
      <c r="K889" s="1415"/>
    </row>
    <row r="890">
      <c r="F890" s="1410"/>
      <c r="H890" s="1053"/>
      <c r="I890" s="1412"/>
      <c r="J890" s="1413"/>
      <c r="K890" s="1415"/>
    </row>
    <row r="891">
      <c r="F891" s="1410"/>
      <c r="H891" s="1053"/>
      <c r="I891" s="1412"/>
      <c r="J891" s="1413"/>
      <c r="K891" s="1415"/>
    </row>
    <row r="892">
      <c r="F892" s="1410"/>
      <c r="H892" s="1053"/>
      <c r="I892" s="1412"/>
      <c r="J892" s="1413"/>
      <c r="K892" s="1415"/>
    </row>
    <row r="893">
      <c r="F893" s="1410"/>
      <c r="H893" s="1053"/>
      <c r="I893" s="1412"/>
      <c r="J893" s="1413"/>
      <c r="K893" s="1415"/>
    </row>
    <row r="894">
      <c r="F894" s="1410"/>
      <c r="H894" s="1053"/>
      <c r="I894" s="1412"/>
      <c r="J894" s="1413"/>
      <c r="K894" s="1415"/>
    </row>
    <row r="895">
      <c r="F895" s="1410"/>
      <c r="H895" s="1053"/>
      <c r="I895" s="1412"/>
      <c r="J895" s="1413"/>
      <c r="K895" s="1415"/>
    </row>
    <row r="896">
      <c r="F896" s="1410"/>
      <c r="H896" s="1053"/>
      <c r="I896" s="1412"/>
      <c r="J896" s="1413"/>
      <c r="K896" s="1415"/>
    </row>
    <row r="897">
      <c r="F897" s="1410"/>
      <c r="H897" s="1053"/>
      <c r="I897" s="1412"/>
      <c r="J897" s="1413"/>
      <c r="K897" s="1415"/>
    </row>
    <row r="898">
      <c r="F898" s="1410"/>
      <c r="H898" s="1053"/>
      <c r="I898" s="1412"/>
      <c r="J898" s="1413"/>
      <c r="K898" s="1415"/>
    </row>
    <row r="899">
      <c r="F899" s="1410"/>
      <c r="H899" s="1053"/>
      <c r="I899" s="1412"/>
      <c r="J899" s="1413"/>
      <c r="K899" s="1415"/>
    </row>
    <row r="900">
      <c r="F900" s="1410"/>
      <c r="H900" s="1053"/>
      <c r="I900" s="1412"/>
      <c r="J900" s="1413"/>
      <c r="K900" s="1415"/>
    </row>
    <row r="901">
      <c r="F901" s="1410"/>
      <c r="H901" s="1053"/>
      <c r="I901" s="1412"/>
      <c r="J901" s="1413"/>
      <c r="K901" s="1415"/>
    </row>
    <row r="902">
      <c r="F902" s="1410"/>
      <c r="H902" s="1053"/>
      <c r="I902" s="1412"/>
      <c r="J902" s="1413"/>
      <c r="K902" s="1415"/>
    </row>
    <row r="903">
      <c r="F903" s="1410"/>
      <c r="H903" s="1053"/>
      <c r="I903" s="1412"/>
      <c r="J903" s="1413"/>
      <c r="K903" s="1415"/>
    </row>
    <row r="904">
      <c r="F904" s="1410"/>
      <c r="H904" s="1053"/>
      <c r="I904" s="1412"/>
      <c r="J904" s="1413"/>
      <c r="K904" s="1415"/>
    </row>
    <row r="905">
      <c r="F905" s="1410"/>
      <c r="H905" s="1053"/>
      <c r="I905" s="1412"/>
      <c r="J905" s="1413"/>
      <c r="K905" s="1415"/>
    </row>
    <row r="906">
      <c r="F906" s="1410"/>
      <c r="H906" s="1053"/>
      <c r="I906" s="1412"/>
      <c r="J906" s="1413"/>
      <c r="K906" s="1415"/>
    </row>
    <row r="907">
      <c r="F907" s="1410"/>
      <c r="H907" s="1053"/>
      <c r="I907" s="1412"/>
      <c r="J907" s="1413"/>
      <c r="K907" s="1415"/>
    </row>
    <row r="908">
      <c r="F908" s="1410"/>
      <c r="H908" s="1053"/>
      <c r="I908" s="1412"/>
      <c r="J908" s="1413"/>
      <c r="K908" s="1415"/>
    </row>
    <row r="909">
      <c r="F909" s="1410"/>
      <c r="H909" s="1053"/>
      <c r="I909" s="1412"/>
      <c r="J909" s="1413"/>
      <c r="K909" s="1415"/>
    </row>
    <row r="910">
      <c r="F910" s="1410"/>
      <c r="H910" s="1053"/>
      <c r="I910" s="1412"/>
      <c r="J910" s="1413"/>
      <c r="K910" s="1415"/>
    </row>
    <row r="911">
      <c r="F911" s="1410"/>
      <c r="H911" s="1053"/>
      <c r="I911" s="1412"/>
      <c r="J911" s="1413"/>
      <c r="K911" s="1415"/>
    </row>
    <row r="912">
      <c r="F912" s="1410"/>
      <c r="H912" s="1053"/>
      <c r="I912" s="1412"/>
      <c r="J912" s="1413"/>
      <c r="K912" s="1415"/>
    </row>
    <row r="913">
      <c r="F913" s="1410"/>
      <c r="H913" s="1053"/>
      <c r="I913" s="1412"/>
      <c r="J913" s="1413"/>
      <c r="K913" s="1415"/>
    </row>
    <row r="914">
      <c r="F914" s="1410"/>
      <c r="H914" s="1053"/>
      <c r="I914" s="1412"/>
      <c r="J914" s="1413"/>
      <c r="K914" s="1415"/>
    </row>
    <row r="915">
      <c r="F915" s="1410"/>
      <c r="H915" s="1053"/>
      <c r="I915" s="1412"/>
      <c r="J915" s="1413"/>
      <c r="K915" s="1415"/>
    </row>
    <row r="916">
      <c r="F916" s="1410"/>
      <c r="H916" s="1053"/>
      <c r="I916" s="1412"/>
      <c r="J916" s="1413"/>
      <c r="K916" s="1415"/>
    </row>
    <row r="917">
      <c r="F917" s="1410"/>
      <c r="H917" s="1053"/>
      <c r="I917" s="1412"/>
      <c r="J917" s="1413"/>
      <c r="K917" s="1415"/>
    </row>
    <row r="918">
      <c r="F918" s="1410"/>
      <c r="H918" s="1053"/>
      <c r="I918" s="1412"/>
      <c r="J918" s="1413"/>
      <c r="K918" s="1415"/>
    </row>
    <row r="919">
      <c r="F919" s="1410"/>
      <c r="H919" s="1053"/>
      <c r="I919" s="1412"/>
      <c r="J919" s="1413"/>
      <c r="K919" s="1415"/>
    </row>
    <row r="920">
      <c r="F920" s="1410"/>
      <c r="H920" s="1053"/>
      <c r="I920" s="1412"/>
      <c r="J920" s="1413"/>
      <c r="K920" s="1415"/>
    </row>
    <row r="921">
      <c r="F921" s="1410"/>
      <c r="H921" s="1053"/>
      <c r="I921" s="1412"/>
      <c r="J921" s="1413"/>
      <c r="K921" s="1415"/>
    </row>
    <row r="922">
      <c r="F922" s="1410"/>
      <c r="H922" s="1053"/>
      <c r="I922" s="1412"/>
      <c r="J922" s="1413"/>
      <c r="K922" s="1415"/>
    </row>
    <row r="923">
      <c r="F923" s="1410"/>
      <c r="H923" s="1053"/>
      <c r="I923" s="1412"/>
      <c r="J923" s="1413"/>
      <c r="K923" s="1415"/>
    </row>
    <row r="924">
      <c r="F924" s="1410"/>
      <c r="H924" s="1053"/>
      <c r="I924" s="1412"/>
      <c r="J924" s="1413"/>
      <c r="K924" s="1415"/>
    </row>
    <row r="925">
      <c r="F925" s="1410"/>
      <c r="H925" s="1053"/>
      <c r="I925" s="1412"/>
      <c r="J925" s="1413"/>
      <c r="K925" s="1415"/>
    </row>
    <row r="926">
      <c r="F926" s="1410"/>
      <c r="H926" s="1053"/>
      <c r="I926" s="1412"/>
      <c r="J926" s="1413"/>
      <c r="K926" s="1415"/>
    </row>
    <row r="927">
      <c r="F927" s="1410"/>
      <c r="H927" s="1053"/>
      <c r="I927" s="1412"/>
      <c r="J927" s="1413"/>
      <c r="K927" s="1415"/>
    </row>
    <row r="928">
      <c r="F928" s="1410"/>
      <c r="H928" s="1053"/>
      <c r="I928" s="1412"/>
      <c r="J928" s="1413"/>
      <c r="K928" s="1415"/>
    </row>
    <row r="929">
      <c r="F929" s="1410"/>
      <c r="H929" s="1053"/>
      <c r="I929" s="1412"/>
      <c r="J929" s="1413"/>
      <c r="K929" s="1415"/>
    </row>
    <row r="930">
      <c r="F930" s="1410"/>
      <c r="H930" s="1053"/>
      <c r="I930" s="1412"/>
      <c r="J930" s="1413"/>
      <c r="K930" s="1415"/>
    </row>
    <row r="931">
      <c r="F931" s="1410"/>
      <c r="H931" s="1053"/>
      <c r="I931" s="1412"/>
      <c r="J931" s="1413"/>
      <c r="K931" s="1415"/>
    </row>
    <row r="932">
      <c r="F932" s="1410"/>
      <c r="H932" s="1053"/>
      <c r="I932" s="1412"/>
      <c r="J932" s="1413"/>
      <c r="K932" s="1415"/>
    </row>
    <row r="933">
      <c r="F933" s="1410"/>
      <c r="H933" s="1053"/>
      <c r="I933" s="1412"/>
      <c r="J933" s="1413"/>
      <c r="K933" s="1415"/>
    </row>
    <row r="934">
      <c r="F934" s="1410"/>
      <c r="H934" s="1053"/>
      <c r="I934" s="1412"/>
      <c r="J934" s="1413"/>
      <c r="K934" s="1415"/>
    </row>
    <row r="935">
      <c r="F935" s="1410"/>
      <c r="H935" s="1053"/>
      <c r="I935" s="1412"/>
      <c r="J935" s="1413"/>
      <c r="K935" s="1415"/>
    </row>
    <row r="936">
      <c r="F936" s="1410"/>
      <c r="H936" s="1053"/>
      <c r="I936" s="1412"/>
      <c r="J936" s="1413"/>
      <c r="K936" s="1415"/>
    </row>
    <row r="937">
      <c r="F937" s="1410"/>
      <c r="H937" s="1053"/>
      <c r="I937" s="1412"/>
      <c r="J937" s="1413"/>
      <c r="K937" s="1415"/>
    </row>
    <row r="938">
      <c r="F938" s="1410"/>
      <c r="H938" s="1053"/>
      <c r="I938" s="1412"/>
      <c r="J938" s="1413"/>
      <c r="K938" s="1415"/>
    </row>
    <row r="939">
      <c r="F939" s="1410"/>
      <c r="H939" s="1053"/>
      <c r="I939" s="1412"/>
      <c r="J939" s="1413"/>
      <c r="K939" s="1415"/>
    </row>
    <row r="940">
      <c r="F940" s="1410"/>
      <c r="H940" s="1053"/>
      <c r="I940" s="1412"/>
      <c r="J940" s="1413"/>
      <c r="K940" s="1415"/>
    </row>
    <row r="941">
      <c r="F941" s="1410"/>
      <c r="H941" s="1053"/>
      <c r="I941" s="1412"/>
      <c r="J941" s="1413"/>
      <c r="K941" s="1415"/>
    </row>
    <row r="942">
      <c r="F942" s="1410"/>
      <c r="H942" s="1053"/>
      <c r="I942" s="1412"/>
      <c r="J942" s="1413"/>
      <c r="K942" s="1415"/>
    </row>
    <row r="943">
      <c r="F943" s="1410"/>
      <c r="H943" s="1053"/>
      <c r="I943" s="1412"/>
      <c r="J943" s="1413"/>
      <c r="K943" s="1415"/>
    </row>
    <row r="944">
      <c r="F944" s="1410"/>
      <c r="H944" s="1053"/>
      <c r="I944" s="1412"/>
      <c r="J944" s="1413"/>
      <c r="K944" s="1415"/>
    </row>
    <row r="945">
      <c r="F945" s="1410"/>
      <c r="H945" s="1053"/>
      <c r="I945" s="1412"/>
      <c r="J945" s="1413"/>
      <c r="K945" s="1415"/>
    </row>
    <row r="946">
      <c r="F946" s="1410"/>
      <c r="H946" s="1053"/>
      <c r="I946" s="1412"/>
      <c r="J946" s="1413"/>
      <c r="K946" s="1415"/>
    </row>
    <row r="947">
      <c r="F947" s="1410"/>
      <c r="H947" s="1053"/>
      <c r="I947" s="1412"/>
      <c r="J947" s="1413"/>
      <c r="K947" s="1415"/>
    </row>
    <row r="948">
      <c r="F948" s="1410"/>
      <c r="H948" s="1053"/>
      <c r="I948" s="1412"/>
      <c r="J948" s="1413"/>
      <c r="K948" s="1415"/>
    </row>
    <row r="949">
      <c r="F949" s="1410"/>
      <c r="H949" s="1053"/>
      <c r="I949" s="1412"/>
      <c r="J949" s="1413"/>
      <c r="K949" s="1415"/>
    </row>
    <row r="950">
      <c r="F950" s="1410"/>
      <c r="H950" s="1053"/>
      <c r="I950" s="1412"/>
      <c r="J950" s="1413"/>
      <c r="K950" s="1415"/>
    </row>
    <row r="951">
      <c r="F951" s="1410"/>
      <c r="H951" s="1053"/>
      <c r="I951" s="1412"/>
      <c r="J951" s="1413"/>
      <c r="K951" s="1415"/>
    </row>
    <row r="952">
      <c r="F952" s="1410"/>
      <c r="H952" s="1053"/>
      <c r="I952" s="1412"/>
      <c r="J952" s="1413"/>
      <c r="K952" s="1415"/>
    </row>
    <row r="953">
      <c r="F953" s="1410"/>
      <c r="H953" s="1053"/>
      <c r="I953" s="1412"/>
      <c r="J953" s="1413"/>
      <c r="K953" s="1415"/>
    </row>
    <row r="954">
      <c r="F954" s="1410"/>
      <c r="H954" s="1053"/>
      <c r="I954" s="1412"/>
      <c r="J954" s="1413"/>
      <c r="K954" s="1415"/>
    </row>
    <row r="955">
      <c r="F955" s="1410"/>
      <c r="H955" s="1053"/>
      <c r="I955" s="1412"/>
      <c r="J955" s="1413"/>
      <c r="K955" s="1415"/>
    </row>
    <row r="956">
      <c r="F956" s="1410"/>
      <c r="H956" s="1053"/>
      <c r="I956" s="1412"/>
      <c r="J956" s="1413"/>
      <c r="K956" s="1415"/>
    </row>
    <row r="957">
      <c r="F957" s="1410"/>
      <c r="H957" s="1053"/>
      <c r="I957" s="1412"/>
      <c r="J957" s="1413"/>
      <c r="K957" s="1415"/>
    </row>
    <row r="958">
      <c r="F958" s="1410"/>
      <c r="H958" s="1053"/>
      <c r="I958" s="1412"/>
      <c r="J958" s="1413"/>
      <c r="K958" s="1415"/>
    </row>
    <row r="959">
      <c r="F959" s="1410"/>
      <c r="H959" s="1053"/>
      <c r="I959" s="1412"/>
      <c r="J959" s="1413"/>
      <c r="K959" s="1415"/>
    </row>
    <row r="960">
      <c r="F960" s="1410"/>
      <c r="H960" s="1053"/>
      <c r="I960" s="1412"/>
      <c r="J960" s="1413"/>
      <c r="K960" s="1415"/>
    </row>
    <row r="961">
      <c r="F961" s="1410"/>
      <c r="H961" s="1053"/>
      <c r="I961" s="1412"/>
      <c r="J961" s="1413"/>
      <c r="K961" s="1415"/>
    </row>
    <row r="962">
      <c r="F962" s="1410"/>
      <c r="H962" s="1053"/>
      <c r="I962" s="1412"/>
      <c r="J962" s="1413"/>
      <c r="K962" s="1415"/>
    </row>
    <row r="963">
      <c r="F963" s="1410"/>
      <c r="H963" s="1053"/>
      <c r="I963" s="1412"/>
      <c r="J963" s="1413"/>
      <c r="K963" s="1415"/>
    </row>
    <row r="964">
      <c r="F964" s="1410"/>
      <c r="H964" s="1053"/>
      <c r="I964" s="1412"/>
      <c r="J964" s="1413"/>
      <c r="K964" s="1415"/>
    </row>
    <row r="965">
      <c r="F965" s="1410"/>
      <c r="H965" s="1053"/>
      <c r="I965" s="1412"/>
      <c r="J965" s="1413"/>
      <c r="K965" s="1415"/>
    </row>
    <row r="966">
      <c r="F966" s="1410"/>
      <c r="H966" s="1053"/>
      <c r="I966" s="1412"/>
      <c r="J966" s="1413"/>
      <c r="K966" s="1415"/>
    </row>
    <row r="967">
      <c r="F967" s="1410"/>
      <c r="H967" s="1053"/>
      <c r="I967" s="1412"/>
      <c r="J967" s="1413"/>
      <c r="K967" s="1415"/>
    </row>
    <row r="968">
      <c r="F968" s="1410"/>
      <c r="H968" s="1053"/>
      <c r="I968" s="1412"/>
      <c r="J968" s="1413"/>
      <c r="K968" s="1415"/>
    </row>
    <row r="969">
      <c r="F969" s="1410"/>
      <c r="H969" s="1053"/>
      <c r="I969" s="1412"/>
      <c r="J969" s="1413"/>
      <c r="K969" s="1415"/>
    </row>
    <row r="970">
      <c r="F970" s="1410"/>
      <c r="H970" s="1053"/>
      <c r="I970" s="1412"/>
      <c r="J970" s="1413"/>
      <c r="K970" s="1415"/>
    </row>
    <row r="971">
      <c r="F971" s="1410"/>
      <c r="H971" s="1053"/>
      <c r="I971" s="1412"/>
      <c r="J971" s="1413"/>
      <c r="K971" s="1415"/>
    </row>
    <row r="972">
      <c r="F972" s="1410"/>
      <c r="H972" s="1053"/>
      <c r="I972" s="1412"/>
      <c r="J972" s="1413"/>
      <c r="K972" s="1415"/>
    </row>
    <row r="973">
      <c r="F973" s="1410"/>
      <c r="H973" s="1053"/>
      <c r="I973" s="1412"/>
      <c r="J973" s="1413"/>
      <c r="K973" s="1415"/>
    </row>
    <row r="974">
      <c r="F974" s="1410"/>
      <c r="H974" s="1053"/>
      <c r="I974" s="1412"/>
      <c r="J974" s="1413"/>
      <c r="K974" s="1415"/>
    </row>
    <row r="975">
      <c r="F975" s="1410"/>
      <c r="H975" s="1053"/>
      <c r="I975" s="1412"/>
      <c r="J975" s="1413"/>
      <c r="K975" s="1415"/>
    </row>
    <row r="976">
      <c r="F976" s="1410"/>
      <c r="H976" s="1053"/>
      <c r="I976" s="1412"/>
      <c r="J976" s="1413"/>
      <c r="K976" s="1415"/>
    </row>
    <row r="977">
      <c r="F977" s="1410"/>
      <c r="H977" s="1053"/>
      <c r="I977" s="1412"/>
      <c r="J977" s="1413"/>
      <c r="K977" s="1415"/>
    </row>
    <row r="978">
      <c r="F978" s="1410"/>
      <c r="H978" s="1053"/>
      <c r="I978" s="1412"/>
      <c r="J978" s="1413"/>
      <c r="K978" s="1415"/>
    </row>
    <row r="979">
      <c r="F979" s="1410"/>
      <c r="H979" s="1053"/>
      <c r="I979" s="1412"/>
      <c r="J979" s="1413"/>
      <c r="K979" s="1415"/>
    </row>
    <row r="980">
      <c r="F980" s="1410"/>
      <c r="H980" s="1053"/>
      <c r="I980" s="1412"/>
      <c r="J980" s="1413"/>
      <c r="K980" s="1415"/>
    </row>
    <row r="981">
      <c r="F981" s="1410"/>
      <c r="H981" s="1053"/>
      <c r="I981" s="1412"/>
      <c r="J981" s="1413"/>
      <c r="K981" s="1415"/>
    </row>
    <row r="982">
      <c r="F982" s="1410"/>
      <c r="H982" s="1053"/>
      <c r="I982" s="1412"/>
      <c r="J982" s="1413"/>
      <c r="K982" s="1415"/>
    </row>
    <row r="983">
      <c r="F983" s="1410"/>
      <c r="H983" s="1053"/>
      <c r="I983" s="1412"/>
      <c r="J983" s="1413"/>
      <c r="K983" s="1415"/>
    </row>
    <row r="984">
      <c r="F984" s="1410"/>
      <c r="H984" s="1053"/>
      <c r="I984" s="1412"/>
      <c r="J984" s="1413"/>
      <c r="K984" s="1415"/>
    </row>
    <row r="985">
      <c r="F985" s="1410"/>
      <c r="H985" s="1053"/>
      <c r="I985" s="1412"/>
      <c r="J985" s="1413"/>
      <c r="K985" s="1415"/>
    </row>
    <row r="986">
      <c r="F986" s="1410"/>
      <c r="H986" s="1053"/>
      <c r="I986" s="1412"/>
      <c r="J986" s="1413"/>
      <c r="K986" s="1415"/>
    </row>
    <row r="987">
      <c r="F987" s="1410"/>
      <c r="H987" s="1053"/>
      <c r="I987" s="1412"/>
      <c r="J987" s="1413"/>
      <c r="K987" s="1415"/>
    </row>
    <row r="988">
      <c r="F988" s="1410"/>
      <c r="H988" s="1053"/>
      <c r="I988" s="1412"/>
      <c r="J988" s="1413"/>
      <c r="K988" s="1415"/>
    </row>
    <row r="989">
      <c r="F989" s="1410"/>
      <c r="H989" s="1053"/>
      <c r="I989" s="1412"/>
      <c r="J989" s="1413"/>
      <c r="K989" s="1415"/>
    </row>
    <row r="990">
      <c r="F990" s="1410"/>
      <c r="H990" s="1053"/>
      <c r="I990" s="1412"/>
      <c r="J990" s="1413"/>
      <c r="K990" s="1415"/>
    </row>
    <row r="991">
      <c r="F991" s="1410"/>
      <c r="H991" s="1053"/>
      <c r="I991" s="1412"/>
      <c r="J991" s="1413"/>
      <c r="K991" s="1415"/>
    </row>
    <row r="992">
      <c r="F992" s="1410"/>
      <c r="H992" s="1053"/>
      <c r="I992" s="1412"/>
      <c r="J992" s="1413"/>
      <c r="K992" s="1415"/>
    </row>
    <row r="993">
      <c r="F993" s="1410"/>
      <c r="H993" s="1053"/>
      <c r="I993" s="1412"/>
      <c r="J993" s="1413"/>
      <c r="K993" s="1415"/>
    </row>
    <row r="994">
      <c r="F994" s="1410"/>
      <c r="H994" s="1053"/>
      <c r="I994" s="1412"/>
      <c r="J994" s="1413"/>
      <c r="K994" s="1415"/>
    </row>
    <row r="995">
      <c r="F995" s="1410"/>
      <c r="H995" s="1053"/>
      <c r="I995" s="1412"/>
      <c r="J995" s="1413"/>
      <c r="K995" s="1415"/>
    </row>
    <row r="996">
      <c r="F996" s="1410"/>
      <c r="H996" s="1053"/>
      <c r="I996" s="1412"/>
      <c r="J996" s="1413"/>
      <c r="K996" s="1415"/>
    </row>
    <row r="997">
      <c r="F997" s="1410"/>
      <c r="H997" s="1053"/>
      <c r="I997" s="1412"/>
      <c r="J997" s="1413"/>
      <c r="K997" s="1415"/>
    </row>
    <row r="998">
      <c r="F998" s="1410"/>
      <c r="H998" s="1053"/>
      <c r="I998" s="1412"/>
      <c r="J998" s="1413"/>
      <c r="K998" s="1415"/>
    </row>
    <row r="999">
      <c r="F999" s="1410"/>
      <c r="H999" s="1053"/>
      <c r="I999" s="1412"/>
      <c r="J999" s="1413"/>
      <c r="K999" s="1415"/>
    </row>
    <row r="1000">
      <c r="F1000" s="1410"/>
      <c r="H1000" s="1053"/>
      <c r="I1000" s="1412"/>
      <c r="J1000" s="1413"/>
      <c r="K1000" s="1415"/>
    </row>
    <row r="1001">
      <c r="F1001" s="1410"/>
      <c r="H1001" s="1053"/>
      <c r="I1001" s="1412"/>
      <c r="J1001" s="1413"/>
      <c r="K1001" s="1415"/>
    </row>
    <row r="1002">
      <c r="F1002" s="1410"/>
      <c r="H1002" s="1053"/>
      <c r="I1002" s="1412"/>
      <c r="J1002" s="1413"/>
      <c r="K1002" s="1415"/>
    </row>
    <row r="1003">
      <c r="F1003" s="1410"/>
      <c r="H1003" s="1053"/>
      <c r="I1003" s="1412"/>
      <c r="J1003" s="1413"/>
      <c r="K1003" s="1415"/>
    </row>
    <row r="1004">
      <c r="F1004" s="1410"/>
      <c r="H1004" s="1053"/>
      <c r="I1004" s="1412"/>
      <c r="J1004" s="1413"/>
      <c r="K1004" s="1415"/>
    </row>
  </sheetData>
  <mergeCells count="2">
    <mergeCell ref="F1:I1"/>
    <mergeCell ref="J1:K1"/>
  </mergeCells>
  <dataValidations>
    <dataValidation type="list" allowBlank="1" sqref="D3:D20">
      <formula1>"US Stocks,International Stocks,Bonds,Alternatives,Cash"</formula1>
    </dataValidation>
  </dataValidation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5.38"/>
    <col customWidth="1" min="3" max="3" width="18.75"/>
    <col customWidth="1" min="4" max="6" width="12.75"/>
    <col customWidth="1" min="7" max="7" width="13.13"/>
    <col customWidth="1" min="8" max="8" width="2.63"/>
    <col customWidth="1" hidden="1" min="9" max="9" width="3.5"/>
    <col customWidth="1" hidden="1" min="10" max="10" width="12.0"/>
    <col customWidth="1" hidden="1" min="11" max="11" width="9.88"/>
    <col customWidth="1" hidden="1" min="12" max="12" width="3.5"/>
    <col customWidth="1" hidden="1" min="13" max="13" width="15.13"/>
    <col customWidth="1" hidden="1" min="14" max="14" width="15.63"/>
    <col customWidth="1" hidden="1" min="15" max="15" width="12.25"/>
    <col customWidth="1" hidden="1" min="16" max="18" width="10.13"/>
    <col customWidth="1" hidden="1" min="19" max="21" width="10.25"/>
    <col customWidth="1" hidden="1" min="22" max="22" width="15.13"/>
    <col customWidth="1" hidden="1" min="23" max="23" width="15.38"/>
    <col customWidth="1" hidden="1" min="24" max="26" width="15.13"/>
    <col customWidth="1" hidden="1" min="27" max="27" width="2.63"/>
    <col customWidth="1" hidden="1" min="28" max="28" width="22.0"/>
    <col customWidth="1" hidden="1" min="29" max="29" width="11.13"/>
    <col customWidth="1" hidden="1" min="30" max="30" width="14.25"/>
    <col customWidth="1" hidden="1" min="31" max="31" width="2.63"/>
    <col customWidth="1" hidden="1" min="32" max="32" width="23.38"/>
    <col customWidth="1" hidden="1" min="33" max="33" width="15.5"/>
  </cols>
  <sheetData>
    <row r="1" ht="15.0" customHeight="1">
      <c r="A1" s="1536"/>
      <c r="B1" s="1536"/>
      <c r="C1" s="1536"/>
      <c r="D1" s="1536"/>
      <c r="E1" s="1537"/>
      <c r="F1" s="1538"/>
      <c r="G1" s="1539"/>
      <c r="H1" s="1536"/>
      <c r="I1" s="783"/>
      <c r="J1" s="825"/>
      <c r="K1" s="825"/>
      <c r="L1" s="783"/>
      <c r="M1" s="850" t="s">
        <v>1321</v>
      </c>
      <c r="N1" s="850" t="s">
        <v>1322</v>
      </c>
      <c r="AB1" s="1540" t="s">
        <v>1323</v>
      </c>
      <c r="AE1" s="783"/>
      <c r="AF1" s="1541" t="s">
        <v>1288</v>
      </c>
    </row>
    <row r="2" ht="20.25" customHeight="1">
      <c r="A2" s="825"/>
      <c r="B2" s="1542" t="s">
        <v>1324</v>
      </c>
      <c r="E2" s="778"/>
      <c r="F2" s="1543"/>
      <c r="G2" s="1544" t="str">
        <f>image("https://storage.googleapis.com/assets.templates.tillermoney.com/tillerCommunity/TCSLogo240x160_Padded%402x.png",1)</f>
        <v/>
      </c>
      <c r="H2" s="825"/>
      <c r="I2" s="783"/>
      <c r="J2" s="825"/>
      <c r="K2" s="825"/>
      <c r="L2" s="783"/>
      <c r="M2" s="1545" t="s">
        <v>1325</v>
      </c>
      <c r="N2" s="1545"/>
      <c r="O2" s="1545"/>
      <c r="P2" s="1536"/>
      <c r="Q2" s="824"/>
      <c r="R2" s="824"/>
      <c r="S2" s="812"/>
      <c r="T2" s="824"/>
      <c r="U2" s="1546"/>
      <c r="V2" s="1547"/>
      <c r="W2" s="1548"/>
      <c r="X2" s="1547"/>
      <c r="Y2" s="1547"/>
      <c r="Z2" s="1547"/>
      <c r="AA2" s="792"/>
      <c r="AB2" s="1549"/>
      <c r="AC2" s="1550">
        <f t="shared" ref="AC2:AD2" si="1">D8</f>
        <v>45402</v>
      </c>
      <c r="AD2" s="1550">
        <f t="shared" si="1"/>
        <v>45767</v>
      </c>
      <c r="AE2" s="792"/>
      <c r="AF2" s="1551" t="s">
        <v>1326</v>
      </c>
    </row>
    <row r="3" ht="20.25" customHeight="1">
      <c r="A3" s="782"/>
      <c r="E3" s="778"/>
      <c r="F3" s="1543"/>
      <c r="H3" s="825"/>
      <c r="I3" s="783"/>
      <c r="J3" s="782"/>
      <c r="K3" s="782"/>
      <c r="L3" s="783"/>
      <c r="M3" s="1545" t="s">
        <v>641</v>
      </c>
      <c r="N3" s="786" t="s">
        <v>306</v>
      </c>
      <c r="O3" s="1552">
        <f>IF(N3="Yes",1,0)</f>
        <v>1</v>
      </c>
      <c r="P3" s="1536"/>
      <c r="Q3" s="824"/>
      <c r="R3" s="824"/>
      <c r="S3" s="824"/>
      <c r="T3" s="824"/>
      <c r="U3" s="1553"/>
      <c r="V3" s="1554"/>
      <c r="W3" s="1555"/>
      <c r="X3" s="1555"/>
      <c r="Y3" s="1555"/>
      <c r="Z3" s="1555"/>
      <c r="AA3" s="792"/>
      <c r="AB3" s="1556" t="s">
        <v>642</v>
      </c>
      <c r="AC3" s="1557">
        <f t="shared" ref="AC3:AD3" si="2">sumif($V$7:$V127,"Asset",AC$7:AC127)</f>
        <v>0</v>
      </c>
      <c r="AD3" s="1557">
        <f t="shared" si="2"/>
        <v>0</v>
      </c>
      <c r="AE3" s="792"/>
      <c r="AF3" s="795" t="s">
        <v>395</v>
      </c>
      <c r="AG3" s="796" t="str">
        <f t="shared" ref="AG3:AG11" si="4">iferror(char(64+match(AF3,'Balance History'!$A$1:AG$1,0)))</f>
        <v/>
      </c>
    </row>
    <row r="4">
      <c r="A4" s="810"/>
      <c r="B4" s="1558" t="s">
        <v>1327</v>
      </c>
      <c r="C4" s="1559"/>
      <c r="D4" s="1560"/>
      <c r="E4" s="1560"/>
      <c r="F4" s="1561"/>
      <c r="G4" s="1562" t="str">
        <f>hyperlink("https://community.tillerhq.com/tag/labs-period-comparison","Learn &amp; Discuss")</f>
        <v>Learn &amp; Discuss</v>
      </c>
      <c r="H4" s="825"/>
      <c r="I4" s="783"/>
      <c r="J4" s="810"/>
      <c r="K4" s="810"/>
      <c r="L4" s="783"/>
      <c r="M4" s="1545" t="s">
        <v>1328</v>
      </c>
      <c r="N4" s="786" t="s">
        <v>672</v>
      </c>
      <c r="O4" s="1552" t="str">
        <f>IF(N4="Group",AG23,AG20)</f>
        <v>#REF!</v>
      </c>
      <c r="P4" s="1536"/>
      <c r="Q4" s="1563"/>
      <c r="R4" s="824"/>
      <c r="S4" s="824"/>
      <c r="T4" s="824"/>
      <c r="U4" s="1553"/>
      <c r="V4" s="1554"/>
      <c r="W4" s="1555"/>
      <c r="X4" s="1555"/>
      <c r="Y4" s="1555"/>
      <c r="Z4" s="1555"/>
      <c r="AA4" s="792"/>
      <c r="AB4" s="1556" t="s">
        <v>963</v>
      </c>
      <c r="AC4" s="1557">
        <f t="shared" ref="AC4:AD4" si="3">sumif($V$7:$V127,"Liability",AC$7:AC127)</f>
        <v>0</v>
      </c>
      <c r="AD4" s="1557">
        <f t="shared" si="3"/>
        <v>0</v>
      </c>
      <c r="AE4" s="792"/>
      <c r="AF4" s="812" t="s">
        <v>300</v>
      </c>
      <c r="AG4" s="796" t="str">
        <f t="shared" si="4"/>
        <v/>
      </c>
    </row>
    <row r="5">
      <c r="A5" s="810"/>
      <c r="B5" s="1564" t="s">
        <v>1329</v>
      </c>
      <c r="C5" s="1565" t="s">
        <v>1330</v>
      </c>
      <c r="D5" s="1565" t="s">
        <v>1331</v>
      </c>
      <c r="E5" s="1566" t="s">
        <v>1332</v>
      </c>
      <c r="F5" s="1561"/>
      <c r="G5" s="1567"/>
      <c r="H5" s="825"/>
      <c r="I5" s="783"/>
      <c r="J5" s="810"/>
      <c r="K5" s="810"/>
      <c r="L5" s="783"/>
      <c r="M5" s="1545" t="str">
        <f>"Show "&amp;N4</f>
        <v>Show Group</v>
      </c>
      <c r="N5" s="786" t="s">
        <v>306</v>
      </c>
      <c r="O5" s="1552" t="b">
        <f>IF(N5="Yes",TRUE,FALSE)</f>
        <v>1</v>
      </c>
      <c r="P5" s="1536"/>
      <c r="Q5" s="1563"/>
      <c r="R5" s="1552"/>
      <c r="S5" s="1552"/>
      <c r="T5" s="1552"/>
      <c r="U5" s="1553"/>
      <c r="V5" s="1554"/>
      <c r="W5" s="1555"/>
      <c r="X5" s="1555"/>
      <c r="Y5" s="1555"/>
      <c r="Z5" s="1555"/>
      <c r="AA5" s="792"/>
      <c r="AB5" s="1556" t="s">
        <v>643</v>
      </c>
      <c r="AC5" s="1557" t="str">
        <f>IF(ISBLANK(AB7),IFERROR(1/0),AC3-AC4)</f>
        <v/>
      </c>
      <c r="AD5" s="1557" t="str">
        <f>IF(ISBLANK(AB7),IFERROR(1/0),AD3-AD4)</f>
        <v/>
      </c>
      <c r="AE5" s="792"/>
      <c r="AF5" s="812" t="s">
        <v>649</v>
      </c>
      <c r="AG5" s="796" t="str">
        <f t="shared" si="4"/>
        <v/>
      </c>
    </row>
    <row r="6">
      <c r="A6" s="810"/>
      <c r="B6" s="1564" t="s">
        <v>1333</v>
      </c>
      <c r="C6" s="1565" t="s">
        <v>1334</v>
      </c>
      <c r="D6" s="1565" t="s">
        <v>1331</v>
      </c>
      <c r="E6" s="1566" t="s">
        <v>1335</v>
      </c>
      <c r="F6" s="1561"/>
      <c r="G6" s="1567"/>
      <c r="H6" s="825"/>
      <c r="I6" s="783"/>
      <c r="J6" s="810"/>
      <c r="K6" s="810"/>
      <c r="L6" s="783"/>
      <c r="M6" s="1568" t="s">
        <v>651</v>
      </c>
      <c r="N6" s="1552">
        <f>COUNTA(X7:X127)</f>
        <v>0</v>
      </c>
      <c r="O6" s="1536"/>
      <c r="P6" s="1569" t="s">
        <v>652</v>
      </c>
      <c r="Q6" s="1568" t="str">
        <f>"New "&amp;N4</f>
        <v>New Group</v>
      </c>
      <c r="R6" s="1569" t="s">
        <v>653</v>
      </c>
      <c r="S6" s="1569" t="s">
        <v>654</v>
      </c>
      <c r="T6" s="1569" t="str">
        <f>N4&amp;" Line"</f>
        <v>Group Line</v>
      </c>
      <c r="U6" s="1569" t="s">
        <v>655</v>
      </c>
      <c r="V6" s="1545" t="s">
        <v>656</v>
      </c>
      <c r="W6" s="1570" t="str">
        <f>N4</f>
        <v>Group</v>
      </c>
      <c r="X6" s="1545" t="s">
        <v>657</v>
      </c>
      <c r="Y6" s="1545" t="s">
        <v>395</v>
      </c>
      <c r="Z6" s="1545" t="s">
        <v>658</v>
      </c>
      <c r="AA6" s="792"/>
      <c r="AB6" s="1571" t="s">
        <v>659</v>
      </c>
      <c r="AC6" s="1545"/>
      <c r="AD6" s="1545"/>
      <c r="AE6" s="792"/>
      <c r="AF6" s="1537" t="s">
        <v>1336</v>
      </c>
      <c r="AG6" s="796" t="str">
        <f t="shared" si="4"/>
        <v/>
      </c>
    </row>
    <row r="7">
      <c r="A7" s="810"/>
      <c r="B7" s="1572"/>
      <c r="C7" s="1573"/>
      <c r="D7" s="1574"/>
      <c r="E7" s="1574"/>
      <c r="F7" s="1543"/>
      <c r="G7" s="1575"/>
      <c r="H7" s="1543"/>
      <c r="I7" s="783"/>
      <c r="J7" s="810"/>
      <c r="K7" s="810"/>
      <c r="L7" s="783"/>
      <c r="M7" s="1576"/>
      <c r="N7" s="1552"/>
      <c r="O7" s="1553"/>
      <c r="P7" s="1577" t="b">
        <v>1</v>
      </c>
      <c r="Q7" s="1577" t="b">
        <v>1</v>
      </c>
      <c r="R7" s="1552" t="str">
        <f t="array" ref="R7:R127">IF(ISTEXT(Y7:Y127),IF(OFFSET(Q7,1,0):OFFSET(Q7,N6,0),TRUE,FALSE),IFERROR(1/0))</f>
        <v/>
      </c>
      <c r="S7" s="1552" t="str">
        <f>IF(ISBLANK(AB7),IFERROR(1/0),0)</f>
        <v/>
      </c>
      <c r="T7" s="1552" t="str">
        <f>IF(ISBLANK(AB7),IFERROR(1/0),IF(O5,2,IFERROR(1/0)))</f>
        <v/>
      </c>
      <c r="U7" s="1553">
        <f>IF(O5,3,2)</f>
        <v>3</v>
      </c>
      <c r="V7" s="1577" t="str">
        <f>IFERROR(__xludf.DUMMYFUNCTION("query(indirect(AG25),""SELECT ""&amp;AG22&amp;"", ""&amp;O4&amp;"", ""&amp;AG14&amp;"", ""&amp;AG15&amp;"", ""&amp;AG16&amp;"" WHERE ""&amp;AG14&amp;"" &lt;&gt; '' AND ""&amp;AG24&amp;"" &lt;&gt; 'Hide' ORDER BY ""&amp;AG22&amp;"", ""&amp;O4&amp;"", ""&amp;AG15,-1)"),"#REF!")</f>
        <v>#REF!</v>
      </c>
      <c r="W7" s="1555"/>
      <c r="X7" s="1555"/>
      <c r="Y7" s="1555"/>
      <c r="Z7" s="1555"/>
      <c r="AA7" s="792"/>
      <c r="AB7" s="1556" t="str">
        <f t="array" ref="AB7:AB127">if(isblank(X7:X127),iferror(1/0),proper(Y7:Y127)&amp;if(isblank(Z7:Z127),""," ("&amp;Z7:Z127&amp;")"))</f>
        <v/>
      </c>
      <c r="AC7" s="1557" t="str">
        <f>IFERROR(__xludf.DUMMYFUNCTION("IF(LEN($AB7),IFERROR(query(INDIRECT($AG$12),""SELECT ""&amp;$AG$4&amp;"" WHERE ""&amp;$AG$8&amp;"" = '""&amp;$X7&amp;""' AND ""&amp;$AG$5&amp;"" &lt;= date '""&amp;TEXT(DATEVALUE(AC$2),""yyyy-mm-dd"")&amp;""' ORDER BY ""&amp;$AG$5&amp;"" DESC,""&amp;$AG$6&amp;"" DESC LIMIT 1"",0),0),IFERROR(1/0))"),"")</f>
        <v/>
      </c>
      <c r="AD7" s="1557" t="str">
        <f>IFERROR(__xludf.DUMMYFUNCTION("IF(LEN($AB7),IFERROR(query(INDIRECT($AG$12),""SELECT ""&amp;$AG$4&amp;"" WHERE ""&amp;$AG$8&amp;"" = '""&amp;$X7&amp;""' AND ""&amp;$AG$5&amp;"" &lt;= date '""&amp;TEXT(DATEVALUE(AD$2),""yyyy-mm-dd"")&amp;""' ORDER BY ""&amp;$AG$5&amp;"" DESC,""&amp;$AG$6&amp;"" DESC LIMIT 1"",0),0),IFERROR(1/0))"),"")</f>
        <v/>
      </c>
      <c r="AE7" s="792"/>
      <c r="AF7" s="795" t="s">
        <v>658</v>
      </c>
      <c r="AG7" s="796" t="str">
        <f t="shared" si="4"/>
        <v/>
      </c>
    </row>
    <row r="8">
      <c r="A8" s="810"/>
      <c r="B8" s="1578"/>
      <c r="C8" s="1579"/>
      <c r="D8" s="1580">
        <f>SWITCH(C5,"Today",N9,"End of Last Year",N10,"12 Months Ago",N11,"Custom",IF(ISDATE(D5),D5,IFERROR(1/0)),IFERROR(1/0))</f>
        <v>45402</v>
      </c>
      <c r="E8" s="1581">
        <f>SWITCH(C6,"Today",N9,"None",IFERROR(1/0),"Custom",IF(ISDATE(D6),D6,IFERROR(1/0)),IFERROR(1/0))</f>
        <v>45767</v>
      </c>
      <c r="F8" s="1582" t="str">
        <f t="array" ref="F8:F9">IF(ISDATE(E8),{"Change";IF(ISBLANK(AB7),IFERROR(1/0),IF(ISTEXT(B9:B127),IFERROR(E9:E127-D9:D127,"-"),IFERROR(1/0)))},IFERROR(1/0))</f>
        <v>Change</v>
      </c>
      <c r="G8" s="1583" t="str">
        <f t="array" ref="G8:G9">IF(ISDATE(E8),{"% Change";IF(ISBLANK(AB7),IFERROR(1/0),IF(ISTEXT(B9:B127),IFERROR((E9:E127-D9:D127)/D9:D127,"-"),IFERROR(1/0)))},IFERROR(1/0))</f>
        <v>% Change</v>
      </c>
      <c r="H8" s="825"/>
      <c r="I8" s="783"/>
      <c r="J8" s="1536"/>
      <c r="K8" s="1536"/>
      <c r="L8" s="783"/>
      <c r="M8" s="812" t="s">
        <v>1337</v>
      </c>
      <c r="N8" s="1553"/>
      <c r="O8" s="1553"/>
      <c r="P8" s="826" t="str">
        <f t="array" ref="P8:P127">IF(ISTEXT(Y8:Y127),IF(V8:OFFSET(V8,N6-1,0)=OFFSET(V8,-1,0):OFFSET(V8,N6-2,0),FALSE,TRUE),IFERROR(1/0))</f>
        <v/>
      </c>
      <c r="Q8" s="1584" t="str">
        <f t="array" ref="Q8:Q127">IF(ISTEXT(Y8:Y127),IF(W8:OFFSET(W8,N6-1,0)=OFFSET(W8,-1,0):OFFSET(W8,N6-1,0),FALSE,TRUE),IFERROR(1/0))</f>
        <v/>
      </c>
      <c r="R8" s="1553"/>
      <c r="S8" s="1553" t="str">
        <f t="shared" ref="S8:S125" si="5">IF(P8,U7+2,IFERROR(1/0))</f>
        <v/>
      </c>
      <c r="T8" s="1553" t="str">
        <f t="shared" ref="T8:T125" si="6">IF(O$5,IF(Q8,IF(ISBLANK(S8),U7+1+$O$3,S8+2),IFERROR(1/0)),IFERROR(1/0))</f>
        <v/>
      </c>
      <c r="U8" s="1553" t="str">
        <f t="shared" ref="U8:U125" si="7">IF(O$5,IF(ISTEXT(Y8),IF(ISNUMBER(T8),T8+1,U7+1),IFERROR(1/0)),IF(ISTEXT(Y8),IF(ISNUMBER(S8),S8+2,U7+1),IFERROR(1/0)))</f>
        <v/>
      </c>
      <c r="V8" s="1585"/>
      <c r="W8" s="1585"/>
      <c r="X8" s="1585"/>
      <c r="Y8" s="1585"/>
      <c r="Z8" s="1585"/>
      <c r="AA8" s="792"/>
      <c r="AB8" s="1586"/>
      <c r="AC8" s="1557" t="str">
        <f>IFERROR(__xludf.DUMMYFUNCTION("IF(LEN($AB8),IFERROR(query(INDIRECT($AG$12),""SELECT ""&amp;$AG$4&amp;"" WHERE ""&amp;$AG$8&amp;"" = '""&amp;$X8&amp;""' AND ""&amp;$AG$5&amp;"" &lt;= date '""&amp;TEXT(DATEVALUE(AC$2),""yyyy-mm-dd"")&amp;""' ORDER BY ""&amp;$AG$5&amp;"" DESC,""&amp;$AG$6&amp;"" DESC LIMIT 1"",0),0),IFERROR(1/0))"),"")</f>
        <v/>
      </c>
      <c r="AD8" s="1557" t="str">
        <f>IFERROR(__xludf.DUMMYFUNCTION("IF(LEN($AB8),IFERROR(query(INDIRECT($AG$12),""SELECT ""&amp;$AG$4&amp;"" WHERE ""&amp;$AG$8&amp;"" = '""&amp;$X8&amp;""' AND ""&amp;$AG$5&amp;"" &lt;= date '""&amp;TEXT(DATEVALUE(AD$2),""yyyy-mm-dd"")&amp;""' ORDER BY ""&amp;$AG$5&amp;"" DESC,""&amp;$AG$6&amp;"" DESC LIMIT 1"",0),0),IFERROR(1/0))"),"")</f>
        <v/>
      </c>
      <c r="AE8" s="792"/>
      <c r="AF8" s="795" t="s">
        <v>660</v>
      </c>
      <c r="AG8" s="796" t="str">
        <f t="shared" si="4"/>
        <v/>
      </c>
    </row>
    <row r="9">
      <c r="A9" s="782"/>
      <c r="B9" s="1587"/>
      <c r="C9" s="1587"/>
      <c r="D9" s="782"/>
      <c r="E9" s="782"/>
      <c r="F9" s="1588"/>
      <c r="G9" s="1589"/>
      <c r="H9" s="1536"/>
      <c r="I9" s="783"/>
      <c r="J9" s="1536"/>
      <c r="K9" s="1536"/>
      <c r="L9" s="783"/>
      <c r="M9" s="812" t="s">
        <v>1334</v>
      </c>
      <c r="N9" s="1590">
        <f>TODAY()</f>
        <v>45767</v>
      </c>
      <c r="O9" s="1553"/>
      <c r="P9" s="826"/>
      <c r="Q9" s="826"/>
      <c r="R9" s="1553"/>
      <c r="S9" s="1553" t="str">
        <f t="shared" si="5"/>
        <v/>
      </c>
      <c r="T9" s="1553" t="str">
        <f t="shared" si="6"/>
        <v/>
      </c>
      <c r="U9" s="1553" t="str">
        <f t="shared" si="7"/>
        <v/>
      </c>
      <c r="V9" s="1585"/>
      <c r="W9" s="1585"/>
      <c r="X9" s="1585"/>
      <c r="Y9" s="1585"/>
      <c r="Z9" s="1585"/>
      <c r="AA9" s="792"/>
      <c r="AB9" s="1586"/>
      <c r="AC9" s="1557" t="str">
        <f>IFERROR(__xludf.DUMMYFUNCTION("IF(LEN($AB9),IFERROR(query(INDIRECT($AG$12),""SELECT ""&amp;$AG$4&amp;"" WHERE ""&amp;$AG$8&amp;"" = '""&amp;$X9&amp;""' AND ""&amp;$AG$5&amp;"" &lt;= date '""&amp;TEXT(DATEVALUE(AC$2),""yyyy-mm-dd"")&amp;""' ORDER BY ""&amp;$AG$5&amp;"" DESC,""&amp;$AG$6&amp;"" DESC LIMIT 1"",0),0),IFERROR(1/0))"),"")</f>
        <v/>
      </c>
      <c r="AD9" s="1557" t="str">
        <f>IFERROR(__xludf.DUMMYFUNCTION("IF(LEN($AB9),IFERROR(query(INDIRECT($AG$12),""SELECT ""&amp;$AG$4&amp;"" WHERE ""&amp;$AG$8&amp;"" = '""&amp;$X9&amp;""' AND ""&amp;$AG$5&amp;"" &lt;= date '""&amp;TEXT(DATEVALUE(AD$2),""yyyy-mm-dd"")&amp;""' ORDER BY ""&amp;$AG$5&amp;"" DESC,""&amp;$AG$6&amp;"" DESC LIMIT 1"",0),0),IFERROR(1/0))"),"")</f>
        <v/>
      </c>
      <c r="AE9" s="792"/>
      <c r="AF9" s="795" t="s">
        <v>661</v>
      </c>
      <c r="AG9" s="796" t="str">
        <f t="shared" si="4"/>
        <v/>
      </c>
    </row>
    <row r="10">
      <c r="A10" s="825"/>
      <c r="B10" s="1591" t="s">
        <v>665</v>
      </c>
      <c r="C10" s="1591"/>
      <c r="D10" s="1592" t="str">
        <f t="shared" ref="D10:E10" si="8">if(isdate(D$8),AC5,iferror(1/0))</f>
        <v/>
      </c>
      <c r="E10" s="1592" t="str">
        <f t="shared" si="8"/>
        <v/>
      </c>
      <c r="F10" s="1592"/>
      <c r="G10" s="1593"/>
      <c r="H10" s="835"/>
      <c r="I10" s="783"/>
      <c r="J10" s="1536"/>
      <c r="K10" s="1536"/>
      <c r="L10" s="783"/>
      <c r="M10" s="812" t="s">
        <v>1338</v>
      </c>
      <c r="N10" s="1590">
        <f>DATE(YEAR(N9)-1,12,31)</f>
        <v>45657</v>
      </c>
      <c r="O10" s="1553"/>
      <c r="P10" s="826"/>
      <c r="Q10" s="826"/>
      <c r="R10" s="1553"/>
      <c r="S10" s="1553" t="str">
        <f t="shared" si="5"/>
        <v/>
      </c>
      <c r="T10" s="1553" t="str">
        <f t="shared" si="6"/>
        <v/>
      </c>
      <c r="U10" s="1553" t="str">
        <f t="shared" si="7"/>
        <v/>
      </c>
      <c r="V10" s="826"/>
      <c r="W10" s="826"/>
      <c r="X10" s="826"/>
      <c r="Y10" s="826"/>
      <c r="Z10" s="826"/>
      <c r="AA10" s="792"/>
      <c r="AB10" s="1586"/>
      <c r="AC10" s="1557" t="str">
        <f>IFERROR(__xludf.DUMMYFUNCTION("IF(LEN($AB10),IFERROR(query(INDIRECT($AG$12),""SELECT ""&amp;$AG$4&amp;"" WHERE ""&amp;$AG$8&amp;"" = '""&amp;$X10&amp;""' AND ""&amp;$AG$5&amp;"" &lt;= date '""&amp;TEXT(DATEVALUE(AC$2),""yyyy-mm-dd"")&amp;""' ORDER BY ""&amp;$AG$5&amp;"" DESC,""&amp;$AG$6&amp;"" DESC LIMIT 1"",0),0),IFERROR(1/0))"),"")</f>
        <v/>
      </c>
      <c r="AD10" s="1557" t="str">
        <f>IFERROR(__xludf.DUMMYFUNCTION("IF(LEN($AB10),IFERROR(query(INDIRECT($AG$12),""SELECT ""&amp;$AG$4&amp;"" WHERE ""&amp;$AG$8&amp;"" = '""&amp;$X10&amp;""' AND ""&amp;$AG$5&amp;"" &lt;= date '""&amp;TEXT(DATEVALUE(AD$2),""yyyy-mm-dd"")&amp;""' ORDER BY ""&amp;$AG$5&amp;"" DESC,""&amp;$AG$6&amp;"" DESC LIMIT 1"",0),0),IFERROR(1/0))"),"")</f>
        <v/>
      </c>
      <c r="AE10" s="792"/>
      <c r="AF10" s="824" t="s">
        <v>354</v>
      </c>
      <c r="AG10" s="796" t="str">
        <f t="shared" si="4"/>
        <v/>
      </c>
    </row>
    <row r="11">
      <c r="A11" s="810"/>
      <c r="B11" s="824"/>
      <c r="C11" s="824"/>
      <c r="D11" s="1594"/>
      <c r="E11" s="1595"/>
      <c r="F11" s="1596"/>
      <c r="G11" s="1597"/>
      <c r="H11" s="810"/>
      <c r="I11" s="783"/>
      <c r="J11" s="849" t="s">
        <v>670</v>
      </c>
      <c r="K11" s="850" t="s">
        <v>671</v>
      </c>
      <c r="L11" s="783"/>
      <c r="M11" s="812" t="s">
        <v>1330</v>
      </c>
      <c r="N11" s="1590">
        <f>DATE(YEAR(N9)-1,MONTH(N9),DAY(N9))</f>
        <v>45402</v>
      </c>
      <c r="O11" s="1553"/>
      <c r="P11" s="826"/>
      <c r="Q11" s="826"/>
      <c r="R11" s="1553"/>
      <c r="S11" s="1553" t="str">
        <f t="shared" si="5"/>
        <v/>
      </c>
      <c r="T11" s="1553" t="str">
        <f t="shared" si="6"/>
        <v/>
      </c>
      <c r="U11" s="1553" t="str">
        <f t="shared" si="7"/>
        <v/>
      </c>
      <c r="V11" s="826"/>
      <c r="W11" s="826"/>
      <c r="X11" s="826"/>
      <c r="Y11" s="826"/>
      <c r="Z11" s="826"/>
      <c r="AA11" s="792"/>
      <c r="AB11" s="1586"/>
      <c r="AC11" s="1557" t="str">
        <f>IFERROR(__xludf.DUMMYFUNCTION("IF(LEN($AB11),IFERROR(query(INDIRECT($AG$12),""SELECT ""&amp;$AG$4&amp;"" WHERE ""&amp;$AG$8&amp;"" = '""&amp;$X11&amp;""' AND ""&amp;$AG$5&amp;"" &lt;= date '""&amp;TEXT(DATEVALUE(AC$2),""yyyy-mm-dd"")&amp;""' ORDER BY ""&amp;$AG$5&amp;"" DESC,""&amp;$AG$6&amp;"" DESC LIMIT 1"",0),0),IFERROR(1/0))"),"")</f>
        <v/>
      </c>
      <c r="AD11" s="1557" t="str">
        <f>IFERROR(__xludf.DUMMYFUNCTION("IF(LEN($AB11),IFERROR(query(INDIRECT($AG$12),""SELECT ""&amp;$AG$4&amp;"" WHERE ""&amp;$AG$8&amp;"" = '""&amp;$X11&amp;""' AND ""&amp;$AG$5&amp;"" &lt;= date '""&amp;TEXT(DATEVALUE(AD$2),""yyyy-mm-dd"")&amp;""' ORDER BY ""&amp;$AG$5&amp;"" DESC,""&amp;$AG$6&amp;"" DESC LIMIT 1"",0),0),IFERROR(1/0))"),"")</f>
        <v/>
      </c>
      <c r="AE11" s="792"/>
      <c r="AF11" s="824" t="s">
        <v>656</v>
      </c>
      <c r="AG11" s="796" t="str">
        <f t="shared" si="4"/>
        <v/>
      </c>
    </row>
    <row r="12">
      <c r="A12" s="782"/>
      <c r="B12" s="1573" t="str">
        <f t="array" ref="B12:B127">IFERROR(VLOOKUP(row(B12:B127)-Row(B$12), {U7:U127,AB7:AB127},2, FALSE), IFERROR(upper(VLOOKUP(row(B12:B127)-Row(B$12), {T7:T127,W7:W127},2, FALSE)), IFERROR(upper(VLOOKUP(row(B12:B127)-Row(B$12), {S7:S127,V7:V127},2, FALSE)),iferror(1/0))))</f>
        <v/>
      </c>
      <c r="C12" s="1598"/>
      <c r="D12" s="1599" t="str">
        <f t="shared" ref="D12:E12" si="9">if(isdate(D$8),IF($J12=$N$4,if(isblank(AC$2),iferror(1/0),SUMIF($W$7:$W127,$B12,AC$7:AC127)),IF(ISBLANK($J12),IFERROR(1/0),OFFSET(AC$1,$K12-1,0))),IFERROR(1/0))</f>
        <v/>
      </c>
      <c r="E12" s="1600" t="str">
        <f t="shared" si="9"/>
        <v/>
      </c>
      <c r="F12" s="1596"/>
      <c r="G12" s="1597"/>
      <c r="H12" s="1601"/>
      <c r="I12" s="783"/>
      <c r="J12" s="782" t="str">
        <f t="array" ref="J12:J116">IF(ISTEXT(VLOOKUP(row(A23:A127)-Row(A$23), {U7:U127,V7:V127},2, FALSE)),"Account",
               IF(ISTEXT(VLOOKUP(row(A23:A127)-Row(A$23), {T7:T127,W7:W127},2, FALSE)),N4,
               IF(ISTEXT(VLOOKUP(row(A23:A127)-Row(A$23), {S7:S127,Y7:Y127},2, FALSE)),"Class",
iferror(1/0))))</f>
        <v/>
      </c>
      <c r="K12" s="1602" t="str">
        <f t="shared" ref="K12:K127" si="11">IF(J12="Class",IF(B12="Asset",3,4),IF(J12="Account",MATCH(B12,AB$7:AB127,0)+6,IFERROR(1/0)))</f>
        <v/>
      </c>
      <c r="L12" s="783"/>
      <c r="M12" s="812" t="s">
        <v>1339</v>
      </c>
      <c r="N12" s="1553" t="b">
        <f>IF(C6="None",FALSE,TRUE)</f>
        <v>1</v>
      </c>
      <c r="O12" s="1553"/>
      <c r="P12" s="826"/>
      <c r="Q12" s="826"/>
      <c r="R12" s="1553"/>
      <c r="S12" s="1553" t="str">
        <f t="shared" si="5"/>
        <v/>
      </c>
      <c r="T12" s="1553" t="str">
        <f t="shared" si="6"/>
        <v/>
      </c>
      <c r="U12" s="1553" t="str">
        <f t="shared" si="7"/>
        <v/>
      </c>
      <c r="V12" s="1585"/>
      <c r="W12" s="1585"/>
      <c r="X12" s="1585"/>
      <c r="Y12" s="1585"/>
      <c r="Z12" s="1585"/>
      <c r="AA12" s="792"/>
      <c r="AB12" s="1586"/>
      <c r="AC12" s="1557" t="str">
        <f>IFERROR(__xludf.DUMMYFUNCTION("IF(LEN($AB12),IFERROR(query(INDIRECT($AG$12),""SELECT ""&amp;$AG$4&amp;"" WHERE ""&amp;$AG$8&amp;"" = '""&amp;$X12&amp;""' AND ""&amp;$AG$5&amp;"" &lt;= date '""&amp;TEXT(DATEVALUE(AC$2),""yyyy-mm-dd"")&amp;""' ORDER BY ""&amp;$AG$5&amp;"" DESC,""&amp;$AG$6&amp;"" DESC LIMIT 1"",0),0),IFERROR(1/0))"),"")</f>
        <v/>
      </c>
      <c r="AD12" s="1557" t="str">
        <f>IFERROR(__xludf.DUMMYFUNCTION("IF(LEN($AB12),IFERROR(query(INDIRECT($AG$12),""SELECT ""&amp;$AG$4&amp;"" WHERE ""&amp;$AG$8&amp;"" = '""&amp;$X12&amp;""' AND ""&amp;$AG$5&amp;"" &lt;= date '""&amp;TEXT(DATEVALUE(AD$2),""yyyy-mm-dd"")&amp;""' ORDER BY ""&amp;$AG$5&amp;"" DESC,""&amp;$AG$6&amp;"" DESC LIMIT 1"",0),0),IFERROR(1/0))"),"")</f>
        <v/>
      </c>
      <c r="AE12" s="792"/>
      <c r="AF12" s="1547" t="s">
        <v>1340</v>
      </c>
      <c r="AG12" s="1603" t="str">
        <f t="array" ref="AG12">"'Balance History'!$"&amp;index(sort(AG3:AG11,1,true),1)&amp;"$2:$"&amp;index(sort(AG3:AG11,1,false),1)</f>
        <v>'Balance History'!$$2:$</v>
      </c>
    </row>
    <row r="13">
      <c r="A13" s="829"/>
      <c r="B13" s="1573"/>
      <c r="C13" s="1598"/>
      <c r="D13" s="1599" t="str">
        <f t="shared" ref="D13:E13" si="10">if(isdate(D$8),IF($J13=$N$4,if(isblank(AC$2),iferror(1/0),SUMIF($W$7:$W127,$B13,AC$7:AC127)),IF(ISBLANK($J13),IFERROR(1/0),OFFSET(AC$1,$K13-1,0))),IFERROR(1/0))</f>
        <v/>
      </c>
      <c r="E13" s="1600" t="str">
        <f t="shared" si="10"/>
        <v/>
      </c>
      <c r="F13" s="1596"/>
      <c r="G13" s="1597"/>
      <c r="H13" s="1594"/>
      <c r="I13" s="783"/>
      <c r="J13" s="1536"/>
      <c r="K13" s="1602" t="str">
        <f t="shared" si="11"/>
        <v/>
      </c>
      <c r="L13" s="783"/>
      <c r="M13" s="1576"/>
      <c r="N13" s="1553"/>
      <c r="O13" s="1553"/>
      <c r="P13" s="826"/>
      <c r="Q13" s="826"/>
      <c r="R13" s="1553"/>
      <c r="S13" s="1553" t="str">
        <f t="shared" si="5"/>
        <v/>
      </c>
      <c r="T13" s="1553" t="str">
        <f t="shared" si="6"/>
        <v/>
      </c>
      <c r="U13" s="1553" t="str">
        <f t="shared" si="7"/>
        <v/>
      </c>
      <c r="V13" s="826"/>
      <c r="W13" s="826"/>
      <c r="X13" s="826"/>
      <c r="Y13" s="826"/>
      <c r="Z13" s="826"/>
      <c r="AA13" s="792"/>
      <c r="AB13" s="1586"/>
      <c r="AC13" s="1557" t="str">
        <f>IFERROR(__xludf.DUMMYFUNCTION("IF(LEN($AB13),IFERROR(query(INDIRECT($AG$12),""SELECT ""&amp;$AG$4&amp;"" WHERE ""&amp;$AG$8&amp;"" = '""&amp;$X13&amp;""' AND ""&amp;$AG$5&amp;"" &lt;= date '""&amp;TEXT(DATEVALUE(AC$2),""yyyy-mm-dd"")&amp;""' ORDER BY ""&amp;$AG$5&amp;"" DESC,""&amp;$AG$6&amp;"" DESC LIMIT 1"",0),0),IFERROR(1/0))"),"")</f>
        <v/>
      </c>
      <c r="AD13" s="1557" t="str">
        <f>IFERROR(__xludf.DUMMYFUNCTION("IF(LEN($AB13),IFERROR(query(INDIRECT($AG$12),""SELECT ""&amp;$AG$4&amp;"" WHERE ""&amp;$AG$8&amp;"" = '""&amp;$X13&amp;""' AND ""&amp;$AG$5&amp;"" &lt;= date '""&amp;TEXT(DATEVALUE(AD$2),""yyyy-mm-dd"")&amp;""' ORDER BY ""&amp;$AG$5&amp;"" DESC,""&amp;$AG$6&amp;"" DESC LIMIT 1"",0),0),IFERROR(1/0))"),"")</f>
        <v/>
      </c>
      <c r="AE13" s="792"/>
      <c r="AF13" s="1551" t="s">
        <v>662</v>
      </c>
    </row>
    <row r="14">
      <c r="A14" s="831"/>
      <c r="B14" s="1573"/>
      <c r="C14" s="1598"/>
      <c r="D14" s="1599" t="str">
        <f t="shared" ref="D14:E14" si="12">if(isdate(D$8),IF($J14=$N$4,if(isblank(AC$2),iferror(1/0),SUMIF($W$7:$W127,$B14,AC$7:AC127)),IF(ISBLANK($J14),IFERROR(1/0),OFFSET(AC$1,$K14-1,0))),IFERROR(1/0))</f>
        <v/>
      </c>
      <c r="E14" s="1600" t="str">
        <f t="shared" si="12"/>
        <v/>
      </c>
      <c r="F14" s="1596"/>
      <c r="G14" s="1597"/>
      <c r="H14" s="1599"/>
      <c r="I14" s="783"/>
      <c r="J14" s="1536"/>
      <c r="K14" s="1602" t="str">
        <f t="shared" si="11"/>
        <v/>
      </c>
      <c r="L14" s="783"/>
      <c r="M14" s="1576"/>
      <c r="N14" s="1553"/>
      <c r="O14" s="1553"/>
      <c r="P14" s="826"/>
      <c r="Q14" s="826"/>
      <c r="R14" s="1553"/>
      <c r="S14" s="1553" t="str">
        <f t="shared" si="5"/>
        <v/>
      </c>
      <c r="T14" s="1553" t="str">
        <f t="shared" si="6"/>
        <v/>
      </c>
      <c r="U14" s="1553" t="str">
        <f t="shared" si="7"/>
        <v/>
      </c>
      <c r="V14" s="1585"/>
      <c r="W14" s="1585"/>
      <c r="X14" s="1585"/>
      <c r="Y14" s="1585"/>
      <c r="Z14" s="1585"/>
      <c r="AA14" s="792"/>
      <c r="AB14" s="1586"/>
      <c r="AC14" s="1557" t="str">
        <f>IFERROR(__xludf.DUMMYFUNCTION("IF(LEN($AB14),IFERROR(query(INDIRECT($AG$12),""SELECT ""&amp;$AG$4&amp;"" WHERE ""&amp;$AG$8&amp;"" = '""&amp;$X14&amp;""' AND ""&amp;$AG$5&amp;"" &lt;= date '""&amp;TEXT(DATEVALUE(AC$2),""yyyy-mm-dd"")&amp;""' ORDER BY ""&amp;$AG$5&amp;"" DESC,""&amp;$AG$6&amp;"" DESC LIMIT 1"",0),0),IFERROR(1/0))"),"")</f>
        <v/>
      </c>
      <c r="AD14" s="1557" t="str">
        <f>IFERROR(__xludf.DUMMYFUNCTION("IF(LEN($AB14),IFERROR(query(INDIRECT($AG$12),""SELECT ""&amp;$AG$4&amp;"" WHERE ""&amp;$AG$8&amp;"" = '""&amp;$X14&amp;""' AND ""&amp;$AG$5&amp;"" &lt;= date '""&amp;TEXT(DATEVALUE(AD$2),""yyyy-mm-dd"")&amp;""' ORDER BY ""&amp;$AG$5&amp;"" DESC,""&amp;$AG$6&amp;"" DESC LIMIT 1"",0),0),IFERROR(1/0))"),"")</f>
        <v/>
      </c>
      <c r="AE14" s="792"/>
      <c r="AF14" s="795" t="s">
        <v>660</v>
      </c>
      <c r="AG14" s="796" t="str">
        <f t="shared" ref="AG14:AG24" si="14">SUBSTITUTE(ADDRESS(1,MATCH($AF14, Accounts!$F$1:$Q$1,0)+code("F")-code("A"),4),1,"")</f>
        <v>#REF!</v>
      </c>
    </row>
    <row r="15">
      <c r="A15" s="782"/>
      <c r="B15" s="1573"/>
      <c r="C15" s="1573"/>
      <c r="D15" s="1599" t="str">
        <f t="shared" ref="D15:E15" si="13">if(isdate(D$8),IF($J15=$N$4,if(isblank(AC$2),iferror(1/0),SUMIF($W$7:$W127,$B15,AC$7:AC127)),IF(ISBLANK($J15),IFERROR(1/0),OFFSET(AC$1,$K15-1,0))),IFERROR(1/0))</f>
        <v/>
      </c>
      <c r="E15" s="1600" t="str">
        <f t="shared" si="13"/>
        <v/>
      </c>
      <c r="F15" s="1596"/>
      <c r="G15" s="1597"/>
      <c r="H15" s="1599"/>
      <c r="I15" s="783"/>
      <c r="J15" s="782"/>
      <c r="K15" s="1602" t="str">
        <f t="shared" si="11"/>
        <v/>
      </c>
      <c r="L15" s="783"/>
      <c r="M15" s="1576"/>
      <c r="N15" s="1553"/>
      <c r="O15" s="1553"/>
      <c r="P15" s="826"/>
      <c r="Q15" s="826"/>
      <c r="R15" s="1553"/>
      <c r="S15" s="1553" t="str">
        <f t="shared" si="5"/>
        <v/>
      </c>
      <c r="T15" s="1553" t="str">
        <f t="shared" si="6"/>
        <v/>
      </c>
      <c r="U15" s="1553" t="str">
        <f t="shared" si="7"/>
        <v/>
      </c>
      <c r="V15" s="826"/>
      <c r="W15" s="826"/>
      <c r="X15" s="826"/>
      <c r="Y15" s="826"/>
      <c r="Z15" s="826"/>
      <c r="AA15" s="792"/>
      <c r="AB15" s="1586"/>
      <c r="AC15" s="1557" t="str">
        <f>IFERROR(__xludf.DUMMYFUNCTION("IF(LEN($AB15),IFERROR(query(INDIRECT($AG$12),""SELECT ""&amp;$AG$4&amp;"" WHERE ""&amp;$AG$8&amp;"" = '""&amp;$X15&amp;""' AND ""&amp;$AG$5&amp;"" &lt;= date '""&amp;TEXT(DATEVALUE(AC$2),""yyyy-mm-dd"")&amp;""' ORDER BY ""&amp;$AG$5&amp;"" DESC,""&amp;$AG$6&amp;"" DESC LIMIT 1"",0),0),IFERROR(1/0))"),"")</f>
        <v/>
      </c>
      <c r="AD15" s="1557" t="str">
        <f>IFERROR(__xludf.DUMMYFUNCTION("IF(LEN($AB15),IFERROR(query(INDIRECT($AG$12),""SELECT ""&amp;$AG$4&amp;"" WHERE ""&amp;$AG$8&amp;"" = '""&amp;$X15&amp;""' AND ""&amp;$AG$5&amp;"" &lt;= date '""&amp;TEXT(DATEVALUE(AD$2),""yyyy-mm-dd"")&amp;""' ORDER BY ""&amp;$AG$5&amp;"" DESC,""&amp;$AG$6&amp;"" DESC LIMIT 1"",0),0),IFERROR(1/0))"),"")</f>
        <v/>
      </c>
      <c r="AE15" s="792"/>
      <c r="AF15" s="795" t="s">
        <v>395</v>
      </c>
      <c r="AG15" s="796" t="str">
        <f t="shared" si="14"/>
        <v>#REF!</v>
      </c>
    </row>
    <row r="16">
      <c r="A16" s="782"/>
      <c r="B16" s="1573"/>
      <c r="C16" s="1573"/>
      <c r="D16" s="1599" t="str">
        <f t="shared" ref="D16:E16" si="15">if(isdate(D$8),IF($J16=$N$4,if(isblank(AC$2),iferror(1/0),SUMIF($W$7:$W127,$B16,AC$7:AC127)),IF(ISBLANK($J16),IFERROR(1/0),OFFSET(AC$1,$K16-1,0))),IFERROR(1/0))</f>
        <v/>
      </c>
      <c r="E16" s="1600" t="str">
        <f t="shared" si="15"/>
        <v/>
      </c>
      <c r="F16" s="1596"/>
      <c r="G16" s="1597"/>
      <c r="H16" s="1599"/>
      <c r="I16" s="783"/>
      <c r="J16" s="782"/>
      <c r="K16" s="1602" t="str">
        <f t="shared" si="11"/>
        <v/>
      </c>
      <c r="L16" s="783"/>
      <c r="M16" s="1576"/>
      <c r="N16" s="1553"/>
      <c r="O16" s="1553"/>
      <c r="P16" s="826"/>
      <c r="Q16" s="826"/>
      <c r="R16" s="1553"/>
      <c r="S16" s="1553" t="str">
        <f t="shared" si="5"/>
        <v/>
      </c>
      <c r="T16" s="1553" t="str">
        <f t="shared" si="6"/>
        <v/>
      </c>
      <c r="U16" s="1553" t="str">
        <f t="shared" si="7"/>
        <v/>
      </c>
      <c r="V16" s="826"/>
      <c r="W16" s="826"/>
      <c r="X16" s="826"/>
      <c r="Y16" s="826"/>
      <c r="Z16" s="826"/>
      <c r="AA16" s="792"/>
      <c r="AB16" s="1586"/>
      <c r="AC16" s="1557" t="str">
        <f>IFERROR(__xludf.DUMMYFUNCTION("IF(LEN($AB16),IFERROR(query(INDIRECT($AG$12),""SELECT ""&amp;$AG$4&amp;"" WHERE ""&amp;$AG$8&amp;"" = '""&amp;$X16&amp;""' AND ""&amp;$AG$5&amp;"" &lt;= date '""&amp;TEXT(DATEVALUE(AC$2),""yyyy-mm-dd"")&amp;""' ORDER BY ""&amp;$AG$5&amp;"" DESC,""&amp;$AG$6&amp;"" DESC LIMIT 1"",0),0),IFERROR(1/0))"),"")</f>
        <v/>
      </c>
      <c r="AD16" s="1557" t="str">
        <f>IFERROR(__xludf.DUMMYFUNCTION("IF(LEN($AB16),IFERROR(query(INDIRECT($AG$12),""SELECT ""&amp;$AG$4&amp;"" WHERE ""&amp;$AG$8&amp;"" = '""&amp;$X16&amp;""' AND ""&amp;$AG$5&amp;"" &lt;= date '""&amp;TEXT(DATEVALUE(AD$2),""yyyy-mm-dd"")&amp;""' ORDER BY ""&amp;$AG$5&amp;"" DESC,""&amp;$AG$6&amp;"" DESC LIMIT 1"",0),0),IFERROR(1/0))"),"")</f>
        <v/>
      </c>
      <c r="AE16" s="792"/>
      <c r="AF16" s="795" t="s">
        <v>658</v>
      </c>
      <c r="AG16" s="796" t="str">
        <f t="shared" si="14"/>
        <v>#REF!</v>
      </c>
    </row>
    <row r="17">
      <c r="A17" s="782"/>
      <c r="B17" s="1573"/>
      <c r="C17" s="1573"/>
      <c r="D17" s="1599" t="str">
        <f t="shared" ref="D17:E17" si="16">if(isdate(D$8),IF($J17=$N$4,if(isblank(AC$2),iferror(1/0),SUMIF($W$7:$W127,$B17,AC$7:AC127)),IF(ISBLANK($J17),IFERROR(1/0),OFFSET(AC$1,$K17-1,0))),IFERROR(1/0))</f>
        <v/>
      </c>
      <c r="E17" s="1600" t="str">
        <f t="shared" si="16"/>
        <v/>
      </c>
      <c r="F17" s="1596"/>
      <c r="G17" s="1597"/>
      <c r="H17" s="1599"/>
      <c r="I17" s="783"/>
      <c r="J17" s="782"/>
      <c r="K17" s="1602" t="str">
        <f t="shared" si="11"/>
        <v/>
      </c>
      <c r="L17" s="783"/>
      <c r="M17" s="1576"/>
      <c r="N17" s="1553"/>
      <c r="O17" s="1553"/>
      <c r="P17" s="826"/>
      <c r="Q17" s="826"/>
      <c r="R17" s="1553"/>
      <c r="S17" s="1553" t="str">
        <f t="shared" si="5"/>
        <v/>
      </c>
      <c r="T17" s="1553" t="str">
        <f t="shared" si="6"/>
        <v/>
      </c>
      <c r="U17" s="1553" t="str">
        <f t="shared" si="7"/>
        <v/>
      </c>
      <c r="V17" s="826"/>
      <c r="W17" s="826"/>
      <c r="X17" s="826"/>
      <c r="Y17" s="826"/>
      <c r="Z17" s="826"/>
      <c r="AA17" s="792"/>
      <c r="AB17" s="1586"/>
      <c r="AC17" s="1557" t="str">
        <f>IFERROR(__xludf.DUMMYFUNCTION("IF(LEN($AB17),IFERROR(query(INDIRECT($AG$12),""SELECT ""&amp;$AG$4&amp;"" WHERE ""&amp;$AG$8&amp;"" = '""&amp;$X17&amp;""' AND ""&amp;$AG$5&amp;"" &lt;= date '""&amp;TEXT(DATEVALUE(AC$2),""yyyy-mm-dd"")&amp;""' ORDER BY ""&amp;$AG$5&amp;"" DESC,""&amp;$AG$6&amp;"" DESC LIMIT 1"",0),0),IFERROR(1/0))"),"")</f>
        <v/>
      </c>
      <c r="AD17" s="1557" t="str">
        <f>IFERROR(__xludf.DUMMYFUNCTION("IF(LEN($AB17),IFERROR(query(INDIRECT($AG$12),""SELECT ""&amp;$AG$4&amp;"" WHERE ""&amp;$AG$8&amp;"" = '""&amp;$X17&amp;""' AND ""&amp;$AG$5&amp;"" &lt;= date '""&amp;TEXT(DATEVALUE(AD$2),""yyyy-mm-dd"")&amp;""' ORDER BY ""&amp;$AG$5&amp;"" DESC,""&amp;$AG$6&amp;"" DESC LIMIT 1"",0),0),IFERROR(1/0))"),"")</f>
        <v/>
      </c>
      <c r="AE17" s="792"/>
      <c r="AF17" s="795" t="s">
        <v>663</v>
      </c>
      <c r="AG17" s="796" t="str">
        <f t="shared" si="14"/>
        <v>#REF!</v>
      </c>
    </row>
    <row r="18">
      <c r="A18" s="782"/>
      <c r="B18" s="1573"/>
      <c r="C18" s="1573"/>
      <c r="D18" s="1599" t="str">
        <f t="shared" ref="D18:E18" si="17">if(isdate(D$8),IF($J18=$N$4,if(isblank(AC$2),iferror(1/0),SUMIF($W$7:$W127,$B18,AC$7:AC127)),IF(ISBLANK($J18),IFERROR(1/0),OFFSET(AC$1,$K18-1,0))),IFERROR(1/0))</f>
        <v/>
      </c>
      <c r="E18" s="1600" t="str">
        <f t="shared" si="17"/>
        <v/>
      </c>
      <c r="F18" s="1596"/>
      <c r="G18" s="1597"/>
      <c r="H18" s="1599"/>
      <c r="I18" s="783"/>
      <c r="J18" s="782"/>
      <c r="K18" s="1602" t="str">
        <f t="shared" si="11"/>
        <v/>
      </c>
      <c r="L18" s="783"/>
      <c r="M18" s="1576"/>
      <c r="N18" s="1553"/>
      <c r="O18" s="1553"/>
      <c r="P18" s="826"/>
      <c r="Q18" s="826"/>
      <c r="R18" s="1553"/>
      <c r="S18" s="1553" t="str">
        <f t="shared" si="5"/>
        <v/>
      </c>
      <c r="T18" s="1553" t="str">
        <f t="shared" si="6"/>
        <v/>
      </c>
      <c r="U18" s="1553" t="str">
        <f t="shared" si="7"/>
        <v/>
      </c>
      <c r="V18" s="826"/>
      <c r="W18" s="826"/>
      <c r="X18" s="826"/>
      <c r="Y18" s="826"/>
      <c r="Z18" s="826"/>
      <c r="AA18" s="792"/>
      <c r="AB18" s="1586"/>
      <c r="AC18" s="1557" t="str">
        <f>IFERROR(__xludf.DUMMYFUNCTION("IF(LEN($AB18),IFERROR(query(INDIRECT($AG$12),""SELECT ""&amp;$AG$4&amp;"" WHERE ""&amp;$AG$8&amp;"" = '""&amp;$X18&amp;""' AND ""&amp;$AG$5&amp;"" &lt;= date '""&amp;TEXT(DATEVALUE(AC$2),""yyyy-mm-dd"")&amp;""' ORDER BY ""&amp;$AG$5&amp;"" DESC,""&amp;$AG$6&amp;"" DESC LIMIT 1"",0),0),IFERROR(1/0))"),"")</f>
        <v/>
      </c>
      <c r="AD18" s="1557" t="str">
        <f>IFERROR(__xludf.DUMMYFUNCTION("IF(LEN($AB18),IFERROR(query(INDIRECT($AG$12),""SELECT ""&amp;$AG$4&amp;"" WHERE ""&amp;$AG$8&amp;"" = '""&amp;$X18&amp;""' AND ""&amp;$AG$5&amp;"" &lt;= date '""&amp;TEXT(DATEVALUE(AD$2),""yyyy-mm-dd"")&amp;""' ORDER BY ""&amp;$AG$5&amp;"" DESC,""&amp;$AG$6&amp;"" DESC LIMIT 1"",0),0),IFERROR(1/0))"),"")</f>
        <v/>
      </c>
      <c r="AE18" s="792"/>
      <c r="AF18" s="795" t="s">
        <v>664</v>
      </c>
      <c r="AG18" s="796" t="str">
        <f t="shared" si="14"/>
        <v>#REF!</v>
      </c>
    </row>
    <row r="19">
      <c r="A19" s="782"/>
      <c r="B19" s="1573"/>
      <c r="C19" s="1573"/>
      <c r="D19" s="1599" t="str">
        <f t="shared" ref="D19:E19" si="18">if(isdate(D$8),IF($J19=$N$4,if(isblank(AC$2),iferror(1/0),SUMIF($W$7:$W127,$B19,AC$7:AC127)),IF(ISBLANK($J19),IFERROR(1/0),OFFSET(AC$1,$K19-1,0))),IFERROR(1/0))</f>
        <v/>
      </c>
      <c r="E19" s="1600" t="str">
        <f t="shared" si="18"/>
        <v/>
      </c>
      <c r="F19" s="1596"/>
      <c r="G19" s="1597"/>
      <c r="H19" s="1599"/>
      <c r="I19" s="783"/>
      <c r="J19" s="782"/>
      <c r="K19" s="1602" t="str">
        <f t="shared" si="11"/>
        <v/>
      </c>
      <c r="L19" s="783"/>
      <c r="M19" s="1576"/>
      <c r="N19" s="1553"/>
      <c r="O19" s="1553"/>
      <c r="P19" s="826"/>
      <c r="Q19" s="826"/>
      <c r="R19" s="1553"/>
      <c r="S19" s="1553" t="str">
        <f t="shared" si="5"/>
        <v/>
      </c>
      <c r="T19" s="1553" t="str">
        <f t="shared" si="6"/>
        <v/>
      </c>
      <c r="U19" s="1553" t="str">
        <f t="shared" si="7"/>
        <v/>
      </c>
      <c r="V19" s="826"/>
      <c r="W19" s="826"/>
      <c r="X19" s="826"/>
      <c r="Y19" s="826"/>
      <c r="Z19" s="826"/>
      <c r="AA19" s="792"/>
      <c r="AB19" s="1586"/>
      <c r="AC19" s="1557" t="str">
        <f>IFERROR(__xludf.DUMMYFUNCTION("IF(LEN($AB19),IFERROR(query(INDIRECT($AG$12),""SELECT ""&amp;$AG$4&amp;"" WHERE ""&amp;$AG$8&amp;"" = '""&amp;$X19&amp;""' AND ""&amp;$AG$5&amp;"" &lt;= date '""&amp;TEXT(DATEVALUE(AC$2),""yyyy-mm-dd"")&amp;""' ORDER BY ""&amp;$AG$5&amp;"" DESC,""&amp;$AG$6&amp;"" DESC LIMIT 1"",0),0),IFERROR(1/0))"),"")</f>
        <v/>
      </c>
      <c r="AD19" s="1557" t="str">
        <f>IFERROR(__xludf.DUMMYFUNCTION("IF(LEN($AB19),IFERROR(query(INDIRECT($AG$12),""SELECT ""&amp;$AG$4&amp;"" WHERE ""&amp;$AG$8&amp;"" = '""&amp;$X19&amp;""' AND ""&amp;$AG$5&amp;"" &lt;= date '""&amp;TEXT(DATEVALUE(AD$2),""yyyy-mm-dd"")&amp;""' ORDER BY ""&amp;$AG$5&amp;"" DESC,""&amp;$AG$6&amp;"" DESC LIMIT 1"",0),0),IFERROR(1/0))"),"")</f>
        <v/>
      </c>
      <c r="AE19" s="792"/>
      <c r="AF19" s="795" t="s">
        <v>661</v>
      </c>
      <c r="AG19" s="796" t="str">
        <f t="shared" si="14"/>
        <v>#REF!</v>
      </c>
    </row>
    <row r="20">
      <c r="A20" s="782"/>
      <c r="B20" s="1573"/>
      <c r="C20" s="1573"/>
      <c r="D20" s="1599" t="str">
        <f t="shared" ref="D20:E20" si="19">if(isdate(D$8),IF($J20=$N$4,if(isblank(AC$2),iferror(1/0),SUMIF($W$7:$W127,$B20,AC$7:AC127)),IF(ISBLANK($J20),IFERROR(1/0),OFFSET(AC$1,$K20-1,0))),IFERROR(1/0))</f>
        <v/>
      </c>
      <c r="E20" s="1600" t="str">
        <f t="shared" si="19"/>
        <v/>
      </c>
      <c r="F20" s="1596"/>
      <c r="G20" s="1597"/>
      <c r="H20" s="1599"/>
      <c r="I20" s="783"/>
      <c r="J20" s="782"/>
      <c r="K20" s="1602" t="str">
        <f t="shared" si="11"/>
        <v/>
      </c>
      <c r="L20" s="783"/>
      <c r="M20" s="824"/>
      <c r="N20" s="1553"/>
      <c r="O20" s="1553"/>
      <c r="P20" s="826"/>
      <c r="Q20" s="826"/>
      <c r="R20" s="1553"/>
      <c r="S20" s="1553" t="str">
        <f t="shared" si="5"/>
        <v/>
      </c>
      <c r="T20" s="1553" t="str">
        <f t="shared" si="6"/>
        <v/>
      </c>
      <c r="U20" s="1553" t="str">
        <f t="shared" si="7"/>
        <v/>
      </c>
      <c r="V20" s="826"/>
      <c r="W20" s="826"/>
      <c r="X20" s="826"/>
      <c r="Y20" s="826"/>
      <c r="Z20" s="826"/>
      <c r="AA20" s="792"/>
      <c r="AB20" s="1586"/>
      <c r="AC20" s="1557" t="str">
        <f>IFERROR(__xludf.DUMMYFUNCTION("IF(LEN($AB20),IFERROR(query(INDIRECT($AG$12),""SELECT ""&amp;$AG$4&amp;"" WHERE ""&amp;$AG$8&amp;"" = '""&amp;$X20&amp;""' AND ""&amp;$AG$5&amp;"" &lt;= date '""&amp;TEXT(DATEVALUE(AC$2),""yyyy-mm-dd"")&amp;""' ORDER BY ""&amp;$AG$5&amp;"" DESC,""&amp;$AG$6&amp;"" DESC LIMIT 1"",0),0),IFERROR(1/0))"),"")</f>
        <v/>
      </c>
      <c r="AD20" s="1557" t="str">
        <f>IFERROR(__xludf.DUMMYFUNCTION("IF(LEN($AB20),IFERROR(query(INDIRECT($AG$12),""SELECT ""&amp;$AG$4&amp;"" WHERE ""&amp;$AG$8&amp;"" = '""&amp;$X20&amp;""' AND ""&amp;$AG$5&amp;"" &lt;= date '""&amp;TEXT(DATEVALUE(AD$2),""yyyy-mm-dd"")&amp;""' ORDER BY ""&amp;$AG$5&amp;"" DESC,""&amp;$AG$6&amp;"" DESC LIMIT 1"",0),0),IFERROR(1/0))"),"")</f>
        <v/>
      </c>
      <c r="AE20" s="792"/>
      <c r="AF20" s="795" t="s">
        <v>354</v>
      </c>
      <c r="AG20" s="796" t="str">
        <f t="shared" si="14"/>
        <v>#REF!</v>
      </c>
    </row>
    <row r="21">
      <c r="A21" s="782"/>
      <c r="B21" s="1573"/>
      <c r="C21" s="1573"/>
      <c r="D21" s="1599" t="str">
        <f t="shared" ref="D21:E21" si="20">if(isdate(D$8),IF($J21=$N$4,if(isblank(AC$2),iferror(1/0),SUMIF($W$7:$W127,$B21,AC$7:AC127)),IF(ISBLANK($J21),IFERROR(1/0),OFFSET(AC$1,$K21-1,0))),IFERROR(1/0))</f>
        <v/>
      </c>
      <c r="E21" s="1600" t="str">
        <f t="shared" si="20"/>
        <v/>
      </c>
      <c r="F21" s="1596"/>
      <c r="G21" s="1597"/>
      <c r="H21" s="1599"/>
      <c r="I21" s="783"/>
      <c r="J21" s="782"/>
      <c r="K21" s="1602" t="str">
        <f t="shared" si="11"/>
        <v/>
      </c>
      <c r="L21" s="783"/>
      <c r="M21" s="1604"/>
      <c r="N21" s="1553"/>
      <c r="O21" s="1553"/>
      <c r="P21" s="826"/>
      <c r="Q21" s="826"/>
      <c r="R21" s="1553"/>
      <c r="S21" s="1553" t="str">
        <f t="shared" si="5"/>
        <v/>
      </c>
      <c r="T21" s="1553" t="str">
        <f t="shared" si="6"/>
        <v/>
      </c>
      <c r="U21" s="1553" t="str">
        <f t="shared" si="7"/>
        <v/>
      </c>
      <c r="V21" s="826"/>
      <c r="W21" s="826"/>
      <c r="X21" s="826"/>
      <c r="Y21" s="826"/>
      <c r="Z21" s="826"/>
      <c r="AA21" s="792"/>
      <c r="AB21" s="1586"/>
      <c r="AC21" s="1557" t="str">
        <f>IFERROR(__xludf.DUMMYFUNCTION("IF(LEN($AB21),IFERROR(query(INDIRECT($AG$12),""SELECT ""&amp;$AG$4&amp;"" WHERE ""&amp;$AG$8&amp;"" = '""&amp;$X21&amp;""' AND ""&amp;$AG$5&amp;"" &lt;= date '""&amp;TEXT(DATEVALUE(AC$2),""yyyy-mm-dd"")&amp;""' ORDER BY ""&amp;$AG$5&amp;"" DESC,""&amp;$AG$6&amp;"" DESC LIMIT 1"",0),0),IFERROR(1/0))"),"")</f>
        <v/>
      </c>
      <c r="AD21" s="1557" t="str">
        <f>IFERROR(__xludf.DUMMYFUNCTION("IF(LEN($AB21),IFERROR(query(INDIRECT($AG$12),""SELECT ""&amp;$AG$4&amp;"" WHERE ""&amp;$AG$8&amp;"" = '""&amp;$X21&amp;""' AND ""&amp;$AG$5&amp;"" &lt;= date '""&amp;TEXT(DATEVALUE(AD$2),""yyyy-mm-dd"")&amp;""' ORDER BY ""&amp;$AG$5&amp;"" DESC,""&amp;$AG$6&amp;"" DESC LIMIT 1"",0),0),IFERROR(1/0))"),"")</f>
        <v/>
      </c>
      <c r="AE21" s="792"/>
      <c r="AF21" s="795" t="s">
        <v>666</v>
      </c>
      <c r="AG21" s="796" t="str">
        <f t="shared" si="14"/>
        <v>#REF!</v>
      </c>
    </row>
    <row r="22">
      <c r="A22" s="782"/>
      <c r="B22" s="1573"/>
      <c r="C22" s="1573"/>
      <c r="D22" s="1599" t="str">
        <f t="shared" ref="D22:E22" si="21">if(isdate(D$8),IF($J22=$N$4,if(isblank(AC$2),iferror(1/0),SUMIF($W$7:$W127,$B22,AC$7:AC127)),IF(ISBLANK($J22),IFERROR(1/0),OFFSET(AC$1,$K22-1,0))),IFERROR(1/0))</f>
        <v/>
      </c>
      <c r="E22" s="1600" t="str">
        <f t="shared" si="21"/>
        <v/>
      </c>
      <c r="F22" s="1596"/>
      <c r="G22" s="1597"/>
      <c r="H22" s="1599"/>
      <c r="I22" s="783"/>
      <c r="J22" s="1536"/>
      <c r="K22" s="1602" t="str">
        <f t="shared" si="11"/>
        <v/>
      </c>
      <c r="L22" s="783"/>
      <c r="M22" s="1604"/>
      <c r="N22" s="1553"/>
      <c r="O22" s="1553"/>
      <c r="P22" s="826"/>
      <c r="Q22" s="826"/>
      <c r="R22" s="1553"/>
      <c r="S22" s="1553" t="str">
        <f t="shared" si="5"/>
        <v/>
      </c>
      <c r="T22" s="1553" t="str">
        <f t="shared" si="6"/>
        <v/>
      </c>
      <c r="U22" s="1553" t="str">
        <f t="shared" si="7"/>
        <v/>
      </c>
      <c r="V22" s="826"/>
      <c r="W22" s="826"/>
      <c r="X22" s="826"/>
      <c r="Y22" s="826"/>
      <c r="Z22" s="826"/>
      <c r="AA22" s="792"/>
      <c r="AB22" s="1586"/>
      <c r="AC22" s="1557" t="str">
        <f>IFERROR(__xludf.DUMMYFUNCTION("IF(LEN($AB22),IFERROR(query(INDIRECT($AG$12),""SELECT ""&amp;$AG$4&amp;"" WHERE ""&amp;$AG$8&amp;"" = '""&amp;$X22&amp;""' AND ""&amp;$AG$5&amp;"" &lt;= date '""&amp;TEXT(DATEVALUE(AC$2),""yyyy-mm-dd"")&amp;""' ORDER BY ""&amp;$AG$5&amp;"" DESC,""&amp;$AG$6&amp;"" DESC LIMIT 1"",0),0),IFERROR(1/0))"),"")</f>
        <v/>
      </c>
      <c r="AD22" s="1557" t="str">
        <f>IFERROR(__xludf.DUMMYFUNCTION("IF(LEN($AB22),IFERROR(query(INDIRECT($AG$12),""SELECT ""&amp;$AG$4&amp;"" WHERE ""&amp;$AG$8&amp;"" = '""&amp;$X22&amp;""' AND ""&amp;$AG$5&amp;"" &lt;= date '""&amp;TEXT(DATEVALUE(AD$2),""yyyy-mm-dd"")&amp;""' ORDER BY ""&amp;$AG$5&amp;"" DESC,""&amp;$AG$6&amp;"" DESC LIMIT 1"",0),0),IFERROR(1/0))"),"")</f>
        <v/>
      </c>
      <c r="AE22" s="792"/>
      <c r="AF22" s="795" t="s">
        <v>656</v>
      </c>
      <c r="AG22" s="796" t="str">
        <f t="shared" si="14"/>
        <v>#REF!</v>
      </c>
    </row>
    <row r="23">
      <c r="A23" s="782"/>
      <c r="B23" s="1536"/>
      <c r="C23" s="1536"/>
      <c r="D23" s="1599" t="str">
        <f t="shared" ref="D23:E23" si="22">if(isdate(D$8),IF($J23=$N$4,if(isblank(AC$2),iferror(1/0),SUMIF($W$7:$W127,$B23,AC$7:AC127)),IF(ISBLANK($J23),IFERROR(1/0),OFFSET(AC$1,$K23-1,0))),IFERROR(1/0))</f>
        <v/>
      </c>
      <c r="E23" s="1599" t="str">
        <f t="shared" si="22"/>
        <v/>
      </c>
      <c r="F23" s="1543"/>
      <c r="G23" s="1575"/>
      <c r="H23" s="1599"/>
      <c r="I23" s="783"/>
      <c r="J23" s="1536"/>
      <c r="K23" s="1602" t="str">
        <f t="shared" si="11"/>
        <v/>
      </c>
      <c r="L23" s="783"/>
      <c r="M23" s="1604"/>
      <c r="N23" s="1553"/>
      <c r="O23" s="1553"/>
      <c r="P23" s="826"/>
      <c r="Q23" s="826"/>
      <c r="R23" s="1553"/>
      <c r="S23" s="1553" t="str">
        <f t="shared" si="5"/>
        <v/>
      </c>
      <c r="T23" s="1553" t="str">
        <f t="shared" si="6"/>
        <v/>
      </c>
      <c r="U23" s="1553" t="str">
        <f t="shared" si="7"/>
        <v/>
      </c>
      <c r="V23" s="826"/>
      <c r="W23" s="826"/>
      <c r="X23" s="826"/>
      <c r="Y23" s="826"/>
      <c r="Z23" s="826"/>
      <c r="AA23" s="792"/>
      <c r="AB23" s="1586"/>
      <c r="AC23" s="1557" t="str">
        <f>IFERROR(__xludf.DUMMYFUNCTION("IF(LEN($AB23),IFERROR(query(INDIRECT($AG$12),""SELECT ""&amp;$AG$4&amp;"" WHERE ""&amp;$AG$8&amp;"" = '""&amp;$X23&amp;""' AND ""&amp;$AG$5&amp;"" &lt;= date '""&amp;TEXT(DATEVALUE(AC$2),""yyyy-mm-dd"")&amp;""' ORDER BY ""&amp;$AG$5&amp;"" DESC,""&amp;$AG$6&amp;"" DESC LIMIT 1"",0),0),IFERROR(1/0))"),"")</f>
        <v/>
      </c>
      <c r="AD23" s="1557" t="str">
        <f>IFERROR(__xludf.DUMMYFUNCTION("IF(LEN($AB23),IFERROR(query(INDIRECT($AG$12),""SELECT ""&amp;$AG$4&amp;"" WHERE ""&amp;$AG$8&amp;"" = '""&amp;$X23&amp;""' AND ""&amp;$AG$5&amp;"" &lt;= date '""&amp;TEXT(DATEVALUE(AD$2),""yyyy-mm-dd"")&amp;""' ORDER BY ""&amp;$AG$5&amp;"" DESC,""&amp;$AG$6&amp;"" DESC LIMIT 1"",0),0),IFERROR(1/0))"),"")</f>
        <v/>
      </c>
      <c r="AE23" s="792"/>
      <c r="AF23" s="795" t="s">
        <v>672</v>
      </c>
      <c r="AG23" s="796" t="str">
        <f t="shared" si="14"/>
        <v>#REF!</v>
      </c>
    </row>
    <row r="24">
      <c r="A24" s="1605"/>
      <c r="B24" s="1536"/>
      <c r="C24" s="1536"/>
      <c r="D24" s="1599" t="str">
        <f t="shared" ref="D24:E24" si="23">if(isdate(D$8),IF($J24=$N$4,if(isblank(AC$2),iferror(1/0),SUMIF($W$7:$W127,$B24,AC$7:AC127)),IF(ISBLANK($J24),IFERROR(1/0),OFFSET(AC$1,$K24-1,0))),IFERROR(1/0))</f>
        <v/>
      </c>
      <c r="E24" s="1599" t="str">
        <f t="shared" si="23"/>
        <v/>
      </c>
      <c r="F24" s="1543"/>
      <c r="G24" s="1575"/>
      <c r="H24" s="1599"/>
      <c r="I24" s="783"/>
      <c r="J24" s="1536"/>
      <c r="K24" s="1602" t="str">
        <f t="shared" si="11"/>
        <v/>
      </c>
      <c r="L24" s="783"/>
      <c r="M24" s="1604"/>
      <c r="N24" s="1553"/>
      <c r="O24" s="1553"/>
      <c r="P24" s="826"/>
      <c r="Q24" s="826"/>
      <c r="R24" s="1553"/>
      <c r="S24" s="1553" t="str">
        <f t="shared" si="5"/>
        <v/>
      </c>
      <c r="T24" s="1553" t="str">
        <f t="shared" si="6"/>
        <v/>
      </c>
      <c r="U24" s="1553" t="str">
        <f t="shared" si="7"/>
        <v/>
      </c>
      <c r="V24" s="826"/>
      <c r="W24" s="826"/>
      <c r="X24" s="826"/>
      <c r="Y24" s="826"/>
      <c r="Z24" s="826"/>
      <c r="AA24" s="792"/>
      <c r="AB24" s="1586"/>
      <c r="AC24" s="1557" t="str">
        <f>IFERROR(__xludf.DUMMYFUNCTION("IF(LEN($AB24),IFERROR(query(INDIRECT($AG$12),""SELECT ""&amp;$AG$4&amp;"" WHERE ""&amp;$AG$8&amp;"" = '""&amp;$X24&amp;""' AND ""&amp;$AG$5&amp;"" &lt;= date '""&amp;TEXT(DATEVALUE(AC$2),""yyyy-mm-dd"")&amp;""' ORDER BY ""&amp;$AG$5&amp;"" DESC,""&amp;$AG$6&amp;"" DESC LIMIT 1"",0),0),IFERROR(1/0))"),"")</f>
        <v/>
      </c>
      <c r="AD24" s="1557" t="str">
        <f>IFERROR(__xludf.DUMMYFUNCTION("IF(LEN($AB24),IFERROR(query(INDIRECT($AG$12),""SELECT ""&amp;$AG$4&amp;"" WHERE ""&amp;$AG$8&amp;"" = '""&amp;$X24&amp;""' AND ""&amp;$AG$5&amp;"" &lt;= date '""&amp;TEXT(DATEVALUE(AD$2),""yyyy-mm-dd"")&amp;""' ORDER BY ""&amp;$AG$5&amp;"" DESC,""&amp;$AG$6&amp;"" DESC LIMIT 1"",0),0),IFERROR(1/0))"),"")</f>
        <v/>
      </c>
      <c r="AE24" s="792"/>
      <c r="AF24" s="795" t="s">
        <v>674</v>
      </c>
      <c r="AG24" s="796" t="str">
        <f t="shared" si="14"/>
        <v>#REF!</v>
      </c>
    </row>
    <row r="25">
      <c r="A25" s="1605"/>
      <c r="B25" s="1536"/>
      <c r="C25" s="1536"/>
      <c r="D25" s="1599" t="str">
        <f t="shared" ref="D25:E25" si="24">if(isdate(D$8),IF($J25=$N$4,if(isblank(AC$2),iferror(1/0),SUMIF($W$7:$W127,$B25,AC$7:AC127)),IF(ISBLANK($J25),IFERROR(1/0),OFFSET(AC$1,$K25-1,0))),IFERROR(1/0))</f>
        <v/>
      </c>
      <c r="E25" s="1599" t="str">
        <f t="shared" si="24"/>
        <v/>
      </c>
      <c r="F25" s="1543"/>
      <c r="G25" s="1575"/>
      <c r="H25" s="1599"/>
      <c r="I25" s="783"/>
      <c r="J25" s="782"/>
      <c r="K25" s="1602" t="str">
        <f t="shared" si="11"/>
        <v/>
      </c>
      <c r="L25" s="783"/>
      <c r="M25" s="1604"/>
      <c r="N25" s="1553"/>
      <c r="O25" s="1553"/>
      <c r="P25" s="826"/>
      <c r="Q25" s="826"/>
      <c r="R25" s="1553"/>
      <c r="S25" s="1553" t="str">
        <f t="shared" si="5"/>
        <v/>
      </c>
      <c r="T25" s="1553" t="str">
        <f t="shared" si="6"/>
        <v/>
      </c>
      <c r="U25" s="1553" t="str">
        <f t="shared" si="7"/>
        <v/>
      </c>
      <c r="V25" s="826"/>
      <c r="W25" s="826"/>
      <c r="X25" s="826"/>
      <c r="Y25" s="826"/>
      <c r="Z25" s="826"/>
      <c r="AA25" s="792"/>
      <c r="AB25" s="1586"/>
      <c r="AC25" s="1557" t="str">
        <f>IFERROR(__xludf.DUMMYFUNCTION("IF(LEN($AB25),IFERROR(query(INDIRECT($AG$12),""SELECT ""&amp;$AG$4&amp;"" WHERE ""&amp;$AG$8&amp;"" = '""&amp;$X25&amp;""' AND ""&amp;$AG$5&amp;"" &lt;= date '""&amp;TEXT(DATEVALUE(AC$2),""yyyy-mm-dd"")&amp;""' ORDER BY ""&amp;$AG$5&amp;"" DESC,""&amp;$AG$6&amp;"" DESC LIMIT 1"",0),0),IFERROR(1/0))"),"")</f>
        <v/>
      </c>
      <c r="AD25" s="1557" t="str">
        <f>IFERROR(__xludf.DUMMYFUNCTION("IF(LEN($AB25),IFERROR(query(INDIRECT($AG$12),""SELECT ""&amp;$AG$4&amp;"" WHERE ""&amp;$AG$8&amp;"" = '""&amp;$X25&amp;""' AND ""&amp;$AG$5&amp;"" &lt;= date '""&amp;TEXT(DATEVALUE(AD$2),""yyyy-mm-dd"")&amp;""' ORDER BY ""&amp;$AG$5&amp;"" DESC,""&amp;$AG$6&amp;"" DESC LIMIT 1"",0),0),IFERROR(1/0))"),"")</f>
        <v/>
      </c>
      <c r="AE25" s="792"/>
      <c r="AF25" s="1547" t="s">
        <v>676</v>
      </c>
      <c r="AG25" s="824" t="str">
        <f t="array" ref="AG25">"Accounts!$"&amp;index(sort(AG14:AG24,1,true),1)&amp;"$2:$"&amp;index(sort(AG14:AG24,1,false),1)</f>
        <v>#REF!</v>
      </c>
    </row>
    <row r="26">
      <c r="A26" s="1605"/>
      <c r="B26" s="1536"/>
      <c r="C26" s="1536"/>
      <c r="D26" s="1599" t="str">
        <f t="shared" ref="D26:E26" si="25">if(isdate(D$8),IF($J26=$N$4,if(isblank(AC$2),iferror(1/0),SUMIF($W$7:$W127,$B26,AC$7:AC127)),IF(ISBLANK($J26),IFERROR(1/0),OFFSET(AC$1,$K26-1,0))),IFERROR(1/0))</f>
        <v/>
      </c>
      <c r="E26" s="1599" t="str">
        <f t="shared" si="25"/>
        <v/>
      </c>
      <c r="F26" s="1543"/>
      <c r="G26" s="1575"/>
      <c r="H26" s="1606"/>
      <c r="I26" s="783"/>
      <c r="J26" s="782"/>
      <c r="K26" s="1602" t="str">
        <f t="shared" si="11"/>
        <v/>
      </c>
      <c r="L26" s="783"/>
      <c r="M26" s="1604"/>
      <c r="N26" s="1553"/>
      <c r="O26" s="1553"/>
      <c r="P26" s="826"/>
      <c r="Q26" s="826"/>
      <c r="R26" s="1553"/>
      <c r="S26" s="1553" t="str">
        <f t="shared" si="5"/>
        <v/>
      </c>
      <c r="T26" s="1553" t="str">
        <f t="shared" si="6"/>
        <v/>
      </c>
      <c r="U26" s="1553" t="str">
        <f t="shared" si="7"/>
        <v/>
      </c>
      <c r="V26" s="826"/>
      <c r="W26" s="826"/>
      <c r="X26" s="826"/>
      <c r="Y26" s="826"/>
      <c r="Z26" s="826"/>
      <c r="AA26" s="792"/>
      <c r="AB26" s="1586"/>
      <c r="AC26" s="1557" t="str">
        <f>IFERROR(__xludf.DUMMYFUNCTION("IF(LEN($AB26),IFERROR(query(INDIRECT($AG$12),""SELECT ""&amp;$AG$4&amp;"" WHERE ""&amp;$AG$8&amp;"" = '""&amp;$X26&amp;""' AND ""&amp;$AG$5&amp;"" &lt;= date '""&amp;TEXT(DATEVALUE(AC$2),""yyyy-mm-dd"")&amp;""' ORDER BY ""&amp;$AG$5&amp;"" DESC,""&amp;$AG$6&amp;"" DESC LIMIT 1"",0),0),IFERROR(1/0))"),"")</f>
        <v/>
      </c>
      <c r="AD26" s="1557" t="str">
        <f>IFERROR(__xludf.DUMMYFUNCTION("IF(LEN($AB26),IFERROR(query(INDIRECT($AG$12),""SELECT ""&amp;$AG$4&amp;"" WHERE ""&amp;$AG$8&amp;"" = '""&amp;$X26&amp;""' AND ""&amp;$AG$5&amp;"" &lt;= date '""&amp;TEXT(DATEVALUE(AD$2),""yyyy-mm-dd"")&amp;""' ORDER BY ""&amp;$AG$5&amp;"" DESC,""&amp;$AG$6&amp;"" DESC LIMIT 1"",0),0),IFERROR(1/0))"),"")</f>
        <v/>
      </c>
      <c r="AE26" s="792"/>
      <c r="AF26" s="824"/>
      <c r="AG26" s="824"/>
    </row>
    <row r="27">
      <c r="A27" s="1605"/>
      <c r="B27" s="1536"/>
      <c r="C27" s="1536"/>
      <c r="D27" s="1599" t="str">
        <f t="shared" ref="D27:E27" si="26">if(isdate(D$8),IF($J27=$N$4,if(isblank(AC$2),iferror(1/0),SUMIF($W$7:$W127,$B27,AC$7:AC127)),IF(ISBLANK($J27),IFERROR(1/0),OFFSET(AC$1,$K27-1,0))),IFERROR(1/0))</f>
        <v/>
      </c>
      <c r="E27" s="1599" t="str">
        <f t="shared" si="26"/>
        <v/>
      </c>
      <c r="F27" s="1543"/>
      <c r="G27" s="1575"/>
      <c r="H27" s="1599"/>
      <c r="I27" s="783"/>
      <c r="J27" s="782"/>
      <c r="K27" s="1602" t="str">
        <f t="shared" si="11"/>
        <v/>
      </c>
      <c r="L27" s="783"/>
      <c r="M27" s="1604"/>
      <c r="N27" s="1553"/>
      <c r="O27" s="1553"/>
      <c r="P27" s="826"/>
      <c r="Q27" s="826"/>
      <c r="R27" s="1553"/>
      <c r="S27" s="1553" t="str">
        <f t="shared" si="5"/>
        <v/>
      </c>
      <c r="T27" s="1553" t="str">
        <f t="shared" si="6"/>
        <v/>
      </c>
      <c r="U27" s="1553" t="str">
        <f t="shared" si="7"/>
        <v/>
      </c>
      <c r="V27" s="826"/>
      <c r="W27" s="826"/>
      <c r="X27" s="826"/>
      <c r="Y27" s="826"/>
      <c r="Z27" s="826"/>
      <c r="AA27" s="792"/>
      <c r="AB27" s="1586"/>
      <c r="AC27" s="1557" t="str">
        <f>IFERROR(__xludf.DUMMYFUNCTION("IF(LEN($AB27),IFERROR(query(INDIRECT($AG$12),""SELECT ""&amp;$AG$4&amp;"" WHERE ""&amp;$AG$8&amp;"" = '""&amp;$X27&amp;""' AND ""&amp;$AG$5&amp;"" &lt;= date '""&amp;TEXT(DATEVALUE(AC$2),""yyyy-mm-dd"")&amp;""' ORDER BY ""&amp;$AG$5&amp;"" DESC,""&amp;$AG$6&amp;"" DESC LIMIT 1"",0),0),IFERROR(1/0))"),"")</f>
        <v/>
      </c>
      <c r="AD27" s="1557" t="str">
        <f>IFERROR(__xludf.DUMMYFUNCTION("IF(LEN($AB27),IFERROR(query(INDIRECT($AG$12),""SELECT ""&amp;$AG$4&amp;"" WHERE ""&amp;$AG$8&amp;"" = '""&amp;$X27&amp;""' AND ""&amp;$AG$5&amp;"" &lt;= date '""&amp;TEXT(DATEVALUE(AD$2),""yyyy-mm-dd"")&amp;""' ORDER BY ""&amp;$AG$5&amp;"" DESC,""&amp;$AG$6&amp;"" DESC LIMIT 1"",0),0),IFERROR(1/0))"),"")</f>
        <v/>
      </c>
      <c r="AE27" s="792"/>
      <c r="AF27" s="824"/>
      <c r="AG27" s="1553"/>
    </row>
    <row r="28">
      <c r="A28" s="1605"/>
      <c r="B28" s="1536"/>
      <c r="C28" s="1536"/>
      <c r="D28" s="1599" t="str">
        <f t="shared" ref="D28:E28" si="27">if(isdate(D$8),IF($J28=$N$4,if(isblank(AC$2),iferror(1/0),SUMIF($W$7:$W127,$B28,AC$7:AC127)),IF(ISBLANK($J28),IFERROR(1/0),OFFSET(AC$1,$K28-1,0))),IFERROR(1/0))</f>
        <v/>
      </c>
      <c r="E28" s="1599" t="str">
        <f t="shared" si="27"/>
        <v/>
      </c>
      <c r="F28" s="1543"/>
      <c r="G28" s="1575"/>
      <c r="H28" s="1599"/>
      <c r="I28" s="783"/>
      <c r="J28" s="782"/>
      <c r="K28" s="1602" t="str">
        <f t="shared" si="11"/>
        <v/>
      </c>
      <c r="L28" s="783"/>
      <c r="M28" s="1604"/>
      <c r="N28" s="1553"/>
      <c r="O28" s="1553"/>
      <c r="P28" s="826"/>
      <c r="Q28" s="826"/>
      <c r="R28" s="1553"/>
      <c r="S28" s="1553" t="str">
        <f t="shared" si="5"/>
        <v/>
      </c>
      <c r="T28" s="1553" t="str">
        <f t="shared" si="6"/>
        <v/>
      </c>
      <c r="U28" s="1553" t="str">
        <f t="shared" si="7"/>
        <v/>
      </c>
      <c r="V28" s="826"/>
      <c r="W28" s="826"/>
      <c r="X28" s="826"/>
      <c r="Y28" s="826"/>
      <c r="Z28" s="826"/>
      <c r="AA28" s="792"/>
      <c r="AB28" s="1586"/>
      <c r="AC28" s="1557" t="str">
        <f>IFERROR(__xludf.DUMMYFUNCTION("IF(LEN($AB28),IFERROR(query(INDIRECT($AG$12),""SELECT ""&amp;$AG$4&amp;"" WHERE ""&amp;$AG$8&amp;"" = '""&amp;$X28&amp;""' AND ""&amp;$AG$5&amp;"" &lt;= date '""&amp;TEXT(DATEVALUE(AC$2),""yyyy-mm-dd"")&amp;""' ORDER BY ""&amp;$AG$5&amp;"" DESC,""&amp;$AG$6&amp;"" DESC LIMIT 1"",0),0),IFERROR(1/0))"),"")</f>
        <v/>
      </c>
      <c r="AD28" s="1557" t="str">
        <f>IFERROR(__xludf.DUMMYFUNCTION("IF(LEN($AB28),IFERROR(query(INDIRECT($AG$12),""SELECT ""&amp;$AG$4&amp;"" WHERE ""&amp;$AG$8&amp;"" = '""&amp;$X28&amp;""' AND ""&amp;$AG$5&amp;"" &lt;= date '""&amp;TEXT(DATEVALUE(AD$2),""yyyy-mm-dd"")&amp;""' ORDER BY ""&amp;$AG$5&amp;"" DESC,""&amp;$AG$6&amp;"" DESC LIMIT 1"",0),0),IFERROR(1/0))"),"")</f>
        <v/>
      </c>
      <c r="AE28" s="792"/>
      <c r="AF28" s="1548"/>
      <c r="AG28" s="1553"/>
    </row>
    <row r="29">
      <c r="A29" s="1605"/>
      <c r="B29" s="1536"/>
      <c r="C29" s="1536"/>
      <c r="D29" s="1599" t="str">
        <f t="shared" ref="D29:E29" si="28">if(isdate(D$8),IF($J29=$N$4,if(isblank(AC$2),iferror(1/0),SUMIF($W$7:$W127,$B29,AC$7:AC127)),IF(ISBLANK($J29),IFERROR(1/0),OFFSET(AC$1,$K29-1,0))),IFERROR(1/0))</f>
        <v/>
      </c>
      <c r="E29" s="1599" t="str">
        <f t="shared" si="28"/>
        <v/>
      </c>
      <c r="F29" s="1543"/>
      <c r="G29" s="1575"/>
      <c r="H29" s="1599"/>
      <c r="I29" s="783"/>
      <c r="J29" s="782"/>
      <c r="K29" s="1602" t="str">
        <f t="shared" si="11"/>
        <v/>
      </c>
      <c r="L29" s="783"/>
      <c r="M29" s="1604"/>
      <c r="N29" s="1553"/>
      <c r="O29" s="1553"/>
      <c r="P29" s="826"/>
      <c r="Q29" s="826"/>
      <c r="R29" s="1553"/>
      <c r="S29" s="1553" t="str">
        <f t="shared" si="5"/>
        <v/>
      </c>
      <c r="T29" s="1553" t="str">
        <f t="shared" si="6"/>
        <v/>
      </c>
      <c r="U29" s="1553" t="str">
        <f t="shared" si="7"/>
        <v/>
      </c>
      <c r="V29" s="826"/>
      <c r="W29" s="826"/>
      <c r="X29" s="826"/>
      <c r="Y29" s="826"/>
      <c r="Z29" s="826"/>
      <c r="AA29" s="792"/>
      <c r="AB29" s="1586"/>
      <c r="AC29" s="1557" t="str">
        <f>IFERROR(__xludf.DUMMYFUNCTION("IF(LEN($AB29),IFERROR(query(INDIRECT($AG$12),""SELECT ""&amp;$AG$4&amp;"" WHERE ""&amp;$AG$8&amp;"" = '""&amp;$X29&amp;""' AND ""&amp;$AG$5&amp;"" &lt;= date '""&amp;TEXT(DATEVALUE(AC$2),""yyyy-mm-dd"")&amp;""' ORDER BY ""&amp;$AG$5&amp;"" DESC,""&amp;$AG$6&amp;"" DESC LIMIT 1"",0),0),IFERROR(1/0))"),"")</f>
        <v/>
      </c>
      <c r="AD29" s="1557" t="str">
        <f>IFERROR(__xludf.DUMMYFUNCTION("IF(LEN($AB29),IFERROR(query(INDIRECT($AG$12),""SELECT ""&amp;$AG$4&amp;"" WHERE ""&amp;$AG$8&amp;"" = '""&amp;$X29&amp;""' AND ""&amp;$AG$5&amp;"" &lt;= date '""&amp;TEXT(DATEVALUE(AD$2),""yyyy-mm-dd"")&amp;""' ORDER BY ""&amp;$AG$5&amp;"" DESC,""&amp;$AG$6&amp;"" DESC LIMIT 1"",0),0),IFERROR(1/0))"),"")</f>
        <v/>
      </c>
      <c r="AE29" s="792"/>
      <c r="AF29" s="824"/>
      <c r="AG29" s="824"/>
    </row>
    <row r="30">
      <c r="A30" s="1605"/>
      <c r="B30" s="1536"/>
      <c r="C30" s="1536"/>
      <c r="D30" s="1599" t="str">
        <f t="shared" ref="D30:E30" si="29">if(isdate(D$8),IF($J30=$N$4,if(isblank(AC$2),iferror(1/0),SUMIF($W$7:$W127,$B30,AC$7:AC127)),IF(ISBLANK($J30),IFERROR(1/0),OFFSET(AC$1,$K30-1,0))),IFERROR(1/0))</f>
        <v/>
      </c>
      <c r="E30" s="1599" t="str">
        <f t="shared" si="29"/>
        <v/>
      </c>
      <c r="F30" s="1543"/>
      <c r="G30" s="1575"/>
      <c r="H30" s="1599"/>
      <c r="I30" s="783"/>
      <c r="J30" s="782"/>
      <c r="K30" s="1602" t="str">
        <f t="shared" si="11"/>
        <v/>
      </c>
      <c r="L30" s="783"/>
      <c r="M30" s="1604"/>
      <c r="N30" s="1553"/>
      <c r="O30" s="1553"/>
      <c r="P30" s="826"/>
      <c r="Q30" s="826"/>
      <c r="R30" s="1553"/>
      <c r="S30" s="1553" t="str">
        <f t="shared" si="5"/>
        <v/>
      </c>
      <c r="T30" s="1553" t="str">
        <f t="shared" si="6"/>
        <v/>
      </c>
      <c r="U30" s="1553" t="str">
        <f t="shared" si="7"/>
        <v/>
      </c>
      <c r="V30" s="826"/>
      <c r="W30" s="826"/>
      <c r="X30" s="826"/>
      <c r="Y30" s="826"/>
      <c r="Z30" s="826"/>
      <c r="AA30" s="792"/>
      <c r="AB30" s="1586"/>
      <c r="AC30" s="1557" t="str">
        <f>IFERROR(__xludf.DUMMYFUNCTION("IF(LEN($AB30),IFERROR(query(INDIRECT($AG$12),""SELECT ""&amp;$AG$4&amp;"" WHERE ""&amp;$AG$8&amp;"" = '""&amp;$X30&amp;""' AND ""&amp;$AG$5&amp;"" &lt;= date '""&amp;TEXT(DATEVALUE(AC$2),""yyyy-mm-dd"")&amp;""' ORDER BY ""&amp;$AG$5&amp;"" DESC,""&amp;$AG$6&amp;"" DESC LIMIT 1"",0),0),IFERROR(1/0))"),"")</f>
        <v/>
      </c>
      <c r="AD30" s="1557" t="str">
        <f>IFERROR(__xludf.DUMMYFUNCTION("IF(LEN($AB30),IFERROR(query(INDIRECT($AG$12),""SELECT ""&amp;$AG$4&amp;"" WHERE ""&amp;$AG$8&amp;"" = '""&amp;$X30&amp;""' AND ""&amp;$AG$5&amp;"" &lt;= date '""&amp;TEXT(DATEVALUE(AD$2),""yyyy-mm-dd"")&amp;""' ORDER BY ""&amp;$AG$5&amp;"" DESC,""&amp;$AG$6&amp;"" DESC LIMIT 1"",0),0),IFERROR(1/0))"),"")</f>
        <v/>
      </c>
      <c r="AE30" s="792"/>
      <c r="AF30" s="824"/>
      <c r="AG30" s="824"/>
    </row>
    <row r="31">
      <c r="A31" s="1536"/>
      <c r="B31" s="1536"/>
      <c r="C31" s="1536"/>
      <c r="D31" s="1599" t="str">
        <f t="shared" ref="D31:E31" si="30">if(isdate(D$8),IF($J31=$N$4,if(isblank(AC$2),iferror(1/0),SUMIF($W$7:$W127,$B31,AC$7:AC127)),IF(ISBLANK($J31),IFERROR(1/0),OFFSET(AC$1,$K31-1,0))),IFERROR(1/0))</f>
        <v/>
      </c>
      <c r="E31" s="1599" t="str">
        <f t="shared" si="30"/>
        <v/>
      </c>
      <c r="F31" s="1543"/>
      <c r="G31" s="1575"/>
      <c r="H31" s="1536"/>
      <c r="I31" s="783"/>
      <c r="J31" s="1536"/>
      <c r="K31" s="1602" t="str">
        <f t="shared" si="11"/>
        <v/>
      </c>
      <c r="L31" s="783"/>
      <c r="M31" s="1604"/>
      <c r="N31" s="1553"/>
      <c r="O31" s="1553"/>
      <c r="P31" s="826"/>
      <c r="Q31" s="826"/>
      <c r="R31" s="1553"/>
      <c r="S31" s="1553" t="str">
        <f t="shared" si="5"/>
        <v/>
      </c>
      <c r="T31" s="1553" t="str">
        <f t="shared" si="6"/>
        <v/>
      </c>
      <c r="U31" s="1553" t="str">
        <f t="shared" si="7"/>
        <v/>
      </c>
      <c r="V31" s="826"/>
      <c r="W31" s="826"/>
      <c r="X31" s="826"/>
      <c r="Y31" s="826"/>
      <c r="Z31" s="826"/>
      <c r="AA31" s="792"/>
      <c r="AB31" s="1586"/>
      <c r="AC31" s="1557" t="str">
        <f>IFERROR(__xludf.DUMMYFUNCTION("IF(LEN($AB31),IFERROR(query(INDIRECT($AG$12),""SELECT ""&amp;$AG$4&amp;"" WHERE ""&amp;$AG$8&amp;"" = '""&amp;$X31&amp;""' AND ""&amp;$AG$5&amp;"" &lt;= date '""&amp;TEXT(DATEVALUE(AC$2),""yyyy-mm-dd"")&amp;""' ORDER BY ""&amp;$AG$5&amp;"" DESC,""&amp;$AG$6&amp;"" DESC LIMIT 1"",0),0),IFERROR(1/0))"),"")</f>
        <v/>
      </c>
      <c r="AD31" s="1557" t="str">
        <f>IFERROR(__xludf.DUMMYFUNCTION("IF(LEN($AB31),IFERROR(query(INDIRECT($AG$12),""SELECT ""&amp;$AG$4&amp;"" WHERE ""&amp;$AG$8&amp;"" = '""&amp;$X31&amp;""' AND ""&amp;$AG$5&amp;"" &lt;= date '""&amp;TEXT(DATEVALUE(AD$2),""yyyy-mm-dd"")&amp;""' ORDER BY ""&amp;$AG$5&amp;"" DESC,""&amp;$AG$6&amp;"" DESC LIMIT 1"",0),0),IFERROR(1/0))"),"")</f>
        <v/>
      </c>
      <c r="AE31" s="792"/>
      <c r="AF31" s="824"/>
      <c r="AG31" s="824"/>
    </row>
    <row r="32">
      <c r="A32" s="1536"/>
      <c r="B32" s="1536"/>
      <c r="C32" s="1536"/>
      <c r="D32" s="1599" t="str">
        <f t="shared" ref="D32:E32" si="31">if(isdate(D$8),IF($J32=$N$4,if(isblank(AC$2),iferror(1/0),SUMIF($W$7:$W127,$B32,AC$7:AC127)),IF(ISBLANK($J32),IFERROR(1/0),OFFSET(AC$1,$K32-1,0))),IFERROR(1/0))</f>
        <v/>
      </c>
      <c r="E32" s="1599" t="str">
        <f t="shared" si="31"/>
        <v/>
      </c>
      <c r="F32" s="1543"/>
      <c r="G32" s="1575"/>
      <c r="H32" s="1536"/>
      <c r="I32" s="783"/>
      <c r="J32" s="1536"/>
      <c r="K32" s="1602" t="str">
        <f t="shared" si="11"/>
        <v/>
      </c>
      <c r="L32" s="783"/>
      <c r="M32" s="1604"/>
      <c r="N32" s="1553"/>
      <c r="O32" s="1553"/>
      <c r="P32" s="826"/>
      <c r="Q32" s="826"/>
      <c r="R32" s="1553"/>
      <c r="S32" s="1553" t="str">
        <f t="shared" si="5"/>
        <v/>
      </c>
      <c r="T32" s="1553" t="str">
        <f t="shared" si="6"/>
        <v/>
      </c>
      <c r="U32" s="1553" t="str">
        <f t="shared" si="7"/>
        <v/>
      </c>
      <c r="V32" s="826"/>
      <c r="W32" s="826"/>
      <c r="X32" s="826"/>
      <c r="Y32" s="826"/>
      <c r="Z32" s="826"/>
      <c r="AA32" s="792"/>
      <c r="AB32" s="1586"/>
      <c r="AC32" s="1557" t="str">
        <f>IFERROR(__xludf.DUMMYFUNCTION("IF(LEN($AB32),IFERROR(query(INDIRECT($AG$12),""SELECT ""&amp;$AG$4&amp;"" WHERE ""&amp;$AG$8&amp;"" = '""&amp;$X32&amp;""' AND ""&amp;$AG$5&amp;"" &lt;= date '""&amp;TEXT(DATEVALUE(AC$2),""yyyy-mm-dd"")&amp;""' ORDER BY ""&amp;$AG$5&amp;"" DESC,""&amp;$AG$6&amp;"" DESC LIMIT 1"",0),0),IFERROR(1/0))"),"")</f>
        <v/>
      </c>
      <c r="AD32" s="1557" t="str">
        <f>IFERROR(__xludf.DUMMYFUNCTION("IF(LEN($AB32),IFERROR(query(INDIRECT($AG$12),""SELECT ""&amp;$AG$4&amp;"" WHERE ""&amp;$AG$8&amp;"" = '""&amp;$X32&amp;""' AND ""&amp;$AG$5&amp;"" &lt;= date '""&amp;TEXT(DATEVALUE(AD$2),""yyyy-mm-dd"")&amp;""' ORDER BY ""&amp;$AG$5&amp;"" DESC,""&amp;$AG$6&amp;"" DESC LIMIT 1"",0),0),IFERROR(1/0))"),"")</f>
        <v/>
      </c>
      <c r="AE32" s="792"/>
      <c r="AF32" s="824"/>
      <c r="AG32" s="824"/>
    </row>
    <row r="33">
      <c r="A33" s="1605"/>
      <c r="B33" s="1536"/>
      <c r="C33" s="1536"/>
      <c r="D33" s="1599" t="str">
        <f t="shared" ref="D33:E33" si="32">if(isdate(D$8),IF($J33=$N$4,if(isblank(AC$2),iferror(1/0),SUMIF($W$7:$W127,$B33,AC$7:AC127)),IF(ISBLANK($J33),IFERROR(1/0),OFFSET(AC$1,$K33-1,0))),IFERROR(1/0))</f>
        <v/>
      </c>
      <c r="E33" s="1599" t="str">
        <f t="shared" si="32"/>
        <v/>
      </c>
      <c r="F33" s="1543"/>
      <c r="G33" s="1575"/>
      <c r="H33" s="1536"/>
      <c r="I33" s="783"/>
      <c r="J33" s="1536"/>
      <c r="K33" s="1602" t="str">
        <f t="shared" si="11"/>
        <v/>
      </c>
      <c r="L33" s="783"/>
      <c r="M33" s="1604"/>
      <c r="N33" s="1553"/>
      <c r="O33" s="1553"/>
      <c r="P33" s="826"/>
      <c r="Q33" s="826"/>
      <c r="R33" s="1553"/>
      <c r="S33" s="1553" t="str">
        <f t="shared" si="5"/>
        <v/>
      </c>
      <c r="T33" s="1553" t="str">
        <f t="shared" si="6"/>
        <v/>
      </c>
      <c r="U33" s="1553" t="str">
        <f t="shared" si="7"/>
        <v/>
      </c>
      <c r="V33" s="826"/>
      <c r="W33" s="826"/>
      <c r="X33" s="826"/>
      <c r="Y33" s="826"/>
      <c r="Z33" s="826"/>
      <c r="AA33" s="792"/>
      <c r="AB33" s="1586"/>
      <c r="AC33" s="1557" t="str">
        <f>IFERROR(__xludf.DUMMYFUNCTION("IF(LEN($AB33),IFERROR(query(INDIRECT($AG$12),""SELECT ""&amp;$AG$4&amp;"" WHERE ""&amp;$AG$8&amp;"" = '""&amp;$X33&amp;""' AND ""&amp;$AG$5&amp;"" &lt;= date '""&amp;TEXT(DATEVALUE(AC$2),""yyyy-mm-dd"")&amp;""' ORDER BY ""&amp;$AG$5&amp;"" DESC,""&amp;$AG$6&amp;"" DESC LIMIT 1"",0),0),IFERROR(1/0))"),"")</f>
        <v/>
      </c>
      <c r="AD33" s="1557" t="str">
        <f>IFERROR(__xludf.DUMMYFUNCTION("IF(LEN($AB33),IFERROR(query(INDIRECT($AG$12),""SELECT ""&amp;$AG$4&amp;"" WHERE ""&amp;$AG$8&amp;"" = '""&amp;$X33&amp;""' AND ""&amp;$AG$5&amp;"" &lt;= date '""&amp;TEXT(DATEVALUE(AD$2),""yyyy-mm-dd"")&amp;""' ORDER BY ""&amp;$AG$5&amp;"" DESC,""&amp;$AG$6&amp;"" DESC LIMIT 1"",0),0),IFERROR(1/0))"),"")</f>
        <v/>
      </c>
      <c r="AE33" s="792"/>
      <c r="AF33" s="824"/>
      <c r="AG33" s="824"/>
    </row>
    <row r="34">
      <c r="A34" s="1605"/>
      <c r="B34" s="1536"/>
      <c r="C34" s="1536"/>
      <c r="D34" s="1599" t="str">
        <f t="shared" ref="D34:E34" si="33">if(isdate(D$8),IF($J34=$N$4,if(isblank(AC$2),iferror(1/0),SUMIF($W$7:$W127,$B34,AC$7:AC127)),IF(ISBLANK($J34),IFERROR(1/0),OFFSET(AC$1,$K34-1,0))),IFERROR(1/0))</f>
        <v/>
      </c>
      <c r="E34" s="1599" t="str">
        <f t="shared" si="33"/>
        <v/>
      </c>
      <c r="F34" s="1543"/>
      <c r="G34" s="1575"/>
      <c r="H34" s="1536"/>
      <c r="I34" s="783"/>
      <c r="J34" s="1536"/>
      <c r="K34" s="1602" t="str">
        <f t="shared" si="11"/>
        <v/>
      </c>
      <c r="L34" s="783"/>
      <c r="M34" s="1604"/>
      <c r="N34" s="1553"/>
      <c r="O34" s="1553"/>
      <c r="P34" s="826"/>
      <c r="Q34" s="826"/>
      <c r="R34" s="1553"/>
      <c r="S34" s="1553" t="str">
        <f t="shared" si="5"/>
        <v/>
      </c>
      <c r="T34" s="1553" t="str">
        <f t="shared" si="6"/>
        <v/>
      </c>
      <c r="U34" s="1553" t="str">
        <f t="shared" si="7"/>
        <v/>
      </c>
      <c r="V34" s="826"/>
      <c r="W34" s="826"/>
      <c r="X34" s="826"/>
      <c r="Y34" s="826"/>
      <c r="Z34" s="826"/>
      <c r="AA34" s="792"/>
      <c r="AB34" s="1586"/>
      <c r="AC34" s="1557" t="str">
        <f>IFERROR(__xludf.DUMMYFUNCTION("IF(LEN($AB34),IFERROR(query(INDIRECT($AG$12),""SELECT ""&amp;$AG$4&amp;"" WHERE ""&amp;$AG$8&amp;"" = '""&amp;$X34&amp;""' AND ""&amp;$AG$5&amp;"" &lt;= date '""&amp;TEXT(DATEVALUE(AC$2),""yyyy-mm-dd"")&amp;""' ORDER BY ""&amp;$AG$5&amp;"" DESC,""&amp;$AG$6&amp;"" DESC LIMIT 1"",0),0),IFERROR(1/0))"),"")</f>
        <v/>
      </c>
      <c r="AD34" s="1557" t="str">
        <f>IFERROR(__xludf.DUMMYFUNCTION("IF(LEN($AB34),IFERROR(query(INDIRECT($AG$12),""SELECT ""&amp;$AG$4&amp;"" WHERE ""&amp;$AG$8&amp;"" = '""&amp;$X34&amp;""' AND ""&amp;$AG$5&amp;"" &lt;= date '""&amp;TEXT(DATEVALUE(AD$2),""yyyy-mm-dd"")&amp;""' ORDER BY ""&amp;$AG$5&amp;"" DESC,""&amp;$AG$6&amp;"" DESC LIMIT 1"",0),0),IFERROR(1/0))"),"")</f>
        <v/>
      </c>
      <c r="AE34" s="792"/>
      <c r="AF34" s="824"/>
      <c r="AG34" s="824"/>
    </row>
    <row r="35">
      <c r="A35" s="1605"/>
      <c r="B35" s="1573"/>
      <c r="C35" s="1573"/>
      <c r="D35" s="1599" t="str">
        <f t="shared" ref="D35:E35" si="34">if(isdate(D$8),IF($J35=$N$4,if(isblank(AC$2),iferror(1/0),SUMIF($W$7:$W127,$B35,AC$7:AC127)),IF(ISBLANK($J35),IFERROR(1/0),OFFSET(AC$1,$K35-1,0))),IFERROR(1/0))</f>
        <v/>
      </c>
      <c r="E35" s="1599" t="str">
        <f t="shared" si="34"/>
        <v/>
      </c>
      <c r="F35" s="1607"/>
      <c r="G35" s="1575"/>
      <c r="H35" s="1536"/>
      <c r="I35" s="783"/>
      <c r="J35" s="1536"/>
      <c r="K35" s="1602" t="str">
        <f t="shared" si="11"/>
        <v/>
      </c>
      <c r="L35" s="783"/>
      <c r="M35" s="1604"/>
      <c r="N35" s="1553"/>
      <c r="O35" s="1553"/>
      <c r="P35" s="826"/>
      <c r="Q35" s="826"/>
      <c r="R35" s="1553"/>
      <c r="S35" s="1553" t="str">
        <f t="shared" si="5"/>
        <v/>
      </c>
      <c r="T35" s="1553" t="str">
        <f t="shared" si="6"/>
        <v/>
      </c>
      <c r="U35" s="1553" t="str">
        <f t="shared" si="7"/>
        <v/>
      </c>
      <c r="V35" s="826"/>
      <c r="W35" s="826"/>
      <c r="X35" s="826"/>
      <c r="Y35" s="826"/>
      <c r="Z35" s="826"/>
      <c r="AA35" s="792"/>
      <c r="AB35" s="1586"/>
      <c r="AC35" s="1557" t="str">
        <f>IFERROR(__xludf.DUMMYFUNCTION("IF(LEN($AB35),IFERROR(query(INDIRECT($AG$12),""SELECT ""&amp;$AG$4&amp;"" WHERE ""&amp;$AG$8&amp;"" = '""&amp;$X35&amp;""' AND ""&amp;$AG$5&amp;"" &lt;= date '""&amp;TEXT(DATEVALUE(AC$2),""yyyy-mm-dd"")&amp;""' ORDER BY ""&amp;$AG$5&amp;"" DESC,""&amp;$AG$6&amp;"" DESC LIMIT 1"",0),0),IFERROR(1/0))"),"")</f>
        <v/>
      </c>
      <c r="AD35" s="1557" t="str">
        <f>IFERROR(__xludf.DUMMYFUNCTION("IF(LEN($AB35),IFERROR(query(INDIRECT($AG$12),""SELECT ""&amp;$AG$4&amp;"" WHERE ""&amp;$AG$8&amp;"" = '""&amp;$X35&amp;""' AND ""&amp;$AG$5&amp;"" &lt;= date '""&amp;TEXT(DATEVALUE(AD$2),""yyyy-mm-dd"")&amp;""' ORDER BY ""&amp;$AG$5&amp;"" DESC,""&amp;$AG$6&amp;"" DESC LIMIT 1"",0),0),IFERROR(1/0))"),"")</f>
        <v/>
      </c>
      <c r="AE35" s="792"/>
      <c r="AF35" s="824"/>
      <c r="AG35" s="824"/>
    </row>
    <row r="36">
      <c r="A36" s="1605"/>
      <c r="B36" s="1573"/>
      <c r="C36" s="1573"/>
      <c r="D36" s="1599" t="str">
        <f t="shared" ref="D36:E36" si="35">if(isdate(D$8),IF($J36=$N$4,if(isblank(AC$2),iferror(1/0),SUMIF($W$7:$W127,$B36,AC$7:AC127)),IF(ISBLANK($J36),IFERROR(1/0),OFFSET(AC$1,$K36-1,0))),IFERROR(1/0))</f>
        <v/>
      </c>
      <c r="E36" s="1599" t="str">
        <f t="shared" si="35"/>
        <v/>
      </c>
      <c r="F36" s="1607"/>
      <c r="G36" s="1575"/>
      <c r="H36" s="1536"/>
      <c r="I36" s="783"/>
      <c r="J36" s="1536"/>
      <c r="K36" s="1602" t="str">
        <f t="shared" si="11"/>
        <v/>
      </c>
      <c r="L36" s="783"/>
      <c r="M36" s="1604"/>
      <c r="N36" s="1553"/>
      <c r="O36" s="1553"/>
      <c r="P36" s="826"/>
      <c r="Q36" s="826"/>
      <c r="R36" s="1553"/>
      <c r="S36" s="1553" t="str">
        <f t="shared" si="5"/>
        <v/>
      </c>
      <c r="T36" s="1553" t="str">
        <f t="shared" si="6"/>
        <v/>
      </c>
      <c r="U36" s="1553" t="str">
        <f t="shared" si="7"/>
        <v/>
      </c>
      <c r="V36" s="826"/>
      <c r="W36" s="826"/>
      <c r="X36" s="826"/>
      <c r="Y36" s="826"/>
      <c r="Z36" s="826"/>
      <c r="AA36" s="792"/>
      <c r="AB36" s="1586"/>
      <c r="AC36" s="1557" t="str">
        <f>IFERROR(__xludf.DUMMYFUNCTION("IF(LEN($AB36),IFERROR(query(INDIRECT($AG$12),""SELECT ""&amp;$AG$4&amp;"" WHERE ""&amp;$AG$8&amp;"" = '""&amp;$X36&amp;""' AND ""&amp;$AG$5&amp;"" &lt;= date '""&amp;TEXT(DATEVALUE(AC$2),""yyyy-mm-dd"")&amp;""' ORDER BY ""&amp;$AG$5&amp;"" DESC,""&amp;$AG$6&amp;"" DESC LIMIT 1"",0),0),IFERROR(1/0))"),"")</f>
        <v/>
      </c>
      <c r="AD36" s="1557" t="str">
        <f>IFERROR(__xludf.DUMMYFUNCTION("IF(LEN($AB36),IFERROR(query(INDIRECT($AG$12),""SELECT ""&amp;$AG$4&amp;"" WHERE ""&amp;$AG$8&amp;"" = '""&amp;$X36&amp;""' AND ""&amp;$AG$5&amp;"" &lt;= date '""&amp;TEXT(DATEVALUE(AD$2),""yyyy-mm-dd"")&amp;""' ORDER BY ""&amp;$AG$5&amp;"" DESC,""&amp;$AG$6&amp;"" DESC LIMIT 1"",0),0),IFERROR(1/0))"),"")</f>
        <v/>
      </c>
      <c r="AE36" s="792"/>
      <c r="AF36" s="824"/>
      <c r="AG36" s="824"/>
    </row>
    <row r="37">
      <c r="A37" s="1605"/>
      <c r="B37" s="1573"/>
      <c r="C37" s="1573"/>
      <c r="D37" s="1599" t="str">
        <f t="shared" ref="D37:E37" si="36">if(isdate(D$8),IF($J37=$N$4,if(isblank(AC$2),iferror(1/0),SUMIF($W$7:$W127,$B37,AC$7:AC127)),IF(ISBLANK($J37),IFERROR(1/0),OFFSET(AC$1,$K37-1,0))),IFERROR(1/0))</f>
        <v/>
      </c>
      <c r="E37" s="1599" t="str">
        <f t="shared" si="36"/>
        <v/>
      </c>
      <c r="F37" s="1607"/>
      <c r="G37" s="1575"/>
      <c r="H37" s="1536"/>
      <c r="I37" s="783"/>
      <c r="J37" s="1536"/>
      <c r="K37" s="1602" t="str">
        <f t="shared" si="11"/>
        <v/>
      </c>
      <c r="L37" s="783"/>
      <c r="M37" s="1604"/>
      <c r="N37" s="1553"/>
      <c r="O37" s="1553"/>
      <c r="P37" s="826"/>
      <c r="Q37" s="826"/>
      <c r="R37" s="1553"/>
      <c r="S37" s="1553" t="str">
        <f t="shared" si="5"/>
        <v/>
      </c>
      <c r="T37" s="1553" t="str">
        <f t="shared" si="6"/>
        <v/>
      </c>
      <c r="U37" s="1553" t="str">
        <f t="shared" si="7"/>
        <v/>
      </c>
      <c r="V37" s="826"/>
      <c r="W37" s="826"/>
      <c r="X37" s="826"/>
      <c r="Y37" s="826"/>
      <c r="Z37" s="826"/>
      <c r="AA37" s="792"/>
      <c r="AB37" s="1586"/>
      <c r="AC37" s="1557" t="str">
        <f>IFERROR(__xludf.DUMMYFUNCTION("IF(LEN($AB37),IFERROR(query(INDIRECT($AG$12),""SELECT ""&amp;$AG$4&amp;"" WHERE ""&amp;$AG$8&amp;"" = '""&amp;$X37&amp;""' AND ""&amp;$AG$5&amp;"" &lt;= date '""&amp;TEXT(DATEVALUE(AC$2),""yyyy-mm-dd"")&amp;""' ORDER BY ""&amp;$AG$5&amp;"" DESC,""&amp;$AG$6&amp;"" DESC LIMIT 1"",0),0),IFERROR(1/0))"),"")</f>
        <v/>
      </c>
      <c r="AD37" s="1557" t="str">
        <f>IFERROR(__xludf.DUMMYFUNCTION("IF(LEN($AB37),IFERROR(query(INDIRECT($AG$12),""SELECT ""&amp;$AG$4&amp;"" WHERE ""&amp;$AG$8&amp;"" = '""&amp;$X37&amp;""' AND ""&amp;$AG$5&amp;"" &lt;= date '""&amp;TEXT(DATEVALUE(AD$2),""yyyy-mm-dd"")&amp;""' ORDER BY ""&amp;$AG$5&amp;"" DESC,""&amp;$AG$6&amp;"" DESC LIMIT 1"",0),0),IFERROR(1/0))"),"")</f>
        <v/>
      </c>
      <c r="AE37" s="792"/>
      <c r="AF37" s="824"/>
      <c r="AG37" s="824"/>
    </row>
    <row r="38">
      <c r="A38" s="1605"/>
      <c r="B38" s="1573"/>
      <c r="C38" s="1573"/>
      <c r="D38" s="1599" t="str">
        <f t="shared" ref="D38:E38" si="37">if(isdate(D$8),IF($J38=$N$4,if(isblank(AC$2),iferror(1/0),SUMIF($W$7:$W127,$B38,AC$7:AC127)),IF(ISBLANK($J38),IFERROR(1/0),OFFSET(AC$1,$K38-1,0))),IFERROR(1/0))</f>
        <v/>
      </c>
      <c r="E38" s="1599" t="str">
        <f t="shared" si="37"/>
        <v/>
      </c>
      <c r="F38" s="1607"/>
      <c r="G38" s="1575"/>
      <c r="H38" s="1536"/>
      <c r="I38" s="783"/>
      <c r="J38" s="1536"/>
      <c r="K38" s="1602" t="str">
        <f t="shared" si="11"/>
        <v/>
      </c>
      <c r="L38" s="783"/>
      <c r="M38" s="1604"/>
      <c r="N38" s="1553"/>
      <c r="O38" s="1553"/>
      <c r="P38" s="826"/>
      <c r="Q38" s="826"/>
      <c r="R38" s="1553"/>
      <c r="S38" s="1553" t="str">
        <f t="shared" si="5"/>
        <v/>
      </c>
      <c r="T38" s="1553" t="str">
        <f t="shared" si="6"/>
        <v/>
      </c>
      <c r="U38" s="1553" t="str">
        <f t="shared" si="7"/>
        <v/>
      </c>
      <c r="V38" s="826"/>
      <c r="W38" s="826"/>
      <c r="X38" s="826"/>
      <c r="Y38" s="826"/>
      <c r="Z38" s="826"/>
      <c r="AA38" s="792"/>
      <c r="AB38" s="1586"/>
      <c r="AC38" s="1557" t="str">
        <f>IFERROR(__xludf.DUMMYFUNCTION("IF(LEN($AB38),IFERROR(query(INDIRECT($AG$12),""SELECT ""&amp;$AG$4&amp;"" WHERE ""&amp;$AG$8&amp;"" = '""&amp;$X38&amp;""' AND ""&amp;$AG$5&amp;"" &lt;= date '""&amp;TEXT(DATEVALUE(AC$2),""yyyy-mm-dd"")&amp;""' ORDER BY ""&amp;$AG$5&amp;"" DESC,""&amp;$AG$6&amp;"" DESC LIMIT 1"",0),0),IFERROR(1/0))"),"")</f>
        <v/>
      </c>
      <c r="AD38" s="1557" t="str">
        <f>IFERROR(__xludf.DUMMYFUNCTION("IF(LEN($AB38),IFERROR(query(INDIRECT($AG$12),""SELECT ""&amp;$AG$4&amp;"" WHERE ""&amp;$AG$8&amp;"" = '""&amp;$X38&amp;""' AND ""&amp;$AG$5&amp;"" &lt;= date '""&amp;TEXT(DATEVALUE(AD$2),""yyyy-mm-dd"")&amp;""' ORDER BY ""&amp;$AG$5&amp;"" DESC,""&amp;$AG$6&amp;"" DESC LIMIT 1"",0),0),IFERROR(1/0))"),"")</f>
        <v/>
      </c>
      <c r="AE38" s="792"/>
      <c r="AF38" s="824"/>
      <c r="AG38" s="824"/>
    </row>
    <row r="39">
      <c r="A39" s="1605"/>
      <c r="B39" s="1573"/>
      <c r="C39" s="1573"/>
      <c r="D39" s="1599" t="str">
        <f t="shared" ref="D39:E39" si="38">if(isdate(D$8),IF($J39=$N$4,if(isblank(AC$2),iferror(1/0),SUMIF($W$7:$W127,$B39,AC$7:AC127)),IF(ISBLANK($J39),IFERROR(1/0),OFFSET(AC$1,$K39-1,0))),IFERROR(1/0))</f>
        <v/>
      </c>
      <c r="E39" s="1599" t="str">
        <f t="shared" si="38"/>
        <v/>
      </c>
      <c r="F39" s="1607"/>
      <c r="G39" s="1575"/>
      <c r="H39" s="1536"/>
      <c r="I39" s="783"/>
      <c r="J39" s="1536"/>
      <c r="K39" s="1602" t="str">
        <f t="shared" si="11"/>
        <v/>
      </c>
      <c r="L39" s="783"/>
      <c r="M39" s="1604"/>
      <c r="N39" s="1553"/>
      <c r="O39" s="1553"/>
      <c r="P39" s="826"/>
      <c r="Q39" s="826"/>
      <c r="R39" s="1553"/>
      <c r="S39" s="1553" t="str">
        <f t="shared" si="5"/>
        <v/>
      </c>
      <c r="T39" s="1553" t="str">
        <f t="shared" si="6"/>
        <v/>
      </c>
      <c r="U39" s="1553" t="str">
        <f t="shared" si="7"/>
        <v/>
      </c>
      <c r="V39" s="826"/>
      <c r="W39" s="826"/>
      <c r="X39" s="826"/>
      <c r="Y39" s="826"/>
      <c r="Z39" s="826"/>
      <c r="AA39" s="792"/>
      <c r="AB39" s="1586"/>
      <c r="AC39" s="1557" t="str">
        <f>IFERROR(__xludf.DUMMYFUNCTION("IF(LEN($AB39),IFERROR(query(INDIRECT($AG$12),""SELECT ""&amp;$AG$4&amp;"" WHERE ""&amp;$AG$8&amp;"" = '""&amp;$X39&amp;""' AND ""&amp;$AG$5&amp;"" &lt;= date '""&amp;TEXT(DATEVALUE(AC$2),""yyyy-mm-dd"")&amp;""' ORDER BY ""&amp;$AG$5&amp;"" DESC,""&amp;$AG$6&amp;"" DESC LIMIT 1"",0),0),IFERROR(1/0))"),"")</f>
        <v/>
      </c>
      <c r="AD39" s="1557" t="str">
        <f>IFERROR(__xludf.DUMMYFUNCTION("IF(LEN($AB39),IFERROR(query(INDIRECT($AG$12),""SELECT ""&amp;$AG$4&amp;"" WHERE ""&amp;$AG$8&amp;"" = '""&amp;$X39&amp;""' AND ""&amp;$AG$5&amp;"" &lt;= date '""&amp;TEXT(DATEVALUE(AD$2),""yyyy-mm-dd"")&amp;""' ORDER BY ""&amp;$AG$5&amp;"" DESC,""&amp;$AG$6&amp;"" DESC LIMIT 1"",0),0),IFERROR(1/0))"),"")</f>
        <v/>
      </c>
      <c r="AE39" s="792"/>
      <c r="AF39" s="824"/>
      <c r="AG39" s="824"/>
    </row>
    <row r="40">
      <c r="A40" s="1605"/>
      <c r="B40" s="1573"/>
      <c r="C40" s="1573"/>
      <c r="D40" s="1599" t="str">
        <f t="shared" ref="D40:E40" si="39">if(isdate(D$8),IF($J40=$N$4,if(isblank(AC$2),iferror(1/0),SUMIF($W$7:$W127,$B40,AC$7:AC127)),IF(ISBLANK($J40),IFERROR(1/0),OFFSET(AC$1,$K40-1,0))),IFERROR(1/0))</f>
        <v/>
      </c>
      <c r="E40" s="1599" t="str">
        <f t="shared" si="39"/>
        <v/>
      </c>
      <c r="F40" s="1607"/>
      <c r="G40" s="1575"/>
      <c r="H40" s="1536"/>
      <c r="I40" s="783"/>
      <c r="J40" s="1536"/>
      <c r="K40" s="1602" t="str">
        <f t="shared" si="11"/>
        <v/>
      </c>
      <c r="L40" s="783"/>
      <c r="M40" s="1604"/>
      <c r="N40" s="1553"/>
      <c r="O40" s="1553"/>
      <c r="P40" s="826"/>
      <c r="Q40" s="826"/>
      <c r="R40" s="1553"/>
      <c r="S40" s="1553" t="str">
        <f t="shared" si="5"/>
        <v/>
      </c>
      <c r="T40" s="1553" t="str">
        <f t="shared" si="6"/>
        <v/>
      </c>
      <c r="U40" s="1553" t="str">
        <f t="shared" si="7"/>
        <v/>
      </c>
      <c r="V40" s="826"/>
      <c r="W40" s="826"/>
      <c r="X40" s="826"/>
      <c r="Y40" s="826"/>
      <c r="Z40" s="826"/>
      <c r="AA40" s="792"/>
      <c r="AB40" s="1586"/>
      <c r="AC40" s="1557" t="str">
        <f>IFERROR(__xludf.DUMMYFUNCTION("IF(LEN($AB40),IFERROR(query(INDIRECT($AG$12),""SELECT ""&amp;$AG$4&amp;"" WHERE ""&amp;$AG$8&amp;"" = '""&amp;$X40&amp;""' AND ""&amp;$AG$5&amp;"" &lt;= date '""&amp;TEXT(DATEVALUE(AC$2),""yyyy-mm-dd"")&amp;""' ORDER BY ""&amp;$AG$5&amp;"" DESC,""&amp;$AG$6&amp;"" DESC LIMIT 1"",0),0),IFERROR(1/0))"),"")</f>
        <v/>
      </c>
      <c r="AD40" s="1557" t="str">
        <f>IFERROR(__xludf.DUMMYFUNCTION("IF(LEN($AB40),IFERROR(query(INDIRECT($AG$12),""SELECT ""&amp;$AG$4&amp;"" WHERE ""&amp;$AG$8&amp;"" = '""&amp;$X40&amp;""' AND ""&amp;$AG$5&amp;"" &lt;= date '""&amp;TEXT(DATEVALUE(AD$2),""yyyy-mm-dd"")&amp;""' ORDER BY ""&amp;$AG$5&amp;"" DESC,""&amp;$AG$6&amp;"" DESC LIMIT 1"",0),0),IFERROR(1/0))"),"")</f>
        <v/>
      </c>
      <c r="AE40" s="792"/>
      <c r="AF40" s="824"/>
      <c r="AG40" s="824"/>
    </row>
    <row r="41">
      <c r="A41" s="1605"/>
      <c r="B41" s="1536"/>
      <c r="C41" s="1536"/>
      <c r="D41" s="1599" t="str">
        <f t="shared" ref="D41:E41" si="40">if(isdate(D$8),IF($J41=$N$4,if(isblank(AC$2),iferror(1/0),SUMIF($W$7:$W127,$B41,AC$7:AC127)),IF(ISBLANK($J41),IFERROR(1/0),OFFSET(AC$1,$K41-1,0))),IFERROR(1/0))</f>
        <v/>
      </c>
      <c r="E41" s="1599" t="str">
        <f t="shared" si="40"/>
        <v/>
      </c>
      <c r="F41" s="1543"/>
      <c r="G41" s="1575"/>
      <c r="H41" s="1536"/>
      <c r="I41" s="783"/>
      <c r="J41" s="1536"/>
      <c r="K41" s="1602" t="str">
        <f t="shared" si="11"/>
        <v/>
      </c>
      <c r="L41" s="783"/>
      <c r="M41" s="1604"/>
      <c r="N41" s="1553"/>
      <c r="O41" s="1553"/>
      <c r="P41" s="826"/>
      <c r="Q41" s="826"/>
      <c r="R41" s="1553"/>
      <c r="S41" s="1553" t="str">
        <f t="shared" si="5"/>
        <v/>
      </c>
      <c r="T41" s="1553" t="str">
        <f t="shared" si="6"/>
        <v/>
      </c>
      <c r="U41" s="1553" t="str">
        <f t="shared" si="7"/>
        <v/>
      </c>
      <c r="V41" s="826"/>
      <c r="W41" s="826"/>
      <c r="X41" s="826"/>
      <c r="Y41" s="826"/>
      <c r="Z41" s="826"/>
      <c r="AA41" s="792"/>
      <c r="AB41" s="1586"/>
      <c r="AC41" s="1557" t="str">
        <f>IFERROR(__xludf.DUMMYFUNCTION("IF(LEN($AB41),IFERROR(query(INDIRECT($AG$12),""SELECT ""&amp;$AG$4&amp;"" WHERE ""&amp;$AG$8&amp;"" = '""&amp;$X41&amp;""' AND ""&amp;$AG$5&amp;"" &lt;= date '""&amp;TEXT(DATEVALUE(AC$2),""yyyy-mm-dd"")&amp;""' ORDER BY ""&amp;$AG$5&amp;"" DESC,""&amp;$AG$6&amp;"" DESC LIMIT 1"",0),0),IFERROR(1/0))"),"")</f>
        <v/>
      </c>
      <c r="AD41" s="1557" t="str">
        <f>IFERROR(__xludf.DUMMYFUNCTION("IF(LEN($AB41),IFERROR(query(INDIRECT($AG$12),""SELECT ""&amp;$AG$4&amp;"" WHERE ""&amp;$AG$8&amp;"" = '""&amp;$X41&amp;""' AND ""&amp;$AG$5&amp;"" &lt;= date '""&amp;TEXT(DATEVALUE(AD$2),""yyyy-mm-dd"")&amp;""' ORDER BY ""&amp;$AG$5&amp;"" DESC,""&amp;$AG$6&amp;"" DESC LIMIT 1"",0),0),IFERROR(1/0))"),"")</f>
        <v/>
      </c>
      <c r="AE41" s="792"/>
      <c r="AF41" s="824"/>
      <c r="AG41" s="824"/>
    </row>
    <row r="42">
      <c r="A42" s="1605"/>
      <c r="B42" s="1573"/>
      <c r="C42" s="1573"/>
      <c r="D42" s="1599" t="str">
        <f t="shared" ref="D42:E42" si="41">if(isdate(D$8),IF($J42=$N$4,if(isblank(AC$2),iferror(1/0),SUMIF($W$7:$W127,$B42,AC$7:AC127)),IF(ISBLANK($J42),IFERROR(1/0),OFFSET(AC$1,$K42-1,0))),IFERROR(1/0))</f>
        <v/>
      </c>
      <c r="E42" s="1599" t="str">
        <f t="shared" si="41"/>
        <v/>
      </c>
      <c r="F42" s="1607"/>
      <c r="G42" s="1575"/>
      <c r="H42" s="1599"/>
      <c r="I42" s="783"/>
      <c r="J42" s="782"/>
      <c r="K42" s="1602" t="str">
        <f t="shared" si="11"/>
        <v/>
      </c>
      <c r="L42" s="783"/>
      <c r="M42" s="1604"/>
      <c r="N42" s="1553"/>
      <c r="O42" s="1553"/>
      <c r="P42" s="826"/>
      <c r="Q42" s="826"/>
      <c r="R42" s="1553"/>
      <c r="S42" s="1553" t="str">
        <f t="shared" si="5"/>
        <v/>
      </c>
      <c r="T42" s="1553" t="str">
        <f t="shared" si="6"/>
        <v/>
      </c>
      <c r="U42" s="1553" t="str">
        <f t="shared" si="7"/>
        <v/>
      </c>
      <c r="V42" s="826"/>
      <c r="W42" s="826"/>
      <c r="X42" s="826"/>
      <c r="Y42" s="826"/>
      <c r="Z42" s="826"/>
      <c r="AA42" s="792"/>
      <c r="AB42" s="1586"/>
      <c r="AC42" s="1557" t="str">
        <f>IFERROR(__xludf.DUMMYFUNCTION("IF(LEN($AB42),IFERROR(query(INDIRECT($AG$12),""SELECT ""&amp;$AG$4&amp;"" WHERE ""&amp;$AG$8&amp;"" = '""&amp;$X42&amp;""' AND ""&amp;$AG$5&amp;"" &lt;= date '""&amp;TEXT(DATEVALUE(AC$2),""yyyy-mm-dd"")&amp;""' ORDER BY ""&amp;$AG$5&amp;"" DESC,""&amp;$AG$6&amp;"" DESC LIMIT 1"",0),0),IFERROR(1/0))"),"")</f>
        <v/>
      </c>
      <c r="AD42" s="1557" t="str">
        <f>IFERROR(__xludf.DUMMYFUNCTION("IF(LEN($AB42),IFERROR(query(INDIRECT($AG$12),""SELECT ""&amp;$AG$4&amp;"" WHERE ""&amp;$AG$8&amp;"" = '""&amp;$X42&amp;""' AND ""&amp;$AG$5&amp;"" &lt;= date '""&amp;TEXT(DATEVALUE(AD$2),""yyyy-mm-dd"")&amp;""' ORDER BY ""&amp;$AG$5&amp;"" DESC,""&amp;$AG$6&amp;"" DESC LIMIT 1"",0),0),IFERROR(1/0))"),"")</f>
        <v/>
      </c>
      <c r="AE42" s="792"/>
      <c r="AF42" s="824"/>
      <c r="AG42" s="824"/>
    </row>
    <row r="43">
      <c r="A43" s="1605"/>
      <c r="B43" s="1573"/>
      <c r="C43" s="1573"/>
      <c r="D43" s="1599" t="str">
        <f t="shared" ref="D43:E43" si="42">if(isdate(D$8),IF($J43=$N$4,if(isblank(AC$2),iferror(1/0),SUMIF($W$7:$W127,$B43,AC$7:AC127)),IF(ISBLANK($J43),IFERROR(1/0),OFFSET(AC$1,$K43-1,0))),IFERROR(1/0))</f>
        <v/>
      </c>
      <c r="E43" s="1599" t="str">
        <f t="shared" si="42"/>
        <v/>
      </c>
      <c r="F43" s="1607"/>
      <c r="G43" s="1575"/>
      <c r="H43" s="1599"/>
      <c r="I43" s="783"/>
      <c r="J43" s="782"/>
      <c r="K43" s="1602" t="str">
        <f t="shared" si="11"/>
        <v/>
      </c>
      <c r="L43" s="783"/>
      <c r="M43" s="1604"/>
      <c r="N43" s="1553"/>
      <c r="O43" s="1553"/>
      <c r="P43" s="826"/>
      <c r="Q43" s="826"/>
      <c r="R43" s="1553"/>
      <c r="S43" s="1553" t="str">
        <f t="shared" si="5"/>
        <v/>
      </c>
      <c r="T43" s="1553" t="str">
        <f t="shared" si="6"/>
        <v/>
      </c>
      <c r="U43" s="1553" t="str">
        <f t="shared" si="7"/>
        <v/>
      </c>
      <c r="V43" s="826"/>
      <c r="W43" s="826"/>
      <c r="X43" s="826"/>
      <c r="Y43" s="826"/>
      <c r="Z43" s="826"/>
      <c r="AA43" s="792"/>
      <c r="AB43" s="1586"/>
      <c r="AC43" s="1557" t="str">
        <f>IFERROR(__xludf.DUMMYFUNCTION("IF(LEN($AB43),IFERROR(query(INDIRECT($AG$12),""SELECT ""&amp;$AG$4&amp;"" WHERE ""&amp;$AG$8&amp;"" = '""&amp;$X43&amp;""' AND ""&amp;$AG$5&amp;"" &lt;= date '""&amp;TEXT(DATEVALUE(AC$2),""yyyy-mm-dd"")&amp;""' ORDER BY ""&amp;$AG$5&amp;"" DESC,""&amp;$AG$6&amp;"" DESC LIMIT 1"",0),0),IFERROR(1/0))"),"")</f>
        <v/>
      </c>
      <c r="AD43" s="1557" t="str">
        <f>IFERROR(__xludf.DUMMYFUNCTION("IF(LEN($AB43),IFERROR(query(INDIRECT($AG$12),""SELECT ""&amp;$AG$4&amp;"" WHERE ""&amp;$AG$8&amp;"" = '""&amp;$X43&amp;""' AND ""&amp;$AG$5&amp;"" &lt;= date '""&amp;TEXT(DATEVALUE(AD$2),""yyyy-mm-dd"")&amp;""' ORDER BY ""&amp;$AG$5&amp;"" DESC,""&amp;$AG$6&amp;"" DESC LIMIT 1"",0),0),IFERROR(1/0))"),"")</f>
        <v/>
      </c>
      <c r="AE43" s="792"/>
      <c r="AF43" s="824"/>
      <c r="AG43" s="824"/>
    </row>
    <row r="44">
      <c r="A44" s="1605"/>
      <c r="B44" s="1573"/>
      <c r="C44" s="1573"/>
      <c r="D44" s="1599" t="str">
        <f t="shared" ref="D44:E44" si="43">if(isdate(D$8),IF($J44=$N$4,if(isblank(AC$2),iferror(1/0),SUMIF($W$7:$W127,$B44,AC$7:AC127)),IF(ISBLANK($J44),IFERROR(1/0),OFFSET(AC$1,$K44-1,0))),IFERROR(1/0))</f>
        <v/>
      </c>
      <c r="E44" s="1599" t="str">
        <f t="shared" si="43"/>
        <v/>
      </c>
      <c r="F44" s="1607"/>
      <c r="G44" s="1575"/>
      <c r="H44" s="1599"/>
      <c r="I44" s="783"/>
      <c r="J44" s="782"/>
      <c r="K44" s="1602" t="str">
        <f t="shared" si="11"/>
        <v/>
      </c>
      <c r="L44" s="783"/>
      <c r="M44" s="1604"/>
      <c r="N44" s="1553"/>
      <c r="O44" s="1553"/>
      <c r="P44" s="826"/>
      <c r="Q44" s="826"/>
      <c r="R44" s="1553"/>
      <c r="S44" s="1553" t="str">
        <f t="shared" si="5"/>
        <v/>
      </c>
      <c r="T44" s="1553" t="str">
        <f t="shared" si="6"/>
        <v/>
      </c>
      <c r="U44" s="1553" t="str">
        <f t="shared" si="7"/>
        <v/>
      </c>
      <c r="V44" s="826"/>
      <c r="W44" s="826"/>
      <c r="X44" s="826"/>
      <c r="Y44" s="826"/>
      <c r="Z44" s="826"/>
      <c r="AA44" s="792"/>
      <c r="AB44" s="1586"/>
      <c r="AC44" s="1557" t="str">
        <f>IFERROR(__xludf.DUMMYFUNCTION("IF(LEN($AB44),IFERROR(query(INDIRECT($AG$12),""SELECT ""&amp;$AG$4&amp;"" WHERE ""&amp;$AG$8&amp;"" = '""&amp;$X44&amp;""' AND ""&amp;$AG$5&amp;"" &lt;= date '""&amp;TEXT(DATEVALUE(AC$2),""yyyy-mm-dd"")&amp;""' ORDER BY ""&amp;$AG$5&amp;"" DESC,""&amp;$AG$6&amp;"" DESC LIMIT 1"",0),0),IFERROR(1/0))"),"")</f>
        <v/>
      </c>
      <c r="AD44" s="1557" t="str">
        <f>IFERROR(__xludf.DUMMYFUNCTION("IF(LEN($AB44),IFERROR(query(INDIRECT($AG$12),""SELECT ""&amp;$AG$4&amp;"" WHERE ""&amp;$AG$8&amp;"" = '""&amp;$X44&amp;""' AND ""&amp;$AG$5&amp;"" &lt;= date '""&amp;TEXT(DATEVALUE(AD$2),""yyyy-mm-dd"")&amp;""' ORDER BY ""&amp;$AG$5&amp;"" DESC,""&amp;$AG$6&amp;"" DESC LIMIT 1"",0),0),IFERROR(1/0))"),"")</f>
        <v/>
      </c>
      <c r="AE44" s="792"/>
      <c r="AF44" s="824"/>
      <c r="AG44" s="824"/>
    </row>
    <row r="45">
      <c r="A45" s="1605"/>
      <c r="B45" s="1573"/>
      <c r="C45" s="1573"/>
      <c r="D45" s="1599" t="str">
        <f t="shared" ref="D45:E45" si="44">if(isdate(D$8),IF($J45=$N$4,if(isblank(AC$2),iferror(1/0),SUMIF($W$7:$W127,$B45,AC$7:AC127)),IF(ISBLANK($J45),IFERROR(1/0),OFFSET(AC$1,$K45-1,0))),IFERROR(1/0))</f>
        <v/>
      </c>
      <c r="E45" s="1599" t="str">
        <f t="shared" si="44"/>
        <v/>
      </c>
      <c r="F45" s="1607"/>
      <c r="G45" s="1575"/>
      <c r="H45" s="1599"/>
      <c r="I45" s="783"/>
      <c r="J45" s="782"/>
      <c r="K45" s="1602" t="str">
        <f t="shared" si="11"/>
        <v/>
      </c>
      <c r="L45" s="783"/>
      <c r="M45" s="1604"/>
      <c r="N45" s="1553"/>
      <c r="O45" s="1553"/>
      <c r="P45" s="826"/>
      <c r="Q45" s="826"/>
      <c r="R45" s="1553"/>
      <c r="S45" s="1553" t="str">
        <f t="shared" si="5"/>
        <v/>
      </c>
      <c r="T45" s="1553" t="str">
        <f t="shared" si="6"/>
        <v/>
      </c>
      <c r="U45" s="1553" t="str">
        <f t="shared" si="7"/>
        <v/>
      </c>
      <c r="V45" s="826"/>
      <c r="W45" s="826"/>
      <c r="X45" s="826"/>
      <c r="Y45" s="826"/>
      <c r="Z45" s="826"/>
      <c r="AA45" s="792"/>
      <c r="AB45" s="1586"/>
      <c r="AC45" s="1557" t="str">
        <f>IFERROR(__xludf.DUMMYFUNCTION("IF(LEN($AB45),IFERROR(query(INDIRECT($AG$12),""SELECT ""&amp;$AG$4&amp;"" WHERE ""&amp;$AG$8&amp;"" = '""&amp;$X45&amp;""' AND ""&amp;$AG$5&amp;"" &lt;= date '""&amp;TEXT(DATEVALUE(AC$2),""yyyy-mm-dd"")&amp;""' ORDER BY ""&amp;$AG$5&amp;"" DESC,""&amp;$AG$6&amp;"" DESC LIMIT 1"",0),0),IFERROR(1/0))"),"")</f>
        <v/>
      </c>
      <c r="AD45" s="1557" t="str">
        <f>IFERROR(__xludf.DUMMYFUNCTION("IF(LEN($AB45),IFERROR(query(INDIRECT($AG$12),""SELECT ""&amp;$AG$4&amp;"" WHERE ""&amp;$AG$8&amp;"" = '""&amp;$X45&amp;""' AND ""&amp;$AG$5&amp;"" &lt;= date '""&amp;TEXT(DATEVALUE(AD$2),""yyyy-mm-dd"")&amp;""' ORDER BY ""&amp;$AG$5&amp;"" DESC,""&amp;$AG$6&amp;"" DESC LIMIT 1"",0),0),IFERROR(1/0))"),"")</f>
        <v/>
      </c>
      <c r="AE45" s="792"/>
      <c r="AF45" s="824"/>
      <c r="AG45" s="824"/>
    </row>
    <row r="46">
      <c r="A46" s="1605"/>
      <c r="B46" s="1573"/>
      <c r="C46" s="1573"/>
      <c r="D46" s="1599" t="str">
        <f t="shared" ref="D46:E46" si="45">if(isdate(D$8),IF($J46=$N$4,if(isblank(AC$2),iferror(1/0),SUMIF($W$7:$W127,$B46,AC$7:AC127)),IF(ISBLANK($J46),IFERROR(1/0),OFFSET(AC$1,$K46-1,0))),IFERROR(1/0))</f>
        <v/>
      </c>
      <c r="E46" s="1599" t="str">
        <f t="shared" si="45"/>
        <v/>
      </c>
      <c r="F46" s="1607"/>
      <c r="G46" s="1575"/>
      <c r="H46" s="1599"/>
      <c r="I46" s="783"/>
      <c r="J46" s="782"/>
      <c r="K46" s="1602" t="str">
        <f t="shared" si="11"/>
        <v/>
      </c>
      <c r="L46" s="783"/>
      <c r="M46" s="1604"/>
      <c r="N46" s="1553"/>
      <c r="O46" s="1553"/>
      <c r="P46" s="826"/>
      <c r="Q46" s="826"/>
      <c r="R46" s="1553"/>
      <c r="S46" s="1553" t="str">
        <f t="shared" si="5"/>
        <v/>
      </c>
      <c r="T46" s="1553" t="str">
        <f t="shared" si="6"/>
        <v/>
      </c>
      <c r="U46" s="1553" t="str">
        <f t="shared" si="7"/>
        <v/>
      </c>
      <c r="V46" s="826"/>
      <c r="W46" s="826"/>
      <c r="X46" s="826"/>
      <c r="Y46" s="826"/>
      <c r="Z46" s="826"/>
      <c r="AA46" s="792"/>
      <c r="AB46" s="1586"/>
      <c r="AC46" s="1557" t="str">
        <f>IFERROR(__xludf.DUMMYFUNCTION("IF(LEN($AB46),IFERROR(query(INDIRECT($AG$12),""SELECT ""&amp;$AG$4&amp;"" WHERE ""&amp;$AG$8&amp;"" = '""&amp;$X46&amp;""' AND ""&amp;$AG$5&amp;"" &lt;= date '""&amp;TEXT(DATEVALUE(AC$2),""yyyy-mm-dd"")&amp;""' ORDER BY ""&amp;$AG$5&amp;"" DESC,""&amp;$AG$6&amp;"" DESC LIMIT 1"",0),0),IFERROR(1/0))"),"")</f>
        <v/>
      </c>
      <c r="AD46" s="1557" t="str">
        <f>IFERROR(__xludf.DUMMYFUNCTION("IF(LEN($AB46),IFERROR(query(INDIRECT($AG$12),""SELECT ""&amp;$AG$4&amp;"" WHERE ""&amp;$AG$8&amp;"" = '""&amp;$X46&amp;""' AND ""&amp;$AG$5&amp;"" &lt;= date '""&amp;TEXT(DATEVALUE(AD$2),""yyyy-mm-dd"")&amp;""' ORDER BY ""&amp;$AG$5&amp;"" DESC,""&amp;$AG$6&amp;"" DESC LIMIT 1"",0),0),IFERROR(1/0))"),"")</f>
        <v/>
      </c>
      <c r="AE46" s="792"/>
      <c r="AF46" s="824"/>
      <c r="AG46" s="824"/>
    </row>
    <row r="47">
      <c r="A47" s="1605"/>
      <c r="B47" s="1573"/>
      <c r="C47" s="1573"/>
      <c r="D47" s="1599" t="str">
        <f t="shared" ref="D47:E47" si="46">if(isdate(D$8),IF($J47=$N$4,if(isblank(AC$2),iferror(1/0),SUMIF($W$7:$W127,$B47,AC$7:AC127)),IF(ISBLANK($J47),IFERROR(1/0),OFFSET(AC$1,$K47-1,0))),IFERROR(1/0))</f>
        <v/>
      </c>
      <c r="E47" s="1599" t="str">
        <f t="shared" si="46"/>
        <v/>
      </c>
      <c r="F47" s="1607"/>
      <c r="G47" s="1575"/>
      <c r="H47" s="1599"/>
      <c r="I47" s="783"/>
      <c r="J47" s="782"/>
      <c r="K47" s="1602" t="str">
        <f t="shared" si="11"/>
        <v/>
      </c>
      <c r="L47" s="783"/>
      <c r="M47" s="1604"/>
      <c r="N47" s="1553"/>
      <c r="O47" s="1553"/>
      <c r="P47" s="826"/>
      <c r="Q47" s="826"/>
      <c r="R47" s="1553"/>
      <c r="S47" s="1553" t="str">
        <f t="shared" si="5"/>
        <v/>
      </c>
      <c r="T47" s="1553" t="str">
        <f t="shared" si="6"/>
        <v/>
      </c>
      <c r="U47" s="1553" t="str">
        <f t="shared" si="7"/>
        <v/>
      </c>
      <c r="V47" s="826"/>
      <c r="W47" s="826"/>
      <c r="X47" s="826"/>
      <c r="Y47" s="826"/>
      <c r="Z47" s="826"/>
      <c r="AA47" s="792"/>
      <c r="AB47" s="1586"/>
      <c r="AC47" s="1557" t="str">
        <f>IFERROR(__xludf.DUMMYFUNCTION("IF(LEN($AB47),IFERROR(query(INDIRECT($AG$12),""SELECT ""&amp;$AG$4&amp;"" WHERE ""&amp;$AG$8&amp;"" = '""&amp;$X47&amp;""' AND ""&amp;$AG$5&amp;"" &lt;= date '""&amp;TEXT(DATEVALUE(AC$2),""yyyy-mm-dd"")&amp;""' ORDER BY ""&amp;$AG$5&amp;"" DESC,""&amp;$AG$6&amp;"" DESC LIMIT 1"",0),0),IFERROR(1/0))"),"")</f>
        <v/>
      </c>
      <c r="AD47" s="1557" t="str">
        <f>IFERROR(__xludf.DUMMYFUNCTION("IF(LEN($AB47),IFERROR(query(INDIRECT($AG$12),""SELECT ""&amp;$AG$4&amp;"" WHERE ""&amp;$AG$8&amp;"" = '""&amp;$X47&amp;""' AND ""&amp;$AG$5&amp;"" &lt;= date '""&amp;TEXT(DATEVALUE(AD$2),""yyyy-mm-dd"")&amp;""' ORDER BY ""&amp;$AG$5&amp;"" DESC,""&amp;$AG$6&amp;"" DESC LIMIT 1"",0),0),IFERROR(1/0))"),"")</f>
        <v/>
      </c>
      <c r="AE47" s="792"/>
      <c r="AF47" s="824"/>
      <c r="AG47" s="824"/>
    </row>
    <row r="48">
      <c r="A48" s="1605"/>
      <c r="B48" s="1573"/>
      <c r="C48" s="1573"/>
      <c r="D48" s="1599" t="str">
        <f t="shared" ref="D48:E48" si="47">if(isdate(D$8),IF($J48=$N$4,if(isblank(AC$2),iferror(1/0),SUMIF($W$7:$W127,$B48,AC$7:AC127)),IF(ISBLANK($J48),IFERROR(1/0),OFFSET(AC$1,$K48-1,0))),IFERROR(1/0))</f>
        <v/>
      </c>
      <c r="E48" s="1599" t="str">
        <f t="shared" si="47"/>
        <v/>
      </c>
      <c r="F48" s="1607"/>
      <c r="G48" s="1575"/>
      <c r="H48" s="1599"/>
      <c r="I48" s="783"/>
      <c r="J48" s="782"/>
      <c r="K48" s="1602" t="str">
        <f t="shared" si="11"/>
        <v/>
      </c>
      <c r="L48" s="783"/>
      <c r="M48" s="1604"/>
      <c r="N48" s="1553"/>
      <c r="O48" s="1553"/>
      <c r="P48" s="826"/>
      <c r="Q48" s="826"/>
      <c r="R48" s="1553"/>
      <c r="S48" s="1553" t="str">
        <f t="shared" si="5"/>
        <v/>
      </c>
      <c r="T48" s="1553" t="str">
        <f t="shared" si="6"/>
        <v/>
      </c>
      <c r="U48" s="1553" t="str">
        <f t="shared" si="7"/>
        <v/>
      </c>
      <c r="V48" s="826"/>
      <c r="W48" s="826"/>
      <c r="X48" s="826"/>
      <c r="Y48" s="826"/>
      <c r="Z48" s="826"/>
      <c r="AA48" s="792"/>
      <c r="AB48" s="1586"/>
      <c r="AC48" s="1557" t="str">
        <f>IFERROR(__xludf.DUMMYFUNCTION("IF(LEN($AB48),IFERROR(query(INDIRECT($AG$12),""SELECT ""&amp;$AG$4&amp;"" WHERE ""&amp;$AG$8&amp;"" = '""&amp;$X48&amp;""' AND ""&amp;$AG$5&amp;"" &lt;= date '""&amp;TEXT(DATEVALUE(AC$2),""yyyy-mm-dd"")&amp;""' ORDER BY ""&amp;$AG$5&amp;"" DESC,""&amp;$AG$6&amp;"" DESC LIMIT 1"",0),0),IFERROR(1/0))"),"")</f>
        <v/>
      </c>
      <c r="AD48" s="1557" t="str">
        <f>IFERROR(__xludf.DUMMYFUNCTION("IF(LEN($AB48),IFERROR(query(INDIRECT($AG$12),""SELECT ""&amp;$AG$4&amp;"" WHERE ""&amp;$AG$8&amp;"" = '""&amp;$X48&amp;""' AND ""&amp;$AG$5&amp;"" &lt;= date '""&amp;TEXT(DATEVALUE(AD$2),""yyyy-mm-dd"")&amp;""' ORDER BY ""&amp;$AG$5&amp;"" DESC,""&amp;$AG$6&amp;"" DESC LIMIT 1"",0),0),IFERROR(1/0))"),"")</f>
        <v/>
      </c>
      <c r="AE48" s="792"/>
      <c r="AF48" s="824"/>
      <c r="AG48" s="824"/>
    </row>
    <row r="49">
      <c r="A49" s="1605"/>
      <c r="B49" s="1573"/>
      <c r="C49" s="1573"/>
      <c r="D49" s="1599" t="str">
        <f t="shared" ref="D49:E49" si="48">if(isdate(D$8),IF($J49=$N$4,if(isblank(AC$2),iferror(1/0),SUMIF($W$7:$W127,$B49,AC$7:AC127)),IF(ISBLANK($J49),IFERROR(1/0),OFFSET(AC$1,$K49-1,0))),IFERROR(1/0))</f>
        <v/>
      </c>
      <c r="E49" s="1599" t="str">
        <f t="shared" si="48"/>
        <v/>
      </c>
      <c r="F49" s="1607"/>
      <c r="G49" s="1575"/>
      <c r="H49" s="1599"/>
      <c r="I49" s="783"/>
      <c r="J49" s="782"/>
      <c r="K49" s="1602" t="str">
        <f t="shared" si="11"/>
        <v/>
      </c>
      <c r="L49" s="783"/>
      <c r="M49" s="1604"/>
      <c r="N49" s="1553"/>
      <c r="O49" s="1553"/>
      <c r="P49" s="826"/>
      <c r="Q49" s="826"/>
      <c r="R49" s="1553"/>
      <c r="S49" s="1553" t="str">
        <f t="shared" si="5"/>
        <v/>
      </c>
      <c r="T49" s="1553" t="str">
        <f t="shared" si="6"/>
        <v/>
      </c>
      <c r="U49" s="1553" t="str">
        <f t="shared" si="7"/>
        <v/>
      </c>
      <c r="V49" s="826"/>
      <c r="W49" s="826"/>
      <c r="X49" s="826"/>
      <c r="Y49" s="826"/>
      <c r="Z49" s="826"/>
      <c r="AA49" s="792"/>
      <c r="AB49" s="1586"/>
      <c r="AC49" s="1557" t="str">
        <f>IFERROR(__xludf.DUMMYFUNCTION("IF(LEN($AB49),IFERROR(query(INDIRECT($AG$12),""SELECT ""&amp;$AG$4&amp;"" WHERE ""&amp;$AG$8&amp;"" = '""&amp;$X49&amp;""' AND ""&amp;$AG$5&amp;"" &lt;= date '""&amp;TEXT(DATEVALUE(AC$2),""yyyy-mm-dd"")&amp;""' ORDER BY ""&amp;$AG$5&amp;"" DESC,""&amp;$AG$6&amp;"" DESC LIMIT 1"",0),0),IFERROR(1/0))"),"")</f>
        <v/>
      </c>
      <c r="AD49" s="1557" t="str">
        <f>IFERROR(__xludf.DUMMYFUNCTION("IF(LEN($AB49),IFERROR(query(INDIRECT($AG$12),""SELECT ""&amp;$AG$4&amp;"" WHERE ""&amp;$AG$8&amp;"" = '""&amp;$X49&amp;""' AND ""&amp;$AG$5&amp;"" &lt;= date '""&amp;TEXT(DATEVALUE(AD$2),""yyyy-mm-dd"")&amp;""' ORDER BY ""&amp;$AG$5&amp;"" DESC,""&amp;$AG$6&amp;"" DESC LIMIT 1"",0),0),IFERROR(1/0))"),"")</f>
        <v/>
      </c>
      <c r="AE49" s="792"/>
      <c r="AF49" s="824"/>
      <c r="AG49" s="824"/>
    </row>
    <row r="50">
      <c r="A50" s="1605"/>
      <c r="B50" s="1573"/>
      <c r="C50" s="1573"/>
      <c r="D50" s="1599" t="str">
        <f t="shared" ref="D50:E50" si="49">if(isdate(D$8),IF($J50=$N$4,if(isblank(AC$2),iferror(1/0),SUMIF($W$7:$W127,$B50,AC$7:AC127)),IF(ISBLANK($J50),IFERROR(1/0),OFFSET(AC$1,$K50-1,0))),IFERROR(1/0))</f>
        <v/>
      </c>
      <c r="E50" s="1599" t="str">
        <f t="shared" si="49"/>
        <v/>
      </c>
      <c r="F50" s="1607"/>
      <c r="G50" s="1575"/>
      <c r="H50" s="1599"/>
      <c r="I50" s="783"/>
      <c r="J50" s="782"/>
      <c r="K50" s="1602" t="str">
        <f t="shared" si="11"/>
        <v/>
      </c>
      <c r="L50" s="783"/>
      <c r="M50" s="1604"/>
      <c r="N50" s="1553"/>
      <c r="O50" s="1553"/>
      <c r="P50" s="826"/>
      <c r="Q50" s="826"/>
      <c r="R50" s="1553"/>
      <c r="S50" s="1553" t="str">
        <f t="shared" si="5"/>
        <v/>
      </c>
      <c r="T50" s="1553" t="str">
        <f t="shared" si="6"/>
        <v/>
      </c>
      <c r="U50" s="1553" t="str">
        <f t="shared" si="7"/>
        <v/>
      </c>
      <c r="V50" s="826"/>
      <c r="W50" s="826"/>
      <c r="X50" s="826"/>
      <c r="Y50" s="826"/>
      <c r="Z50" s="826"/>
      <c r="AA50" s="792"/>
      <c r="AB50" s="1586"/>
      <c r="AC50" s="1557" t="str">
        <f>IFERROR(__xludf.DUMMYFUNCTION("IF(LEN($AB50),IFERROR(query(INDIRECT($AG$12),""SELECT ""&amp;$AG$4&amp;"" WHERE ""&amp;$AG$8&amp;"" = '""&amp;$X50&amp;""' AND ""&amp;$AG$5&amp;"" &lt;= date '""&amp;TEXT(DATEVALUE(AC$2),""yyyy-mm-dd"")&amp;""' ORDER BY ""&amp;$AG$5&amp;"" DESC,""&amp;$AG$6&amp;"" DESC LIMIT 1"",0),0),IFERROR(1/0))"),"")</f>
        <v/>
      </c>
      <c r="AD50" s="1557" t="str">
        <f>IFERROR(__xludf.DUMMYFUNCTION("IF(LEN($AB50),IFERROR(query(INDIRECT($AG$12),""SELECT ""&amp;$AG$4&amp;"" WHERE ""&amp;$AG$8&amp;"" = '""&amp;$X50&amp;""' AND ""&amp;$AG$5&amp;"" &lt;= date '""&amp;TEXT(DATEVALUE(AD$2),""yyyy-mm-dd"")&amp;""' ORDER BY ""&amp;$AG$5&amp;"" DESC,""&amp;$AG$6&amp;"" DESC LIMIT 1"",0),0),IFERROR(1/0))"),"")</f>
        <v/>
      </c>
      <c r="AE50" s="792"/>
      <c r="AF50" s="824"/>
      <c r="AG50" s="824"/>
    </row>
    <row r="51">
      <c r="A51" s="1605"/>
      <c r="B51" s="1573"/>
      <c r="C51" s="1573"/>
      <c r="D51" s="1599" t="str">
        <f t="shared" ref="D51:E51" si="50">if(isdate(D$8),IF($J51=$N$4,if(isblank(AC$2),iferror(1/0),SUMIF($W$7:$W127,$B51,AC$7:AC127)),IF(ISBLANK($J51),IFERROR(1/0),OFFSET(AC$1,$K51-1,0))),IFERROR(1/0))</f>
        <v/>
      </c>
      <c r="E51" s="1599" t="str">
        <f t="shared" si="50"/>
        <v/>
      </c>
      <c r="F51" s="1607"/>
      <c r="G51" s="1575"/>
      <c r="H51" s="1599"/>
      <c r="I51" s="783"/>
      <c r="J51" s="782"/>
      <c r="K51" s="1602" t="str">
        <f t="shared" si="11"/>
        <v/>
      </c>
      <c r="L51" s="783"/>
      <c r="M51" s="1604"/>
      <c r="N51" s="1553"/>
      <c r="O51" s="1553"/>
      <c r="P51" s="826"/>
      <c r="Q51" s="826"/>
      <c r="R51" s="1553"/>
      <c r="S51" s="1553" t="str">
        <f t="shared" si="5"/>
        <v/>
      </c>
      <c r="T51" s="1553" t="str">
        <f t="shared" si="6"/>
        <v/>
      </c>
      <c r="U51" s="1553" t="str">
        <f t="shared" si="7"/>
        <v/>
      </c>
      <c r="V51" s="826"/>
      <c r="W51" s="826"/>
      <c r="X51" s="826"/>
      <c r="Y51" s="826"/>
      <c r="Z51" s="826"/>
      <c r="AA51" s="792"/>
      <c r="AB51" s="1586"/>
      <c r="AC51" s="1557" t="str">
        <f>IFERROR(__xludf.DUMMYFUNCTION("IF(LEN($AB51),IFERROR(query(INDIRECT($AG$12),""SELECT ""&amp;$AG$4&amp;"" WHERE ""&amp;$AG$8&amp;"" = '""&amp;$X51&amp;""' AND ""&amp;$AG$5&amp;"" &lt;= date '""&amp;TEXT(DATEVALUE(AC$2),""yyyy-mm-dd"")&amp;""' ORDER BY ""&amp;$AG$5&amp;"" DESC,""&amp;$AG$6&amp;"" DESC LIMIT 1"",0),0),IFERROR(1/0))"),"")</f>
        <v/>
      </c>
      <c r="AD51" s="1557" t="str">
        <f>IFERROR(__xludf.DUMMYFUNCTION("IF(LEN($AB51),IFERROR(query(INDIRECT($AG$12),""SELECT ""&amp;$AG$4&amp;"" WHERE ""&amp;$AG$8&amp;"" = '""&amp;$X51&amp;""' AND ""&amp;$AG$5&amp;"" &lt;= date '""&amp;TEXT(DATEVALUE(AD$2),""yyyy-mm-dd"")&amp;""' ORDER BY ""&amp;$AG$5&amp;"" DESC,""&amp;$AG$6&amp;"" DESC LIMIT 1"",0),0),IFERROR(1/0))"),"")</f>
        <v/>
      </c>
      <c r="AE51" s="792"/>
      <c r="AF51" s="824"/>
      <c r="AG51" s="824"/>
    </row>
    <row r="52">
      <c r="A52" s="1605"/>
      <c r="B52" s="1573"/>
      <c r="C52" s="1573"/>
      <c r="D52" s="1599" t="str">
        <f t="shared" ref="D52:E52" si="51">if(isdate(D$8),IF($J52=$N$4,if(isblank(AC$2),iferror(1/0),SUMIF($W$7:$W127,$B52,AC$7:AC127)),IF(ISBLANK($J52),IFERROR(1/0),OFFSET(AC$1,$K52-1,0))),IFERROR(1/0))</f>
        <v/>
      </c>
      <c r="E52" s="1599" t="str">
        <f t="shared" si="51"/>
        <v/>
      </c>
      <c r="F52" s="1607"/>
      <c r="G52" s="1575"/>
      <c r="H52" s="1599"/>
      <c r="I52" s="783"/>
      <c r="J52" s="782"/>
      <c r="K52" s="1602" t="str">
        <f t="shared" si="11"/>
        <v/>
      </c>
      <c r="L52" s="783"/>
      <c r="M52" s="1604"/>
      <c r="N52" s="1553"/>
      <c r="O52" s="1553"/>
      <c r="P52" s="826"/>
      <c r="Q52" s="826"/>
      <c r="R52" s="1553"/>
      <c r="S52" s="1553" t="str">
        <f t="shared" si="5"/>
        <v/>
      </c>
      <c r="T52" s="1553" t="str">
        <f t="shared" si="6"/>
        <v/>
      </c>
      <c r="U52" s="1553" t="str">
        <f t="shared" si="7"/>
        <v/>
      </c>
      <c r="V52" s="826"/>
      <c r="W52" s="826"/>
      <c r="X52" s="826"/>
      <c r="Y52" s="826"/>
      <c r="Z52" s="826"/>
      <c r="AA52" s="792"/>
      <c r="AB52" s="1586"/>
      <c r="AC52" s="1557" t="str">
        <f>IFERROR(__xludf.DUMMYFUNCTION("IF(LEN($AB52),IFERROR(query(INDIRECT($AG$12),""SELECT ""&amp;$AG$4&amp;"" WHERE ""&amp;$AG$8&amp;"" = '""&amp;$X52&amp;""' AND ""&amp;$AG$5&amp;"" &lt;= date '""&amp;TEXT(DATEVALUE(AC$2),""yyyy-mm-dd"")&amp;""' ORDER BY ""&amp;$AG$5&amp;"" DESC,""&amp;$AG$6&amp;"" DESC LIMIT 1"",0),0),IFERROR(1/0))"),"")</f>
        <v/>
      </c>
      <c r="AD52" s="1557" t="str">
        <f>IFERROR(__xludf.DUMMYFUNCTION("IF(LEN($AB52),IFERROR(query(INDIRECT($AG$12),""SELECT ""&amp;$AG$4&amp;"" WHERE ""&amp;$AG$8&amp;"" = '""&amp;$X52&amp;""' AND ""&amp;$AG$5&amp;"" &lt;= date '""&amp;TEXT(DATEVALUE(AD$2),""yyyy-mm-dd"")&amp;""' ORDER BY ""&amp;$AG$5&amp;"" DESC,""&amp;$AG$6&amp;"" DESC LIMIT 1"",0),0),IFERROR(1/0))"),"")</f>
        <v/>
      </c>
      <c r="AE52" s="792"/>
      <c r="AF52" s="824"/>
      <c r="AG52" s="824"/>
    </row>
    <row r="53">
      <c r="A53" s="1605"/>
      <c r="B53" s="1573"/>
      <c r="C53" s="1573"/>
      <c r="D53" s="1599" t="str">
        <f t="shared" ref="D53:E53" si="52">if(isdate(D$8),IF($J53=$N$4,if(isblank(AC$2),iferror(1/0),SUMIF($W$7:$W127,$B53,AC$7:AC127)),IF(ISBLANK($J53),IFERROR(1/0),OFFSET(AC$1,$K53-1,0))),IFERROR(1/0))</f>
        <v/>
      </c>
      <c r="E53" s="1599" t="str">
        <f t="shared" si="52"/>
        <v/>
      </c>
      <c r="F53" s="1607"/>
      <c r="G53" s="1575"/>
      <c r="H53" s="1599"/>
      <c r="I53" s="783"/>
      <c r="J53" s="782"/>
      <c r="K53" s="1602" t="str">
        <f t="shared" si="11"/>
        <v/>
      </c>
      <c r="L53" s="783"/>
      <c r="M53" s="1604"/>
      <c r="N53" s="1553"/>
      <c r="O53" s="1553"/>
      <c r="P53" s="826"/>
      <c r="Q53" s="826"/>
      <c r="R53" s="1553"/>
      <c r="S53" s="1553" t="str">
        <f t="shared" si="5"/>
        <v/>
      </c>
      <c r="T53" s="1553" t="str">
        <f t="shared" si="6"/>
        <v/>
      </c>
      <c r="U53" s="1553" t="str">
        <f t="shared" si="7"/>
        <v/>
      </c>
      <c r="V53" s="826"/>
      <c r="W53" s="826"/>
      <c r="X53" s="826"/>
      <c r="Y53" s="826"/>
      <c r="Z53" s="826"/>
      <c r="AA53" s="792"/>
      <c r="AB53" s="1586"/>
      <c r="AC53" s="1557" t="str">
        <f>IFERROR(__xludf.DUMMYFUNCTION("IF(LEN($AB53),IFERROR(query(INDIRECT($AG$12),""SELECT ""&amp;$AG$4&amp;"" WHERE ""&amp;$AG$8&amp;"" = '""&amp;$X53&amp;""' AND ""&amp;$AG$5&amp;"" &lt;= date '""&amp;TEXT(DATEVALUE(AC$2),""yyyy-mm-dd"")&amp;""' ORDER BY ""&amp;$AG$5&amp;"" DESC,""&amp;$AG$6&amp;"" DESC LIMIT 1"",0),0),IFERROR(1/0))"),"")</f>
        <v/>
      </c>
      <c r="AD53" s="1557" t="str">
        <f>IFERROR(__xludf.DUMMYFUNCTION("IF(LEN($AB53),IFERROR(query(INDIRECT($AG$12),""SELECT ""&amp;$AG$4&amp;"" WHERE ""&amp;$AG$8&amp;"" = '""&amp;$X53&amp;""' AND ""&amp;$AG$5&amp;"" &lt;= date '""&amp;TEXT(DATEVALUE(AD$2),""yyyy-mm-dd"")&amp;""' ORDER BY ""&amp;$AG$5&amp;"" DESC,""&amp;$AG$6&amp;"" DESC LIMIT 1"",0),0),IFERROR(1/0))"),"")</f>
        <v/>
      </c>
      <c r="AE53" s="792"/>
      <c r="AF53" s="824"/>
      <c r="AG53" s="824"/>
    </row>
    <row r="54">
      <c r="A54" s="1605"/>
      <c r="B54" s="1573"/>
      <c r="C54" s="1573"/>
      <c r="D54" s="1599" t="str">
        <f t="shared" ref="D54:E54" si="53">if(isdate(D$8),IF($J54=$N$4,if(isblank(AC$2),iferror(1/0),SUMIF($W$7:$W127,$B54,AC$7:AC127)),IF(ISBLANK($J54),IFERROR(1/0),OFFSET(AC$1,$K54-1,0))),IFERROR(1/0))</f>
        <v/>
      </c>
      <c r="E54" s="1599" t="str">
        <f t="shared" si="53"/>
        <v/>
      </c>
      <c r="F54" s="1607"/>
      <c r="G54" s="1575"/>
      <c r="H54" s="1599"/>
      <c r="I54" s="783"/>
      <c r="J54" s="782"/>
      <c r="K54" s="1602" t="str">
        <f t="shared" si="11"/>
        <v/>
      </c>
      <c r="L54" s="783"/>
      <c r="M54" s="1604"/>
      <c r="N54" s="1553"/>
      <c r="O54" s="1553"/>
      <c r="P54" s="826"/>
      <c r="Q54" s="826"/>
      <c r="R54" s="1553"/>
      <c r="S54" s="1553" t="str">
        <f t="shared" si="5"/>
        <v/>
      </c>
      <c r="T54" s="1553" t="str">
        <f t="shared" si="6"/>
        <v/>
      </c>
      <c r="U54" s="1553" t="str">
        <f t="shared" si="7"/>
        <v/>
      </c>
      <c r="V54" s="826"/>
      <c r="W54" s="826"/>
      <c r="X54" s="826"/>
      <c r="Y54" s="826"/>
      <c r="Z54" s="826"/>
      <c r="AA54" s="792"/>
      <c r="AB54" s="1586"/>
      <c r="AC54" s="1557" t="str">
        <f>IFERROR(__xludf.DUMMYFUNCTION("IF(LEN($AB54),IFERROR(query(INDIRECT($AG$12),""SELECT ""&amp;$AG$4&amp;"" WHERE ""&amp;$AG$8&amp;"" = '""&amp;$X54&amp;""' AND ""&amp;$AG$5&amp;"" &lt;= date '""&amp;TEXT(DATEVALUE(AC$2),""yyyy-mm-dd"")&amp;""' ORDER BY ""&amp;$AG$5&amp;"" DESC,""&amp;$AG$6&amp;"" DESC LIMIT 1"",0),0),IFERROR(1/0))"),"")</f>
        <v/>
      </c>
      <c r="AD54" s="1557" t="str">
        <f>IFERROR(__xludf.DUMMYFUNCTION("IF(LEN($AB54),IFERROR(query(INDIRECT($AG$12),""SELECT ""&amp;$AG$4&amp;"" WHERE ""&amp;$AG$8&amp;"" = '""&amp;$X54&amp;""' AND ""&amp;$AG$5&amp;"" &lt;= date '""&amp;TEXT(DATEVALUE(AD$2),""yyyy-mm-dd"")&amp;""' ORDER BY ""&amp;$AG$5&amp;"" DESC,""&amp;$AG$6&amp;"" DESC LIMIT 1"",0),0),IFERROR(1/0))"),"")</f>
        <v/>
      </c>
      <c r="AE54" s="792"/>
      <c r="AF54" s="824"/>
      <c r="AG54" s="824"/>
    </row>
    <row r="55">
      <c r="A55" s="1605"/>
      <c r="B55" s="1573"/>
      <c r="C55" s="1573"/>
      <c r="D55" s="1599" t="str">
        <f t="shared" ref="D55:E55" si="54">if(isdate(D$8),IF($J55=$N$4,if(isblank(AC$2),iferror(1/0),SUMIF($W$7:$W127,$B55,AC$7:AC127)),IF(ISBLANK($J55),IFERROR(1/0),OFFSET(AC$1,$K55-1,0))),IFERROR(1/0))</f>
        <v/>
      </c>
      <c r="E55" s="1599" t="str">
        <f t="shared" si="54"/>
        <v/>
      </c>
      <c r="F55" s="1607"/>
      <c r="G55" s="1575"/>
      <c r="H55" s="1599"/>
      <c r="I55" s="783"/>
      <c r="J55" s="782"/>
      <c r="K55" s="1602" t="str">
        <f t="shared" si="11"/>
        <v/>
      </c>
      <c r="L55" s="783"/>
      <c r="M55" s="1604"/>
      <c r="N55" s="1553"/>
      <c r="O55" s="1553"/>
      <c r="P55" s="826"/>
      <c r="Q55" s="826"/>
      <c r="R55" s="1553"/>
      <c r="S55" s="1553" t="str">
        <f t="shared" si="5"/>
        <v/>
      </c>
      <c r="T55" s="1553" t="str">
        <f t="shared" si="6"/>
        <v/>
      </c>
      <c r="U55" s="1553" t="str">
        <f t="shared" si="7"/>
        <v/>
      </c>
      <c r="V55" s="826"/>
      <c r="W55" s="826"/>
      <c r="X55" s="826"/>
      <c r="Y55" s="826"/>
      <c r="Z55" s="826"/>
      <c r="AA55" s="792"/>
      <c r="AB55" s="1586"/>
      <c r="AC55" s="1557" t="str">
        <f>IFERROR(__xludf.DUMMYFUNCTION("IF(LEN($AB55),IFERROR(query(INDIRECT($AG$12),""SELECT ""&amp;$AG$4&amp;"" WHERE ""&amp;$AG$8&amp;"" = '""&amp;$X55&amp;""' AND ""&amp;$AG$5&amp;"" &lt;= date '""&amp;TEXT(DATEVALUE(AC$2),""yyyy-mm-dd"")&amp;""' ORDER BY ""&amp;$AG$5&amp;"" DESC,""&amp;$AG$6&amp;"" DESC LIMIT 1"",0),0),IFERROR(1/0))"),"")</f>
        <v/>
      </c>
      <c r="AD55" s="1557" t="str">
        <f>IFERROR(__xludf.DUMMYFUNCTION("IF(LEN($AB55),IFERROR(query(INDIRECT($AG$12),""SELECT ""&amp;$AG$4&amp;"" WHERE ""&amp;$AG$8&amp;"" = '""&amp;$X55&amp;""' AND ""&amp;$AG$5&amp;"" &lt;= date '""&amp;TEXT(DATEVALUE(AD$2),""yyyy-mm-dd"")&amp;""' ORDER BY ""&amp;$AG$5&amp;"" DESC,""&amp;$AG$6&amp;"" DESC LIMIT 1"",0),0),IFERROR(1/0))"),"")</f>
        <v/>
      </c>
      <c r="AE55" s="792"/>
      <c r="AF55" s="824"/>
      <c r="AG55" s="824"/>
    </row>
    <row r="56">
      <c r="A56" s="1605"/>
      <c r="B56" s="1573"/>
      <c r="C56" s="1573"/>
      <c r="D56" s="1599" t="str">
        <f t="shared" ref="D56:E56" si="55">if(isdate(D$8),IF($J56=$N$4,if(isblank(AC$2),iferror(1/0),SUMIF($W$7:$W127,$B56,AC$7:AC127)),IF(ISBLANK($J56),IFERROR(1/0),OFFSET(AC$1,$K56-1,0))),IFERROR(1/0))</f>
        <v/>
      </c>
      <c r="E56" s="1599" t="str">
        <f t="shared" si="55"/>
        <v/>
      </c>
      <c r="F56" s="1607"/>
      <c r="G56" s="1575"/>
      <c r="H56" s="1599"/>
      <c r="I56" s="783"/>
      <c r="J56" s="782"/>
      <c r="K56" s="1602" t="str">
        <f t="shared" si="11"/>
        <v/>
      </c>
      <c r="L56" s="783"/>
      <c r="M56" s="1604"/>
      <c r="N56" s="1553"/>
      <c r="O56" s="1553"/>
      <c r="P56" s="826"/>
      <c r="Q56" s="826"/>
      <c r="R56" s="1553"/>
      <c r="S56" s="1553" t="str">
        <f t="shared" si="5"/>
        <v/>
      </c>
      <c r="T56" s="1553" t="str">
        <f t="shared" si="6"/>
        <v/>
      </c>
      <c r="U56" s="1553" t="str">
        <f t="shared" si="7"/>
        <v/>
      </c>
      <c r="V56" s="826"/>
      <c r="W56" s="826"/>
      <c r="X56" s="826"/>
      <c r="Y56" s="826"/>
      <c r="Z56" s="826"/>
      <c r="AA56" s="792"/>
      <c r="AB56" s="1586"/>
      <c r="AC56" s="1557" t="str">
        <f>IFERROR(__xludf.DUMMYFUNCTION("IF(LEN($AB56),IFERROR(query(INDIRECT($AG$12),""SELECT ""&amp;$AG$4&amp;"" WHERE ""&amp;$AG$8&amp;"" = '""&amp;$X56&amp;""' AND ""&amp;$AG$5&amp;"" &lt;= date '""&amp;TEXT(DATEVALUE(AC$2),""yyyy-mm-dd"")&amp;""' ORDER BY ""&amp;$AG$5&amp;"" DESC,""&amp;$AG$6&amp;"" DESC LIMIT 1"",0),0),IFERROR(1/0))"),"")</f>
        <v/>
      </c>
      <c r="AD56" s="1557" t="str">
        <f>IFERROR(__xludf.DUMMYFUNCTION("IF(LEN($AB56),IFERROR(query(INDIRECT($AG$12),""SELECT ""&amp;$AG$4&amp;"" WHERE ""&amp;$AG$8&amp;"" = '""&amp;$X56&amp;""' AND ""&amp;$AG$5&amp;"" &lt;= date '""&amp;TEXT(DATEVALUE(AD$2),""yyyy-mm-dd"")&amp;""' ORDER BY ""&amp;$AG$5&amp;"" DESC,""&amp;$AG$6&amp;"" DESC LIMIT 1"",0),0),IFERROR(1/0))"),"")</f>
        <v/>
      </c>
      <c r="AE56" s="792"/>
      <c r="AF56" s="824"/>
      <c r="AG56" s="824"/>
    </row>
    <row r="57">
      <c r="A57" s="1605"/>
      <c r="B57" s="1573"/>
      <c r="C57" s="1573"/>
      <c r="D57" s="1599" t="str">
        <f t="shared" ref="D57:E57" si="56">if(isdate(D$8),IF($J57=$N$4,if(isblank(AC$2),iferror(1/0),SUMIF($W$7:$W127,$B57,AC$7:AC127)),IF(ISBLANK($J57),IFERROR(1/0),OFFSET(AC$1,$K57-1,0))),IFERROR(1/0))</f>
        <v/>
      </c>
      <c r="E57" s="1599" t="str">
        <f t="shared" si="56"/>
        <v/>
      </c>
      <c r="F57" s="1607"/>
      <c r="G57" s="1575"/>
      <c r="H57" s="1599"/>
      <c r="I57" s="783"/>
      <c r="J57" s="782"/>
      <c r="K57" s="1602" t="str">
        <f t="shared" si="11"/>
        <v/>
      </c>
      <c r="L57" s="783"/>
      <c r="M57" s="1604"/>
      <c r="N57" s="1553"/>
      <c r="O57" s="1553"/>
      <c r="P57" s="826"/>
      <c r="Q57" s="826"/>
      <c r="R57" s="1553"/>
      <c r="S57" s="1553" t="str">
        <f t="shared" si="5"/>
        <v/>
      </c>
      <c r="T57" s="1553" t="str">
        <f t="shared" si="6"/>
        <v/>
      </c>
      <c r="U57" s="1553" t="str">
        <f t="shared" si="7"/>
        <v/>
      </c>
      <c r="V57" s="826"/>
      <c r="W57" s="826"/>
      <c r="X57" s="826"/>
      <c r="Y57" s="826"/>
      <c r="Z57" s="826"/>
      <c r="AA57" s="792"/>
      <c r="AB57" s="1586"/>
      <c r="AC57" s="1557" t="str">
        <f>IFERROR(__xludf.DUMMYFUNCTION("IF(LEN($AB57),IFERROR(query(INDIRECT($AG$12),""SELECT ""&amp;$AG$4&amp;"" WHERE ""&amp;$AG$8&amp;"" = '""&amp;$X57&amp;""' AND ""&amp;$AG$5&amp;"" &lt;= date '""&amp;TEXT(DATEVALUE(AC$2),""yyyy-mm-dd"")&amp;""' ORDER BY ""&amp;$AG$5&amp;"" DESC,""&amp;$AG$6&amp;"" DESC LIMIT 1"",0),0),IFERROR(1/0))"),"")</f>
        <v/>
      </c>
      <c r="AD57" s="1557" t="str">
        <f>IFERROR(__xludf.DUMMYFUNCTION("IF(LEN($AB57),IFERROR(query(INDIRECT($AG$12),""SELECT ""&amp;$AG$4&amp;"" WHERE ""&amp;$AG$8&amp;"" = '""&amp;$X57&amp;""' AND ""&amp;$AG$5&amp;"" &lt;= date '""&amp;TEXT(DATEVALUE(AD$2),""yyyy-mm-dd"")&amp;""' ORDER BY ""&amp;$AG$5&amp;"" DESC,""&amp;$AG$6&amp;"" DESC LIMIT 1"",0),0),IFERROR(1/0))"),"")</f>
        <v/>
      </c>
      <c r="AE57" s="792"/>
      <c r="AF57" s="824"/>
      <c r="AG57" s="824"/>
    </row>
    <row r="58">
      <c r="A58" s="1605"/>
      <c r="B58" s="1573"/>
      <c r="C58" s="1573"/>
      <c r="D58" s="1599" t="str">
        <f t="shared" ref="D58:E58" si="57">if(isdate(D$8),IF($J58=$N$4,if(isblank(AC$2),iferror(1/0),SUMIF($W$7:$W127,$B58,AC$7:AC127)),IF(ISBLANK($J58),IFERROR(1/0),OFFSET(AC$1,$K58-1,0))),IFERROR(1/0))</f>
        <v/>
      </c>
      <c r="E58" s="1599" t="str">
        <f t="shared" si="57"/>
        <v/>
      </c>
      <c r="F58" s="1607"/>
      <c r="G58" s="1575"/>
      <c r="H58" s="1599"/>
      <c r="I58" s="783"/>
      <c r="J58" s="782"/>
      <c r="K58" s="1602" t="str">
        <f t="shared" si="11"/>
        <v/>
      </c>
      <c r="L58" s="783"/>
      <c r="M58" s="1604"/>
      <c r="N58" s="1553"/>
      <c r="O58" s="1553"/>
      <c r="P58" s="826"/>
      <c r="Q58" s="826"/>
      <c r="R58" s="1553"/>
      <c r="S58" s="1553" t="str">
        <f t="shared" si="5"/>
        <v/>
      </c>
      <c r="T58" s="1553" t="str">
        <f t="shared" si="6"/>
        <v/>
      </c>
      <c r="U58" s="1553" t="str">
        <f t="shared" si="7"/>
        <v/>
      </c>
      <c r="V58" s="826"/>
      <c r="W58" s="826"/>
      <c r="X58" s="826"/>
      <c r="Y58" s="826"/>
      <c r="Z58" s="826"/>
      <c r="AA58" s="792"/>
      <c r="AB58" s="1586"/>
      <c r="AC58" s="1557" t="str">
        <f>IFERROR(__xludf.DUMMYFUNCTION("IF(LEN($AB58),IFERROR(query(INDIRECT($AG$12),""SELECT ""&amp;$AG$4&amp;"" WHERE ""&amp;$AG$8&amp;"" = '""&amp;$X58&amp;""' AND ""&amp;$AG$5&amp;"" &lt;= date '""&amp;TEXT(DATEVALUE(AC$2),""yyyy-mm-dd"")&amp;""' ORDER BY ""&amp;$AG$5&amp;"" DESC,""&amp;$AG$6&amp;"" DESC LIMIT 1"",0),0),IFERROR(1/0))"),"")</f>
        <v/>
      </c>
      <c r="AD58" s="1557" t="str">
        <f>IFERROR(__xludf.DUMMYFUNCTION("IF(LEN($AB58),IFERROR(query(INDIRECT($AG$12),""SELECT ""&amp;$AG$4&amp;"" WHERE ""&amp;$AG$8&amp;"" = '""&amp;$X58&amp;""' AND ""&amp;$AG$5&amp;"" &lt;= date '""&amp;TEXT(DATEVALUE(AD$2),""yyyy-mm-dd"")&amp;""' ORDER BY ""&amp;$AG$5&amp;"" DESC,""&amp;$AG$6&amp;"" DESC LIMIT 1"",0),0),IFERROR(1/0))"),"")</f>
        <v/>
      </c>
      <c r="AE58" s="792"/>
      <c r="AF58" s="824"/>
      <c r="AG58" s="824"/>
    </row>
    <row r="59">
      <c r="A59" s="1605"/>
      <c r="B59" s="1573"/>
      <c r="C59" s="1573"/>
      <c r="D59" s="1599" t="str">
        <f t="shared" ref="D59:E59" si="58">if(isdate(D$8),IF($J59=$N$4,if(isblank(AC$2),iferror(1/0),SUMIF($W$7:$W127,$B59,AC$7:AC127)),IF(ISBLANK($J59),IFERROR(1/0),OFFSET(AC$1,$K59-1,0))),IFERROR(1/0))</f>
        <v/>
      </c>
      <c r="E59" s="1599" t="str">
        <f t="shared" si="58"/>
        <v/>
      </c>
      <c r="F59" s="1607"/>
      <c r="G59" s="1575"/>
      <c r="H59" s="1599"/>
      <c r="I59" s="783"/>
      <c r="J59" s="782"/>
      <c r="K59" s="1602" t="str">
        <f t="shared" si="11"/>
        <v/>
      </c>
      <c r="L59" s="783"/>
      <c r="M59" s="1604"/>
      <c r="N59" s="1553"/>
      <c r="O59" s="1553"/>
      <c r="P59" s="826"/>
      <c r="Q59" s="826"/>
      <c r="R59" s="1553"/>
      <c r="S59" s="1553" t="str">
        <f t="shared" si="5"/>
        <v/>
      </c>
      <c r="T59" s="1553" t="str">
        <f t="shared" si="6"/>
        <v/>
      </c>
      <c r="U59" s="1553" t="str">
        <f t="shared" si="7"/>
        <v/>
      </c>
      <c r="V59" s="826"/>
      <c r="W59" s="826"/>
      <c r="X59" s="826"/>
      <c r="Y59" s="826"/>
      <c r="Z59" s="826"/>
      <c r="AA59" s="792"/>
      <c r="AB59" s="1586"/>
      <c r="AC59" s="1557" t="str">
        <f>IFERROR(__xludf.DUMMYFUNCTION("IF(LEN($AB59),IFERROR(query(INDIRECT($AG$12),""SELECT ""&amp;$AG$4&amp;"" WHERE ""&amp;$AG$8&amp;"" = '""&amp;$X59&amp;""' AND ""&amp;$AG$5&amp;"" &lt;= date '""&amp;TEXT(DATEVALUE(AC$2),""yyyy-mm-dd"")&amp;""' ORDER BY ""&amp;$AG$5&amp;"" DESC,""&amp;$AG$6&amp;"" DESC LIMIT 1"",0),0),IFERROR(1/0))"),"")</f>
        <v/>
      </c>
      <c r="AD59" s="1557" t="str">
        <f>IFERROR(__xludf.DUMMYFUNCTION("IF(LEN($AB59),IFERROR(query(INDIRECT($AG$12),""SELECT ""&amp;$AG$4&amp;"" WHERE ""&amp;$AG$8&amp;"" = '""&amp;$X59&amp;""' AND ""&amp;$AG$5&amp;"" &lt;= date '""&amp;TEXT(DATEVALUE(AD$2),""yyyy-mm-dd"")&amp;""' ORDER BY ""&amp;$AG$5&amp;"" DESC,""&amp;$AG$6&amp;"" DESC LIMIT 1"",0),0),IFERROR(1/0))"),"")</f>
        <v/>
      </c>
      <c r="AE59" s="792"/>
      <c r="AF59" s="824"/>
      <c r="AG59" s="824"/>
    </row>
    <row r="60">
      <c r="A60" s="1605"/>
      <c r="B60" s="1573"/>
      <c r="C60" s="1573"/>
      <c r="D60" s="1599" t="str">
        <f t="shared" ref="D60:E60" si="59">if(isdate(D$8),IF($J60=$N$4,if(isblank(AC$2),iferror(1/0),SUMIF($W$7:$W127,$B60,AC$7:AC127)),IF(ISBLANK($J60),IFERROR(1/0),OFFSET(AC$1,$K60-1,0))),IFERROR(1/0))</f>
        <v/>
      </c>
      <c r="E60" s="1599" t="str">
        <f t="shared" si="59"/>
        <v/>
      </c>
      <c r="F60" s="1607"/>
      <c r="G60" s="1575"/>
      <c r="H60" s="1599"/>
      <c r="I60" s="783"/>
      <c r="J60" s="782"/>
      <c r="K60" s="1602" t="str">
        <f t="shared" si="11"/>
        <v/>
      </c>
      <c r="L60" s="783"/>
      <c r="M60" s="1604"/>
      <c r="N60" s="1553"/>
      <c r="O60" s="1553"/>
      <c r="P60" s="826"/>
      <c r="Q60" s="826"/>
      <c r="R60" s="1553"/>
      <c r="S60" s="1553" t="str">
        <f t="shared" si="5"/>
        <v/>
      </c>
      <c r="T60" s="1553" t="str">
        <f t="shared" si="6"/>
        <v/>
      </c>
      <c r="U60" s="1553" t="str">
        <f t="shared" si="7"/>
        <v/>
      </c>
      <c r="V60" s="826"/>
      <c r="W60" s="826"/>
      <c r="X60" s="826"/>
      <c r="Y60" s="826"/>
      <c r="Z60" s="826"/>
      <c r="AA60" s="792"/>
      <c r="AB60" s="1586"/>
      <c r="AC60" s="1557" t="str">
        <f>IFERROR(__xludf.DUMMYFUNCTION("IF(LEN($AB60),IFERROR(query(INDIRECT($AG$12),""SELECT ""&amp;$AG$4&amp;"" WHERE ""&amp;$AG$8&amp;"" = '""&amp;$X60&amp;""' AND ""&amp;$AG$5&amp;"" &lt;= date '""&amp;TEXT(DATEVALUE(AC$2),""yyyy-mm-dd"")&amp;""' ORDER BY ""&amp;$AG$5&amp;"" DESC,""&amp;$AG$6&amp;"" DESC LIMIT 1"",0),0),IFERROR(1/0))"),"")</f>
        <v/>
      </c>
      <c r="AD60" s="1557" t="str">
        <f>IFERROR(__xludf.DUMMYFUNCTION("IF(LEN($AB60),IFERROR(query(INDIRECT($AG$12),""SELECT ""&amp;$AG$4&amp;"" WHERE ""&amp;$AG$8&amp;"" = '""&amp;$X60&amp;""' AND ""&amp;$AG$5&amp;"" &lt;= date '""&amp;TEXT(DATEVALUE(AD$2),""yyyy-mm-dd"")&amp;""' ORDER BY ""&amp;$AG$5&amp;"" DESC,""&amp;$AG$6&amp;"" DESC LIMIT 1"",0),0),IFERROR(1/0))"),"")</f>
        <v/>
      </c>
      <c r="AE60" s="792"/>
      <c r="AF60" s="824"/>
      <c r="AG60" s="824"/>
    </row>
    <row r="61">
      <c r="A61" s="1605"/>
      <c r="B61" s="1573"/>
      <c r="C61" s="1573"/>
      <c r="D61" s="1599" t="str">
        <f t="shared" ref="D61:E61" si="60">if(isdate(D$8),IF($J61=$N$4,if(isblank(AC$2),iferror(1/0),SUMIF($W$7:$W127,$B61,AC$7:AC127)),IF(ISBLANK($J61),IFERROR(1/0),OFFSET(AC$1,$K61-1,0))),IFERROR(1/0))</f>
        <v/>
      </c>
      <c r="E61" s="1599" t="str">
        <f t="shared" si="60"/>
        <v/>
      </c>
      <c r="F61" s="1607"/>
      <c r="G61" s="1575"/>
      <c r="H61" s="1599"/>
      <c r="I61" s="783"/>
      <c r="J61" s="782"/>
      <c r="K61" s="1602" t="str">
        <f t="shared" si="11"/>
        <v/>
      </c>
      <c r="L61" s="783"/>
      <c r="M61" s="1604"/>
      <c r="N61" s="1553"/>
      <c r="O61" s="1553"/>
      <c r="P61" s="826"/>
      <c r="Q61" s="826"/>
      <c r="R61" s="1553"/>
      <c r="S61" s="1553" t="str">
        <f t="shared" si="5"/>
        <v/>
      </c>
      <c r="T61" s="1553" t="str">
        <f t="shared" si="6"/>
        <v/>
      </c>
      <c r="U61" s="1553" t="str">
        <f t="shared" si="7"/>
        <v/>
      </c>
      <c r="V61" s="826"/>
      <c r="W61" s="826"/>
      <c r="X61" s="826"/>
      <c r="Y61" s="826"/>
      <c r="Z61" s="826"/>
      <c r="AA61" s="792"/>
      <c r="AB61" s="1586"/>
      <c r="AC61" s="1557" t="str">
        <f>IFERROR(__xludf.DUMMYFUNCTION("IF(LEN($AB61),IFERROR(query(INDIRECT($AG$12),""SELECT ""&amp;$AG$4&amp;"" WHERE ""&amp;$AG$8&amp;"" = '""&amp;$X61&amp;""' AND ""&amp;$AG$5&amp;"" &lt;= date '""&amp;TEXT(DATEVALUE(AC$2),""yyyy-mm-dd"")&amp;""' ORDER BY ""&amp;$AG$5&amp;"" DESC,""&amp;$AG$6&amp;"" DESC LIMIT 1"",0),0),IFERROR(1/0))"),"")</f>
        <v/>
      </c>
      <c r="AD61" s="1557" t="str">
        <f>IFERROR(__xludf.DUMMYFUNCTION("IF(LEN($AB61),IFERROR(query(INDIRECT($AG$12),""SELECT ""&amp;$AG$4&amp;"" WHERE ""&amp;$AG$8&amp;"" = '""&amp;$X61&amp;""' AND ""&amp;$AG$5&amp;"" &lt;= date '""&amp;TEXT(DATEVALUE(AD$2),""yyyy-mm-dd"")&amp;""' ORDER BY ""&amp;$AG$5&amp;"" DESC,""&amp;$AG$6&amp;"" DESC LIMIT 1"",0),0),IFERROR(1/0))"),"")</f>
        <v/>
      </c>
      <c r="AE61" s="792"/>
      <c r="AF61" s="824"/>
      <c r="AG61" s="824"/>
    </row>
    <row r="62">
      <c r="A62" s="1605"/>
      <c r="B62" s="1573"/>
      <c r="C62" s="1573"/>
      <c r="D62" s="1599" t="str">
        <f t="shared" ref="D62:E62" si="61">if(isdate(D$8),IF($J62=$N$4,if(isblank(AC$2),iferror(1/0),SUMIF($W$7:$W127,$B62,AC$7:AC127)),IF(ISBLANK($J62),IFERROR(1/0),OFFSET(AC$1,$K62-1,0))),IFERROR(1/0))</f>
        <v/>
      </c>
      <c r="E62" s="1599" t="str">
        <f t="shared" si="61"/>
        <v/>
      </c>
      <c r="F62" s="1607"/>
      <c r="G62" s="1575"/>
      <c r="H62" s="1599"/>
      <c r="I62" s="783"/>
      <c r="J62" s="782"/>
      <c r="K62" s="1602" t="str">
        <f t="shared" si="11"/>
        <v/>
      </c>
      <c r="L62" s="783"/>
      <c r="M62" s="1604"/>
      <c r="N62" s="1553"/>
      <c r="O62" s="1553"/>
      <c r="P62" s="826"/>
      <c r="Q62" s="826"/>
      <c r="R62" s="1553"/>
      <c r="S62" s="1553" t="str">
        <f t="shared" si="5"/>
        <v/>
      </c>
      <c r="T62" s="1553" t="str">
        <f t="shared" si="6"/>
        <v/>
      </c>
      <c r="U62" s="1553" t="str">
        <f t="shared" si="7"/>
        <v/>
      </c>
      <c r="V62" s="826"/>
      <c r="W62" s="826"/>
      <c r="X62" s="826"/>
      <c r="Y62" s="826"/>
      <c r="Z62" s="826"/>
      <c r="AA62" s="792"/>
      <c r="AB62" s="1586"/>
      <c r="AC62" s="1557" t="str">
        <f>IFERROR(__xludf.DUMMYFUNCTION("IF(LEN($AB62),IFERROR(query(INDIRECT($AG$12),""SELECT ""&amp;$AG$4&amp;"" WHERE ""&amp;$AG$8&amp;"" = '""&amp;$X62&amp;""' AND ""&amp;$AG$5&amp;"" &lt;= date '""&amp;TEXT(DATEVALUE(AC$2),""yyyy-mm-dd"")&amp;""' ORDER BY ""&amp;$AG$5&amp;"" DESC,""&amp;$AG$6&amp;"" DESC LIMIT 1"",0),0),IFERROR(1/0))"),"")</f>
        <v/>
      </c>
      <c r="AD62" s="1557" t="str">
        <f>IFERROR(__xludf.DUMMYFUNCTION("IF(LEN($AB62),IFERROR(query(INDIRECT($AG$12),""SELECT ""&amp;$AG$4&amp;"" WHERE ""&amp;$AG$8&amp;"" = '""&amp;$X62&amp;""' AND ""&amp;$AG$5&amp;"" &lt;= date '""&amp;TEXT(DATEVALUE(AD$2),""yyyy-mm-dd"")&amp;""' ORDER BY ""&amp;$AG$5&amp;"" DESC,""&amp;$AG$6&amp;"" DESC LIMIT 1"",0),0),IFERROR(1/0))"),"")</f>
        <v/>
      </c>
      <c r="AE62" s="792"/>
      <c r="AF62" s="824"/>
      <c r="AG62" s="824"/>
    </row>
    <row r="63">
      <c r="A63" s="1605"/>
      <c r="B63" s="1573"/>
      <c r="C63" s="1573"/>
      <c r="D63" s="1599" t="str">
        <f t="shared" ref="D63:E63" si="62">if(isdate(D$8),IF($J63=$N$4,if(isblank(AC$2),iferror(1/0),SUMIF($W$7:$W127,$B63,AC$7:AC127)),IF(ISBLANK($J63),IFERROR(1/0),OFFSET(AC$1,$K63-1,0))),IFERROR(1/0))</f>
        <v/>
      </c>
      <c r="E63" s="1599" t="str">
        <f t="shared" si="62"/>
        <v/>
      </c>
      <c r="F63" s="1607"/>
      <c r="G63" s="1575"/>
      <c r="H63" s="1599"/>
      <c r="I63" s="783"/>
      <c r="J63" s="782"/>
      <c r="K63" s="1602" t="str">
        <f t="shared" si="11"/>
        <v/>
      </c>
      <c r="L63" s="783"/>
      <c r="M63" s="1604"/>
      <c r="N63" s="1553"/>
      <c r="O63" s="1553"/>
      <c r="P63" s="826"/>
      <c r="Q63" s="826"/>
      <c r="R63" s="1553"/>
      <c r="S63" s="1553" t="str">
        <f t="shared" si="5"/>
        <v/>
      </c>
      <c r="T63" s="1553" t="str">
        <f t="shared" si="6"/>
        <v/>
      </c>
      <c r="U63" s="1553" t="str">
        <f t="shared" si="7"/>
        <v/>
      </c>
      <c r="V63" s="826"/>
      <c r="W63" s="826"/>
      <c r="X63" s="826"/>
      <c r="Y63" s="826"/>
      <c r="Z63" s="826"/>
      <c r="AA63" s="792"/>
      <c r="AB63" s="1586"/>
      <c r="AC63" s="1557" t="str">
        <f>IFERROR(__xludf.DUMMYFUNCTION("IF(LEN($AB63),IFERROR(query(INDIRECT($AG$12),""SELECT ""&amp;$AG$4&amp;"" WHERE ""&amp;$AG$8&amp;"" = '""&amp;$X63&amp;""' AND ""&amp;$AG$5&amp;"" &lt;= date '""&amp;TEXT(DATEVALUE(AC$2),""yyyy-mm-dd"")&amp;""' ORDER BY ""&amp;$AG$5&amp;"" DESC,""&amp;$AG$6&amp;"" DESC LIMIT 1"",0),0),IFERROR(1/0))"),"")</f>
        <v/>
      </c>
      <c r="AD63" s="1557" t="str">
        <f>IFERROR(__xludf.DUMMYFUNCTION("IF(LEN($AB63),IFERROR(query(INDIRECT($AG$12),""SELECT ""&amp;$AG$4&amp;"" WHERE ""&amp;$AG$8&amp;"" = '""&amp;$X63&amp;""' AND ""&amp;$AG$5&amp;"" &lt;= date '""&amp;TEXT(DATEVALUE(AD$2),""yyyy-mm-dd"")&amp;""' ORDER BY ""&amp;$AG$5&amp;"" DESC,""&amp;$AG$6&amp;"" DESC LIMIT 1"",0),0),IFERROR(1/0))"),"")</f>
        <v/>
      </c>
      <c r="AE63" s="792"/>
      <c r="AF63" s="824"/>
      <c r="AG63" s="824"/>
    </row>
    <row r="64">
      <c r="A64" s="1605"/>
      <c r="B64" s="1573"/>
      <c r="C64" s="1573"/>
      <c r="D64" s="1599" t="str">
        <f t="shared" ref="D64:E64" si="63">if(isdate(D$8),IF($J64=$N$4,if(isblank(AC$2),iferror(1/0),SUMIF($W$7:$W127,$B64,AC$7:AC127)),IF(ISBLANK($J64),IFERROR(1/0),OFFSET(AC$1,$K64-1,0))),IFERROR(1/0))</f>
        <v/>
      </c>
      <c r="E64" s="1599" t="str">
        <f t="shared" si="63"/>
        <v/>
      </c>
      <c r="F64" s="1607"/>
      <c r="G64" s="1575"/>
      <c r="H64" s="1599"/>
      <c r="I64" s="783"/>
      <c r="J64" s="782"/>
      <c r="K64" s="1602" t="str">
        <f t="shared" si="11"/>
        <v/>
      </c>
      <c r="L64" s="783"/>
      <c r="M64" s="1604"/>
      <c r="N64" s="1553"/>
      <c r="O64" s="1553"/>
      <c r="P64" s="826"/>
      <c r="Q64" s="826"/>
      <c r="R64" s="1553"/>
      <c r="S64" s="1553" t="str">
        <f t="shared" si="5"/>
        <v/>
      </c>
      <c r="T64" s="1553" t="str">
        <f t="shared" si="6"/>
        <v/>
      </c>
      <c r="U64" s="1553" t="str">
        <f t="shared" si="7"/>
        <v/>
      </c>
      <c r="V64" s="826"/>
      <c r="W64" s="826"/>
      <c r="X64" s="826"/>
      <c r="Y64" s="826"/>
      <c r="Z64" s="826"/>
      <c r="AA64" s="792"/>
      <c r="AB64" s="1586"/>
      <c r="AC64" s="1557" t="str">
        <f>IFERROR(__xludf.DUMMYFUNCTION("IF(LEN($AB64),IFERROR(query(INDIRECT($AG$12),""SELECT ""&amp;$AG$4&amp;"" WHERE ""&amp;$AG$8&amp;"" = '""&amp;$X64&amp;""' AND ""&amp;$AG$5&amp;"" &lt;= date '""&amp;TEXT(DATEVALUE(AC$2),""yyyy-mm-dd"")&amp;""' ORDER BY ""&amp;$AG$5&amp;"" DESC,""&amp;$AG$6&amp;"" DESC LIMIT 1"",0),0),IFERROR(1/0))"),"")</f>
        <v/>
      </c>
      <c r="AD64" s="1557" t="str">
        <f>IFERROR(__xludf.DUMMYFUNCTION("IF(LEN($AB64),IFERROR(query(INDIRECT($AG$12),""SELECT ""&amp;$AG$4&amp;"" WHERE ""&amp;$AG$8&amp;"" = '""&amp;$X64&amp;""' AND ""&amp;$AG$5&amp;"" &lt;= date '""&amp;TEXT(DATEVALUE(AD$2),""yyyy-mm-dd"")&amp;""' ORDER BY ""&amp;$AG$5&amp;"" DESC,""&amp;$AG$6&amp;"" DESC LIMIT 1"",0),0),IFERROR(1/0))"),"")</f>
        <v/>
      </c>
      <c r="AE64" s="792"/>
      <c r="AF64" s="824"/>
      <c r="AG64" s="824"/>
    </row>
    <row r="65">
      <c r="A65" s="1605"/>
      <c r="B65" s="1573"/>
      <c r="C65" s="1573"/>
      <c r="D65" s="1599" t="str">
        <f t="shared" ref="D65:E65" si="64">if(isdate(D$8),IF($J65=$N$4,if(isblank(AC$2),iferror(1/0),SUMIF($W$7:$W127,$B65,AC$7:AC127)),IF(ISBLANK($J65),IFERROR(1/0),OFFSET(AC$1,$K65-1,0))),IFERROR(1/0))</f>
        <v/>
      </c>
      <c r="E65" s="1599" t="str">
        <f t="shared" si="64"/>
        <v/>
      </c>
      <c r="F65" s="1607"/>
      <c r="G65" s="1575"/>
      <c r="H65" s="1599"/>
      <c r="I65" s="783"/>
      <c r="J65" s="782"/>
      <c r="K65" s="1602" t="str">
        <f t="shared" si="11"/>
        <v/>
      </c>
      <c r="L65" s="783"/>
      <c r="M65" s="1604"/>
      <c r="N65" s="1553"/>
      <c r="O65" s="1553"/>
      <c r="P65" s="826"/>
      <c r="Q65" s="826"/>
      <c r="R65" s="1553"/>
      <c r="S65" s="1553" t="str">
        <f t="shared" si="5"/>
        <v/>
      </c>
      <c r="T65" s="1553" t="str">
        <f t="shared" si="6"/>
        <v/>
      </c>
      <c r="U65" s="1553" t="str">
        <f t="shared" si="7"/>
        <v/>
      </c>
      <c r="V65" s="826"/>
      <c r="W65" s="826"/>
      <c r="X65" s="826"/>
      <c r="Y65" s="826"/>
      <c r="Z65" s="826"/>
      <c r="AA65" s="792"/>
      <c r="AB65" s="1586"/>
      <c r="AC65" s="1557" t="str">
        <f>IFERROR(__xludf.DUMMYFUNCTION("IF(LEN($AB65),IFERROR(query(INDIRECT($AG$12),""SELECT ""&amp;$AG$4&amp;"" WHERE ""&amp;$AG$8&amp;"" = '""&amp;$X65&amp;""' AND ""&amp;$AG$5&amp;"" &lt;= date '""&amp;TEXT(DATEVALUE(AC$2),""yyyy-mm-dd"")&amp;""' ORDER BY ""&amp;$AG$5&amp;"" DESC,""&amp;$AG$6&amp;"" DESC LIMIT 1"",0),0),IFERROR(1/0))"),"")</f>
        <v/>
      </c>
      <c r="AD65" s="1557" t="str">
        <f>IFERROR(__xludf.DUMMYFUNCTION("IF(LEN($AB65),IFERROR(query(INDIRECT($AG$12),""SELECT ""&amp;$AG$4&amp;"" WHERE ""&amp;$AG$8&amp;"" = '""&amp;$X65&amp;""' AND ""&amp;$AG$5&amp;"" &lt;= date '""&amp;TEXT(DATEVALUE(AD$2),""yyyy-mm-dd"")&amp;""' ORDER BY ""&amp;$AG$5&amp;"" DESC,""&amp;$AG$6&amp;"" DESC LIMIT 1"",0),0),IFERROR(1/0))"),"")</f>
        <v/>
      </c>
      <c r="AE65" s="792"/>
      <c r="AF65" s="824"/>
      <c r="AG65" s="824"/>
    </row>
    <row r="66">
      <c r="A66" s="1605"/>
      <c r="B66" s="1573"/>
      <c r="C66" s="1573"/>
      <c r="D66" s="1599" t="str">
        <f t="shared" ref="D66:E66" si="65">if(isdate(D$8),IF($J66=$N$4,if(isblank(AC$2),iferror(1/0),SUMIF($W$7:$W127,$B66,AC$7:AC127)),IF(ISBLANK($J66),IFERROR(1/0),OFFSET(AC$1,$K66-1,0))),IFERROR(1/0))</f>
        <v/>
      </c>
      <c r="E66" s="1599" t="str">
        <f t="shared" si="65"/>
        <v/>
      </c>
      <c r="F66" s="1607"/>
      <c r="G66" s="1575"/>
      <c r="H66" s="1599"/>
      <c r="I66" s="783"/>
      <c r="J66" s="782"/>
      <c r="K66" s="1602" t="str">
        <f t="shared" si="11"/>
        <v/>
      </c>
      <c r="L66" s="783"/>
      <c r="M66" s="1604"/>
      <c r="N66" s="1553"/>
      <c r="O66" s="1553"/>
      <c r="P66" s="826"/>
      <c r="Q66" s="826"/>
      <c r="R66" s="1553"/>
      <c r="S66" s="1553" t="str">
        <f t="shared" si="5"/>
        <v/>
      </c>
      <c r="T66" s="1553" t="str">
        <f t="shared" si="6"/>
        <v/>
      </c>
      <c r="U66" s="1553" t="str">
        <f t="shared" si="7"/>
        <v/>
      </c>
      <c r="V66" s="826"/>
      <c r="W66" s="826"/>
      <c r="X66" s="826"/>
      <c r="Y66" s="826"/>
      <c r="Z66" s="826"/>
      <c r="AA66" s="792"/>
      <c r="AB66" s="1586"/>
      <c r="AC66" s="1557" t="str">
        <f>IFERROR(__xludf.DUMMYFUNCTION("IF(LEN($AB66),IFERROR(query(INDIRECT($AG$12),""SELECT ""&amp;$AG$4&amp;"" WHERE ""&amp;$AG$8&amp;"" = '""&amp;$X66&amp;""' AND ""&amp;$AG$5&amp;"" &lt;= date '""&amp;TEXT(DATEVALUE(AC$2),""yyyy-mm-dd"")&amp;""' ORDER BY ""&amp;$AG$5&amp;"" DESC,""&amp;$AG$6&amp;"" DESC LIMIT 1"",0),0),IFERROR(1/0))"),"")</f>
        <v/>
      </c>
      <c r="AD66" s="1557" t="str">
        <f>IFERROR(__xludf.DUMMYFUNCTION("IF(LEN($AB66),IFERROR(query(INDIRECT($AG$12),""SELECT ""&amp;$AG$4&amp;"" WHERE ""&amp;$AG$8&amp;"" = '""&amp;$X66&amp;""' AND ""&amp;$AG$5&amp;"" &lt;= date '""&amp;TEXT(DATEVALUE(AD$2),""yyyy-mm-dd"")&amp;""' ORDER BY ""&amp;$AG$5&amp;"" DESC,""&amp;$AG$6&amp;"" DESC LIMIT 1"",0),0),IFERROR(1/0))"),"")</f>
        <v/>
      </c>
      <c r="AE66" s="792"/>
      <c r="AF66" s="824"/>
      <c r="AG66" s="824"/>
    </row>
    <row r="67">
      <c r="A67" s="1605"/>
      <c r="B67" s="1573"/>
      <c r="C67" s="1573"/>
      <c r="D67" s="1599" t="str">
        <f t="shared" ref="D67:E67" si="66">if(isdate(D$8),IF($J67=$N$4,if(isblank(AC$2),iferror(1/0),SUMIF($W$7:$W127,$B67,AC$7:AC127)),IF(ISBLANK($J67),IFERROR(1/0),OFFSET(AC$1,$K67-1,0))),IFERROR(1/0))</f>
        <v/>
      </c>
      <c r="E67" s="1599" t="str">
        <f t="shared" si="66"/>
        <v/>
      </c>
      <c r="F67" s="1607"/>
      <c r="G67" s="1575"/>
      <c r="H67" s="1599"/>
      <c r="I67" s="783"/>
      <c r="J67" s="782"/>
      <c r="K67" s="1602" t="str">
        <f t="shared" si="11"/>
        <v/>
      </c>
      <c r="L67" s="783"/>
      <c r="M67" s="1604"/>
      <c r="N67" s="1553"/>
      <c r="O67" s="1553"/>
      <c r="P67" s="826"/>
      <c r="Q67" s="826"/>
      <c r="R67" s="1553"/>
      <c r="S67" s="1553" t="str">
        <f t="shared" si="5"/>
        <v/>
      </c>
      <c r="T67" s="1553" t="str">
        <f t="shared" si="6"/>
        <v/>
      </c>
      <c r="U67" s="1553" t="str">
        <f t="shared" si="7"/>
        <v/>
      </c>
      <c r="V67" s="826"/>
      <c r="W67" s="826"/>
      <c r="X67" s="826"/>
      <c r="Y67" s="826"/>
      <c r="Z67" s="826"/>
      <c r="AA67" s="792"/>
      <c r="AB67" s="1586"/>
      <c r="AC67" s="1557" t="str">
        <f>IFERROR(__xludf.DUMMYFUNCTION("IF(LEN($AB67),IFERROR(query(INDIRECT($AG$12),""SELECT ""&amp;$AG$4&amp;"" WHERE ""&amp;$AG$8&amp;"" = '""&amp;$X67&amp;""' AND ""&amp;$AG$5&amp;"" &lt;= date '""&amp;TEXT(DATEVALUE(AC$2),""yyyy-mm-dd"")&amp;""' ORDER BY ""&amp;$AG$5&amp;"" DESC,""&amp;$AG$6&amp;"" DESC LIMIT 1"",0),0),IFERROR(1/0))"),"")</f>
        <v/>
      </c>
      <c r="AD67" s="1557" t="str">
        <f>IFERROR(__xludf.DUMMYFUNCTION("IF(LEN($AB67),IFERROR(query(INDIRECT($AG$12),""SELECT ""&amp;$AG$4&amp;"" WHERE ""&amp;$AG$8&amp;"" = '""&amp;$X67&amp;""' AND ""&amp;$AG$5&amp;"" &lt;= date '""&amp;TEXT(DATEVALUE(AD$2),""yyyy-mm-dd"")&amp;""' ORDER BY ""&amp;$AG$5&amp;"" DESC,""&amp;$AG$6&amp;"" DESC LIMIT 1"",0),0),IFERROR(1/0))"),"")</f>
        <v/>
      </c>
      <c r="AE67" s="792"/>
      <c r="AF67" s="824"/>
      <c r="AG67" s="824"/>
    </row>
    <row r="68">
      <c r="A68" s="1605"/>
      <c r="B68" s="1573"/>
      <c r="C68" s="1573"/>
      <c r="D68" s="1599" t="str">
        <f t="shared" ref="D68:E68" si="67">if(isdate(D$8),IF($J68=$N$4,if(isblank(AC$2),iferror(1/0),SUMIF($W$7:$W127,$B68,AC$7:AC127)),IF(ISBLANK($J68),IFERROR(1/0),OFFSET(AC$1,$K68-1,0))),IFERROR(1/0))</f>
        <v/>
      </c>
      <c r="E68" s="1599" t="str">
        <f t="shared" si="67"/>
        <v/>
      </c>
      <c r="F68" s="1607"/>
      <c r="G68" s="1575"/>
      <c r="H68" s="1599"/>
      <c r="I68" s="783"/>
      <c r="J68" s="782"/>
      <c r="K68" s="1602" t="str">
        <f t="shared" si="11"/>
        <v/>
      </c>
      <c r="L68" s="783"/>
      <c r="M68" s="1604"/>
      <c r="N68" s="1553"/>
      <c r="O68" s="1553"/>
      <c r="P68" s="826"/>
      <c r="Q68" s="826"/>
      <c r="R68" s="1553"/>
      <c r="S68" s="1553" t="str">
        <f t="shared" si="5"/>
        <v/>
      </c>
      <c r="T68" s="1553" t="str">
        <f t="shared" si="6"/>
        <v/>
      </c>
      <c r="U68" s="1553" t="str">
        <f t="shared" si="7"/>
        <v/>
      </c>
      <c r="V68" s="826"/>
      <c r="W68" s="826"/>
      <c r="X68" s="826"/>
      <c r="Y68" s="826"/>
      <c r="Z68" s="826"/>
      <c r="AA68" s="792"/>
      <c r="AB68" s="1586"/>
      <c r="AC68" s="1557" t="str">
        <f>IFERROR(__xludf.DUMMYFUNCTION("IF(LEN($AB68),IFERROR(query(INDIRECT($AG$12),""SELECT ""&amp;$AG$4&amp;"" WHERE ""&amp;$AG$8&amp;"" = '""&amp;$X68&amp;""' AND ""&amp;$AG$5&amp;"" &lt;= date '""&amp;TEXT(DATEVALUE(AC$2),""yyyy-mm-dd"")&amp;""' ORDER BY ""&amp;$AG$5&amp;"" DESC,""&amp;$AG$6&amp;"" DESC LIMIT 1"",0),0),IFERROR(1/0))"),"")</f>
        <v/>
      </c>
      <c r="AD68" s="1557" t="str">
        <f>IFERROR(__xludf.DUMMYFUNCTION("IF(LEN($AB68),IFERROR(query(INDIRECT($AG$12),""SELECT ""&amp;$AG$4&amp;"" WHERE ""&amp;$AG$8&amp;"" = '""&amp;$X68&amp;""' AND ""&amp;$AG$5&amp;"" &lt;= date '""&amp;TEXT(DATEVALUE(AD$2),""yyyy-mm-dd"")&amp;""' ORDER BY ""&amp;$AG$5&amp;"" DESC,""&amp;$AG$6&amp;"" DESC LIMIT 1"",0),0),IFERROR(1/0))"),"")</f>
        <v/>
      </c>
      <c r="AE68" s="792"/>
      <c r="AF68" s="824"/>
      <c r="AG68" s="824"/>
    </row>
    <row r="69">
      <c r="A69" s="1605"/>
      <c r="B69" s="1573"/>
      <c r="C69" s="1573"/>
      <c r="D69" s="1599" t="str">
        <f t="shared" ref="D69:E69" si="68">if(isdate(D$8),IF($J69=$N$4,if(isblank(AC$2),iferror(1/0),SUMIF($W$7:$W127,$B69,AC$7:AC127)),IF(ISBLANK($J69),IFERROR(1/0),OFFSET(AC$1,$K69-1,0))),IFERROR(1/0))</f>
        <v/>
      </c>
      <c r="E69" s="1599" t="str">
        <f t="shared" si="68"/>
        <v/>
      </c>
      <c r="F69" s="1607"/>
      <c r="G69" s="1575"/>
      <c r="H69" s="1599"/>
      <c r="I69" s="783"/>
      <c r="J69" s="782"/>
      <c r="K69" s="1602" t="str">
        <f t="shared" si="11"/>
        <v/>
      </c>
      <c r="L69" s="783"/>
      <c r="M69" s="1604"/>
      <c r="N69" s="1553"/>
      <c r="O69" s="1553"/>
      <c r="P69" s="826"/>
      <c r="Q69" s="826"/>
      <c r="R69" s="1553"/>
      <c r="S69" s="1553" t="str">
        <f t="shared" si="5"/>
        <v/>
      </c>
      <c r="T69" s="1553" t="str">
        <f t="shared" si="6"/>
        <v/>
      </c>
      <c r="U69" s="1553" t="str">
        <f t="shared" si="7"/>
        <v/>
      </c>
      <c r="V69" s="826"/>
      <c r="W69" s="826"/>
      <c r="X69" s="826"/>
      <c r="Y69" s="826"/>
      <c r="Z69" s="826"/>
      <c r="AA69" s="792"/>
      <c r="AB69" s="1586"/>
      <c r="AC69" s="1557" t="str">
        <f>IFERROR(__xludf.DUMMYFUNCTION("IF(LEN($AB69),IFERROR(query(INDIRECT($AG$12),""SELECT ""&amp;$AG$4&amp;"" WHERE ""&amp;$AG$8&amp;"" = '""&amp;$X69&amp;""' AND ""&amp;$AG$5&amp;"" &lt;= date '""&amp;TEXT(DATEVALUE(AC$2),""yyyy-mm-dd"")&amp;""' ORDER BY ""&amp;$AG$5&amp;"" DESC,""&amp;$AG$6&amp;"" DESC LIMIT 1"",0),0),IFERROR(1/0))"),"")</f>
        <v/>
      </c>
      <c r="AD69" s="1557" t="str">
        <f>IFERROR(__xludf.DUMMYFUNCTION("IF(LEN($AB69),IFERROR(query(INDIRECT($AG$12),""SELECT ""&amp;$AG$4&amp;"" WHERE ""&amp;$AG$8&amp;"" = '""&amp;$X69&amp;""' AND ""&amp;$AG$5&amp;"" &lt;= date '""&amp;TEXT(DATEVALUE(AD$2),""yyyy-mm-dd"")&amp;""' ORDER BY ""&amp;$AG$5&amp;"" DESC,""&amp;$AG$6&amp;"" DESC LIMIT 1"",0),0),IFERROR(1/0))"),"")</f>
        <v/>
      </c>
      <c r="AE69" s="792"/>
      <c r="AF69" s="824"/>
      <c r="AG69" s="824"/>
    </row>
    <row r="70">
      <c r="A70" s="1605"/>
      <c r="B70" s="1573"/>
      <c r="C70" s="1573"/>
      <c r="D70" s="1599" t="str">
        <f t="shared" ref="D70:E70" si="69">if(isdate(D$8),IF($J70=$N$4,if(isblank(AC$2),iferror(1/0),SUMIF($W$7:$W127,$B70,AC$7:AC127)),IF(ISBLANK($J70),IFERROR(1/0),OFFSET(AC$1,$K70-1,0))),IFERROR(1/0))</f>
        <v/>
      </c>
      <c r="E70" s="1599" t="str">
        <f t="shared" si="69"/>
        <v/>
      </c>
      <c r="F70" s="1607"/>
      <c r="G70" s="1575"/>
      <c r="H70" s="1599"/>
      <c r="I70" s="783"/>
      <c r="J70" s="782"/>
      <c r="K70" s="1602" t="str">
        <f t="shared" si="11"/>
        <v/>
      </c>
      <c r="L70" s="783"/>
      <c r="M70" s="1604"/>
      <c r="N70" s="1553"/>
      <c r="O70" s="1553"/>
      <c r="P70" s="826"/>
      <c r="Q70" s="826"/>
      <c r="R70" s="1553"/>
      <c r="S70" s="1553" t="str">
        <f t="shared" si="5"/>
        <v/>
      </c>
      <c r="T70" s="1553" t="str">
        <f t="shared" si="6"/>
        <v/>
      </c>
      <c r="U70" s="1553" t="str">
        <f t="shared" si="7"/>
        <v/>
      </c>
      <c r="V70" s="826"/>
      <c r="W70" s="826"/>
      <c r="X70" s="826"/>
      <c r="Y70" s="826"/>
      <c r="Z70" s="826"/>
      <c r="AA70" s="792"/>
      <c r="AB70" s="1586"/>
      <c r="AC70" s="1557" t="str">
        <f>IFERROR(__xludf.DUMMYFUNCTION("IF(LEN($AB70),IFERROR(query(INDIRECT($AG$12),""SELECT ""&amp;$AG$4&amp;"" WHERE ""&amp;$AG$8&amp;"" = '""&amp;$X70&amp;""' AND ""&amp;$AG$5&amp;"" &lt;= date '""&amp;TEXT(DATEVALUE(AC$2),""yyyy-mm-dd"")&amp;""' ORDER BY ""&amp;$AG$5&amp;"" DESC,""&amp;$AG$6&amp;"" DESC LIMIT 1"",0),0),IFERROR(1/0))"),"")</f>
        <v/>
      </c>
      <c r="AD70" s="1557" t="str">
        <f>IFERROR(__xludf.DUMMYFUNCTION("IF(LEN($AB70),IFERROR(query(INDIRECT($AG$12),""SELECT ""&amp;$AG$4&amp;"" WHERE ""&amp;$AG$8&amp;"" = '""&amp;$X70&amp;""' AND ""&amp;$AG$5&amp;"" &lt;= date '""&amp;TEXT(DATEVALUE(AD$2),""yyyy-mm-dd"")&amp;""' ORDER BY ""&amp;$AG$5&amp;"" DESC,""&amp;$AG$6&amp;"" DESC LIMIT 1"",0),0),IFERROR(1/0))"),"")</f>
        <v/>
      </c>
      <c r="AE70" s="792"/>
      <c r="AF70" s="824"/>
      <c r="AG70" s="824"/>
    </row>
    <row r="71">
      <c r="A71" s="1605"/>
      <c r="B71" s="1573"/>
      <c r="C71" s="1573"/>
      <c r="D71" s="1599" t="str">
        <f t="shared" ref="D71:E71" si="70">if(isdate(D$8),IF($J71=$N$4,if(isblank(AC$2),iferror(1/0),SUMIF($W$7:$W127,$B71,AC$7:AC127)),IF(ISBLANK($J71),IFERROR(1/0),OFFSET(AC$1,$K71-1,0))),IFERROR(1/0))</f>
        <v/>
      </c>
      <c r="E71" s="1599" t="str">
        <f t="shared" si="70"/>
        <v/>
      </c>
      <c r="F71" s="1607"/>
      <c r="G71" s="1575"/>
      <c r="H71" s="1599"/>
      <c r="I71" s="783"/>
      <c r="J71" s="782"/>
      <c r="K71" s="1602" t="str">
        <f t="shared" si="11"/>
        <v/>
      </c>
      <c r="L71" s="783"/>
      <c r="M71" s="1604"/>
      <c r="N71" s="1553"/>
      <c r="O71" s="1553"/>
      <c r="P71" s="826"/>
      <c r="Q71" s="826"/>
      <c r="R71" s="1553"/>
      <c r="S71" s="1553" t="str">
        <f t="shared" si="5"/>
        <v/>
      </c>
      <c r="T71" s="1553" t="str">
        <f t="shared" si="6"/>
        <v/>
      </c>
      <c r="U71" s="1553" t="str">
        <f t="shared" si="7"/>
        <v/>
      </c>
      <c r="V71" s="826"/>
      <c r="W71" s="826"/>
      <c r="X71" s="826"/>
      <c r="Y71" s="826"/>
      <c r="Z71" s="826"/>
      <c r="AA71" s="792"/>
      <c r="AB71" s="1586"/>
      <c r="AC71" s="1557" t="str">
        <f>IFERROR(__xludf.DUMMYFUNCTION("IF(LEN($AB71),IFERROR(query(INDIRECT($AG$12),""SELECT ""&amp;$AG$4&amp;"" WHERE ""&amp;$AG$8&amp;"" = '""&amp;$X71&amp;""' AND ""&amp;$AG$5&amp;"" &lt;= date '""&amp;TEXT(DATEVALUE(AC$2),""yyyy-mm-dd"")&amp;""' ORDER BY ""&amp;$AG$5&amp;"" DESC,""&amp;$AG$6&amp;"" DESC LIMIT 1"",0),0),IFERROR(1/0))"),"")</f>
        <v/>
      </c>
      <c r="AD71" s="1557" t="str">
        <f>IFERROR(__xludf.DUMMYFUNCTION("IF(LEN($AB71),IFERROR(query(INDIRECT($AG$12),""SELECT ""&amp;$AG$4&amp;"" WHERE ""&amp;$AG$8&amp;"" = '""&amp;$X71&amp;""' AND ""&amp;$AG$5&amp;"" &lt;= date '""&amp;TEXT(DATEVALUE(AD$2),""yyyy-mm-dd"")&amp;""' ORDER BY ""&amp;$AG$5&amp;"" DESC,""&amp;$AG$6&amp;"" DESC LIMIT 1"",0),0),IFERROR(1/0))"),"")</f>
        <v/>
      </c>
      <c r="AE71" s="792"/>
      <c r="AF71" s="824"/>
      <c r="AG71" s="824"/>
    </row>
    <row r="72">
      <c r="A72" s="1605"/>
      <c r="B72" s="1573"/>
      <c r="C72" s="1573"/>
      <c r="D72" s="1599" t="str">
        <f t="shared" ref="D72:E72" si="71">if(isdate(D$8),IF($J72=$N$4,if(isblank(AC$2),iferror(1/0),SUMIF($W$7:$W127,$B72,AC$7:AC127)),IF(ISBLANK($J72),IFERROR(1/0),OFFSET(AC$1,$K72-1,0))),IFERROR(1/0))</f>
        <v/>
      </c>
      <c r="E72" s="1599" t="str">
        <f t="shared" si="71"/>
        <v/>
      </c>
      <c r="F72" s="1607"/>
      <c r="G72" s="1575"/>
      <c r="H72" s="1599"/>
      <c r="I72" s="783"/>
      <c r="J72" s="782"/>
      <c r="K72" s="1602" t="str">
        <f t="shared" si="11"/>
        <v/>
      </c>
      <c r="L72" s="783"/>
      <c r="M72" s="1604"/>
      <c r="N72" s="1553"/>
      <c r="O72" s="1553"/>
      <c r="P72" s="826"/>
      <c r="Q72" s="826"/>
      <c r="R72" s="1553"/>
      <c r="S72" s="1553" t="str">
        <f t="shared" si="5"/>
        <v/>
      </c>
      <c r="T72" s="1553" t="str">
        <f t="shared" si="6"/>
        <v/>
      </c>
      <c r="U72" s="1553" t="str">
        <f t="shared" si="7"/>
        <v/>
      </c>
      <c r="V72" s="826"/>
      <c r="W72" s="826"/>
      <c r="X72" s="826"/>
      <c r="Y72" s="826"/>
      <c r="Z72" s="826"/>
      <c r="AA72" s="792"/>
      <c r="AB72" s="1586"/>
      <c r="AC72" s="1557" t="str">
        <f>IFERROR(__xludf.DUMMYFUNCTION("IF(LEN($AB72),IFERROR(query(INDIRECT($AG$12),""SELECT ""&amp;$AG$4&amp;"" WHERE ""&amp;$AG$8&amp;"" = '""&amp;$X72&amp;""' AND ""&amp;$AG$5&amp;"" &lt;= date '""&amp;TEXT(DATEVALUE(AC$2),""yyyy-mm-dd"")&amp;""' ORDER BY ""&amp;$AG$5&amp;"" DESC,""&amp;$AG$6&amp;"" DESC LIMIT 1"",0),0),IFERROR(1/0))"),"")</f>
        <v/>
      </c>
      <c r="AD72" s="1557" t="str">
        <f>IFERROR(__xludf.DUMMYFUNCTION("IF(LEN($AB72),IFERROR(query(INDIRECT($AG$12),""SELECT ""&amp;$AG$4&amp;"" WHERE ""&amp;$AG$8&amp;"" = '""&amp;$X72&amp;""' AND ""&amp;$AG$5&amp;"" &lt;= date '""&amp;TEXT(DATEVALUE(AD$2),""yyyy-mm-dd"")&amp;""' ORDER BY ""&amp;$AG$5&amp;"" DESC,""&amp;$AG$6&amp;"" DESC LIMIT 1"",0),0),IFERROR(1/0))"),"")</f>
        <v/>
      </c>
      <c r="AE72" s="792"/>
      <c r="AF72" s="824"/>
      <c r="AG72" s="824"/>
    </row>
    <row r="73">
      <c r="A73" s="1605"/>
      <c r="B73" s="1573"/>
      <c r="C73" s="1573"/>
      <c r="D73" s="1599" t="str">
        <f t="shared" ref="D73:E73" si="72">if(isdate(D$8),IF($J73=$N$4,if(isblank(AC$2),iferror(1/0),SUMIF($W$7:$W127,$B73,AC$7:AC127)),IF(ISBLANK($J73),IFERROR(1/0),OFFSET(AC$1,$K73-1,0))),IFERROR(1/0))</f>
        <v/>
      </c>
      <c r="E73" s="1599" t="str">
        <f t="shared" si="72"/>
        <v/>
      </c>
      <c r="F73" s="1607"/>
      <c r="G73" s="1575"/>
      <c r="H73" s="1599"/>
      <c r="I73" s="783"/>
      <c r="J73" s="782"/>
      <c r="K73" s="1602" t="str">
        <f t="shared" si="11"/>
        <v/>
      </c>
      <c r="L73" s="783"/>
      <c r="M73" s="1604"/>
      <c r="N73" s="1553"/>
      <c r="O73" s="1553"/>
      <c r="P73" s="826"/>
      <c r="Q73" s="826"/>
      <c r="R73" s="1553"/>
      <c r="S73" s="1553" t="str">
        <f t="shared" si="5"/>
        <v/>
      </c>
      <c r="T73" s="1553" t="str">
        <f t="shared" si="6"/>
        <v/>
      </c>
      <c r="U73" s="1553" t="str">
        <f t="shared" si="7"/>
        <v/>
      </c>
      <c r="V73" s="826"/>
      <c r="W73" s="826"/>
      <c r="X73" s="826"/>
      <c r="Y73" s="826"/>
      <c r="Z73" s="826"/>
      <c r="AA73" s="792"/>
      <c r="AB73" s="1586"/>
      <c r="AC73" s="1557" t="str">
        <f>IFERROR(__xludf.DUMMYFUNCTION("IF(LEN($AB73),IFERROR(query(INDIRECT($AG$12),""SELECT ""&amp;$AG$4&amp;"" WHERE ""&amp;$AG$8&amp;"" = '""&amp;$X73&amp;""' AND ""&amp;$AG$5&amp;"" &lt;= date '""&amp;TEXT(DATEVALUE(AC$2),""yyyy-mm-dd"")&amp;""' ORDER BY ""&amp;$AG$5&amp;"" DESC,""&amp;$AG$6&amp;"" DESC LIMIT 1"",0),0),IFERROR(1/0))"),"")</f>
        <v/>
      </c>
      <c r="AD73" s="1557" t="str">
        <f>IFERROR(__xludf.DUMMYFUNCTION("IF(LEN($AB73),IFERROR(query(INDIRECT($AG$12),""SELECT ""&amp;$AG$4&amp;"" WHERE ""&amp;$AG$8&amp;"" = '""&amp;$X73&amp;""' AND ""&amp;$AG$5&amp;"" &lt;= date '""&amp;TEXT(DATEVALUE(AD$2),""yyyy-mm-dd"")&amp;""' ORDER BY ""&amp;$AG$5&amp;"" DESC,""&amp;$AG$6&amp;"" DESC LIMIT 1"",0),0),IFERROR(1/0))"),"")</f>
        <v/>
      </c>
      <c r="AE73" s="792"/>
      <c r="AF73" s="824"/>
      <c r="AG73" s="824"/>
    </row>
    <row r="74">
      <c r="A74" s="1605"/>
      <c r="B74" s="1573"/>
      <c r="C74" s="1573"/>
      <c r="D74" s="1599" t="str">
        <f t="shared" ref="D74:E74" si="73">if(isdate(D$8),IF($J74=$N$4,if(isblank(AC$2),iferror(1/0),SUMIF($W$7:$W127,$B74,AC$7:AC127)),IF(ISBLANK($J74),IFERROR(1/0),OFFSET(AC$1,$K74-1,0))),IFERROR(1/0))</f>
        <v/>
      </c>
      <c r="E74" s="1599" t="str">
        <f t="shared" si="73"/>
        <v/>
      </c>
      <c r="F74" s="1607"/>
      <c r="G74" s="1575"/>
      <c r="H74" s="1599"/>
      <c r="I74" s="783"/>
      <c r="J74" s="782"/>
      <c r="K74" s="1602" t="str">
        <f t="shared" si="11"/>
        <v/>
      </c>
      <c r="L74" s="783"/>
      <c r="M74" s="1604"/>
      <c r="N74" s="1553"/>
      <c r="O74" s="1553"/>
      <c r="P74" s="826"/>
      <c r="Q74" s="826"/>
      <c r="R74" s="1553"/>
      <c r="S74" s="1553" t="str">
        <f t="shared" si="5"/>
        <v/>
      </c>
      <c r="T74" s="1553" t="str">
        <f t="shared" si="6"/>
        <v/>
      </c>
      <c r="U74" s="1553" t="str">
        <f t="shared" si="7"/>
        <v/>
      </c>
      <c r="V74" s="826"/>
      <c r="W74" s="826"/>
      <c r="X74" s="826"/>
      <c r="Y74" s="826"/>
      <c r="Z74" s="826"/>
      <c r="AA74" s="792"/>
      <c r="AB74" s="1586"/>
      <c r="AC74" s="1557" t="str">
        <f>IFERROR(__xludf.DUMMYFUNCTION("IF(LEN($AB74),IFERROR(query(INDIRECT($AG$12),""SELECT ""&amp;$AG$4&amp;"" WHERE ""&amp;$AG$8&amp;"" = '""&amp;$X74&amp;""' AND ""&amp;$AG$5&amp;"" &lt;= date '""&amp;TEXT(DATEVALUE(AC$2),""yyyy-mm-dd"")&amp;""' ORDER BY ""&amp;$AG$5&amp;"" DESC,""&amp;$AG$6&amp;"" DESC LIMIT 1"",0),0),IFERROR(1/0))"),"")</f>
        <v/>
      </c>
      <c r="AD74" s="1557" t="str">
        <f>IFERROR(__xludf.DUMMYFUNCTION("IF(LEN($AB74),IFERROR(query(INDIRECT($AG$12),""SELECT ""&amp;$AG$4&amp;"" WHERE ""&amp;$AG$8&amp;"" = '""&amp;$X74&amp;""' AND ""&amp;$AG$5&amp;"" &lt;= date '""&amp;TEXT(DATEVALUE(AD$2),""yyyy-mm-dd"")&amp;""' ORDER BY ""&amp;$AG$5&amp;"" DESC,""&amp;$AG$6&amp;"" DESC LIMIT 1"",0),0),IFERROR(1/0))"),"")</f>
        <v/>
      </c>
      <c r="AE74" s="792"/>
      <c r="AF74" s="824"/>
      <c r="AG74" s="824"/>
    </row>
    <row r="75">
      <c r="A75" s="1605"/>
      <c r="B75" s="1573"/>
      <c r="C75" s="1573"/>
      <c r="D75" s="1599" t="str">
        <f t="shared" ref="D75:E75" si="74">if(isdate(D$8),IF($J75=$N$4,if(isblank(AC$2),iferror(1/0),SUMIF($W$7:$W127,$B75,AC$7:AC127)),IF(ISBLANK($J75),IFERROR(1/0),OFFSET(AC$1,$K75-1,0))),IFERROR(1/0))</f>
        <v/>
      </c>
      <c r="E75" s="1599" t="str">
        <f t="shared" si="74"/>
        <v/>
      </c>
      <c r="F75" s="1607"/>
      <c r="G75" s="1575"/>
      <c r="H75" s="1599"/>
      <c r="I75" s="783"/>
      <c r="J75" s="782"/>
      <c r="K75" s="1602" t="str">
        <f t="shared" si="11"/>
        <v/>
      </c>
      <c r="L75" s="783"/>
      <c r="M75" s="1604"/>
      <c r="N75" s="1553"/>
      <c r="O75" s="1553"/>
      <c r="P75" s="826"/>
      <c r="Q75" s="826"/>
      <c r="R75" s="1553"/>
      <c r="S75" s="1553" t="str">
        <f t="shared" si="5"/>
        <v/>
      </c>
      <c r="T75" s="1553" t="str">
        <f t="shared" si="6"/>
        <v/>
      </c>
      <c r="U75" s="1553" t="str">
        <f t="shared" si="7"/>
        <v/>
      </c>
      <c r="V75" s="826"/>
      <c r="W75" s="826"/>
      <c r="X75" s="826"/>
      <c r="Y75" s="826"/>
      <c r="Z75" s="826"/>
      <c r="AA75" s="792"/>
      <c r="AB75" s="1586"/>
      <c r="AC75" s="1557" t="str">
        <f>IFERROR(__xludf.DUMMYFUNCTION("IF(LEN($AB75),IFERROR(query(INDIRECT($AG$12),""SELECT ""&amp;$AG$4&amp;"" WHERE ""&amp;$AG$8&amp;"" = '""&amp;$X75&amp;""' AND ""&amp;$AG$5&amp;"" &lt;= date '""&amp;TEXT(DATEVALUE(AC$2),""yyyy-mm-dd"")&amp;""' ORDER BY ""&amp;$AG$5&amp;"" DESC,""&amp;$AG$6&amp;"" DESC LIMIT 1"",0),0),IFERROR(1/0))"),"")</f>
        <v/>
      </c>
      <c r="AD75" s="1557" t="str">
        <f>IFERROR(__xludf.DUMMYFUNCTION("IF(LEN($AB75),IFERROR(query(INDIRECT($AG$12),""SELECT ""&amp;$AG$4&amp;"" WHERE ""&amp;$AG$8&amp;"" = '""&amp;$X75&amp;""' AND ""&amp;$AG$5&amp;"" &lt;= date '""&amp;TEXT(DATEVALUE(AD$2),""yyyy-mm-dd"")&amp;""' ORDER BY ""&amp;$AG$5&amp;"" DESC,""&amp;$AG$6&amp;"" DESC LIMIT 1"",0),0),IFERROR(1/0))"),"")</f>
        <v/>
      </c>
      <c r="AE75" s="792"/>
      <c r="AF75" s="824"/>
      <c r="AG75" s="824"/>
    </row>
    <row r="76">
      <c r="A76" s="1605"/>
      <c r="B76" s="1573"/>
      <c r="C76" s="1573"/>
      <c r="D76" s="1599" t="str">
        <f t="shared" ref="D76:E76" si="75">if(isdate(D$8),IF($J76=$N$4,if(isblank(AC$2),iferror(1/0),SUMIF($W$7:$W127,$B76,AC$7:AC127)),IF(ISBLANK($J76),IFERROR(1/0),OFFSET(AC$1,$K76-1,0))),IFERROR(1/0))</f>
        <v/>
      </c>
      <c r="E76" s="1599" t="str">
        <f t="shared" si="75"/>
        <v/>
      </c>
      <c r="F76" s="1607"/>
      <c r="G76" s="1575"/>
      <c r="H76" s="1599"/>
      <c r="I76" s="783"/>
      <c r="J76" s="782"/>
      <c r="K76" s="1602" t="str">
        <f t="shared" si="11"/>
        <v/>
      </c>
      <c r="L76" s="783"/>
      <c r="M76" s="1604"/>
      <c r="N76" s="1553"/>
      <c r="O76" s="1553"/>
      <c r="P76" s="826"/>
      <c r="Q76" s="826"/>
      <c r="R76" s="1553"/>
      <c r="S76" s="1553" t="str">
        <f t="shared" si="5"/>
        <v/>
      </c>
      <c r="T76" s="1553" t="str">
        <f t="shared" si="6"/>
        <v/>
      </c>
      <c r="U76" s="1553" t="str">
        <f t="shared" si="7"/>
        <v/>
      </c>
      <c r="V76" s="826"/>
      <c r="W76" s="826"/>
      <c r="X76" s="826"/>
      <c r="Y76" s="826"/>
      <c r="Z76" s="826"/>
      <c r="AA76" s="792"/>
      <c r="AB76" s="1586"/>
      <c r="AC76" s="1557" t="str">
        <f>IFERROR(__xludf.DUMMYFUNCTION("IF(LEN($AB76),IFERROR(query(INDIRECT($AG$12),""SELECT ""&amp;$AG$4&amp;"" WHERE ""&amp;$AG$8&amp;"" = '""&amp;$X76&amp;""' AND ""&amp;$AG$5&amp;"" &lt;= date '""&amp;TEXT(DATEVALUE(AC$2),""yyyy-mm-dd"")&amp;""' ORDER BY ""&amp;$AG$5&amp;"" DESC,""&amp;$AG$6&amp;"" DESC LIMIT 1"",0),0),IFERROR(1/0))"),"")</f>
        <v/>
      </c>
      <c r="AD76" s="1557" t="str">
        <f>IFERROR(__xludf.DUMMYFUNCTION("IF(LEN($AB76),IFERROR(query(INDIRECT($AG$12),""SELECT ""&amp;$AG$4&amp;"" WHERE ""&amp;$AG$8&amp;"" = '""&amp;$X76&amp;""' AND ""&amp;$AG$5&amp;"" &lt;= date '""&amp;TEXT(DATEVALUE(AD$2),""yyyy-mm-dd"")&amp;""' ORDER BY ""&amp;$AG$5&amp;"" DESC,""&amp;$AG$6&amp;"" DESC LIMIT 1"",0),0),IFERROR(1/0))"),"")</f>
        <v/>
      </c>
      <c r="AE76" s="792"/>
      <c r="AF76" s="824"/>
      <c r="AG76" s="824"/>
    </row>
    <row r="77">
      <c r="A77" s="1605"/>
      <c r="B77" s="1573"/>
      <c r="C77" s="1573"/>
      <c r="D77" s="1599" t="str">
        <f t="shared" ref="D77:E77" si="76">if(isdate(D$8),IF($J77=$N$4,if(isblank(AC$2),iferror(1/0),SUMIF($W$7:$W127,$B77,AC$7:AC127)),IF(ISBLANK($J77),IFERROR(1/0),OFFSET(AC$1,$K77-1,0))),IFERROR(1/0))</f>
        <v/>
      </c>
      <c r="E77" s="1599" t="str">
        <f t="shared" si="76"/>
        <v/>
      </c>
      <c r="F77" s="1607"/>
      <c r="G77" s="1575"/>
      <c r="H77" s="1599"/>
      <c r="I77" s="783"/>
      <c r="J77" s="782"/>
      <c r="K77" s="1602" t="str">
        <f t="shared" si="11"/>
        <v/>
      </c>
      <c r="L77" s="783"/>
      <c r="M77" s="1604"/>
      <c r="N77" s="1553"/>
      <c r="O77" s="1553"/>
      <c r="P77" s="826"/>
      <c r="Q77" s="826"/>
      <c r="R77" s="1553"/>
      <c r="S77" s="1553" t="str">
        <f t="shared" si="5"/>
        <v/>
      </c>
      <c r="T77" s="1553" t="str">
        <f t="shared" si="6"/>
        <v/>
      </c>
      <c r="U77" s="1553" t="str">
        <f t="shared" si="7"/>
        <v/>
      </c>
      <c r="V77" s="826"/>
      <c r="W77" s="826"/>
      <c r="X77" s="826"/>
      <c r="Y77" s="826"/>
      <c r="Z77" s="826"/>
      <c r="AA77" s="792"/>
      <c r="AB77" s="1586"/>
      <c r="AC77" s="1557" t="str">
        <f>IFERROR(__xludf.DUMMYFUNCTION("IF(LEN($AB77),IFERROR(query(INDIRECT($AG$12),""SELECT ""&amp;$AG$4&amp;"" WHERE ""&amp;$AG$8&amp;"" = '""&amp;$X77&amp;""' AND ""&amp;$AG$5&amp;"" &lt;= date '""&amp;TEXT(DATEVALUE(AC$2),""yyyy-mm-dd"")&amp;""' ORDER BY ""&amp;$AG$5&amp;"" DESC,""&amp;$AG$6&amp;"" DESC LIMIT 1"",0),0),IFERROR(1/0))"),"")</f>
        <v/>
      </c>
      <c r="AD77" s="1557" t="str">
        <f>IFERROR(__xludf.DUMMYFUNCTION("IF(LEN($AB77),IFERROR(query(INDIRECT($AG$12),""SELECT ""&amp;$AG$4&amp;"" WHERE ""&amp;$AG$8&amp;"" = '""&amp;$X77&amp;""' AND ""&amp;$AG$5&amp;"" &lt;= date '""&amp;TEXT(DATEVALUE(AD$2),""yyyy-mm-dd"")&amp;""' ORDER BY ""&amp;$AG$5&amp;"" DESC,""&amp;$AG$6&amp;"" DESC LIMIT 1"",0),0),IFERROR(1/0))"),"")</f>
        <v/>
      </c>
      <c r="AE77" s="792"/>
      <c r="AF77" s="824"/>
      <c r="AG77" s="824"/>
    </row>
    <row r="78">
      <c r="A78" s="1605"/>
      <c r="B78" s="1573"/>
      <c r="C78" s="1573"/>
      <c r="D78" s="1599" t="str">
        <f t="shared" ref="D78:E78" si="77">if(isdate(D$8),IF($J78=$N$4,if(isblank(AC$2),iferror(1/0),SUMIF($W$7:$W127,$B78,AC$7:AC127)),IF(ISBLANK($J78),IFERROR(1/0),OFFSET(AC$1,$K78-1,0))),IFERROR(1/0))</f>
        <v/>
      </c>
      <c r="E78" s="1599" t="str">
        <f t="shared" si="77"/>
        <v/>
      </c>
      <c r="F78" s="1607"/>
      <c r="G78" s="1575"/>
      <c r="H78" s="1599"/>
      <c r="I78" s="783"/>
      <c r="J78" s="782"/>
      <c r="K78" s="1602" t="str">
        <f t="shared" si="11"/>
        <v/>
      </c>
      <c r="L78" s="783"/>
      <c r="M78" s="1604"/>
      <c r="N78" s="1553"/>
      <c r="O78" s="1553"/>
      <c r="P78" s="826"/>
      <c r="Q78" s="826"/>
      <c r="R78" s="1553"/>
      <c r="S78" s="1553" t="str">
        <f t="shared" si="5"/>
        <v/>
      </c>
      <c r="T78" s="1553" t="str">
        <f t="shared" si="6"/>
        <v/>
      </c>
      <c r="U78" s="1553" t="str">
        <f t="shared" si="7"/>
        <v/>
      </c>
      <c r="V78" s="826"/>
      <c r="W78" s="826"/>
      <c r="X78" s="826"/>
      <c r="Y78" s="826"/>
      <c r="Z78" s="826"/>
      <c r="AA78" s="792"/>
      <c r="AB78" s="1586"/>
      <c r="AC78" s="1557" t="str">
        <f>IFERROR(__xludf.DUMMYFUNCTION("IF(LEN($AB78),IFERROR(query(INDIRECT($AG$12),""SELECT ""&amp;$AG$4&amp;"" WHERE ""&amp;$AG$8&amp;"" = '""&amp;$X78&amp;""' AND ""&amp;$AG$5&amp;"" &lt;= date '""&amp;TEXT(DATEVALUE(AC$2),""yyyy-mm-dd"")&amp;""' ORDER BY ""&amp;$AG$5&amp;"" DESC,""&amp;$AG$6&amp;"" DESC LIMIT 1"",0),0),IFERROR(1/0))"),"")</f>
        <v/>
      </c>
      <c r="AD78" s="1557" t="str">
        <f>IFERROR(__xludf.DUMMYFUNCTION("IF(LEN($AB78),IFERROR(query(INDIRECT($AG$12),""SELECT ""&amp;$AG$4&amp;"" WHERE ""&amp;$AG$8&amp;"" = '""&amp;$X78&amp;""' AND ""&amp;$AG$5&amp;"" &lt;= date '""&amp;TEXT(DATEVALUE(AD$2),""yyyy-mm-dd"")&amp;""' ORDER BY ""&amp;$AG$5&amp;"" DESC,""&amp;$AG$6&amp;"" DESC LIMIT 1"",0),0),IFERROR(1/0))"),"")</f>
        <v/>
      </c>
      <c r="AE78" s="792"/>
      <c r="AF78" s="824"/>
      <c r="AG78" s="824"/>
    </row>
    <row r="79">
      <c r="A79" s="1605"/>
      <c r="B79" s="1573"/>
      <c r="C79" s="1573"/>
      <c r="D79" s="1599" t="str">
        <f t="shared" ref="D79:E79" si="78">if(isdate(D$8),IF($J79=$N$4,if(isblank(AC$2),iferror(1/0),SUMIF($W$7:$W127,$B79,AC$7:AC127)),IF(ISBLANK($J79),IFERROR(1/0),OFFSET(AC$1,$K79-1,0))),IFERROR(1/0))</f>
        <v/>
      </c>
      <c r="E79" s="1599" t="str">
        <f t="shared" si="78"/>
        <v/>
      </c>
      <c r="F79" s="1607"/>
      <c r="G79" s="1575"/>
      <c r="H79" s="1599"/>
      <c r="I79" s="783"/>
      <c r="J79" s="782"/>
      <c r="K79" s="1602" t="str">
        <f t="shared" si="11"/>
        <v/>
      </c>
      <c r="L79" s="783"/>
      <c r="M79" s="1604"/>
      <c r="N79" s="1553"/>
      <c r="O79" s="1553"/>
      <c r="P79" s="826"/>
      <c r="Q79" s="826"/>
      <c r="R79" s="1553"/>
      <c r="S79" s="1553" t="str">
        <f t="shared" si="5"/>
        <v/>
      </c>
      <c r="T79" s="1553" t="str">
        <f t="shared" si="6"/>
        <v/>
      </c>
      <c r="U79" s="1553" t="str">
        <f t="shared" si="7"/>
        <v/>
      </c>
      <c r="V79" s="826"/>
      <c r="W79" s="826"/>
      <c r="X79" s="826"/>
      <c r="Y79" s="826"/>
      <c r="Z79" s="826"/>
      <c r="AA79" s="792"/>
      <c r="AB79" s="1586"/>
      <c r="AC79" s="1557" t="str">
        <f>IFERROR(__xludf.DUMMYFUNCTION("IF(LEN($AB79),IFERROR(query(INDIRECT($AG$12),""SELECT ""&amp;$AG$4&amp;"" WHERE ""&amp;$AG$8&amp;"" = '""&amp;$X79&amp;""' AND ""&amp;$AG$5&amp;"" &lt;= date '""&amp;TEXT(DATEVALUE(AC$2),""yyyy-mm-dd"")&amp;""' ORDER BY ""&amp;$AG$5&amp;"" DESC,""&amp;$AG$6&amp;"" DESC LIMIT 1"",0),0),IFERROR(1/0))"),"")</f>
        <v/>
      </c>
      <c r="AD79" s="1557" t="str">
        <f>IFERROR(__xludf.DUMMYFUNCTION("IF(LEN($AB79),IFERROR(query(INDIRECT($AG$12),""SELECT ""&amp;$AG$4&amp;"" WHERE ""&amp;$AG$8&amp;"" = '""&amp;$X79&amp;""' AND ""&amp;$AG$5&amp;"" &lt;= date '""&amp;TEXT(DATEVALUE(AD$2),""yyyy-mm-dd"")&amp;""' ORDER BY ""&amp;$AG$5&amp;"" DESC,""&amp;$AG$6&amp;"" DESC LIMIT 1"",0),0),IFERROR(1/0))"),"")</f>
        <v/>
      </c>
      <c r="AE79" s="792"/>
      <c r="AF79" s="824"/>
      <c r="AG79" s="824"/>
    </row>
    <row r="80">
      <c r="A80" s="1605"/>
      <c r="B80" s="1573"/>
      <c r="C80" s="1573"/>
      <c r="D80" s="1599" t="str">
        <f t="shared" ref="D80:E80" si="79">if(isdate(D$8),IF($J80=$N$4,if(isblank(AC$2),iferror(1/0),SUMIF($W$7:$W127,$B80,AC$7:AC127)),IF(ISBLANK($J80),IFERROR(1/0),OFFSET(AC$1,$K80-1,0))),IFERROR(1/0))</f>
        <v/>
      </c>
      <c r="E80" s="1599" t="str">
        <f t="shared" si="79"/>
        <v/>
      </c>
      <c r="F80" s="1607"/>
      <c r="G80" s="1575"/>
      <c r="H80" s="1599"/>
      <c r="I80" s="783"/>
      <c r="J80" s="782"/>
      <c r="K80" s="1602" t="str">
        <f t="shared" si="11"/>
        <v/>
      </c>
      <c r="L80" s="783"/>
      <c r="M80" s="1604"/>
      <c r="N80" s="1553"/>
      <c r="O80" s="1553"/>
      <c r="P80" s="826"/>
      <c r="Q80" s="826"/>
      <c r="R80" s="1553"/>
      <c r="S80" s="1553" t="str">
        <f t="shared" si="5"/>
        <v/>
      </c>
      <c r="T80" s="1553" t="str">
        <f t="shared" si="6"/>
        <v/>
      </c>
      <c r="U80" s="1553" t="str">
        <f t="shared" si="7"/>
        <v/>
      </c>
      <c r="V80" s="826"/>
      <c r="W80" s="826"/>
      <c r="X80" s="826"/>
      <c r="Y80" s="826"/>
      <c r="Z80" s="826"/>
      <c r="AA80" s="792"/>
      <c r="AB80" s="1586"/>
      <c r="AC80" s="1557" t="str">
        <f>IFERROR(__xludf.DUMMYFUNCTION("IF(LEN($AB80),IFERROR(query(INDIRECT($AG$12),""SELECT ""&amp;$AG$4&amp;"" WHERE ""&amp;$AG$8&amp;"" = '""&amp;$X80&amp;""' AND ""&amp;$AG$5&amp;"" &lt;= date '""&amp;TEXT(DATEVALUE(AC$2),""yyyy-mm-dd"")&amp;""' ORDER BY ""&amp;$AG$5&amp;"" DESC,""&amp;$AG$6&amp;"" DESC LIMIT 1"",0),0),IFERROR(1/0))"),"")</f>
        <v/>
      </c>
      <c r="AD80" s="1557" t="str">
        <f>IFERROR(__xludf.DUMMYFUNCTION("IF(LEN($AB80),IFERROR(query(INDIRECT($AG$12),""SELECT ""&amp;$AG$4&amp;"" WHERE ""&amp;$AG$8&amp;"" = '""&amp;$X80&amp;""' AND ""&amp;$AG$5&amp;"" &lt;= date '""&amp;TEXT(DATEVALUE(AD$2),""yyyy-mm-dd"")&amp;""' ORDER BY ""&amp;$AG$5&amp;"" DESC,""&amp;$AG$6&amp;"" DESC LIMIT 1"",0),0),IFERROR(1/0))"),"")</f>
        <v/>
      </c>
      <c r="AE80" s="792"/>
      <c r="AF80" s="824"/>
      <c r="AG80" s="824"/>
    </row>
    <row r="81">
      <c r="A81" s="1605"/>
      <c r="B81" s="1573"/>
      <c r="C81" s="1573"/>
      <c r="D81" s="1599" t="str">
        <f t="shared" ref="D81:E81" si="80">if(isdate(D$8),IF($J81=$N$4,if(isblank(AC$2),iferror(1/0),SUMIF($W$7:$W127,$B81,AC$7:AC127)),IF(ISBLANK($J81),IFERROR(1/0),OFFSET(AC$1,$K81-1,0))),IFERROR(1/0))</f>
        <v/>
      </c>
      <c r="E81" s="1599" t="str">
        <f t="shared" si="80"/>
        <v/>
      </c>
      <c r="F81" s="1607"/>
      <c r="G81" s="1575"/>
      <c r="H81" s="1599"/>
      <c r="I81" s="783"/>
      <c r="J81" s="782"/>
      <c r="K81" s="1602" t="str">
        <f t="shared" si="11"/>
        <v/>
      </c>
      <c r="L81" s="783"/>
      <c r="M81" s="1604"/>
      <c r="N81" s="1553"/>
      <c r="O81" s="1553"/>
      <c r="P81" s="826"/>
      <c r="Q81" s="826"/>
      <c r="R81" s="1553"/>
      <c r="S81" s="1553" t="str">
        <f t="shared" si="5"/>
        <v/>
      </c>
      <c r="T81" s="1553" t="str">
        <f t="shared" si="6"/>
        <v/>
      </c>
      <c r="U81" s="1553" t="str">
        <f t="shared" si="7"/>
        <v/>
      </c>
      <c r="V81" s="826"/>
      <c r="W81" s="826"/>
      <c r="X81" s="826"/>
      <c r="Y81" s="826"/>
      <c r="Z81" s="826"/>
      <c r="AA81" s="792"/>
      <c r="AB81" s="1586"/>
      <c r="AC81" s="1557" t="str">
        <f>IFERROR(__xludf.DUMMYFUNCTION("IF(LEN($AB81),IFERROR(query(INDIRECT($AG$12),""SELECT ""&amp;$AG$4&amp;"" WHERE ""&amp;$AG$8&amp;"" = '""&amp;$X81&amp;""' AND ""&amp;$AG$5&amp;"" &lt;= date '""&amp;TEXT(DATEVALUE(AC$2),""yyyy-mm-dd"")&amp;""' ORDER BY ""&amp;$AG$5&amp;"" DESC,""&amp;$AG$6&amp;"" DESC LIMIT 1"",0),0),IFERROR(1/0))"),"")</f>
        <v/>
      </c>
      <c r="AD81" s="1557" t="str">
        <f>IFERROR(__xludf.DUMMYFUNCTION("IF(LEN($AB81),IFERROR(query(INDIRECT($AG$12),""SELECT ""&amp;$AG$4&amp;"" WHERE ""&amp;$AG$8&amp;"" = '""&amp;$X81&amp;""' AND ""&amp;$AG$5&amp;"" &lt;= date '""&amp;TEXT(DATEVALUE(AD$2),""yyyy-mm-dd"")&amp;""' ORDER BY ""&amp;$AG$5&amp;"" DESC,""&amp;$AG$6&amp;"" DESC LIMIT 1"",0),0),IFERROR(1/0))"),"")</f>
        <v/>
      </c>
      <c r="AE81" s="792"/>
      <c r="AF81" s="824"/>
      <c r="AG81" s="824"/>
    </row>
    <row r="82">
      <c r="A82" s="1605"/>
      <c r="B82" s="1573"/>
      <c r="C82" s="1573"/>
      <c r="D82" s="1599" t="str">
        <f t="shared" ref="D82:E82" si="81">if(isdate(D$8),IF($J82=$N$4,if(isblank(AC$2),iferror(1/0),SUMIF($W$7:$W127,$B82,AC$7:AC127)),IF(ISBLANK($J82),IFERROR(1/0),OFFSET(AC$1,$K82-1,0))),IFERROR(1/0))</f>
        <v/>
      </c>
      <c r="E82" s="1599" t="str">
        <f t="shared" si="81"/>
        <v/>
      </c>
      <c r="F82" s="1607"/>
      <c r="G82" s="1575"/>
      <c r="H82" s="1599"/>
      <c r="I82" s="783"/>
      <c r="J82" s="782"/>
      <c r="K82" s="1602" t="str">
        <f t="shared" si="11"/>
        <v/>
      </c>
      <c r="L82" s="783"/>
      <c r="M82" s="1604"/>
      <c r="N82" s="1553"/>
      <c r="O82" s="1553"/>
      <c r="P82" s="826"/>
      <c r="Q82" s="826"/>
      <c r="R82" s="1553"/>
      <c r="S82" s="1553" t="str">
        <f t="shared" si="5"/>
        <v/>
      </c>
      <c r="T82" s="1553" t="str">
        <f t="shared" si="6"/>
        <v/>
      </c>
      <c r="U82" s="1553" t="str">
        <f t="shared" si="7"/>
        <v/>
      </c>
      <c r="V82" s="826"/>
      <c r="W82" s="826"/>
      <c r="X82" s="826"/>
      <c r="Y82" s="826"/>
      <c r="Z82" s="826"/>
      <c r="AA82" s="792"/>
      <c r="AB82" s="1586"/>
      <c r="AC82" s="1557" t="str">
        <f>IFERROR(__xludf.DUMMYFUNCTION("IF(LEN($AB82),IFERROR(query(INDIRECT($AG$12),""SELECT ""&amp;$AG$4&amp;"" WHERE ""&amp;$AG$8&amp;"" = '""&amp;$X82&amp;""' AND ""&amp;$AG$5&amp;"" &lt;= date '""&amp;TEXT(DATEVALUE(AC$2),""yyyy-mm-dd"")&amp;""' ORDER BY ""&amp;$AG$5&amp;"" DESC,""&amp;$AG$6&amp;"" DESC LIMIT 1"",0),0),IFERROR(1/0))"),"")</f>
        <v/>
      </c>
      <c r="AD82" s="1557" t="str">
        <f>IFERROR(__xludf.DUMMYFUNCTION("IF(LEN($AB82),IFERROR(query(INDIRECT($AG$12),""SELECT ""&amp;$AG$4&amp;"" WHERE ""&amp;$AG$8&amp;"" = '""&amp;$X82&amp;""' AND ""&amp;$AG$5&amp;"" &lt;= date '""&amp;TEXT(DATEVALUE(AD$2),""yyyy-mm-dd"")&amp;""' ORDER BY ""&amp;$AG$5&amp;"" DESC,""&amp;$AG$6&amp;"" DESC LIMIT 1"",0),0),IFERROR(1/0))"),"")</f>
        <v/>
      </c>
      <c r="AE82" s="792"/>
      <c r="AF82" s="824"/>
      <c r="AG82" s="824"/>
    </row>
    <row r="83">
      <c r="A83" s="1605"/>
      <c r="B83" s="1573"/>
      <c r="C83" s="1573"/>
      <c r="D83" s="1599" t="str">
        <f t="shared" ref="D83:E83" si="82">if(isdate(D$8),IF($J83=$N$4,if(isblank(AC$2),iferror(1/0),SUMIF($W$7:$W127,$B83,AC$7:AC127)),IF(ISBLANK($J83),IFERROR(1/0),OFFSET(AC$1,$K83-1,0))),IFERROR(1/0))</f>
        <v/>
      </c>
      <c r="E83" s="1599" t="str">
        <f t="shared" si="82"/>
        <v/>
      </c>
      <c r="F83" s="1607"/>
      <c r="G83" s="1575"/>
      <c r="H83" s="1599"/>
      <c r="I83" s="783"/>
      <c r="J83" s="782"/>
      <c r="K83" s="1602" t="str">
        <f t="shared" si="11"/>
        <v/>
      </c>
      <c r="L83" s="783"/>
      <c r="M83" s="1604"/>
      <c r="N83" s="1553"/>
      <c r="O83" s="1553"/>
      <c r="P83" s="826"/>
      <c r="Q83" s="826"/>
      <c r="R83" s="1553"/>
      <c r="S83" s="1553" t="str">
        <f t="shared" si="5"/>
        <v/>
      </c>
      <c r="T83" s="1553" t="str">
        <f t="shared" si="6"/>
        <v/>
      </c>
      <c r="U83" s="1553" t="str">
        <f t="shared" si="7"/>
        <v/>
      </c>
      <c r="V83" s="826"/>
      <c r="W83" s="826"/>
      <c r="X83" s="826"/>
      <c r="Y83" s="826"/>
      <c r="Z83" s="826"/>
      <c r="AA83" s="792"/>
      <c r="AB83" s="1586"/>
      <c r="AC83" s="1557" t="str">
        <f>IFERROR(__xludf.DUMMYFUNCTION("IF(LEN($AB83),IFERROR(query(INDIRECT($AG$12),""SELECT ""&amp;$AG$4&amp;"" WHERE ""&amp;$AG$8&amp;"" = '""&amp;$X83&amp;""' AND ""&amp;$AG$5&amp;"" &lt;= date '""&amp;TEXT(DATEVALUE(AC$2),""yyyy-mm-dd"")&amp;""' ORDER BY ""&amp;$AG$5&amp;"" DESC,""&amp;$AG$6&amp;"" DESC LIMIT 1"",0),0),IFERROR(1/0))"),"")</f>
        <v/>
      </c>
      <c r="AD83" s="1557" t="str">
        <f>IFERROR(__xludf.DUMMYFUNCTION("IF(LEN($AB83),IFERROR(query(INDIRECT($AG$12),""SELECT ""&amp;$AG$4&amp;"" WHERE ""&amp;$AG$8&amp;"" = '""&amp;$X83&amp;""' AND ""&amp;$AG$5&amp;"" &lt;= date '""&amp;TEXT(DATEVALUE(AD$2),""yyyy-mm-dd"")&amp;""' ORDER BY ""&amp;$AG$5&amp;"" DESC,""&amp;$AG$6&amp;"" DESC LIMIT 1"",0),0),IFERROR(1/0))"),"")</f>
        <v/>
      </c>
      <c r="AE83" s="792"/>
      <c r="AF83" s="824"/>
      <c r="AG83" s="824"/>
    </row>
    <row r="84">
      <c r="A84" s="1605"/>
      <c r="B84" s="1573"/>
      <c r="C84" s="1573"/>
      <c r="D84" s="1599" t="str">
        <f t="shared" ref="D84:E84" si="83">if(isdate(D$8),IF($J84=$N$4,if(isblank(AC$2),iferror(1/0),SUMIF($W$7:$W127,$B84,AC$7:AC127)),IF(ISBLANK($J84),IFERROR(1/0),OFFSET(AC$1,$K84-1,0))),IFERROR(1/0))</f>
        <v/>
      </c>
      <c r="E84" s="1599" t="str">
        <f t="shared" si="83"/>
        <v/>
      </c>
      <c r="F84" s="1607"/>
      <c r="G84" s="1575"/>
      <c r="H84" s="1599"/>
      <c r="I84" s="783"/>
      <c r="J84" s="782"/>
      <c r="K84" s="1602" t="str">
        <f t="shared" si="11"/>
        <v/>
      </c>
      <c r="L84" s="783"/>
      <c r="M84" s="1604"/>
      <c r="N84" s="1553"/>
      <c r="O84" s="1553"/>
      <c r="P84" s="826"/>
      <c r="Q84" s="826"/>
      <c r="R84" s="1553"/>
      <c r="S84" s="1553" t="str">
        <f t="shared" si="5"/>
        <v/>
      </c>
      <c r="T84" s="1553" t="str">
        <f t="shared" si="6"/>
        <v/>
      </c>
      <c r="U84" s="1553" t="str">
        <f t="shared" si="7"/>
        <v/>
      </c>
      <c r="V84" s="826"/>
      <c r="W84" s="826"/>
      <c r="X84" s="826"/>
      <c r="Y84" s="826"/>
      <c r="Z84" s="826"/>
      <c r="AA84" s="792"/>
      <c r="AB84" s="1586"/>
      <c r="AC84" s="1557" t="str">
        <f>IFERROR(__xludf.DUMMYFUNCTION("IF(LEN($AB84),IFERROR(query(INDIRECT($AG$12),""SELECT ""&amp;$AG$4&amp;"" WHERE ""&amp;$AG$8&amp;"" = '""&amp;$X84&amp;""' AND ""&amp;$AG$5&amp;"" &lt;= date '""&amp;TEXT(DATEVALUE(AC$2),""yyyy-mm-dd"")&amp;""' ORDER BY ""&amp;$AG$5&amp;"" DESC,""&amp;$AG$6&amp;"" DESC LIMIT 1"",0),0),IFERROR(1/0))"),"")</f>
        <v/>
      </c>
      <c r="AD84" s="1557" t="str">
        <f>IFERROR(__xludf.DUMMYFUNCTION("IF(LEN($AB84),IFERROR(query(INDIRECT($AG$12),""SELECT ""&amp;$AG$4&amp;"" WHERE ""&amp;$AG$8&amp;"" = '""&amp;$X84&amp;""' AND ""&amp;$AG$5&amp;"" &lt;= date '""&amp;TEXT(DATEVALUE(AD$2),""yyyy-mm-dd"")&amp;""' ORDER BY ""&amp;$AG$5&amp;"" DESC,""&amp;$AG$6&amp;"" DESC LIMIT 1"",0),0),IFERROR(1/0))"),"")</f>
        <v/>
      </c>
      <c r="AE84" s="792"/>
      <c r="AF84" s="824"/>
      <c r="AG84" s="824"/>
    </row>
    <row r="85">
      <c r="A85" s="1605"/>
      <c r="B85" s="1573"/>
      <c r="C85" s="1573"/>
      <c r="D85" s="1599" t="str">
        <f t="shared" ref="D85:E85" si="84">if(isdate(D$8),IF($J85=$N$4,if(isblank(AC$2),iferror(1/0),SUMIF($W$7:$W127,$B85,AC$7:AC127)),IF(ISBLANK($J85),IFERROR(1/0),OFFSET(AC$1,$K85-1,0))),IFERROR(1/0))</f>
        <v/>
      </c>
      <c r="E85" s="1599" t="str">
        <f t="shared" si="84"/>
        <v/>
      </c>
      <c r="F85" s="1607"/>
      <c r="G85" s="1575"/>
      <c r="H85" s="1599"/>
      <c r="I85" s="783"/>
      <c r="J85" s="782"/>
      <c r="K85" s="1602" t="str">
        <f t="shared" si="11"/>
        <v/>
      </c>
      <c r="L85" s="783"/>
      <c r="M85" s="1604"/>
      <c r="N85" s="1553"/>
      <c r="O85" s="1553"/>
      <c r="P85" s="826"/>
      <c r="Q85" s="826"/>
      <c r="R85" s="1553"/>
      <c r="S85" s="1553" t="str">
        <f t="shared" si="5"/>
        <v/>
      </c>
      <c r="T85" s="1553" t="str">
        <f t="shared" si="6"/>
        <v/>
      </c>
      <c r="U85" s="1553" t="str">
        <f t="shared" si="7"/>
        <v/>
      </c>
      <c r="V85" s="826"/>
      <c r="W85" s="826"/>
      <c r="X85" s="826"/>
      <c r="Y85" s="826"/>
      <c r="Z85" s="826"/>
      <c r="AA85" s="792"/>
      <c r="AB85" s="1586"/>
      <c r="AC85" s="1557" t="str">
        <f>IFERROR(__xludf.DUMMYFUNCTION("IF(LEN($AB85),IFERROR(query(INDIRECT($AG$12),""SELECT ""&amp;$AG$4&amp;"" WHERE ""&amp;$AG$8&amp;"" = '""&amp;$X85&amp;""' AND ""&amp;$AG$5&amp;"" &lt;= date '""&amp;TEXT(DATEVALUE(AC$2),""yyyy-mm-dd"")&amp;""' ORDER BY ""&amp;$AG$5&amp;"" DESC,""&amp;$AG$6&amp;"" DESC LIMIT 1"",0),0),IFERROR(1/0))"),"")</f>
        <v/>
      </c>
      <c r="AD85" s="1557" t="str">
        <f>IFERROR(__xludf.DUMMYFUNCTION("IF(LEN($AB85),IFERROR(query(INDIRECT($AG$12),""SELECT ""&amp;$AG$4&amp;"" WHERE ""&amp;$AG$8&amp;"" = '""&amp;$X85&amp;""' AND ""&amp;$AG$5&amp;"" &lt;= date '""&amp;TEXT(DATEVALUE(AD$2),""yyyy-mm-dd"")&amp;""' ORDER BY ""&amp;$AG$5&amp;"" DESC,""&amp;$AG$6&amp;"" DESC LIMIT 1"",0),0),IFERROR(1/0))"),"")</f>
        <v/>
      </c>
      <c r="AE85" s="792"/>
      <c r="AF85" s="824"/>
      <c r="AG85" s="824"/>
    </row>
    <row r="86">
      <c r="A86" s="1605"/>
      <c r="B86" s="1573"/>
      <c r="C86" s="1573"/>
      <c r="D86" s="1599" t="str">
        <f t="shared" ref="D86:E86" si="85">if(isdate(D$8),IF($J86=$N$4,if(isblank(AC$2),iferror(1/0),SUMIF($W$7:$W127,$B86,AC$7:AC127)),IF(ISBLANK($J86),IFERROR(1/0),OFFSET(AC$1,$K86-1,0))),IFERROR(1/0))</f>
        <v/>
      </c>
      <c r="E86" s="1599" t="str">
        <f t="shared" si="85"/>
        <v/>
      </c>
      <c r="F86" s="1607"/>
      <c r="G86" s="1575"/>
      <c r="H86" s="1599"/>
      <c r="I86" s="783"/>
      <c r="J86" s="782"/>
      <c r="K86" s="1602" t="str">
        <f t="shared" si="11"/>
        <v/>
      </c>
      <c r="L86" s="783"/>
      <c r="M86" s="1604"/>
      <c r="N86" s="1553"/>
      <c r="O86" s="1553"/>
      <c r="P86" s="826"/>
      <c r="Q86" s="826"/>
      <c r="R86" s="1553"/>
      <c r="S86" s="1553" t="str">
        <f t="shared" si="5"/>
        <v/>
      </c>
      <c r="T86" s="1553" t="str">
        <f t="shared" si="6"/>
        <v/>
      </c>
      <c r="U86" s="1553" t="str">
        <f t="shared" si="7"/>
        <v/>
      </c>
      <c r="V86" s="826"/>
      <c r="W86" s="826"/>
      <c r="X86" s="826"/>
      <c r="Y86" s="826"/>
      <c r="Z86" s="826"/>
      <c r="AA86" s="792"/>
      <c r="AB86" s="1586"/>
      <c r="AC86" s="1557" t="str">
        <f>IFERROR(__xludf.DUMMYFUNCTION("IF(LEN($AB86),IFERROR(query(INDIRECT($AG$12),""SELECT ""&amp;$AG$4&amp;"" WHERE ""&amp;$AG$8&amp;"" = '""&amp;$X86&amp;""' AND ""&amp;$AG$5&amp;"" &lt;= date '""&amp;TEXT(DATEVALUE(AC$2),""yyyy-mm-dd"")&amp;""' ORDER BY ""&amp;$AG$5&amp;"" DESC,""&amp;$AG$6&amp;"" DESC LIMIT 1"",0),0),IFERROR(1/0))"),"")</f>
        <v/>
      </c>
      <c r="AD86" s="1557" t="str">
        <f>IFERROR(__xludf.DUMMYFUNCTION("IF(LEN($AB86),IFERROR(query(INDIRECT($AG$12),""SELECT ""&amp;$AG$4&amp;"" WHERE ""&amp;$AG$8&amp;"" = '""&amp;$X86&amp;""' AND ""&amp;$AG$5&amp;"" &lt;= date '""&amp;TEXT(DATEVALUE(AD$2),""yyyy-mm-dd"")&amp;""' ORDER BY ""&amp;$AG$5&amp;"" DESC,""&amp;$AG$6&amp;"" DESC LIMIT 1"",0),0),IFERROR(1/0))"),"")</f>
        <v/>
      </c>
      <c r="AE86" s="792"/>
      <c r="AF86" s="824"/>
      <c r="AG86" s="824"/>
    </row>
    <row r="87">
      <c r="A87" s="1605"/>
      <c r="B87" s="1573"/>
      <c r="C87" s="1573"/>
      <c r="D87" s="1599" t="str">
        <f t="shared" ref="D87:E87" si="86">if(isdate(D$8),IF($J87=$N$4,if(isblank(AC$2),iferror(1/0),SUMIF($W$7:$W127,$B87,AC$7:AC127)),IF(ISBLANK($J87),IFERROR(1/0),OFFSET(AC$1,$K87-1,0))),IFERROR(1/0))</f>
        <v/>
      </c>
      <c r="E87" s="1599" t="str">
        <f t="shared" si="86"/>
        <v/>
      </c>
      <c r="F87" s="1607"/>
      <c r="G87" s="1575"/>
      <c r="H87" s="1599"/>
      <c r="I87" s="783"/>
      <c r="J87" s="782"/>
      <c r="K87" s="1602" t="str">
        <f t="shared" si="11"/>
        <v/>
      </c>
      <c r="L87" s="783"/>
      <c r="M87" s="1604"/>
      <c r="N87" s="1553"/>
      <c r="O87" s="1553"/>
      <c r="P87" s="826"/>
      <c r="Q87" s="826"/>
      <c r="R87" s="1553"/>
      <c r="S87" s="1553" t="str">
        <f t="shared" si="5"/>
        <v/>
      </c>
      <c r="T87" s="1553" t="str">
        <f t="shared" si="6"/>
        <v/>
      </c>
      <c r="U87" s="1553" t="str">
        <f t="shared" si="7"/>
        <v/>
      </c>
      <c r="V87" s="826"/>
      <c r="W87" s="826"/>
      <c r="X87" s="826"/>
      <c r="Y87" s="826"/>
      <c r="Z87" s="826"/>
      <c r="AA87" s="792"/>
      <c r="AB87" s="1586"/>
      <c r="AC87" s="1557" t="str">
        <f>IFERROR(__xludf.DUMMYFUNCTION("IF(LEN($AB87),IFERROR(query(INDIRECT($AG$12),""SELECT ""&amp;$AG$4&amp;"" WHERE ""&amp;$AG$8&amp;"" = '""&amp;$X87&amp;""' AND ""&amp;$AG$5&amp;"" &lt;= date '""&amp;TEXT(DATEVALUE(AC$2),""yyyy-mm-dd"")&amp;""' ORDER BY ""&amp;$AG$5&amp;"" DESC,""&amp;$AG$6&amp;"" DESC LIMIT 1"",0),0),IFERROR(1/0))"),"")</f>
        <v/>
      </c>
      <c r="AD87" s="1557" t="str">
        <f>IFERROR(__xludf.DUMMYFUNCTION("IF(LEN($AB87),IFERROR(query(INDIRECT($AG$12),""SELECT ""&amp;$AG$4&amp;"" WHERE ""&amp;$AG$8&amp;"" = '""&amp;$X87&amp;""' AND ""&amp;$AG$5&amp;"" &lt;= date '""&amp;TEXT(DATEVALUE(AD$2),""yyyy-mm-dd"")&amp;""' ORDER BY ""&amp;$AG$5&amp;"" DESC,""&amp;$AG$6&amp;"" DESC LIMIT 1"",0),0),IFERROR(1/0))"),"")</f>
        <v/>
      </c>
      <c r="AE87" s="792"/>
      <c r="AF87" s="824"/>
      <c r="AG87" s="824"/>
    </row>
    <row r="88">
      <c r="A88" s="1605"/>
      <c r="B88" s="1573"/>
      <c r="C88" s="1573"/>
      <c r="D88" s="1599" t="str">
        <f t="shared" ref="D88:E88" si="87">if(isdate(D$8),IF($J88=$N$4,if(isblank(AC$2),iferror(1/0),SUMIF($W$7:$W127,$B88,AC$7:AC127)),IF(ISBLANK($J88),IFERROR(1/0),OFFSET(AC$1,$K88-1,0))),IFERROR(1/0))</f>
        <v/>
      </c>
      <c r="E88" s="1599" t="str">
        <f t="shared" si="87"/>
        <v/>
      </c>
      <c r="F88" s="1607"/>
      <c r="G88" s="1575"/>
      <c r="H88" s="1599"/>
      <c r="I88" s="783"/>
      <c r="J88" s="782"/>
      <c r="K88" s="1602" t="str">
        <f t="shared" si="11"/>
        <v/>
      </c>
      <c r="L88" s="783"/>
      <c r="M88" s="1604"/>
      <c r="N88" s="1553"/>
      <c r="O88" s="1553"/>
      <c r="P88" s="826"/>
      <c r="Q88" s="826"/>
      <c r="R88" s="1553"/>
      <c r="S88" s="1553" t="str">
        <f t="shared" si="5"/>
        <v/>
      </c>
      <c r="T88" s="1553" t="str">
        <f t="shared" si="6"/>
        <v/>
      </c>
      <c r="U88" s="1553" t="str">
        <f t="shared" si="7"/>
        <v/>
      </c>
      <c r="V88" s="826"/>
      <c r="W88" s="826"/>
      <c r="X88" s="826"/>
      <c r="Y88" s="826"/>
      <c r="Z88" s="826"/>
      <c r="AA88" s="792"/>
      <c r="AB88" s="1586"/>
      <c r="AC88" s="1557" t="str">
        <f>IFERROR(__xludf.DUMMYFUNCTION("IF(LEN($AB88),IFERROR(query(INDIRECT($AG$12),""SELECT ""&amp;$AG$4&amp;"" WHERE ""&amp;$AG$8&amp;"" = '""&amp;$X88&amp;""' AND ""&amp;$AG$5&amp;"" &lt;= date '""&amp;TEXT(DATEVALUE(AC$2),""yyyy-mm-dd"")&amp;""' ORDER BY ""&amp;$AG$5&amp;"" DESC,""&amp;$AG$6&amp;"" DESC LIMIT 1"",0),0),IFERROR(1/0))"),"")</f>
        <v/>
      </c>
      <c r="AD88" s="1557" t="str">
        <f>IFERROR(__xludf.DUMMYFUNCTION("IF(LEN($AB88),IFERROR(query(INDIRECT($AG$12),""SELECT ""&amp;$AG$4&amp;"" WHERE ""&amp;$AG$8&amp;"" = '""&amp;$X88&amp;""' AND ""&amp;$AG$5&amp;"" &lt;= date '""&amp;TEXT(DATEVALUE(AD$2),""yyyy-mm-dd"")&amp;""' ORDER BY ""&amp;$AG$5&amp;"" DESC,""&amp;$AG$6&amp;"" DESC LIMIT 1"",0),0),IFERROR(1/0))"),"")</f>
        <v/>
      </c>
      <c r="AE88" s="792"/>
      <c r="AF88" s="824"/>
      <c r="AG88" s="824"/>
    </row>
    <row r="89">
      <c r="A89" s="1605"/>
      <c r="B89" s="1573"/>
      <c r="C89" s="1573"/>
      <c r="D89" s="1599" t="str">
        <f t="shared" ref="D89:E89" si="88">if(isdate(D$8),IF($J89=$N$4,if(isblank(AC$2),iferror(1/0),SUMIF($W$7:$W127,$B89,AC$7:AC127)),IF(ISBLANK($J89),IFERROR(1/0),OFFSET(AC$1,$K89-1,0))),IFERROR(1/0))</f>
        <v/>
      </c>
      <c r="E89" s="1599" t="str">
        <f t="shared" si="88"/>
        <v/>
      </c>
      <c r="F89" s="1607"/>
      <c r="G89" s="1575"/>
      <c r="H89" s="1599"/>
      <c r="I89" s="783"/>
      <c r="J89" s="782"/>
      <c r="K89" s="1602" t="str">
        <f t="shared" si="11"/>
        <v/>
      </c>
      <c r="L89" s="783"/>
      <c r="M89" s="1604"/>
      <c r="N89" s="1553"/>
      <c r="O89" s="1553"/>
      <c r="P89" s="826"/>
      <c r="Q89" s="826"/>
      <c r="R89" s="1553"/>
      <c r="S89" s="1553" t="str">
        <f t="shared" si="5"/>
        <v/>
      </c>
      <c r="T89" s="1553" t="str">
        <f t="shared" si="6"/>
        <v/>
      </c>
      <c r="U89" s="1553" t="str">
        <f t="shared" si="7"/>
        <v/>
      </c>
      <c r="V89" s="826"/>
      <c r="W89" s="826"/>
      <c r="X89" s="826"/>
      <c r="Y89" s="826"/>
      <c r="Z89" s="826"/>
      <c r="AA89" s="792"/>
      <c r="AB89" s="1586"/>
      <c r="AC89" s="1557" t="str">
        <f>IFERROR(__xludf.DUMMYFUNCTION("IF(LEN($AB89),IFERROR(query(INDIRECT($AG$12),""SELECT ""&amp;$AG$4&amp;"" WHERE ""&amp;$AG$8&amp;"" = '""&amp;$X89&amp;""' AND ""&amp;$AG$5&amp;"" &lt;= date '""&amp;TEXT(DATEVALUE(AC$2),""yyyy-mm-dd"")&amp;""' ORDER BY ""&amp;$AG$5&amp;"" DESC,""&amp;$AG$6&amp;"" DESC LIMIT 1"",0),0),IFERROR(1/0))"),"")</f>
        <v/>
      </c>
      <c r="AD89" s="1557" t="str">
        <f>IFERROR(__xludf.DUMMYFUNCTION("IF(LEN($AB89),IFERROR(query(INDIRECT($AG$12),""SELECT ""&amp;$AG$4&amp;"" WHERE ""&amp;$AG$8&amp;"" = '""&amp;$X89&amp;""' AND ""&amp;$AG$5&amp;"" &lt;= date '""&amp;TEXT(DATEVALUE(AD$2),""yyyy-mm-dd"")&amp;""' ORDER BY ""&amp;$AG$5&amp;"" DESC,""&amp;$AG$6&amp;"" DESC LIMIT 1"",0),0),IFERROR(1/0))"),"")</f>
        <v/>
      </c>
      <c r="AE89" s="792"/>
      <c r="AF89" s="824"/>
      <c r="AG89" s="824"/>
    </row>
    <row r="90">
      <c r="A90" s="1605"/>
      <c r="B90" s="1573"/>
      <c r="C90" s="1573"/>
      <c r="D90" s="1599" t="str">
        <f t="shared" ref="D90:E90" si="89">if(isdate(D$8),IF($J90=$N$4,if(isblank(AC$2),iferror(1/0),SUMIF($W$7:$W127,$B90,AC$7:AC127)),IF(ISBLANK($J90),IFERROR(1/0),OFFSET(AC$1,$K90-1,0))),IFERROR(1/0))</f>
        <v/>
      </c>
      <c r="E90" s="1599" t="str">
        <f t="shared" si="89"/>
        <v/>
      </c>
      <c r="F90" s="1607"/>
      <c r="G90" s="1575"/>
      <c r="H90" s="1599"/>
      <c r="I90" s="783"/>
      <c r="J90" s="782"/>
      <c r="K90" s="1602" t="str">
        <f t="shared" si="11"/>
        <v/>
      </c>
      <c r="L90" s="783"/>
      <c r="M90" s="1604"/>
      <c r="N90" s="1553"/>
      <c r="O90" s="1553"/>
      <c r="P90" s="826"/>
      <c r="Q90" s="826"/>
      <c r="R90" s="1553"/>
      <c r="S90" s="1553" t="str">
        <f t="shared" si="5"/>
        <v/>
      </c>
      <c r="T90" s="1553" t="str">
        <f t="shared" si="6"/>
        <v/>
      </c>
      <c r="U90" s="1553" t="str">
        <f t="shared" si="7"/>
        <v/>
      </c>
      <c r="V90" s="826"/>
      <c r="W90" s="826"/>
      <c r="X90" s="826"/>
      <c r="Y90" s="826"/>
      <c r="Z90" s="826"/>
      <c r="AA90" s="792"/>
      <c r="AB90" s="1586"/>
      <c r="AC90" s="1557" t="str">
        <f>IFERROR(__xludf.DUMMYFUNCTION("IF(LEN($AB90),IFERROR(query(INDIRECT($AG$12),""SELECT ""&amp;$AG$4&amp;"" WHERE ""&amp;$AG$8&amp;"" = '""&amp;$X90&amp;""' AND ""&amp;$AG$5&amp;"" &lt;= date '""&amp;TEXT(DATEVALUE(AC$2),""yyyy-mm-dd"")&amp;""' ORDER BY ""&amp;$AG$5&amp;"" DESC,""&amp;$AG$6&amp;"" DESC LIMIT 1"",0),0),IFERROR(1/0))"),"")</f>
        <v/>
      </c>
      <c r="AD90" s="1557" t="str">
        <f>IFERROR(__xludf.DUMMYFUNCTION("IF(LEN($AB90),IFERROR(query(INDIRECT($AG$12),""SELECT ""&amp;$AG$4&amp;"" WHERE ""&amp;$AG$8&amp;"" = '""&amp;$X90&amp;""' AND ""&amp;$AG$5&amp;"" &lt;= date '""&amp;TEXT(DATEVALUE(AD$2),""yyyy-mm-dd"")&amp;""' ORDER BY ""&amp;$AG$5&amp;"" DESC,""&amp;$AG$6&amp;"" DESC LIMIT 1"",0),0),IFERROR(1/0))"),"")</f>
        <v/>
      </c>
      <c r="AE90" s="792"/>
      <c r="AF90" s="824"/>
      <c r="AG90" s="824"/>
    </row>
    <row r="91">
      <c r="A91" s="1605"/>
      <c r="B91" s="1573"/>
      <c r="C91" s="1573"/>
      <c r="D91" s="1599" t="str">
        <f t="shared" ref="D91:E91" si="90">if(isdate(D$8),IF($J91=$N$4,if(isblank(AC$2),iferror(1/0),SUMIF($W$7:$W127,$B91,AC$7:AC127)),IF(ISBLANK($J91),IFERROR(1/0),OFFSET(AC$1,$K91-1,0))),IFERROR(1/0))</f>
        <v/>
      </c>
      <c r="E91" s="1599" t="str">
        <f t="shared" si="90"/>
        <v/>
      </c>
      <c r="F91" s="1607"/>
      <c r="G91" s="1575"/>
      <c r="H91" s="1599"/>
      <c r="I91" s="783"/>
      <c r="J91" s="782"/>
      <c r="K91" s="1602" t="str">
        <f t="shared" si="11"/>
        <v/>
      </c>
      <c r="L91" s="783"/>
      <c r="M91" s="1604"/>
      <c r="N91" s="1553"/>
      <c r="O91" s="1553"/>
      <c r="P91" s="826"/>
      <c r="Q91" s="826"/>
      <c r="R91" s="1553"/>
      <c r="S91" s="1553" t="str">
        <f t="shared" si="5"/>
        <v/>
      </c>
      <c r="T91" s="1553" t="str">
        <f t="shared" si="6"/>
        <v/>
      </c>
      <c r="U91" s="1553" t="str">
        <f t="shared" si="7"/>
        <v/>
      </c>
      <c r="V91" s="826"/>
      <c r="W91" s="826"/>
      <c r="X91" s="826"/>
      <c r="Y91" s="826"/>
      <c r="Z91" s="826"/>
      <c r="AA91" s="792"/>
      <c r="AB91" s="1586"/>
      <c r="AC91" s="1557" t="str">
        <f>IFERROR(__xludf.DUMMYFUNCTION("IF(LEN($AB91),IFERROR(query(INDIRECT($AG$12),""SELECT ""&amp;$AG$4&amp;"" WHERE ""&amp;$AG$8&amp;"" = '""&amp;$X91&amp;""' AND ""&amp;$AG$5&amp;"" &lt;= date '""&amp;TEXT(DATEVALUE(AC$2),""yyyy-mm-dd"")&amp;""' ORDER BY ""&amp;$AG$5&amp;"" DESC,""&amp;$AG$6&amp;"" DESC LIMIT 1"",0),0),IFERROR(1/0))"),"")</f>
        <v/>
      </c>
      <c r="AD91" s="1557" t="str">
        <f>IFERROR(__xludf.DUMMYFUNCTION("IF(LEN($AB91),IFERROR(query(INDIRECT($AG$12),""SELECT ""&amp;$AG$4&amp;"" WHERE ""&amp;$AG$8&amp;"" = '""&amp;$X91&amp;""' AND ""&amp;$AG$5&amp;"" &lt;= date '""&amp;TEXT(DATEVALUE(AD$2),""yyyy-mm-dd"")&amp;""' ORDER BY ""&amp;$AG$5&amp;"" DESC,""&amp;$AG$6&amp;"" DESC LIMIT 1"",0),0),IFERROR(1/0))"),"")</f>
        <v/>
      </c>
      <c r="AE91" s="792"/>
      <c r="AF91" s="824"/>
      <c r="AG91" s="824"/>
    </row>
    <row r="92">
      <c r="A92" s="1605"/>
      <c r="B92" s="1573"/>
      <c r="C92" s="1573"/>
      <c r="D92" s="1599" t="str">
        <f t="shared" ref="D92:E92" si="91">if(isdate(D$8),IF($J92=$N$4,if(isblank(AC$2),iferror(1/0),SUMIF($W$7:$W127,$B92,AC$7:AC127)),IF(ISBLANK($J92),IFERROR(1/0),OFFSET(AC$1,$K92-1,0))),IFERROR(1/0))</f>
        <v/>
      </c>
      <c r="E92" s="1599" t="str">
        <f t="shared" si="91"/>
        <v/>
      </c>
      <c r="F92" s="1607"/>
      <c r="G92" s="1575"/>
      <c r="H92" s="1599"/>
      <c r="I92" s="783"/>
      <c r="J92" s="782"/>
      <c r="K92" s="1602" t="str">
        <f t="shared" si="11"/>
        <v/>
      </c>
      <c r="L92" s="783"/>
      <c r="M92" s="1604"/>
      <c r="N92" s="1553"/>
      <c r="O92" s="1553"/>
      <c r="P92" s="826"/>
      <c r="Q92" s="826"/>
      <c r="R92" s="1553"/>
      <c r="S92" s="1553" t="str">
        <f t="shared" si="5"/>
        <v/>
      </c>
      <c r="T92" s="1553" t="str">
        <f t="shared" si="6"/>
        <v/>
      </c>
      <c r="U92" s="1553" t="str">
        <f t="shared" si="7"/>
        <v/>
      </c>
      <c r="V92" s="826"/>
      <c r="W92" s="826"/>
      <c r="X92" s="826"/>
      <c r="Y92" s="826"/>
      <c r="Z92" s="826"/>
      <c r="AA92" s="792"/>
      <c r="AB92" s="1586"/>
      <c r="AC92" s="1557" t="str">
        <f>IFERROR(__xludf.DUMMYFUNCTION("IF(LEN($AB92),IFERROR(query(INDIRECT($AG$12),""SELECT ""&amp;$AG$4&amp;"" WHERE ""&amp;$AG$8&amp;"" = '""&amp;$X92&amp;""' AND ""&amp;$AG$5&amp;"" &lt;= date '""&amp;TEXT(DATEVALUE(AC$2),""yyyy-mm-dd"")&amp;""' ORDER BY ""&amp;$AG$5&amp;"" DESC,""&amp;$AG$6&amp;"" DESC LIMIT 1"",0),0),IFERROR(1/0))"),"")</f>
        <v/>
      </c>
      <c r="AD92" s="1557" t="str">
        <f>IFERROR(__xludf.DUMMYFUNCTION("IF(LEN($AB92),IFERROR(query(INDIRECT($AG$12),""SELECT ""&amp;$AG$4&amp;"" WHERE ""&amp;$AG$8&amp;"" = '""&amp;$X92&amp;""' AND ""&amp;$AG$5&amp;"" &lt;= date '""&amp;TEXT(DATEVALUE(AD$2),""yyyy-mm-dd"")&amp;""' ORDER BY ""&amp;$AG$5&amp;"" DESC,""&amp;$AG$6&amp;"" DESC LIMIT 1"",0),0),IFERROR(1/0))"),"")</f>
        <v/>
      </c>
      <c r="AE92" s="792"/>
      <c r="AF92" s="824"/>
      <c r="AG92" s="824"/>
    </row>
    <row r="93">
      <c r="A93" s="1605"/>
      <c r="B93" s="1573"/>
      <c r="C93" s="1573"/>
      <c r="D93" s="1599" t="str">
        <f t="shared" ref="D93:E93" si="92">if(isdate(D$8),IF($J93=$N$4,if(isblank(AC$2),iferror(1/0),SUMIF($W$7:$W127,$B93,AC$7:AC127)),IF(ISBLANK($J93),IFERROR(1/0),OFFSET(AC$1,$K93-1,0))),IFERROR(1/0))</f>
        <v/>
      </c>
      <c r="E93" s="1599" t="str">
        <f t="shared" si="92"/>
        <v/>
      </c>
      <c r="F93" s="1607"/>
      <c r="G93" s="1575"/>
      <c r="H93" s="1599"/>
      <c r="I93" s="783"/>
      <c r="J93" s="782"/>
      <c r="K93" s="1602" t="str">
        <f t="shared" si="11"/>
        <v/>
      </c>
      <c r="L93" s="783"/>
      <c r="M93" s="1604"/>
      <c r="N93" s="1553"/>
      <c r="O93" s="1553"/>
      <c r="P93" s="826"/>
      <c r="Q93" s="826"/>
      <c r="R93" s="1553"/>
      <c r="S93" s="1553" t="str">
        <f t="shared" si="5"/>
        <v/>
      </c>
      <c r="T93" s="1553" t="str">
        <f t="shared" si="6"/>
        <v/>
      </c>
      <c r="U93" s="1553" t="str">
        <f t="shared" si="7"/>
        <v/>
      </c>
      <c r="V93" s="826"/>
      <c r="W93" s="826"/>
      <c r="X93" s="826"/>
      <c r="Y93" s="826"/>
      <c r="Z93" s="826"/>
      <c r="AA93" s="792"/>
      <c r="AB93" s="1586"/>
      <c r="AC93" s="1557" t="str">
        <f>IFERROR(__xludf.DUMMYFUNCTION("IF(LEN($AB93),IFERROR(query(INDIRECT($AG$12),""SELECT ""&amp;$AG$4&amp;"" WHERE ""&amp;$AG$8&amp;"" = '""&amp;$X93&amp;""' AND ""&amp;$AG$5&amp;"" &lt;= date '""&amp;TEXT(DATEVALUE(AC$2),""yyyy-mm-dd"")&amp;""' ORDER BY ""&amp;$AG$5&amp;"" DESC,""&amp;$AG$6&amp;"" DESC LIMIT 1"",0),0),IFERROR(1/0))"),"")</f>
        <v/>
      </c>
      <c r="AD93" s="1557" t="str">
        <f>IFERROR(__xludf.DUMMYFUNCTION("IF(LEN($AB93),IFERROR(query(INDIRECT($AG$12),""SELECT ""&amp;$AG$4&amp;"" WHERE ""&amp;$AG$8&amp;"" = '""&amp;$X93&amp;""' AND ""&amp;$AG$5&amp;"" &lt;= date '""&amp;TEXT(DATEVALUE(AD$2),""yyyy-mm-dd"")&amp;""' ORDER BY ""&amp;$AG$5&amp;"" DESC,""&amp;$AG$6&amp;"" DESC LIMIT 1"",0),0),IFERROR(1/0))"),"")</f>
        <v/>
      </c>
      <c r="AE93" s="792"/>
      <c r="AF93" s="824"/>
      <c r="AG93" s="824"/>
    </row>
    <row r="94">
      <c r="A94" s="1605"/>
      <c r="B94" s="1573"/>
      <c r="C94" s="1573"/>
      <c r="D94" s="1599" t="str">
        <f t="shared" ref="D94:E94" si="93">if(isdate(D$8),IF($J94=$N$4,if(isblank(AC$2),iferror(1/0),SUMIF($W$7:$W127,$B94,AC$7:AC127)),IF(ISBLANK($J94),IFERROR(1/0),OFFSET(AC$1,$K94-1,0))),IFERROR(1/0))</f>
        <v/>
      </c>
      <c r="E94" s="1599" t="str">
        <f t="shared" si="93"/>
        <v/>
      </c>
      <c r="F94" s="1607"/>
      <c r="G94" s="1575"/>
      <c r="H94" s="1599"/>
      <c r="I94" s="783"/>
      <c r="J94" s="782"/>
      <c r="K94" s="1602" t="str">
        <f t="shared" si="11"/>
        <v/>
      </c>
      <c r="L94" s="783"/>
      <c r="M94" s="1604"/>
      <c r="N94" s="1553"/>
      <c r="O94" s="1553"/>
      <c r="P94" s="826"/>
      <c r="Q94" s="826"/>
      <c r="R94" s="1553"/>
      <c r="S94" s="1553" t="str">
        <f t="shared" si="5"/>
        <v/>
      </c>
      <c r="T94" s="1553" t="str">
        <f t="shared" si="6"/>
        <v/>
      </c>
      <c r="U94" s="1553" t="str">
        <f t="shared" si="7"/>
        <v/>
      </c>
      <c r="V94" s="826"/>
      <c r="W94" s="826"/>
      <c r="X94" s="826"/>
      <c r="Y94" s="826"/>
      <c r="Z94" s="826"/>
      <c r="AA94" s="792"/>
      <c r="AB94" s="1586"/>
      <c r="AC94" s="1557" t="str">
        <f>IFERROR(__xludf.DUMMYFUNCTION("IF(LEN($AB94),IFERROR(query(INDIRECT($AG$12),""SELECT ""&amp;$AG$4&amp;"" WHERE ""&amp;$AG$8&amp;"" = '""&amp;$X94&amp;""' AND ""&amp;$AG$5&amp;"" &lt;= date '""&amp;TEXT(DATEVALUE(AC$2),""yyyy-mm-dd"")&amp;""' ORDER BY ""&amp;$AG$5&amp;"" DESC,""&amp;$AG$6&amp;"" DESC LIMIT 1"",0),0),IFERROR(1/0))"),"")</f>
        <v/>
      </c>
      <c r="AD94" s="1557" t="str">
        <f>IFERROR(__xludf.DUMMYFUNCTION("IF(LEN($AB94),IFERROR(query(INDIRECT($AG$12),""SELECT ""&amp;$AG$4&amp;"" WHERE ""&amp;$AG$8&amp;"" = '""&amp;$X94&amp;""' AND ""&amp;$AG$5&amp;"" &lt;= date '""&amp;TEXT(DATEVALUE(AD$2),""yyyy-mm-dd"")&amp;""' ORDER BY ""&amp;$AG$5&amp;"" DESC,""&amp;$AG$6&amp;"" DESC LIMIT 1"",0),0),IFERROR(1/0))"),"")</f>
        <v/>
      </c>
      <c r="AE94" s="792"/>
      <c r="AF94" s="824"/>
      <c r="AG94" s="824"/>
    </row>
    <row r="95">
      <c r="A95" s="1605"/>
      <c r="B95" s="1573"/>
      <c r="C95" s="1573"/>
      <c r="D95" s="1599" t="str">
        <f t="shared" ref="D95:E95" si="94">if(isdate(D$8),IF($J95=$N$4,if(isblank(AC$2),iferror(1/0),SUMIF($W$7:$W127,$B95,AC$7:AC127)),IF(ISBLANK($J95),IFERROR(1/0),OFFSET(AC$1,$K95-1,0))),IFERROR(1/0))</f>
        <v/>
      </c>
      <c r="E95" s="1599" t="str">
        <f t="shared" si="94"/>
        <v/>
      </c>
      <c r="F95" s="1607"/>
      <c r="G95" s="1575"/>
      <c r="H95" s="1599"/>
      <c r="I95" s="783"/>
      <c r="J95" s="782"/>
      <c r="K95" s="1602" t="str">
        <f t="shared" si="11"/>
        <v/>
      </c>
      <c r="L95" s="783"/>
      <c r="M95" s="1604"/>
      <c r="N95" s="1553"/>
      <c r="O95" s="1553"/>
      <c r="P95" s="826"/>
      <c r="Q95" s="826"/>
      <c r="R95" s="1553"/>
      <c r="S95" s="1553" t="str">
        <f t="shared" si="5"/>
        <v/>
      </c>
      <c r="T95" s="1553" t="str">
        <f t="shared" si="6"/>
        <v/>
      </c>
      <c r="U95" s="1553" t="str">
        <f t="shared" si="7"/>
        <v/>
      </c>
      <c r="V95" s="826"/>
      <c r="W95" s="826"/>
      <c r="X95" s="826"/>
      <c r="Y95" s="826"/>
      <c r="Z95" s="826"/>
      <c r="AA95" s="792"/>
      <c r="AB95" s="1586"/>
      <c r="AC95" s="1557" t="str">
        <f>IFERROR(__xludf.DUMMYFUNCTION("IF(LEN($AB95),IFERROR(query(INDIRECT($AG$12),""SELECT ""&amp;$AG$4&amp;"" WHERE ""&amp;$AG$8&amp;"" = '""&amp;$X95&amp;""' AND ""&amp;$AG$5&amp;"" &lt;= date '""&amp;TEXT(DATEVALUE(AC$2),""yyyy-mm-dd"")&amp;""' ORDER BY ""&amp;$AG$5&amp;"" DESC,""&amp;$AG$6&amp;"" DESC LIMIT 1"",0),0),IFERROR(1/0))"),"")</f>
        <v/>
      </c>
      <c r="AD95" s="1557" t="str">
        <f>IFERROR(__xludf.DUMMYFUNCTION("IF(LEN($AB95),IFERROR(query(INDIRECT($AG$12),""SELECT ""&amp;$AG$4&amp;"" WHERE ""&amp;$AG$8&amp;"" = '""&amp;$X95&amp;""' AND ""&amp;$AG$5&amp;"" &lt;= date '""&amp;TEXT(DATEVALUE(AD$2),""yyyy-mm-dd"")&amp;""' ORDER BY ""&amp;$AG$5&amp;"" DESC,""&amp;$AG$6&amp;"" DESC LIMIT 1"",0),0),IFERROR(1/0))"),"")</f>
        <v/>
      </c>
      <c r="AE95" s="792"/>
      <c r="AF95" s="824"/>
      <c r="AG95" s="824"/>
    </row>
    <row r="96">
      <c r="A96" s="1605"/>
      <c r="B96" s="1573"/>
      <c r="C96" s="1573"/>
      <c r="D96" s="1599" t="str">
        <f t="shared" ref="D96:E96" si="95">if(isdate(D$8),IF($J96=$N$4,if(isblank(AC$2),iferror(1/0),SUMIF($W$7:$W127,$B96,AC$7:AC127)),IF(ISBLANK($J96),IFERROR(1/0),OFFSET(AC$1,$K96-1,0))),IFERROR(1/0))</f>
        <v/>
      </c>
      <c r="E96" s="1599" t="str">
        <f t="shared" si="95"/>
        <v/>
      </c>
      <c r="F96" s="1607"/>
      <c r="G96" s="1575"/>
      <c r="H96" s="1599"/>
      <c r="I96" s="783"/>
      <c r="J96" s="782"/>
      <c r="K96" s="1602" t="str">
        <f t="shared" si="11"/>
        <v/>
      </c>
      <c r="L96" s="783"/>
      <c r="M96" s="1604"/>
      <c r="N96" s="1553"/>
      <c r="O96" s="1553"/>
      <c r="P96" s="826"/>
      <c r="Q96" s="826"/>
      <c r="R96" s="1553"/>
      <c r="S96" s="1553" t="str">
        <f t="shared" si="5"/>
        <v/>
      </c>
      <c r="T96" s="1553" t="str">
        <f t="shared" si="6"/>
        <v/>
      </c>
      <c r="U96" s="1553" t="str">
        <f t="shared" si="7"/>
        <v/>
      </c>
      <c r="V96" s="826"/>
      <c r="W96" s="826"/>
      <c r="X96" s="826"/>
      <c r="Y96" s="826"/>
      <c r="Z96" s="826"/>
      <c r="AA96" s="792"/>
      <c r="AB96" s="1586"/>
      <c r="AC96" s="1557" t="str">
        <f>IFERROR(__xludf.DUMMYFUNCTION("IF(LEN($AB96),IFERROR(query(INDIRECT($AG$12),""SELECT ""&amp;$AG$4&amp;"" WHERE ""&amp;$AG$8&amp;"" = '""&amp;$X96&amp;""' AND ""&amp;$AG$5&amp;"" &lt;= date '""&amp;TEXT(DATEVALUE(AC$2),""yyyy-mm-dd"")&amp;""' ORDER BY ""&amp;$AG$5&amp;"" DESC,""&amp;$AG$6&amp;"" DESC LIMIT 1"",0),0),IFERROR(1/0))"),"")</f>
        <v/>
      </c>
      <c r="AD96" s="1557" t="str">
        <f>IFERROR(__xludf.DUMMYFUNCTION("IF(LEN($AB96),IFERROR(query(INDIRECT($AG$12),""SELECT ""&amp;$AG$4&amp;"" WHERE ""&amp;$AG$8&amp;"" = '""&amp;$X96&amp;""' AND ""&amp;$AG$5&amp;"" &lt;= date '""&amp;TEXT(DATEVALUE(AD$2),""yyyy-mm-dd"")&amp;""' ORDER BY ""&amp;$AG$5&amp;"" DESC,""&amp;$AG$6&amp;"" DESC LIMIT 1"",0),0),IFERROR(1/0))"),"")</f>
        <v/>
      </c>
      <c r="AE96" s="792"/>
      <c r="AF96" s="824"/>
      <c r="AG96" s="824"/>
    </row>
    <row r="97">
      <c r="A97" s="1605"/>
      <c r="B97" s="1573"/>
      <c r="C97" s="1573"/>
      <c r="D97" s="1599" t="str">
        <f t="shared" ref="D97:E97" si="96">if(isdate(D$8),IF($J97=$N$4,if(isblank(AC$2),iferror(1/0),SUMIF($W$7:$W127,$B97,AC$7:AC127)),IF(ISBLANK($J97),IFERROR(1/0),OFFSET(AC$1,$K97-1,0))),IFERROR(1/0))</f>
        <v/>
      </c>
      <c r="E97" s="1599" t="str">
        <f t="shared" si="96"/>
        <v/>
      </c>
      <c r="F97" s="1607"/>
      <c r="G97" s="1575"/>
      <c r="H97" s="1599"/>
      <c r="I97" s="783"/>
      <c r="J97" s="782"/>
      <c r="K97" s="1602" t="str">
        <f t="shared" si="11"/>
        <v/>
      </c>
      <c r="L97" s="783"/>
      <c r="M97" s="1604"/>
      <c r="N97" s="1553"/>
      <c r="O97" s="1553"/>
      <c r="P97" s="826"/>
      <c r="Q97" s="826"/>
      <c r="R97" s="1553"/>
      <c r="S97" s="1553" t="str">
        <f t="shared" si="5"/>
        <v/>
      </c>
      <c r="T97" s="1553" t="str">
        <f t="shared" si="6"/>
        <v/>
      </c>
      <c r="U97" s="1553" t="str">
        <f t="shared" si="7"/>
        <v/>
      </c>
      <c r="V97" s="826"/>
      <c r="W97" s="826"/>
      <c r="X97" s="826"/>
      <c r="Y97" s="826"/>
      <c r="Z97" s="826"/>
      <c r="AA97" s="792"/>
      <c r="AB97" s="1586"/>
      <c r="AC97" s="1557" t="str">
        <f>IFERROR(__xludf.DUMMYFUNCTION("IF(LEN($AB97),IFERROR(query(INDIRECT($AG$12),""SELECT ""&amp;$AG$4&amp;"" WHERE ""&amp;$AG$8&amp;"" = '""&amp;$X97&amp;""' AND ""&amp;$AG$5&amp;"" &lt;= date '""&amp;TEXT(DATEVALUE(AC$2),""yyyy-mm-dd"")&amp;""' ORDER BY ""&amp;$AG$5&amp;"" DESC,""&amp;$AG$6&amp;"" DESC LIMIT 1"",0),0),IFERROR(1/0))"),"")</f>
        <v/>
      </c>
      <c r="AD97" s="1557" t="str">
        <f>IFERROR(__xludf.DUMMYFUNCTION("IF(LEN($AB97),IFERROR(query(INDIRECT($AG$12),""SELECT ""&amp;$AG$4&amp;"" WHERE ""&amp;$AG$8&amp;"" = '""&amp;$X97&amp;""' AND ""&amp;$AG$5&amp;"" &lt;= date '""&amp;TEXT(DATEVALUE(AD$2),""yyyy-mm-dd"")&amp;""' ORDER BY ""&amp;$AG$5&amp;"" DESC,""&amp;$AG$6&amp;"" DESC LIMIT 1"",0),0),IFERROR(1/0))"),"")</f>
        <v/>
      </c>
      <c r="AE97" s="792"/>
      <c r="AF97" s="824"/>
      <c r="AG97" s="824"/>
    </row>
    <row r="98">
      <c r="A98" s="1605"/>
      <c r="B98" s="1573"/>
      <c r="C98" s="1573"/>
      <c r="D98" s="1599" t="str">
        <f t="shared" ref="D98:E98" si="97">if(isdate(D$8),IF($J98=$N$4,if(isblank(AC$2),iferror(1/0),SUMIF($W$7:$W127,$B98,AC$7:AC127)),IF(ISBLANK($J98),IFERROR(1/0),OFFSET(AC$1,$K98-1,0))),IFERROR(1/0))</f>
        <v/>
      </c>
      <c r="E98" s="1599" t="str">
        <f t="shared" si="97"/>
        <v/>
      </c>
      <c r="F98" s="1607"/>
      <c r="G98" s="1575"/>
      <c r="H98" s="1599"/>
      <c r="I98" s="783"/>
      <c r="J98" s="782"/>
      <c r="K98" s="1602" t="str">
        <f t="shared" si="11"/>
        <v/>
      </c>
      <c r="L98" s="783"/>
      <c r="M98" s="1604"/>
      <c r="N98" s="1553"/>
      <c r="O98" s="1553"/>
      <c r="P98" s="826"/>
      <c r="Q98" s="826"/>
      <c r="R98" s="1553"/>
      <c r="S98" s="1553" t="str">
        <f t="shared" si="5"/>
        <v/>
      </c>
      <c r="T98" s="1553" t="str">
        <f t="shared" si="6"/>
        <v/>
      </c>
      <c r="U98" s="1553" t="str">
        <f t="shared" si="7"/>
        <v/>
      </c>
      <c r="V98" s="826"/>
      <c r="W98" s="826"/>
      <c r="X98" s="826"/>
      <c r="Y98" s="826"/>
      <c r="Z98" s="826"/>
      <c r="AA98" s="792"/>
      <c r="AB98" s="1586"/>
      <c r="AC98" s="1557" t="str">
        <f>IFERROR(__xludf.DUMMYFUNCTION("IF(LEN($AB98),IFERROR(query(INDIRECT($AG$12),""SELECT ""&amp;$AG$4&amp;"" WHERE ""&amp;$AG$8&amp;"" = '""&amp;$X98&amp;""' AND ""&amp;$AG$5&amp;"" &lt;= date '""&amp;TEXT(DATEVALUE(AC$2),""yyyy-mm-dd"")&amp;""' ORDER BY ""&amp;$AG$5&amp;"" DESC,""&amp;$AG$6&amp;"" DESC LIMIT 1"",0),0),IFERROR(1/0))"),"")</f>
        <v/>
      </c>
      <c r="AD98" s="1557" t="str">
        <f>IFERROR(__xludf.DUMMYFUNCTION("IF(LEN($AB98),IFERROR(query(INDIRECT($AG$12),""SELECT ""&amp;$AG$4&amp;"" WHERE ""&amp;$AG$8&amp;"" = '""&amp;$X98&amp;""' AND ""&amp;$AG$5&amp;"" &lt;= date '""&amp;TEXT(DATEVALUE(AD$2),""yyyy-mm-dd"")&amp;""' ORDER BY ""&amp;$AG$5&amp;"" DESC,""&amp;$AG$6&amp;"" DESC LIMIT 1"",0),0),IFERROR(1/0))"),"")</f>
        <v/>
      </c>
      <c r="AE98" s="792"/>
      <c r="AF98" s="824"/>
      <c r="AG98" s="824"/>
    </row>
    <row r="99">
      <c r="A99" s="1605"/>
      <c r="B99" s="1573"/>
      <c r="C99" s="1573"/>
      <c r="D99" s="1599" t="str">
        <f t="shared" ref="D99:E99" si="98">if(isdate(D$8),IF($J99=$N$4,if(isblank(AC$2),iferror(1/0),SUMIF($W$7:$W127,$B99,AC$7:AC127)),IF(ISBLANK($J99),IFERROR(1/0),OFFSET(AC$1,$K99-1,0))),IFERROR(1/0))</f>
        <v/>
      </c>
      <c r="E99" s="1599" t="str">
        <f t="shared" si="98"/>
        <v/>
      </c>
      <c r="F99" s="1607"/>
      <c r="G99" s="1575"/>
      <c r="H99" s="1599"/>
      <c r="I99" s="783"/>
      <c r="J99" s="782"/>
      <c r="K99" s="1602" t="str">
        <f t="shared" si="11"/>
        <v/>
      </c>
      <c r="L99" s="783"/>
      <c r="M99" s="1604"/>
      <c r="N99" s="1553"/>
      <c r="O99" s="1553"/>
      <c r="P99" s="826"/>
      <c r="Q99" s="826"/>
      <c r="R99" s="1553"/>
      <c r="S99" s="1553" t="str">
        <f t="shared" si="5"/>
        <v/>
      </c>
      <c r="T99" s="1553" t="str">
        <f t="shared" si="6"/>
        <v/>
      </c>
      <c r="U99" s="1553" t="str">
        <f t="shared" si="7"/>
        <v/>
      </c>
      <c r="V99" s="826"/>
      <c r="W99" s="826"/>
      <c r="X99" s="826"/>
      <c r="Y99" s="826"/>
      <c r="Z99" s="826"/>
      <c r="AA99" s="792"/>
      <c r="AB99" s="1586"/>
      <c r="AC99" s="1557" t="str">
        <f>IFERROR(__xludf.DUMMYFUNCTION("IF(LEN($AB99),IFERROR(query(INDIRECT($AG$12),""SELECT ""&amp;$AG$4&amp;"" WHERE ""&amp;$AG$8&amp;"" = '""&amp;$X99&amp;""' AND ""&amp;$AG$5&amp;"" &lt;= date '""&amp;TEXT(DATEVALUE(AC$2),""yyyy-mm-dd"")&amp;""' ORDER BY ""&amp;$AG$5&amp;"" DESC,""&amp;$AG$6&amp;"" DESC LIMIT 1"",0),0),IFERROR(1/0))"),"")</f>
        <v/>
      </c>
      <c r="AD99" s="1557" t="str">
        <f>IFERROR(__xludf.DUMMYFUNCTION("IF(LEN($AB99),IFERROR(query(INDIRECT($AG$12),""SELECT ""&amp;$AG$4&amp;"" WHERE ""&amp;$AG$8&amp;"" = '""&amp;$X99&amp;""' AND ""&amp;$AG$5&amp;"" &lt;= date '""&amp;TEXT(DATEVALUE(AD$2),""yyyy-mm-dd"")&amp;""' ORDER BY ""&amp;$AG$5&amp;"" DESC,""&amp;$AG$6&amp;"" DESC LIMIT 1"",0),0),IFERROR(1/0))"),"")</f>
        <v/>
      </c>
      <c r="AE99" s="792"/>
      <c r="AF99" s="824"/>
      <c r="AG99" s="824"/>
    </row>
    <row r="100">
      <c r="A100" s="1605"/>
      <c r="B100" s="1573"/>
      <c r="C100" s="1573"/>
      <c r="D100" s="1599" t="str">
        <f t="shared" ref="D100:E100" si="99">if(isdate(D$8),IF($J100=$N$4,if(isblank(AC$2),iferror(1/0),SUMIF($W$7:$W127,$B100,AC$7:AC127)),IF(ISBLANK($J100),IFERROR(1/0),OFFSET(AC$1,$K100-1,0))),IFERROR(1/0))</f>
        <v/>
      </c>
      <c r="E100" s="1599" t="str">
        <f t="shared" si="99"/>
        <v/>
      </c>
      <c r="F100" s="1607"/>
      <c r="G100" s="1575"/>
      <c r="H100" s="1599"/>
      <c r="I100" s="783"/>
      <c r="J100" s="782"/>
      <c r="K100" s="1602" t="str">
        <f t="shared" si="11"/>
        <v/>
      </c>
      <c r="L100" s="783"/>
      <c r="M100" s="1604"/>
      <c r="N100" s="1553"/>
      <c r="O100" s="1553"/>
      <c r="P100" s="826"/>
      <c r="Q100" s="826"/>
      <c r="R100" s="1553"/>
      <c r="S100" s="1553" t="str">
        <f t="shared" si="5"/>
        <v/>
      </c>
      <c r="T100" s="1553" t="str">
        <f t="shared" si="6"/>
        <v/>
      </c>
      <c r="U100" s="1553" t="str">
        <f t="shared" si="7"/>
        <v/>
      </c>
      <c r="V100" s="826"/>
      <c r="W100" s="826"/>
      <c r="X100" s="826"/>
      <c r="Y100" s="826"/>
      <c r="Z100" s="826"/>
      <c r="AA100" s="792"/>
      <c r="AB100" s="1586"/>
      <c r="AC100" s="1557" t="str">
        <f>IFERROR(__xludf.DUMMYFUNCTION("IF(LEN($AB100),IFERROR(query(INDIRECT($AG$12),""SELECT ""&amp;$AG$4&amp;"" WHERE ""&amp;$AG$8&amp;"" = '""&amp;$X100&amp;""' AND ""&amp;$AG$5&amp;"" &lt;= date '""&amp;TEXT(DATEVALUE(AC$2),""yyyy-mm-dd"")&amp;""' ORDER BY ""&amp;$AG$5&amp;"" DESC,""&amp;$AG$6&amp;"" DESC LIMIT 1"",0),0),IFERROR(1/0))"),"")</f>
        <v/>
      </c>
      <c r="AD100" s="1557" t="str">
        <f>IFERROR(__xludf.DUMMYFUNCTION("IF(LEN($AB100),IFERROR(query(INDIRECT($AG$12),""SELECT ""&amp;$AG$4&amp;"" WHERE ""&amp;$AG$8&amp;"" = '""&amp;$X100&amp;""' AND ""&amp;$AG$5&amp;"" &lt;= date '""&amp;TEXT(DATEVALUE(AD$2),""yyyy-mm-dd"")&amp;""' ORDER BY ""&amp;$AG$5&amp;"" DESC,""&amp;$AG$6&amp;"" DESC LIMIT 1"",0),0),IFERROR(1/0))"),"")</f>
        <v/>
      </c>
      <c r="AE100" s="792"/>
      <c r="AF100" s="824"/>
      <c r="AG100" s="824"/>
    </row>
    <row r="101">
      <c r="A101" s="1605"/>
      <c r="B101" s="1573"/>
      <c r="C101" s="1573"/>
      <c r="D101" s="1599" t="str">
        <f t="shared" ref="D101:E101" si="100">if(isdate(D$8),IF($J101=$N$4,if(isblank(AC$2),iferror(1/0),SUMIF($W$7:$W127,$B101,AC$7:AC127)),IF(ISBLANK($J101),IFERROR(1/0),OFFSET(AC$1,$K101-1,0))),IFERROR(1/0))</f>
        <v/>
      </c>
      <c r="E101" s="1599" t="str">
        <f t="shared" si="100"/>
        <v/>
      </c>
      <c r="F101" s="1607"/>
      <c r="G101" s="1575"/>
      <c r="H101" s="1599"/>
      <c r="I101" s="783"/>
      <c r="J101" s="782"/>
      <c r="K101" s="1602" t="str">
        <f t="shared" si="11"/>
        <v/>
      </c>
      <c r="L101" s="783"/>
      <c r="M101" s="1604"/>
      <c r="N101" s="1553"/>
      <c r="O101" s="1553"/>
      <c r="P101" s="826"/>
      <c r="Q101" s="826"/>
      <c r="R101" s="1553"/>
      <c r="S101" s="1553" t="str">
        <f t="shared" si="5"/>
        <v/>
      </c>
      <c r="T101" s="1553" t="str">
        <f t="shared" si="6"/>
        <v/>
      </c>
      <c r="U101" s="1553" t="str">
        <f t="shared" si="7"/>
        <v/>
      </c>
      <c r="V101" s="826"/>
      <c r="W101" s="826"/>
      <c r="X101" s="826"/>
      <c r="Y101" s="826"/>
      <c r="Z101" s="826"/>
      <c r="AA101" s="792"/>
      <c r="AB101" s="1586"/>
      <c r="AC101" s="1557" t="str">
        <f>IFERROR(__xludf.DUMMYFUNCTION("IF(LEN($AB101),IFERROR(query(INDIRECT($AG$12),""SELECT ""&amp;$AG$4&amp;"" WHERE ""&amp;$AG$8&amp;"" = '""&amp;$X101&amp;""' AND ""&amp;$AG$5&amp;"" &lt;= date '""&amp;TEXT(DATEVALUE(AC$2),""yyyy-mm-dd"")&amp;""' ORDER BY ""&amp;$AG$5&amp;"" DESC,""&amp;$AG$6&amp;"" DESC LIMIT 1"",0),0),IFERROR(1/0))"),"")</f>
        <v/>
      </c>
      <c r="AD101" s="1557" t="str">
        <f>IFERROR(__xludf.DUMMYFUNCTION("IF(LEN($AB101),IFERROR(query(INDIRECT($AG$12),""SELECT ""&amp;$AG$4&amp;"" WHERE ""&amp;$AG$8&amp;"" = '""&amp;$X101&amp;""' AND ""&amp;$AG$5&amp;"" &lt;= date '""&amp;TEXT(DATEVALUE(AD$2),""yyyy-mm-dd"")&amp;""' ORDER BY ""&amp;$AG$5&amp;"" DESC,""&amp;$AG$6&amp;"" DESC LIMIT 1"",0),0),IFERROR(1/0))"),"")</f>
        <v/>
      </c>
      <c r="AE101" s="792"/>
      <c r="AF101" s="824"/>
      <c r="AG101" s="824"/>
    </row>
    <row r="102">
      <c r="A102" s="1605"/>
      <c r="B102" s="1573"/>
      <c r="C102" s="1573"/>
      <c r="D102" s="1599" t="str">
        <f t="shared" ref="D102:E102" si="101">if(isdate(D$8),IF($J102=$N$4,if(isblank(AC$2),iferror(1/0),SUMIF($W$7:$W127,$B102,AC$7:AC127)),IF(ISBLANK($J102),IFERROR(1/0),OFFSET(AC$1,$K102-1,0))),IFERROR(1/0))</f>
        <v/>
      </c>
      <c r="E102" s="1599" t="str">
        <f t="shared" si="101"/>
        <v/>
      </c>
      <c r="F102" s="1607"/>
      <c r="G102" s="1575"/>
      <c r="H102" s="1599"/>
      <c r="I102" s="783"/>
      <c r="J102" s="782"/>
      <c r="K102" s="1602" t="str">
        <f t="shared" si="11"/>
        <v/>
      </c>
      <c r="L102" s="783"/>
      <c r="M102" s="1604"/>
      <c r="N102" s="1553"/>
      <c r="O102" s="1553"/>
      <c r="P102" s="826"/>
      <c r="Q102" s="826"/>
      <c r="R102" s="1553"/>
      <c r="S102" s="1553" t="str">
        <f t="shared" si="5"/>
        <v/>
      </c>
      <c r="T102" s="1553" t="str">
        <f t="shared" si="6"/>
        <v/>
      </c>
      <c r="U102" s="1553" t="str">
        <f t="shared" si="7"/>
        <v/>
      </c>
      <c r="V102" s="826"/>
      <c r="W102" s="826"/>
      <c r="X102" s="826"/>
      <c r="Y102" s="826"/>
      <c r="Z102" s="826"/>
      <c r="AA102" s="792"/>
      <c r="AB102" s="1586"/>
      <c r="AC102" s="1557" t="str">
        <f>IFERROR(__xludf.DUMMYFUNCTION("IF(LEN($AB102),IFERROR(query(INDIRECT($AG$12),""SELECT ""&amp;$AG$4&amp;"" WHERE ""&amp;$AG$8&amp;"" = '""&amp;$X102&amp;""' AND ""&amp;$AG$5&amp;"" &lt;= date '""&amp;TEXT(DATEVALUE(AC$2),""yyyy-mm-dd"")&amp;""' ORDER BY ""&amp;$AG$5&amp;"" DESC,""&amp;$AG$6&amp;"" DESC LIMIT 1"",0),0),IFERROR(1/0))"),"")</f>
        <v/>
      </c>
      <c r="AD102" s="1557" t="str">
        <f>IFERROR(__xludf.DUMMYFUNCTION("IF(LEN($AB102),IFERROR(query(INDIRECT($AG$12),""SELECT ""&amp;$AG$4&amp;"" WHERE ""&amp;$AG$8&amp;"" = '""&amp;$X102&amp;""' AND ""&amp;$AG$5&amp;"" &lt;= date '""&amp;TEXT(DATEVALUE(AD$2),""yyyy-mm-dd"")&amp;""' ORDER BY ""&amp;$AG$5&amp;"" DESC,""&amp;$AG$6&amp;"" DESC LIMIT 1"",0),0),IFERROR(1/0))"),"")</f>
        <v/>
      </c>
      <c r="AE102" s="792"/>
      <c r="AF102" s="824"/>
      <c r="AG102" s="824"/>
    </row>
    <row r="103">
      <c r="A103" s="1605"/>
      <c r="B103" s="1573"/>
      <c r="C103" s="1573"/>
      <c r="D103" s="1599" t="str">
        <f t="shared" ref="D103:E103" si="102">if(isdate(D$8),IF($J103=$N$4,if(isblank(AC$2),iferror(1/0),SUMIF($W$7:$W127,$B103,AC$7:AC127)),IF(ISBLANK($J103),IFERROR(1/0),OFFSET(AC$1,$K103-1,0))),IFERROR(1/0))</f>
        <v/>
      </c>
      <c r="E103" s="1599" t="str">
        <f t="shared" si="102"/>
        <v/>
      </c>
      <c r="F103" s="1607"/>
      <c r="G103" s="1575"/>
      <c r="H103" s="1599"/>
      <c r="I103" s="783"/>
      <c r="J103" s="782"/>
      <c r="K103" s="1602" t="str">
        <f t="shared" si="11"/>
        <v/>
      </c>
      <c r="L103" s="783"/>
      <c r="M103" s="1604"/>
      <c r="N103" s="1553"/>
      <c r="O103" s="1553"/>
      <c r="P103" s="826"/>
      <c r="Q103" s="826"/>
      <c r="R103" s="1553"/>
      <c r="S103" s="1553" t="str">
        <f t="shared" si="5"/>
        <v/>
      </c>
      <c r="T103" s="1553" t="str">
        <f t="shared" si="6"/>
        <v/>
      </c>
      <c r="U103" s="1553" t="str">
        <f t="shared" si="7"/>
        <v/>
      </c>
      <c r="V103" s="826"/>
      <c r="W103" s="826"/>
      <c r="X103" s="826"/>
      <c r="Y103" s="826"/>
      <c r="Z103" s="826"/>
      <c r="AA103" s="792"/>
      <c r="AB103" s="1586"/>
      <c r="AC103" s="1557" t="str">
        <f>IFERROR(__xludf.DUMMYFUNCTION("IF(LEN($AB103),IFERROR(query(INDIRECT($AG$12),""SELECT ""&amp;$AG$4&amp;"" WHERE ""&amp;$AG$8&amp;"" = '""&amp;$X103&amp;""' AND ""&amp;$AG$5&amp;"" &lt;= date '""&amp;TEXT(DATEVALUE(AC$2),""yyyy-mm-dd"")&amp;""' ORDER BY ""&amp;$AG$5&amp;"" DESC,""&amp;$AG$6&amp;"" DESC LIMIT 1"",0),0),IFERROR(1/0))"),"")</f>
        <v/>
      </c>
      <c r="AD103" s="1557" t="str">
        <f>IFERROR(__xludf.DUMMYFUNCTION("IF(LEN($AB103),IFERROR(query(INDIRECT($AG$12),""SELECT ""&amp;$AG$4&amp;"" WHERE ""&amp;$AG$8&amp;"" = '""&amp;$X103&amp;""' AND ""&amp;$AG$5&amp;"" &lt;= date '""&amp;TEXT(DATEVALUE(AD$2),""yyyy-mm-dd"")&amp;""' ORDER BY ""&amp;$AG$5&amp;"" DESC,""&amp;$AG$6&amp;"" DESC LIMIT 1"",0),0),IFERROR(1/0))"),"")</f>
        <v/>
      </c>
      <c r="AE103" s="792"/>
      <c r="AF103" s="824"/>
      <c r="AG103" s="824"/>
    </row>
    <row r="104">
      <c r="A104" s="1605"/>
      <c r="B104" s="1573"/>
      <c r="C104" s="1573"/>
      <c r="D104" s="1599" t="str">
        <f t="shared" ref="D104:E104" si="103">if(isdate(D$8),IF($J104=$N$4,if(isblank(AC$2),iferror(1/0),SUMIF($W$7:$W127,$B104,AC$7:AC127)),IF(ISBLANK($J104),IFERROR(1/0),OFFSET(AC$1,$K104-1,0))),IFERROR(1/0))</f>
        <v/>
      </c>
      <c r="E104" s="1599" t="str">
        <f t="shared" si="103"/>
        <v/>
      </c>
      <c r="F104" s="1607"/>
      <c r="G104" s="1575"/>
      <c r="H104" s="1599"/>
      <c r="I104" s="783"/>
      <c r="J104" s="782"/>
      <c r="K104" s="1602" t="str">
        <f t="shared" si="11"/>
        <v/>
      </c>
      <c r="L104" s="783"/>
      <c r="M104" s="1604"/>
      <c r="N104" s="1553"/>
      <c r="O104" s="1553"/>
      <c r="P104" s="826"/>
      <c r="Q104" s="826"/>
      <c r="R104" s="1553"/>
      <c r="S104" s="1553" t="str">
        <f t="shared" si="5"/>
        <v/>
      </c>
      <c r="T104" s="1553" t="str">
        <f t="shared" si="6"/>
        <v/>
      </c>
      <c r="U104" s="1553" t="str">
        <f t="shared" si="7"/>
        <v/>
      </c>
      <c r="V104" s="826"/>
      <c r="W104" s="826"/>
      <c r="X104" s="826"/>
      <c r="Y104" s="826"/>
      <c r="Z104" s="826"/>
      <c r="AA104" s="792"/>
      <c r="AB104" s="1586"/>
      <c r="AC104" s="1557" t="str">
        <f>IFERROR(__xludf.DUMMYFUNCTION("IF(LEN($AB104),IFERROR(query(INDIRECT($AG$12),""SELECT ""&amp;$AG$4&amp;"" WHERE ""&amp;$AG$8&amp;"" = '""&amp;$X104&amp;""' AND ""&amp;$AG$5&amp;"" &lt;= date '""&amp;TEXT(DATEVALUE(AC$2),""yyyy-mm-dd"")&amp;""' ORDER BY ""&amp;$AG$5&amp;"" DESC,""&amp;$AG$6&amp;"" DESC LIMIT 1"",0),0),IFERROR(1/0))"),"")</f>
        <v/>
      </c>
      <c r="AD104" s="1557" t="str">
        <f>IFERROR(__xludf.DUMMYFUNCTION("IF(LEN($AB104),IFERROR(query(INDIRECT($AG$12),""SELECT ""&amp;$AG$4&amp;"" WHERE ""&amp;$AG$8&amp;"" = '""&amp;$X104&amp;""' AND ""&amp;$AG$5&amp;"" &lt;= date '""&amp;TEXT(DATEVALUE(AD$2),""yyyy-mm-dd"")&amp;""' ORDER BY ""&amp;$AG$5&amp;"" DESC,""&amp;$AG$6&amp;"" DESC LIMIT 1"",0),0),IFERROR(1/0))"),"")</f>
        <v/>
      </c>
      <c r="AE104" s="792"/>
      <c r="AF104" s="824"/>
      <c r="AG104" s="824"/>
    </row>
    <row r="105">
      <c r="A105" s="1605"/>
      <c r="B105" s="1573"/>
      <c r="C105" s="1573"/>
      <c r="D105" s="1599" t="str">
        <f t="shared" ref="D105:E105" si="104">if(isdate(D$8),IF($J105=$N$4,if(isblank(AC$2),iferror(1/0),SUMIF($W$7:$W127,$B105,AC$7:AC127)),IF(ISBLANK($J105),IFERROR(1/0),OFFSET(AC$1,$K105-1,0))),IFERROR(1/0))</f>
        <v/>
      </c>
      <c r="E105" s="1599" t="str">
        <f t="shared" si="104"/>
        <v/>
      </c>
      <c r="F105" s="1607"/>
      <c r="G105" s="1575"/>
      <c r="H105" s="1599"/>
      <c r="I105" s="783"/>
      <c r="J105" s="782"/>
      <c r="K105" s="1602" t="str">
        <f t="shared" si="11"/>
        <v/>
      </c>
      <c r="L105" s="783"/>
      <c r="M105" s="1604"/>
      <c r="N105" s="1553"/>
      <c r="O105" s="1553"/>
      <c r="P105" s="826"/>
      <c r="Q105" s="826"/>
      <c r="R105" s="1553"/>
      <c r="S105" s="1553" t="str">
        <f t="shared" si="5"/>
        <v/>
      </c>
      <c r="T105" s="1553" t="str">
        <f t="shared" si="6"/>
        <v/>
      </c>
      <c r="U105" s="1553" t="str">
        <f t="shared" si="7"/>
        <v/>
      </c>
      <c r="V105" s="826"/>
      <c r="W105" s="826"/>
      <c r="X105" s="826"/>
      <c r="Y105" s="826"/>
      <c r="Z105" s="826"/>
      <c r="AA105" s="792"/>
      <c r="AB105" s="1586"/>
      <c r="AC105" s="1557" t="str">
        <f>IFERROR(__xludf.DUMMYFUNCTION("IF(LEN($AB105),IFERROR(query(INDIRECT($AG$12),""SELECT ""&amp;$AG$4&amp;"" WHERE ""&amp;$AG$8&amp;"" = '""&amp;$X105&amp;""' AND ""&amp;$AG$5&amp;"" &lt;= date '""&amp;TEXT(DATEVALUE(AC$2),""yyyy-mm-dd"")&amp;""' ORDER BY ""&amp;$AG$5&amp;"" DESC,""&amp;$AG$6&amp;"" DESC LIMIT 1"",0),0),IFERROR(1/0))"),"")</f>
        <v/>
      </c>
      <c r="AD105" s="1557" t="str">
        <f>IFERROR(__xludf.DUMMYFUNCTION("IF(LEN($AB105),IFERROR(query(INDIRECT($AG$12),""SELECT ""&amp;$AG$4&amp;"" WHERE ""&amp;$AG$8&amp;"" = '""&amp;$X105&amp;""' AND ""&amp;$AG$5&amp;"" &lt;= date '""&amp;TEXT(DATEVALUE(AD$2),""yyyy-mm-dd"")&amp;""' ORDER BY ""&amp;$AG$5&amp;"" DESC,""&amp;$AG$6&amp;"" DESC LIMIT 1"",0),0),IFERROR(1/0))"),"")</f>
        <v/>
      </c>
      <c r="AE105" s="792"/>
      <c r="AF105" s="824"/>
      <c r="AG105" s="824"/>
    </row>
    <row r="106">
      <c r="A106" s="1605"/>
      <c r="B106" s="1573"/>
      <c r="C106" s="1573"/>
      <c r="D106" s="1599" t="str">
        <f t="shared" ref="D106:E106" si="105">if(isdate(D$8),IF($J106=$N$4,if(isblank(AC$2),iferror(1/0),SUMIF($W$7:$W127,$B106,AC$7:AC127)),IF(ISBLANK($J106),IFERROR(1/0),OFFSET(AC$1,$K106-1,0))),IFERROR(1/0))</f>
        <v/>
      </c>
      <c r="E106" s="1599" t="str">
        <f t="shared" si="105"/>
        <v/>
      </c>
      <c r="F106" s="1607"/>
      <c r="G106" s="1575"/>
      <c r="H106" s="1599"/>
      <c r="I106" s="783"/>
      <c r="J106" s="782"/>
      <c r="K106" s="1602" t="str">
        <f t="shared" si="11"/>
        <v/>
      </c>
      <c r="L106" s="783"/>
      <c r="M106" s="1604"/>
      <c r="N106" s="1553"/>
      <c r="O106" s="1553"/>
      <c r="P106" s="826"/>
      <c r="Q106" s="826"/>
      <c r="R106" s="1553"/>
      <c r="S106" s="1553" t="str">
        <f t="shared" si="5"/>
        <v/>
      </c>
      <c r="T106" s="1553" t="str">
        <f t="shared" si="6"/>
        <v/>
      </c>
      <c r="U106" s="1553" t="str">
        <f t="shared" si="7"/>
        <v/>
      </c>
      <c r="V106" s="826"/>
      <c r="W106" s="826"/>
      <c r="X106" s="826"/>
      <c r="Y106" s="826"/>
      <c r="Z106" s="826"/>
      <c r="AA106" s="792"/>
      <c r="AB106" s="1586"/>
      <c r="AC106" s="1557" t="str">
        <f>IFERROR(__xludf.DUMMYFUNCTION("IF(LEN($AB106),IFERROR(query(INDIRECT($AG$12),""SELECT ""&amp;$AG$4&amp;"" WHERE ""&amp;$AG$8&amp;"" = '""&amp;$X106&amp;""' AND ""&amp;$AG$5&amp;"" &lt;= date '""&amp;TEXT(DATEVALUE(AC$2),""yyyy-mm-dd"")&amp;""' ORDER BY ""&amp;$AG$5&amp;"" DESC,""&amp;$AG$6&amp;"" DESC LIMIT 1"",0),0),IFERROR(1/0))"),"")</f>
        <v/>
      </c>
      <c r="AD106" s="1557" t="str">
        <f>IFERROR(__xludf.DUMMYFUNCTION("IF(LEN($AB106),IFERROR(query(INDIRECT($AG$12),""SELECT ""&amp;$AG$4&amp;"" WHERE ""&amp;$AG$8&amp;"" = '""&amp;$X106&amp;""' AND ""&amp;$AG$5&amp;"" &lt;= date '""&amp;TEXT(DATEVALUE(AD$2),""yyyy-mm-dd"")&amp;""' ORDER BY ""&amp;$AG$5&amp;"" DESC,""&amp;$AG$6&amp;"" DESC LIMIT 1"",0),0),IFERROR(1/0))"),"")</f>
        <v/>
      </c>
      <c r="AE106" s="792"/>
      <c r="AF106" s="824"/>
      <c r="AG106" s="824"/>
    </row>
    <row r="107">
      <c r="A107" s="1605"/>
      <c r="B107" s="1573"/>
      <c r="C107" s="1573"/>
      <c r="D107" s="1599" t="str">
        <f t="shared" ref="D107:E107" si="106">if(isdate(D$8),IF($J107=$N$4,if(isblank(AC$2),iferror(1/0),SUMIF($W$7:$W127,$B107,AC$7:AC127)),IF(ISBLANK($J107),IFERROR(1/0),OFFSET(AC$1,$K107-1,0))),IFERROR(1/0))</f>
        <v/>
      </c>
      <c r="E107" s="1599" t="str">
        <f t="shared" si="106"/>
        <v/>
      </c>
      <c r="F107" s="1607"/>
      <c r="G107" s="1575"/>
      <c r="H107" s="1599"/>
      <c r="I107" s="783"/>
      <c r="J107" s="782"/>
      <c r="K107" s="1602" t="str">
        <f t="shared" si="11"/>
        <v/>
      </c>
      <c r="L107" s="783"/>
      <c r="M107" s="1604"/>
      <c r="N107" s="1553"/>
      <c r="O107" s="1553"/>
      <c r="P107" s="826"/>
      <c r="Q107" s="826"/>
      <c r="R107" s="1553"/>
      <c r="S107" s="1553" t="str">
        <f t="shared" si="5"/>
        <v/>
      </c>
      <c r="T107" s="1553" t="str">
        <f t="shared" si="6"/>
        <v/>
      </c>
      <c r="U107" s="1553" t="str">
        <f t="shared" si="7"/>
        <v/>
      </c>
      <c r="V107" s="826"/>
      <c r="W107" s="826"/>
      <c r="X107" s="826"/>
      <c r="Y107" s="826"/>
      <c r="Z107" s="826"/>
      <c r="AA107" s="792"/>
      <c r="AB107" s="1586"/>
      <c r="AC107" s="1557" t="str">
        <f>IFERROR(__xludf.DUMMYFUNCTION("IF(LEN($AB107),IFERROR(query(INDIRECT($AG$12),""SELECT ""&amp;$AG$4&amp;"" WHERE ""&amp;$AG$8&amp;"" = '""&amp;$X107&amp;""' AND ""&amp;$AG$5&amp;"" &lt;= date '""&amp;TEXT(DATEVALUE(AC$2),""yyyy-mm-dd"")&amp;""' ORDER BY ""&amp;$AG$5&amp;"" DESC,""&amp;$AG$6&amp;"" DESC LIMIT 1"",0),0),IFERROR(1/0))"),"")</f>
        <v/>
      </c>
      <c r="AD107" s="1557" t="str">
        <f>IFERROR(__xludf.DUMMYFUNCTION("IF(LEN($AB107),IFERROR(query(INDIRECT($AG$12),""SELECT ""&amp;$AG$4&amp;"" WHERE ""&amp;$AG$8&amp;"" = '""&amp;$X107&amp;""' AND ""&amp;$AG$5&amp;"" &lt;= date '""&amp;TEXT(DATEVALUE(AD$2),""yyyy-mm-dd"")&amp;""' ORDER BY ""&amp;$AG$5&amp;"" DESC,""&amp;$AG$6&amp;"" DESC LIMIT 1"",0),0),IFERROR(1/0))"),"")</f>
        <v/>
      </c>
      <c r="AE107" s="792"/>
      <c r="AF107" s="824"/>
      <c r="AG107" s="824"/>
    </row>
    <row r="108">
      <c r="A108" s="1605"/>
      <c r="B108" s="1573"/>
      <c r="C108" s="1573"/>
      <c r="D108" s="1599" t="str">
        <f t="shared" ref="D108:E108" si="107">if(isdate(D$8),IF($J108=$N$4,if(isblank(AC$2),iferror(1/0),SUMIF($W$7:$W127,$B108,AC$7:AC127)),IF(ISBLANK($J108),IFERROR(1/0),OFFSET(AC$1,$K108-1,0))),IFERROR(1/0))</f>
        <v/>
      </c>
      <c r="E108" s="1599" t="str">
        <f t="shared" si="107"/>
        <v/>
      </c>
      <c r="F108" s="1607"/>
      <c r="G108" s="1575"/>
      <c r="H108" s="1599"/>
      <c r="I108" s="783"/>
      <c r="J108" s="782"/>
      <c r="K108" s="1602" t="str">
        <f t="shared" si="11"/>
        <v/>
      </c>
      <c r="L108" s="783"/>
      <c r="M108" s="1604"/>
      <c r="N108" s="1553"/>
      <c r="O108" s="1553"/>
      <c r="P108" s="826"/>
      <c r="Q108" s="826"/>
      <c r="R108" s="1553"/>
      <c r="S108" s="1553" t="str">
        <f t="shared" si="5"/>
        <v/>
      </c>
      <c r="T108" s="1553" t="str">
        <f t="shared" si="6"/>
        <v/>
      </c>
      <c r="U108" s="1553" t="str">
        <f t="shared" si="7"/>
        <v/>
      </c>
      <c r="V108" s="826"/>
      <c r="W108" s="826"/>
      <c r="X108" s="826"/>
      <c r="Y108" s="826"/>
      <c r="Z108" s="826"/>
      <c r="AA108" s="792"/>
      <c r="AB108" s="1586"/>
      <c r="AC108" s="1557" t="str">
        <f>IFERROR(__xludf.DUMMYFUNCTION("IF(LEN($AB108),IFERROR(query(INDIRECT($AG$12),""SELECT ""&amp;$AG$4&amp;"" WHERE ""&amp;$AG$8&amp;"" = '""&amp;$X108&amp;""' AND ""&amp;$AG$5&amp;"" &lt;= date '""&amp;TEXT(DATEVALUE(AC$2),""yyyy-mm-dd"")&amp;""' ORDER BY ""&amp;$AG$5&amp;"" DESC,""&amp;$AG$6&amp;"" DESC LIMIT 1"",0),0),IFERROR(1/0))"),"")</f>
        <v/>
      </c>
      <c r="AD108" s="1557" t="str">
        <f>IFERROR(__xludf.DUMMYFUNCTION("IF(LEN($AB108),IFERROR(query(INDIRECT($AG$12),""SELECT ""&amp;$AG$4&amp;"" WHERE ""&amp;$AG$8&amp;"" = '""&amp;$X108&amp;""' AND ""&amp;$AG$5&amp;"" &lt;= date '""&amp;TEXT(DATEVALUE(AD$2),""yyyy-mm-dd"")&amp;""' ORDER BY ""&amp;$AG$5&amp;"" DESC,""&amp;$AG$6&amp;"" DESC LIMIT 1"",0),0),IFERROR(1/0))"),"")</f>
        <v/>
      </c>
      <c r="AE108" s="792"/>
      <c r="AF108" s="824"/>
      <c r="AG108" s="824"/>
    </row>
    <row r="109">
      <c r="A109" s="1605"/>
      <c r="B109" s="1573"/>
      <c r="C109" s="1573"/>
      <c r="D109" s="1599" t="str">
        <f t="shared" ref="D109:E109" si="108">if(isdate(D$8),IF($J109=$N$4,if(isblank(AC$2),iferror(1/0),SUMIF($W$7:$W127,$B109,AC$7:AC127)),IF(ISBLANK($J109),IFERROR(1/0),OFFSET(AC$1,$K109-1,0))),IFERROR(1/0))</f>
        <v/>
      </c>
      <c r="E109" s="1599" t="str">
        <f t="shared" si="108"/>
        <v/>
      </c>
      <c r="F109" s="1607"/>
      <c r="G109" s="1575"/>
      <c r="H109" s="1599"/>
      <c r="I109" s="783"/>
      <c r="J109" s="782"/>
      <c r="K109" s="1602" t="str">
        <f t="shared" si="11"/>
        <v/>
      </c>
      <c r="L109" s="783"/>
      <c r="M109" s="1604"/>
      <c r="N109" s="1553"/>
      <c r="O109" s="1553"/>
      <c r="P109" s="826"/>
      <c r="Q109" s="826"/>
      <c r="R109" s="1553"/>
      <c r="S109" s="1553" t="str">
        <f t="shared" si="5"/>
        <v/>
      </c>
      <c r="T109" s="1553" t="str">
        <f t="shared" si="6"/>
        <v/>
      </c>
      <c r="U109" s="1553" t="str">
        <f t="shared" si="7"/>
        <v/>
      </c>
      <c r="V109" s="826"/>
      <c r="W109" s="826"/>
      <c r="X109" s="826"/>
      <c r="Y109" s="826"/>
      <c r="Z109" s="826"/>
      <c r="AA109" s="792"/>
      <c r="AB109" s="1586"/>
      <c r="AC109" s="1557" t="str">
        <f>IFERROR(__xludf.DUMMYFUNCTION("IF(LEN($AB109),IFERROR(query(INDIRECT($AG$12),""SELECT ""&amp;$AG$4&amp;"" WHERE ""&amp;$AG$8&amp;"" = '""&amp;$X109&amp;""' AND ""&amp;$AG$5&amp;"" &lt;= date '""&amp;TEXT(DATEVALUE(AC$2),""yyyy-mm-dd"")&amp;""' ORDER BY ""&amp;$AG$5&amp;"" DESC,""&amp;$AG$6&amp;"" DESC LIMIT 1"",0),0),IFERROR(1/0))"),"")</f>
        <v/>
      </c>
      <c r="AD109" s="1557" t="str">
        <f>IFERROR(__xludf.DUMMYFUNCTION("IF(LEN($AB109),IFERROR(query(INDIRECT($AG$12),""SELECT ""&amp;$AG$4&amp;"" WHERE ""&amp;$AG$8&amp;"" = '""&amp;$X109&amp;""' AND ""&amp;$AG$5&amp;"" &lt;= date '""&amp;TEXT(DATEVALUE(AD$2),""yyyy-mm-dd"")&amp;""' ORDER BY ""&amp;$AG$5&amp;"" DESC,""&amp;$AG$6&amp;"" DESC LIMIT 1"",0),0),IFERROR(1/0))"),"")</f>
        <v/>
      </c>
      <c r="AE109" s="792"/>
      <c r="AF109" s="824"/>
      <c r="AG109" s="824"/>
    </row>
    <row r="110">
      <c r="A110" s="1605"/>
      <c r="B110" s="1573"/>
      <c r="C110" s="1573"/>
      <c r="D110" s="1599" t="str">
        <f t="shared" ref="D110:E110" si="109">if(isdate(D$8),IF($J110=$N$4,if(isblank(AC$2),iferror(1/0),SUMIF($W$7:$W127,$B110,AC$7:AC127)),IF(ISBLANK($J110),IFERROR(1/0),OFFSET(AC$1,$K110-1,0))),IFERROR(1/0))</f>
        <v/>
      </c>
      <c r="E110" s="1599" t="str">
        <f t="shared" si="109"/>
        <v/>
      </c>
      <c r="F110" s="1607"/>
      <c r="G110" s="1575"/>
      <c r="H110" s="1599"/>
      <c r="I110" s="783"/>
      <c r="J110" s="782"/>
      <c r="K110" s="1602" t="str">
        <f t="shared" si="11"/>
        <v/>
      </c>
      <c r="L110" s="783"/>
      <c r="M110" s="1604"/>
      <c r="N110" s="1553"/>
      <c r="O110" s="1553"/>
      <c r="P110" s="826"/>
      <c r="Q110" s="826"/>
      <c r="R110" s="1553"/>
      <c r="S110" s="1553" t="str">
        <f t="shared" si="5"/>
        <v/>
      </c>
      <c r="T110" s="1553" t="str">
        <f t="shared" si="6"/>
        <v/>
      </c>
      <c r="U110" s="1553" t="str">
        <f t="shared" si="7"/>
        <v/>
      </c>
      <c r="V110" s="826"/>
      <c r="W110" s="826"/>
      <c r="X110" s="826"/>
      <c r="Y110" s="826"/>
      <c r="Z110" s="826"/>
      <c r="AA110" s="792"/>
      <c r="AB110" s="1586"/>
      <c r="AC110" s="1557" t="str">
        <f>IFERROR(__xludf.DUMMYFUNCTION("IF(LEN($AB110),IFERROR(query(INDIRECT($AG$12),""SELECT ""&amp;$AG$4&amp;"" WHERE ""&amp;$AG$8&amp;"" = '""&amp;$X110&amp;""' AND ""&amp;$AG$5&amp;"" &lt;= date '""&amp;TEXT(DATEVALUE(AC$2),""yyyy-mm-dd"")&amp;""' ORDER BY ""&amp;$AG$5&amp;"" DESC,""&amp;$AG$6&amp;"" DESC LIMIT 1"",0),0),IFERROR(1/0))"),"")</f>
        <v/>
      </c>
      <c r="AD110" s="1557" t="str">
        <f>IFERROR(__xludf.DUMMYFUNCTION("IF(LEN($AB110),IFERROR(query(INDIRECT($AG$12),""SELECT ""&amp;$AG$4&amp;"" WHERE ""&amp;$AG$8&amp;"" = '""&amp;$X110&amp;""' AND ""&amp;$AG$5&amp;"" &lt;= date '""&amp;TEXT(DATEVALUE(AD$2),""yyyy-mm-dd"")&amp;""' ORDER BY ""&amp;$AG$5&amp;"" DESC,""&amp;$AG$6&amp;"" DESC LIMIT 1"",0),0),IFERROR(1/0))"),"")</f>
        <v/>
      </c>
      <c r="AE110" s="792"/>
      <c r="AF110" s="824"/>
      <c r="AG110" s="824"/>
    </row>
    <row r="111">
      <c r="A111" s="1605"/>
      <c r="B111" s="1573"/>
      <c r="C111" s="1573"/>
      <c r="D111" s="1599" t="str">
        <f t="shared" ref="D111:E111" si="110">if(isdate(D$8),IF($J111=$N$4,if(isblank(AC$2),iferror(1/0),SUMIF($W$7:$W127,$B111,AC$7:AC127)),IF(ISBLANK($J111),IFERROR(1/0),OFFSET(AC$1,$K111-1,0))),IFERROR(1/0))</f>
        <v/>
      </c>
      <c r="E111" s="1599" t="str">
        <f t="shared" si="110"/>
        <v/>
      </c>
      <c r="F111" s="1607"/>
      <c r="G111" s="1575"/>
      <c r="H111" s="1599"/>
      <c r="I111" s="783"/>
      <c r="J111" s="782"/>
      <c r="K111" s="1602" t="str">
        <f t="shared" si="11"/>
        <v/>
      </c>
      <c r="L111" s="783"/>
      <c r="M111" s="1604"/>
      <c r="N111" s="1553"/>
      <c r="O111" s="1553"/>
      <c r="P111" s="826"/>
      <c r="Q111" s="826"/>
      <c r="R111" s="1553"/>
      <c r="S111" s="1553" t="str">
        <f t="shared" si="5"/>
        <v/>
      </c>
      <c r="T111" s="1553" t="str">
        <f t="shared" si="6"/>
        <v/>
      </c>
      <c r="U111" s="1553" t="str">
        <f t="shared" si="7"/>
        <v/>
      </c>
      <c r="V111" s="826"/>
      <c r="W111" s="826"/>
      <c r="X111" s="826"/>
      <c r="Y111" s="826"/>
      <c r="Z111" s="826"/>
      <c r="AA111" s="792"/>
      <c r="AB111" s="1586"/>
      <c r="AC111" s="1557" t="str">
        <f>IFERROR(__xludf.DUMMYFUNCTION("IF(LEN($AB111),IFERROR(query(INDIRECT($AG$12),""SELECT ""&amp;$AG$4&amp;"" WHERE ""&amp;$AG$8&amp;"" = '""&amp;$X111&amp;""' AND ""&amp;$AG$5&amp;"" &lt;= date '""&amp;TEXT(DATEVALUE(AC$2),""yyyy-mm-dd"")&amp;""' ORDER BY ""&amp;$AG$5&amp;"" DESC,""&amp;$AG$6&amp;"" DESC LIMIT 1"",0),0),IFERROR(1/0))"),"")</f>
        <v/>
      </c>
      <c r="AD111" s="1557" t="str">
        <f>IFERROR(__xludf.DUMMYFUNCTION("IF(LEN($AB111),IFERROR(query(INDIRECT($AG$12),""SELECT ""&amp;$AG$4&amp;"" WHERE ""&amp;$AG$8&amp;"" = '""&amp;$X111&amp;""' AND ""&amp;$AG$5&amp;"" &lt;= date '""&amp;TEXT(DATEVALUE(AD$2),""yyyy-mm-dd"")&amp;""' ORDER BY ""&amp;$AG$5&amp;"" DESC,""&amp;$AG$6&amp;"" DESC LIMIT 1"",0),0),IFERROR(1/0))"),"")</f>
        <v/>
      </c>
      <c r="AE111" s="792"/>
      <c r="AF111" s="824"/>
      <c r="AG111" s="824"/>
    </row>
    <row r="112">
      <c r="A112" s="1605"/>
      <c r="B112" s="1573"/>
      <c r="C112" s="1573"/>
      <c r="D112" s="1599" t="str">
        <f t="shared" ref="D112:E112" si="111">if(isdate(D$8),IF($J112=$N$4,if(isblank(AC$2),iferror(1/0),SUMIF($W$7:$W127,$B112,AC$7:AC127)),IF(ISBLANK($J112),IFERROR(1/0),OFFSET(AC$1,$K112-1,0))),IFERROR(1/0))</f>
        <v/>
      </c>
      <c r="E112" s="1599" t="str">
        <f t="shared" si="111"/>
        <v/>
      </c>
      <c r="F112" s="1607"/>
      <c r="G112" s="1575"/>
      <c r="H112" s="1599"/>
      <c r="I112" s="783"/>
      <c r="J112" s="782"/>
      <c r="K112" s="1602" t="str">
        <f t="shared" si="11"/>
        <v/>
      </c>
      <c r="L112" s="783"/>
      <c r="M112" s="1604"/>
      <c r="N112" s="1553"/>
      <c r="O112" s="1553"/>
      <c r="P112" s="826"/>
      <c r="Q112" s="826"/>
      <c r="R112" s="1553"/>
      <c r="S112" s="1553" t="str">
        <f t="shared" si="5"/>
        <v/>
      </c>
      <c r="T112" s="1553" t="str">
        <f t="shared" si="6"/>
        <v/>
      </c>
      <c r="U112" s="1553" t="str">
        <f t="shared" si="7"/>
        <v/>
      </c>
      <c r="V112" s="826"/>
      <c r="W112" s="826"/>
      <c r="X112" s="826"/>
      <c r="Y112" s="826"/>
      <c r="Z112" s="826"/>
      <c r="AA112" s="792"/>
      <c r="AB112" s="1586"/>
      <c r="AC112" s="1557" t="str">
        <f>IFERROR(__xludf.DUMMYFUNCTION("IF(LEN($AB112),IFERROR(query(INDIRECT($AG$12),""SELECT ""&amp;$AG$4&amp;"" WHERE ""&amp;$AG$8&amp;"" = '""&amp;$X112&amp;""' AND ""&amp;$AG$5&amp;"" &lt;= date '""&amp;TEXT(DATEVALUE(AC$2),""yyyy-mm-dd"")&amp;""' ORDER BY ""&amp;$AG$5&amp;"" DESC,""&amp;$AG$6&amp;"" DESC LIMIT 1"",0),0),IFERROR(1/0))"),"")</f>
        <v/>
      </c>
      <c r="AD112" s="1557" t="str">
        <f>IFERROR(__xludf.DUMMYFUNCTION("IF(LEN($AB112),IFERROR(query(INDIRECT($AG$12),""SELECT ""&amp;$AG$4&amp;"" WHERE ""&amp;$AG$8&amp;"" = '""&amp;$X112&amp;""' AND ""&amp;$AG$5&amp;"" &lt;= date '""&amp;TEXT(DATEVALUE(AD$2),""yyyy-mm-dd"")&amp;""' ORDER BY ""&amp;$AG$5&amp;"" DESC,""&amp;$AG$6&amp;"" DESC LIMIT 1"",0),0),IFERROR(1/0))"),"")</f>
        <v/>
      </c>
      <c r="AE112" s="792"/>
      <c r="AF112" s="824"/>
      <c r="AG112" s="824"/>
    </row>
    <row r="113">
      <c r="A113" s="1605"/>
      <c r="B113" s="1573"/>
      <c r="C113" s="1573"/>
      <c r="D113" s="1599" t="str">
        <f t="shared" ref="D113:E113" si="112">if(isdate(D$8),IF($J113=$N$4,if(isblank(AC$2),iferror(1/0),SUMIF($W$7:$W127,$B113,AC$7:AC127)),IF(ISBLANK($J113),IFERROR(1/0),OFFSET(AC$1,$K113-1,0))),IFERROR(1/0))</f>
        <v/>
      </c>
      <c r="E113" s="1599" t="str">
        <f t="shared" si="112"/>
        <v/>
      </c>
      <c r="F113" s="1607"/>
      <c r="G113" s="1575"/>
      <c r="H113" s="1599"/>
      <c r="I113" s="783"/>
      <c r="J113" s="782"/>
      <c r="K113" s="1602" t="str">
        <f t="shared" si="11"/>
        <v/>
      </c>
      <c r="L113" s="783"/>
      <c r="M113" s="1604"/>
      <c r="N113" s="1553"/>
      <c r="O113" s="1553"/>
      <c r="P113" s="826"/>
      <c r="Q113" s="826"/>
      <c r="R113" s="1553"/>
      <c r="S113" s="1553" t="str">
        <f t="shared" si="5"/>
        <v/>
      </c>
      <c r="T113" s="1553" t="str">
        <f t="shared" si="6"/>
        <v/>
      </c>
      <c r="U113" s="1553" t="str">
        <f t="shared" si="7"/>
        <v/>
      </c>
      <c r="V113" s="826"/>
      <c r="W113" s="826"/>
      <c r="X113" s="826"/>
      <c r="Y113" s="826"/>
      <c r="Z113" s="826"/>
      <c r="AA113" s="792"/>
      <c r="AB113" s="1586"/>
      <c r="AC113" s="1557" t="str">
        <f>IFERROR(__xludf.DUMMYFUNCTION("IF(LEN($AB113),IFERROR(query(INDIRECT($AG$12),""SELECT ""&amp;$AG$4&amp;"" WHERE ""&amp;$AG$8&amp;"" = '""&amp;$X113&amp;""' AND ""&amp;$AG$5&amp;"" &lt;= date '""&amp;TEXT(DATEVALUE(AC$2),""yyyy-mm-dd"")&amp;""' ORDER BY ""&amp;$AG$5&amp;"" DESC,""&amp;$AG$6&amp;"" DESC LIMIT 1"",0),0),IFERROR(1/0))"),"")</f>
        <v/>
      </c>
      <c r="AD113" s="1557" t="str">
        <f>IFERROR(__xludf.DUMMYFUNCTION("IF(LEN($AB113),IFERROR(query(INDIRECT($AG$12),""SELECT ""&amp;$AG$4&amp;"" WHERE ""&amp;$AG$8&amp;"" = '""&amp;$X113&amp;""' AND ""&amp;$AG$5&amp;"" &lt;= date '""&amp;TEXT(DATEVALUE(AD$2),""yyyy-mm-dd"")&amp;""' ORDER BY ""&amp;$AG$5&amp;"" DESC,""&amp;$AG$6&amp;"" DESC LIMIT 1"",0),0),IFERROR(1/0))"),"")</f>
        <v/>
      </c>
      <c r="AE113" s="792"/>
      <c r="AF113" s="824"/>
      <c r="AG113" s="824"/>
    </row>
    <row r="114">
      <c r="A114" s="1605"/>
      <c r="B114" s="1573"/>
      <c r="C114" s="1573"/>
      <c r="D114" s="1599" t="str">
        <f t="shared" ref="D114:E114" si="113">if(isdate(D$8),IF($J114=$N$4,if(isblank(AC$2),iferror(1/0),SUMIF($W$7:$W127,$B114,AC$7:AC127)),IF(ISBLANK($J114),IFERROR(1/0),OFFSET(AC$1,$K114-1,0))),IFERROR(1/0))</f>
        <v/>
      </c>
      <c r="E114" s="1599" t="str">
        <f t="shared" si="113"/>
        <v/>
      </c>
      <c r="F114" s="1607"/>
      <c r="G114" s="1575"/>
      <c r="H114" s="1599"/>
      <c r="I114" s="783"/>
      <c r="J114" s="782"/>
      <c r="K114" s="1602" t="str">
        <f t="shared" si="11"/>
        <v/>
      </c>
      <c r="L114" s="783"/>
      <c r="M114" s="1604"/>
      <c r="N114" s="1553"/>
      <c r="O114" s="1553"/>
      <c r="P114" s="826"/>
      <c r="Q114" s="826"/>
      <c r="R114" s="1553"/>
      <c r="S114" s="1553" t="str">
        <f t="shared" si="5"/>
        <v/>
      </c>
      <c r="T114" s="1553" t="str">
        <f t="shared" si="6"/>
        <v/>
      </c>
      <c r="U114" s="1553" t="str">
        <f t="shared" si="7"/>
        <v/>
      </c>
      <c r="V114" s="826"/>
      <c r="W114" s="826"/>
      <c r="X114" s="826"/>
      <c r="Y114" s="826"/>
      <c r="Z114" s="826"/>
      <c r="AA114" s="792"/>
      <c r="AB114" s="1586"/>
      <c r="AC114" s="1557" t="str">
        <f>IFERROR(__xludf.DUMMYFUNCTION("IF(LEN($AB114),IFERROR(query(INDIRECT($AG$12),""SELECT ""&amp;$AG$4&amp;"" WHERE ""&amp;$AG$8&amp;"" = '""&amp;$X114&amp;""' AND ""&amp;$AG$5&amp;"" &lt;= date '""&amp;TEXT(DATEVALUE(AC$2),""yyyy-mm-dd"")&amp;""' ORDER BY ""&amp;$AG$5&amp;"" DESC,""&amp;$AG$6&amp;"" DESC LIMIT 1"",0),0),IFERROR(1/0))"),"")</f>
        <v/>
      </c>
      <c r="AD114" s="1557" t="str">
        <f>IFERROR(__xludf.DUMMYFUNCTION("IF(LEN($AB114),IFERROR(query(INDIRECT($AG$12),""SELECT ""&amp;$AG$4&amp;"" WHERE ""&amp;$AG$8&amp;"" = '""&amp;$X114&amp;""' AND ""&amp;$AG$5&amp;"" &lt;= date '""&amp;TEXT(DATEVALUE(AD$2),""yyyy-mm-dd"")&amp;""' ORDER BY ""&amp;$AG$5&amp;"" DESC,""&amp;$AG$6&amp;"" DESC LIMIT 1"",0),0),IFERROR(1/0))"),"")</f>
        <v/>
      </c>
      <c r="AE114" s="792"/>
      <c r="AF114" s="824"/>
      <c r="AG114" s="824"/>
    </row>
    <row r="115">
      <c r="A115" s="1605"/>
      <c r="B115" s="1573"/>
      <c r="C115" s="1573"/>
      <c r="D115" s="1599" t="str">
        <f t="shared" ref="D115:E115" si="114">if(isdate(D$8),IF($J115=$N$4,if(isblank(AC$2),iferror(1/0),SUMIF($W$7:$W127,$B115,AC$7:AC127)),IF(ISBLANK($J115),IFERROR(1/0),OFFSET(AC$1,$K115-1,0))),IFERROR(1/0))</f>
        <v/>
      </c>
      <c r="E115" s="1599" t="str">
        <f t="shared" si="114"/>
        <v/>
      </c>
      <c r="F115" s="1607"/>
      <c r="G115" s="1575"/>
      <c r="H115" s="1599"/>
      <c r="I115" s="783"/>
      <c r="J115" s="782"/>
      <c r="K115" s="1602" t="str">
        <f t="shared" si="11"/>
        <v/>
      </c>
      <c r="L115" s="783"/>
      <c r="M115" s="1604"/>
      <c r="N115" s="1553"/>
      <c r="O115" s="1553"/>
      <c r="P115" s="826"/>
      <c r="Q115" s="826"/>
      <c r="R115" s="1553"/>
      <c r="S115" s="1553" t="str">
        <f t="shared" si="5"/>
        <v/>
      </c>
      <c r="T115" s="1553" t="str">
        <f t="shared" si="6"/>
        <v/>
      </c>
      <c r="U115" s="1553" t="str">
        <f t="shared" si="7"/>
        <v/>
      </c>
      <c r="V115" s="826"/>
      <c r="W115" s="826"/>
      <c r="X115" s="826"/>
      <c r="Y115" s="826"/>
      <c r="Z115" s="826"/>
      <c r="AA115" s="792"/>
      <c r="AB115" s="1586"/>
      <c r="AC115" s="1557" t="str">
        <f>IFERROR(__xludf.DUMMYFUNCTION("IF(LEN($AB115),IFERROR(query(INDIRECT($AG$12),""SELECT ""&amp;$AG$4&amp;"" WHERE ""&amp;$AG$8&amp;"" = '""&amp;$X115&amp;""' AND ""&amp;$AG$5&amp;"" &lt;= date '""&amp;TEXT(DATEVALUE(AC$2),""yyyy-mm-dd"")&amp;""' ORDER BY ""&amp;$AG$5&amp;"" DESC,""&amp;$AG$6&amp;"" DESC LIMIT 1"",0),0),IFERROR(1/0))"),"")</f>
        <v/>
      </c>
      <c r="AD115" s="1557" t="str">
        <f>IFERROR(__xludf.DUMMYFUNCTION("IF(LEN($AB115),IFERROR(query(INDIRECT($AG$12),""SELECT ""&amp;$AG$4&amp;"" WHERE ""&amp;$AG$8&amp;"" = '""&amp;$X115&amp;""' AND ""&amp;$AG$5&amp;"" &lt;= date '""&amp;TEXT(DATEVALUE(AD$2),""yyyy-mm-dd"")&amp;""' ORDER BY ""&amp;$AG$5&amp;"" DESC,""&amp;$AG$6&amp;"" DESC LIMIT 1"",0),0),IFERROR(1/0))"),"")</f>
        <v/>
      </c>
      <c r="AE115" s="792"/>
      <c r="AF115" s="824"/>
      <c r="AG115" s="824"/>
    </row>
    <row r="116">
      <c r="A116" s="1605"/>
      <c r="B116" s="1573"/>
      <c r="C116" s="1573"/>
      <c r="D116" s="1599" t="str">
        <f t="shared" ref="D116:E116" si="115">if(isdate(D$8),IF($J116=$N$4,if(isblank(AC$2),iferror(1/0),SUMIF($W$7:$W127,$B116,AC$7:AC127)),IF(ISBLANK($J116),IFERROR(1/0),OFFSET(AC$1,$K116-1,0))),IFERROR(1/0))</f>
        <v/>
      </c>
      <c r="E116" s="1599" t="str">
        <f t="shared" si="115"/>
        <v/>
      </c>
      <c r="F116" s="1607"/>
      <c r="G116" s="1575"/>
      <c r="H116" s="1599"/>
      <c r="I116" s="783"/>
      <c r="J116" s="782"/>
      <c r="K116" s="1602" t="str">
        <f t="shared" si="11"/>
        <v/>
      </c>
      <c r="L116" s="783"/>
      <c r="M116" s="1604"/>
      <c r="N116" s="1553"/>
      <c r="O116" s="1553"/>
      <c r="P116" s="826"/>
      <c r="Q116" s="826"/>
      <c r="R116" s="1553"/>
      <c r="S116" s="1553" t="str">
        <f t="shared" si="5"/>
        <v/>
      </c>
      <c r="T116" s="1553" t="str">
        <f t="shared" si="6"/>
        <v/>
      </c>
      <c r="U116" s="1553" t="str">
        <f t="shared" si="7"/>
        <v/>
      </c>
      <c r="V116" s="826"/>
      <c r="W116" s="826"/>
      <c r="X116" s="826"/>
      <c r="Y116" s="826"/>
      <c r="Z116" s="826"/>
      <c r="AA116" s="792"/>
      <c r="AB116" s="1586"/>
      <c r="AC116" s="1557" t="str">
        <f>IFERROR(__xludf.DUMMYFUNCTION("IF(LEN($AB116),IFERROR(query(INDIRECT($AG$12),""SELECT ""&amp;$AG$4&amp;"" WHERE ""&amp;$AG$8&amp;"" = '""&amp;$X116&amp;""' AND ""&amp;$AG$5&amp;"" &lt;= date '""&amp;TEXT(DATEVALUE(AC$2),""yyyy-mm-dd"")&amp;""' ORDER BY ""&amp;$AG$5&amp;"" DESC,""&amp;$AG$6&amp;"" DESC LIMIT 1"",0),0),IFERROR(1/0))"),"")</f>
        <v/>
      </c>
      <c r="AD116" s="1557" t="str">
        <f>IFERROR(__xludf.DUMMYFUNCTION("IF(LEN($AB116),IFERROR(query(INDIRECT($AG$12),""SELECT ""&amp;$AG$4&amp;"" WHERE ""&amp;$AG$8&amp;"" = '""&amp;$X116&amp;""' AND ""&amp;$AG$5&amp;"" &lt;= date '""&amp;TEXT(DATEVALUE(AD$2),""yyyy-mm-dd"")&amp;""' ORDER BY ""&amp;$AG$5&amp;"" DESC,""&amp;$AG$6&amp;"" DESC LIMIT 1"",0),0),IFERROR(1/0))"),"")</f>
        <v/>
      </c>
      <c r="AE116" s="792"/>
      <c r="AF116" s="824"/>
      <c r="AG116" s="824"/>
    </row>
    <row r="117">
      <c r="A117" s="1605"/>
      <c r="B117" s="1573"/>
      <c r="C117" s="1573"/>
      <c r="D117" s="1599" t="str">
        <f t="shared" ref="D117:E117" si="116">if(isdate(D$8),IF($J117=$N$4,if(isblank(AC$2),iferror(1/0),SUMIF($W$7:$W127,$B117,AC$7:AC127)),IF(ISBLANK($J117),IFERROR(1/0),OFFSET(AC$1,$K117-1,0))),IFERROR(1/0))</f>
        <v/>
      </c>
      <c r="E117" s="1599" t="str">
        <f t="shared" si="116"/>
        <v/>
      </c>
      <c r="F117" s="1607"/>
      <c r="G117" s="1575"/>
      <c r="H117" s="1599"/>
      <c r="I117" s="783"/>
      <c r="J117" s="782"/>
      <c r="K117" s="1602" t="str">
        <f t="shared" si="11"/>
        <v/>
      </c>
      <c r="L117" s="783"/>
      <c r="M117" s="1604"/>
      <c r="N117" s="1553"/>
      <c r="O117" s="1553"/>
      <c r="P117" s="826"/>
      <c r="Q117" s="826"/>
      <c r="R117" s="1553"/>
      <c r="S117" s="1553" t="str">
        <f t="shared" si="5"/>
        <v/>
      </c>
      <c r="T117" s="1553" t="str">
        <f t="shared" si="6"/>
        <v/>
      </c>
      <c r="U117" s="1553" t="str">
        <f t="shared" si="7"/>
        <v/>
      </c>
      <c r="V117" s="826"/>
      <c r="W117" s="826"/>
      <c r="X117" s="826"/>
      <c r="Y117" s="826"/>
      <c r="Z117" s="826"/>
      <c r="AA117" s="792"/>
      <c r="AB117" s="1586"/>
      <c r="AC117" s="1557" t="str">
        <f>IFERROR(__xludf.DUMMYFUNCTION("IF(LEN($AB117),IFERROR(query(INDIRECT($AG$12),""SELECT ""&amp;$AG$4&amp;"" WHERE ""&amp;$AG$8&amp;"" = '""&amp;$X117&amp;""' AND ""&amp;$AG$5&amp;"" &lt;= date '""&amp;TEXT(DATEVALUE(AC$2),""yyyy-mm-dd"")&amp;""' ORDER BY ""&amp;$AG$5&amp;"" DESC,""&amp;$AG$6&amp;"" DESC LIMIT 1"",0),0),IFERROR(1/0))"),"")</f>
        <v/>
      </c>
      <c r="AD117" s="1557" t="str">
        <f>IFERROR(__xludf.DUMMYFUNCTION("IF(LEN($AB117),IFERROR(query(INDIRECT($AG$12),""SELECT ""&amp;$AG$4&amp;"" WHERE ""&amp;$AG$8&amp;"" = '""&amp;$X117&amp;""' AND ""&amp;$AG$5&amp;"" &lt;= date '""&amp;TEXT(DATEVALUE(AD$2),""yyyy-mm-dd"")&amp;""' ORDER BY ""&amp;$AG$5&amp;"" DESC,""&amp;$AG$6&amp;"" DESC LIMIT 1"",0),0),IFERROR(1/0))"),"")</f>
        <v/>
      </c>
      <c r="AE117" s="792"/>
      <c r="AF117" s="824"/>
      <c r="AG117" s="824"/>
    </row>
    <row r="118">
      <c r="A118" s="1605"/>
      <c r="B118" s="1573"/>
      <c r="C118" s="1573"/>
      <c r="D118" s="1599" t="str">
        <f t="shared" ref="D118:E118" si="117">if(isdate(D$8),IF($J118=$N$4,if(isblank(AC$2),iferror(1/0),SUMIF($W$7:$W127,$B118,AC$7:AC127)),IF(ISBLANK($J118),IFERROR(1/0),OFFSET(AC$1,$K118-1,0))),IFERROR(1/0))</f>
        <v/>
      </c>
      <c r="E118" s="1599" t="str">
        <f t="shared" si="117"/>
        <v/>
      </c>
      <c r="F118" s="1607"/>
      <c r="G118" s="1575"/>
      <c r="H118" s="1599"/>
      <c r="I118" s="783"/>
      <c r="J118" s="782"/>
      <c r="K118" s="1602" t="str">
        <f t="shared" si="11"/>
        <v/>
      </c>
      <c r="L118" s="783"/>
      <c r="M118" s="1604"/>
      <c r="N118" s="1553"/>
      <c r="O118" s="1553"/>
      <c r="P118" s="826"/>
      <c r="Q118" s="826"/>
      <c r="R118" s="1553"/>
      <c r="S118" s="1553" t="str">
        <f t="shared" si="5"/>
        <v/>
      </c>
      <c r="T118" s="1553" t="str">
        <f t="shared" si="6"/>
        <v/>
      </c>
      <c r="U118" s="1553" t="str">
        <f t="shared" si="7"/>
        <v/>
      </c>
      <c r="V118" s="826"/>
      <c r="W118" s="826"/>
      <c r="X118" s="826"/>
      <c r="Y118" s="826"/>
      <c r="Z118" s="826"/>
      <c r="AA118" s="792"/>
      <c r="AB118" s="1586"/>
      <c r="AC118" s="1557" t="str">
        <f>IFERROR(__xludf.DUMMYFUNCTION("IF(LEN($AB118),IFERROR(query(INDIRECT($AG$12),""SELECT ""&amp;$AG$4&amp;"" WHERE ""&amp;$AG$8&amp;"" = '""&amp;$X118&amp;""' AND ""&amp;$AG$5&amp;"" &lt;= date '""&amp;TEXT(DATEVALUE(AC$2),""yyyy-mm-dd"")&amp;""' ORDER BY ""&amp;$AG$5&amp;"" DESC,""&amp;$AG$6&amp;"" DESC LIMIT 1"",0),0),IFERROR(1/0))"),"")</f>
        <v/>
      </c>
      <c r="AD118" s="1557" t="str">
        <f>IFERROR(__xludf.DUMMYFUNCTION("IF(LEN($AB118),IFERROR(query(INDIRECT($AG$12),""SELECT ""&amp;$AG$4&amp;"" WHERE ""&amp;$AG$8&amp;"" = '""&amp;$X118&amp;""' AND ""&amp;$AG$5&amp;"" &lt;= date '""&amp;TEXT(DATEVALUE(AD$2),""yyyy-mm-dd"")&amp;""' ORDER BY ""&amp;$AG$5&amp;"" DESC,""&amp;$AG$6&amp;"" DESC LIMIT 1"",0),0),IFERROR(1/0))"),"")</f>
        <v/>
      </c>
      <c r="AE118" s="792"/>
      <c r="AF118" s="824"/>
      <c r="AG118" s="824"/>
    </row>
    <row r="119">
      <c r="A119" s="1605"/>
      <c r="B119" s="1573"/>
      <c r="C119" s="1573"/>
      <c r="D119" s="1599" t="str">
        <f t="shared" ref="D119:E119" si="118">if(isdate(D$8),IF($J119=$N$4,if(isblank(AC$2),iferror(1/0),SUMIF($W$7:$W127,$B119,AC$7:AC127)),IF(ISBLANK($J119),IFERROR(1/0),OFFSET(AC$1,$K119-1,0))),IFERROR(1/0))</f>
        <v/>
      </c>
      <c r="E119" s="1599" t="str">
        <f t="shared" si="118"/>
        <v/>
      </c>
      <c r="F119" s="1607"/>
      <c r="G119" s="1575"/>
      <c r="H119" s="1599"/>
      <c r="I119" s="783"/>
      <c r="J119" s="782"/>
      <c r="K119" s="1602" t="str">
        <f t="shared" si="11"/>
        <v/>
      </c>
      <c r="L119" s="783"/>
      <c r="M119" s="1604"/>
      <c r="N119" s="1553"/>
      <c r="O119" s="1553"/>
      <c r="P119" s="826"/>
      <c r="Q119" s="826"/>
      <c r="R119" s="1553"/>
      <c r="S119" s="1553" t="str">
        <f t="shared" si="5"/>
        <v/>
      </c>
      <c r="T119" s="1553" t="str">
        <f t="shared" si="6"/>
        <v/>
      </c>
      <c r="U119" s="1553" t="str">
        <f t="shared" si="7"/>
        <v/>
      </c>
      <c r="V119" s="826"/>
      <c r="W119" s="826"/>
      <c r="X119" s="826"/>
      <c r="Y119" s="826"/>
      <c r="Z119" s="826"/>
      <c r="AA119" s="792"/>
      <c r="AB119" s="1586"/>
      <c r="AC119" s="1557" t="str">
        <f>IFERROR(__xludf.DUMMYFUNCTION("IF(LEN($AB119),IFERROR(query(INDIRECT($AG$12),""SELECT ""&amp;$AG$4&amp;"" WHERE ""&amp;$AG$8&amp;"" = '""&amp;$X119&amp;""' AND ""&amp;$AG$5&amp;"" &lt;= date '""&amp;TEXT(DATEVALUE(AC$2),""yyyy-mm-dd"")&amp;""' ORDER BY ""&amp;$AG$5&amp;"" DESC,""&amp;$AG$6&amp;"" DESC LIMIT 1"",0),0),IFERROR(1/0))"),"")</f>
        <v/>
      </c>
      <c r="AD119" s="1557" t="str">
        <f>IFERROR(__xludf.DUMMYFUNCTION("IF(LEN($AB119),IFERROR(query(INDIRECT($AG$12),""SELECT ""&amp;$AG$4&amp;"" WHERE ""&amp;$AG$8&amp;"" = '""&amp;$X119&amp;""' AND ""&amp;$AG$5&amp;"" &lt;= date '""&amp;TEXT(DATEVALUE(AD$2),""yyyy-mm-dd"")&amp;""' ORDER BY ""&amp;$AG$5&amp;"" DESC,""&amp;$AG$6&amp;"" DESC LIMIT 1"",0),0),IFERROR(1/0))"),"")</f>
        <v/>
      </c>
      <c r="AE119" s="792"/>
      <c r="AF119" s="824"/>
      <c r="AG119" s="824"/>
    </row>
    <row r="120">
      <c r="A120" s="1605"/>
      <c r="B120" s="1573"/>
      <c r="C120" s="1573"/>
      <c r="D120" s="1599" t="str">
        <f t="shared" ref="D120:E120" si="119">if(isdate(D$8),IF($J120=$N$4,if(isblank(AC$2),iferror(1/0),SUMIF($W$7:$W127,$B120,AC$7:AC127)),IF(ISBLANK($J120),IFERROR(1/0),OFFSET(AC$1,$K120-1,0))),IFERROR(1/0))</f>
        <v/>
      </c>
      <c r="E120" s="1599" t="str">
        <f t="shared" si="119"/>
        <v/>
      </c>
      <c r="F120" s="1607"/>
      <c r="G120" s="1575"/>
      <c r="H120" s="1599"/>
      <c r="I120" s="783"/>
      <c r="J120" s="782"/>
      <c r="K120" s="1602" t="str">
        <f t="shared" si="11"/>
        <v/>
      </c>
      <c r="L120" s="783"/>
      <c r="M120" s="1604"/>
      <c r="N120" s="1553"/>
      <c r="O120" s="1553"/>
      <c r="P120" s="826"/>
      <c r="Q120" s="826"/>
      <c r="R120" s="1553"/>
      <c r="S120" s="1553" t="str">
        <f t="shared" si="5"/>
        <v/>
      </c>
      <c r="T120" s="1553" t="str">
        <f t="shared" si="6"/>
        <v/>
      </c>
      <c r="U120" s="1553" t="str">
        <f t="shared" si="7"/>
        <v/>
      </c>
      <c r="V120" s="826"/>
      <c r="W120" s="826"/>
      <c r="X120" s="826"/>
      <c r="Y120" s="826"/>
      <c r="Z120" s="826"/>
      <c r="AA120" s="792"/>
      <c r="AB120" s="1586"/>
      <c r="AC120" s="1557" t="str">
        <f>IFERROR(__xludf.DUMMYFUNCTION("IF(LEN($AB120),IFERROR(query(INDIRECT($AG$12),""SELECT ""&amp;$AG$4&amp;"" WHERE ""&amp;$AG$8&amp;"" = '""&amp;$X120&amp;""' AND ""&amp;$AG$5&amp;"" &lt;= date '""&amp;TEXT(DATEVALUE(AC$2),""yyyy-mm-dd"")&amp;""' ORDER BY ""&amp;$AG$5&amp;"" DESC,""&amp;$AG$6&amp;"" DESC LIMIT 1"",0),0),IFERROR(1/0))"),"")</f>
        <v/>
      </c>
      <c r="AD120" s="1557" t="str">
        <f>IFERROR(__xludf.DUMMYFUNCTION("IF(LEN($AB120),IFERROR(query(INDIRECT($AG$12),""SELECT ""&amp;$AG$4&amp;"" WHERE ""&amp;$AG$8&amp;"" = '""&amp;$X120&amp;""' AND ""&amp;$AG$5&amp;"" &lt;= date '""&amp;TEXT(DATEVALUE(AD$2),""yyyy-mm-dd"")&amp;""' ORDER BY ""&amp;$AG$5&amp;"" DESC,""&amp;$AG$6&amp;"" DESC LIMIT 1"",0),0),IFERROR(1/0))"),"")</f>
        <v/>
      </c>
      <c r="AE120" s="792"/>
      <c r="AF120" s="824"/>
      <c r="AG120" s="824"/>
    </row>
    <row r="121">
      <c r="A121" s="1605"/>
      <c r="B121" s="1573"/>
      <c r="C121" s="1573"/>
      <c r="D121" s="1599" t="str">
        <f t="shared" ref="D121:E121" si="120">if(isdate(D$8),IF($J121=$N$4,if(isblank(AC$2),iferror(1/0),SUMIF($W$7:$W127,$B121,AC$7:AC127)),IF(ISBLANK($J121),IFERROR(1/0),OFFSET(AC$1,$K121-1,0))),IFERROR(1/0))</f>
        <v/>
      </c>
      <c r="E121" s="1599" t="str">
        <f t="shared" si="120"/>
        <v/>
      </c>
      <c r="F121" s="1607"/>
      <c r="G121" s="1575"/>
      <c r="H121" s="1599"/>
      <c r="I121" s="783"/>
      <c r="J121" s="782"/>
      <c r="K121" s="1602" t="str">
        <f t="shared" si="11"/>
        <v/>
      </c>
      <c r="L121" s="783"/>
      <c r="M121" s="1604"/>
      <c r="N121" s="1553"/>
      <c r="O121" s="1553"/>
      <c r="P121" s="826"/>
      <c r="Q121" s="826"/>
      <c r="R121" s="1553"/>
      <c r="S121" s="1553" t="str">
        <f t="shared" si="5"/>
        <v/>
      </c>
      <c r="T121" s="1553" t="str">
        <f t="shared" si="6"/>
        <v/>
      </c>
      <c r="U121" s="1553" t="str">
        <f t="shared" si="7"/>
        <v/>
      </c>
      <c r="V121" s="826"/>
      <c r="W121" s="826"/>
      <c r="X121" s="826"/>
      <c r="Y121" s="826"/>
      <c r="Z121" s="826"/>
      <c r="AA121" s="792"/>
      <c r="AB121" s="1586"/>
      <c r="AC121" s="1557" t="str">
        <f>IFERROR(__xludf.DUMMYFUNCTION("IF(LEN($AB121),IFERROR(query(INDIRECT($AG$12),""SELECT ""&amp;$AG$4&amp;"" WHERE ""&amp;$AG$8&amp;"" = '""&amp;$X121&amp;""' AND ""&amp;$AG$5&amp;"" &lt;= date '""&amp;TEXT(DATEVALUE(AC$2),""yyyy-mm-dd"")&amp;""' ORDER BY ""&amp;$AG$5&amp;"" DESC,""&amp;$AG$6&amp;"" DESC LIMIT 1"",0),0),IFERROR(1/0))"),"")</f>
        <v/>
      </c>
      <c r="AD121" s="1557" t="str">
        <f>IFERROR(__xludf.DUMMYFUNCTION("IF(LEN($AB121),IFERROR(query(INDIRECT($AG$12),""SELECT ""&amp;$AG$4&amp;"" WHERE ""&amp;$AG$8&amp;"" = '""&amp;$X121&amp;""' AND ""&amp;$AG$5&amp;"" &lt;= date '""&amp;TEXT(DATEVALUE(AD$2),""yyyy-mm-dd"")&amp;""' ORDER BY ""&amp;$AG$5&amp;"" DESC,""&amp;$AG$6&amp;"" DESC LIMIT 1"",0),0),IFERROR(1/0))"),"")</f>
        <v/>
      </c>
      <c r="AE121" s="792"/>
      <c r="AF121" s="824"/>
      <c r="AG121" s="824"/>
    </row>
    <row r="122">
      <c r="A122" s="1605"/>
      <c r="B122" s="1573"/>
      <c r="C122" s="1573"/>
      <c r="D122" s="1599" t="str">
        <f t="shared" ref="D122:E122" si="121">if(isdate(D$8),IF($J122=$N$4,if(isblank(AC$2),iferror(1/0),SUMIF($W$7:$W127,$B122,AC$7:AC127)),IF(ISBLANK($J122),IFERROR(1/0),OFFSET(AC$1,$K122-1,0))),IFERROR(1/0))</f>
        <v/>
      </c>
      <c r="E122" s="1599" t="str">
        <f t="shared" si="121"/>
        <v/>
      </c>
      <c r="F122" s="1607"/>
      <c r="G122" s="1575"/>
      <c r="H122" s="1599"/>
      <c r="I122" s="783"/>
      <c r="J122" s="782"/>
      <c r="K122" s="1602" t="str">
        <f t="shared" si="11"/>
        <v/>
      </c>
      <c r="L122" s="783"/>
      <c r="M122" s="1604"/>
      <c r="N122" s="1553"/>
      <c r="O122" s="1553"/>
      <c r="P122" s="826"/>
      <c r="Q122" s="826"/>
      <c r="R122" s="1553"/>
      <c r="S122" s="1553" t="str">
        <f t="shared" si="5"/>
        <v/>
      </c>
      <c r="T122" s="1553" t="str">
        <f t="shared" si="6"/>
        <v/>
      </c>
      <c r="U122" s="1553" t="str">
        <f t="shared" si="7"/>
        <v/>
      </c>
      <c r="V122" s="826"/>
      <c r="W122" s="826"/>
      <c r="X122" s="826"/>
      <c r="Y122" s="826"/>
      <c r="Z122" s="826"/>
      <c r="AA122" s="792"/>
      <c r="AB122" s="1586"/>
      <c r="AC122" s="1557" t="str">
        <f>IFERROR(__xludf.DUMMYFUNCTION("IF(LEN($AB122),IFERROR(query(INDIRECT($AG$12),""SELECT ""&amp;$AG$4&amp;"" WHERE ""&amp;$AG$8&amp;"" = '""&amp;$X122&amp;""' AND ""&amp;$AG$5&amp;"" &lt;= date '""&amp;TEXT(DATEVALUE(AC$2),""yyyy-mm-dd"")&amp;""' ORDER BY ""&amp;$AG$5&amp;"" DESC,""&amp;$AG$6&amp;"" DESC LIMIT 1"",0),0),IFERROR(1/0))"),"")</f>
        <v/>
      </c>
      <c r="AD122" s="1557" t="str">
        <f>IFERROR(__xludf.DUMMYFUNCTION("IF(LEN($AB122),IFERROR(query(INDIRECT($AG$12),""SELECT ""&amp;$AG$4&amp;"" WHERE ""&amp;$AG$8&amp;"" = '""&amp;$X122&amp;""' AND ""&amp;$AG$5&amp;"" &lt;= date '""&amp;TEXT(DATEVALUE(AD$2),""yyyy-mm-dd"")&amp;""' ORDER BY ""&amp;$AG$5&amp;"" DESC,""&amp;$AG$6&amp;"" DESC LIMIT 1"",0),0),IFERROR(1/0))"),"")</f>
        <v/>
      </c>
      <c r="AE122" s="792"/>
      <c r="AF122" s="824"/>
      <c r="AG122" s="824"/>
    </row>
    <row r="123">
      <c r="A123" s="1605"/>
      <c r="B123" s="1573"/>
      <c r="C123" s="1573"/>
      <c r="D123" s="1599" t="str">
        <f t="shared" ref="D123:E123" si="122">if(isdate(D$8),IF($J123=$N$4,if(isblank(AC$2),iferror(1/0),SUMIF($W$7:$W127,$B123,AC$7:AC127)),IF(ISBLANK($J123),IFERROR(1/0),OFFSET(AC$1,$K123-1,0))),IFERROR(1/0))</f>
        <v/>
      </c>
      <c r="E123" s="1599" t="str">
        <f t="shared" si="122"/>
        <v/>
      </c>
      <c r="F123" s="1607"/>
      <c r="G123" s="1575"/>
      <c r="H123" s="1599"/>
      <c r="I123" s="783"/>
      <c r="J123" s="782"/>
      <c r="K123" s="1602" t="str">
        <f t="shared" si="11"/>
        <v/>
      </c>
      <c r="L123" s="783"/>
      <c r="M123" s="1604"/>
      <c r="N123" s="1553"/>
      <c r="O123" s="1553"/>
      <c r="P123" s="826"/>
      <c r="Q123" s="826"/>
      <c r="R123" s="1553"/>
      <c r="S123" s="1553" t="str">
        <f t="shared" si="5"/>
        <v/>
      </c>
      <c r="T123" s="1553" t="str">
        <f t="shared" si="6"/>
        <v/>
      </c>
      <c r="U123" s="1553" t="str">
        <f t="shared" si="7"/>
        <v/>
      </c>
      <c r="V123" s="826"/>
      <c r="W123" s="826"/>
      <c r="X123" s="826"/>
      <c r="Y123" s="826"/>
      <c r="Z123" s="826"/>
      <c r="AA123" s="792"/>
      <c r="AB123" s="1586"/>
      <c r="AC123" s="1557" t="str">
        <f>IFERROR(__xludf.DUMMYFUNCTION("IF(LEN($AB123),IFERROR(query(INDIRECT($AG$12),""SELECT ""&amp;$AG$4&amp;"" WHERE ""&amp;$AG$8&amp;"" = '""&amp;$X123&amp;""' AND ""&amp;$AG$5&amp;"" &lt;= date '""&amp;TEXT(DATEVALUE(AC$2),""yyyy-mm-dd"")&amp;""' ORDER BY ""&amp;$AG$5&amp;"" DESC,""&amp;$AG$6&amp;"" DESC LIMIT 1"",0),0),IFERROR(1/0))"),"")</f>
        <v/>
      </c>
      <c r="AD123" s="1557" t="str">
        <f>IFERROR(__xludf.DUMMYFUNCTION("IF(LEN($AB123),IFERROR(query(INDIRECT($AG$12),""SELECT ""&amp;$AG$4&amp;"" WHERE ""&amp;$AG$8&amp;"" = '""&amp;$X123&amp;""' AND ""&amp;$AG$5&amp;"" &lt;= date '""&amp;TEXT(DATEVALUE(AD$2),""yyyy-mm-dd"")&amp;""' ORDER BY ""&amp;$AG$5&amp;"" DESC,""&amp;$AG$6&amp;"" DESC LIMIT 1"",0),0),IFERROR(1/0))"),"")</f>
        <v/>
      </c>
      <c r="AE123" s="792"/>
      <c r="AF123" s="824"/>
      <c r="AG123" s="824"/>
    </row>
    <row r="124">
      <c r="A124" s="1605"/>
      <c r="B124" s="1573"/>
      <c r="C124" s="1573"/>
      <c r="D124" s="1599" t="str">
        <f t="shared" ref="D124:E124" si="123">if(isdate(D$8),IF($J124=$N$4,if(isblank(AC$2),iferror(1/0),SUMIF($W$7:$W127,$B124,AC$7:AC127)),IF(ISBLANK($J124),IFERROR(1/0),OFFSET(AC$1,$K124-1,0))),IFERROR(1/0))</f>
        <v/>
      </c>
      <c r="E124" s="1599" t="str">
        <f t="shared" si="123"/>
        <v/>
      </c>
      <c r="F124" s="1607"/>
      <c r="G124" s="1575"/>
      <c r="H124" s="1599"/>
      <c r="I124" s="783"/>
      <c r="J124" s="782"/>
      <c r="K124" s="1602" t="str">
        <f t="shared" si="11"/>
        <v/>
      </c>
      <c r="L124" s="783"/>
      <c r="M124" s="1604"/>
      <c r="N124" s="1553"/>
      <c r="O124" s="1553"/>
      <c r="P124" s="826"/>
      <c r="Q124" s="826"/>
      <c r="R124" s="1553"/>
      <c r="S124" s="1553" t="str">
        <f t="shared" si="5"/>
        <v/>
      </c>
      <c r="T124" s="1553" t="str">
        <f t="shared" si="6"/>
        <v/>
      </c>
      <c r="U124" s="1553" t="str">
        <f t="shared" si="7"/>
        <v/>
      </c>
      <c r="V124" s="826"/>
      <c r="W124" s="826"/>
      <c r="X124" s="826"/>
      <c r="Y124" s="826"/>
      <c r="Z124" s="826"/>
      <c r="AA124" s="792"/>
      <c r="AB124" s="1586"/>
      <c r="AC124" s="1557" t="str">
        <f>IFERROR(__xludf.DUMMYFUNCTION("IF(LEN($AB124),IFERROR(query(INDIRECT($AG$12),""SELECT ""&amp;$AG$4&amp;"" WHERE ""&amp;$AG$8&amp;"" = '""&amp;$X124&amp;""' AND ""&amp;$AG$5&amp;"" &lt;= date '""&amp;TEXT(DATEVALUE(AC$2),""yyyy-mm-dd"")&amp;""' ORDER BY ""&amp;$AG$5&amp;"" DESC,""&amp;$AG$6&amp;"" DESC LIMIT 1"",0),0),IFERROR(1/0))"),"")</f>
        <v/>
      </c>
      <c r="AD124" s="1557" t="str">
        <f>IFERROR(__xludf.DUMMYFUNCTION("IF(LEN($AB124),IFERROR(query(INDIRECT($AG$12),""SELECT ""&amp;$AG$4&amp;"" WHERE ""&amp;$AG$8&amp;"" = '""&amp;$X124&amp;""' AND ""&amp;$AG$5&amp;"" &lt;= date '""&amp;TEXT(DATEVALUE(AD$2),""yyyy-mm-dd"")&amp;""' ORDER BY ""&amp;$AG$5&amp;"" DESC,""&amp;$AG$6&amp;"" DESC LIMIT 1"",0),0),IFERROR(1/0))"),"")</f>
        <v/>
      </c>
      <c r="AE124" s="792"/>
      <c r="AF124" s="824"/>
      <c r="AG124" s="824"/>
    </row>
    <row r="125">
      <c r="A125" s="1605"/>
      <c r="B125" s="1573"/>
      <c r="C125" s="1573"/>
      <c r="D125" s="1599" t="str">
        <f t="shared" ref="D125:E125" si="124">if(isdate(D$8),IF($J125=$N$4,if(isblank(AC$2),iferror(1/0),SUMIF($W$7:$W127,$B125,AC$7:AC127)),IF(ISBLANK($J125),IFERROR(1/0),OFFSET(AC$1,$K125-1,0))),IFERROR(1/0))</f>
        <v/>
      </c>
      <c r="E125" s="1599" t="str">
        <f t="shared" si="124"/>
        <v/>
      </c>
      <c r="F125" s="1607"/>
      <c r="G125" s="1575"/>
      <c r="H125" s="1599"/>
      <c r="I125" s="783"/>
      <c r="J125" s="782"/>
      <c r="K125" s="1602" t="str">
        <f t="shared" si="11"/>
        <v/>
      </c>
      <c r="L125" s="783"/>
      <c r="M125" s="1604"/>
      <c r="N125" s="1553"/>
      <c r="O125" s="1553"/>
      <c r="P125" s="826"/>
      <c r="Q125" s="826"/>
      <c r="R125" s="1553"/>
      <c r="S125" s="1553" t="str">
        <f t="shared" si="5"/>
        <v/>
      </c>
      <c r="T125" s="1553" t="str">
        <f t="shared" si="6"/>
        <v/>
      </c>
      <c r="U125" s="1553" t="str">
        <f t="shared" si="7"/>
        <v/>
      </c>
      <c r="V125" s="826"/>
      <c r="W125" s="826"/>
      <c r="X125" s="826"/>
      <c r="Y125" s="826"/>
      <c r="Z125" s="826"/>
      <c r="AA125" s="792"/>
      <c r="AB125" s="1586"/>
      <c r="AC125" s="1557" t="str">
        <f>IFERROR(__xludf.DUMMYFUNCTION("IF(LEN($AB125),IFERROR(query(INDIRECT($AG$12),""SELECT ""&amp;$AG$4&amp;"" WHERE ""&amp;$AG$8&amp;"" = '""&amp;$X125&amp;""' AND ""&amp;$AG$5&amp;"" &lt;= date '""&amp;TEXT(DATEVALUE(AC$2),""yyyy-mm-dd"")&amp;""' ORDER BY ""&amp;$AG$5&amp;"" DESC,""&amp;$AG$6&amp;"" DESC LIMIT 1"",0),0),IFERROR(1/0))"),"")</f>
        <v/>
      </c>
      <c r="AD125" s="1557" t="str">
        <f>IFERROR(__xludf.DUMMYFUNCTION("IF(LEN($AB125),IFERROR(query(INDIRECT($AG$12),""SELECT ""&amp;$AG$4&amp;"" WHERE ""&amp;$AG$8&amp;"" = '""&amp;$X125&amp;""' AND ""&amp;$AG$5&amp;"" &lt;= date '""&amp;TEXT(DATEVALUE(AD$2),""yyyy-mm-dd"")&amp;""' ORDER BY ""&amp;$AG$5&amp;"" DESC,""&amp;$AG$6&amp;"" DESC LIMIT 1"",0),0),IFERROR(1/0))"),"")</f>
        <v/>
      </c>
      <c r="AE125" s="792"/>
      <c r="AF125" s="824"/>
      <c r="AG125" s="824"/>
    </row>
    <row r="126">
      <c r="A126" s="1605"/>
      <c r="B126" s="1573"/>
      <c r="C126" s="1573"/>
      <c r="D126" s="1599" t="str">
        <f t="shared" ref="D126:E126" si="125">if(isdate(D$8),IF($J126=$N$4,if(isblank(AC$2),iferror(1/0),SUMIF($W$7:$W127,$B126,AC$7:AC127)),IF(ISBLANK($J126),IFERROR(1/0),OFFSET(AC$1,$K126-1,0))),IFERROR(1/0))</f>
        <v/>
      </c>
      <c r="E126" s="1599" t="str">
        <f t="shared" si="125"/>
        <v/>
      </c>
      <c r="F126" s="1607"/>
      <c r="G126" s="1575"/>
      <c r="H126" s="1599"/>
      <c r="I126" s="783"/>
      <c r="J126" s="782"/>
      <c r="K126" s="1602" t="str">
        <f t="shared" si="11"/>
        <v/>
      </c>
      <c r="L126" s="783"/>
      <c r="M126" s="1604"/>
      <c r="N126" s="1553"/>
      <c r="O126" s="1553"/>
      <c r="P126" s="826"/>
      <c r="Q126" s="826"/>
      <c r="R126" s="1553"/>
      <c r="S126" s="1553"/>
      <c r="T126" s="1553"/>
      <c r="U126" s="1553"/>
      <c r="V126" s="826"/>
      <c r="W126" s="826"/>
      <c r="X126" s="826"/>
      <c r="Y126" s="826"/>
      <c r="Z126" s="826"/>
      <c r="AA126" s="792"/>
      <c r="AB126" s="1586"/>
      <c r="AC126" s="1557"/>
      <c r="AD126" s="1557"/>
      <c r="AE126" s="792"/>
      <c r="AF126" s="824"/>
      <c r="AG126" s="824"/>
    </row>
    <row r="127">
      <c r="A127" s="1605"/>
      <c r="B127" s="1573"/>
      <c r="C127" s="1573"/>
      <c r="D127" s="1599" t="str">
        <f t="shared" ref="D127:E127" si="126">if(isdate(D$8),IF($J127=$N$4,if(isblank(AC$2),iferror(1/0),SUMIF($W$7:$W127,$B127,AC$7:AC127)),IF(ISBLANK($J127),IFERROR(1/0),OFFSET(AC$1,$K127-1,0))),IFERROR(1/0))</f>
        <v/>
      </c>
      <c r="E127" s="1599" t="str">
        <f t="shared" si="126"/>
        <v/>
      </c>
      <c r="F127" s="1607"/>
      <c r="G127" s="1575"/>
      <c r="H127" s="1599"/>
      <c r="I127" s="783"/>
      <c r="J127" s="782"/>
      <c r="K127" s="1602" t="str">
        <f t="shared" si="11"/>
        <v/>
      </c>
      <c r="L127" s="783"/>
      <c r="M127" s="1604"/>
      <c r="N127" s="1553"/>
      <c r="O127" s="1553"/>
      <c r="P127" s="826"/>
      <c r="Q127" s="826"/>
      <c r="R127" s="1553"/>
      <c r="S127" s="1553"/>
      <c r="T127" s="1553"/>
      <c r="U127" s="1553"/>
      <c r="V127" s="826"/>
      <c r="W127" s="826"/>
      <c r="X127" s="826"/>
      <c r="Y127" s="826"/>
      <c r="Z127" s="826"/>
      <c r="AA127" s="792"/>
      <c r="AB127" s="1586"/>
      <c r="AC127" s="1557"/>
      <c r="AD127" s="1557"/>
      <c r="AE127" s="792"/>
      <c r="AF127" s="824"/>
      <c r="AG127" s="824"/>
    </row>
  </sheetData>
  <mergeCells count="8">
    <mergeCell ref="N1:AA1"/>
    <mergeCell ref="AB1:AD1"/>
    <mergeCell ref="AF1:AG1"/>
    <mergeCell ref="B2:D3"/>
    <mergeCell ref="G2:G3"/>
    <mergeCell ref="AF2:AG2"/>
    <mergeCell ref="B8:C8"/>
    <mergeCell ref="AF13:AG13"/>
  </mergeCells>
  <conditionalFormatting sqref="E8:G127">
    <cfRule type="expression" dxfId="32" priority="1">
      <formula>NOT($N$12)</formula>
    </cfRule>
  </conditionalFormatting>
  <conditionalFormatting sqref="B12:G127">
    <cfRule type="expression" dxfId="10" priority="2">
      <formula>not(isna(match(row($D12)-row($D$12),$S$7:$S127,0)))</formula>
    </cfRule>
  </conditionalFormatting>
  <conditionalFormatting sqref="B12:G127">
    <cfRule type="expression" dxfId="12" priority="3">
      <formula>not(isna(match(row($B12)-row($B$12),$T$7:$T127,0)))</formula>
    </cfRule>
  </conditionalFormatting>
  <conditionalFormatting sqref="H7">
    <cfRule type="notContainsBlanks" dxfId="13" priority="4">
      <formula>LEN(TRIM(H7))&gt;0</formula>
    </cfRule>
  </conditionalFormatting>
  <conditionalFormatting sqref="D5">
    <cfRule type="expression" dxfId="32" priority="5">
      <formula>NOT(C5="Custom")</formula>
    </cfRule>
  </conditionalFormatting>
  <conditionalFormatting sqref="D6">
    <cfRule type="expression" dxfId="32" priority="6">
      <formula>NOT(C6="Custom")</formula>
    </cfRule>
  </conditionalFormatting>
  <conditionalFormatting sqref="E5">
    <cfRule type="expression" dxfId="32" priority="7">
      <formula>NOT(C5="Custom")</formula>
    </cfRule>
  </conditionalFormatting>
  <conditionalFormatting sqref="E6">
    <cfRule type="expression" dxfId="32" priority="8">
      <formula>NOT(C6="Custom")</formula>
    </cfRule>
  </conditionalFormatting>
  <dataValidations>
    <dataValidation type="list" allowBlank="1" showErrorMessage="1" sqref="C5">
      <formula1>"Today,End of Last Year,12 Months Ago,Custom"</formula1>
    </dataValidation>
    <dataValidation type="list" allowBlank="1" showErrorMessage="1" sqref="N3 N5">
      <formula1>"Yes,No"</formula1>
    </dataValidation>
    <dataValidation type="list" allowBlank="1" showErrorMessage="1" sqref="N4">
      <formula1>"Group,Type"</formula1>
    </dataValidation>
    <dataValidation type="list" allowBlank="1" showErrorMessage="1" sqref="C6">
      <formula1>"None,Today,Custom"</formula1>
    </dataValidation>
  </dataValidations>
  <drawing r:id="rId2"/>
  <legacyDrawing r:id="rId3"/>
</worksheet>
</file>